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omments20.xml" ContentType="application/vnd.openxmlformats-officedocument.spreadsheetml.comments+xml"/>
  <Override PartName="/xl/comments21.xml" ContentType="application/vnd.openxmlformats-officedocument.spreadsheetml.comments+xml"/>
  <Override PartName="/xl/comments22.xml" ContentType="application/vnd.openxmlformats-officedocument.spreadsheetml.comments+xml"/>
  <Override PartName="/xl/comments2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F:\BANGIAO\"/>
    </mc:Choice>
  </mc:AlternateContent>
  <bookViews>
    <workbookView xWindow="0" yWindow="0" windowWidth="20490" windowHeight="7650" tabRatio="877" firstSheet="2" activeTab="2"/>
  </bookViews>
  <sheets>
    <sheet name="Muc luc" sheetId="1" state="hidden" r:id="rId1"/>
    <sheet name="muc luc phu" sheetId="91" state="hidden" r:id="rId2"/>
    <sheet name="Cong trinh, du an" sheetId="85" r:id="rId3"/>
    <sheet name="chuchuyen2011-2020" sheetId="88" state="hidden" r:id="rId4"/>
    <sheet name="cc2011-2015" sheetId="87" state="hidden" r:id="rId5"/>
    <sheet name="BIEN DONG" sheetId="45" r:id="rId6"/>
    <sheet name="Co Cau" sheetId="94" r:id="rId7"/>
    <sheet name="01CH" sheetId="43" r:id="rId8"/>
    <sheet name="02CH" sheetId="42" r:id="rId9"/>
    <sheet name="06CH" sheetId="8" r:id="rId10"/>
    <sheet name="07CH" sheetId="11" r:id="rId11"/>
    <sheet name="08CH" sheetId="96" r:id="rId12"/>
    <sheet name="09CH" sheetId="9" r:id="rId13"/>
    <sheet name="Bieu baocao" sheetId="17" state="hidden" r:id="rId14"/>
    <sheet name="10CH" sheetId="97" state="hidden" r:id="rId15"/>
    <sheet name="11CH" sheetId="16" state="hidden" r:id="rId16"/>
    <sheet name="chuchuyenin" sheetId="84" state="hidden" r:id="rId17"/>
    <sheet name="TONG TP" sheetId="44" r:id="rId18"/>
    <sheet name="Bac Son" sheetId="19" state="hidden" r:id="rId19"/>
    <sheet name="Hai Son" sheetId="29" state="hidden" r:id="rId20"/>
    <sheet name="Quang Nghia" sheetId="28" state="hidden" r:id="rId21"/>
    <sheet name="Hai Dong" sheetId="27" state="hidden" r:id="rId22"/>
    <sheet name="Hai Tien" sheetId="26" state="hidden" r:id="rId23"/>
    <sheet name="Hai Xuan" sheetId="25" state="hidden" r:id="rId24"/>
    <sheet name="Van Ninh" sheetId="24" state="hidden" r:id="rId25"/>
    <sheet name="Vinh Trung" sheetId="23" state="hidden" r:id="rId26"/>
    <sheet name="Vinh Thuc" sheetId="22" state="hidden" r:id="rId27"/>
    <sheet name="Hai Yen" sheetId="21" state="hidden" r:id="rId28"/>
    <sheet name="Ka Long" sheetId="34" state="hidden" r:id="rId29"/>
    <sheet name="Ninh Duong" sheetId="33" state="hidden" r:id="rId30"/>
    <sheet name="Hoa Lac" sheetId="32" state="hidden" r:id="rId31"/>
    <sheet name="Tran Phu" sheetId="31" state="hidden" r:id="rId32"/>
    <sheet name="Hai Hoa" sheetId="30" state="hidden" r:id="rId33"/>
    <sheet name="Tra Co" sheetId="40" state="hidden" r:id="rId34"/>
    <sheet name="Binh Ngoc" sheetId="39" state="hidden" r:id="rId35"/>
    <sheet name="Lien vị" sheetId="38" state="hidden" r:id="rId36"/>
    <sheet name="Tien Phong" sheetId="37" state="hidden" r:id="rId37"/>
    <sheet name="PHỤLỤCNN" sheetId="46" state="hidden" r:id="rId38"/>
    <sheet name="PHỤ LỤC PNN" sheetId="47" state="hidden" r:id="rId39"/>
    <sheet name="PHỤ LUC HT" sheetId="48" state="hidden" r:id="rId40"/>
    <sheet name="LUA" sheetId="83" r:id="rId41"/>
    <sheet name="LUC" sheetId="86" r:id="rId42"/>
    <sheet name="HNK" sheetId="82" r:id="rId43"/>
    <sheet name="CLN" sheetId="81" r:id="rId44"/>
    <sheet name="RPH" sheetId="41" r:id="rId45"/>
    <sheet name="RSX" sheetId="51" r:id="rId46"/>
    <sheet name="NTS" sheetId="50" r:id="rId47"/>
    <sheet name="NKH" sheetId="49" r:id="rId48"/>
    <sheet name="CQP" sheetId="55" r:id="rId49"/>
    <sheet name="CAN" sheetId="54" r:id="rId50"/>
    <sheet name="SKK" sheetId="53" r:id="rId51"/>
    <sheet name="TMD" sheetId="57" r:id="rId52"/>
    <sheet name="SKC" sheetId="56" r:id="rId53"/>
    <sheet name="DHT" sheetId="89" r:id="rId54"/>
    <sheet name="DVH" sheetId="61" r:id="rId55"/>
    <sheet name="DYT" sheetId="60" r:id="rId56"/>
    <sheet name="DGD" sheetId="59" r:id="rId57"/>
    <sheet name="DTT" sheetId="58" r:id="rId58"/>
    <sheet name="DGT" sheetId="64" r:id="rId59"/>
    <sheet name="DTL" sheetId="63" r:id="rId60"/>
    <sheet name="DNL" sheetId="62" r:id="rId61"/>
    <sheet name="DBV" sheetId="68" r:id="rId62"/>
    <sheet name="DCH" sheetId="67" r:id="rId63"/>
    <sheet name="DDT" sheetId="66" r:id="rId64"/>
    <sheet name="DRA" sheetId="65" r:id="rId65"/>
    <sheet name="ODT" sheetId="72" r:id="rId66"/>
    <sheet name="ONT" sheetId="71" r:id="rId67"/>
    <sheet name="TSC" sheetId="70" r:id="rId68"/>
    <sheet name="DTS" sheetId="69" r:id="rId69"/>
    <sheet name="TON" sheetId="76" r:id="rId70"/>
    <sheet name="NTD" sheetId="75" r:id="rId71"/>
    <sheet name="SKX" sheetId="74" r:id="rId72"/>
    <sheet name="DSH" sheetId="73" r:id="rId73"/>
    <sheet name="DKV" sheetId="79" r:id="rId74"/>
    <sheet name="TIN" sheetId="78" r:id="rId75"/>
    <sheet name="SON" sheetId="80" r:id="rId76"/>
    <sheet name="CSD1" sheetId="95" r:id="rId77"/>
    <sheet name="MNC" sheetId="77" r:id="rId78"/>
    <sheet name="CSD" sheetId="90" state="hidden" r:id="rId79"/>
    <sheet name="Sheet4" sheetId="52" state="hidden" r:id="rId80"/>
    <sheet name="Sheet6" sheetId="13" state="hidden" r:id="rId81"/>
    <sheet name="Cơ cấu BĐ" sheetId="92" state="hidden" r:id="rId82"/>
    <sheet name="Sheet1" sheetId="93" state="hidden" r:id="rId83"/>
  </sheets>
  <externalReferences>
    <externalReference r:id="rId84"/>
  </externalReferences>
  <definedNames>
    <definedName name="_xlnm._FilterDatabase" localSheetId="49" hidden="1">CAN!$A$6:$P$26</definedName>
    <definedName name="_xlnm._FilterDatabase" localSheetId="43" hidden="1">CLN!$A$7:$O$26</definedName>
    <definedName name="_xlnm._FilterDatabase" localSheetId="64" hidden="1">DRA!$A$5:$P$24</definedName>
    <definedName name="_xlnm._FilterDatabase" localSheetId="59" hidden="1">DTL!$A$6:$M$26</definedName>
    <definedName name="_xlnm._FilterDatabase" localSheetId="57" hidden="1">DTT!$A$6:$P$25</definedName>
    <definedName name="_xlnm._FilterDatabase" localSheetId="54" hidden="1">DVH!$A$6:$P$26</definedName>
    <definedName name="_xlnm._FilterDatabase" localSheetId="42" hidden="1">HNK!$A$7:$O$26</definedName>
    <definedName name="_xlnm._FilterDatabase" localSheetId="40" hidden="1">LUA!$A$6:$O$25</definedName>
    <definedName name="_xlnm._FilterDatabase" localSheetId="41" hidden="1">LUC!$A$6:$O$25</definedName>
    <definedName name="_xlnm._FilterDatabase" localSheetId="77" hidden="1">MNC!$A$5:$J$23</definedName>
    <definedName name="_xlnm._FilterDatabase" localSheetId="47" hidden="1">NKH!$A$6:$P$24</definedName>
    <definedName name="_xlnm._FilterDatabase" localSheetId="44" hidden="1">RPH!$A$6:$O$24</definedName>
    <definedName name="_xlnm._FilterDatabase" localSheetId="45" hidden="1">RSX!$A$6:$O$24</definedName>
    <definedName name="_xlnm._FilterDatabase" localSheetId="52" hidden="1">SKC!$A$6:$P$25</definedName>
    <definedName name="_xlnm._FilterDatabase" localSheetId="71" hidden="1">SKX!$A$5:$P$24</definedName>
    <definedName name="_xlnm._FilterDatabase" localSheetId="75" hidden="1">SON!$A$5:$H$24</definedName>
    <definedName name="_xlnm._FilterDatabase" localSheetId="51" hidden="1">TMD!$A$6:$Q$25</definedName>
  </definedNames>
  <calcPr calcId="162913"/>
</workbook>
</file>

<file path=xl/calcChain.xml><?xml version="1.0" encoding="utf-8"?>
<calcChain xmlns="http://schemas.openxmlformats.org/spreadsheetml/2006/main">
  <c r="D12" i="65" l="1"/>
  <c r="F46" i="84" l="1"/>
  <c r="G46" i="84"/>
  <c r="H46" i="84"/>
  <c r="I46" i="84"/>
  <c r="J46" i="84"/>
  <c r="K46" i="84"/>
  <c r="L46" i="84"/>
  <c r="M46" i="84"/>
  <c r="N46" i="84"/>
  <c r="O46" i="84"/>
  <c r="P46" i="84"/>
  <c r="Q46" i="84"/>
  <c r="R46" i="84"/>
  <c r="S46" i="84"/>
  <c r="T46" i="84"/>
  <c r="U46" i="84"/>
  <c r="V46" i="84"/>
  <c r="W46" i="84"/>
  <c r="X46" i="84"/>
  <c r="Y46" i="84"/>
  <c r="Z46" i="84"/>
  <c r="AA46" i="84"/>
  <c r="AB46" i="84"/>
  <c r="AC46" i="84"/>
  <c r="AD46" i="84"/>
  <c r="AE46" i="84"/>
  <c r="AF46" i="84"/>
  <c r="AG46" i="84"/>
  <c r="AH46" i="84"/>
  <c r="AI46" i="84"/>
  <c r="AJ46" i="84"/>
  <c r="AK46" i="84"/>
  <c r="AL46" i="84"/>
  <c r="AM46" i="84"/>
  <c r="AN46" i="84"/>
  <c r="AO46" i="84"/>
  <c r="AP46" i="84"/>
  <c r="AQ46" i="84"/>
  <c r="E46" i="84"/>
  <c r="BL48" i="33" l="1"/>
  <c r="BL60" i="33" l="1"/>
  <c r="BL61" i="33"/>
  <c r="AE67" i="21" l="1"/>
  <c r="V67" i="21" s="1"/>
  <c r="E68" i="23" l="1"/>
  <c r="E67" i="23"/>
  <c r="S68" i="23"/>
  <c r="E68" i="24" l="1"/>
  <c r="E67" i="24"/>
  <c r="S68" i="24"/>
  <c r="AE67" i="24"/>
  <c r="V67" i="24"/>
  <c r="AE64" i="21" l="1"/>
  <c r="AE60" i="27" l="1"/>
  <c r="O41" i="25" l="1"/>
  <c r="O60" i="25"/>
  <c r="AB18" i="30" l="1"/>
  <c r="AS18" i="22" l="1"/>
  <c r="E23" i="65" l="1"/>
  <c r="E23" i="57"/>
  <c r="F23" i="57"/>
  <c r="G23" i="57"/>
  <c r="H21" i="51" l="1"/>
  <c r="C17" i="51"/>
  <c r="C12" i="51"/>
  <c r="D48" i="23" l="1"/>
  <c r="D18" i="24"/>
  <c r="D18" i="25"/>
  <c r="D58" i="25"/>
  <c r="D65" i="39" l="1"/>
  <c r="D64" i="39"/>
  <c r="D60" i="39"/>
  <c r="D59" i="39"/>
  <c r="D58" i="39"/>
  <c r="D56" i="39"/>
  <c r="D55" i="39"/>
  <c r="D54" i="39"/>
  <c r="D51" i="39"/>
  <c r="D50" i="39"/>
  <c r="C14" i="72" s="1"/>
  <c r="D45" i="39"/>
  <c r="D44" i="39"/>
  <c r="D43" i="39"/>
  <c r="D42" i="39"/>
  <c r="D41" i="39"/>
  <c r="D38" i="39"/>
  <c r="D37" i="39"/>
  <c r="D36" i="39"/>
  <c r="D35" i="39"/>
  <c r="D32" i="39"/>
  <c r="D31" i="39"/>
  <c r="D27" i="39"/>
  <c r="D26" i="39"/>
  <c r="D22" i="39"/>
  <c r="D21" i="39"/>
  <c r="C23" i="51" s="1"/>
  <c r="D19" i="39"/>
  <c r="D17" i="39"/>
  <c r="D16" i="39"/>
  <c r="D12" i="39"/>
  <c r="D65" i="40"/>
  <c r="D64" i="40"/>
  <c r="D60" i="40"/>
  <c r="D59" i="40"/>
  <c r="D57" i="40"/>
  <c r="D56" i="40"/>
  <c r="D55" i="40"/>
  <c r="D54" i="40"/>
  <c r="D51" i="40"/>
  <c r="D50" i="40"/>
  <c r="D46" i="40"/>
  <c r="D44" i="40"/>
  <c r="D43" i="40"/>
  <c r="D42" i="40"/>
  <c r="D41" i="40"/>
  <c r="D38" i="40"/>
  <c r="D37" i="40"/>
  <c r="D36" i="40"/>
  <c r="D35" i="40"/>
  <c r="D31" i="40"/>
  <c r="D27" i="40"/>
  <c r="D26" i="40"/>
  <c r="D22" i="40"/>
  <c r="D21" i="40"/>
  <c r="C22" i="51" s="1"/>
  <c r="D19" i="40"/>
  <c r="D17" i="40"/>
  <c r="D16" i="40"/>
  <c r="D12" i="40"/>
  <c r="D65" i="30"/>
  <c r="D64" i="30"/>
  <c r="D60" i="30"/>
  <c r="D59" i="30"/>
  <c r="D57" i="30"/>
  <c r="D55" i="30"/>
  <c r="D51" i="30"/>
  <c r="D50" i="30"/>
  <c r="C12" i="72" s="1"/>
  <c r="D48" i="30"/>
  <c r="D45" i="30"/>
  <c r="D44" i="30"/>
  <c r="D43" i="30"/>
  <c r="D42" i="30"/>
  <c r="D41" i="30"/>
  <c r="D40" i="30"/>
  <c r="D38" i="30"/>
  <c r="D37" i="30"/>
  <c r="D36" i="30"/>
  <c r="D35" i="30"/>
  <c r="D32" i="30"/>
  <c r="D31" i="30"/>
  <c r="D27" i="30"/>
  <c r="D26" i="30"/>
  <c r="D22" i="30"/>
  <c r="D19" i="30"/>
  <c r="D17" i="30"/>
  <c r="D16" i="30"/>
  <c r="D13" i="30"/>
  <c r="D12" i="30"/>
  <c r="D64" i="31"/>
  <c r="D60" i="31"/>
  <c r="D58" i="31"/>
  <c r="D57" i="31"/>
  <c r="D51" i="31"/>
  <c r="D50" i="31"/>
  <c r="C11" i="72" s="1"/>
  <c r="D45" i="31"/>
  <c r="D43" i="31"/>
  <c r="D41" i="31"/>
  <c r="D38" i="31"/>
  <c r="D37" i="31"/>
  <c r="D36" i="31"/>
  <c r="D35" i="31"/>
  <c r="D31" i="31"/>
  <c r="D27" i="31"/>
  <c r="D26" i="31"/>
  <c r="D64" i="32"/>
  <c r="D60" i="32"/>
  <c r="D59" i="32"/>
  <c r="D58" i="32"/>
  <c r="D57" i="32"/>
  <c r="D51" i="32"/>
  <c r="D50" i="32"/>
  <c r="C10" i="72" s="1"/>
  <c r="D45" i="32"/>
  <c r="D44" i="32"/>
  <c r="D42" i="32"/>
  <c r="D41" i="32"/>
  <c r="D38" i="32"/>
  <c r="D37" i="32"/>
  <c r="D36" i="32"/>
  <c r="D35" i="32"/>
  <c r="D31" i="32"/>
  <c r="D27" i="32"/>
  <c r="D26" i="32"/>
  <c r="D65" i="33"/>
  <c r="D64" i="33"/>
  <c r="D61" i="33"/>
  <c r="D60" i="33"/>
  <c r="D59" i="33"/>
  <c r="D58" i="33"/>
  <c r="D57" i="33"/>
  <c r="D56" i="33"/>
  <c r="D55" i="33"/>
  <c r="D54" i="33"/>
  <c r="D52" i="33"/>
  <c r="D51" i="33"/>
  <c r="D50" i="33"/>
  <c r="C9" i="72" s="1"/>
  <c r="D45" i="33"/>
  <c r="D44" i="33"/>
  <c r="D43" i="33"/>
  <c r="D42" i="33"/>
  <c r="D41" i="33"/>
  <c r="D38" i="33"/>
  <c r="D37" i="33"/>
  <c r="D36" i="33"/>
  <c r="D32" i="33"/>
  <c r="D31" i="33"/>
  <c r="D27" i="33"/>
  <c r="D26" i="33"/>
  <c r="D24" i="33"/>
  <c r="D22" i="33"/>
  <c r="D21" i="33"/>
  <c r="C18" i="51" s="1"/>
  <c r="D19" i="33"/>
  <c r="D17" i="33"/>
  <c r="D16" i="33"/>
  <c r="D13" i="33"/>
  <c r="D12" i="33"/>
  <c r="D64" i="34"/>
  <c r="D60" i="34"/>
  <c r="D59" i="34"/>
  <c r="D58" i="34"/>
  <c r="D57" i="34"/>
  <c r="D54" i="34"/>
  <c r="D51" i="34"/>
  <c r="D50" i="34"/>
  <c r="C8" i="72" s="1"/>
  <c r="D45" i="34"/>
  <c r="D43" i="34"/>
  <c r="D42" i="34"/>
  <c r="D41" i="34"/>
  <c r="D37" i="34"/>
  <c r="D36" i="34"/>
  <c r="D35" i="34"/>
  <c r="D32" i="34"/>
  <c r="D31" i="34"/>
  <c r="D27" i="34"/>
  <c r="D26" i="34"/>
  <c r="D22" i="34"/>
  <c r="D17" i="34"/>
  <c r="D65" i="21"/>
  <c r="D64" i="21"/>
  <c r="D61" i="21"/>
  <c r="D60" i="21"/>
  <c r="D59" i="21"/>
  <c r="D58" i="21"/>
  <c r="D57" i="21"/>
  <c r="D56" i="21"/>
  <c r="D55" i="21"/>
  <c r="D54" i="21"/>
  <c r="D51" i="21"/>
  <c r="D50" i="21"/>
  <c r="C7" i="72" s="1"/>
  <c r="D48" i="21"/>
  <c r="D45" i="21"/>
  <c r="D44" i="21"/>
  <c r="D41" i="21"/>
  <c r="D38" i="21"/>
  <c r="D37" i="21"/>
  <c r="D36" i="21"/>
  <c r="D35" i="21"/>
  <c r="D32" i="21"/>
  <c r="D31" i="21"/>
  <c r="D28" i="21"/>
  <c r="C16" i="53" s="1"/>
  <c r="D27" i="21"/>
  <c r="D24" i="21"/>
  <c r="D22" i="21"/>
  <c r="C16" i="51"/>
  <c r="D19" i="21"/>
  <c r="D18" i="21" s="1"/>
  <c r="D17" i="21"/>
  <c r="D16" i="21"/>
  <c r="D13" i="21"/>
  <c r="D12" i="21"/>
  <c r="D65" i="22"/>
  <c r="D64" i="22"/>
  <c r="D61" i="22"/>
  <c r="D59" i="22"/>
  <c r="D57" i="22"/>
  <c r="D55" i="22"/>
  <c r="D51" i="22"/>
  <c r="D49" i="22"/>
  <c r="C15" i="71" s="1"/>
  <c r="D48" i="22"/>
  <c r="D44" i="22"/>
  <c r="D42" i="22"/>
  <c r="D41" i="22"/>
  <c r="D38" i="22"/>
  <c r="D37" i="22"/>
  <c r="D36" i="22"/>
  <c r="D35" i="22"/>
  <c r="D32" i="22"/>
  <c r="D26" i="22"/>
  <c r="D22" i="22"/>
  <c r="D21" i="22"/>
  <c r="C15" i="51" s="1"/>
  <c r="D19" i="22"/>
  <c r="D17" i="22"/>
  <c r="D16" i="22"/>
  <c r="D13" i="22"/>
  <c r="D12" i="22"/>
  <c r="D65" i="23"/>
  <c r="D64" i="23"/>
  <c r="D61" i="23"/>
  <c r="D60" i="23"/>
  <c r="D59" i="23"/>
  <c r="D58" i="23"/>
  <c r="D57" i="23"/>
  <c r="D55" i="23"/>
  <c r="D51" i="23"/>
  <c r="D49" i="23"/>
  <c r="C14" i="71" s="1"/>
  <c r="D44" i="23"/>
  <c r="D42" i="23"/>
  <c r="D41" i="23"/>
  <c r="D38" i="23"/>
  <c r="D37" i="23"/>
  <c r="D36" i="23"/>
  <c r="D35" i="23"/>
  <c r="D32" i="23"/>
  <c r="D26" i="23"/>
  <c r="D24" i="23"/>
  <c r="D22" i="23"/>
  <c r="D21" i="23"/>
  <c r="C14" i="51" s="1"/>
  <c r="D19" i="23"/>
  <c r="D17" i="23"/>
  <c r="D16" i="23"/>
  <c r="D13" i="23"/>
  <c r="D12" i="23"/>
  <c r="D65" i="24"/>
  <c r="D64" i="24"/>
  <c r="D62" i="24"/>
  <c r="D61" i="24"/>
  <c r="D60" i="24"/>
  <c r="D59" i="24"/>
  <c r="D57" i="24"/>
  <c r="D55" i="24"/>
  <c r="D54" i="24"/>
  <c r="D51" i="24"/>
  <c r="D49" i="24"/>
  <c r="C13" i="71" s="1"/>
  <c r="D48" i="24"/>
  <c r="D46" i="24"/>
  <c r="D44" i="24"/>
  <c r="D43" i="24"/>
  <c r="D42" i="24"/>
  <c r="D41" i="24"/>
  <c r="D38" i="24"/>
  <c r="D37" i="24"/>
  <c r="D36" i="24"/>
  <c r="D32" i="24"/>
  <c r="D24" i="24"/>
  <c r="D22" i="24"/>
  <c r="D21" i="24"/>
  <c r="C13" i="51" s="1"/>
  <c r="D19" i="24"/>
  <c r="D17" i="24"/>
  <c r="D16" i="24"/>
  <c r="D13" i="24"/>
  <c r="D12" i="24"/>
  <c r="D62" i="25"/>
  <c r="D64" i="25"/>
  <c r="D60" i="25"/>
  <c r="D59" i="25"/>
  <c r="D57" i="25"/>
  <c r="D56" i="25"/>
  <c r="D55" i="25"/>
  <c r="D54" i="25"/>
  <c r="D51" i="25"/>
  <c r="D49" i="25"/>
  <c r="C12" i="71" s="1"/>
  <c r="D48" i="25"/>
  <c r="D45" i="25"/>
  <c r="D44" i="25"/>
  <c r="D43" i="25"/>
  <c r="D42" i="25"/>
  <c r="D41" i="25"/>
  <c r="D38" i="25"/>
  <c r="D37" i="25"/>
  <c r="D36" i="25"/>
  <c r="D35" i="25"/>
  <c r="D32" i="25"/>
  <c r="D31" i="25"/>
  <c r="AB31" i="25" s="1"/>
  <c r="D22" i="25"/>
  <c r="D19" i="25"/>
  <c r="D17" i="25"/>
  <c r="D16" i="25"/>
  <c r="D13" i="25"/>
  <c r="D12" i="25"/>
  <c r="D65" i="26"/>
  <c r="D64" i="26"/>
  <c r="D61" i="26"/>
  <c r="D60" i="26"/>
  <c r="D59" i="26"/>
  <c r="D57" i="26"/>
  <c r="D56" i="26"/>
  <c r="D55" i="26"/>
  <c r="D51" i="26"/>
  <c r="D49" i="26"/>
  <c r="C11" i="71" s="1"/>
  <c r="D44" i="26"/>
  <c r="D43" i="26"/>
  <c r="D42" i="26"/>
  <c r="D41" i="26"/>
  <c r="D38" i="26"/>
  <c r="D37" i="26"/>
  <c r="D36" i="26"/>
  <c r="D35" i="26"/>
  <c r="D32" i="26"/>
  <c r="D31" i="26"/>
  <c r="D26" i="26"/>
  <c r="D22" i="26"/>
  <c r="D21" i="26"/>
  <c r="C11" i="51" s="1"/>
  <c r="D19" i="26"/>
  <c r="D17" i="26"/>
  <c r="D16" i="26"/>
  <c r="D13" i="26"/>
  <c r="D12" i="26"/>
  <c r="D65" i="27"/>
  <c r="D64" i="27"/>
  <c r="D61" i="27"/>
  <c r="D60" i="27"/>
  <c r="D59" i="27"/>
  <c r="D57" i="27"/>
  <c r="D55" i="27"/>
  <c r="D51" i="27"/>
  <c r="D49" i="27"/>
  <c r="C10" i="71" s="1"/>
  <c r="D45" i="27"/>
  <c r="D44" i="27"/>
  <c r="D43" i="27"/>
  <c r="D42" i="27"/>
  <c r="D38" i="27"/>
  <c r="D37" i="27"/>
  <c r="D36" i="27"/>
  <c r="D35" i="27"/>
  <c r="D32" i="27"/>
  <c r="D31" i="27"/>
  <c r="D22" i="27"/>
  <c r="C10" i="51"/>
  <c r="D19" i="27"/>
  <c r="D17" i="27"/>
  <c r="D16" i="27"/>
  <c r="D13" i="27"/>
  <c r="D12" i="27"/>
  <c r="D65" i="28"/>
  <c r="D64" i="28"/>
  <c r="D60" i="28"/>
  <c r="D59" i="28"/>
  <c r="D58" i="28"/>
  <c r="D57" i="28"/>
  <c r="D56" i="28"/>
  <c r="D55" i="28"/>
  <c r="D51" i="28"/>
  <c r="D49" i="28"/>
  <c r="C9" i="71" s="1"/>
  <c r="D48" i="28"/>
  <c r="D45" i="28"/>
  <c r="D44" i="28"/>
  <c r="D43" i="28"/>
  <c r="D42" i="28"/>
  <c r="D41" i="28"/>
  <c r="D38" i="28"/>
  <c r="D37" i="28"/>
  <c r="D36" i="28"/>
  <c r="D35" i="28"/>
  <c r="D31" i="28"/>
  <c r="D26" i="28"/>
  <c r="D22" i="28"/>
  <c r="D21" i="28"/>
  <c r="C9" i="51" s="1"/>
  <c r="D19" i="28"/>
  <c r="D17" i="28"/>
  <c r="D16" i="28"/>
  <c r="D13" i="28"/>
  <c r="D12" i="28"/>
  <c r="D65" i="29"/>
  <c r="D64" i="29"/>
  <c r="D61" i="29"/>
  <c r="D60" i="29"/>
  <c r="D58" i="29"/>
  <c r="D57" i="29"/>
  <c r="D51" i="29"/>
  <c r="D49" i="29"/>
  <c r="C8" i="71" s="1"/>
  <c r="D45" i="29"/>
  <c r="D44" i="29"/>
  <c r="D43" i="29"/>
  <c r="D42" i="29"/>
  <c r="D41" i="29"/>
  <c r="D38" i="29"/>
  <c r="D37" i="29"/>
  <c r="D36" i="29"/>
  <c r="D32" i="29"/>
  <c r="D31" i="29"/>
  <c r="D26" i="29"/>
  <c r="D22" i="29"/>
  <c r="D21" i="29"/>
  <c r="C8" i="51" s="1"/>
  <c r="D19" i="29"/>
  <c r="D17" i="29"/>
  <c r="D16" i="29"/>
  <c r="D13" i="29"/>
  <c r="D65" i="19"/>
  <c r="D64" i="19"/>
  <c r="D61" i="19"/>
  <c r="D60" i="19"/>
  <c r="D57" i="19"/>
  <c r="D55" i="19"/>
  <c r="D51" i="19"/>
  <c r="D49" i="19"/>
  <c r="C7" i="71" s="1"/>
  <c r="D45" i="19"/>
  <c r="D44" i="19"/>
  <c r="D43" i="19"/>
  <c r="D42" i="19"/>
  <c r="D41" i="19"/>
  <c r="D38" i="19"/>
  <c r="D37" i="19"/>
  <c r="D36" i="19"/>
  <c r="D26" i="19"/>
  <c r="D24" i="19"/>
  <c r="D22" i="19"/>
  <c r="D21" i="19"/>
  <c r="C7" i="51" s="1"/>
  <c r="D19" i="19"/>
  <c r="D16" i="19"/>
  <c r="D13" i="19"/>
  <c r="C13" i="72" l="1"/>
  <c r="C24" i="51"/>
  <c r="D11" i="25"/>
  <c r="D10" i="25" s="1"/>
  <c r="D9" i="25" s="1"/>
  <c r="D63" i="30"/>
  <c r="C20" i="95" s="1"/>
  <c r="AE32" i="25" l="1"/>
  <c r="AE17" i="25"/>
  <c r="AE64" i="27"/>
  <c r="F6" i="17" l="1"/>
  <c r="F7" i="17"/>
  <c r="F8" i="17"/>
  <c r="F9" i="17"/>
  <c r="F10" i="17"/>
  <c r="F11" i="17"/>
  <c r="F12" i="17"/>
  <c r="F13" i="17"/>
  <c r="F14" i="17"/>
  <c r="F15" i="17"/>
  <c r="F16" i="17"/>
  <c r="F17" i="17"/>
  <c r="F18" i="17"/>
  <c r="F19" i="17"/>
  <c r="F20" i="17"/>
  <c r="F21" i="17"/>
  <c r="F22" i="17"/>
  <c r="F23" i="17"/>
  <c r="F24" i="17"/>
  <c r="F25" i="17"/>
  <c r="F26" i="17"/>
  <c r="F27" i="17"/>
  <c r="F28" i="17"/>
  <c r="F29" i="17"/>
  <c r="F30" i="17"/>
  <c r="F31" i="17"/>
  <c r="F32" i="17"/>
  <c r="F33" i="17"/>
  <c r="F34" i="17"/>
  <c r="F35" i="17"/>
  <c r="F36" i="17"/>
  <c r="F37" i="17"/>
  <c r="F38" i="17"/>
  <c r="F39" i="17"/>
  <c r="F40" i="17"/>
  <c r="F41" i="17"/>
  <c r="F42" i="17"/>
  <c r="F43" i="17"/>
  <c r="F44" i="17"/>
  <c r="F45" i="17"/>
  <c r="F46" i="17"/>
  <c r="F47" i="17"/>
  <c r="F48" i="17"/>
  <c r="F49" i="17"/>
  <c r="F50" i="17"/>
  <c r="F51" i="17"/>
  <c r="F52" i="17"/>
  <c r="F53" i="17"/>
  <c r="F5" i="17"/>
  <c r="AC28" i="17" l="1"/>
  <c r="F24" i="93" l="1"/>
  <c r="F15" i="93" s="1"/>
  <c r="F3" i="93" s="1"/>
  <c r="E24" i="93"/>
  <c r="E15" i="93"/>
  <c r="E3" i="93" l="1"/>
  <c r="D25" i="93"/>
  <c r="G25" i="93" s="1"/>
  <c r="H25" i="93" s="1"/>
  <c r="D26" i="93"/>
  <c r="G26" i="93" s="1"/>
  <c r="H26" i="93" s="1"/>
  <c r="D27" i="93"/>
  <c r="G27" i="93" s="1"/>
  <c r="H27" i="93" s="1"/>
  <c r="D28" i="93"/>
  <c r="G28" i="93" s="1"/>
  <c r="H28" i="93" s="1"/>
  <c r="D29" i="93"/>
  <c r="G29" i="93" s="1"/>
  <c r="H29" i="93" s="1"/>
  <c r="M16" i="71" l="1"/>
  <c r="P805" i="16" l="1"/>
  <c r="P670" i="16"/>
  <c r="P310" i="16"/>
  <c r="P297" i="16"/>
  <c r="P252" i="16"/>
  <c r="P265" i="16"/>
  <c r="P294" i="16" l="1"/>
  <c r="P302" i="16"/>
  <c r="P257" i="16"/>
  <c r="D27" i="88" l="1"/>
  <c r="AH69" i="25" l="1"/>
  <c r="L145" i="16" l="1"/>
  <c r="P72" i="16" l="1"/>
  <c r="P792" i="16"/>
  <c r="P661" i="16"/>
  <c r="P654" i="16"/>
  <c r="P249" i="16"/>
  <c r="O65" i="22" l="1"/>
  <c r="O66" i="22"/>
  <c r="O64" i="22"/>
  <c r="E23" i="79"/>
  <c r="E24" i="79" l="1"/>
  <c r="O63" i="22"/>
  <c r="E23" i="41"/>
  <c r="E22" i="41"/>
  <c r="E21" i="41"/>
  <c r="E20" i="41"/>
  <c r="E19" i="41"/>
  <c r="E18" i="41"/>
  <c r="E17" i="41"/>
  <c r="E16" i="41"/>
  <c r="E15" i="41"/>
  <c r="E14" i="41"/>
  <c r="E13" i="41"/>
  <c r="E11" i="41"/>
  <c r="E10" i="41"/>
  <c r="E9" i="41"/>
  <c r="E8" i="41"/>
  <c r="E7" i="41"/>
  <c r="E24" i="41" l="1"/>
  <c r="Z69" i="29" l="1"/>
  <c r="H83" i="13" l="1"/>
  <c r="H84" i="13"/>
  <c r="H85" i="13"/>
  <c r="H86" i="13"/>
  <c r="G82" i="13"/>
  <c r="H82" i="13" s="1"/>
  <c r="G80" i="13"/>
  <c r="H62" i="13"/>
  <c r="H63" i="13"/>
  <c r="H64" i="13"/>
  <c r="H65" i="13"/>
  <c r="H66" i="13"/>
  <c r="H67" i="13"/>
  <c r="H68" i="13"/>
  <c r="H69" i="13"/>
  <c r="H70" i="13"/>
  <c r="H71" i="13"/>
  <c r="H72" i="13"/>
  <c r="H73" i="13"/>
  <c r="H74" i="13"/>
  <c r="H75" i="13"/>
  <c r="H76" i="13"/>
  <c r="H77" i="13"/>
  <c r="H78" i="13"/>
  <c r="H79" i="13"/>
  <c r="H61" i="13"/>
  <c r="F80" i="13"/>
  <c r="W54" i="13"/>
  <c r="U54" i="13"/>
  <c r="T54" i="13"/>
  <c r="R54" i="13"/>
  <c r="P54" i="13"/>
  <c r="O54" i="13"/>
  <c r="N54" i="13"/>
  <c r="M54" i="13"/>
  <c r="K54" i="13"/>
  <c r="I54" i="13"/>
  <c r="H54" i="13"/>
  <c r="F53" i="13"/>
  <c r="AC28" i="13"/>
  <c r="H80" i="13" l="1"/>
  <c r="AC53" i="13"/>
  <c r="E53" i="13"/>
  <c r="O65" i="33" l="1"/>
  <c r="O64" i="33"/>
  <c r="O65" i="29"/>
  <c r="O64" i="29"/>
  <c r="O63" i="29" l="1"/>
  <c r="F16" i="71" l="1"/>
  <c r="T880" i="16" l="1"/>
  <c r="P162" i="16"/>
  <c r="E53" i="17" l="1"/>
  <c r="E52" i="17"/>
  <c r="AA48" i="17"/>
  <c r="AB48" i="17" s="1"/>
  <c r="E47" i="17"/>
  <c r="AA45" i="17"/>
  <c r="AB45" i="17" s="1"/>
  <c r="E43" i="17"/>
  <c r="AA41" i="17"/>
  <c r="AB41" i="17" s="1"/>
  <c r="AA40" i="17"/>
  <c r="AB40" i="17" s="1"/>
  <c r="E39" i="17"/>
  <c r="AA37" i="17"/>
  <c r="AB37" i="17" s="1"/>
  <c r="AA35" i="17"/>
  <c r="AB35" i="17" s="1"/>
  <c r="E33" i="17"/>
  <c r="AA32" i="17"/>
  <c r="AB32" i="17" s="1"/>
  <c r="AA24" i="17"/>
  <c r="AB24" i="17" s="1"/>
  <c r="AA23" i="17"/>
  <c r="AB23" i="17" s="1"/>
  <c r="AA22" i="17"/>
  <c r="AB22" i="17" s="1"/>
  <c r="E22" i="17"/>
  <c r="AA19" i="17"/>
  <c r="AB19" i="17" s="1"/>
  <c r="AA18" i="17"/>
  <c r="AB18" i="17" s="1"/>
  <c r="E18" i="17"/>
  <c r="AA16" i="17"/>
  <c r="AB16" i="17" s="1"/>
  <c r="AA15" i="17"/>
  <c r="AB15" i="17" s="1"/>
  <c r="E13" i="17"/>
  <c r="AA11" i="17"/>
  <c r="AB11" i="17" s="1"/>
  <c r="E9" i="17"/>
  <c r="AA9" i="17" l="1"/>
  <c r="AB9" i="17" s="1"/>
  <c r="AA13" i="17"/>
  <c r="AB13" i="17" s="1"/>
  <c r="E16" i="17"/>
  <c r="AA20" i="17"/>
  <c r="AB20" i="17" s="1"/>
  <c r="AA21" i="17"/>
  <c r="AB21" i="17" s="1"/>
  <c r="E24" i="17"/>
  <c r="AA25" i="17"/>
  <c r="AB25" i="17" s="1"/>
  <c r="AA33" i="17"/>
  <c r="AB33" i="17" s="1"/>
  <c r="AA34" i="17"/>
  <c r="AB34" i="17" s="1"/>
  <c r="E37" i="17"/>
  <c r="AA38" i="17"/>
  <c r="AB38" i="17" s="1"/>
  <c r="AA39" i="17"/>
  <c r="AB39" i="17" s="1"/>
  <c r="E41" i="17"/>
  <c r="AA42" i="17"/>
  <c r="AB42" i="17" s="1"/>
  <c r="AA43" i="17"/>
  <c r="AB43" i="17" s="1"/>
  <c r="E45" i="17"/>
  <c r="AA47" i="17"/>
  <c r="AB47" i="17" s="1"/>
  <c r="AA10" i="17"/>
  <c r="AB10" i="17" s="1"/>
  <c r="E10" i="17"/>
  <c r="AA12" i="17"/>
  <c r="AB12" i="17" s="1"/>
  <c r="E12" i="17"/>
  <c r="E15" i="17"/>
  <c r="E21" i="17"/>
  <c r="E25" i="17"/>
  <c r="E32" i="17"/>
  <c r="E34" i="17"/>
  <c r="E38" i="17"/>
  <c r="E40" i="17"/>
  <c r="E48" i="17"/>
  <c r="T896" i="16"/>
  <c r="T895" i="16"/>
  <c r="T894" i="16"/>
  <c r="T891" i="16"/>
  <c r="T889" i="16"/>
  <c r="T888" i="16"/>
  <c r="T887" i="16"/>
  <c r="T886" i="16"/>
  <c r="T884" i="16"/>
  <c r="T29" i="16" s="1"/>
  <c r="U29" i="16" s="1"/>
  <c r="T883" i="16"/>
  <c r="T879" i="16"/>
  <c r="N876" i="16"/>
  <c r="N873" i="16" s="1"/>
  <c r="U873" i="16"/>
  <c r="S873" i="16"/>
  <c r="R873" i="16"/>
  <c r="Q873" i="16"/>
  <c r="P873" i="16"/>
  <c r="O873" i="16"/>
  <c r="M873" i="16"/>
  <c r="L873" i="16"/>
  <c r="K873" i="16"/>
  <c r="J873" i="16"/>
  <c r="I873" i="16"/>
  <c r="H873" i="16"/>
  <c r="G873" i="16"/>
  <c r="F873" i="16"/>
  <c r="E873" i="16"/>
  <c r="D873" i="16"/>
  <c r="U863" i="16"/>
  <c r="T863" i="16"/>
  <c r="T862" i="16" s="1"/>
  <c r="S863" i="16"/>
  <c r="S862" i="16" s="1"/>
  <c r="R863" i="16"/>
  <c r="Q863" i="16"/>
  <c r="Q862" i="16" s="1"/>
  <c r="P863" i="16"/>
  <c r="P862" i="16" s="1"/>
  <c r="O863" i="16"/>
  <c r="N863" i="16"/>
  <c r="M863" i="16"/>
  <c r="L863" i="16"/>
  <c r="K863" i="16"/>
  <c r="J863" i="16"/>
  <c r="I863" i="16"/>
  <c r="I862" i="16" s="1"/>
  <c r="H863" i="16"/>
  <c r="H862" i="16" s="1"/>
  <c r="G863" i="16"/>
  <c r="G862" i="16" s="1"/>
  <c r="F863" i="16"/>
  <c r="E863" i="16"/>
  <c r="D863" i="16"/>
  <c r="D862" i="16" s="1"/>
  <c r="U862" i="16"/>
  <c r="R862" i="16"/>
  <c r="O862" i="16"/>
  <c r="N862" i="16"/>
  <c r="M862" i="16"/>
  <c r="L862" i="16"/>
  <c r="K862" i="16"/>
  <c r="J862" i="16"/>
  <c r="F862" i="16"/>
  <c r="E862" i="16"/>
  <c r="T851" i="16"/>
  <c r="T850" i="16"/>
  <c r="T849" i="16"/>
  <c r="T846" i="16"/>
  <c r="T845" i="16"/>
  <c r="T844" i="16"/>
  <c r="T843" i="16"/>
  <c r="T841" i="16"/>
  <c r="T838" i="16"/>
  <c r="T837" i="16"/>
  <c r="T835" i="16"/>
  <c r="N831" i="16"/>
  <c r="N828" i="16" s="1"/>
  <c r="U828" i="16"/>
  <c r="S828" i="16"/>
  <c r="R828" i="16"/>
  <c r="Q828" i="16"/>
  <c r="P828" i="16"/>
  <c r="O828" i="16"/>
  <c r="M828" i="16"/>
  <c r="L828" i="16"/>
  <c r="K828" i="16"/>
  <c r="J828" i="16"/>
  <c r="I828" i="16"/>
  <c r="H828" i="16"/>
  <c r="G828" i="16"/>
  <c r="F828" i="16"/>
  <c r="E828" i="16"/>
  <c r="D828" i="16"/>
  <c r="U818" i="16"/>
  <c r="T818" i="16"/>
  <c r="T817" i="16" s="1"/>
  <c r="S818" i="16"/>
  <c r="S817" i="16" s="1"/>
  <c r="R818" i="16"/>
  <c r="R817" i="16" s="1"/>
  <c r="Q818" i="16"/>
  <c r="Q817" i="16" s="1"/>
  <c r="P818" i="16"/>
  <c r="O818" i="16"/>
  <c r="N818" i="16"/>
  <c r="M818" i="16"/>
  <c r="L818" i="16"/>
  <c r="K818" i="16"/>
  <c r="J818" i="16"/>
  <c r="J817" i="16" s="1"/>
  <c r="I818" i="16"/>
  <c r="I817" i="16" s="1"/>
  <c r="H818" i="16"/>
  <c r="H817" i="16" s="1"/>
  <c r="G818" i="16"/>
  <c r="G817" i="16" s="1"/>
  <c r="F818" i="16"/>
  <c r="E818" i="16"/>
  <c r="D818" i="16"/>
  <c r="D817" i="16" s="1"/>
  <c r="U817" i="16"/>
  <c r="P817" i="16"/>
  <c r="O817" i="16"/>
  <c r="N817" i="16"/>
  <c r="M817" i="16"/>
  <c r="L817" i="16"/>
  <c r="K817" i="16"/>
  <c r="F817" i="16"/>
  <c r="E817" i="16"/>
  <c r="T806" i="16"/>
  <c r="T805" i="16"/>
  <c r="T804" i="16"/>
  <c r="T801" i="16"/>
  <c r="T800" i="16"/>
  <c r="T799" i="16"/>
  <c r="T798" i="16"/>
  <c r="T797" i="16"/>
  <c r="T796" i="16"/>
  <c r="T793" i="16"/>
  <c r="T790" i="16"/>
  <c r="U783" i="16"/>
  <c r="S783" i="16"/>
  <c r="R783" i="16"/>
  <c r="Q783" i="16"/>
  <c r="P783" i="16"/>
  <c r="O783" i="16"/>
  <c r="N783" i="16"/>
  <c r="M783" i="16"/>
  <c r="L783" i="16"/>
  <c r="K783" i="16"/>
  <c r="J783" i="16"/>
  <c r="I783" i="16"/>
  <c r="H783" i="16"/>
  <c r="G783" i="16"/>
  <c r="F783" i="16"/>
  <c r="E783" i="16"/>
  <c r="D783" i="16"/>
  <c r="U773" i="16"/>
  <c r="T773" i="16"/>
  <c r="T772" i="16" s="1"/>
  <c r="S773" i="16"/>
  <c r="S772" i="16" s="1"/>
  <c r="R773" i="16"/>
  <c r="R772" i="16" s="1"/>
  <c r="Q773" i="16"/>
  <c r="P773" i="16"/>
  <c r="O773" i="16"/>
  <c r="N773" i="16"/>
  <c r="M773" i="16"/>
  <c r="L773" i="16"/>
  <c r="K773" i="16"/>
  <c r="K772" i="16" s="1"/>
  <c r="J773" i="16"/>
  <c r="J772" i="16" s="1"/>
  <c r="I773" i="16"/>
  <c r="H773" i="16"/>
  <c r="H772" i="16" s="1"/>
  <c r="G773" i="16"/>
  <c r="G772" i="16" s="1"/>
  <c r="F773" i="16"/>
  <c r="E773" i="16"/>
  <c r="D773" i="16"/>
  <c r="D772" i="16" s="1"/>
  <c r="U772" i="16"/>
  <c r="Q772" i="16"/>
  <c r="P772" i="16"/>
  <c r="O772" i="16"/>
  <c r="N772" i="16"/>
  <c r="M772" i="16"/>
  <c r="L772" i="16"/>
  <c r="I772" i="16"/>
  <c r="F772" i="16"/>
  <c r="E772" i="16"/>
  <c r="T761" i="16"/>
  <c r="T760" i="16"/>
  <c r="T759" i="16"/>
  <c r="T756" i="16"/>
  <c r="T755" i="16"/>
  <c r="T754" i="16"/>
  <c r="T753" i="16"/>
  <c r="T751" i="16"/>
  <c r="T748" i="16"/>
  <c r="T747" i="16"/>
  <c r="T745" i="16"/>
  <c r="U738" i="16"/>
  <c r="S738" i="16"/>
  <c r="R738" i="16"/>
  <c r="Q738" i="16"/>
  <c r="P738" i="16"/>
  <c r="O738" i="16"/>
  <c r="N738" i="16"/>
  <c r="M738" i="16"/>
  <c r="L738" i="16"/>
  <c r="K738" i="16"/>
  <c r="J738" i="16"/>
  <c r="I738" i="16"/>
  <c r="H738" i="16"/>
  <c r="G738" i="16"/>
  <c r="F738" i="16"/>
  <c r="E738" i="16"/>
  <c r="D738" i="16"/>
  <c r="U728" i="16"/>
  <c r="T728" i="16"/>
  <c r="T727" i="16" s="1"/>
  <c r="S728" i="16"/>
  <c r="S727" i="16" s="1"/>
  <c r="R728" i="16"/>
  <c r="Q728" i="16"/>
  <c r="P728" i="16"/>
  <c r="O728" i="16"/>
  <c r="N728" i="16"/>
  <c r="M728" i="16"/>
  <c r="L728" i="16"/>
  <c r="L727" i="16" s="1"/>
  <c r="K728" i="16"/>
  <c r="K727" i="16" s="1"/>
  <c r="J728" i="16"/>
  <c r="I728" i="16"/>
  <c r="H728" i="16"/>
  <c r="H727" i="16" s="1"/>
  <c r="G728" i="16"/>
  <c r="G727" i="16" s="1"/>
  <c r="F728" i="16"/>
  <c r="E728" i="16"/>
  <c r="D728" i="16"/>
  <c r="D727" i="16" s="1"/>
  <c r="U727" i="16"/>
  <c r="R727" i="16"/>
  <c r="Q727" i="16"/>
  <c r="P727" i="16"/>
  <c r="O727" i="16"/>
  <c r="N727" i="16"/>
  <c r="M727" i="16"/>
  <c r="J727" i="16"/>
  <c r="I727" i="16"/>
  <c r="F727" i="16"/>
  <c r="E727" i="16"/>
  <c r="T716" i="16"/>
  <c r="T715" i="16"/>
  <c r="T714" i="16"/>
  <c r="T711" i="16"/>
  <c r="T709" i="16"/>
  <c r="T708" i="16"/>
  <c r="T703" i="16"/>
  <c r="T702" i="16"/>
  <c r="N696" i="16"/>
  <c r="U693" i="16"/>
  <c r="S693" i="16"/>
  <c r="R693" i="16"/>
  <c r="Q693" i="16"/>
  <c r="P693" i="16"/>
  <c r="O693" i="16"/>
  <c r="M693" i="16"/>
  <c r="L693" i="16"/>
  <c r="K693" i="16"/>
  <c r="J693" i="16"/>
  <c r="I693" i="16"/>
  <c r="H693" i="16"/>
  <c r="G693" i="16"/>
  <c r="F693" i="16"/>
  <c r="E693" i="16"/>
  <c r="D693" i="16"/>
  <c r="U683" i="16"/>
  <c r="T683" i="16"/>
  <c r="T682" i="16" s="1"/>
  <c r="S683" i="16"/>
  <c r="S682" i="16" s="1"/>
  <c r="R683" i="16"/>
  <c r="R682" i="16" s="1"/>
  <c r="Q683" i="16"/>
  <c r="P683" i="16"/>
  <c r="O683" i="16"/>
  <c r="N683" i="16"/>
  <c r="M683" i="16"/>
  <c r="L683" i="16"/>
  <c r="K683" i="16"/>
  <c r="K682" i="16" s="1"/>
  <c r="J683" i="16"/>
  <c r="J682" i="16" s="1"/>
  <c r="I683" i="16"/>
  <c r="H683" i="16"/>
  <c r="H682" i="16" s="1"/>
  <c r="G683" i="16"/>
  <c r="G682" i="16" s="1"/>
  <c r="F683" i="16"/>
  <c r="E683" i="16"/>
  <c r="D683" i="16"/>
  <c r="D682" i="16" s="1"/>
  <c r="U682" i="16"/>
  <c r="Q682" i="16"/>
  <c r="P682" i="16"/>
  <c r="O682" i="16"/>
  <c r="N682" i="16"/>
  <c r="M682" i="16"/>
  <c r="L682" i="16"/>
  <c r="I682" i="16"/>
  <c r="F682" i="16"/>
  <c r="E682" i="16"/>
  <c r="T671" i="16"/>
  <c r="R670" i="16"/>
  <c r="T669" i="16"/>
  <c r="R666" i="16"/>
  <c r="T664" i="16"/>
  <c r="T663" i="16"/>
  <c r="R661" i="16"/>
  <c r="R648" i="16" s="1"/>
  <c r="T657" i="16"/>
  <c r="R657" i="16"/>
  <c r="P657" i="16" s="1"/>
  <c r="R654" i="16"/>
  <c r="U648" i="16"/>
  <c r="S648" i="16"/>
  <c r="Q648" i="16"/>
  <c r="P648" i="16"/>
  <c r="O648" i="16"/>
  <c r="N648" i="16"/>
  <c r="M648" i="16"/>
  <c r="L648" i="16"/>
  <c r="K648" i="16"/>
  <c r="J648" i="16"/>
  <c r="I648" i="16"/>
  <c r="H648" i="16"/>
  <c r="G648" i="16"/>
  <c r="F648" i="16"/>
  <c r="E648" i="16"/>
  <c r="D648" i="16"/>
  <c r="R642" i="16"/>
  <c r="U638" i="16"/>
  <c r="T638" i="16"/>
  <c r="S638" i="16"/>
  <c r="S637" i="16" s="1"/>
  <c r="R638" i="16"/>
  <c r="R637" i="16" s="1"/>
  <c r="Q638" i="16"/>
  <c r="P638" i="16"/>
  <c r="O638" i="16"/>
  <c r="N638" i="16"/>
  <c r="M638" i="16"/>
  <c r="L638" i="16"/>
  <c r="K638" i="16"/>
  <c r="K637" i="16" s="1"/>
  <c r="J638" i="16"/>
  <c r="J637" i="16" s="1"/>
  <c r="I638" i="16"/>
  <c r="H638" i="16"/>
  <c r="G638" i="16"/>
  <c r="G637" i="16" s="1"/>
  <c r="F638" i="16"/>
  <c r="F637" i="16" s="1"/>
  <c r="E638" i="16"/>
  <c r="D638" i="16"/>
  <c r="U637" i="16"/>
  <c r="T637" i="16"/>
  <c r="Q637" i="16"/>
  <c r="P637" i="16"/>
  <c r="O637" i="16"/>
  <c r="N637" i="16"/>
  <c r="M637" i="16"/>
  <c r="L637" i="16"/>
  <c r="I637" i="16"/>
  <c r="H637" i="16"/>
  <c r="E637" i="16"/>
  <c r="D637" i="16"/>
  <c r="T626" i="16"/>
  <c r="T624" i="16"/>
  <c r="T621" i="16"/>
  <c r="T619" i="16"/>
  <c r="T618" i="16"/>
  <c r="T616" i="16"/>
  <c r="T613" i="16"/>
  <c r="T612" i="16"/>
  <c r="T610" i="16"/>
  <c r="T609" i="16"/>
  <c r="U603" i="16"/>
  <c r="S603" i="16"/>
  <c r="R603" i="16"/>
  <c r="Q603" i="16"/>
  <c r="P603" i="16"/>
  <c r="O603" i="16"/>
  <c r="N603" i="16"/>
  <c r="M603" i="16"/>
  <c r="L603" i="16"/>
  <c r="K603" i="16"/>
  <c r="J603" i="16"/>
  <c r="I603" i="16"/>
  <c r="H603" i="16"/>
  <c r="G603" i="16"/>
  <c r="F603" i="16"/>
  <c r="E603" i="16"/>
  <c r="D603" i="16"/>
  <c r="T596" i="16"/>
  <c r="U593" i="16"/>
  <c r="T593" i="16"/>
  <c r="S593" i="16"/>
  <c r="S592" i="16" s="1"/>
  <c r="R593" i="16"/>
  <c r="R592" i="16" s="1"/>
  <c r="Q593" i="16"/>
  <c r="P593" i="16"/>
  <c r="O593" i="16"/>
  <c r="N593" i="16"/>
  <c r="M593" i="16"/>
  <c r="L593" i="16"/>
  <c r="K593" i="16"/>
  <c r="K592" i="16" s="1"/>
  <c r="J593" i="16"/>
  <c r="J592" i="16" s="1"/>
  <c r="I593" i="16"/>
  <c r="H593" i="16"/>
  <c r="G593" i="16"/>
  <c r="G592" i="16" s="1"/>
  <c r="F593" i="16"/>
  <c r="F592" i="16" s="1"/>
  <c r="E593" i="16"/>
  <c r="D593" i="16"/>
  <c r="U592" i="16"/>
  <c r="T592" i="16"/>
  <c r="Q592" i="16"/>
  <c r="P592" i="16"/>
  <c r="O592" i="16"/>
  <c r="N592" i="16"/>
  <c r="M592" i="16"/>
  <c r="L592" i="16"/>
  <c r="I592" i="16"/>
  <c r="H592" i="16"/>
  <c r="E592" i="16"/>
  <c r="D592" i="16"/>
  <c r="L585" i="16"/>
  <c r="L45" i="16" s="1"/>
  <c r="M45" i="16" s="1"/>
  <c r="T581" i="16"/>
  <c r="T579" i="16"/>
  <c r="T576" i="16"/>
  <c r="T574" i="16"/>
  <c r="T573" i="16"/>
  <c r="T571" i="16"/>
  <c r="T568" i="16"/>
  <c r="T567" i="16"/>
  <c r="T565" i="16"/>
  <c r="N561" i="16"/>
  <c r="N558" i="16" s="1"/>
  <c r="U558" i="16"/>
  <c r="S558" i="16"/>
  <c r="R558" i="16"/>
  <c r="Q558" i="16"/>
  <c r="P558" i="16"/>
  <c r="O558" i="16"/>
  <c r="M558" i="16"/>
  <c r="L558" i="16"/>
  <c r="K558" i="16"/>
  <c r="J558" i="16"/>
  <c r="I558" i="16"/>
  <c r="H558" i="16"/>
  <c r="G558" i="16"/>
  <c r="F558" i="16"/>
  <c r="E558" i="16"/>
  <c r="D558" i="16"/>
  <c r="L551" i="16"/>
  <c r="U548" i="16"/>
  <c r="U547" i="16" s="1"/>
  <c r="T548" i="16"/>
  <c r="T547" i="16" s="1"/>
  <c r="S548" i="16"/>
  <c r="R548" i="16"/>
  <c r="Q548" i="16"/>
  <c r="P548" i="16"/>
  <c r="O548" i="16"/>
  <c r="N548" i="16"/>
  <c r="N547" i="16" s="1"/>
  <c r="M548" i="16"/>
  <c r="M547" i="16" s="1"/>
  <c r="L548" i="16"/>
  <c r="K548" i="16"/>
  <c r="K547" i="16" s="1"/>
  <c r="J548" i="16"/>
  <c r="J547" i="16" s="1"/>
  <c r="I548" i="16"/>
  <c r="H548" i="16"/>
  <c r="G548" i="16"/>
  <c r="G547" i="16" s="1"/>
  <c r="F548" i="16"/>
  <c r="F547" i="16" s="1"/>
  <c r="E548" i="16"/>
  <c r="E547" i="16" s="1"/>
  <c r="D548" i="16"/>
  <c r="D547" i="16" s="1"/>
  <c r="S547" i="16"/>
  <c r="R547" i="16"/>
  <c r="Q547" i="16"/>
  <c r="P547" i="16"/>
  <c r="O547" i="16"/>
  <c r="I547" i="16"/>
  <c r="H547" i="16"/>
  <c r="U513" i="16"/>
  <c r="T513" i="16"/>
  <c r="S513" i="16"/>
  <c r="R513" i="16"/>
  <c r="Q513" i="16"/>
  <c r="P513" i="16"/>
  <c r="O513" i="16"/>
  <c r="N513" i="16"/>
  <c r="M513" i="16"/>
  <c r="L513" i="16"/>
  <c r="K513" i="16"/>
  <c r="J513" i="16"/>
  <c r="I513" i="16"/>
  <c r="H513" i="16"/>
  <c r="G513" i="16"/>
  <c r="F513" i="16"/>
  <c r="E513" i="16"/>
  <c r="D513" i="16"/>
  <c r="U503" i="16"/>
  <c r="T503" i="16"/>
  <c r="S503" i="16"/>
  <c r="S502" i="16" s="1"/>
  <c r="R503" i="16"/>
  <c r="R502" i="16" s="1"/>
  <c r="Q503" i="16"/>
  <c r="P503" i="16"/>
  <c r="O503" i="16"/>
  <c r="N503" i="16"/>
  <c r="N502" i="16" s="1"/>
  <c r="M503" i="16"/>
  <c r="L503" i="16"/>
  <c r="K503" i="16"/>
  <c r="J503" i="16"/>
  <c r="J502" i="16" s="1"/>
  <c r="I503" i="16"/>
  <c r="H503" i="16"/>
  <c r="G503" i="16"/>
  <c r="F503" i="16"/>
  <c r="E503" i="16"/>
  <c r="D503" i="16"/>
  <c r="U502" i="16"/>
  <c r="T502" i="16"/>
  <c r="Q502" i="16"/>
  <c r="P502" i="16"/>
  <c r="O502" i="16"/>
  <c r="M502" i="16"/>
  <c r="L502" i="16"/>
  <c r="K502" i="16"/>
  <c r="I502" i="16"/>
  <c r="H502" i="16"/>
  <c r="G502" i="16"/>
  <c r="F502" i="16"/>
  <c r="E502" i="16"/>
  <c r="D502" i="16"/>
  <c r="U468" i="16"/>
  <c r="T468" i="16"/>
  <c r="S468" i="16"/>
  <c r="R468" i="16"/>
  <c r="Q468" i="16"/>
  <c r="P468" i="16"/>
  <c r="O468" i="16"/>
  <c r="N468" i="16"/>
  <c r="M468" i="16"/>
  <c r="L468" i="16"/>
  <c r="K468" i="16"/>
  <c r="J468" i="16"/>
  <c r="I468" i="16"/>
  <c r="H468" i="16"/>
  <c r="G468" i="16"/>
  <c r="F468" i="16"/>
  <c r="E468" i="16"/>
  <c r="D468" i="16"/>
  <c r="U458" i="16"/>
  <c r="T458" i="16"/>
  <c r="S458" i="16"/>
  <c r="S457" i="16" s="1"/>
  <c r="R458" i="16"/>
  <c r="R457" i="16" s="1"/>
  <c r="Q458" i="16"/>
  <c r="P458" i="16"/>
  <c r="P457" i="16" s="1"/>
  <c r="O458" i="16"/>
  <c r="N458" i="16"/>
  <c r="N457" i="16" s="1"/>
  <c r="M458" i="16"/>
  <c r="L458" i="16"/>
  <c r="K458" i="16"/>
  <c r="J458" i="16"/>
  <c r="J457" i="16" s="1"/>
  <c r="I458" i="16"/>
  <c r="H458" i="16"/>
  <c r="H457" i="16" s="1"/>
  <c r="G458" i="16"/>
  <c r="F458" i="16"/>
  <c r="E458" i="16"/>
  <c r="D458" i="16"/>
  <c r="U457" i="16"/>
  <c r="T457" i="16"/>
  <c r="Q457" i="16"/>
  <c r="O457" i="16"/>
  <c r="M457" i="16"/>
  <c r="L457" i="16"/>
  <c r="K457" i="16"/>
  <c r="I457" i="16"/>
  <c r="G457" i="16"/>
  <c r="F457" i="16"/>
  <c r="E457" i="16"/>
  <c r="D457" i="16"/>
  <c r="U423" i="16"/>
  <c r="T423" i="16"/>
  <c r="S423" i="16"/>
  <c r="R423" i="16"/>
  <c r="Q423" i="16"/>
  <c r="P423" i="16"/>
  <c r="O423" i="16"/>
  <c r="N423" i="16"/>
  <c r="M423" i="16"/>
  <c r="L423" i="16"/>
  <c r="K423" i="16"/>
  <c r="J423" i="16"/>
  <c r="I423" i="16"/>
  <c r="H423" i="16"/>
  <c r="G423" i="16"/>
  <c r="F423" i="16"/>
  <c r="E423" i="16"/>
  <c r="D423" i="16"/>
  <c r="U413" i="16"/>
  <c r="T413" i="16"/>
  <c r="S413" i="16"/>
  <c r="S412" i="16" s="1"/>
  <c r="R413" i="16"/>
  <c r="R412" i="16" s="1"/>
  <c r="Q413" i="16"/>
  <c r="P413" i="16"/>
  <c r="O413" i="16"/>
  <c r="O412" i="16" s="1"/>
  <c r="N413" i="16"/>
  <c r="N412" i="16" s="1"/>
  <c r="M413" i="16"/>
  <c r="L413" i="16"/>
  <c r="K413" i="16"/>
  <c r="J413" i="16"/>
  <c r="I413" i="16"/>
  <c r="H413" i="16"/>
  <c r="G413" i="16"/>
  <c r="G412" i="16" s="1"/>
  <c r="F413" i="16"/>
  <c r="F412" i="16" s="1"/>
  <c r="E413" i="16"/>
  <c r="D413" i="16"/>
  <c r="U412" i="16"/>
  <c r="T412" i="16"/>
  <c r="Q412" i="16"/>
  <c r="P412" i="16"/>
  <c r="M412" i="16"/>
  <c r="L412" i="16"/>
  <c r="K412" i="16"/>
  <c r="J412" i="16"/>
  <c r="I412" i="16"/>
  <c r="H412" i="16"/>
  <c r="E412" i="16"/>
  <c r="D412" i="16"/>
  <c r="U378" i="16"/>
  <c r="T378" i="16"/>
  <c r="S378" i="16"/>
  <c r="R378" i="16"/>
  <c r="Q378" i="16"/>
  <c r="P378" i="16"/>
  <c r="O378" i="16"/>
  <c r="N378" i="16"/>
  <c r="M378" i="16"/>
  <c r="L378" i="16"/>
  <c r="K378" i="16"/>
  <c r="J378" i="16"/>
  <c r="I378" i="16"/>
  <c r="H378" i="16"/>
  <c r="G378" i="16"/>
  <c r="F378" i="16"/>
  <c r="E378" i="16"/>
  <c r="D378" i="16"/>
  <c r="U368" i="16"/>
  <c r="U367" i="16" s="1"/>
  <c r="T368" i="16"/>
  <c r="T367" i="16" s="1"/>
  <c r="S368" i="16"/>
  <c r="R368" i="16"/>
  <c r="Q368" i="16"/>
  <c r="P368" i="16"/>
  <c r="O368" i="16"/>
  <c r="N368" i="16"/>
  <c r="M368" i="16"/>
  <c r="M367" i="16" s="1"/>
  <c r="L368" i="16"/>
  <c r="L367" i="16" s="1"/>
  <c r="K368" i="16"/>
  <c r="J368" i="16"/>
  <c r="I368" i="16"/>
  <c r="I367" i="16" s="1"/>
  <c r="H368" i="16"/>
  <c r="H367" i="16" s="1"/>
  <c r="G368" i="16"/>
  <c r="F368" i="16"/>
  <c r="E368" i="16"/>
  <c r="E367" i="16" s="1"/>
  <c r="D368" i="16"/>
  <c r="D367" i="16" s="1"/>
  <c r="S367" i="16"/>
  <c r="R367" i="16"/>
  <c r="Q367" i="16"/>
  <c r="P367" i="16"/>
  <c r="O367" i="16"/>
  <c r="N367" i="16"/>
  <c r="K367" i="16"/>
  <c r="J367" i="16"/>
  <c r="G367" i="16"/>
  <c r="F367" i="16"/>
  <c r="U333" i="16"/>
  <c r="T333" i="16"/>
  <c r="S333" i="16"/>
  <c r="R333" i="16"/>
  <c r="Q333" i="16"/>
  <c r="P333" i="16"/>
  <c r="O333" i="16"/>
  <c r="N333" i="16"/>
  <c r="M333" i="16"/>
  <c r="L333" i="16"/>
  <c r="K333" i="16"/>
  <c r="J333" i="16"/>
  <c r="I333" i="16"/>
  <c r="H333" i="16"/>
  <c r="G333" i="16"/>
  <c r="F333" i="16"/>
  <c r="E333" i="16"/>
  <c r="D333" i="16"/>
  <c r="U323" i="16"/>
  <c r="U322" i="16" s="1"/>
  <c r="T323" i="16"/>
  <c r="T322" i="16" s="1"/>
  <c r="S323" i="16"/>
  <c r="S322" i="16" s="1"/>
  <c r="R323" i="16"/>
  <c r="R322" i="16" s="1"/>
  <c r="Q323" i="16"/>
  <c r="P323" i="16"/>
  <c r="O323" i="16"/>
  <c r="N323" i="16"/>
  <c r="M323" i="16"/>
  <c r="L323" i="16"/>
  <c r="K323" i="16"/>
  <c r="K322" i="16" s="1"/>
  <c r="J323" i="16"/>
  <c r="J322" i="16" s="1"/>
  <c r="I323" i="16"/>
  <c r="I322" i="16" s="1"/>
  <c r="H323" i="16"/>
  <c r="H322" i="16" s="1"/>
  <c r="G323" i="16"/>
  <c r="F323" i="16"/>
  <c r="E323" i="16"/>
  <c r="E322" i="16" s="1"/>
  <c r="D323" i="16"/>
  <c r="D322" i="16" s="1"/>
  <c r="Q322" i="16"/>
  <c r="P322" i="16"/>
  <c r="O322" i="16"/>
  <c r="N322" i="16"/>
  <c r="M322" i="16"/>
  <c r="L322" i="16"/>
  <c r="G322" i="16"/>
  <c r="F322" i="16"/>
  <c r="N293" i="16"/>
  <c r="N288" i="16" s="1"/>
  <c r="U288" i="16"/>
  <c r="T288" i="16"/>
  <c r="S288" i="16"/>
  <c r="R288" i="16"/>
  <c r="Q288" i="16"/>
  <c r="P288" i="16"/>
  <c r="O288" i="16"/>
  <c r="M288" i="16"/>
  <c r="L288" i="16"/>
  <c r="K288" i="16"/>
  <c r="J288" i="16"/>
  <c r="I288" i="16"/>
  <c r="H288" i="16"/>
  <c r="G288" i="16"/>
  <c r="F288" i="16"/>
  <c r="E288" i="16"/>
  <c r="D288" i="16"/>
  <c r="U278" i="16"/>
  <c r="T278" i="16"/>
  <c r="S278" i="16"/>
  <c r="S277" i="16" s="1"/>
  <c r="R278" i="16"/>
  <c r="R277" i="16" s="1"/>
  <c r="Q278" i="16"/>
  <c r="Q277" i="16" s="1"/>
  <c r="P278" i="16"/>
  <c r="O278" i="16"/>
  <c r="N278" i="16"/>
  <c r="M278" i="16"/>
  <c r="L278" i="16"/>
  <c r="K278" i="16"/>
  <c r="J278" i="16"/>
  <c r="J277" i="16" s="1"/>
  <c r="I278" i="16"/>
  <c r="I277" i="16" s="1"/>
  <c r="H278" i="16"/>
  <c r="G278" i="16"/>
  <c r="G277" i="16" s="1"/>
  <c r="F278" i="16"/>
  <c r="F277" i="16" s="1"/>
  <c r="E278" i="16"/>
  <c r="D278" i="16"/>
  <c r="U277" i="16"/>
  <c r="T277" i="16"/>
  <c r="P277" i="16"/>
  <c r="O277" i="16"/>
  <c r="N277" i="16"/>
  <c r="M277" i="16"/>
  <c r="L277" i="16"/>
  <c r="K277" i="16"/>
  <c r="H277" i="16"/>
  <c r="E277" i="16"/>
  <c r="D277" i="16"/>
  <c r="U243" i="16"/>
  <c r="T243" i="16"/>
  <c r="S243" i="16"/>
  <c r="R243" i="16"/>
  <c r="Q243" i="16"/>
  <c r="P243" i="16"/>
  <c r="O243" i="16"/>
  <c r="N243" i="16"/>
  <c r="M243" i="16"/>
  <c r="L243" i="16"/>
  <c r="K243" i="16"/>
  <c r="J243" i="16"/>
  <c r="I243" i="16"/>
  <c r="H243" i="16"/>
  <c r="G243" i="16"/>
  <c r="F243" i="16"/>
  <c r="E243" i="16"/>
  <c r="D243" i="16"/>
  <c r="U233" i="16"/>
  <c r="U232" i="16" s="1"/>
  <c r="T233" i="16"/>
  <c r="T232" i="16" s="1"/>
  <c r="S233" i="16"/>
  <c r="R233" i="16"/>
  <c r="Q233" i="16"/>
  <c r="Q232" i="16" s="1"/>
  <c r="P233" i="16"/>
  <c r="P232" i="16" s="1"/>
  <c r="O233" i="16"/>
  <c r="O232" i="16" s="1"/>
  <c r="N233" i="16"/>
  <c r="M233" i="16"/>
  <c r="L233" i="16"/>
  <c r="K233" i="16"/>
  <c r="J233" i="16"/>
  <c r="I233" i="16"/>
  <c r="H233" i="16"/>
  <c r="H232" i="16" s="1"/>
  <c r="G233" i="16"/>
  <c r="G232" i="16" s="1"/>
  <c r="F233" i="16"/>
  <c r="E233" i="16"/>
  <c r="E232" i="16" s="1"/>
  <c r="D233" i="16"/>
  <c r="D232" i="16" s="1"/>
  <c r="S232" i="16"/>
  <c r="R232" i="16"/>
  <c r="N232" i="16"/>
  <c r="M232" i="16"/>
  <c r="L232" i="16"/>
  <c r="K232" i="16"/>
  <c r="J232" i="16"/>
  <c r="I232" i="16"/>
  <c r="F232" i="16"/>
  <c r="U198" i="16"/>
  <c r="T198" i="16"/>
  <c r="S198" i="16"/>
  <c r="R198" i="16"/>
  <c r="Q198" i="16"/>
  <c r="P198" i="16"/>
  <c r="O198" i="16"/>
  <c r="N198" i="16"/>
  <c r="M198" i="16"/>
  <c r="L198" i="16"/>
  <c r="K198" i="16"/>
  <c r="J198" i="16"/>
  <c r="I198" i="16"/>
  <c r="H198" i="16"/>
  <c r="G198" i="16"/>
  <c r="F198" i="16"/>
  <c r="E198" i="16"/>
  <c r="D198" i="16"/>
  <c r="U188" i="16"/>
  <c r="U187" i="16" s="1"/>
  <c r="T188" i="16"/>
  <c r="S188" i="16"/>
  <c r="R188" i="16"/>
  <c r="R187" i="16" s="1"/>
  <c r="Q188" i="16"/>
  <c r="Q187" i="16" s="1"/>
  <c r="P188" i="16"/>
  <c r="O188" i="16"/>
  <c r="N188" i="16"/>
  <c r="N187" i="16" s="1"/>
  <c r="M188" i="16"/>
  <c r="M187" i="16" s="1"/>
  <c r="L188" i="16"/>
  <c r="K188" i="16"/>
  <c r="K187" i="16" s="1"/>
  <c r="J188" i="16"/>
  <c r="J187" i="16" s="1"/>
  <c r="I188" i="16"/>
  <c r="H188" i="16"/>
  <c r="G188" i="16"/>
  <c r="G187" i="16" s="1"/>
  <c r="F188" i="16"/>
  <c r="F187" i="16" s="1"/>
  <c r="E188" i="16"/>
  <c r="E187" i="16" s="1"/>
  <c r="D188" i="16"/>
  <c r="T187" i="16"/>
  <c r="S187" i="16"/>
  <c r="P187" i="16"/>
  <c r="O187" i="16"/>
  <c r="L187" i="16"/>
  <c r="I187" i="16"/>
  <c r="H187" i="16"/>
  <c r="D187" i="16"/>
  <c r="U153" i="16"/>
  <c r="T153" i="16"/>
  <c r="S153" i="16"/>
  <c r="R153" i="16"/>
  <c r="Q153" i="16"/>
  <c r="P153" i="16"/>
  <c r="O153" i="16"/>
  <c r="N153" i="16"/>
  <c r="M153" i="16"/>
  <c r="L153" i="16"/>
  <c r="K153" i="16"/>
  <c r="J153" i="16"/>
  <c r="I153" i="16"/>
  <c r="H153" i="16"/>
  <c r="G153" i="16"/>
  <c r="F153" i="16"/>
  <c r="E153" i="16"/>
  <c r="D153" i="16"/>
  <c r="J148" i="16"/>
  <c r="U143" i="16"/>
  <c r="U142" i="16" s="1"/>
  <c r="T143" i="16"/>
  <c r="T142" i="16" s="1"/>
  <c r="S143" i="16"/>
  <c r="R143" i="16"/>
  <c r="Q143" i="16"/>
  <c r="P143" i="16"/>
  <c r="O143" i="16"/>
  <c r="N143" i="16"/>
  <c r="M143" i="16"/>
  <c r="M142" i="16" s="1"/>
  <c r="L143" i="16"/>
  <c r="K143" i="16"/>
  <c r="J143" i="16"/>
  <c r="I143" i="16"/>
  <c r="H143" i="16"/>
  <c r="H142" i="16" s="1"/>
  <c r="G143" i="16"/>
  <c r="F143" i="16"/>
  <c r="E143" i="16"/>
  <c r="E142" i="16" s="1"/>
  <c r="D143" i="16"/>
  <c r="D142" i="16" s="1"/>
  <c r="S142" i="16"/>
  <c r="R142" i="16"/>
  <c r="Q142" i="16"/>
  <c r="P142" i="16"/>
  <c r="O142" i="16"/>
  <c r="N142" i="16"/>
  <c r="K142" i="16"/>
  <c r="I142" i="16"/>
  <c r="G142" i="16"/>
  <c r="F142" i="16"/>
  <c r="U108" i="16"/>
  <c r="T108" i="16"/>
  <c r="S108" i="16"/>
  <c r="R108" i="16"/>
  <c r="Q108" i="16"/>
  <c r="P108" i="16"/>
  <c r="O108" i="16"/>
  <c r="N108" i="16"/>
  <c r="M108" i="16"/>
  <c r="L108" i="16"/>
  <c r="K108" i="16"/>
  <c r="J108" i="16"/>
  <c r="I108" i="16"/>
  <c r="H108" i="16"/>
  <c r="G108" i="16"/>
  <c r="F108" i="16"/>
  <c r="E108" i="16"/>
  <c r="D108" i="16"/>
  <c r="D99" i="16"/>
  <c r="U98" i="16"/>
  <c r="U97" i="16" s="1"/>
  <c r="T98" i="16"/>
  <c r="T97" i="16" s="1"/>
  <c r="S98" i="16"/>
  <c r="S97" i="16" s="1"/>
  <c r="R98" i="16"/>
  <c r="Q98" i="16"/>
  <c r="P98" i="16"/>
  <c r="O98" i="16"/>
  <c r="N98" i="16"/>
  <c r="M98" i="16"/>
  <c r="L98" i="16"/>
  <c r="L97" i="16" s="1"/>
  <c r="K98" i="16"/>
  <c r="K97" i="16" s="1"/>
  <c r="J98" i="16"/>
  <c r="I98" i="16"/>
  <c r="I97" i="16" s="1"/>
  <c r="H98" i="16"/>
  <c r="H97" i="16" s="1"/>
  <c r="G98" i="16"/>
  <c r="F98" i="16"/>
  <c r="E98" i="16"/>
  <c r="E97" i="16" s="1"/>
  <c r="D98" i="16"/>
  <c r="D97" i="16" s="1"/>
  <c r="R97" i="16"/>
  <c r="Q97" i="16"/>
  <c r="P97" i="16"/>
  <c r="O97" i="16"/>
  <c r="N97" i="16"/>
  <c r="M97" i="16"/>
  <c r="J97" i="16"/>
  <c r="G97" i="16"/>
  <c r="F97" i="16"/>
  <c r="P69" i="16"/>
  <c r="U63" i="16"/>
  <c r="T63" i="16"/>
  <c r="S63" i="16"/>
  <c r="R63" i="16"/>
  <c r="Q63" i="16"/>
  <c r="P63" i="16"/>
  <c r="O63" i="16"/>
  <c r="N63" i="16"/>
  <c r="M63" i="16"/>
  <c r="L63" i="16"/>
  <c r="K63" i="16"/>
  <c r="J63" i="16"/>
  <c r="I63" i="16"/>
  <c r="H63" i="16"/>
  <c r="H18" i="16" s="1"/>
  <c r="I18" i="16" s="1"/>
  <c r="G63" i="16"/>
  <c r="F63" i="16"/>
  <c r="E63" i="16"/>
  <c r="D63" i="16"/>
  <c r="U53" i="16"/>
  <c r="T53" i="16"/>
  <c r="S53" i="16"/>
  <c r="S52" i="16" s="1"/>
  <c r="R53" i="16"/>
  <c r="R8" i="16" s="1"/>
  <c r="S8" i="16" s="1"/>
  <c r="Q53" i="16"/>
  <c r="P53" i="16"/>
  <c r="O53" i="16"/>
  <c r="N53" i="16"/>
  <c r="M53" i="16"/>
  <c r="L53" i="16"/>
  <c r="K53" i="16"/>
  <c r="K52" i="16" s="1"/>
  <c r="J53" i="16"/>
  <c r="J52" i="16" s="1"/>
  <c r="I53" i="16"/>
  <c r="H53" i="16"/>
  <c r="G53" i="16"/>
  <c r="G52" i="16" s="1"/>
  <c r="F53" i="16"/>
  <c r="F52" i="16" s="1"/>
  <c r="E53" i="16"/>
  <c r="D53" i="16"/>
  <c r="U52" i="16"/>
  <c r="T52" i="16"/>
  <c r="Q52" i="16"/>
  <c r="P52" i="16"/>
  <c r="O52" i="16"/>
  <c r="N52" i="16"/>
  <c r="M52" i="16"/>
  <c r="L52" i="16"/>
  <c r="I52" i="16"/>
  <c r="H52" i="16"/>
  <c r="E52" i="16"/>
  <c r="D52" i="16"/>
  <c r="T45" i="16"/>
  <c r="U45" i="16" s="1"/>
  <c r="R45" i="16"/>
  <c r="S45" i="16" s="1"/>
  <c r="P45" i="16"/>
  <c r="Q45" i="16" s="1"/>
  <c r="N45" i="16"/>
  <c r="O45" i="16" s="1"/>
  <c r="J45" i="16"/>
  <c r="K45" i="16" s="1"/>
  <c r="H45" i="16"/>
  <c r="I45" i="16" s="1"/>
  <c r="F45" i="16"/>
  <c r="D45" i="16"/>
  <c r="E45" i="16" s="1"/>
  <c r="T44" i="16"/>
  <c r="U44" i="16" s="1"/>
  <c r="R44" i="16"/>
  <c r="S44" i="16" s="1"/>
  <c r="P44" i="16"/>
  <c r="Q44" i="16" s="1"/>
  <c r="N44" i="16"/>
  <c r="O44" i="16" s="1"/>
  <c r="L44" i="16"/>
  <c r="M44" i="16" s="1"/>
  <c r="J44" i="16"/>
  <c r="K44" i="16" s="1"/>
  <c r="H44" i="16"/>
  <c r="I44" i="16" s="1"/>
  <c r="F44" i="16"/>
  <c r="D44" i="16"/>
  <c r="E44" i="16" s="1"/>
  <c r="T43" i="16"/>
  <c r="U43" i="16" s="1"/>
  <c r="R43" i="16"/>
  <c r="S43" i="16" s="1"/>
  <c r="P43" i="16"/>
  <c r="Q43" i="16" s="1"/>
  <c r="N43" i="16"/>
  <c r="O43" i="16" s="1"/>
  <c r="L43" i="16"/>
  <c r="M43" i="16" s="1"/>
  <c r="J43" i="16"/>
  <c r="K43" i="16" s="1"/>
  <c r="H43" i="16"/>
  <c r="I43" i="16" s="1"/>
  <c r="F43" i="16"/>
  <c r="D43" i="16"/>
  <c r="E43" i="16" s="1"/>
  <c r="T42" i="16"/>
  <c r="U42" i="16" s="1"/>
  <c r="R42" i="16"/>
  <c r="S42" i="16" s="1"/>
  <c r="P42" i="16"/>
  <c r="Q42" i="16" s="1"/>
  <c r="N42" i="16"/>
  <c r="O42" i="16" s="1"/>
  <c r="L42" i="16"/>
  <c r="M42" i="16" s="1"/>
  <c r="J42" i="16"/>
  <c r="K42" i="16" s="1"/>
  <c r="H42" i="16"/>
  <c r="I42" i="16" s="1"/>
  <c r="F42" i="16"/>
  <c r="D42" i="16"/>
  <c r="E42" i="16" s="1"/>
  <c r="R41" i="16"/>
  <c r="S41" i="16" s="1"/>
  <c r="P41" i="16"/>
  <c r="Q41" i="16" s="1"/>
  <c r="N41" i="16"/>
  <c r="O41" i="16" s="1"/>
  <c r="L41" i="16"/>
  <c r="M41" i="16" s="1"/>
  <c r="J41" i="16"/>
  <c r="K41" i="16" s="1"/>
  <c r="H41" i="16"/>
  <c r="I41" i="16" s="1"/>
  <c r="F41" i="16"/>
  <c r="E41" i="16"/>
  <c r="D41" i="16"/>
  <c r="R40" i="16"/>
  <c r="S40" i="16" s="1"/>
  <c r="P40" i="16"/>
  <c r="Q40" i="16" s="1"/>
  <c r="O40" i="16"/>
  <c r="N40" i="16"/>
  <c r="L40" i="16"/>
  <c r="M40" i="16" s="1"/>
  <c r="J40" i="16"/>
  <c r="K40" i="16" s="1"/>
  <c r="H40" i="16"/>
  <c r="I40" i="16" s="1"/>
  <c r="F40" i="16"/>
  <c r="D40" i="16"/>
  <c r="E40" i="16" s="1"/>
  <c r="R39" i="16"/>
  <c r="S39" i="16" s="1"/>
  <c r="P39" i="16"/>
  <c r="Q39" i="16" s="1"/>
  <c r="N39" i="16"/>
  <c r="O39" i="16" s="1"/>
  <c r="L39" i="16"/>
  <c r="M39" i="16" s="1"/>
  <c r="J39" i="16"/>
  <c r="K39" i="16" s="1"/>
  <c r="H39" i="16"/>
  <c r="I39" i="16" s="1"/>
  <c r="F39" i="16"/>
  <c r="D39" i="16"/>
  <c r="E39" i="16" s="1"/>
  <c r="T38" i="16"/>
  <c r="U38" i="16" s="1"/>
  <c r="R38" i="16"/>
  <c r="S38" i="16" s="1"/>
  <c r="P38" i="16"/>
  <c r="Q38" i="16" s="1"/>
  <c r="O38" i="16"/>
  <c r="N38" i="16"/>
  <c r="L38" i="16"/>
  <c r="M38" i="16" s="1"/>
  <c r="J38" i="16"/>
  <c r="K38" i="16" s="1"/>
  <c r="H38" i="16"/>
  <c r="I38" i="16" s="1"/>
  <c r="F38" i="16"/>
  <c r="D38" i="16"/>
  <c r="E38" i="16" s="1"/>
  <c r="T37" i="16"/>
  <c r="U37" i="16" s="1"/>
  <c r="R37" i="16"/>
  <c r="S37" i="16" s="1"/>
  <c r="P37" i="16"/>
  <c r="Q37" i="16" s="1"/>
  <c r="N37" i="16"/>
  <c r="O37" i="16" s="1"/>
  <c r="L37" i="16"/>
  <c r="M37" i="16" s="1"/>
  <c r="J37" i="16"/>
  <c r="K37" i="16" s="1"/>
  <c r="H37" i="16"/>
  <c r="I37" i="16" s="1"/>
  <c r="F37" i="16"/>
  <c r="D37" i="16"/>
  <c r="E37" i="16" s="1"/>
  <c r="S36" i="16"/>
  <c r="R36" i="16"/>
  <c r="P36" i="16"/>
  <c r="Q36" i="16" s="1"/>
  <c r="N36" i="16"/>
  <c r="O36" i="16" s="1"/>
  <c r="L36" i="16"/>
  <c r="M36" i="16" s="1"/>
  <c r="J36" i="16"/>
  <c r="K36" i="16" s="1"/>
  <c r="H36" i="16"/>
  <c r="I36" i="16" s="1"/>
  <c r="F36" i="16"/>
  <c r="D36" i="16"/>
  <c r="E36" i="16" s="1"/>
  <c r="R35" i="16"/>
  <c r="S35" i="16" s="1"/>
  <c r="P35" i="16"/>
  <c r="Q35" i="16" s="1"/>
  <c r="N35" i="16"/>
  <c r="O35" i="16" s="1"/>
  <c r="L35" i="16"/>
  <c r="M35" i="16" s="1"/>
  <c r="J35" i="16"/>
  <c r="K35" i="16" s="1"/>
  <c r="H35" i="16"/>
  <c r="I35" i="16" s="1"/>
  <c r="F35" i="16"/>
  <c r="D35" i="16"/>
  <c r="E35" i="16" s="1"/>
  <c r="R34" i="16"/>
  <c r="S34" i="16" s="1"/>
  <c r="P34" i="16"/>
  <c r="Q34" i="16" s="1"/>
  <c r="N34" i="16"/>
  <c r="O34" i="16" s="1"/>
  <c r="L34" i="16"/>
  <c r="M34" i="16" s="1"/>
  <c r="J34" i="16"/>
  <c r="K34" i="16" s="1"/>
  <c r="H34" i="16"/>
  <c r="I34" i="16" s="1"/>
  <c r="F34" i="16"/>
  <c r="D34" i="16"/>
  <c r="E34" i="16" s="1"/>
  <c r="R33" i="16"/>
  <c r="S33" i="16" s="1"/>
  <c r="P33" i="16"/>
  <c r="Q33" i="16" s="1"/>
  <c r="N33" i="16"/>
  <c r="O33" i="16" s="1"/>
  <c r="L33" i="16"/>
  <c r="M33" i="16" s="1"/>
  <c r="J33" i="16"/>
  <c r="K33" i="16" s="1"/>
  <c r="H33" i="16"/>
  <c r="I33" i="16" s="1"/>
  <c r="F33" i="16"/>
  <c r="D33" i="16"/>
  <c r="E33" i="16" s="1"/>
  <c r="R32" i="16"/>
  <c r="S32" i="16" s="1"/>
  <c r="P32" i="16"/>
  <c r="Q32" i="16" s="1"/>
  <c r="N32" i="16"/>
  <c r="O32" i="16" s="1"/>
  <c r="L32" i="16"/>
  <c r="M32" i="16" s="1"/>
  <c r="K32" i="16"/>
  <c r="J32" i="16"/>
  <c r="H32" i="16"/>
  <c r="I32" i="16" s="1"/>
  <c r="F32" i="16"/>
  <c r="D32" i="16"/>
  <c r="E32" i="16" s="1"/>
  <c r="P31" i="16"/>
  <c r="Q31" i="16" s="1"/>
  <c r="N31" i="16"/>
  <c r="O31" i="16" s="1"/>
  <c r="L31" i="16"/>
  <c r="M31" i="16" s="1"/>
  <c r="J31" i="16"/>
  <c r="K31" i="16" s="1"/>
  <c r="H31" i="16"/>
  <c r="I31" i="16" s="1"/>
  <c r="F31" i="16"/>
  <c r="D31" i="16"/>
  <c r="E31" i="16" s="1"/>
  <c r="T30" i="16"/>
  <c r="U30" i="16" s="1"/>
  <c r="R30" i="16"/>
  <c r="S30" i="16" s="1"/>
  <c r="P30" i="16"/>
  <c r="Q30" i="16" s="1"/>
  <c r="N30" i="16"/>
  <c r="O30" i="16" s="1"/>
  <c r="L30" i="16"/>
  <c r="M30" i="16" s="1"/>
  <c r="J30" i="16"/>
  <c r="K30" i="16" s="1"/>
  <c r="I30" i="16"/>
  <c r="H30" i="16"/>
  <c r="F30" i="16"/>
  <c r="D30" i="16"/>
  <c r="E30" i="16" s="1"/>
  <c r="R29" i="16"/>
  <c r="S29" i="16" s="1"/>
  <c r="P29" i="16"/>
  <c r="Q29" i="16" s="1"/>
  <c r="N29" i="16"/>
  <c r="O29" i="16" s="1"/>
  <c r="L29" i="16"/>
  <c r="M29" i="16" s="1"/>
  <c r="J29" i="16"/>
  <c r="K29" i="16" s="1"/>
  <c r="H29" i="16"/>
  <c r="I29" i="16" s="1"/>
  <c r="F29" i="16"/>
  <c r="D29" i="16"/>
  <c r="E29" i="16" s="1"/>
  <c r="R28" i="16"/>
  <c r="S28" i="16" s="1"/>
  <c r="P28" i="16"/>
  <c r="Q28" i="16" s="1"/>
  <c r="N28" i="16"/>
  <c r="O28" i="16" s="1"/>
  <c r="L28" i="16"/>
  <c r="M28" i="16" s="1"/>
  <c r="J28" i="16"/>
  <c r="K28" i="16" s="1"/>
  <c r="H28" i="16"/>
  <c r="I28" i="16" s="1"/>
  <c r="F28" i="16"/>
  <c r="D28" i="16"/>
  <c r="E28" i="16" s="1"/>
  <c r="R27" i="16"/>
  <c r="S27" i="16" s="1"/>
  <c r="P27" i="16"/>
  <c r="Q27" i="16" s="1"/>
  <c r="N27" i="16"/>
  <c r="O27" i="16" s="1"/>
  <c r="L27" i="16"/>
  <c r="M27" i="16" s="1"/>
  <c r="J27" i="16"/>
  <c r="K27" i="16" s="1"/>
  <c r="H27" i="16"/>
  <c r="I27" i="16" s="1"/>
  <c r="F27" i="16"/>
  <c r="D27" i="16"/>
  <c r="E27" i="16" s="1"/>
  <c r="T26" i="16"/>
  <c r="U26" i="16" s="1"/>
  <c r="R26" i="16"/>
  <c r="S26" i="16" s="1"/>
  <c r="P26" i="16"/>
  <c r="Q26" i="16" s="1"/>
  <c r="N26" i="16"/>
  <c r="O26" i="16" s="1"/>
  <c r="L26" i="16"/>
  <c r="M26" i="16" s="1"/>
  <c r="J26" i="16"/>
  <c r="K26" i="16" s="1"/>
  <c r="H26" i="16"/>
  <c r="I26" i="16" s="1"/>
  <c r="F26" i="16"/>
  <c r="D26" i="16"/>
  <c r="E26" i="16" s="1"/>
  <c r="R25" i="16"/>
  <c r="S25" i="16" s="1"/>
  <c r="P25" i="16"/>
  <c r="Q25" i="16" s="1"/>
  <c r="N25" i="16"/>
  <c r="O25" i="16" s="1"/>
  <c r="L25" i="16"/>
  <c r="M25" i="16" s="1"/>
  <c r="J25" i="16"/>
  <c r="K25" i="16" s="1"/>
  <c r="H25" i="16"/>
  <c r="I25" i="16" s="1"/>
  <c r="F25" i="16"/>
  <c r="D25" i="16"/>
  <c r="E25" i="16" s="1"/>
  <c r="R24" i="16"/>
  <c r="S24" i="16" s="1"/>
  <c r="P24" i="16"/>
  <c r="Q24" i="16" s="1"/>
  <c r="N24" i="16"/>
  <c r="O24" i="16" s="1"/>
  <c r="L24" i="16"/>
  <c r="M24" i="16" s="1"/>
  <c r="J24" i="16"/>
  <c r="K24" i="16" s="1"/>
  <c r="H24" i="16"/>
  <c r="I24" i="16" s="1"/>
  <c r="F24" i="16"/>
  <c r="D24" i="16"/>
  <c r="E24" i="16" s="1"/>
  <c r="T23" i="16"/>
  <c r="U23" i="16" s="1"/>
  <c r="R23" i="16"/>
  <c r="S23" i="16" s="1"/>
  <c r="P23" i="16"/>
  <c r="Q23" i="16" s="1"/>
  <c r="L23" i="16"/>
  <c r="M23" i="16" s="1"/>
  <c r="J23" i="16"/>
  <c r="K23" i="16" s="1"/>
  <c r="H23" i="16"/>
  <c r="I23" i="16" s="1"/>
  <c r="F23" i="16"/>
  <c r="D23" i="16"/>
  <c r="E23" i="16" s="1"/>
  <c r="T22" i="16"/>
  <c r="U22" i="16" s="1"/>
  <c r="R22" i="16"/>
  <c r="S22" i="16" s="1"/>
  <c r="P22" i="16"/>
  <c r="Q22" i="16" s="1"/>
  <c r="N22" i="16"/>
  <c r="O22" i="16" s="1"/>
  <c r="L22" i="16"/>
  <c r="M22" i="16" s="1"/>
  <c r="J22" i="16"/>
  <c r="K22" i="16" s="1"/>
  <c r="H22" i="16"/>
  <c r="I22" i="16" s="1"/>
  <c r="F22" i="16"/>
  <c r="D22" i="16"/>
  <c r="E22" i="16" s="1"/>
  <c r="T21" i="16"/>
  <c r="U21" i="16" s="1"/>
  <c r="R21" i="16"/>
  <c r="S21" i="16" s="1"/>
  <c r="P21" i="16"/>
  <c r="Q21" i="16" s="1"/>
  <c r="L21" i="16"/>
  <c r="M21" i="16" s="1"/>
  <c r="J21" i="16"/>
  <c r="K21" i="16" s="1"/>
  <c r="H21" i="16"/>
  <c r="I21" i="16" s="1"/>
  <c r="F21" i="16"/>
  <c r="D21" i="16"/>
  <c r="E21" i="16" s="1"/>
  <c r="T20" i="16"/>
  <c r="U20" i="16" s="1"/>
  <c r="R20" i="16"/>
  <c r="S20" i="16" s="1"/>
  <c r="P20" i="16"/>
  <c r="Q20" i="16" s="1"/>
  <c r="N20" i="16"/>
  <c r="O20" i="16" s="1"/>
  <c r="L20" i="16"/>
  <c r="M20" i="16" s="1"/>
  <c r="J20" i="16"/>
  <c r="K20" i="16" s="1"/>
  <c r="H20" i="16"/>
  <c r="I20" i="16" s="1"/>
  <c r="F20" i="16"/>
  <c r="D20" i="16"/>
  <c r="E20" i="16" s="1"/>
  <c r="T19" i="16"/>
  <c r="U19" i="16" s="1"/>
  <c r="R19" i="16"/>
  <c r="S19" i="16" s="1"/>
  <c r="P19" i="16"/>
  <c r="Q19" i="16" s="1"/>
  <c r="N19" i="16"/>
  <c r="O19" i="16" s="1"/>
  <c r="L19" i="16"/>
  <c r="M19" i="16" s="1"/>
  <c r="J19" i="16"/>
  <c r="K19" i="16" s="1"/>
  <c r="H19" i="16"/>
  <c r="I19" i="16" s="1"/>
  <c r="F19" i="16"/>
  <c r="D19" i="16"/>
  <c r="E19" i="16" s="1"/>
  <c r="G18" i="16"/>
  <c r="T17" i="16"/>
  <c r="U17" i="16" s="1"/>
  <c r="R17" i="16"/>
  <c r="S17" i="16" s="1"/>
  <c r="P17" i="16"/>
  <c r="Q17" i="16" s="1"/>
  <c r="N17" i="16"/>
  <c r="O17" i="16" s="1"/>
  <c r="L17" i="16"/>
  <c r="M17" i="16" s="1"/>
  <c r="J17" i="16"/>
  <c r="K17" i="16" s="1"/>
  <c r="H17" i="16"/>
  <c r="I17" i="16" s="1"/>
  <c r="F17" i="16"/>
  <c r="D17" i="16"/>
  <c r="E17" i="16" s="1"/>
  <c r="T16" i="16"/>
  <c r="U16" i="16" s="1"/>
  <c r="S16" i="16"/>
  <c r="R16" i="16"/>
  <c r="P16" i="16"/>
  <c r="Q16" i="16" s="1"/>
  <c r="N16" i="16"/>
  <c r="O16" i="16" s="1"/>
  <c r="L16" i="16"/>
  <c r="M16" i="16" s="1"/>
  <c r="J16" i="16"/>
  <c r="K16" i="16" s="1"/>
  <c r="I16" i="16"/>
  <c r="H16" i="16"/>
  <c r="F16" i="16"/>
  <c r="D16" i="16"/>
  <c r="E16" i="16" s="1"/>
  <c r="T15" i="16"/>
  <c r="U15" i="16" s="1"/>
  <c r="R15" i="16"/>
  <c r="S15" i="16" s="1"/>
  <c r="P15" i="16"/>
  <c r="Q15" i="16" s="1"/>
  <c r="N15" i="16"/>
  <c r="O15" i="16" s="1"/>
  <c r="L15" i="16"/>
  <c r="M15" i="16" s="1"/>
  <c r="J15" i="16"/>
  <c r="K15" i="16" s="1"/>
  <c r="H15" i="16"/>
  <c r="I15" i="16" s="1"/>
  <c r="F15" i="16"/>
  <c r="E15" i="16"/>
  <c r="D15" i="16"/>
  <c r="T14" i="16"/>
  <c r="U14" i="16" s="1"/>
  <c r="R14" i="16"/>
  <c r="S14" i="16" s="1"/>
  <c r="P14" i="16"/>
  <c r="Q14" i="16" s="1"/>
  <c r="N14" i="16"/>
  <c r="O14" i="16" s="1"/>
  <c r="L14" i="16"/>
  <c r="M14" i="16" s="1"/>
  <c r="J14" i="16"/>
  <c r="K14" i="16" s="1"/>
  <c r="H14" i="16"/>
  <c r="I14" i="16" s="1"/>
  <c r="F14" i="16"/>
  <c r="D14" i="16"/>
  <c r="E14" i="16" s="1"/>
  <c r="T13" i="16"/>
  <c r="U13" i="16" s="1"/>
  <c r="R13" i="16"/>
  <c r="S13" i="16" s="1"/>
  <c r="P13" i="16"/>
  <c r="Q13" i="16" s="1"/>
  <c r="N13" i="16"/>
  <c r="O13" i="16" s="1"/>
  <c r="L13" i="16"/>
  <c r="M13" i="16" s="1"/>
  <c r="H13" i="16"/>
  <c r="I13" i="16" s="1"/>
  <c r="F13" i="16"/>
  <c r="D13" i="16"/>
  <c r="E13" i="16" s="1"/>
  <c r="T12" i="16"/>
  <c r="U12" i="16" s="1"/>
  <c r="R12" i="16"/>
  <c r="S12" i="16" s="1"/>
  <c r="P12" i="16"/>
  <c r="Q12" i="16" s="1"/>
  <c r="N12" i="16"/>
  <c r="O12" i="16" s="1"/>
  <c r="L12" i="16"/>
  <c r="M12" i="16" s="1"/>
  <c r="J12" i="16"/>
  <c r="K12" i="16" s="1"/>
  <c r="H12" i="16"/>
  <c r="I12" i="16" s="1"/>
  <c r="F12" i="16"/>
  <c r="D12" i="16"/>
  <c r="E12" i="16" s="1"/>
  <c r="T11" i="16"/>
  <c r="U11" i="16" s="1"/>
  <c r="R11" i="16"/>
  <c r="S11" i="16" s="1"/>
  <c r="P11" i="16"/>
  <c r="Q11" i="16" s="1"/>
  <c r="N11" i="16"/>
  <c r="O11" i="16" s="1"/>
  <c r="L11" i="16"/>
  <c r="M11" i="16" s="1"/>
  <c r="J11" i="16"/>
  <c r="K11" i="16" s="1"/>
  <c r="H11" i="16"/>
  <c r="I11" i="16" s="1"/>
  <c r="F11" i="16"/>
  <c r="D11" i="16"/>
  <c r="E11" i="16" s="1"/>
  <c r="T10" i="16"/>
  <c r="U10" i="16" s="1"/>
  <c r="R10" i="16"/>
  <c r="S10" i="16" s="1"/>
  <c r="P10" i="16"/>
  <c r="Q10" i="16" s="1"/>
  <c r="O10" i="16"/>
  <c r="N10" i="16"/>
  <c r="L10" i="16"/>
  <c r="M10" i="16" s="1"/>
  <c r="J10" i="16"/>
  <c r="K10" i="16" s="1"/>
  <c r="H10" i="16"/>
  <c r="I10" i="16" s="1"/>
  <c r="F10" i="16"/>
  <c r="D10" i="16"/>
  <c r="E10" i="16" s="1"/>
  <c r="T9" i="16"/>
  <c r="U9" i="16" s="1"/>
  <c r="R9" i="16"/>
  <c r="S9" i="16" s="1"/>
  <c r="P9" i="16"/>
  <c r="Q9" i="16" s="1"/>
  <c r="N9" i="16"/>
  <c r="O9" i="16" s="1"/>
  <c r="L9" i="16"/>
  <c r="M9" i="16" s="1"/>
  <c r="J9" i="16"/>
  <c r="K9" i="16" s="1"/>
  <c r="H9" i="16"/>
  <c r="I9" i="16" s="1"/>
  <c r="F9" i="16"/>
  <c r="D9" i="16"/>
  <c r="E9" i="16" s="1"/>
  <c r="N8" i="16"/>
  <c r="O8" i="16" s="1"/>
  <c r="G7" i="16" l="1"/>
  <c r="G6" i="16" s="1"/>
  <c r="L8" i="16"/>
  <c r="M8" i="16" s="1"/>
  <c r="F7" i="16"/>
  <c r="J18" i="16"/>
  <c r="K18" i="16" s="1"/>
  <c r="D18" i="16"/>
  <c r="E18" i="16" s="1"/>
  <c r="N7" i="16"/>
  <c r="J142" i="16"/>
  <c r="F18" i="16"/>
  <c r="L547" i="16"/>
  <c r="L18" i="16"/>
  <c r="M18" i="16" s="1"/>
  <c r="R31" i="16"/>
  <c r="S31" i="16" s="1"/>
  <c r="N23" i="16"/>
  <c r="O23" i="16" s="1"/>
  <c r="T25" i="16"/>
  <c r="U25" i="16" s="1"/>
  <c r="N21" i="16"/>
  <c r="O21" i="16" s="1"/>
  <c r="T31" i="16"/>
  <c r="U31" i="16" s="1"/>
  <c r="T36" i="16"/>
  <c r="U36" i="16" s="1"/>
  <c r="T32" i="16"/>
  <c r="U32" i="16" s="1"/>
  <c r="T35" i="16"/>
  <c r="U35" i="16" s="1"/>
  <c r="T39" i="16"/>
  <c r="U39" i="16" s="1"/>
  <c r="T33" i="16"/>
  <c r="U33" i="16" s="1"/>
  <c r="T28" i="16"/>
  <c r="U28" i="16" s="1"/>
  <c r="T27" i="16"/>
  <c r="U27" i="16" s="1"/>
  <c r="T34" i="16"/>
  <c r="U34" i="16" s="1"/>
  <c r="T648" i="16"/>
  <c r="T41" i="16"/>
  <c r="U41" i="16" s="1"/>
  <c r="T40" i="16"/>
  <c r="U40" i="16" s="1"/>
  <c r="T873" i="16"/>
  <c r="J13" i="16"/>
  <c r="K13" i="16" s="1"/>
  <c r="N693" i="16"/>
  <c r="N18" i="16" s="1"/>
  <c r="T783" i="16"/>
  <c r="T693" i="16"/>
  <c r="O7" i="16"/>
  <c r="J7" i="16"/>
  <c r="D7" i="16"/>
  <c r="T7" i="16"/>
  <c r="P7" i="16"/>
  <c r="Q7" i="16" s="1"/>
  <c r="D8" i="16"/>
  <c r="E8" i="16" s="1"/>
  <c r="H7" i="16"/>
  <c r="I7" i="16" s="1"/>
  <c r="T558" i="16"/>
  <c r="T738" i="16"/>
  <c r="F8" i="16"/>
  <c r="H8" i="16"/>
  <c r="I8" i="16" s="1"/>
  <c r="J8" i="16"/>
  <c r="K8" i="16" s="1"/>
  <c r="T8" i="16"/>
  <c r="U8" i="16" s="1"/>
  <c r="P8" i="16"/>
  <c r="Q8" i="16" s="1"/>
  <c r="T24" i="16"/>
  <c r="U24" i="16" s="1"/>
  <c r="R52" i="16"/>
  <c r="R7" i="16" s="1"/>
  <c r="S7" i="16" s="1"/>
  <c r="L142" i="16"/>
  <c r="L7" i="16" s="1"/>
  <c r="T603" i="16"/>
  <c r="T828" i="16"/>
  <c r="P18" i="16"/>
  <c r="Q18" i="16" s="1"/>
  <c r="H6" i="16"/>
  <c r="I6" i="16" s="1"/>
  <c r="V648" i="16"/>
  <c r="X648" i="16" s="1"/>
  <c r="R18" i="16"/>
  <c r="S18" i="16" s="1"/>
  <c r="E19" i="17"/>
  <c r="M7" i="89"/>
  <c r="N7" i="89"/>
  <c r="O7" i="89"/>
  <c r="P7" i="89"/>
  <c r="Q7" i="89"/>
  <c r="R7" i="89"/>
  <c r="M8" i="89"/>
  <c r="N8" i="89"/>
  <c r="O8" i="89"/>
  <c r="P8" i="89"/>
  <c r="Q8" i="89"/>
  <c r="R8" i="89"/>
  <c r="N9" i="89"/>
  <c r="O9" i="89"/>
  <c r="P9" i="89"/>
  <c r="Q9" i="89"/>
  <c r="R9" i="89"/>
  <c r="M10" i="89"/>
  <c r="N10" i="89"/>
  <c r="O10" i="89"/>
  <c r="P10" i="89"/>
  <c r="Q10" i="89"/>
  <c r="R10" i="89"/>
  <c r="M11" i="89"/>
  <c r="N11" i="89"/>
  <c r="O11" i="89"/>
  <c r="P11" i="89"/>
  <c r="Q11" i="89"/>
  <c r="R11" i="89"/>
  <c r="M12" i="89"/>
  <c r="N12" i="89"/>
  <c r="O12" i="89"/>
  <c r="P12" i="89"/>
  <c r="Q12" i="89"/>
  <c r="R12" i="89"/>
  <c r="M13" i="89"/>
  <c r="N13" i="89"/>
  <c r="O13" i="89"/>
  <c r="P13" i="89"/>
  <c r="Q13" i="89"/>
  <c r="R13" i="89"/>
  <c r="M14" i="89"/>
  <c r="N14" i="89"/>
  <c r="O14" i="89"/>
  <c r="P14" i="89"/>
  <c r="Q14" i="89"/>
  <c r="R14" i="89"/>
  <c r="M15" i="89"/>
  <c r="N15" i="89"/>
  <c r="O15" i="89"/>
  <c r="P15" i="89"/>
  <c r="Q15" i="89"/>
  <c r="R15" i="89"/>
  <c r="M16" i="89"/>
  <c r="N16" i="89"/>
  <c r="O16" i="89"/>
  <c r="P16" i="89"/>
  <c r="Q16" i="89"/>
  <c r="R16" i="89"/>
  <c r="N17" i="89"/>
  <c r="O17" i="89"/>
  <c r="P17" i="89"/>
  <c r="Q17" i="89"/>
  <c r="R17" i="89"/>
  <c r="M18" i="89"/>
  <c r="N18" i="89"/>
  <c r="O18" i="89"/>
  <c r="P18" i="89"/>
  <c r="Q18" i="89"/>
  <c r="R18" i="89"/>
  <c r="M19" i="89"/>
  <c r="N19" i="89"/>
  <c r="O19" i="89"/>
  <c r="P19" i="89"/>
  <c r="Q19" i="89"/>
  <c r="R19" i="89"/>
  <c r="M20" i="89"/>
  <c r="N20" i="89"/>
  <c r="O20" i="89"/>
  <c r="P20" i="89"/>
  <c r="Q20" i="89"/>
  <c r="R20" i="89"/>
  <c r="M21" i="89"/>
  <c r="N21" i="89"/>
  <c r="O21" i="89"/>
  <c r="P21" i="89"/>
  <c r="Q21" i="89"/>
  <c r="R21" i="89"/>
  <c r="M22" i="89"/>
  <c r="N22" i="89"/>
  <c r="O22" i="89"/>
  <c r="P22" i="89"/>
  <c r="Q22" i="89"/>
  <c r="R22" i="89"/>
  <c r="M23" i="89"/>
  <c r="N23" i="89"/>
  <c r="O23" i="89"/>
  <c r="P23" i="89"/>
  <c r="Q23" i="89"/>
  <c r="R23" i="89"/>
  <c r="X24" i="89"/>
  <c r="Y24" i="89"/>
  <c r="F6" i="16" l="1"/>
  <c r="O18" i="16"/>
  <c r="N6" i="16"/>
  <c r="O6" i="16" s="1"/>
  <c r="T18" i="16"/>
  <c r="U18" i="16" s="1"/>
  <c r="N24" i="89"/>
  <c r="R24" i="89"/>
  <c r="M7" i="16"/>
  <c r="L6" i="16"/>
  <c r="M6" i="16" s="1"/>
  <c r="U7" i="16"/>
  <c r="E7" i="16"/>
  <c r="D6" i="16"/>
  <c r="E6" i="16" s="1"/>
  <c r="R6" i="16"/>
  <c r="S6" i="16" s="1"/>
  <c r="K7" i="16"/>
  <c r="J6" i="16"/>
  <c r="K6" i="16" s="1"/>
  <c r="P6" i="16"/>
  <c r="Q6" i="16" s="1"/>
  <c r="P24" i="89"/>
  <c r="Q24" i="89"/>
  <c r="O24" i="89"/>
  <c r="B28" i="52"/>
  <c r="G23" i="52"/>
  <c r="G7" i="52"/>
  <c r="G8" i="52"/>
  <c r="G9" i="52"/>
  <c r="G10" i="52"/>
  <c r="G11" i="52"/>
  <c r="G12" i="52"/>
  <c r="G13" i="52"/>
  <c r="G14" i="52"/>
  <c r="G15" i="52"/>
  <c r="G16" i="52"/>
  <c r="G17" i="52"/>
  <c r="G19" i="52"/>
  <c r="G20" i="52"/>
  <c r="G21" i="52"/>
  <c r="G22" i="52"/>
  <c r="G24" i="52"/>
  <c r="G25" i="52"/>
  <c r="G26" i="52"/>
  <c r="E18" i="52"/>
  <c r="F18" i="52"/>
  <c r="D18" i="52"/>
  <c r="G18" i="52" s="1"/>
  <c r="E6" i="52"/>
  <c r="F6" i="52"/>
  <c r="D6" i="52"/>
  <c r="G6" i="52" s="1"/>
  <c r="D30" i="52" l="1"/>
  <c r="D29" i="52" s="1"/>
  <c r="F5" i="52"/>
  <c r="T6" i="16"/>
  <c r="W6" i="16" s="1"/>
  <c r="E5" i="52"/>
  <c r="D5" i="52"/>
  <c r="U6" i="16" l="1"/>
  <c r="G5" i="52"/>
  <c r="F28" i="52"/>
  <c r="G23" i="67" l="1"/>
  <c r="G22" i="67"/>
  <c r="G21" i="67"/>
  <c r="G20" i="67"/>
  <c r="G19" i="67"/>
  <c r="G18" i="67"/>
  <c r="G17" i="67"/>
  <c r="G16" i="67"/>
  <c r="G15" i="67"/>
  <c r="G14" i="67"/>
  <c r="G13" i="67"/>
  <c r="G12" i="67"/>
  <c r="G11" i="67"/>
  <c r="G10" i="67"/>
  <c r="G9" i="67"/>
  <c r="G8" i="67"/>
  <c r="G7" i="67"/>
  <c r="G24" i="67" l="1"/>
  <c r="D27" i="87"/>
  <c r="D25" i="90" l="1"/>
  <c r="C25" i="90"/>
  <c r="I59" i="87" l="1"/>
  <c r="J59" i="87"/>
  <c r="BD14" i="87"/>
  <c r="BD16" i="87"/>
  <c r="BD8" i="87" s="1"/>
  <c r="N59" i="87"/>
  <c r="P59" i="87"/>
  <c r="BD21" i="87"/>
  <c r="BD27" i="87"/>
  <c r="AH59" i="87"/>
  <c r="AG59" i="87"/>
  <c r="BD44" i="87"/>
  <c r="AP59" i="87"/>
  <c r="BD46" i="87"/>
  <c r="AT59" i="87"/>
  <c r="AU59" i="87"/>
  <c r="AY59" i="87"/>
  <c r="BD55" i="87"/>
  <c r="BD56" i="87"/>
  <c r="BC59" i="87"/>
  <c r="H59" i="87"/>
  <c r="G59" i="87"/>
  <c r="F59" i="87" s="1"/>
  <c r="E59" i="87" s="1"/>
  <c r="Z59" i="87" l="1"/>
  <c r="Q59" i="87" s="1"/>
  <c r="D59" i="87" s="1"/>
  <c r="M17" i="89"/>
  <c r="F23" i="67" l="1"/>
  <c r="F22" i="67"/>
  <c r="F21" i="67"/>
  <c r="F20" i="67"/>
  <c r="F19" i="67"/>
  <c r="F18" i="67"/>
  <c r="F17" i="67"/>
  <c r="F16" i="67"/>
  <c r="F15" i="67"/>
  <c r="F14" i="67"/>
  <c r="F13" i="67"/>
  <c r="F12" i="67"/>
  <c r="F11" i="67"/>
  <c r="F10" i="67"/>
  <c r="F9" i="67"/>
  <c r="F8" i="67"/>
  <c r="F7" i="67"/>
  <c r="E23" i="67"/>
  <c r="E22" i="67"/>
  <c r="E21" i="67"/>
  <c r="E20" i="67"/>
  <c r="E19" i="67"/>
  <c r="E18" i="67"/>
  <c r="E17" i="67"/>
  <c r="E16" i="67"/>
  <c r="E15" i="67"/>
  <c r="E14" i="67"/>
  <c r="E13" i="67"/>
  <c r="E12" i="67"/>
  <c r="E11" i="67"/>
  <c r="E10" i="67"/>
  <c r="E9" i="67"/>
  <c r="E8" i="67"/>
  <c r="E7" i="67"/>
  <c r="G23" i="62"/>
  <c r="G22" i="62"/>
  <c r="G21" i="62"/>
  <c r="G20" i="62"/>
  <c r="G19" i="62"/>
  <c r="G18" i="62"/>
  <c r="G17" i="62"/>
  <c r="G16" i="62"/>
  <c r="G15" i="62"/>
  <c r="G14" i="62"/>
  <c r="G13" i="62"/>
  <c r="G12" i="62"/>
  <c r="G11" i="62"/>
  <c r="G10" i="62"/>
  <c r="G9" i="62"/>
  <c r="G8" i="62"/>
  <c r="G7" i="62"/>
  <c r="F23" i="62"/>
  <c r="F22" i="62"/>
  <c r="F21" i="62"/>
  <c r="F20" i="62"/>
  <c r="F19" i="62"/>
  <c r="F18" i="62"/>
  <c r="F17" i="62"/>
  <c r="F16" i="62"/>
  <c r="F15" i="62"/>
  <c r="F14" i="62"/>
  <c r="F13" i="62"/>
  <c r="F12" i="62"/>
  <c r="F11" i="62"/>
  <c r="F10" i="62"/>
  <c r="F9" i="62"/>
  <c r="F8" i="62"/>
  <c r="F7" i="62"/>
  <c r="E23" i="62"/>
  <c r="E22" i="62"/>
  <c r="E21" i="62"/>
  <c r="E20" i="62"/>
  <c r="E19" i="62"/>
  <c r="E18" i="62"/>
  <c r="E17" i="62"/>
  <c r="E16" i="62"/>
  <c r="E15" i="62"/>
  <c r="E14" i="62"/>
  <c r="E13" i="62"/>
  <c r="E12" i="62"/>
  <c r="E11" i="62"/>
  <c r="E10" i="62"/>
  <c r="E9" i="62"/>
  <c r="E8" i="62"/>
  <c r="E7" i="62"/>
  <c r="M24" i="67"/>
  <c r="L24" i="67"/>
  <c r="L24" i="68"/>
  <c r="K24" i="68"/>
  <c r="M24" i="62"/>
  <c r="L24" i="62"/>
  <c r="E23" i="56"/>
  <c r="F22" i="77"/>
  <c r="F23" i="79"/>
  <c r="G23" i="73"/>
  <c r="G22" i="73"/>
  <c r="G21" i="73"/>
  <c r="G20" i="73"/>
  <c r="G19" i="73"/>
  <c r="G18" i="73"/>
  <c r="G17" i="73"/>
  <c r="G16" i="73"/>
  <c r="G15" i="73"/>
  <c r="G14" i="73"/>
  <c r="G13" i="73"/>
  <c r="G12" i="73"/>
  <c r="G11" i="73"/>
  <c r="G10" i="73"/>
  <c r="G9" i="73"/>
  <c r="G8" i="73"/>
  <c r="G7" i="73"/>
  <c r="E23" i="73"/>
  <c r="E22" i="73"/>
  <c r="E21" i="73"/>
  <c r="E20" i="73"/>
  <c r="E19" i="73"/>
  <c r="E18" i="73"/>
  <c r="E17" i="73"/>
  <c r="E16" i="73"/>
  <c r="E15" i="73"/>
  <c r="E14" i="73"/>
  <c r="E13" i="73"/>
  <c r="E12" i="73"/>
  <c r="E11" i="73"/>
  <c r="E10" i="73"/>
  <c r="E9" i="73"/>
  <c r="E8" i="73"/>
  <c r="E7" i="73"/>
  <c r="E16" i="71" l="1"/>
  <c r="G24" i="73"/>
  <c r="E24" i="73"/>
  <c r="F24" i="67"/>
  <c r="G24" i="62"/>
  <c r="F27" i="50"/>
  <c r="G16" i="71"/>
  <c r="E24" i="56"/>
  <c r="F24" i="64"/>
  <c r="F24" i="79"/>
  <c r="E24" i="62"/>
  <c r="F24" i="62"/>
  <c r="E24" i="67"/>
  <c r="G6" i="74"/>
  <c r="F6" i="74"/>
  <c r="E6" i="74"/>
  <c r="G22" i="75"/>
  <c r="G21" i="75"/>
  <c r="G20" i="75"/>
  <c r="G19" i="75"/>
  <c r="G18" i="75"/>
  <c r="G17" i="75"/>
  <c r="G16" i="75"/>
  <c r="G15" i="75"/>
  <c r="G14" i="75"/>
  <c r="G13" i="75"/>
  <c r="G12" i="75"/>
  <c r="G11" i="75"/>
  <c r="G10" i="75"/>
  <c r="G9" i="75"/>
  <c r="G8" i="75"/>
  <c r="G7" i="75"/>
  <c r="G6" i="75"/>
  <c r="F22" i="75"/>
  <c r="F21" i="75"/>
  <c r="F20" i="75"/>
  <c r="F19" i="75"/>
  <c r="F18" i="75"/>
  <c r="F17" i="75"/>
  <c r="F16" i="75"/>
  <c r="F15" i="75"/>
  <c r="F14" i="75"/>
  <c r="F13" i="75"/>
  <c r="F12" i="75"/>
  <c r="F11" i="75"/>
  <c r="F10" i="75"/>
  <c r="F9" i="75"/>
  <c r="F8" i="75"/>
  <c r="F7" i="75"/>
  <c r="F6" i="75"/>
  <c r="E22" i="75"/>
  <c r="E21" i="75"/>
  <c r="E20" i="75"/>
  <c r="E19" i="75"/>
  <c r="E18" i="75"/>
  <c r="E17" i="75"/>
  <c r="E16" i="75"/>
  <c r="E15" i="75"/>
  <c r="E14" i="75"/>
  <c r="E13" i="75"/>
  <c r="E12" i="75"/>
  <c r="E11" i="75"/>
  <c r="E10" i="75"/>
  <c r="E9" i="75"/>
  <c r="E8" i="75"/>
  <c r="E7" i="75"/>
  <c r="E6" i="75"/>
  <c r="M23" i="70"/>
  <c r="L23" i="70"/>
  <c r="M25" i="66"/>
  <c r="M24" i="66"/>
  <c r="M23" i="66"/>
  <c r="M22" i="66"/>
  <c r="M21" i="66"/>
  <c r="M20" i="66"/>
  <c r="M19" i="66"/>
  <c r="M18" i="66"/>
  <c r="M17" i="66"/>
  <c r="M16" i="66"/>
  <c r="M15" i="66"/>
  <c r="M14" i="66"/>
  <c r="M13" i="66"/>
  <c r="M12" i="66"/>
  <c r="M11" i="66"/>
  <c r="M10" i="66"/>
  <c r="M9" i="66"/>
  <c r="M8" i="66"/>
  <c r="M7" i="66"/>
  <c r="L25" i="66"/>
  <c r="L24" i="66"/>
  <c r="L23" i="66"/>
  <c r="L22" i="66"/>
  <c r="L21" i="66"/>
  <c r="L20" i="66"/>
  <c r="L19" i="66"/>
  <c r="L18" i="66"/>
  <c r="L17" i="66"/>
  <c r="L16" i="66"/>
  <c r="L15" i="66"/>
  <c r="L14" i="66"/>
  <c r="L13" i="66"/>
  <c r="L12" i="66"/>
  <c r="L11" i="66"/>
  <c r="L10" i="66"/>
  <c r="L9" i="66"/>
  <c r="L8" i="66"/>
  <c r="L7" i="66"/>
  <c r="K25" i="66"/>
  <c r="K24" i="66"/>
  <c r="K23" i="66"/>
  <c r="K22" i="66"/>
  <c r="K21" i="66"/>
  <c r="K20" i="66"/>
  <c r="K19" i="66"/>
  <c r="K18" i="66"/>
  <c r="K17" i="66"/>
  <c r="K16" i="66"/>
  <c r="K15" i="66"/>
  <c r="K14" i="66"/>
  <c r="K13" i="66"/>
  <c r="K12" i="66"/>
  <c r="K11" i="66"/>
  <c r="K10" i="66"/>
  <c r="K9" i="66"/>
  <c r="K8" i="66"/>
  <c r="K7" i="66"/>
  <c r="I25" i="66"/>
  <c r="I24" i="66"/>
  <c r="I23" i="66"/>
  <c r="I22" i="66"/>
  <c r="I21" i="66"/>
  <c r="I20" i="66"/>
  <c r="I19" i="66"/>
  <c r="I18" i="66"/>
  <c r="I17" i="66"/>
  <c r="I16" i="66"/>
  <c r="I15" i="66"/>
  <c r="I14" i="66"/>
  <c r="I13" i="66"/>
  <c r="I12" i="66"/>
  <c r="I11" i="66"/>
  <c r="I10" i="66"/>
  <c r="I9" i="66"/>
  <c r="I8" i="66"/>
  <c r="I7" i="66"/>
  <c r="F25" i="66"/>
  <c r="F24" i="66"/>
  <c r="F23" i="66"/>
  <c r="F22" i="66"/>
  <c r="F21" i="66"/>
  <c r="F20" i="66"/>
  <c r="F19" i="66"/>
  <c r="F18" i="66"/>
  <c r="F17" i="66"/>
  <c r="F16" i="66"/>
  <c r="F15" i="66"/>
  <c r="F14" i="66"/>
  <c r="F13" i="66"/>
  <c r="F12" i="66"/>
  <c r="F11" i="66"/>
  <c r="F10" i="66"/>
  <c r="F9" i="66"/>
  <c r="F8" i="66"/>
  <c r="F7" i="66"/>
  <c r="F23" i="74" l="1"/>
  <c r="G23" i="65"/>
  <c r="G23" i="74"/>
  <c r="I26" i="66"/>
  <c r="E23" i="74"/>
  <c r="L26" i="66"/>
  <c r="E23" i="76"/>
  <c r="E23" i="75"/>
  <c r="M26" i="66"/>
  <c r="F23" i="76"/>
  <c r="F23" i="65"/>
  <c r="F23" i="75"/>
  <c r="F23" i="70"/>
  <c r="G23" i="76"/>
  <c r="K26" i="66"/>
  <c r="G24" i="60"/>
  <c r="G23" i="60"/>
  <c r="E24" i="60"/>
  <c r="E23" i="60"/>
  <c r="F24" i="59" l="1"/>
  <c r="E25" i="60"/>
  <c r="E24" i="59"/>
  <c r="G25" i="60"/>
  <c r="F24" i="61" l="1"/>
  <c r="N24" i="57"/>
  <c r="M24" i="57"/>
  <c r="BE11" i="87" l="1"/>
  <c r="G58" i="87"/>
  <c r="N9" i="87"/>
  <c r="H58" i="88"/>
  <c r="I58" i="88"/>
  <c r="J58" i="88"/>
  <c r="G58" i="88"/>
  <c r="O59" i="88"/>
  <c r="P59" i="88"/>
  <c r="R59" i="88"/>
  <c r="S59" i="88"/>
  <c r="T59" i="88"/>
  <c r="U59" i="88"/>
  <c r="V59" i="88"/>
  <c r="W59" i="88"/>
  <c r="X59" i="88"/>
  <c r="Y59" i="88"/>
  <c r="Z59" i="88"/>
  <c r="AA59" i="88"/>
  <c r="AB59" i="88"/>
  <c r="AC59" i="88"/>
  <c r="AD59" i="88"/>
  <c r="AE59" i="88"/>
  <c r="AF59" i="88"/>
  <c r="AG59" i="88"/>
  <c r="AH59" i="88"/>
  <c r="AI59" i="88"/>
  <c r="AJ59" i="88"/>
  <c r="AK59" i="88"/>
  <c r="AL59" i="88"/>
  <c r="AM59" i="88"/>
  <c r="AN59" i="88"/>
  <c r="AO59" i="88"/>
  <c r="AP59" i="88"/>
  <c r="AQ59" i="88"/>
  <c r="AR59" i="88"/>
  <c r="AS59" i="88"/>
  <c r="AT59" i="88"/>
  <c r="AU59" i="88"/>
  <c r="AV59" i="88"/>
  <c r="AW59" i="88"/>
  <c r="AX59" i="88"/>
  <c r="AY59" i="88"/>
  <c r="AZ59" i="88"/>
  <c r="BA59" i="88"/>
  <c r="BB59" i="88"/>
  <c r="BC59" i="88"/>
  <c r="G59" i="88"/>
  <c r="H59" i="88"/>
  <c r="I59" i="88"/>
  <c r="J59" i="88"/>
  <c r="K59" i="88"/>
  <c r="L59" i="88"/>
  <c r="M59" i="88"/>
  <c r="N59" i="88"/>
  <c r="BC21" i="88"/>
  <c r="BC22" i="88"/>
  <c r="BC23" i="88"/>
  <c r="BC24" i="88"/>
  <c r="BC25" i="88"/>
  <c r="BC26" i="88"/>
  <c r="BC27" i="88"/>
  <c r="BC28" i="88"/>
  <c r="BC30" i="88"/>
  <c r="BC31" i="88"/>
  <c r="BC32" i="88"/>
  <c r="BC33" i="88"/>
  <c r="BC34" i="88"/>
  <c r="BC35" i="88"/>
  <c r="BC36" i="88"/>
  <c r="BC37" i="88"/>
  <c r="BC38" i="88"/>
  <c r="BC39" i="88"/>
  <c r="BC40" i="88"/>
  <c r="BC41" i="88"/>
  <c r="BC42" i="88"/>
  <c r="BC43" i="88"/>
  <c r="BC44" i="88"/>
  <c r="BC45" i="88"/>
  <c r="BC46" i="88"/>
  <c r="BC47" i="88"/>
  <c r="BC48" i="88"/>
  <c r="BC49" i="88"/>
  <c r="BC50" i="88"/>
  <c r="BC51" i="88"/>
  <c r="BC52" i="88"/>
  <c r="BC53" i="88"/>
  <c r="BC54" i="88"/>
  <c r="BC55" i="88"/>
  <c r="BC56" i="88"/>
  <c r="BC57" i="88"/>
  <c r="BC14" i="88"/>
  <c r="BC15" i="88"/>
  <c r="BC17" i="88"/>
  <c r="BC18" i="88"/>
  <c r="BC19" i="88"/>
  <c r="BC10" i="88"/>
  <c r="BC11" i="88"/>
  <c r="BC12" i="88"/>
  <c r="BC13" i="88"/>
  <c r="BD58" i="88"/>
  <c r="BD22" i="88"/>
  <c r="BD23" i="88"/>
  <c r="BD24" i="88"/>
  <c r="BD25" i="88"/>
  <c r="BD26" i="88"/>
  <c r="BD27" i="88"/>
  <c r="BD28" i="88"/>
  <c r="BD29" i="88"/>
  <c r="BD30" i="88"/>
  <c r="BD31" i="88"/>
  <c r="BD32" i="88"/>
  <c r="BD33" i="88"/>
  <c r="BD34" i="88"/>
  <c r="BD35" i="88"/>
  <c r="BD36" i="88"/>
  <c r="BD37" i="88"/>
  <c r="BD38" i="88"/>
  <c r="BD39" i="88"/>
  <c r="BD40" i="88"/>
  <c r="BD42" i="88"/>
  <c r="BD43" i="88"/>
  <c r="BD44" i="88"/>
  <c r="BD45" i="88"/>
  <c r="BD46" i="88"/>
  <c r="BD47" i="88"/>
  <c r="BD48" i="88"/>
  <c r="BD49" i="88"/>
  <c r="BD50" i="88"/>
  <c r="BD51" i="88"/>
  <c r="BD52" i="88"/>
  <c r="BD53" i="88"/>
  <c r="BD54" i="88"/>
  <c r="BD55" i="88"/>
  <c r="BD56" i="88"/>
  <c r="BD57" i="88"/>
  <c r="BD21" i="88"/>
  <c r="BD9" i="88"/>
  <c r="BD12" i="88"/>
  <c r="BD13" i="88"/>
  <c r="BD14" i="88"/>
  <c r="BD15" i="88"/>
  <c r="BD16" i="88"/>
  <c r="BD17" i="88"/>
  <c r="BD18" i="88"/>
  <c r="BD19" i="88"/>
  <c r="BJ4" i="87" l="1"/>
  <c r="BD10" i="88"/>
  <c r="BD11" i="88"/>
  <c r="Z12" i="87" l="1"/>
  <c r="Z11" i="87"/>
  <c r="Q11" i="87" s="1"/>
  <c r="Z13" i="87"/>
  <c r="Z14" i="87"/>
  <c r="Q14" i="87" s="1"/>
  <c r="Z15" i="87"/>
  <c r="Q15" i="87" s="1"/>
  <c r="Z16" i="87"/>
  <c r="Q16" i="87" s="1"/>
  <c r="Z17" i="87"/>
  <c r="Z18" i="87"/>
  <c r="Q18" i="87" s="1"/>
  <c r="Z19" i="87"/>
  <c r="Q19" i="87" s="1"/>
  <c r="Z44" i="87"/>
  <c r="R9" i="87"/>
  <c r="S9" i="87"/>
  <c r="T9" i="87"/>
  <c r="U9" i="87"/>
  <c r="V9" i="87"/>
  <c r="W9" i="87"/>
  <c r="X9" i="87"/>
  <c r="Y9" i="87"/>
  <c r="AM9" i="87"/>
  <c r="AN9" i="87"/>
  <c r="AO9" i="87"/>
  <c r="AP9" i="87"/>
  <c r="AQ9" i="87"/>
  <c r="AR9" i="87"/>
  <c r="AS9" i="87"/>
  <c r="AT9" i="87"/>
  <c r="AU9" i="87"/>
  <c r="AV9" i="87"/>
  <c r="AW9" i="87"/>
  <c r="AX9" i="87"/>
  <c r="AY9" i="87"/>
  <c r="AZ9" i="87"/>
  <c r="BA9" i="87"/>
  <c r="BB9" i="87"/>
  <c r="BC9" i="87"/>
  <c r="AA9" i="87"/>
  <c r="AB9" i="87"/>
  <c r="AC9" i="87"/>
  <c r="AD9" i="87"/>
  <c r="AE9" i="87"/>
  <c r="AF9" i="87"/>
  <c r="AI9" i="87"/>
  <c r="AJ9" i="87"/>
  <c r="AK9" i="87"/>
  <c r="L29" i="88"/>
  <c r="AX29" i="87"/>
  <c r="AY29" i="87"/>
  <c r="AZ29" i="87"/>
  <c r="BA29" i="87"/>
  <c r="BB29" i="87"/>
  <c r="BC29" i="87"/>
  <c r="D58" i="88"/>
  <c r="D46" i="88"/>
  <c r="BH36" i="88"/>
  <c r="D29" i="88"/>
  <c r="D23" i="88"/>
  <c r="D8" i="88"/>
  <c r="AG10" i="87"/>
  <c r="BH36" i="87"/>
  <c r="AL9" i="87"/>
  <c r="AW10" i="87"/>
  <c r="Z58" i="87"/>
  <c r="Z34" i="87"/>
  <c r="Z35" i="87"/>
  <c r="Z41" i="87"/>
  <c r="Z42" i="87"/>
  <c r="Z43" i="87"/>
  <c r="Z45" i="87"/>
  <c r="Z46" i="87"/>
  <c r="Z47" i="87"/>
  <c r="Z48" i="87"/>
  <c r="Z49" i="87"/>
  <c r="Z50" i="87"/>
  <c r="Z51" i="87"/>
  <c r="Z52" i="87"/>
  <c r="Z53" i="87"/>
  <c r="Z54" i="87"/>
  <c r="Z55" i="87"/>
  <c r="Z56" i="87"/>
  <c r="Z57" i="87"/>
  <c r="Z22" i="87"/>
  <c r="Z23" i="87"/>
  <c r="Z24" i="87"/>
  <c r="Z25" i="87"/>
  <c r="Z26" i="87"/>
  <c r="Z27" i="87"/>
  <c r="Z28" i="87"/>
  <c r="Z21" i="87"/>
  <c r="AW29" i="87"/>
  <c r="D20" i="88" l="1"/>
  <c r="D7" i="88" s="1"/>
  <c r="D63" i="88" s="1"/>
  <c r="BC9" i="88"/>
  <c r="BC20" i="87"/>
  <c r="BC20" i="88" s="1"/>
  <c r="BC29" i="88"/>
  <c r="AG9" i="87"/>
  <c r="D23" i="87"/>
  <c r="D29" i="87"/>
  <c r="AH10" i="87"/>
  <c r="F58" i="87"/>
  <c r="F58" i="88" s="1"/>
  <c r="F44" i="87"/>
  <c r="F45" i="87"/>
  <c r="E45" i="87" s="1"/>
  <c r="F46" i="87"/>
  <c r="F47" i="87"/>
  <c r="F48" i="87"/>
  <c r="F49" i="87"/>
  <c r="E49" i="87" s="1"/>
  <c r="F50" i="87"/>
  <c r="F51" i="87"/>
  <c r="F52" i="87"/>
  <c r="F53" i="87"/>
  <c r="E53" i="87" s="1"/>
  <c r="F54" i="87"/>
  <c r="F55" i="87"/>
  <c r="F56" i="87"/>
  <c r="F57" i="87"/>
  <c r="E57" i="87" s="1"/>
  <c r="F22" i="87"/>
  <c r="F23" i="87"/>
  <c r="F24" i="87"/>
  <c r="F25" i="87"/>
  <c r="F26" i="87"/>
  <c r="F27" i="87"/>
  <c r="F28" i="87"/>
  <c r="F29" i="87"/>
  <c r="F30" i="87"/>
  <c r="E30" i="87" s="1"/>
  <c r="BE30" i="87" s="1"/>
  <c r="AA30" i="87" s="1"/>
  <c r="F31" i="87"/>
  <c r="F32" i="87"/>
  <c r="E32" i="87" s="1"/>
  <c r="BE32" i="87" s="1"/>
  <c r="F33" i="87"/>
  <c r="E33" i="87" s="1"/>
  <c r="BE33" i="87" s="1"/>
  <c r="F34" i="87"/>
  <c r="F35" i="87"/>
  <c r="F36" i="87"/>
  <c r="E36" i="87" s="1"/>
  <c r="BE36" i="87" s="1"/>
  <c r="F37" i="87"/>
  <c r="E37" i="87" s="1"/>
  <c r="F38" i="87"/>
  <c r="E38" i="87" s="1"/>
  <c r="BE38" i="87" s="1"/>
  <c r="F39" i="87"/>
  <c r="F40" i="87"/>
  <c r="E40" i="87" s="1"/>
  <c r="BE40" i="87" s="1"/>
  <c r="F41" i="87"/>
  <c r="E41" i="87" s="1"/>
  <c r="F42" i="87"/>
  <c r="F43" i="87"/>
  <c r="F21" i="87"/>
  <c r="E21" i="87" s="1"/>
  <c r="F12" i="87"/>
  <c r="F13" i="87"/>
  <c r="F14" i="87"/>
  <c r="BE14" i="87" s="1"/>
  <c r="F15" i="87"/>
  <c r="F16" i="87"/>
  <c r="F17" i="87"/>
  <c r="F18" i="87"/>
  <c r="F19" i="87"/>
  <c r="Q58" i="87"/>
  <c r="Q34" i="87"/>
  <c r="Q35" i="87"/>
  <c r="AD8" i="87"/>
  <c r="AD60" i="87" s="1"/>
  <c r="AB8" i="87"/>
  <c r="AB60" i="87" s="1"/>
  <c r="AF8" i="87"/>
  <c r="AF60" i="87" s="1"/>
  <c r="AJ8" i="87"/>
  <c r="AJ60" i="87" s="1"/>
  <c r="AN8" i="87"/>
  <c r="AE29" i="87"/>
  <c r="AE20" i="87" s="1"/>
  <c r="AF29" i="87"/>
  <c r="G20" i="87"/>
  <c r="G60" i="87" s="1"/>
  <c r="H20" i="87"/>
  <c r="H60" i="87" s="1"/>
  <c r="I20" i="87"/>
  <c r="J20" i="87"/>
  <c r="K20" i="87"/>
  <c r="L20" i="87"/>
  <c r="M20" i="87"/>
  <c r="O20" i="87"/>
  <c r="P20" i="87"/>
  <c r="AF20" i="87"/>
  <c r="AM20" i="87"/>
  <c r="AS20" i="87"/>
  <c r="I9" i="87"/>
  <c r="J9" i="87"/>
  <c r="J60" i="87" s="1"/>
  <c r="K9" i="87"/>
  <c r="K60" i="87" s="1"/>
  <c r="L9" i="87"/>
  <c r="M9" i="87"/>
  <c r="O9" i="87"/>
  <c r="P9" i="87"/>
  <c r="E23" i="87"/>
  <c r="E24" i="87"/>
  <c r="E25" i="87"/>
  <c r="E26" i="87"/>
  <c r="E27" i="87"/>
  <c r="E28" i="87"/>
  <c r="E29" i="87"/>
  <c r="E31" i="87"/>
  <c r="BE31" i="87" s="1"/>
  <c r="E34" i="87"/>
  <c r="BE34" i="87" s="1"/>
  <c r="E35" i="87"/>
  <c r="BE35" i="87" s="1"/>
  <c r="E39" i="87"/>
  <c r="BE39" i="87" s="1"/>
  <c r="E42" i="87"/>
  <c r="E43" i="87"/>
  <c r="E44" i="87"/>
  <c r="E46" i="87"/>
  <c r="E47" i="87"/>
  <c r="E48" i="87"/>
  <c r="E50" i="87"/>
  <c r="E51" i="87"/>
  <c r="E52" i="87"/>
  <c r="E54" i="87"/>
  <c r="E56" i="87"/>
  <c r="R8" i="87"/>
  <c r="S8" i="87"/>
  <c r="S60" i="87" s="1"/>
  <c r="T8" i="87"/>
  <c r="U8" i="87"/>
  <c r="V8" i="87"/>
  <c r="W8" i="87"/>
  <c r="W60" i="87" s="1"/>
  <c r="Y8" i="87"/>
  <c r="AA8" i="87"/>
  <c r="AA60" i="87" s="1"/>
  <c r="AC8" i="87"/>
  <c r="AE8" i="87"/>
  <c r="AE60" i="87" s="1"/>
  <c r="AI8" i="87"/>
  <c r="AI60" i="87" s="1"/>
  <c r="AK8" i="87"/>
  <c r="AK60" i="87" s="1"/>
  <c r="AM8" i="87"/>
  <c r="AQ8" i="87"/>
  <c r="AR8" i="87"/>
  <c r="AR60" i="87" s="1"/>
  <c r="AS8" i="87"/>
  <c r="AT8" i="87"/>
  <c r="AT60" i="87" s="1"/>
  <c r="AU8" i="87"/>
  <c r="AU60" i="87" s="1"/>
  <c r="AV8" i="87"/>
  <c r="AV60" i="87" s="1"/>
  <c r="AW8" i="87"/>
  <c r="AW60" i="87" s="1"/>
  <c r="AX8" i="87"/>
  <c r="AY8" i="87"/>
  <c r="AY60" i="87" s="1"/>
  <c r="AZ8" i="87"/>
  <c r="BA8" i="87"/>
  <c r="BB8" i="87"/>
  <c r="D8" i="87"/>
  <c r="L60" i="87" l="1"/>
  <c r="F20" i="87"/>
  <c r="AA29" i="87"/>
  <c r="AA20" i="87" s="1"/>
  <c r="Z30" i="87"/>
  <c r="Q30" i="87" s="1"/>
  <c r="BF33" i="87"/>
  <c r="BG33" i="87" s="1"/>
  <c r="BK33" i="87" s="1"/>
  <c r="F60" i="87"/>
  <c r="BF40" i="87"/>
  <c r="BG40" i="87" s="1"/>
  <c r="BK40" i="87" s="1"/>
  <c r="I60" i="87"/>
  <c r="AH9" i="87"/>
  <c r="AH8" i="87" s="1"/>
  <c r="AH60" i="87" s="1"/>
  <c r="E22" i="87"/>
  <c r="BF34" i="87"/>
  <c r="BG34" i="87" s="1"/>
  <c r="BK34" i="87" s="1"/>
  <c r="P60" i="87"/>
  <c r="BF31" i="87"/>
  <c r="BG31" i="87" s="1"/>
  <c r="BK31" i="87" s="1"/>
  <c r="AC60" i="87"/>
  <c r="BF32" i="87" s="1"/>
  <c r="BG32" i="87" s="1"/>
  <c r="BF39" i="87"/>
  <c r="BG39" i="87" s="1"/>
  <c r="BK39" i="87" s="1"/>
  <c r="Z10" i="87"/>
  <c r="BF35" i="87"/>
  <c r="BG35" i="87" s="1"/>
  <c r="BK35" i="87" s="1"/>
  <c r="E58" i="87"/>
  <c r="BE58" i="87" s="1"/>
  <c r="BF38" i="87"/>
  <c r="BG38" i="87" s="1"/>
  <c r="BK38" i="87" s="1"/>
  <c r="BI34" i="87"/>
  <c r="BE37" i="87"/>
  <c r="AL8" i="87"/>
  <c r="AL60" i="87" s="1"/>
  <c r="BI33" i="87"/>
  <c r="AD61" i="87"/>
  <c r="AB61" i="87"/>
  <c r="BI31" i="87"/>
  <c r="BF30" i="87"/>
  <c r="BG30" i="87" s="1"/>
  <c r="BK30" i="87" s="1"/>
  <c r="AF7" i="87"/>
  <c r="AE7" i="87"/>
  <c r="AA7" i="87"/>
  <c r="D72" i="87"/>
  <c r="D68" i="87"/>
  <c r="D76" i="87" s="1"/>
  <c r="N58" i="87"/>
  <c r="M58" i="87"/>
  <c r="M60" i="87" s="1"/>
  <c r="D58" i="87"/>
  <c r="BE57" i="87"/>
  <c r="BB57" i="87" s="1"/>
  <c r="BE56" i="87"/>
  <c r="BA56" i="87" s="1"/>
  <c r="AP55" i="87"/>
  <c r="N55" i="87"/>
  <c r="BE54" i="87"/>
  <c r="AY54" i="87" s="1"/>
  <c r="BE53" i="87"/>
  <c r="AX53" i="87" s="1"/>
  <c r="BE52" i="87"/>
  <c r="AW52" i="87" s="1"/>
  <c r="BE51" i="87"/>
  <c r="AV51" i="87" s="1"/>
  <c r="BE50" i="87"/>
  <c r="AU50" i="87" s="1"/>
  <c r="BE49" i="87"/>
  <c r="AT49" i="87" s="1"/>
  <c r="BE48" i="87"/>
  <c r="AS48" i="87" s="1"/>
  <c r="Q48" i="87" s="1"/>
  <c r="BE47" i="87"/>
  <c r="AR47" i="87" s="1"/>
  <c r="BE46" i="87"/>
  <c r="AQ46" i="87" s="1"/>
  <c r="D46" i="87"/>
  <c r="D20" i="87" s="1"/>
  <c r="BE45" i="87"/>
  <c r="AP45" i="87" s="1"/>
  <c r="AP44" i="87"/>
  <c r="BE44" i="87" s="1"/>
  <c r="AO44" i="87" s="1"/>
  <c r="Q44" i="87" s="1"/>
  <c r="BE43" i="87"/>
  <c r="AN43" i="87" s="1"/>
  <c r="BE42" i="87"/>
  <c r="AM42" i="87" s="1"/>
  <c r="Q42" i="87" s="1"/>
  <c r="BD41" i="87"/>
  <c r="BE29" i="87"/>
  <c r="BE28" i="87"/>
  <c r="BE27" i="87"/>
  <c r="BE26" i="87"/>
  <c r="W26" i="87" s="1"/>
  <c r="BE25" i="87"/>
  <c r="V25" i="87" s="1"/>
  <c r="BE24" i="87"/>
  <c r="U24" i="87" s="1"/>
  <c r="BE23" i="87"/>
  <c r="T23" i="87" s="1"/>
  <c r="BE22" i="87"/>
  <c r="BE21" i="87"/>
  <c r="R21" i="87" s="1"/>
  <c r="Q21" i="87" s="1"/>
  <c r="O60" i="87"/>
  <c r="BE19" i="87"/>
  <c r="BE18" i="87"/>
  <c r="AP17" i="87"/>
  <c r="AO17" i="87"/>
  <c r="X17" i="87"/>
  <c r="BC16" i="87"/>
  <c r="BE16" i="87" s="1"/>
  <c r="BE15" i="87"/>
  <c r="L15" i="87" s="1"/>
  <c r="E15" i="87" s="1"/>
  <c r="K14" i="87"/>
  <c r="AP13" i="87"/>
  <c r="Q13" i="87" s="1"/>
  <c r="AP12" i="87"/>
  <c r="AO12" i="87"/>
  <c r="BD8" i="88"/>
  <c r="BB60" i="87"/>
  <c r="BF57" i="87" s="1"/>
  <c r="BG57" i="87" s="1"/>
  <c r="BK57" i="87" s="1"/>
  <c r="BA60" i="87"/>
  <c r="AZ60" i="87"/>
  <c r="AX60" i="87"/>
  <c r="BF53" i="87" s="1"/>
  <c r="BG53" i="87" s="1"/>
  <c r="BK53" i="87" s="1"/>
  <c r="BF49" i="87"/>
  <c r="BG49" i="87" s="1"/>
  <c r="BK49" i="87" s="1"/>
  <c r="AS60" i="87"/>
  <c r="BF48" i="87" s="1"/>
  <c r="BG48" i="87" s="1"/>
  <c r="BK48" i="87" s="1"/>
  <c r="AQ60" i="87"/>
  <c r="BF46" i="87" s="1"/>
  <c r="BG46" i="87" s="1"/>
  <c r="BK46" i="87" s="1"/>
  <c r="AN60" i="87"/>
  <c r="AM60" i="87"/>
  <c r="BF42" i="87" s="1"/>
  <c r="BG42" i="87" s="1"/>
  <c r="BK42" i="87" s="1"/>
  <c r="Y60" i="87"/>
  <c r="V60" i="87"/>
  <c r="BF25" i="87" s="1"/>
  <c r="BG25" i="87" s="1"/>
  <c r="BK25" i="87" s="1"/>
  <c r="U60" i="87"/>
  <c r="T60" i="87"/>
  <c r="BF23" i="87" s="1"/>
  <c r="R60" i="87"/>
  <c r="AS7" i="87"/>
  <c r="L24" i="86"/>
  <c r="K24" i="86"/>
  <c r="AP8" i="87" l="1"/>
  <c r="AP60" i="87" s="1"/>
  <c r="BI39" i="87"/>
  <c r="BF51" i="87"/>
  <c r="BG51" i="87" s="1"/>
  <c r="BK51" i="87" s="1"/>
  <c r="D7" i="87"/>
  <c r="AJ61" i="87"/>
  <c r="AE61" i="87"/>
  <c r="BK32" i="87"/>
  <c r="BI32" i="87"/>
  <c r="AC61" i="87"/>
  <c r="N20" i="87"/>
  <c r="N60" i="87" s="1"/>
  <c r="E55" i="87"/>
  <c r="E20" i="87" s="1"/>
  <c r="Q12" i="87"/>
  <c r="AO8" i="87"/>
  <c r="AO60" i="87" s="1"/>
  <c r="Q10" i="87"/>
  <c r="Z9" i="87"/>
  <c r="BI35" i="87"/>
  <c r="BF47" i="87"/>
  <c r="BG47" i="87" s="1"/>
  <c r="BK47" i="87" s="1"/>
  <c r="BD20" i="87"/>
  <c r="BD41" i="88"/>
  <c r="AK61" i="87"/>
  <c r="BC16" i="88"/>
  <c r="BC8" i="87"/>
  <c r="BI38" i="87"/>
  <c r="AF61" i="87"/>
  <c r="Q17" i="87"/>
  <c r="X8" i="87"/>
  <c r="X60" i="87" s="1"/>
  <c r="BI40" i="87"/>
  <c r="BE41" i="87"/>
  <c r="AL41" i="87" s="1"/>
  <c r="Q41" i="87" s="1"/>
  <c r="BF21" i="87"/>
  <c r="BG21" i="87" s="1"/>
  <c r="BK21" i="87" s="1"/>
  <c r="Q59" i="88"/>
  <c r="AI61" i="87"/>
  <c r="V61" i="87"/>
  <c r="AQ61" i="87"/>
  <c r="AS61" i="87"/>
  <c r="AV61" i="87"/>
  <c r="AX61" i="87"/>
  <c r="BB61" i="87"/>
  <c r="AR61" i="87"/>
  <c r="AT61" i="87"/>
  <c r="Y28" i="87"/>
  <c r="Y20" i="87" s="1"/>
  <c r="Y7" i="87" s="1"/>
  <c r="BF28" i="87"/>
  <c r="BG28" i="87" s="1"/>
  <c r="BK28" i="87" s="1"/>
  <c r="AM61" i="87"/>
  <c r="AA61" i="87"/>
  <c r="BI30" i="87"/>
  <c r="BF45" i="87"/>
  <c r="BG45" i="87" s="1"/>
  <c r="BK45" i="87" s="1"/>
  <c r="BF52" i="87"/>
  <c r="BG52" i="87" s="1"/>
  <c r="BK52" i="87" s="1"/>
  <c r="BF54" i="87"/>
  <c r="BG54" i="87" s="1"/>
  <c r="BK54" i="87" s="1"/>
  <c r="BF56" i="87"/>
  <c r="BG56" i="87" s="1"/>
  <c r="BK56" i="87" s="1"/>
  <c r="AO20" i="87"/>
  <c r="Q47" i="87"/>
  <c r="AR20" i="87"/>
  <c r="AR7" i="87" s="1"/>
  <c r="Q49" i="87"/>
  <c r="AT20" i="87"/>
  <c r="AT7" i="87" s="1"/>
  <c r="Q51" i="87"/>
  <c r="AV20" i="87"/>
  <c r="AV7" i="87" s="1"/>
  <c r="Q53" i="87"/>
  <c r="AX20" i="87"/>
  <c r="AX7" i="87" s="1"/>
  <c r="Q45" i="87"/>
  <c r="AP20" i="87"/>
  <c r="AP7" i="87" s="1"/>
  <c r="Q46" i="87"/>
  <c r="AQ20" i="87"/>
  <c r="AQ7" i="87" s="1"/>
  <c r="Q50" i="87"/>
  <c r="AU20" i="87"/>
  <c r="AU7" i="87" s="1"/>
  <c r="Q52" i="87"/>
  <c r="AW20" i="87"/>
  <c r="AW7" i="87" s="1"/>
  <c r="Q54" i="87"/>
  <c r="AY20" i="87"/>
  <c r="AY7" i="87" s="1"/>
  <c r="Q56" i="87"/>
  <c r="BA20" i="87"/>
  <c r="BA7" i="87" s="1"/>
  <c r="Q57" i="87"/>
  <c r="BB20" i="87"/>
  <c r="BB7" i="87" s="1"/>
  <c r="Q26" i="87"/>
  <c r="W20" i="87"/>
  <c r="BF26" i="87"/>
  <c r="BG26" i="87" s="1"/>
  <c r="BK26" i="87" s="1"/>
  <c r="BF43" i="87"/>
  <c r="BG43" i="87" s="1"/>
  <c r="BK43" i="87" s="1"/>
  <c r="S22" i="87"/>
  <c r="BF22" i="87"/>
  <c r="Q23" i="87"/>
  <c r="T20" i="87"/>
  <c r="T7" i="87" s="1"/>
  <c r="Q25" i="87"/>
  <c r="V20" i="87"/>
  <c r="V7" i="87" s="1"/>
  <c r="Q24" i="87"/>
  <c r="U20" i="87"/>
  <c r="U7" i="87" s="1"/>
  <c r="Q43" i="87"/>
  <c r="AN20" i="87"/>
  <c r="AN7" i="87" s="1"/>
  <c r="R20" i="87"/>
  <c r="R7" i="87" s="1"/>
  <c r="L8" i="87"/>
  <c r="L7" i="87" s="1"/>
  <c r="K8" i="87"/>
  <c r="K7" i="87" s="1"/>
  <c r="E14" i="87"/>
  <c r="AM7" i="87"/>
  <c r="BG22" i="87"/>
  <c r="BK22" i="87" s="1"/>
  <c r="BF18" i="87"/>
  <c r="BG18" i="87" s="1"/>
  <c r="BK18" i="87" s="1"/>
  <c r="O18" i="87"/>
  <c r="BF15" i="87"/>
  <c r="BG15" i="87" s="1"/>
  <c r="BK15" i="87" s="1"/>
  <c r="BF27" i="87"/>
  <c r="BG27" i="87" s="1"/>
  <c r="BK27" i="87" s="1"/>
  <c r="BF50" i="87"/>
  <c r="BG50" i="87" s="1"/>
  <c r="BK50" i="87" s="1"/>
  <c r="M16" i="87"/>
  <c r="P19" i="87"/>
  <c r="BF19" i="87"/>
  <c r="BG19" i="87" s="1"/>
  <c r="BK19" i="87" s="1"/>
  <c r="BG23" i="87"/>
  <c r="BK23" i="87" s="1"/>
  <c r="W7" i="87"/>
  <c r="BF14" i="87"/>
  <c r="BG14" i="87" s="1"/>
  <c r="BK14" i="87" s="1"/>
  <c r="BF24" i="87"/>
  <c r="BG24" i="87" s="1"/>
  <c r="BK24" i="87" s="1"/>
  <c r="BC58" i="87"/>
  <c r="BC7" i="87" s="1"/>
  <c r="X27" i="87"/>
  <c r="Z29" i="87"/>
  <c r="AL20" i="87" l="1"/>
  <c r="AL7" i="87" s="1"/>
  <c r="BE55" i="87"/>
  <c r="AZ55" i="87" s="1"/>
  <c r="BF41" i="87"/>
  <c r="BG41" i="87" s="1"/>
  <c r="BK41" i="87" s="1"/>
  <c r="E60" i="87"/>
  <c r="BE20" i="87"/>
  <c r="BD7" i="87"/>
  <c r="BH5" i="87" s="1"/>
  <c r="BD20" i="88"/>
  <c r="R61" i="87"/>
  <c r="Q28" i="87"/>
  <c r="AO7" i="87"/>
  <c r="BC60" i="87"/>
  <c r="BF58" i="87" s="1"/>
  <c r="BG58" i="87" s="1"/>
  <c r="BK58" i="87" s="1"/>
  <c r="BC8" i="88"/>
  <c r="BC60" i="88" s="1"/>
  <c r="Q9" i="87"/>
  <c r="BE10" i="87"/>
  <c r="BD7" i="88"/>
  <c r="K61" i="87"/>
  <c r="L61" i="87"/>
  <c r="P61" i="87"/>
  <c r="U61" i="87"/>
  <c r="T61" i="87"/>
  <c r="X61" i="87"/>
  <c r="S61" i="87"/>
  <c r="W61" i="87"/>
  <c r="Y61" i="87"/>
  <c r="AU61" i="87"/>
  <c r="AY61" i="87"/>
  <c r="AP61" i="87"/>
  <c r="AN61" i="87"/>
  <c r="BA61" i="87"/>
  <c r="AW61" i="87"/>
  <c r="Q55" i="87"/>
  <c r="AZ20" i="87"/>
  <c r="AZ7" i="87" s="1"/>
  <c r="Q27" i="87"/>
  <c r="X20" i="87"/>
  <c r="X7" i="87" s="1"/>
  <c r="Q29" i="87"/>
  <c r="Z20" i="87"/>
  <c r="Q22" i="87"/>
  <c r="S20" i="87"/>
  <c r="S7" i="87" s="1"/>
  <c r="BF16" i="87"/>
  <c r="BG16" i="87" s="1"/>
  <c r="BK16" i="87" s="1"/>
  <c r="O8" i="87"/>
  <c r="E18" i="87"/>
  <c r="E19" i="87"/>
  <c r="P8" i="87"/>
  <c r="P7" i="87" s="1"/>
  <c r="M8" i="87"/>
  <c r="M7" i="87" s="1"/>
  <c r="E16" i="87"/>
  <c r="O61" i="87"/>
  <c r="O7" i="87"/>
  <c r="BF44" i="87"/>
  <c r="BG44" i="87" s="1"/>
  <c r="BK44" i="87" s="1"/>
  <c r="AO62" i="87"/>
  <c r="AL61" i="87" l="1"/>
  <c r="BF55" i="87"/>
  <c r="BG55" i="87" s="1"/>
  <c r="BK55" i="87" s="1"/>
  <c r="BC61" i="87"/>
  <c r="Q8" i="87"/>
  <c r="BE9" i="87"/>
  <c r="Q20" i="87"/>
  <c r="M61" i="87"/>
  <c r="AO61" i="87"/>
  <c r="A69" i="32"/>
  <c r="AZ61" i="87" l="1"/>
  <c r="Q60" i="87"/>
  <c r="BE8" i="87"/>
  <c r="BF8" i="87" s="1"/>
  <c r="Z70" i="27"/>
  <c r="AD9" i="53" l="1"/>
  <c r="AC9" i="53"/>
  <c r="U8" i="53"/>
  <c r="T8" i="53"/>
  <c r="S8" i="53"/>
  <c r="R8" i="53"/>
  <c r="Q8" i="53"/>
  <c r="U9" i="53"/>
  <c r="T9" i="53"/>
  <c r="S9" i="53"/>
  <c r="R9" i="53"/>
  <c r="Q9" i="53"/>
  <c r="P9" i="53"/>
  <c r="O9" i="53"/>
  <c r="M9" i="53"/>
  <c r="L9" i="53"/>
  <c r="K9" i="53"/>
  <c r="J9" i="53"/>
  <c r="I9" i="53"/>
  <c r="H9" i="53"/>
  <c r="G9" i="53"/>
  <c r="N9" i="53"/>
  <c r="F9" i="53"/>
  <c r="E9" i="53"/>
  <c r="K12" i="53"/>
  <c r="K10" i="53"/>
  <c r="K8" i="53"/>
  <c r="K7" i="53"/>
  <c r="N10" i="53"/>
  <c r="R10" i="53"/>
  <c r="T10" i="53"/>
  <c r="P8" i="53"/>
  <c r="O8" i="53"/>
  <c r="M8" i="53"/>
  <c r="L8" i="53"/>
  <c r="J8" i="53"/>
  <c r="I8" i="53"/>
  <c r="H8" i="53"/>
  <c r="G8" i="53"/>
  <c r="F8" i="53"/>
  <c r="E8" i="53"/>
  <c r="G24" i="57" l="1"/>
  <c r="N14" i="53"/>
  <c r="F24" i="57"/>
  <c r="Q14" i="53"/>
  <c r="T14" i="53"/>
  <c r="K14" i="53"/>
  <c r="D8" i="53"/>
  <c r="W8" i="53" s="1"/>
  <c r="AB8" i="53" s="1"/>
  <c r="R14" i="53"/>
  <c r="F23" i="41"/>
  <c r="F22" i="41"/>
  <c r="F21" i="41"/>
  <c r="F19" i="41"/>
  <c r="F18" i="41"/>
  <c r="F17" i="41"/>
  <c r="F16" i="41"/>
  <c r="F15" i="41"/>
  <c r="F14" i="41"/>
  <c r="F13" i="41"/>
  <c r="F12" i="41"/>
  <c r="F11" i="41"/>
  <c r="F10" i="41"/>
  <c r="F9" i="41"/>
  <c r="F20" i="41"/>
  <c r="F8" i="41"/>
  <c r="F7" i="41"/>
  <c r="E24" i="54" l="1"/>
  <c r="F24" i="41"/>
  <c r="AD8" i="53"/>
  <c r="AC8" i="53"/>
  <c r="F24" i="54"/>
  <c r="G27" i="50"/>
  <c r="D63" i="28" l="1"/>
  <c r="C8" i="95" s="1"/>
  <c r="D34" i="28"/>
  <c r="D25" i="28" s="1"/>
  <c r="O65" i="37" l="1"/>
  <c r="O66" i="37"/>
  <c r="O64" i="37"/>
  <c r="O65" i="39"/>
  <c r="O66" i="39"/>
  <c r="O64" i="39"/>
  <c r="O65" i="25"/>
  <c r="O66" i="25"/>
  <c r="O64" i="25"/>
  <c r="O63" i="25" l="1"/>
  <c r="M23" i="76"/>
  <c r="L23" i="76"/>
  <c r="J24" i="63"/>
  <c r="I24" i="63"/>
  <c r="M24" i="64"/>
  <c r="L24" i="64"/>
  <c r="M24" i="58"/>
  <c r="L24" i="58"/>
  <c r="M24" i="59"/>
  <c r="L24" i="59"/>
  <c r="M25" i="60"/>
  <c r="L25" i="60"/>
  <c r="M24" i="61" l="1"/>
  <c r="L24" i="61"/>
  <c r="L16" i="71"/>
  <c r="M23" i="75"/>
  <c r="L23" i="75"/>
  <c r="M23" i="65"/>
  <c r="L23" i="65"/>
  <c r="S26" i="66"/>
  <c r="R26" i="66"/>
  <c r="M23" i="74"/>
  <c r="L23" i="74"/>
  <c r="M24" i="56"/>
  <c r="L24" i="56"/>
  <c r="AA15" i="53"/>
  <c r="Z15" i="53"/>
  <c r="M24" i="54"/>
  <c r="L24" i="54"/>
  <c r="M24" i="55"/>
  <c r="L24" i="55"/>
  <c r="I25" i="55"/>
  <c r="M24" i="49"/>
  <c r="L24" i="49"/>
  <c r="N27" i="50"/>
  <c r="M27" i="50"/>
  <c r="L16" i="51" l="1"/>
  <c r="K16" i="51"/>
  <c r="L24" i="41"/>
  <c r="K24" i="41"/>
  <c r="L25" i="81"/>
  <c r="K25" i="81"/>
  <c r="L25" i="82"/>
  <c r="K25" i="82"/>
  <c r="L24" i="83"/>
  <c r="K24" i="83"/>
  <c r="O64" i="31" l="1"/>
  <c r="M9" i="89" l="1"/>
  <c r="AT17" i="88"/>
  <c r="G24" i="49"/>
  <c r="D34" i="27"/>
  <c r="C133" i="47" s="1"/>
  <c r="C10" i="89" s="1"/>
  <c r="D101" i="39"/>
  <c r="C234" i="47"/>
  <c r="D102" i="25"/>
  <c r="C237" i="47"/>
  <c r="C219" i="47"/>
  <c r="D63" i="31"/>
  <c r="C218" i="47"/>
  <c r="D63" i="22"/>
  <c r="D34" i="24"/>
  <c r="D98" i="24" s="1"/>
  <c r="D63" i="26"/>
  <c r="C105" i="48"/>
  <c r="C11" i="64" s="1"/>
  <c r="D63" i="19"/>
  <c r="D102" i="19"/>
  <c r="D63" i="27"/>
  <c r="D34" i="29"/>
  <c r="C131" i="47" s="1"/>
  <c r="C8" i="89" s="1"/>
  <c r="D34" i="22"/>
  <c r="D97" i="22" s="1"/>
  <c r="D34" i="21"/>
  <c r="D25" i="21" s="1"/>
  <c r="D34" i="30"/>
  <c r="C144" i="47" s="1"/>
  <c r="C21" i="89" s="1"/>
  <c r="D34" i="34"/>
  <c r="D34" i="31"/>
  <c r="C143" i="47" s="1"/>
  <c r="C20" i="89" s="1"/>
  <c r="D34" i="39"/>
  <c r="C146" i="47" s="1"/>
  <c r="C23" i="89" s="1"/>
  <c r="AS47" i="84"/>
  <c r="AS48" i="84"/>
  <c r="AR47" i="84"/>
  <c r="AR48" i="84"/>
  <c r="F9" i="84"/>
  <c r="D47" i="84"/>
  <c r="AR6" i="84"/>
  <c r="H29" i="34"/>
  <c r="G29" i="34" s="1"/>
  <c r="F29" i="34" s="1"/>
  <c r="E29" i="34" s="1"/>
  <c r="AE29" i="34"/>
  <c r="BH29" i="34"/>
  <c r="D34" i="25"/>
  <c r="D97" i="25" s="1"/>
  <c r="D11" i="26"/>
  <c r="C9" i="46" s="1"/>
  <c r="C11" i="83" s="1"/>
  <c r="F24" i="81"/>
  <c r="F23" i="81"/>
  <c r="D23" i="81" s="1"/>
  <c r="F22" i="81"/>
  <c r="F21" i="81"/>
  <c r="F20" i="81"/>
  <c r="F19" i="81"/>
  <c r="F18" i="81"/>
  <c r="F17" i="81"/>
  <c r="F16" i="81"/>
  <c r="F15" i="81"/>
  <c r="F14" i="81"/>
  <c r="F13" i="81"/>
  <c r="F12" i="81"/>
  <c r="F11" i="81"/>
  <c r="F10" i="81"/>
  <c r="F9" i="81"/>
  <c r="F8" i="81"/>
  <c r="E24" i="81"/>
  <c r="E23" i="81"/>
  <c r="E22" i="81"/>
  <c r="E21" i="81"/>
  <c r="D21" i="81" s="1"/>
  <c r="E20" i="81"/>
  <c r="E19" i="81"/>
  <c r="E18" i="81"/>
  <c r="E17" i="81"/>
  <c r="D17" i="81" s="1"/>
  <c r="E16" i="81"/>
  <c r="E15" i="81"/>
  <c r="E14" i="81"/>
  <c r="E13" i="81"/>
  <c r="D13" i="81" s="1"/>
  <c r="E12" i="81"/>
  <c r="E11" i="81"/>
  <c r="E10" i="81"/>
  <c r="E9" i="81"/>
  <c r="E8" i="81"/>
  <c r="H17" i="29"/>
  <c r="O17" i="29"/>
  <c r="AE17" i="29"/>
  <c r="BH17" i="29"/>
  <c r="H17" i="28"/>
  <c r="O17" i="28"/>
  <c r="AE17" i="28"/>
  <c r="H17" i="27"/>
  <c r="O17" i="27"/>
  <c r="AE17" i="27"/>
  <c r="BH17" i="27"/>
  <c r="H17" i="26"/>
  <c r="O17" i="26"/>
  <c r="AE17" i="26"/>
  <c r="BH17" i="26"/>
  <c r="H17" i="25"/>
  <c r="O17" i="25"/>
  <c r="V17" i="25"/>
  <c r="BH17" i="25"/>
  <c r="H17" i="24"/>
  <c r="O17" i="24"/>
  <c r="AE17" i="24"/>
  <c r="BH17" i="24"/>
  <c r="H17" i="23"/>
  <c r="O17" i="23"/>
  <c r="AE17" i="23"/>
  <c r="BH17" i="23"/>
  <c r="H17" i="22"/>
  <c r="O17" i="22"/>
  <c r="AE17" i="22"/>
  <c r="BH17" i="22"/>
  <c r="H17" i="21"/>
  <c r="O17" i="21"/>
  <c r="AE17" i="21"/>
  <c r="BH17" i="21"/>
  <c r="H17" i="34"/>
  <c r="O17" i="34"/>
  <c r="AE17" i="34"/>
  <c r="BH17" i="34"/>
  <c r="H17" i="33"/>
  <c r="O17" i="33"/>
  <c r="AE17" i="33"/>
  <c r="BH17" i="33"/>
  <c r="H17" i="32"/>
  <c r="O17" i="32"/>
  <c r="AE17" i="32"/>
  <c r="BH17" i="32"/>
  <c r="H17" i="30"/>
  <c r="O17" i="30"/>
  <c r="AE17" i="30"/>
  <c r="BH17" i="30"/>
  <c r="H17" i="40"/>
  <c r="O17" i="40"/>
  <c r="AE17" i="40"/>
  <c r="V17" i="40" s="1"/>
  <c r="BH17" i="40"/>
  <c r="H17" i="39"/>
  <c r="O17" i="39"/>
  <c r="AE17" i="39"/>
  <c r="BH17" i="39"/>
  <c r="H17" i="38"/>
  <c r="O17" i="38"/>
  <c r="AE17" i="38"/>
  <c r="BH17" i="38"/>
  <c r="H17" i="37"/>
  <c r="O17" i="37"/>
  <c r="AE17" i="37"/>
  <c r="BH17" i="37"/>
  <c r="H17" i="19"/>
  <c r="O17" i="19"/>
  <c r="AE17" i="19"/>
  <c r="Y81" i="19" s="1"/>
  <c r="BH17" i="19"/>
  <c r="C81" i="46"/>
  <c r="C9" i="81" s="1"/>
  <c r="C82" i="46"/>
  <c r="C10" i="81" s="1"/>
  <c r="C83" i="46"/>
  <c r="C11" i="81" s="1"/>
  <c r="C84" i="46"/>
  <c r="C12" i="81" s="1"/>
  <c r="C85" i="46"/>
  <c r="C13" i="81" s="1"/>
  <c r="C86" i="46"/>
  <c r="C14" i="81" s="1"/>
  <c r="C87" i="46"/>
  <c r="C15" i="81" s="1"/>
  <c r="C88" i="46"/>
  <c r="C16" i="81" s="1"/>
  <c r="C89" i="46"/>
  <c r="C17" i="81" s="1"/>
  <c r="C90" i="46"/>
  <c r="C18" i="81" s="1"/>
  <c r="C91" i="46"/>
  <c r="C19" i="81" s="1"/>
  <c r="C92" i="46"/>
  <c r="C20" i="81" s="1"/>
  <c r="C93" i="46"/>
  <c r="C21" i="81" s="1"/>
  <c r="C94" i="46"/>
  <c r="C22" i="81" s="1"/>
  <c r="C95" i="46"/>
  <c r="C23" i="81" s="1"/>
  <c r="C96" i="46"/>
  <c r="C24" i="81" s="1"/>
  <c r="C97" i="46"/>
  <c r="C98" i="46"/>
  <c r="C80" i="46"/>
  <c r="C8" i="81" s="1"/>
  <c r="D10" i="81"/>
  <c r="D18" i="81"/>
  <c r="F24" i="82"/>
  <c r="F23" i="82"/>
  <c r="D23" i="82" s="1"/>
  <c r="F22" i="82"/>
  <c r="F21" i="82"/>
  <c r="F20" i="82"/>
  <c r="F19" i="82"/>
  <c r="F18" i="82"/>
  <c r="F17" i="82"/>
  <c r="F16" i="82"/>
  <c r="F15" i="82"/>
  <c r="F14" i="82"/>
  <c r="F13" i="82"/>
  <c r="F12" i="82"/>
  <c r="F11" i="82"/>
  <c r="F10" i="82"/>
  <c r="F9" i="82"/>
  <c r="F8" i="82"/>
  <c r="E24" i="82"/>
  <c r="E23" i="82"/>
  <c r="E22" i="82"/>
  <c r="E21" i="82"/>
  <c r="D21" i="82" s="1"/>
  <c r="E20" i="82"/>
  <c r="E19" i="82"/>
  <c r="E18" i="82"/>
  <c r="D18" i="82" s="1"/>
  <c r="E17" i="82"/>
  <c r="D17" i="82" s="1"/>
  <c r="E16" i="82"/>
  <c r="E15" i="82"/>
  <c r="E14" i="82"/>
  <c r="E13" i="82"/>
  <c r="D13" i="82" s="1"/>
  <c r="E12" i="82"/>
  <c r="E11" i="82"/>
  <c r="E10" i="82"/>
  <c r="D10" i="82" s="1"/>
  <c r="E9" i="82"/>
  <c r="D9" i="82" s="1"/>
  <c r="E8" i="82"/>
  <c r="H16" i="29"/>
  <c r="AE16" i="29"/>
  <c r="BH16" i="29"/>
  <c r="H16" i="28"/>
  <c r="AE16" i="28"/>
  <c r="V16" i="28" s="1"/>
  <c r="H16" i="27"/>
  <c r="AE16" i="27"/>
  <c r="BH16" i="27"/>
  <c r="H16" i="26"/>
  <c r="AE16" i="26"/>
  <c r="BH16" i="26"/>
  <c r="H16" i="25"/>
  <c r="AE16" i="25"/>
  <c r="BH16" i="25"/>
  <c r="H16" i="24"/>
  <c r="AE16" i="24"/>
  <c r="BH16" i="24"/>
  <c r="H16" i="23"/>
  <c r="AE16" i="23"/>
  <c r="V16" i="23" s="1"/>
  <c r="BH16" i="23"/>
  <c r="H16" i="22"/>
  <c r="AE16" i="22"/>
  <c r="BH16" i="22"/>
  <c r="H16" i="21"/>
  <c r="AE16" i="21"/>
  <c r="V16" i="21" s="1"/>
  <c r="BH16" i="21"/>
  <c r="H16" i="34"/>
  <c r="AE16" i="34"/>
  <c r="BH16" i="34"/>
  <c r="H16" i="33"/>
  <c r="AE16" i="33"/>
  <c r="Y80" i="33" s="1"/>
  <c r="BH16" i="33"/>
  <c r="H16" i="32"/>
  <c r="AE16" i="32"/>
  <c r="BH16" i="32"/>
  <c r="H16" i="30"/>
  <c r="AE16" i="30"/>
  <c r="BH16" i="30"/>
  <c r="H16" i="40"/>
  <c r="AE16" i="40"/>
  <c r="BH16" i="40"/>
  <c r="H16" i="39"/>
  <c r="AE16" i="39"/>
  <c r="V16" i="39" s="1"/>
  <c r="BH16" i="39"/>
  <c r="H16" i="38"/>
  <c r="AE16" i="38"/>
  <c r="BH16" i="38"/>
  <c r="H16" i="37"/>
  <c r="AE16" i="37"/>
  <c r="BH16" i="37"/>
  <c r="H16" i="19"/>
  <c r="AE16" i="19"/>
  <c r="BH16" i="19"/>
  <c r="C56" i="46"/>
  <c r="C9" i="82" s="1"/>
  <c r="C57" i="46"/>
  <c r="C10" i="82" s="1"/>
  <c r="C58" i="46"/>
  <c r="C11" i="82" s="1"/>
  <c r="C59" i="46"/>
  <c r="C12" i="82" s="1"/>
  <c r="C60" i="46"/>
  <c r="C13" i="82" s="1"/>
  <c r="C61" i="46"/>
  <c r="C14" i="82" s="1"/>
  <c r="C62" i="46"/>
  <c r="C15" i="82" s="1"/>
  <c r="C63" i="46"/>
  <c r="C16" i="82" s="1"/>
  <c r="C64" i="46"/>
  <c r="C17" i="82" s="1"/>
  <c r="C65" i="46"/>
  <c r="C18" i="82" s="1"/>
  <c r="C66" i="46"/>
  <c r="C19" i="82" s="1"/>
  <c r="C67" i="46"/>
  <c r="C20" i="82" s="1"/>
  <c r="C68" i="46"/>
  <c r="C21" i="82" s="1"/>
  <c r="C69" i="46"/>
  <c r="C22" i="82" s="1"/>
  <c r="C70" i="46"/>
  <c r="C23" i="82" s="1"/>
  <c r="C71" i="46"/>
  <c r="C24" i="82" s="1"/>
  <c r="C72" i="46"/>
  <c r="C73" i="46"/>
  <c r="C55" i="46"/>
  <c r="C8" i="82" s="1"/>
  <c r="H61" i="37"/>
  <c r="H61" i="38"/>
  <c r="H61" i="39"/>
  <c r="H61" i="40"/>
  <c r="H61" i="30"/>
  <c r="H61" i="32"/>
  <c r="E19" i="86" s="1"/>
  <c r="H61" i="33"/>
  <c r="H61" i="34"/>
  <c r="E17" i="86" s="1"/>
  <c r="H61" i="21"/>
  <c r="E16" i="86" s="1"/>
  <c r="H61" i="22"/>
  <c r="E15" i="86" s="1"/>
  <c r="H61" i="23"/>
  <c r="H61" i="24"/>
  <c r="E13" i="86" s="1"/>
  <c r="H61" i="25"/>
  <c r="H61" i="26"/>
  <c r="E11" i="86" s="1"/>
  <c r="H61" i="27"/>
  <c r="H61" i="28"/>
  <c r="E9" i="86" s="1"/>
  <c r="H61" i="29"/>
  <c r="H61" i="19"/>
  <c r="H64" i="37"/>
  <c r="H64" i="38"/>
  <c r="H64" i="39"/>
  <c r="F23" i="86" s="1"/>
  <c r="F23" i="83"/>
  <c r="H64" i="40"/>
  <c r="F22" i="86" s="1"/>
  <c r="F22" i="83"/>
  <c r="H64" i="30"/>
  <c r="F21" i="86" s="1"/>
  <c r="F21" i="83"/>
  <c r="H64" i="32"/>
  <c r="F19" i="86" s="1"/>
  <c r="H64" i="33"/>
  <c r="F18" i="86" s="1"/>
  <c r="F18" i="83"/>
  <c r="H64" i="34"/>
  <c r="H64" i="21"/>
  <c r="F16" i="86" s="1"/>
  <c r="H64" i="22"/>
  <c r="F15" i="86" s="1"/>
  <c r="H64" i="23"/>
  <c r="F14" i="86" s="1"/>
  <c r="F14" i="83"/>
  <c r="H64" i="24"/>
  <c r="F13" i="86" s="1"/>
  <c r="F13" i="83"/>
  <c r="H64" i="25"/>
  <c r="F12" i="86" s="1"/>
  <c r="H64" i="26"/>
  <c r="F11" i="86" s="1"/>
  <c r="H64" i="27"/>
  <c r="H64" i="28"/>
  <c r="F9" i="86" s="1"/>
  <c r="F9" i="83"/>
  <c r="H64" i="29"/>
  <c r="H64" i="19"/>
  <c r="F7" i="86" s="1"/>
  <c r="L11" i="29"/>
  <c r="M11" i="29"/>
  <c r="N11" i="29"/>
  <c r="S11" i="29"/>
  <c r="T11" i="29"/>
  <c r="U11" i="29"/>
  <c r="AE12" i="29"/>
  <c r="AE13" i="29"/>
  <c r="AE14" i="29"/>
  <c r="V14" i="29"/>
  <c r="BH12" i="29"/>
  <c r="BH13" i="29"/>
  <c r="BH14" i="29"/>
  <c r="L11" i="28"/>
  <c r="M11" i="28"/>
  <c r="N11" i="28"/>
  <c r="S11" i="28"/>
  <c r="T11" i="28"/>
  <c r="U11" i="28"/>
  <c r="AE12" i="28"/>
  <c r="AE13" i="28"/>
  <c r="AE14" i="28"/>
  <c r="V14" i="28" s="1"/>
  <c r="L11" i="27"/>
  <c r="M11" i="27"/>
  <c r="N11" i="27"/>
  <c r="S11" i="27"/>
  <c r="T11" i="27"/>
  <c r="U11" i="27"/>
  <c r="O78" i="27" s="1"/>
  <c r="AE12" i="27"/>
  <c r="AE13" i="27"/>
  <c r="AE14" i="27"/>
  <c r="V14" i="27"/>
  <c r="BH12" i="27"/>
  <c r="BH13" i="27"/>
  <c r="BH14" i="27"/>
  <c r="L11" i="26"/>
  <c r="M11" i="26"/>
  <c r="N11" i="26"/>
  <c r="S11" i="26"/>
  <c r="S10" i="26" s="1"/>
  <c r="S9" i="26" s="1"/>
  <c r="T11" i="26"/>
  <c r="U11" i="26"/>
  <c r="AE12" i="26"/>
  <c r="AE13" i="26"/>
  <c r="AE14" i="26"/>
  <c r="V14" i="26" s="1"/>
  <c r="BH12" i="26"/>
  <c r="BH13" i="26"/>
  <c r="BH14" i="26"/>
  <c r="L11" i="25"/>
  <c r="M11" i="25"/>
  <c r="N11" i="25"/>
  <c r="S11" i="25"/>
  <c r="T11" i="25"/>
  <c r="U11" i="25"/>
  <c r="U10" i="25" s="1"/>
  <c r="U9" i="25" s="1"/>
  <c r="AE12" i="25"/>
  <c r="AE13" i="25"/>
  <c r="AE14" i="25"/>
  <c r="V14" i="25" s="1"/>
  <c r="BH12" i="25"/>
  <c r="BH13" i="25"/>
  <c r="BH14" i="25"/>
  <c r="L11" i="24"/>
  <c r="M11" i="24"/>
  <c r="N11" i="24"/>
  <c r="S11" i="24"/>
  <c r="S10" i="24" s="1"/>
  <c r="S9" i="24" s="1"/>
  <c r="T11" i="24"/>
  <c r="U11" i="24"/>
  <c r="AE12" i="24"/>
  <c r="AE13" i="24"/>
  <c r="AE11" i="24" s="1"/>
  <c r="Y79" i="24" s="1"/>
  <c r="AE14" i="24"/>
  <c r="V14" i="24" s="1"/>
  <c r="BH12" i="24"/>
  <c r="BH13" i="24"/>
  <c r="BH14" i="24"/>
  <c r="L11" i="23"/>
  <c r="M11" i="23"/>
  <c r="N11" i="23"/>
  <c r="S11" i="23"/>
  <c r="T11" i="23"/>
  <c r="U11" i="23"/>
  <c r="AE12" i="23"/>
  <c r="AE13" i="23"/>
  <c r="AE14" i="23"/>
  <c r="V14" i="23" s="1"/>
  <c r="BH12" i="23"/>
  <c r="BH13" i="23"/>
  <c r="BH14" i="23"/>
  <c r="L11" i="22"/>
  <c r="M11" i="22"/>
  <c r="N11" i="22"/>
  <c r="S11" i="22"/>
  <c r="T11" i="22"/>
  <c r="U11" i="22"/>
  <c r="O78" i="22" s="1"/>
  <c r="AE12" i="22"/>
  <c r="AE13" i="22"/>
  <c r="V13" i="22" s="1"/>
  <c r="AE14" i="22"/>
  <c r="V14" i="22"/>
  <c r="BH12" i="22"/>
  <c r="BH13" i="22"/>
  <c r="BH14" i="22"/>
  <c r="L11" i="21"/>
  <c r="M11" i="21"/>
  <c r="N11" i="21"/>
  <c r="S11" i="21"/>
  <c r="T11" i="21"/>
  <c r="U11" i="21"/>
  <c r="AE12" i="21"/>
  <c r="V12" i="21" s="1"/>
  <c r="AE13" i="21"/>
  <c r="AE14" i="21"/>
  <c r="V14" i="21" s="1"/>
  <c r="BH12" i="21"/>
  <c r="BH13" i="21"/>
  <c r="BH11" i="21" s="1"/>
  <c r="BH14" i="21"/>
  <c r="L11" i="34"/>
  <c r="M11" i="34"/>
  <c r="N11" i="34"/>
  <c r="S11" i="34"/>
  <c r="T11" i="34"/>
  <c r="U11" i="34"/>
  <c r="AE12" i="34"/>
  <c r="AE13" i="34"/>
  <c r="V13" i="34"/>
  <c r="AE14" i="34"/>
  <c r="V14" i="34" s="1"/>
  <c r="BH12" i="34"/>
  <c r="BH13" i="34"/>
  <c r="BH14" i="34"/>
  <c r="L11" i="33"/>
  <c r="M11" i="33"/>
  <c r="N11" i="33"/>
  <c r="S11" i="33"/>
  <c r="T11" i="33"/>
  <c r="U11" i="33"/>
  <c r="O78" i="33" s="1"/>
  <c r="AE12" i="33"/>
  <c r="AE13" i="33"/>
  <c r="AE14" i="33"/>
  <c r="V14" i="33" s="1"/>
  <c r="BH12" i="33"/>
  <c r="BH13" i="33"/>
  <c r="BH14" i="33"/>
  <c r="L11" i="32"/>
  <c r="M11" i="32"/>
  <c r="N11" i="32"/>
  <c r="S11" i="32"/>
  <c r="T11" i="32"/>
  <c r="U11" i="32"/>
  <c r="U10" i="32" s="1"/>
  <c r="AE12" i="32"/>
  <c r="AE13" i="32"/>
  <c r="AE14" i="32"/>
  <c r="V14" i="32" s="1"/>
  <c r="BH12" i="32"/>
  <c r="BH13" i="32"/>
  <c r="BH14" i="32"/>
  <c r="BH11" i="32" s="1"/>
  <c r="L11" i="30"/>
  <c r="M11" i="30"/>
  <c r="N11" i="30"/>
  <c r="S11" i="30"/>
  <c r="T11" i="30"/>
  <c r="U11" i="30"/>
  <c r="AE12" i="30"/>
  <c r="V12" i="30" s="1"/>
  <c r="AE13" i="30"/>
  <c r="AE14" i="30"/>
  <c r="V14" i="30" s="1"/>
  <c r="BH12" i="30"/>
  <c r="BH13" i="30"/>
  <c r="BH14" i="30"/>
  <c r="L11" i="40"/>
  <c r="M11" i="40"/>
  <c r="N11" i="40"/>
  <c r="S11" i="40"/>
  <c r="T11" i="40"/>
  <c r="U11" i="40"/>
  <c r="O78" i="40" s="1"/>
  <c r="AE12" i="40"/>
  <c r="AE13" i="40"/>
  <c r="AE14" i="40"/>
  <c r="V14" i="40" s="1"/>
  <c r="BH12" i="40"/>
  <c r="BH13" i="40"/>
  <c r="BH11" i="40" s="1"/>
  <c r="BH14" i="40"/>
  <c r="L11" i="39"/>
  <c r="M11" i="39"/>
  <c r="N11" i="39"/>
  <c r="S11" i="39"/>
  <c r="S10" i="39" s="1"/>
  <c r="S9" i="39" s="1"/>
  <c r="T11" i="39"/>
  <c r="U11" i="39"/>
  <c r="AE12" i="39"/>
  <c r="AE13" i="39"/>
  <c r="AE14" i="39"/>
  <c r="V14" i="39" s="1"/>
  <c r="BH12" i="39"/>
  <c r="BH13" i="39"/>
  <c r="BH14" i="39"/>
  <c r="L11" i="38"/>
  <c r="M11" i="38"/>
  <c r="N11" i="38"/>
  <c r="S11" i="38"/>
  <c r="T11" i="38"/>
  <c r="U11" i="38"/>
  <c r="AE12" i="38"/>
  <c r="AE13" i="38"/>
  <c r="AE14" i="38"/>
  <c r="V14" i="38" s="1"/>
  <c r="BH12" i="38"/>
  <c r="BH13" i="38"/>
  <c r="BH14" i="38"/>
  <c r="L11" i="37"/>
  <c r="M11" i="37"/>
  <c r="N11" i="37"/>
  <c r="S11" i="37"/>
  <c r="T11" i="37"/>
  <c r="U11" i="37"/>
  <c r="AE12" i="37"/>
  <c r="AE13" i="37"/>
  <c r="V13" i="37" s="1"/>
  <c r="AE14" i="37"/>
  <c r="V14" i="37"/>
  <c r="BH12" i="37"/>
  <c r="BH13" i="37"/>
  <c r="BH14" i="37"/>
  <c r="L11" i="19"/>
  <c r="M11" i="19"/>
  <c r="N11" i="19"/>
  <c r="S11" i="19"/>
  <c r="S10" i="19"/>
  <c r="T11" i="19"/>
  <c r="U11" i="19"/>
  <c r="AE12" i="19"/>
  <c r="AE13" i="19"/>
  <c r="AE11" i="19" s="1"/>
  <c r="AE14" i="19"/>
  <c r="V14" i="19" s="1"/>
  <c r="BH12" i="19"/>
  <c r="BH13" i="19"/>
  <c r="BH14" i="19"/>
  <c r="D11" i="29"/>
  <c r="D11" i="28"/>
  <c r="C7" i="46" s="1"/>
  <c r="C9" i="83" s="1"/>
  <c r="D11" i="27"/>
  <c r="C8" i="46" s="1"/>
  <c r="D11" i="24"/>
  <c r="C11" i="46" s="1"/>
  <c r="C13" i="83" s="1"/>
  <c r="D11" i="23"/>
  <c r="D11" i="22"/>
  <c r="C13" i="46" s="1"/>
  <c r="D11" i="21"/>
  <c r="C14" i="46" s="1"/>
  <c r="D11" i="34"/>
  <c r="C15" i="46" s="1"/>
  <c r="D11" i="33"/>
  <c r="C16" i="46" s="1"/>
  <c r="C18" i="83" s="1"/>
  <c r="D11" i="32"/>
  <c r="C17" i="46" s="1"/>
  <c r="C19" i="83" s="1"/>
  <c r="D11" i="31"/>
  <c r="D10" i="31" s="1"/>
  <c r="D9" i="31" s="1"/>
  <c r="D11" i="30"/>
  <c r="C19" i="46" s="1"/>
  <c r="D11" i="40"/>
  <c r="C20" i="46" s="1"/>
  <c r="C22" i="83" s="1"/>
  <c r="D11" i="39"/>
  <c r="C21" i="46" s="1"/>
  <c r="C23" i="83" s="1"/>
  <c r="D11" i="38"/>
  <c r="D11" i="37"/>
  <c r="C23" i="46" s="1"/>
  <c r="D11" i="19"/>
  <c r="D10" i="19" s="1"/>
  <c r="H60" i="29"/>
  <c r="G60" i="29"/>
  <c r="F60" i="29" s="1"/>
  <c r="E60" i="29" s="1"/>
  <c r="AE60" i="29"/>
  <c r="BH60" i="29"/>
  <c r="H60" i="28"/>
  <c r="G60" i="28" s="1"/>
  <c r="F60" i="28" s="1"/>
  <c r="E60" i="28" s="1"/>
  <c r="AE60" i="28"/>
  <c r="BH60" i="28"/>
  <c r="H60" i="27"/>
  <c r="G60" i="27" s="1"/>
  <c r="F60" i="27" s="1"/>
  <c r="E60" i="27" s="1"/>
  <c r="BH60" i="27"/>
  <c r="H60" i="26"/>
  <c r="G60" i="26" s="1"/>
  <c r="F60" i="26" s="1"/>
  <c r="E60" i="26" s="1"/>
  <c r="AE60" i="26"/>
  <c r="BH60" i="26"/>
  <c r="H60" i="25"/>
  <c r="G60" i="25" s="1"/>
  <c r="F60" i="25" s="1"/>
  <c r="E60" i="25" s="1"/>
  <c r="AE60" i="25"/>
  <c r="BH60" i="25"/>
  <c r="H60" i="24"/>
  <c r="G60" i="24" s="1"/>
  <c r="F60" i="24" s="1"/>
  <c r="E60" i="24" s="1"/>
  <c r="AE60" i="24"/>
  <c r="BH60" i="24"/>
  <c r="H60" i="23"/>
  <c r="G60" i="23" s="1"/>
  <c r="F60" i="23" s="1"/>
  <c r="E60" i="23" s="1"/>
  <c r="AE60" i="23"/>
  <c r="BH60" i="23"/>
  <c r="H60" i="22"/>
  <c r="G60" i="22" s="1"/>
  <c r="F60" i="22" s="1"/>
  <c r="E60" i="22" s="1"/>
  <c r="AE60" i="22"/>
  <c r="BH60" i="22"/>
  <c r="H60" i="21"/>
  <c r="G60" i="21" s="1"/>
  <c r="F60" i="21" s="1"/>
  <c r="E60" i="21" s="1"/>
  <c r="AE60" i="21"/>
  <c r="BH60" i="21"/>
  <c r="H60" i="34"/>
  <c r="G60" i="34" s="1"/>
  <c r="F60" i="34" s="1"/>
  <c r="E60" i="34" s="1"/>
  <c r="AE60" i="34"/>
  <c r="BH60" i="34"/>
  <c r="H60" i="33"/>
  <c r="G60" i="33" s="1"/>
  <c r="F60" i="33" s="1"/>
  <c r="E60" i="33" s="1"/>
  <c r="AE60" i="33"/>
  <c r="Y112" i="33" s="1"/>
  <c r="BH60" i="33"/>
  <c r="H60" i="32"/>
  <c r="G60" i="32" s="1"/>
  <c r="F60" i="32" s="1"/>
  <c r="E60" i="32" s="1"/>
  <c r="AE60" i="32"/>
  <c r="BH60" i="32"/>
  <c r="H60" i="30"/>
  <c r="G60" i="30" s="1"/>
  <c r="F60" i="30" s="1"/>
  <c r="E60" i="30" s="1"/>
  <c r="AE60" i="30"/>
  <c r="BH60" i="30"/>
  <c r="H60" i="40"/>
  <c r="G60" i="40"/>
  <c r="F60" i="40" s="1"/>
  <c r="E60" i="40" s="1"/>
  <c r="AE60" i="40"/>
  <c r="BH60" i="40"/>
  <c r="H60" i="39"/>
  <c r="G60" i="39"/>
  <c r="F60" i="39" s="1"/>
  <c r="E60" i="39" s="1"/>
  <c r="AE60" i="39"/>
  <c r="BH60" i="39"/>
  <c r="H60" i="38"/>
  <c r="G60" i="38" s="1"/>
  <c r="F60" i="38" s="1"/>
  <c r="E60" i="38" s="1"/>
  <c r="AE60" i="38"/>
  <c r="BH60" i="38"/>
  <c r="H60" i="37"/>
  <c r="G60" i="37" s="1"/>
  <c r="F60" i="37"/>
  <c r="E60" i="37" s="1"/>
  <c r="AE60" i="37"/>
  <c r="BH60" i="37"/>
  <c r="H60" i="19"/>
  <c r="G60" i="19"/>
  <c r="F60" i="19" s="1"/>
  <c r="E60" i="19" s="1"/>
  <c r="AE60" i="19"/>
  <c r="BH60" i="19"/>
  <c r="C456" i="47"/>
  <c r="C7" i="80" s="1"/>
  <c r="C457" i="47"/>
  <c r="C8" i="80" s="1"/>
  <c r="C458" i="47"/>
  <c r="C9" i="80" s="1"/>
  <c r="C459" i="47"/>
  <c r="C10" i="80" s="1"/>
  <c r="C460" i="47"/>
  <c r="C11" i="80" s="1"/>
  <c r="C461" i="47"/>
  <c r="C12" i="80" s="1"/>
  <c r="C462" i="47"/>
  <c r="C13" i="80" s="1"/>
  <c r="C463" i="47"/>
  <c r="C14" i="80" s="1"/>
  <c r="C464" i="47"/>
  <c r="C15" i="80" s="1"/>
  <c r="C465" i="47"/>
  <c r="C16" i="80" s="1"/>
  <c r="C466" i="47"/>
  <c r="C17" i="80" s="1"/>
  <c r="C467" i="47"/>
  <c r="C18" i="80" s="1"/>
  <c r="C468" i="47"/>
  <c r="C19" i="80" s="1"/>
  <c r="C469" i="47"/>
  <c r="C20" i="80" s="1"/>
  <c r="C470" i="47"/>
  <c r="C21" i="80" s="1"/>
  <c r="C471" i="47"/>
  <c r="C22" i="80" s="1"/>
  <c r="C472" i="47"/>
  <c r="C473" i="47"/>
  <c r="C455" i="47"/>
  <c r="C6" i="80" s="1"/>
  <c r="D6" i="80"/>
  <c r="D7" i="80"/>
  <c r="D8" i="80"/>
  <c r="D23" i="80" s="1"/>
  <c r="D9" i="80"/>
  <c r="D10" i="80"/>
  <c r="D11" i="80"/>
  <c r="D12" i="80"/>
  <c r="D13" i="80"/>
  <c r="D14" i="80"/>
  <c r="D15" i="80"/>
  <c r="D16" i="80"/>
  <c r="D17" i="80"/>
  <c r="D18" i="80"/>
  <c r="D19" i="80"/>
  <c r="D20" i="80"/>
  <c r="D21" i="80"/>
  <c r="D22" i="80"/>
  <c r="F23" i="80"/>
  <c r="E23" i="80"/>
  <c r="E22" i="77"/>
  <c r="AE61" i="29"/>
  <c r="BH61" i="29"/>
  <c r="AE61" i="28"/>
  <c r="BH61" i="28"/>
  <c r="AE61" i="27"/>
  <c r="BH61" i="27"/>
  <c r="AE61" i="26"/>
  <c r="BH61" i="26"/>
  <c r="AE61" i="25"/>
  <c r="BH61" i="25"/>
  <c r="AE61" i="24"/>
  <c r="BH61" i="24"/>
  <c r="AE61" i="23"/>
  <c r="BH61" i="23"/>
  <c r="AE61" i="22"/>
  <c r="BH61" i="22"/>
  <c r="G61" i="21"/>
  <c r="F61" i="21"/>
  <c r="E61" i="21" s="1"/>
  <c r="AE61" i="21"/>
  <c r="BH61" i="21"/>
  <c r="AE61" i="34"/>
  <c r="Y113" i="34" s="1"/>
  <c r="BH61" i="34"/>
  <c r="AE61" i="33"/>
  <c r="BH61" i="33"/>
  <c r="AE61" i="32"/>
  <c r="Y113" i="32"/>
  <c r="BH61" i="32"/>
  <c r="AE61" i="30"/>
  <c r="BH61" i="30"/>
  <c r="AE61" i="40"/>
  <c r="BH61" i="40"/>
  <c r="G61" i="39"/>
  <c r="F61" i="39" s="1"/>
  <c r="E61" i="39" s="1"/>
  <c r="BL61" i="39" s="1"/>
  <c r="E496" i="47" s="1"/>
  <c r="G22" i="77" s="1"/>
  <c r="AE61" i="39"/>
  <c r="BH61" i="39"/>
  <c r="AE61" i="38"/>
  <c r="BH61" i="38"/>
  <c r="G61" i="37"/>
  <c r="F61" i="37" s="1"/>
  <c r="E61" i="37" s="1"/>
  <c r="AE61" i="37"/>
  <c r="BH61" i="37"/>
  <c r="AE61" i="19"/>
  <c r="BH61" i="19"/>
  <c r="C481" i="47"/>
  <c r="C7" i="77" s="1"/>
  <c r="C482" i="47"/>
  <c r="C8" i="77" s="1"/>
  <c r="C483" i="47"/>
  <c r="C9" i="77" s="1"/>
  <c r="C484" i="47"/>
  <c r="C10" i="77" s="1"/>
  <c r="C485" i="47"/>
  <c r="C11" i="77" s="1"/>
  <c r="C486" i="47"/>
  <c r="C12" i="77" s="1"/>
  <c r="C487" i="47"/>
  <c r="C13" i="77" s="1"/>
  <c r="C488" i="47"/>
  <c r="C14" i="77" s="1"/>
  <c r="C489" i="47"/>
  <c r="C15" i="77" s="1"/>
  <c r="C490" i="47"/>
  <c r="C16" i="77" s="1"/>
  <c r="C491" i="47"/>
  <c r="C17" i="77" s="1"/>
  <c r="C492" i="47"/>
  <c r="C18" i="77" s="1"/>
  <c r="C493" i="47"/>
  <c r="C19" i="77" s="1"/>
  <c r="C494" i="47"/>
  <c r="C20" i="77" s="1"/>
  <c r="C495" i="47"/>
  <c r="C21" i="77" s="1"/>
  <c r="C496" i="47"/>
  <c r="C22" i="77" s="1"/>
  <c r="C497" i="47"/>
  <c r="C498" i="47"/>
  <c r="C480" i="47"/>
  <c r="C6" i="77" s="1"/>
  <c r="F22" i="78"/>
  <c r="F21" i="78"/>
  <c r="F20" i="78"/>
  <c r="F19" i="78"/>
  <c r="F18" i="78"/>
  <c r="F17" i="78"/>
  <c r="F16" i="78"/>
  <c r="F15" i="78"/>
  <c r="F14" i="78"/>
  <c r="F13" i="78"/>
  <c r="F12" i="78"/>
  <c r="F11" i="78"/>
  <c r="F10" i="78"/>
  <c r="F9" i="78"/>
  <c r="F8" i="78"/>
  <c r="F7" i="78"/>
  <c r="F6" i="78"/>
  <c r="E22" i="78"/>
  <c r="E21" i="78"/>
  <c r="E20" i="78"/>
  <c r="E19" i="78"/>
  <c r="E18" i="78"/>
  <c r="E17" i="78"/>
  <c r="E16" i="78"/>
  <c r="E15" i="78"/>
  <c r="E14" i="78"/>
  <c r="E13" i="78"/>
  <c r="E12" i="78"/>
  <c r="E11" i="78"/>
  <c r="E10" i="78"/>
  <c r="E9" i="78"/>
  <c r="E8" i="78"/>
  <c r="E7" i="78"/>
  <c r="E6" i="78"/>
  <c r="H59" i="29"/>
  <c r="G59" i="29"/>
  <c r="F59" i="29" s="1"/>
  <c r="E59" i="29" s="1"/>
  <c r="BL59" i="29" s="1"/>
  <c r="AE59" i="29"/>
  <c r="BH59" i="29"/>
  <c r="H59" i="28"/>
  <c r="G59" i="28" s="1"/>
  <c r="F59" i="28" s="1"/>
  <c r="E59" i="28" s="1"/>
  <c r="AE59" i="28"/>
  <c r="BH59" i="28"/>
  <c r="H59" i="27"/>
  <c r="G59" i="27" s="1"/>
  <c r="F59" i="27" s="1"/>
  <c r="E59" i="27" s="1"/>
  <c r="BL59" i="27" s="1"/>
  <c r="AE59" i="27"/>
  <c r="BH59" i="27"/>
  <c r="H59" i="26"/>
  <c r="G59" i="26" s="1"/>
  <c r="F59" i="26" s="1"/>
  <c r="E59" i="26" s="1"/>
  <c r="AE59" i="26"/>
  <c r="BH59" i="26"/>
  <c r="H59" i="25"/>
  <c r="G59" i="25" s="1"/>
  <c r="F59" i="25" s="1"/>
  <c r="E59" i="25" s="1"/>
  <c r="AE59" i="25"/>
  <c r="BH59" i="25"/>
  <c r="H59" i="24"/>
  <c r="G59" i="24" s="1"/>
  <c r="F59" i="24" s="1"/>
  <c r="E59" i="24" s="1"/>
  <c r="AE59" i="24"/>
  <c r="BH59" i="24"/>
  <c r="H59" i="23"/>
  <c r="G59" i="23" s="1"/>
  <c r="F59" i="23" s="1"/>
  <c r="E59" i="23" s="1"/>
  <c r="AE59" i="23"/>
  <c r="BH59" i="23"/>
  <c r="H59" i="22"/>
  <c r="G59" i="22" s="1"/>
  <c r="F59" i="22" s="1"/>
  <c r="E59" i="22"/>
  <c r="AE59" i="22"/>
  <c r="BH59" i="22"/>
  <c r="H59" i="21"/>
  <c r="G59" i="21" s="1"/>
  <c r="F59" i="21" s="1"/>
  <c r="E59" i="21" s="1"/>
  <c r="AE59" i="21"/>
  <c r="BH59" i="21"/>
  <c r="H59" i="34"/>
  <c r="G59" i="34" s="1"/>
  <c r="F59" i="34" s="1"/>
  <c r="E59" i="34" s="1"/>
  <c r="AE59" i="34"/>
  <c r="BH59" i="34"/>
  <c r="H59" i="33"/>
  <c r="G59" i="33" s="1"/>
  <c r="F59" i="33" s="1"/>
  <c r="E59" i="33" s="1"/>
  <c r="BL59" i="33" s="1"/>
  <c r="AE59" i="33"/>
  <c r="BH59" i="33"/>
  <c r="H59" i="32"/>
  <c r="G59" i="32" s="1"/>
  <c r="F59" i="32" s="1"/>
  <c r="E59" i="32" s="1"/>
  <c r="AE59" i="32"/>
  <c r="BH59" i="32"/>
  <c r="H59" i="30"/>
  <c r="G59" i="30" s="1"/>
  <c r="F59" i="30" s="1"/>
  <c r="E59" i="30" s="1"/>
  <c r="AE59" i="30"/>
  <c r="BL59" i="30" s="1"/>
  <c r="BD59" i="30" s="1"/>
  <c r="V59" i="30" s="1"/>
  <c r="BH59" i="30"/>
  <c r="H59" i="40"/>
  <c r="G59" i="40"/>
  <c r="F59" i="40" s="1"/>
  <c r="E59" i="40" s="1"/>
  <c r="AE59" i="40"/>
  <c r="BH59" i="40"/>
  <c r="H59" i="39"/>
  <c r="G59" i="39" s="1"/>
  <c r="F59" i="39" s="1"/>
  <c r="E59" i="39" s="1"/>
  <c r="AE59" i="39"/>
  <c r="BH59" i="39"/>
  <c r="H59" i="38"/>
  <c r="G59" i="38" s="1"/>
  <c r="F59" i="38" s="1"/>
  <c r="E59" i="38" s="1"/>
  <c r="AE59" i="38"/>
  <c r="BH59" i="38"/>
  <c r="H59" i="37"/>
  <c r="G59" i="37" s="1"/>
  <c r="F59" i="37" s="1"/>
  <c r="E59" i="37" s="1"/>
  <c r="BL59" i="37" s="1"/>
  <c r="E448" i="47" s="1"/>
  <c r="AE59" i="37"/>
  <c r="BH59" i="37"/>
  <c r="H59" i="19"/>
  <c r="G59" i="19" s="1"/>
  <c r="F59" i="19" s="1"/>
  <c r="E59" i="19" s="1"/>
  <c r="BL59" i="19" s="1"/>
  <c r="AE59" i="19"/>
  <c r="BH59" i="19"/>
  <c r="C431" i="47"/>
  <c r="C7" i="78" s="1"/>
  <c r="C432" i="47"/>
  <c r="C8" i="78" s="1"/>
  <c r="C433" i="47"/>
  <c r="C9" i="78" s="1"/>
  <c r="C434" i="47"/>
  <c r="C10" i="78" s="1"/>
  <c r="C435" i="47"/>
  <c r="C11" i="78" s="1"/>
  <c r="C436" i="47"/>
  <c r="C12" i="78" s="1"/>
  <c r="C437" i="47"/>
  <c r="C13" i="78" s="1"/>
  <c r="C438" i="47"/>
  <c r="C14" i="78" s="1"/>
  <c r="C439" i="47"/>
  <c r="C15" i="78" s="1"/>
  <c r="C440" i="47"/>
  <c r="C16" i="78" s="1"/>
  <c r="C441" i="47"/>
  <c r="C17" i="78" s="1"/>
  <c r="C442" i="47"/>
  <c r="C18" i="78" s="1"/>
  <c r="C443" i="47"/>
  <c r="C19" i="78" s="1"/>
  <c r="C444" i="47"/>
  <c r="C20" i="78" s="1"/>
  <c r="C445" i="47"/>
  <c r="C21" i="78" s="1"/>
  <c r="C446" i="47"/>
  <c r="C22" i="78" s="1"/>
  <c r="C447" i="47"/>
  <c r="C448" i="47"/>
  <c r="C430" i="47"/>
  <c r="C6" i="78" s="1"/>
  <c r="BC63" i="37"/>
  <c r="BC63" i="38"/>
  <c r="BC63" i="39"/>
  <c r="G23" i="79" s="1"/>
  <c r="BC63" i="40"/>
  <c r="BC63" i="30"/>
  <c r="AL115" i="30" s="1"/>
  <c r="BC63" i="32"/>
  <c r="BC63" i="33"/>
  <c r="BC63" i="34"/>
  <c r="BC63" i="21"/>
  <c r="BC63" i="22"/>
  <c r="BC63" i="23"/>
  <c r="BC63" i="24"/>
  <c r="BC63" i="25"/>
  <c r="BC63" i="26"/>
  <c r="BC63" i="27"/>
  <c r="BC63" i="28"/>
  <c r="BC63" i="29"/>
  <c r="BC63" i="19"/>
  <c r="H58" i="29"/>
  <c r="G58" i="29" s="1"/>
  <c r="F58" i="29" s="1"/>
  <c r="E58" i="29" s="1"/>
  <c r="AE58" i="29"/>
  <c r="BH58" i="29"/>
  <c r="H58" i="28"/>
  <c r="G58" i="28" s="1"/>
  <c r="F58" i="28" s="1"/>
  <c r="E58" i="28" s="1"/>
  <c r="AE58" i="28"/>
  <c r="BH58" i="28"/>
  <c r="H58" i="27"/>
  <c r="G58" i="27" s="1"/>
  <c r="F58" i="27" s="1"/>
  <c r="E58" i="27" s="1"/>
  <c r="AE58" i="27"/>
  <c r="BH58" i="27"/>
  <c r="H58" i="26"/>
  <c r="G58" i="26"/>
  <c r="F58" i="26" s="1"/>
  <c r="E58" i="26" s="1"/>
  <c r="BL58" i="26" s="1"/>
  <c r="AE58" i="26"/>
  <c r="BH58" i="26"/>
  <c r="H58" i="25"/>
  <c r="G58" i="25" s="1"/>
  <c r="F58" i="25" s="1"/>
  <c r="E58" i="25" s="1"/>
  <c r="AE58" i="25"/>
  <c r="BH58" i="25"/>
  <c r="H58" i="24"/>
  <c r="G58" i="24" s="1"/>
  <c r="F58" i="24" s="1"/>
  <c r="E58" i="24" s="1"/>
  <c r="AE58" i="24"/>
  <c r="BH58" i="24"/>
  <c r="H58" i="23"/>
  <c r="G58" i="23" s="1"/>
  <c r="F58" i="23" s="1"/>
  <c r="E58" i="23" s="1"/>
  <c r="AE58" i="23"/>
  <c r="BH58" i="23"/>
  <c r="H58" i="22"/>
  <c r="G58" i="22" s="1"/>
  <c r="F58" i="22" s="1"/>
  <c r="E58" i="22" s="1"/>
  <c r="AE58" i="22"/>
  <c r="BH58" i="22"/>
  <c r="H58" i="21"/>
  <c r="G58" i="21" s="1"/>
  <c r="F58" i="21" s="1"/>
  <c r="E58" i="21" s="1"/>
  <c r="AE58" i="21"/>
  <c r="BH58" i="21"/>
  <c r="H58" i="34"/>
  <c r="G58" i="34"/>
  <c r="F58" i="34" s="1"/>
  <c r="E58" i="34" s="1"/>
  <c r="BL58" i="34" s="1"/>
  <c r="AE58" i="34"/>
  <c r="BH58" i="34"/>
  <c r="H58" i="33"/>
  <c r="G58" i="33" s="1"/>
  <c r="F58" i="33" s="1"/>
  <c r="E58" i="33" s="1"/>
  <c r="AE58" i="33"/>
  <c r="BH58" i="33"/>
  <c r="H58" i="32"/>
  <c r="G58" i="32" s="1"/>
  <c r="F58" i="32" s="1"/>
  <c r="E58" i="32" s="1"/>
  <c r="BL58" i="32" s="1"/>
  <c r="AE58" i="32"/>
  <c r="BH58" i="32"/>
  <c r="H58" i="30"/>
  <c r="G58" i="30" s="1"/>
  <c r="F58" i="30" s="1"/>
  <c r="E58" i="30" s="1"/>
  <c r="AE58" i="30"/>
  <c r="BH58" i="30"/>
  <c r="H58" i="40"/>
  <c r="G58" i="40" s="1"/>
  <c r="F58" i="40" s="1"/>
  <c r="E58" i="40" s="1"/>
  <c r="AE58" i="40"/>
  <c r="BH58" i="40"/>
  <c r="H58" i="39"/>
  <c r="G58" i="39" s="1"/>
  <c r="F58" i="39" s="1"/>
  <c r="E58" i="39" s="1"/>
  <c r="BL58" i="39" s="1"/>
  <c r="AE58" i="39"/>
  <c r="BH58" i="39"/>
  <c r="H58" i="38"/>
  <c r="G58" i="38"/>
  <c r="F58" i="38" s="1"/>
  <c r="E58" i="38" s="1"/>
  <c r="AE58" i="38"/>
  <c r="BH58" i="38"/>
  <c r="H58" i="37"/>
  <c r="AE58" i="37"/>
  <c r="BH58" i="37"/>
  <c r="H58" i="19"/>
  <c r="G58" i="19" s="1"/>
  <c r="F58" i="19" s="1"/>
  <c r="E58" i="19" s="1"/>
  <c r="AE58" i="19"/>
  <c r="BH58" i="19"/>
  <c r="C406" i="47"/>
  <c r="C8" i="79" s="1"/>
  <c r="C407" i="47"/>
  <c r="C9" i="79" s="1"/>
  <c r="C408" i="47"/>
  <c r="C10" i="79" s="1"/>
  <c r="C409" i="47"/>
  <c r="C11" i="79" s="1"/>
  <c r="C410" i="47"/>
  <c r="C12" i="79" s="1"/>
  <c r="C411" i="47"/>
  <c r="C13" i="79" s="1"/>
  <c r="C412" i="47"/>
  <c r="C14" i="79" s="1"/>
  <c r="C413" i="47"/>
  <c r="C15" i="79" s="1"/>
  <c r="C414" i="47"/>
  <c r="C16" i="79" s="1"/>
  <c r="C415" i="47"/>
  <c r="C17" i="79" s="1"/>
  <c r="C416" i="47"/>
  <c r="C18" i="79" s="1"/>
  <c r="C417" i="47"/>
  <c r="C19" i="79" s="1"/>
  <c r="C418" i="47"/>
  <c r="C20" i="79" s="1"/>
  <c r="C419" i="47"/>
  <c r="C21" i="79" s="1"/>
  <c r="C420" i="47"/>
  <c r="C22" i="79" s="1"/>
  <c r="C421" i="47"/>
  <c r="C23" i="79" s="1"/>
  <c r="C422" i="47"/>
  <c r="C423" i="47"/>
  <c r="C405" i="47"/>
  <c r="C7" i="79" s="1"/>
  <c r="F23" i="73"/>
  <c r="F22" i="73"/>
  <c r="F21" i="73"/>
  <c r="F20" i="73"/>
  <c r="F19" i="73"/>
  <c r="F18" i="73"/>
  <c r="F17" i="73"/>
  <c r="F16" i="73"/>
  <c r="F15" i="73"/>
  <c r="F14" i="73"/>
  <c r="F13" i="73"/>
  <c r="F12" i="73"/>
  <c r="F11" i="73"/>
  <c r="F10" i="73"/>
  <c r="F9" i="73"/>
  <c r="F8" i="73"/>
  <c r="F7" i="73"/>
  <c r="H57" i="29"/>
  <c r="G57" i="29" s="1"/>
  <c r="F57" i="29" s="1"/>
  <c r="E57" i="29" s="1"/>
  <c r="AE57" i="29"/>
  <c r="BH57" i="29"/>
  <c r="H57" i="28"/>
  <c r="G57" i="28" s="1"/>
  <c r="F57" i="28" s="1"/>
  <c r="E57" i="28" s="1"/>
  <c r="AE57" i="28"/>
  <c r="BH57" i="28"/>
  <c r="H57" i="27"/>
  <c r="G57" i="27" s="1"/>
  <c r="F57" i="27" s="1"/>
  <c r="E57" i="27" s="1"/>
  <c r="AE57" i="27"/>
  <c r="BH57" i="27"/>
  <c r="H57" i="26"/>
  <c r="G57" i="26" s="1"/>
  <c r="F57" i="26" s="1"/>
  <c r="E57" i="26" s="1"/>
  <c r="AE57" i="26"/>
  <c r="BH57" i="26"/>
  <c r="H57" i="25"/>
  <c r="G57" i="25" s="1"/>
  <c r="F57" i="25" s="1"/>
  <c r="E57" i="25" s="1"/>
  <c r="AE57" i="25"/>
  <c r="BH57" i="25"/>
  <c r="H57" i="24"/>
  <c r="G57" i="24" s="1"/>
  <c r="F57" i="24" s="1"/>
  <c r="E57" i="24" s="1"/>
  <c r="AE57" i="24"/>
  <c r="BH57" i="24"/>
  <c r="H57" i="23"/>
  <c r="G57" i="23" s="1"/>
  <c r="F57" i="23" s="1"/>
  <c r="E57" i="23" s="1"/>
  <c r="AE57" i="23"/>
  <c r="BH57" i="23"/>
  <c r="H57" i="22"/>
  <c r="G57" i="22" s="1"/>
  <c r="F57" i="22" s="1"/>
  <c r="E57" i="22" s="1"/>
  <c r="AE57" i="22"/>
  <c r="BH57" i="22"/>
  <c r="H57" i="21"/>
  <c r="G57" i="21" s="1"/>
  <c r="F57" i="21" s="1"/>
  <c r="E57" i="21" s="1"/>
  <c r="AE57" i="21"/>
  <c r="BH57" i="21"/>
  <c r="H57" i="34"/>
  <c r="G57" i="34" s="1"/>
  <c r="F57" i="34" s="1"/>
  <c r="E57" i="34" s="1"/>
  <c r="AE57" i="34"/>
  <c r="BH57" i="34"/>
  <c r="H57" i="33"/>
  <c r="G57" i="33" s="1"/>
  <c r="F57" i="33" s="1"/>
  <c r="E57" i="33"/>
  <c r="AE57" i="33"/>
  <c r="BH57" i="33"/>
  <c r="H57" i="32"/>
  <c r="G57" i="32" s="1"/>
  <c r="F57" i="32" s="1"/>
  <c r="E57" i="32" s="1"/>
  <c r="AE57" i="32"/>
  <c r="BH57" i="32"/>
  <c r="H57" i="30"/>
  <c r="G57" i="30" s="1"/>
  <c r="F57" i="30" s="1"/>
  <c r="E57" i="30" s="1"/>
  <c r="AE57" i="30"/>
  <c r="BH57" i="30"/>
  <c r="H57" i="40"/>
  <c r="G57" i="40" s="1"/>
  <c r="F57" i="40" s="1"/>
  <c r="E57" i="40" s="1"/>
  <c r="AE57" i="40"/>
  <c r="BH57" i="40"/>
  <c r="H57" i="39"/>
  <c r="G57" i="39" s="1"/>
  <c r="F57" i="39" s="1"/>
  <c r="E57" i="39" s="1"/>
  <c r="BL57" i="39" s="1"/>
  <c r="E396" i="47" s="1"/>
  <c r="H23" i="73" s="1"/>
  <c r="AE57" i="39"/>
  <c r="BH57" i="39"/>
  <c r="H57" i="38"/>
  <c r="G57" i="38" s="1"/>
  <c r="F57" i="38" s="1"/>
  <c r="E57" i="38" s="1"/>
  <c r="AE57" i="38"/>
  <c r="BH57" i="38"/>
  <c r="H57" i="37"/>
  <c r="G57" i="37" s="1"/>
  <c r="F57" i="37" s="1"/>
  <c r="E57" i="37" s="1"/>
  <c r="AE57" i="37"/>
  <c r="BH57" i="37"/>
  <c r="H57" i="19"/>
  <c r="G57" i="19" s="1"/>
  <c r="F57" i="19" s="1"/>
  <c r="E57" i="19" s="1"/>
  <c r="AE57" i="19"/>
  <c r="BH57" i="19"/>
  <c r="C381" i="47"/>
  <c r="C8" i="73" s="1"/>
  <c r="C382" i="47"/>
  <c r="C9" i="73" s="1"/>
  <c r="C383" i="47"/>
  <c r="C10" i="73" s="1"/>
  <c r="C384" i="47"/>
  <c r="C11" i="73" s="1"/>
  <c r="C385" i="47"/>
  <c r="C12" i="73" s="1"/>
  <c r="C386" i="47"/>
  <c r="C13" i="73" s="1"/>
  <c r="C387" i="47"/>
  <c r="C14" i="73" s="1"/>
  <c r="C388" i="47"/>
  <c r="C15" i="73" s="1"/>
  <c r="C389" i="47"/>
  <c r="C16" i="73" s="1"/>
  <c r="C390" i="47"/>
  <c r="C17" i="73" s="1"/>
  <c r="C391" i="47"/>
  <c r="C18" i="73" s="1"/>
  <c r="C392" i="47"/>
  <c r="C19" i="73" s="1"/>
  <c r="C393" i="47"/>
  <c r="C20" i="73" s="1"/>
  <c r="C394" i="47"/>
  <c r="C395" i="47"/>
  <c r="C22" i="73" s="1"/>
  <c r="C396" i="47"/>
  <c r="C23" i="73" s="1"/>
  <c r="C397" i="47"/>
  <c r="C398" i="47"/>
  <c r="C380" i="47"/>
  <c r="C7" i="73" s="1"/>
  <c r="H56" i="29"/>
  <c r="G56" i="29" s="1"/>
  <c r="F56" i="29" s="1"/>
  <c r="E56" i="29" s="1"/>
  <c r="AE56" i="29"/>
  <c r="BH56" i="29"/>
  <c r="H56" i="28"/>
  <c r="G56" i="28"/>
  <c r="F56" i="28" s="1"/>
  <c r="E56" i="28" s="1"/>
  <c r="AE56" i="28"/>
  <c r="BH56" i="28"/>
  <c r="H56" i="27"/>
  <c r="G56" i="27"/>
  <c r="F56" i="27" s="1"/>
  <c r="E56" i="27" s="1"/>
  <c r="AE56" i="27"/>
  <c r="BH56" i="27"/>
  <c r="H56" i="26"/>
  <c r="G56" i="26"/>
  <c r="F56" i="26" s="1"/>
  <c r="E56" i="26" s="1"/>
  <c r="AE56" i="26"/>
  <c r="BH56" i="26"/>
  <c r="H56" i="25"/>
  <c r="G56" i="25"/>
  <c r="F56" i="25" s="1"/>
  <c r="E56" i="25" s="1"/>
  <c r="AE56" i="25"/>
  <c r="BH56" i="25"/>
  <c r="H56" i="24"/>
  <c r="G56" i="24" s="1"/>
  <c r="F56" i="24" s="1"/>
  <c r="E56" i="24" s="1"/>
  <c r="AE56" i="24"/>
  <c r="BH56" i="24"/>
  <c r="H56" i="23"/>
  <c r="G56" i="23" s="1"/>
  <c r="F56" i="23" s="1"/>
  <c r="E56" i="23" s="1"/>
  <c r="AE56" i="23"/>
  <c r="BH56" i="23"/>
  <c r="H56" i="22"/>
  <c r="G56" i="22" s="1"/>
  <c r="F56" i="22" s="1"/>
  <c r="E56" i="22" s="1"/>
  <c r="AE56" i="22"/>
  <c r="BH56" i="22"/>
  <c r="H56" i="21"/>
  <c r="G56" i="21" s="1"/>
  <c r="F56" i="21" s="1"/>
  <c r="E56" i="21" s="1"/>
  <c r="AE56" i="21"/>
  <c r="BH56" i="21"/>
  <c r="H56" i="34"/>
  <c r="G56" i="34" s="1"/>
  <c r="F56" i="34" s="1"/>
  <c r="E56" i="34" s="1"/>
  <c r="AE56" i="34"/>
  <c r="BH56" i="34"/>
  <c r="H56" i="33"/>
  <c r="G56" i="33" s="1"/>
  <c r="F56" i="33" s="1"/>
  <c r="E56" i="33" s="1"/>
  <c r="AE56" i="33"/>
  <c r="BH56" i="33"/>
  <c r="H56" i="32"/>
  <c r="G56" i="32"/>
  <c r="F56" i="32" s="1"/>
  <c r="E56" i="32" s="1"/>
  <c r="AE56" i="32"/>
  <c r="BH56" i="32"/>
  <c r="H56" i="30"/>
  <c r="G56" i="30" s="1"/>
  <c r="F56" i="30" s="1"/>
  <c r="E56" i="30" s="1"/>
  <c r="AE56" i="30"/>
  <c r="BH56" i="30"/>
  <c r="H56" i="40"/>
  <c r="G56" i="40" s="1"/>
  <c r="F56" i="40" s="1"/>
  <c r="E56" i="40" s="1"/>
  <c r="BL56" i="40" s="1"/>
  <c r="AE56" i="40"/>
  <c r="BH56" i="40"/>
  <c r="H56" i="39"/>
  <c r="G56" i="39" s="1"/>
  <c r="F56" i="39" s="1"/>
  <c r="E56" i="39" s="1"/>
  <c r="BL56" i="39" s="1"/>
  <c r="AE56" i="39"/>
  <c r="BH56" i="39"/>
  <c r="H56" i="38"/>
  <c r="G56" i="38"/>
  <c r="F56" i="38" s="1"/>
  <c r="E56" i="38" s="1"/>
  <c r="AE56" i="38"/>
  <c r="BH56" i="38"/>
  <c r="H56" i="37"/>
  <c r="G56" i="37"/>
  <c r="F56" i="37" s="1"/>
  <c r="E56" i="37" s="1"/>
  <c r="BL56" i="37" s="1"/>
  <c r="E373" i="47" s="1"/>
  <c r="AE56" i="37"/>
  <c r="BH56" i="37"/>
  <c r="H56" i="19"/>
  <c r="G56" i="19" s="1"/>
  <c r="F56" i="19" s="1"/>
  <c r="E56" i="19" s="1"/>
  <c r="AE56" i="19"/>
  <c r="BH56" i="19"/>
  <c r="C356" i="47"/>
  <c r="C7" i="74"/>
  <c r="C357" i="47"/>
  <c r="C8" i="74" s="1"/>
  <c r="C358" i="47"/>
  <c r="C9" i="74" s="1"/>
  <c r="C359" i="47"/>
  <c r="C10" i="74" s="1"/>
  <c r="C360" i="47"/>
  <c r="C11" i="74" s="1"/>
  <c r="C361" i="47"/>
  <c r="C362" i="47"/>
  <c r="C13" i="74" s="1"/>
  <c r="C363" i="47"/>
  <c r="C14" i="74" s="1"/>
  <c r="C364" i="47"/>
  <c r="C15" i="74" s="1"/>
  <c r="C365" i="47"/>
  <c r="C16" i="74" s="1"/>
  <c r="C366" i="47"/>
  <c r="C17" i="74" s="1"/>
  <c r="C367" i="47"/>
  <c r="C368" i="47"/>
  <c r="C19" i="74" s="1"/>
  <c r="C369" i="47"/>
  <c r="C370" i="47"/>
  <c r="C21" i="74" s="1"/>
  <c r="C371" i="47"/>
  <c r="C22" i="74" s="1"/>
  <c r="C372" i="47"/>
  <c r="C373" i="47"/>
  <c r="C355" i="47"/>
  <c r="AZ63" i="37"/>
  <c r="AZ63" i="38"/>
  <c r="AZ63" i="39"/>
  <c r="AZ63" i="40"/>
  <c r="AZ63" i="30"/>
  <c r="AZ63" i="32"/>
  <c r="AZ63" i="33"/>
  <c r="AZ63" i="34"/>
  <c r="AZ63" i="21"/>
  <c r="AZ63" i="22"/>
  <c r="AZ63" i="23"/>
  <c r="AZ63" i="24"/>
  <c r="AZ63" i="25"/>
  <c r="AZ63" i="26"/>
  <c r="AZ63" i="27"/>
  <c r="AZ63" i="28"/>
  <c r="AZ63" i="29"/>
  <c r="AZ63" i="19"/>
  <c r="H55" i="29"/>
  <c r="G55" i="29" s="1"/>
  <c r="F55" i="29" s="1"/>
  <c r="E55" i="29" s="1"/>
  <c r="BL55" i="29" s="1"/>
  <c r="AZ55" i="29" s="1"/>
  <c r="AE55" i="29"/>
  <c r="BH55" i="29"/>
  <c r="H55" i="28"/>
  <c r="G55" i="28" s="1"/>
  <c r="F55" i="28" s="1"/>
  <c r="E55" i="28" s="1"/>
  <c r="AE55" i="28"/>
  <c r="BH55" i="28"/>
  <c r="H55" i="27"/>
  <c r="G55" i="27" s="1"/>
  <c r="F55" i="27" s="1"/>
  <c r="E55" i="27" s="1"/>
  <c r="AE55" i="27"/>
  <c r="BH55" i="27"/>
  <c r="H55" i="26"/>
  <c r="G55" i="26" s="1"/>
  <c r="F55" i="26" s="1"/>
  <c r="E55" i="26" s="1"/>
  <c r="AE55" i="26"/>
  <c r="BH55" i="26"/>
  <c r="H55" i="25"/>
  <c r="G55" i="25" s="1"/>
  <c r="F55" i="25" s="1"/>
  <c r="E55" i="25" s="1"/>
  <c r="AE55" i="25"/>
  <c r="BL55" i="25" s="1"/>
  <c r="E335" i="47" s="1"/>
  <c r="H11" i="75" s="1"/>
  <c r="BH55" i="25"/>
  <c r="H55" i="24"/>
  <c r="G55" i="24" s="1"/>
  <c r="F55" i="24" s="1"/>
  <c r="E55" i="24" s="1"/>
  <c r="AE55" i="24"/>
  <c r="BH55" i="24"/>
  <c r="H55" i="23"/>
  <c r="G55" i="23" s="1"/>
  <c r="F55" i="23" s="1"/>
  <c r="E55" i="23" s="1"/>
  <c r="AE55" i="23"/>
  <c r="BH55" i="23"/>
  <c r="H55" i="22"/>
  <c r="G55" i="22" s="1"/>
  <c r="F55" i="22" s="1"/>
  <c r="E55" i="22" s="1"/>
  <c r="AE55" i="22"/>
  <c r="BH55" i="22"/>
  <c r="H55" i="21"/>
  <c r="G55" i="21" s="1"/>
  <c r="F55" i="21" s="1"/>
  <c r="E55" i="21" s="1"/>
  <c r="AE55" i="21"/>
  <c r="BH55" i="21"/>
  <c r="H55" i="34"/>
  <c r="G55" i="34" s="1"/>
  <c r="F55" i="34" s="1"/>
  <c r="E55" i="34" s="1"/>
  <c r="AE55" i="34"/>
  <c r="BH55" i="34"/>
  <c r="H55" i="33"/>
  <c r="G55" i="33" s="1"/>
  <c r="F55" i="33" s="1"/>
  <c r="E55" i="33" s="1"/>
  <c r="AE55" i="33"/>
  <c r="BH55" i="33"/>
  <c r="H55" i="32"/>
  <c r="G55" i="32" s="1"/>
  <c r="F55" i="32" s="1"/>
  <c r="E55" i="32" s="1"/>
  <c r="AE55" i="32"/>
  <c r="BH55" i="32"/>
  <c r="H55" i="30"/>
  <c r="G55" i="30" s="1"/>
  <c r="F55" i="30" s="1"/>
  <c r="E55" i="30" s="1"/>
  <c r="AE55" i="30"/>
  <c r="BH55" i="30"/>
  <c r="H55" i="40"/>
  <c r="G55" i="40" s="1"/>
  <c r="F55" i="40" s="1"/>
  <c r="E55" i="40" s="1"/>
  <c r="AE55" i="40"/>
  <c r="BH55" i="40"/>
  <c r="H55" i="39"/>
  <c r="G55" i="39" s="1"/>
  <c r="F55" i="39" s="1"/>
  <c r="E55" i="39" s="1"/>
  <c r="AE55" i="39"/>
  <c r="BH55" i="39"/>
  <c r="H55" i="38"/>
  <c r="G55" i="38" s="1"/>
  <c r="F55" i="38" s="1"/>
  <c r="E55" i="38" s="1"/>
  <c r="AE55" i="38"/>
  <c r="BH55" i="38"/>
  <c r="H55" i="37"/>
  <c r="G55" i="37" s="1"/>
  <c r="F55" i="37" s="1"/>
  <c r="E55" i="37" s="1"/>
  <c r="AE55" i="37"/>
  <c r="BH55" i="37"/>
  <c r="H55" i="19"/>
  <c r="G55" i="19" s="1"/>
  <c r="F55" i="19" s="1"/>
  <c r="E55" i="19" s="1"/>
  <c r="BL55" i="19" s="1"/>
  <c r="E330" i="47" s="1"/>
  <c r="AE55" i="19"/>
  <c r="BH55" i="19"/>
  <c r="C331" i="47"/>
  <c r="C7" i="75" s="1"/>
  <c r="C332" i="47"/>
  <c r="C8" i="75" s="1"/>
  <c r="C333" i="47"/>
  <c r="C9" i="75" s="1"/>
  <c r="C334" i="47"/>
  <c r="C10" i="75" s="1"/>
  <c r="C335" i="47"/>
  <c r="C11" i="75" s="1"/>
  <c r="C336" i="47"/>
  <c r="C12" i="75" s="1"/>
  <c r="C337" i="47"/>
  <c r="C13" i="75" s="1"/>
  <c r="C338" i="47"/>
  <c r="C14" i="75" s="1"/>
  <c r="C339" i="47"/>
  <c r="C15" i="75" s="1"/>
  <c r="C340" i="47"/>
  <c r="C16" i="75" s="1"/>
  <c r="C341" i="47"/>
  <c r="C17" i="75" s="1"/>
  <c r="C342" i="47"/>
  <c r="C18" i="75" s="1"/>
  <c r="C343" i="47"/>
  <c r="C19" i="75" s="1"/>
  <c r="C344" i="47"/>
  <c r="C20" i="75" s="1"/>
  <c r="C345" i="47"/>
  <c r="C21" i="75" s="1"/>
  <c r="C346" i="47"/>
  <c r="C22" i="75" s="1"/>
  <c r="C347" i="47"/>
  <c r="C348" i="47"/>
  <c r="C330" i="47"/>
  <c r="C6" i="75" s="1"/>
  <c r="H54" i="29"/>
  <c r="G54" i="29"/>
  <c r="F54" i="29" s="1"/>
  <c r="E54" i="29" s="1"/>
  <c r="BL54" i="29" s="1"/>
  <c r="AE54" i="29"/>
  <c r="BH54" i="29"/>
  <c r="H54" i="28"/>
  <c r="G54" i="28" s="1"/>
  <c r="F54" i="28" s="1"/>
  <c r="E54" i="28" s="1"/>
  <c r="AE54" i="28"/>
  <c r="BH54" i="28"/>
  <c r="H54" i="27"/>
  <c r="G54" i="27" s="1"/>
  <c r="F54" i="27" s="1"/>
  <c r="E54" i="27" s="1"/>
  <c r="AE54" i="27"/>
  <c r="BH54" i="27"/>
  <c r="H54" i="26"/>
  <c r="G54" i="26" s="1"/>
  <c r="F54" i="26" s="1"/>
  <c r="E54" i="26" s="1"/>
  <c r="BL54" i="26" s="1"/>
  <c r="AE54" i="26"/>
  <c r="BH54" i="26"/>
  <c r="H54" i="25"/>
  <c r="G54" i="25" s="1"/>
  <c r="F54" i="25" s="1"/>
  <c r="E54" i="25" s="1"/>
  <c r="AE54" i="25"/>
  <c r="BH54" i="25"/>
  <c r="AQ106" i="25" s="1"/>
  <c r="H54" i="24"/>
  <c r="G54" i="24" s="1"/>
  <c r="F54" i="24" s="1"/>
  <c r="E54" i="24" s="1"/>
  <c r="AE54" i="24"/>
  <c r="BH54" i="24"/>
  <c r="H54" i="23"/>
  <c r="G54" i="23" s="1"/>
  <c r="F54" i="23" s="1"/>
  <c r="E54" i="23" s="1"/>
  <c r="AE54" i="23"/>
  <c r="BH54" i="23"/>
  <c r="H54" i="22"/>
  <c r="G54" i="22" s="1"/>
  <c r="F54" i="22" s="1"/>
  <c r="E54" i="22" s="1"/>
  <c r="AE54" i="22"/>
  <c r="BH54" i="22"/>
  <c r="H54" i="21"/>
  <c r="G54" i="21" s="1"/>
  <c r="F54" i="21" s="1"/>
  <c r="E54" i="21" s="1"/>
  <c r="BL54" i="21" s="1"/>
  <c r="AE54" i="21"/>
  <c r="BH54" i="21"/>
  <c r="H54" i="34"/>
  <c r="G54" i="34" s="1"/>
  <c r="F54" i="34" s="1"/>
  <c r="E54" i="34" s="1"/>
  <c r="AE54" i="34"/>
  <c r="BH54" i="34"/>
  <c r="H54" i="33"/>
  <c r="G54" i="33" s="1"/>
  <c r="F54" i="33" s="1"/>
  <c r="E54" i="33" s="1"/>
  <c r="AE54" i="33"/>
  <c r="BH54" i="33"/>
  <c r="H54" i="32"/>
  <c r="G54" i="32" s="1"/>
  <c r="F54" i="32" s="1"/>
  <c r="E54" i="32" s="1"/>
  <c r="AE54" i="32"/>
  <c r="BH54" i="32"/>
  <c r="H54" i="30"/>
  <c r="G54" i="30" s="1"/>
  <c r="F54" i="30" s="1"/>
  <c r="E54" i="30" s="1"/>
  <c r="AE54" i="30"/>
  <c r="BH54" i="30"/>
  <c r="H54" i="40"/>
  <c r="G54" i="40" s="1"/>
  <c r="F54" i="40" s="1"/>
  <c r="E54" i="40" s="1"/>
  <c r="AE54" i="40"/>
  <c r="BH54" i="40"/>
  <c r="H54" i="39"/>
  <c r="G54" i="39" s="1"/>
  <c r="F54" i="39" s="1"/>
  <c r="E54" i="39" s="1"/>
  <c r="AE54" i="39"/>
  <c r="BH54" i="39"/>
  <c r="H54" i="38"/>
  <c r="G54" i="38" s="1"/>
  <c r="F54" i="38" s="1"/>
  <c r="E54" i="38" s="1"/>
  <c r="AE54" i="38"/>
  <c r="BH54" i="38"/>
  <c r="H54" i="37"/>
  <c r="G54" i="37" s="1"/>
  <c r="F54" i="37" s="1"/>
  <c r="E54" i="37" s="1"/>
  <c r="AE54" i="37"/>
  <c r="BH54" i="37"/>
  <c r="H54" i="19"/>
  <c r="G54" i="19" s="1"/>
  <c r="F54" i="19" s="1"/>
  <c r="E54" i="19" s="1"/>
  <c r="AE54" i="19"/>
  <c r="BH54" i="19"/>
  <c r="C306" i="47"/>
  <c r="C7" i="76" s="1"/>
  <c r="C307" i="47"/>
  <c r="C8" i="76" s="1"/>
  <c r="C308" i="47"/>
  <c r="C9" i="76" s="1"/>
  <c r="C309" i="47"/>
  <c r="C10" i="76" s="1"/>
  <c r="C310" i="47"/>
  <c r="C11" i="76" s="1"/>
  <c r="C311" i="47"/>
  <c r="C12" i="76" s="1"/>
  <c r="C312" i="47"/>
  <c r="C13" i="76" s="1"/>
  <c r="C313" i="47"/>
  <c r="C14" i="76" s="1"/>
  <c r="C314" i="47"/>
  <c r="C15" i="76" s="1"/>
  <c r="C315" i="47"/>
  <c r="C16" i="76" s="1"/>
  <c r="C316" i="47"/>
  <c r="C17" i="76" s="1"/>
  <c r="C317" i="47"/>
  <c r="C18" i="76" s="1"/>
  <c r="C318" i="47"/>
  <c r="C19" i="76" s="1"/>
  <c r="C319" i="47"/>
  <c r="C20" i="76" s="1"/>
  <c r="C320" i="47"/>
  <c r="C21" i="76" s="1"/>
  <c r="C321" i="47"/>
  <c r="C22" i="76" s="1"/>
  <c r="C322" i="47"/>
  <c r="C323" i="47"/>
  <c r="C305" i="47"/>
  <c r="C6" i="76" s="1"/>
  <c r="F22" i="69"/>
  <c r="F21" i="69"/>
  <c r="F20" i="69"/>
  <c r="F19" i="69"/>
  <c r="F18" i="69"/>
  <c r="F17" i="69"/>
  <c r="F16" i="69"/>
  <c r="F15" i="69"/>
  <c r="F13" i="69"/>
  <c r="F12" i="69"/>
  <c r="F11" i="69"/>
  <c r="F10" i="69"/>
  <c r="F9" i="69"/>
  <c r="F8" i="69"/>
  <c r="F7" i="69"/>
  <c r="F6" i="69"/>
  <c r="E22" i="69"/>
  <c r="E21" i="69"/>
  <c r="E20" i="69"/>
  <c r="E19" i="69"/>
  <c r="E18" i="69"/>
  <c r="E17" i="69"/>
  <c r="E16" i="69"/>
  <c r="E15" i="69"/>
  <c r="E14" i="69"/>
  <c r="E13" i="69"/>
  <c r="E12" i="69"/>
  <c r="E11" i="69"/>
  <c r="E10" i="69"/>
  <c r="E9" i="69"/>
  <c r="E8" i="69"/>
  <c r="E7" i="69"/>
  <c r="E6" i="69"/>
  <c r="H52" i="29"/>
  <c r="G52" i="29" s="1"/>
  <c r="F52" i="29" s="1"/>
  <c r="E52" i="29" s="1"/>
  <c r="AE52" i="29"/>
  <c r="BH52" i="29"/>
  <c r="H52" i="28"/>
  <c r="G52" i="28" s="1"/>
  <c r="F52" i="28" s="1"/>
  <c r="E52" i="28" s="1"/>
  <c r="AE52" i="28"/>
  <c r="BH52" i="28"/>
  <c r="H52" i="27"/>
  <c r="G52" i="27" s="1"/>
  <c r="F52" i="27" s="1"/>
  <c r="E52" i="27" s="1"/>
  <c r="AE52" i="27"/>
  <c r="BH52" i="27"/>
  <c r="H52" i="26"/>
  <c r="G52" i="26" s="1"/>
  <c r="F52" i="26" s="1"/>
  <c r="E52" i="26" s="1"/>
  <c r="AE52" i="26"/>
  <c r="BH52" i="26"/>
  <c r="H52" i="25"/>
  <c r="G52" i="25" s="1"/>
  <c r="F52" i="25" s="1"/>
  <c r="E52" i="25" s="1"/>
  <c r="BL52" i="25" s="1"/>
  <c r="AE52" i="25"/>
  <c r="BH52" i="25"/>
  <c r="H52" i="24"/>
  <c r="G52" i="24" s="1"/>
  <c r="F52" i="24" s="1"/>
  <c r="E52" i="24" s="1"/>
  <c r="AE52" i="24"/>
  <c r="BH52" i="24"/>
  <c r="H52" i="23"/>
  <c r="G52" i="23" s="1"/>
  <c r="F52" i="23" s="1"/>
  <c r="E52" i="23" s="1"/>
  <c r="AE52" i="23"/>
  <c r="BH52" i="23"/>
  <c r="H52" i="22"/>
  <c r="G52" i="22" s="1"/>
  <c r="F52" i="22" s="1"/>
  <c r="E52" i="22" s="1"/>
  <c r="BL52" i="22" s="1"/>
  <c r="AE52" i="22"/>
  <c r="BH52" i="22"/>
  <c r="H52" i="21"/>
  <c r="G52" i="21" s="1"/>
  <c r="F52" i="21" s="1"/>
  <c r="E52" i="21" s="1"/>
  <c r="AE52" i="21"/>
  <c r="BH52" i="21"/>
  <c r="H52" i="34"/>
  <c r="G52" i="34" s="1"/>
  <c r="F52" i="34" s="1"/>
  <c r="E52" i="34" s="1"/>
  <c r="BL52" i="34" s="1"/>
  <c r="AE52" i="34"/>
  <c r="BH52" i="34"/>
  <c r="H52" i="33"/>
  <c r="G52" i="33"/>
  <c r="F52" i="33" s="1"/>
  <c r="E52" i="33" s="1"/>
  <c r="BL52" i="33" s="1"/>
  <c r="AE52" i="33"/>
  <c r="BH52" i="33"/>
  <c r="H52" i="32"/>
  <c r="G52" i="32" s="1"/>
  <c r="F52" i="32" s="1"/>
  <c r="E52" i="32" s="1"/>
  <c r="AE52" i="32"/>
  <c r="BH52" i="32"/>
  <c r="H52" i="30"/>
  <c r="G52" i="30" s="1"/>
  <c r="F52" i="30" s="1"/>
  <c r="E52" i="30" s="1"/>
  <c r="AE52" i="30"/>
  <c r="BH52" i="30"/>
  <c r="H52" i="40"/>
  <c r="G52" i="40" s="1"/>
  <c r="F52" i="40" s="1"/>
  <c r="E52" i="40" s="1"/>
  <c r="AE52" i="40"/>
  <c r="BH52" i="40"/>
  <c r="H52" i="39"/>
  <c r="G52" i="39" s="1"/>
  <c r="F52" i="39" s="1"/>
  <c r="E52" i="39" s="1"/>
  <c r="AE52" i="39"/>
  <c r="BH52" i="39"/>
  <c r="H52" i="38"/>
  <c r="G52" i="38" s="1"/>
  <c r="F52" i="38" s="1"/>
  <c r="E52" i="38" s="1"/>
  <c r="AE52" i="38"/>
  <c r="BH52" i="38"/>
  <c r="H52" i="37"/>
  <c r="G52" i="37" s="1"/>
  <c r="F52" i="37" s="1"/>
  <c r="E52" i="37" s="1"/>
  <c r="AE52" i="37"/>
  <c r="BH52" i="37"/>
  <c r="H52" i="19"/>
  <c r="G52" i="19" s="1"/>
  <c r="F52" i="19" s="1"/>
  <c r="E52" i="19" s="1"/>
  <c r="AE52" i="19"/>
  <c r="BH52" i="19"/>
  <c r="C281" i="47"/>
  <c r="C7" i="69" s="1"/>
  <c r="C282" i="47"/>
  <c r="C8" i="69" s="1"/>
  <c r="C283" i="47"/>
  <c r="C9" i="69" s="1"/>
  <c r="C284" i="47"/>
  <c r="C10" i="69" s="1"/>
  <c r="C285" i="47"/>
  <c r="C11" i="69" s="1"/>
  <c r="C286" i="47"/>
  <c r="C12" i="69" s="1"/>
  <c r="C287" i="47"/>
  <c r="C13" i="69" s="1"/>
  <c r="C288" i="47"/>
  <c r="C14" i="69" s="1"/>
  <c r="C289" i="47"/>
  <c r="C15" i="69" s="1"/>
  <c r="C290" i="47"/>
  <c r="C16" i="69" s="1"/>
  <c r="C291" i="47"/>
  <c r="C292" i="47"/>
  <c r="C18" i="69" s="1"/>
  <c r="C293" i="47"/>
  <c r="C19" i="69" s="1"/>
  <c r="C294" i="47"/>
  <c r="C20" i="69"/>
  <c r="C295" i="47"/>
  <c r="C21" i="69" s="1"/>
  <c r="C296" i="47"/>
  <c r="C22" i="69" s="1"/>
  <c r="C297" i="47"/>
  <c r="C298" i="47"/>
  <c r="C280" i="47"/>
  <c r="C6" i="69" s="1"/>
  <c r="H51" i="29"/>
  <c r="G51" i="29" s="1"/>
  <c r="F51" i="29" s="1"/>
  <c r="E51" i="29" s="1"/>
  <c r="AE51" i="29"/>
  <c r="BH51" i="29"/>
  <c r="H51" i="28"/>
  <c r="G51" i="28" s="1"/>
  <c r="F51" i="28" s="1"/>
  <c r="E51" i="28" s="1"/>
  <c r="AE51" i="28"/>
  <c r="BH51" i="28"/>
  <c r="H51" i="27"/>
  <c r="G51" i="27" s="1"/>
  <c r="F51" i="27" s="1"/>
  <c r="E51" i="27" s="1"/>
  <c r="AE51" i="27"/>
  <c r="BH51" i="27"/>
  <c r="H51" i="26"/>
  <c r="G51" i="26" s="1"/>
  <c r="F51" i="26" s="1"/>
  <c r="E51" i="26" s="1"/>
  <c r="AE51" i="26"/>
  <c r="BH51" i="26"/>
  <c r="H51" i="25"/>
  <c r="G51" i="25" s="1"/>
  <c r="F51" i="25" s="1"/>
  <c r="E51" i="25" s="1"/>
  <c r="AE51" i="25"/>
  <c r="BH51" i="25"/>
  <c r="H51" i="24"/>
  <c r="G51" i="24"/>
  <c r="F51" i="24" s="1"/>
  <c r="E51" i="24" s="1"/>
  <c r="AE51" i="24"/>
  <c r="BH51" i="24"/>
  <c r="H51" i="23"/>
  <c r="G51" i="23" s="1"/>
  <c r="F51" i="23" s="1"/>
  <c r="E51" i="23" s="1"/>
  <c r="AE51" i="23"/>
  <c r="BH51" i="23"/>
  <c r="H51" i="22"/>
  <c r="G51" i="22" s="1"/>
  <c r="F51" i="22" s="1"/>
  <c r="E51" i="22" s="1"/>
  <c r="AE51" i="22"/>
  <c r="BH51" i="22"/>
  <c r="H51" i="21"/>
  <c r="G51" i="21" s="1"/>
  <c r="F51" i="21" s="1"/>
  <c r="E51" i="21" s="1"/>
  <c r="AE51" i="21"/>
  <c r="Y104" i="21" s="1"/>
  <c r="BH51" i="21"/>
  <c r="H51" i="34"/>
  <c r="G51" i="34"/>
  <c r="F51" i="34" s="1"/>
  <c r="E51" i="34" s="1"/>
  <c r="BL51" i="34" s="1"/>
  <c r="E265" i="47" s="1"/>
  <c r="H16" i="70" s="1"/>
  <c r="AE51" i="34"/>
  <c r="BH51" i="34"/>
  <c r="H51" i="33"/>
  <c r="G51" i="33"/>
  <c r="F51" i="33" s="1"/>
  <c r="E51" i="33" s="1"/>
  <c r="AE51" i="33"/>
  <c r="BH51" i="33"/>
  <c r="AQ103" i="33"/>
  <c r="H51" i="32"/>
  <c r="G51" i="32" s="1"/>
  <c r="F51" i="32" s="1"/>
  <c r="E51" i="32" s="1"/>
  <c r="AE51" i="32"/>
  <c r="BH51" i="32"/>
  <c r="H51" i="30"/>
  <c r="G51" i="30" s="1"/>
  <c r="F51" i="30" s="1"/>
  <c r="E51" i="30" s="1"/>
  <c r="AE51" i="30"/>
  <c r="BH51" i="30"/>
  <c r="H51" i="40"/>
  <c r="G51" i="40" s="1"/>
  <c r="F51" i="40" s="1"/>
  <c r="E51" i="40" s="1"/>
  <c r="AE51" i="40"/>
  <c r="BH51" i="40"/>
  <c r="H51" i="39"/>
  <c r="G51" i="39" s="1"/>
  <c r="F51" i="39" s="1"/>
  <c r="E51" i="39" s="1"/>
  <c r="AE51" i="39"/>
  <c r="BH51" i="39"/>
  <c r="H51" i="38"/>
  <c r="G51" i="38" s="1"/>
  <c r="F51" i="38" s="1"/>
  <c r="E51" i="38" s="1"/>
  <c r="BL51" i="38" s="1"/>
  <c r="E272" i="47" s="1"/>
  <c r="AE51" i="38"/>
  <c r="BH51" i="38"/>
  <c r="H51" i="37"/>
  <c r="G51" i="37" s="1"/>
  <c r="F51" i="37" s="1"/>
  <c r="E51" i="37" s="1"/>
  <c r="AE51" i="37"/>
  <c r="BH51" i="37"/>
  <c r="H51" i="19"/>
  <c r="G51" i="19" s="1"/>
  <c r="F51" i="19" s="1"/>
  <c r="E51" i="19" s="1"/>
  <c r="AE51" i="19"/>
  <c r="BH51" i="19"/>
  <c r="C256" i="47"/>
  <c r="C7" i="70" s="1"/>
  <c r="C257" i="47"/>
  <c r="C8" i="70" s="1"/>
  <c r="C258" i="47"/>
  <c r="C9" i="70" s="1"/>
  <c r="C259" i="47"/>
  <c r="C10" i="70" s="1"/>
  <c r="C260" i="47"/>
  <c r="C11" i="70" s="1"/>
  <c r="C261" i="47"/>
  <c r="C12" i="70" s="1"/>
  <c r="C262" i="47"/>
  <c r="C13" i="70" s="1"/>
  <c r="C263" i="47"/>
  <c r="C14" i="70" s="1"/>
  <c r="C264" i="47"/>
  <c r="C15" i="70" s="1"/>
  <c r="C265" i="47"/>
  <c r="C16" i="70" s="1"/>
  <c r="C266" i="47"/>
  <c r="C17" i="70" s="1"/>
  <c r="C267" i="47"/>
  <c r="C18" i="70" s="1"/>
  <c r="C268" i="47"/>
  <c r="C19" i="70" s="1"/>
  <c r="C269" i="47"/>
  <c r="C20" i="70" s="1"/>
  <c r="C270" i="47"/>
  <c r="C21" i="70" s="1"/>
  <c r="C271" i="47"/>
  <c r="C22" i="70" s="1"/>
  <c r="C272" i="47"/>
  <c r="C273" i="47"/>
  <c r="C255" i="47"/>
  <c r="C6" i="70" s="1"/>
  <c r="H50" i="29"/>
  <c r="G50" i="29" s="1"/>
  <c r="F50" i="29" s="1"/>
  <c r="E50" i="29" s="1"/>
  <c r="AE50" i="29"/>
  <c r="BH50" i="29"/>
  <c r="H50" i="28"/>
  <c r="G50" i="28" s="1"/>
  <c r="F50" i="28" s="1"/>
  <c r="E50" i="28" s="1"/>
  <c r="AE50" i="28"/>
  <c r="BH50" i="28"/>
  <c r="H50" i="27"/>
  <c r="G50" i="27" s="1"/>
  <c r="F50" i="27" s="1"/>
  <c r="E50" i="27" s="1"/>
  <c r="AE50" i="27"/>
  <c r="BH50" i="27"/>
  <c r="H50" i="26"/>
  <c r="G50" i="26" s="1"/>
  <c r="F50" i="26" s="1"/>
  <c r="E50" i="26" s="1"/>
  <c r="AE50" i="26"/>
  <c r="BH50" i="26"/>
  <c r="H50" i="25"/>
  <c r="G50" i="25" s="1"/>
  <c r="F50" i="25" s="1"/>
  <c r="E50" i="25" s="1"/>
  <c r="AE50" i="25"/>
  <c r="BH50" i="25"/>
  <c r="H50" i="24"/>
  <c r="G50" i="24" s="1"/>
  <c r="F50" i="24" s="1"/>
  <c r="E50" i="24" s="1"/>
  <c r="AE50" i="24"/>
  <c r="Y103" i="24" s="1"/>
  <c r="BH50" i="24"/>
  <c r="H50" i="23"/>
  <c r="G50" i="23" s="1"/>
  <c r="F50" i="23" s="1"/>
  <c r="E50" i="23" s="1"/>
  <c r="AE50" i="23"/>
  <c r="BH50" i="23"/>
  <c r="H50" i="22"/>
  <c r="G50" i="22" s="1"/>
  <c r="F50" i="22" s="1"/>
  <c r="E50" i="22" s="1"/>
  <c r="AE50" i="22"/>
  <c r="BH50" i="22"/>
  <c r="H50" i="21"/>
  <c r="G50" i="21" s="1"/>
  <c r="F50" i="21" s="1"/>
  <c r="E50" i="21" s="1"/>
  <c r="AE50" i="21"/>
  <c r="BH50" i="21"/>
  <c r="H50" i="34"/>
  <c r="G50" i="34" s="1"/>
  <c r="F50" i="34" s="1"/>
  <c r="E50" i="34" s="1"/>
  <c r="AE50" i="34"/>
  <c r="BH50" i="34"/>
  <c r="H50" i="19"/>
  <c r="G50" i="19" s="1"/>
  <c r="F50" i="19" s="1"/>
  <c r="E50" i="19" s="1"/>
  <c r="AE50" i="19"/>
  <c r="BH50" i="19"/>
  <c r="C231" i="47"/>
  <c r="C232" i="47"/>
  <c r="C233" i="47"/>
  <c r="C236" i="47"/>
  <c r="C238" i="47"/>
  <c r="C239" i="47"/>
  <c r="C240" i="47"/>
  <c r="AT63" i="37"/>
  <c r="G14" i="72"/>
  <c r="AT63" i="38"/>
  <c r="G13" i="72" s="1"/>
  <c r="AT63" i="39"/>
  <c r="G12" i="72" s="1"/>
  <c r="AT63" i="40"/>
  <c r="G11" i="72" s="1"/>
  <c r="AT63" i="30"/>
  <c r="G10" i="72" s="1"/>
  <c r="AT63" i="32"/>
  <c r="G8" i="72" s="1"/>
  <c r="AT63" i="33"/>
  <c r="G7" i="72" s="1"/>
  <c r="F14" i="72"/>
  <c r="F13" i="72"/>
  <c r="F12" i="72"/>
  <c r="F11" i="72"/>
  <c r="F10" i="72"/>
  <c r="F9" i="72"/>
  <c r="F8" i="72"/>
  <c r="F7" i="72"/>
  <c r="E14" i="72"/>
  <c r="E13" i="72"/>
  <c r="E12" i="72"/>
  <c r="E11" i="72"/>
  <c r="E10" i="72"/>
  <c r="E9" i="72"/>
  <c r="E8" i="72"/>
  <c r="E7" i="72"/>
  <c r="H49" i="32"/>
  <c r="G49" i="32" s="1"/>
  <c r="F49" i="32" s="1"/>
  <c r="E49" i="32" s="1"/>
  <c r="AE49" i="32"/>
  <c r="BH49" i="32"/>
  <c r="H49" i="30"/>
  <c r="G49" i="30" s="1"/>
  <c r="F49" i="30" s="1"/>
  <c r="E49" i="30" s="1"/>
  <c r="AE49" i="30"/>
  <c r="BH49" i="30"/>
  <c r="H49" i="40"/>
  <c r="G49" i="40" s="1"/>
  <c r="F49" i="40" s="1"/>
  <c r="E49" i="40" s="1"/>
  <c r="AE49" i="40"/>
  <c r="BH49" i="40"/>
  <c r="H49" i="39"/>
  <c r="G49" i="39" s="1"/>
  <c r="F49" i="39" s="1"/>
  <c r="E49" i="39" s="1"/>
  <c r="AE49" i="39"/>
  <c r="BH49" i="39"/>
  <c r="H49" i="38"/>
  <c r="G49" i="38" s="1"/>
  <c r="F49" i="38" s="1"/>
  <c r="E49" i="38" s="1"/>
  <c r="AE49" i="38"/>
  <c r="BH49" i="38"/>
  <c r="H49" i="37"/>
  <c r="G49" i="37" s="1"/>
  <c r="F49" i="37" s="1"/>
  <c r="E49" i="37" s="1"/>
  <c r="AE49" i="37"/>
  <c r="BH49" i="37"/>
  <c r="H49" i="33"/>
  <c r="G49" i="33" s="1"/>
  <c r="F49" i="33" s="1"/>
  <c r="E49" i="33" s="1"/>
  <c r="BL49" i="33" s="1"/>
  <c r="E216" i="47" s="1"/>
  <c r="AE49" i="33"/>
  <c r="BH49" i="33"/>
  <c r="C217" i="47"/>
  <c r="C220" i="47"/>
  <c r="C222" i="47"/>
  <c r="C223" i="47"/>
  <c r="C216" i="47"/>
  <c r="AS63" i="37"/>
  <c r="AS63" i="38"/>
  <c r="AS63" i="39"/>
  <c r="AS63" i="40"/>
  <c r="AS63" i="30"/>
  <c r="AS63" i="32"/>
  <c r="AS63" i="33"/>
  <c r="AS63" i="34"/>
  <c r="AS63" i="21"/>
  <c r="AS63" i="22"/>
  <c r="AS63" i="23"/>
  <c r="AS63" i="24"/>
  <c r="AS63" i="25"/>
  <c r="AS63" i="26"/>
  <c r="AS63" i="27"/>
  <c r="AB115" i="27" s="1"/>
  <c r="AS63" i="28"/>
  <c r="AS63" i="29"/>
  <c r="AB115" i="29" s="1"/>
  <c r="AS63" i="19"/>
  <c r="H48" i="29"/>
  <c r="G48" i="29"/>
  <c r="F48" i="29" s="1"/>
  <c r="E48" i="29" s="1"/>
  <c r="BL48" i="29" s="1"/>
  <c r="BH48" i="29"/>
  <c r="H48" i="28"/>
  <c r="G48" i="28"/>
  <c r="F48" i="28" s="1"/>
  <c r="E48" i="28" s="1"/>
  <c r="BL48" i="28" s="1"/>
  <c r="BH48" i="28"/>
  <c r="H48" i="27"/>
  <c r="G48" i="27"/>
  <c r="F48" i="27" s="1"/>
  <c r="E48" i="27" s="1"/>
  <c r="BL48" i="27" s="1"/>
  <c r="BH48" i="27"/>
  <c r="H48" i="26"/>
  <c r="G48" i="26"/>
  <c r="F48" i="26" s="1"/>
  <c r="E48" i="26" s="1"/>
  <c r="BL48" i="26" s="1"/>
  <c r="BH48" i="26"/>
  <c r="H48" i="25"/>
  <c r="G48" i="25"/>
  <c r="F48" i="25" s="1"/>
  <c r="E48" i="25" s="1"/>
  <c r="BL48" i="25" s="1"/>
  <c r="BH48" i="25"/>
  <c r="H48" i="24"/>
  <c r="G48" i="24"/>
  <c r="F48" i="24" s="1"/>
  <c r="E48" i="24" s="1"/>
  <c r="BH48" i="24"/>
  <c r="H48" i="23"/>
  <c r="G48" i="23" s="1"/>
  <c r="F48" i="23" s="1"/>
  <c r="E48" i="23" s="1"/>
  <c r="BH48" i="23"/>
  <c r="H48" i="22"/>
  <c r="G48" i="22" s="1"/>
  <c r="F48" i="22" s="1"/>
  <c r="E48" i="22" s="1"/>
  <c r="BL48" i="22" s="1"/>
  <c r="BH48" i="22"/>
  <c r="H48" i="21"/>
  <c r="G48" i="21" s="1"/>
  <c r="F48" i="21" s="1"/>
  <c r="E48" i="21" s="1"/>
  <c r="BL48" i="21" s="1"/>
  <c r="AS48" i="21" s="1"/>
  <c r="V48" i="21" s="1"/>
  <c r="BH48" i="21"/>
  <c r="H48" i="34"/>
  <c r="G48" i="34"/>
  <c r="F48" i="34" s="1"/>
  <c r="E48" i="34" s="1"/>
  <c r="BH48" i="34"/>
  <c r="H48" i="33"/>
  <c r="G48" i="33" s="1"/>
  <c r="F48" i="33" s="1"/>
  <c r="E48" i="33" s="1"/>
  <c r="BH48" i="33"/>
  <c r="H48" i="32"/>
  <c r="G48" i="32" s="1"/>
  <c r="F48" i="32" s="1"/>
  <c r="E48" i="32" s="1"/>
  <c r="BL48" i="32" s="1"/>
  <c r="E192" i="47" s="1"/>
  <c r="H18" i="65" s="1"/>
  <c r="BH48" i="32"/>
  <c r="H48" i="30"/>
  <c r="G48" i="30" s="1"/>
  <c r="F48" i="30" s="1"/>
  <c r="E48" i="30" s="1"/>
  <c r="BH48" i="30"/>
  <c r="H48" i="40"/>
  <c r="G48" i="40" s="1"/>
  <c r="F48" i="40" s="1"/>
  <c r="E48" i="40" s="1"/>
  <c r="BH48" i="40"/>
  <c r="H48" i="39"/>
  <c r="G48" i="39" s="1"/>
  <c r="F48" i="39" s="1"/>
  <c r="E48" i="39" s="1"/>
  <c r="BH48" i="39"/>
  <c r="H48" i="38"/>
  <c r="G48" i="38" s="1"/>
  <c r="F48" i="38" s="1"/>
  <c r="E48" i="38" s="1"/>
  <c r="BH48" i="38"/>
  <c r="H48" i="37"/>
  <c r="G48" i="37" s="1"/>
  <c r="F48" i="37" s="1"/>
  <c r="E48" i="37" s="1"/>
  <c r="BH48" i="37"/>
  <c r="H48" i="19"/>
  <c r="G48" i="19" s="1"/>
  <c r="F48" i="19" s="1"/>
  <c r="E48" i="19" s="1"/>
  <c r="BH48" i="19"/>
  <c r="C181" i="47"/>
  <c r="C7" i="65"/>
  <c r="C182" i="47"/>
  <c r="C8" i="65" s="1"/>
  <c r="C183" i="47"/>
  <c r="C9" i="65" s="1"/>
  <c r="C184" i="47"/>
  <c r="C10" i="65" s="1"/>
  <c r="C185" i="47"/>
  <c r="C11" i="65" s="1"/>
  <c r="C186" i="47"/>
  <c r="C12" i="65" s="1"/>
  <c r="C187" i="47"/>
  <c r="C13" i="65" s="1"/>
  <c r="C188" i="47"/>
  <c r="C14" i="65" s="1"/>
  <c r="C189" i="47"/>
  <c r="C15" i="65" s="1"/>
  <c r="C190" i="47"/>
  <c r="C16" i="65" s="1"/>
  <c r="C191" i="47"/>
  <c r="C17" i="65" s="1"/>
  <c r="C192" i="47"/>
  <c r="C18" i="65" s="1"/>
  <c r="C193" i="47"/>
  <c r="C194" i="47"/>
  <c r="C20" i="65" s="1"/>
  <c r="C195" i="47"/>
  <c r="C21" i="65" s="1"/>
  <c r="C196" i="47"/>
  <c r="C22" i="65" s="1"/>
  <c r="C197" i="47"/>
  <c r="C198" i="47"/>
  <c r="C180" i="47"/>
  <c r="J25" i="66"/>
  <c r="J24" i="66"/>
  <c r="J23" i="66"/>
  <c r="J22" i="66"/>
  <c r="J21" i="66"/>
  <c r="J20" i="66"/>
  <c r="J19" i="66"/>
  <c r="J18" i="66"/>
  <c r="J17" i="66"/>
  <c r="J16" i="66"/>
  <c r="J15" i="66"/>
  <c r="J14" i="66"/>
  <c r="J13" i="66"/>
  <c r="J12" i="66"/>
  <c r="J11" i="66"/>
  <c r="J10" i="66"/>
  <c r="J9" i="66"/>
  <c r="J8" i="66"/>
  <c r="J7" i="66"/>
  <c r="H25" i="66"/>
  <c r="H24" i="66"/>
  <c r="H23" i="66"/>
  <c r="H22" i="66"/>
  <c r="H21" i="66"/>
  <c r="H20" i="66"/>
  <c r="H19" i="66"/>
  <c r="H18" i="66"/>
  <c r="H17" i="66"/>
  <c r="H16" i="66"/>
  <c r="H15" i="66"/>
  <c r="H14" i="66"/>
  <c r="H13" i="66"/>
  <c r="H12" i="66"/>
  <c r="H11" i="66"/>
  <c r="H10" i="66"/>
  <c r="H9" i="66"/>
  <c r="H8" i="66"/>
  <c r="H7" i="66"/>
  <c r="G25" i="66"/>
  <c r="G24" i="66"/>
  <c r="G23" i="66"/>
  <c r="G22" i="66"/>
  <c r="G21" i="66"/>
  <c r="G20" i="66"/>
  <c r="G19" i="66"/>
  <c r="G18" i="66"/>
  <c r="G17" i="66"/>
  <c r="G16" i="66"/>
  <c r="G15" i="66"/>
  <c r="G14" i="66"/>
  <c r="G13" i="66"/>
  <c r="G12" i="66"/>
  <c r="G11" i="66"/>
  <c r="G10" i="66"/>
  <c r="G9" i="66"/>
  <c r="G8" i="66"/>
  <c r="G7" i="66"/>
  <c r="E25" i="66"/>
  <c r="E24" i="66"/>
  <c r="E23" i="66"/>
  <c r="E22" i="66"/>
  <c r="E21" i="66"/>
  <c r="E20" i="66"/>
  <c r="E19" i="66"/>
  <c r="E18" i="66"/>
  <c r="E17" i="66"/>
  <c r="E16" i="66"/>
  <c r="E15" i="66"/>
  <c r="E14" i="66"/>
  <c r="E13" i="66"/>
  <c r="E12" i="66"/>
  <c r="E11" i="66"/>
  <c r="E10" i="66"/>
  <c r="E9" i="66"/>
  <c r="E8" i="66"/>
  <c r="E7" i="66"/>
  <c r="H46" i="29"/>
  <c r="G46" i="29" s="1"/>
  <c r="F46" i="29" s="1"/>
  <c r="E46" i="29" s="1"/>
  <c r="AE46" i="29"/>
  <c r="BH46" i="29"/>
  <c r="H46" i="28"/>
  <c r="G46" i="28" s="1"/>
  <c r="F46" i="28" s="1"/>
  <c r="E46" i="28" s="1"/>
  <c r="AE46" i="28"/>
  <c r="BH46" i="28"/>
  <c r="H46" i="27"/>
  <c r="G46" i="27" s="1"/>
  <c r="F46" i="27" s="1"/>
  <c r="E46" i="27" s="1"/>
  <c r="AE46" i="27"/>
  <c r="BH46" i="27"/>
  <c r="H46" i="26"/>
  <c r="G46" i="26" s="1"/>
  <c r="F46" i="26" s="1"/>
  <c r="E46" i="26" s="1"/>
  <c r="AE46" i="26"/>
  <c r="BH46" i="26"/>
  <c r="H46" i="25"/>
  <c r="G46" i="25" s="1"/>
  <c r="F46" i="25" s="1"/>
  <c r="E46" i="25" s="1"/>
  <c r="AE46" i="25"/>
  <c r="BH46" i="25"/>
  <c r="H46" i="24"/>
  <c r="G46" i="24"/>
  <c r="F46" i="24" s="1"/>
  <c r="E46" i="24" s="1"/>
  <c r="AE46" i="24"/>
  <c r="BH46" i="24"/>
  <c r="H46" i="23"/>
  <c r="G46" i="23" s="1"/>
  <c r="F46" i="23" s="1"/>
  <c r="E46" i="23" s="1"/>
  <c r="AE46" i="23"/>
  <c r="BH46" i="23"/>
  <c r="H46" i="22"/>
  <c r="G46" i="22"/>
  <c r="F46" i="22" s="1"/>
  <c r="E46" i="22" s="1"/>
  <c r="BL46" i="22" s="1"/>
  <c r="AE46" i="22"/>
  <c r="BH46" i="22"/>
  <c r="H46" i="21"/>
  <c r="G46" i="21" s="1"/>
  <c r="F46" i="21" s="1"/>
  <c r="E46" i="21" s="1"/>
  <c r="AE46" i="21"/>
  <c r="BH46" i="21"/>
  <c r="H46" i="34"/>
  <c r="G46" i="34" s="1"/>
  <c r="F46" i="34" s="1"/>
  <c r="E46" i="34" s="1"/>
  <c r="AE46" i="34"/>
  <c r="BH46" i="34"/>
  <c r="H46" i="33"/>
  <c r="G46" i="33"/>
  <c r="F46" i="33" s="1"/>
  <c r="E46" i="33" s="1"/>
  <c r="BL46" i="33" s="1"/>
  <c r="E166" i="47" s="1"/>
  <c r="N18" i="66" s="1"/>
  <c r="AE46" i="33"/>
  <c r="BH46" i="33"/>
  <c r="H46" i="32"/>
  <c r="G46" i="32" s="1"/>
  <c r="F46" i="32" s="1"/>
  <c r="E46" i="32" s="1"/>
  <c r="AE46" i="32"/>
  <c r="BH46" i="32"/>
  <c r="H46" i="30"/>
  <c r="G46" i="30" s="1"/>
  <c r="F46" i="30" s="1"/>
  <c r="E46" i="30" s="1"/>
  <c r="BL46" i="30" s="1"/>
  <c r="E169" i="47" s="1"/>
  <c r="N21" i="66" s="1"/>
  <c r="AE46" i="30"/>
  <c r="BH46" i="30"/>
  <c r="H46" i="40"/>
  <c r="G46" i="40" s="1"/>
  <c r="F46" i="40" s="1"/>
  <c r="E46" i="40" s="1"/>
  <c r="BL46" i="40" s="1"/>
  <c r="AE46" i="40"/>
  <c r="BH46" i="40"/>
  <c r="H46" i="39"/>
  <c r="G46" i="39" s="1"/>
  <c r="F46" i="39" s="1"/>
  <c r="E46" i="39" s="1"/>
  <c r="AE46" i="39"/>
  <c r="BH46" i="39"/>
  <c r="H46" i="38"/>
  <c r="G46" i="38" s="1"/>
  <c r="F46" i="38" s="1"/>
  <c r="E46" i="38" s="1"/>
  <c r="AE46" i="38"/>
  <c r="BH46" i="38"/>
  <c r="H46" i="37"/>
  <c r="G46" i="37" s="1"/>
  <c r="F46" i="37" s="1"/>
  <c r="E46" i="37" s="1"/>
  <c r="AE46" i="37"/>
  <c r="BH46" i="37"/>
  <c r="H46" i="19"/>
  <c r="G46" i="19" s="1"/>
  <c r="F46" i="19" s="1"/>
  <c r="E46" i="19" s="1"/>
  <c r="BL46" i="19" s="1"/>
  <c r="AE46" i="19"/>
  <c r="BH46" i="19"/>
  <c r="C156" i="47"/>
  <c r="C8" i="66" s="1"/>
  <c r="C157" i="47"/>
  <c r="C9" i="66" s="1"/>
  <c r="C158" i="47"/>
  <c r="C10" i="66" s="1"/>
  <c r="C159" i="47"/>
  <c r="C11" i="66" s="1"/>
  <c r="C160" i="47"/>
  <c r="C12" i="66" s="1"/>
  <c r="C161" i="47"/>
  <c r="C13" i="66" s="1"/>
  <c r="C163" i="47"/>
  <c r="C15" i="66" s="1"/>
  <c r="C164" i="47"/>
  <c r="C16" i="66" s="1"/>
  <c r="C165" i="47"/>
  <c r="C17" i="66" s="1"/>
  <c r="C166" i="47"/>
  <c r="C18" i="66" s="1"/>
  <c r="C167" i="47"/>
  <c r="C19" i="66" s="1"/>
  <c r="C168" i="47"/>
  <c r="C20" i="66" s="1"/>
  <c r="C169" i="47"/>
  <c r="C21" i="66" s="1"/>
  <c r="C170" i="47"/>
  <c r="C22" i="66" s="1"/>
  <c r="C171" i="47"/>
  <c r="C23" i="66" s="1"/>
  <c r="C172" i="47"/>
  <c r="C24" i="66" s="1"/>
  <c r="C173" i="47"/>
  <c r="C25" i="66" s="1"/>
  <c r="C155" i="47"/>
  <c r="C7" i="66" s="1"/>
  <c r="H45" i="29"/>
  <c r="G45" i="29" s="1"/>
  <c r="F45" i="29" s="1"/>
  <c r="E45" i="29"/>
  <c r="BH45" i="29"/>
  <c r="H45" i="28"/>
  <c r="G45" i="28" s="1"/>
  <c r="F45" i="28" s="1"/>
  <c r="E45" i="28" s="1"/>
  <c r="BH45" i="28"/>
  <c r="H45" i="27"/>
  <c r="G45" i="27" s="1"/>
  <c r="F45" i="27" s="1"/>
  <c r="E45" i="27" s="1"/>
  <c r="BL45" i="27" s="1"/>
  <c r="E200" i="48" s="1"/>
  <c r="H10" i="67" s="1"/>
  <c r="BH45" i="27"/>
  <c r="H45" i="26"/>
  <c r="G45" i="26" s="1"/>
  <c r="F45" i="26" s="1"/>
  <c r="E45" i="26" s="1"/>
  <c r="BL45" i="26" s="1"/>
  <c r="E201" i="48" s="1"/>
  <c r="H11" i="67" s="1"/>
  <c r="BH45" i="26"/>
  <c r="H45" i="25"/>
  <c r="G45" i="25"/>
  <c r="F45" i="25" s="1"/>
  <c r="E45" i="25" s="1"/>
  <c r="BL45" i="25" s="1"/>
  <c r="E202" i="48" s="1"/>
  <c r="H12" i="67" s="1"/>
  <c r="BH45" i="25"/>
  <c r="H45" i="24"/>
  <c r="G45" i="24" s="1"/>
  <c r="F45" i="24" s="1"/>
  <c r="E45" i="24" s="1"/>
  <c r="BH45" i="24"/>
  <c r="H45" i="23"/>
  <c r="G45" i="23" s="1"/>
  <c r="F45" i="23" s="1"/>
  <c r="E45" i="23" s="1"/>
  <c r="BH45" i="23"/>
  <c r="H45" i="22"/>
  <c r="G45" i="22" s="1"/>
  <c r="F45" i="22" s="1"/>
  <c r="E45" i="22" s="1"/>
  <c r="BL45" i="22" s="1"/>
  <c r="E205" i="48" s="1"/>
  <c r="H15" i="67" s="1"/>
  <c r="BH45" i="22"/>
  <c r="H45" i="21"/>
  <c r="G45" i="21" s="1"/>
  <c r="F45" i="21" s="1"/>
  <c r="E45" i="21" s="1"/>
  <c r="BL45" i="21"/>
  <c r="E206" i="48" s="1"/>
  <c r="H16" i="67" s="1"/>
  <c r="BH45" i="21"/>
  <c r="H45" i="34"/>
  <c r="G45" i="34" s="1"/>
  <c r="F45" i="34" s="1"/>
  <c r="E45" i="34" s="1"/>
  <c r="BL45" i="34" s="1"/>
  <c r="E207" i="48" s="1"/>
  <c r="H17" i="67" s="1"/>
  <c r="BH45" i="34"/>
  <c r="H45" i="33"/>
  <c r="G45" i="33" s="1"/>
  <c r="F45" i="33" s="1"/>
  <c r="E45" i="33" s="1"/>
  <c r="BL45" i="33" s="1"/>
  <c r="BH45" i="33"/>
  <c r="H45" i="32"/>
  <c r="G45" i="32" s="1"/>
  <c r="F45" i="32" s="1"/>
  <c r="E45" i="32" s="1"/>
  <c r="BL45" i="32" s="1"/>
  <c r="E209" i="48" s="1"/>
  <c r="H19" i="67" s="1"/>
  <c r="BH45" i="32"/>
  <c r="H45" i="30"/>
  <c r="G45" i="30" s="1"/>
  <c r="F45" i="30" s="1"/>
  <c r="E45" i="30" s="1"/>
  <c r="BH45" i="30"/>
  <c r="H45" i="40"/>
  <c r="G45" i="40" s="1"/>
  <c r="F45" i="40" s="1"/>
  <c r="E45" i="40" s="1"/>
  <c r="BL45" i="40" s="1"/>
  <c r="E212" i="48" s="1"/>
  <c r="H22" i="67" s="1"/>
  <c r="BH45" i="40"/>
  <c r="H45" i="39"/>
  <c r="G45" i="39" s="1"/>
  <c r="F45" i="39" s="1"/>
  <c r="E45" i="39" s="1"/>
  <c r="BL45" i="39" s="1"/>
  <c r="E213" i="48" s="1"/>
  <c r="H23" i="67" s="1"/>
  <c r="BH45" i="39"/>
  <c r="H45" i="38"/>
  <c r="G45" i="38" s="1"/>
  <c r="F45" i="38" s="1"/>
  <c r="E45" i="38" s="1"/>
  <c r="BL45" i="38" s="1"/>
  <c r="E214" i="48" s="1"/>
  <c r="BH45" i="38"/>
  <c r="H45" i="37"/>
  <c r="G45" i="37"/>
  <c r="F45" i="37" s="1"/>
  <c r="E45" i="37" s="1"/>
  <c r="BL45" i="37" s="1"/>
  <c r="E215" i="48" s="1"/>
  <c r="BH45" i="37"/>
  <c r="H45" i="19"/>
  <c r="G45" i="19" s="1"/>
  <c r="F45" i="19" s="1"/>
  <c r="E45" i="19" s="1"/>
  <c r="BH45" i="19"/>
  <c r="C198" i="48"/>
  <c r="C8" i="67" s="1"/>
  <c r="C199" i="48"/>
  <c r="C9" i="67" s="1"/>
  <c r="C200" i="48"/>
  <c r="C10" i="67" s="1"/>
  <c r="C201" i="48"/>
  <c r="C202" i="48"/>
  <c r="C12" i="67" s="1"/>
  <c r="C203" i="48"/>
  <c r="C13" i="67" s="1"/>
  <c r="C204" i="48"/>
  <c r="C14" i="67" s="1"/>
  <c r="C205" i="48"/>
  <c r="C15" i="67"/>
  <c r="C206" i="48"/>
  <c r="C16" i="67" s="1"/>
  <c r="C207" i="48"/>
  <c r="C17" i="67" s="1"/>
  <c r="C208" i="48"/>
  <c r="C18" i="67" s="1"/>
  <c r="C209" i="48"/>
  <c r="C19" i="67" s="1"/>
  <c r="C210" i="48"/>
  <c r="C20" i="67" s="1"/>
  <c r="C211" i="48"/>
  <c r="C21" i="67" s="1"/>
  <c r="C212" i="48"/>
  <c r="C22" i="67" s="1"/>
  <c r="C213" i="48"/>
  <c r="C23" i="67" s="1"/>
  <c r="C214" i="48"/>
  <c r="C215" i="48"/>
  <c r="C197" i="48"/>
  <c r="C7" i="67" s="1"/>
  <c r="F22" i="68"/>
  <c r="F21" i="68"/>
  <c r="F20" i="68"/>
  <c r="F19" i="68"/>
  <c r="F18" i="68"/>
  <c r="F17" i="68"/>
  <c r="F16" i="68"/>
  <c r="F15" i="68"/>
  <c r="F14" i="68"/>
  <c r="F13" i="68"/>
  <c r="F12" i="68"/>
  <c r="F11" i="68"/>
  <c r="F10" i="68"/>
  <c r="F9" i="68"/>
  <c r="F8" i="68"/>
  <c r="F7" i="68"/>
  <c r="F6" i="68"/>
  <c r="E22" i="68"/>
  <c r="E21" i="68"/>
  <c r="E20" i="68"/>
  <c r="D20" i="68" s="1"/>
  <c r="E19" i="68"/>
  <c r="E18" i="68"/>
  <c r="E17" i="68"/>
  <c r="E16" i="68"/>
  <c r="D16" i="68" s="1"/>
  <c r="E15" i="68"/>
  <c r="E14" i="68"/>
  <c r="E13" i="68"/>
  <c r="E12" i="68"/>
  <c r="E11" i="68"/>
  <c r="E10" i="68"/>
  <c r="E9" i="68"/>
  <c r="E8" i="68"/>
  <c r="E7" i="68"/>
  <c r="E6" i="68"/>
  <c r="H44" i="29"/>
  <c r="G44" i="29"/>
  <c r="F44" i="29" s="1"/>
  <c r="E44" i="29" s="1"/>
  <c r="BH44" i="29"/>
  <c r="H44" i="28"/>
  <c r="G44" i="28" s="1"/>
  <c r="F44" i="28" s="1"/>
  <c r="E44" i="28" s="1"/>
  <c r="BH44" i="28"/>
  <c r="H44" i="27"/>
  <c r="G44" i="27" s="1"/>
  <c r="F44" i="27" s="1"/>
  <c r="E44" i="27" s="1"/>
  <c r="BH44" i="27"/>
  <c r="H44" i="26"/>
  <c r="G44" i="26" s="1"/>
  <c r="F44" i="26" s="1"/>
  <c r="E44" i="26" s="1"/>
  <c r="BH44" i="26"/>
  <c r="H44" i="25"/>
  <c r="G44" i="25" s="1"/>
  <c r="F44" i="25" s="1"/>
  <c r="E44" i="25" s="1"/>
  <c r="BH44" i="25"/>
  <c r="H44" i="24"/>
  <c r="G44" i="24" s="1"/>
  <c r="F44" i="24" s="1"/>
  <c r="E44" i="24" s="1"/>
  <c r="BH44" i="24"/>
  <c r="H44" i="23"/>
  <c r="G44" i="23" s="1"/>
  <c r="F44" i="23" s="1"/>
  <c r="E44" i="23" s="1"/>
  <c r="BH44" i="23"/>
  <c r="H44" i="22"/>
  <c r="G44" i="22" s="1"/>
  <c r="F44" i="22" s="1"/>
  <c r="E44" i="22" s="1"/>
  <c r="BH44" i="22"/>
  <c r="H44" i="21"/>
  <c r="G44" i="21" s="1"/>
  <c r="F44" i="21" s="1"/>
  <c r="E44" i="21" s="1"/>
  <c r="BH44" i="21"/>
  <c r="H44" i="34"/>
  <c r="G44" i="34"/>
  <c r="F44" i="34" s="1"/>
  <c r="E44" i="34" s="1"/>
  <c r="BH44" i="34"/>
  <c r="H44" i="33"/>
  <c r="G44" i="33" s="1"/>
  <c r="F44" i="33" s="1"/>
  <c r="E44" i="33" s="1"/>
  <c r="BH44" i="33"/>
  <c r="H44" i="32"/>
  <c r="G44" i="32" s="1"/>
  <c r="F44" i="32" s="1"/>
  <c r="E44" i="32" s="1"/>
  <c r="BH44" i="32"/>
  <c r="H44" i="30"/>
  <c r="G44" i="30" s="1"/>
  <c r="F44" i="30" s="1"/>
  <c r="E44" i="30" s="1"/>
  <c r="BH44" i="30"/>
  <c r="H44" i="40"/>
  <c r="G44" i="40" s="1"/>
  <c r="F44" i="40" s="1"/>
  <c r="E44" i="40" s="1"/>
  <c r="BL44" i="40" s="1"/>
  <c r="E188" i="48" s="1"/>
  <c r="G21" i="68" s="1"/>
  <c r="BH44" i="40"/>
  <c r="H44" i="39"/>
  <c r="G44" i="39" s="1"/>
  <c r="F44" i="39" s="1"/>
  <c r="E44" i="39" s="1"/>
  <c r="BL44" i="39" s="1"/>
  <c r="BH44" i="39"/>
  <c r="H44" i="38"/>
  <c r="G44" i="38" s="1"/>
  <c r="F44" i="38" s="1"/>
  <c r="E44" i="38" s="1"/>
  <c r="BH44" i="38"/>
  <c r="H44" i="37"/>
  <c r="G44" i="37" s="1"/>
  <c r="F44" i="37" s="1"/>
  <c r="E44" i="37" s="1"/>
  <c r="BH44" i="37"/>
  <c r="H44" i="19"/>
  <c r="G44" i="19" s="1"/>
  <c r="F44" i="19" s="1"/>
  <c r="E44" i="19" s="1"/>
  <c r="BH44" i="19"/>
  <c r="C174" i="48"/>
  <c r="C7" i="68" s="1"/>
  <c r="C175" i="48"/>
  <c r="C8" i="68" s="1"/>
  <c r="C176" i="48"/>
  <c r="C9" i="68" s="1"/>
  <c r="C177" i="48"/>
  <c r="C10" i="68" s="1"/>
  <c r="C178" i="48"/>
  <c r="C11" i="68" s="1"/>
  <c r="C179" i="48"/>
  <c r="C12" i="68" s="1"/>
  <c r="C180" i="48"/>
  <c r="C181" i="48"/>
  <c r="C14" i="68" s="1"/>
  <c r="C182" i="48"/>
  <c r="C15" i="68" s="1"/>
  <c r="C183" i="48"/>
  <c r="C16" i="68" s="1"/>
  <c r="C184" i="48"/>
  <c r="C17" i="68" s="1"/>
  <c r="C185" i="48"/>
  <c r="C18" i="68" s="1"/>
  <c r="C186" i="48"/>
  <c r="C19" i="68" s="1"/>
  <c r="C187" i="48"/>
  <c r="C20" i="68" s="1"/>
  <c r="C188" i="48"/>
  <c r="C21" i="68" s="1"/>
  <c r="C189" i="48"/>
  <c r="C22" i="68" s="1"/>
  <c r="C190" i="48"/>
  <c r="C191" i="48"/>
  <c r="C173" i="48"/>
  <c r="H43" i="29"/>
  <c r="G43" i="29" s="1"/>
  <c r="F43" i="29" s="1"/>
  <c r="E43" i="29" s="1"/>
  <c r="BL43" i="29" s="1"/>
  <c r="E150" i="48" s="1"/>
  <c r="BH43" i="29"/>
  <c r="H43" i="28"/>
  <c r="G43" i="28" s="1"/>
  <c r="F43" i="28" s="1"/>
  <c r="E43" i="28" s="1"/>
  <c r="BL43" i="28" s="1"/>
  <c r="E151" i="48" s="1"/>
  <c r="H9" i="62" s="1"/>
  <c r="BH43" i="28"/>
  <c r="H43" i="27"/>
  <c r="G43" i="27" s="1"/>
  <c r="F43" i="27" s="1"/>
  <c r="E43" i="27" s="1"/>
  <c r="BL43" i="27" s="1"/>
  <c r="E152" i="48" s="1"/>
  <c r="H10" i="62" s="1"/>
  <c r="BH43" i="27"/>
  <c r="H43" i="26"/>
  <c r="G43" i="26" s="1"/>
  <c r="F43" i="26" s="1"/>
  <c r="E43" i="26"/>
  <c r="BL43" i="26" s="1"/>
  <c r="E153" i="48" s="1"/>
  <c r="H11" i="62" s="1"/>
  <c r="BH43" i="26"/>
  <c r="H43" i="25"/>
  <c r="G43" i="25"/>
  <c r="F43" i="25" s="1"/>
  <c r="E43" i="25" s="1"/>
  <c r="BL43" i="25" s="1"/>
  <c r="E154" i="48" s="1"/>
  <c r="H12" i="62" s="1"/>
  <c r="BH43" i="25"/>
  <c r="H43" i="24"/>
  <c r="G43" i="24" s="1"/>
  <c r="F43" i="24" s="1"/>
  <c r="E43" i="24" s="1"/>
  <c r="BH43" i="24"/>
  <c r="H43" i="23"/>
  <c r="G43" i="23" s="1"/>
  <c r="F43" i="23" s="1"/>
  <c r="E43" i="23" s="1"/>
  <c r="BH43" i="23"/>
  <c r="H43" i="22"/>
  <c r="G43" i="22" s="1"/>
  <c r="F43" i="22" s="1"/>
  <c r="E43" i="22" s="1"/>
  <c r="BH43" i="22"/>
  <c r="H43" i="21"/>
  <c r="G43" i="21" s="1"/>
  <c r="F43" i="21" s="1"/>
  <c r="E43" i="21" s="1"/>
  <c r="BH43" i="21"/>
  <c r="H43" i="34"/>
  <c r="G43" i="34" s="1"/>
  <c r="F43" i="34" s="1"/>
  <c r="E43" i="34" s="1"/>
  <c r="BH43" i="34"/>
  <c r="H43" i="33"/>
  <c r="G43" i="33" s="1"/>
  <c r="F43" i="33" s="1"/>
  <c r="E43" i="33" s="1"/>
  <c r="BH43" i="33"/>
  <c r="H43" i="32"/>
  <c r="G43" i="32" s="1"/>
  <c r="F43" i="32" s="1"/>
  <c r="E43" i="32" s="1"/>
  <c r="BL43" i="32" s="1"/>
  <c r="E161" i="48" s="1"/>
  <c r="BH43" i="32"/>
  <c r="H43" i="30"/>
  <c r="G43" i="30" s="1"/>
  <c r="F43" i="30" s="1"/>
  <c r="E43" i="30" s="1"/>
  <c r="BL43" i="30" s="1"/>
  <c r="E163" i="48" s="1"/>
  <c r="H21" i="62" s="1"/>
  <c r="BH43" i="30"/>
  <c r="H43" i="40"/>
  <c r="G43" i="40" s="1"/>
  <c r="F43" i="40" s="1"/>
  <c r="E43" i="40" s="1"/>
  <c r="BL43" i="40" s="1"/>
  <c r="E164" i="48"/>
  <c r="H22" i="62" s="1"/>
  <c r="BH43" i="40"/>
  <c r="H43" i="39"/>
  <c r="G43" i="39" s="1"/>
  <c r="F43" i="39" s="1"/>
  <c r="E43" i="39" s="1"/>
  <c r="BH43" i="39"/>
  <c r="H43" i="38"/>
  <c r="G43" i="38" s="1"/>
  <c r="F43" i="38" s="1"/>
  <c r="E43" i="38" s="1"/>
  <c r="BL43" i="38" s="1"/>
  <c r="E166" i="48" s="1"/>
  <c r="BH43" i="38"/>
  <c r="H43" i="37"/>
  <c r="G43" i="37" s="1"/>
  <c r="F43" i="37" s="1"/>
  <c r="E43" i="37" s="1"/>
  <c r="BH43" i="37"/>
  <c r="H43" i="19"/>
  <c r="G43" i="19" s="1"/>
  <c r="F43" i="19" s="1"/>
  <c r="E43" i="19" s="1"/>
  <c r="BL43" i="19" s="1"/>
  <c r="E149" i="48" s="1"/>
  <c r="H7" i="62" s="1"/>
  <c r="BH43" i="19"/>
  <c r="C150" i="48"/>
  <c r="C8" i="62" s="1"/>
  <c r="C151" i="48"/>
  <c r="C9" i="62" s="1"/>
  <c r="C152" i="48"/>
  <c r="C10" i="62" s="1"/>
  <c r="C153" i="48"/>
  <c r="C11" i="62" s="1"/>
  <c r="C154" i="48"/>
  <c r="C12" i="62" s="1"/>
  <c r="C155" i="48"/>
  <c r="C13" i="62" s="1"/>
  <c r="C156" i="48"/>
  <c r="C157" i="48"/>
  <c r="C15" i="62" s="1"/>
  <c r="C158" i="48"/>
  <c r="C159" i="48"/>
  <c r="C17" i="62" s="1"/>
  <c r="C160" i="48"/>
  <c r="C18" i="62" s="1"/>
  <c r="C161" i="48"/>
  <c r="C19" i="62" s="1"/>
  <c r="C162" i="48"/>
  <c r="C20" i="62" s="1"/>
  <c r="C163" i="48"/>
  <c r="C21" i="62" s="1"/>
  <c r="C164" i="48"/>
  <c r="C165" i="48"/>
  <c r="C166" i="48"/>
  <c r="C167" i="48"/>
  <c r="C149" i="48"/>
  <c r="C7" i="62" s="1"/>
  <c r="H42" i="29"/>
  <c r="G42" i="29" s="1"/>
  <c r="F42" i="29" s="1"/>
  <c r="E42" i="29" s="1"/>
  <c r="BH42" i="29"/>
  <c r="H42" i="28"/>
  <c r="G42" i="28" s="1"/>
  <c r="F42" i="28" s="1"/>
  <c r="E42" i="28" s="1"/>
  <c r="BL42" i="28" s="1"/>
  <c r="E127" i="48" s="1"/>
  <c r="BH42" i="28"/>
  <c r="H42" i="27"/>
  <c r="G42" i="27" s="1"/>
  <c r="F42" i="27" s="1"/>
  <c r="E42" i="27" s="1"/>
  <c r="BH42" i="27"/>
  <c r="H42" i="26"/>
  <c r="G42" i="26" s="1"/>
  <c r="F42" i="26" s="1"/>
  <c r="E42" i="26" s="1"/>
  <c r="BL42" i="26" s="1"/>
  <c r="E129" i="48" s="1"/>
  <c r="BH42" i="26"/>
  <c r="H42" i="25"/>
  <c r="G42" i="25"/>
  <c r="F42" i="25" s="1"/>
  <c r="E42" i="25" s="1"/>
  <c r="BH42" i="25"/>
  <c r="H42" i="24"/>
  <c r="G42" i="24" s="1"/>
  <c r="F42" i="24"/>
  <c r="E42" i="24" s="1"/>
  <c r="BH42" i="24"/>
  <c r="H42" i="23"/>
  <c r="G42" i="23" s="1"/>
  <c r="F42" i="23" s="1"/>
  <c r="E42" i="23" s="1"/>
  <c r="BH42" i="23"/>
  <c r="H42" i="22"/>
  <c r="G42" i="22" s="1"/>
  <c r="F42" i="22" s="1"/>
  <c r="E42" i="22" s="1"/>
  <c r="BH42" i="22"/>
  <c r="H42" i="21"/>
  <c r="G42" i="21" s="1"/>
  <c r="F42" i="21" s="1"/>
  <c r="E42" i="21" s="1"/>
  <c r="BH42" i="21"/>
  <c r="H42" i="34"/>
  <c r="G42" i="34" s="1"/>
  <c r="F42" i="34" s="1"/>
  <c r="E42" i="34" s="1"/>
  <c r="BH42" i="34"/>
  <c r="H42" i="33"/>
  <c r="G42" i="33" s="1"/>
  <c r="F42" i="33" s="1"/>
  <c r="E42" i="33" s="1"/>
  <c r="BH42" i="33"/>
  <c r="H42" i="32"/>
  <c r="G42" i="32"/>
  <c r="F42" i="32" s="1"/>
  <c r="E42" i="32" s="1"/>
  <c r="BH42" i="32"/>
  <c r="H42" i="30"/>
  <c r="G42" i="30" s="1"/>
  <c r="F42" i="30" s="1"/>
  <c r="E42" i="30" s="1"/>
  <c r="BH42" i="30"/>
  <c r="H42" i="40"/>
  <c r="G42" i="40" s="1"/>
  <c r="F42" i="40" s="1"/>
  <c r="E42" i="40" s="1"/>
  <c r="BH42" i="40"/>
  <c r="H42" i="39"/>
  <c r="G42" i="39" s="1"/>
  <c r="F42" i="39" s="1"/>
  <c r="E42" i="39" s="1"/>
  <c r="BH42" i="39"/>
  <c r="H42" i="38"/>
  <c r="G42" i="38" s="1"/>
  <c r="F42" i="38" s="1"/>
  <c r="E42" i="38" s="1"/>
  <c r="BH42" i="38"/>
  <c r="H42" i="37"/>
  <c r="G42" i="37"/>
  <c r="F42" i="37" s="1"/>
  <c r="E42" i="37" s="1"/>
  <c r="BL42" i="37" s="1"/>
  <c r="E143" i="48" s="1"/>
  <c r="BH42" i="37"/>
  <c r="H42" i="19"/>
  <c r="G42" i="19" s="1"/>
  <c r="F42" i="19" s="1"/>
  <c r="E42" i="19" s="1"/>
  <c r="BH42" i="19"/>
  <c r="C126" i="48"/>
  <c r="C8" i="63" s="1"/>
  <c r="C127" i="48"/>
  <c r="C9" i="63" s="1"/>
  <c r="C128" i="48"/>
  <c r="C10" i="63" s="1"/>
  <c r="C129" i="48"/>
  <c r="C11" i="63" s="1"/>
  <c r="C130" i="48"/>
  <c r="C12" i="63" s="1"/>
  <c r="C131" i="48"/>
  <c r="C13" i="63" s="1"/>
  <c r="C132" i="48"/>
  <c r="C14" i="63" s="1"/>
  <c r="C133" i="48"/>
  <c r="C15" i="63" s="1"/>
  <c r="C134" i="48"/>
  <c r="C16" i="63" s="1"/>
  <c r="C135" i="48"/>
  <c r="C17" i="63" s="1"/>
  <c r="C136" i="48"/>
  <c r="C18" i="63" s="1"/>
  <c r="C137" i="48"/>
  <c r="C19" i="63" s="1"/>
  <c r="C138" i="48"/>
  <c r="C20" i="63" s="1"/>
  <c r="C139" i="48"/>
  <c r="C21" i="63" s="1"/>
  <c r="C140" i="48"/>
  <c r="C22" i="63" s="1"/>
  <c r="C141" i="48"/>
  <c r="C23" i="63" s="1"/>
  <c r="C142" i="48"/>
  <c r="C143" i="48"/>
  <c r="C125" i="48"/>
  <c r="C7" i="63" s="1"/>
  <c r="AL63" i="37"/>
  <c r="AL63" i="38"/>
  <c r="AL63" i="39"/>
  <c r="AL63" i="40"/>
  <c r="AL63" i="30"/>
  <c r="AL63" i="32"/>
  <c r="AL63" i="33"/>
  <c r="AL63" i="34"/>
  <c r="AL63" i="21"/>
  <c r="AL63" i="22"/>
  <c r="AL63" i="23"/>
  <c r="AL63" i="24"/>
  <c r="AL63" i="25"/>
  <c r="AL63" i="26"/>
  <c r="AL63" i="27"/>
  <c r="AL63" i="28"/>
  <c r="AL63" i="29"/>
  <c r="AL63" i="19"/>
  <c r="H41" i="29"/>
  <c r="G41" i="29" s="1"/>
  <c r="F41" i="29" s="1"/>
  <c r="E41" i="29" s="1"/>
  <c r="BL41" i="29" s="1"/>
  <c r="AL41" i="29" s="1"/>
  <c r="BH41" i="29"/>
  <c r="H41" i="28"/>
  <c r="G41" i="28" s="1"/>
  <c r="F41" i="28" s="1"/>
  <c r="E41" i="28" s="1"/>
  <c r="BH41" i="28"/>
  <c r="H41" i="27"/>
  <c r="G41" i="27" s="1"/>
  <c r="F41" i="27" s="1"/>
  <c r="E41" i="27" s="1"/>
  <c r="BH41" i="27"/>
  <c r="H41" i="26"/>
  <c r="G41" i="26" s="1"/>
  <c r="F41" i="26" s="1"/>
  <c r="E41" i="26" s="1"/>
  <c r="BH41" i="26"/>
  <c r="H41" i="25"/>
  <c r="G41" i="25" s="1"/>
  <c r="F41" i="25"/>
  <c r="E41" i="25" s="1"/>
  <c r="BL41" i="25" s="1"/>
  <c r="E106" i="48" s="1"/>
  <c r="H12" i="64" s="1"/>
  <c r="BH41" i="25"/>
  <c r="H41" i="24"/>
  <c r="G41" i="24" s="1"/>
  <c r="F41" i="24" s="1"/>
  <c r="E41" i="24" s="1"/>
  <c r="BH41" i="24"/>
  <c r="H41" i="23"/>
  <c r="G41" i="23" s="1"/>
  <c r="F41" i="23" s="1"/>
  <c r="E41" i="23" s="1"/>
  <c r="BH41" i="23"/>
  <c r="H41" i="22"/>
  <c r="G41" i="22" s="1"/>
  <c r="F41" i="22" s="1"/>
  <c r="E41" i="22" s="1"/>
  <c r="BH41" i="22"/>
  <c r="H41" i="21"/>
  <c r="G41" i="21" s="1"/>
  <c r="F41" i="21" s="1"/>
  <c r="E41" i="21" s="1"/>
  <c r="BL41" i="21" s="1"/>
  <c r="E110" i="48" s="1"/>
  <c r="H16" i="64" s="1"/>
  <c r="BH41" i="21"/>
  <c r="H41" i="34"/>
  <c r="G41" i="34" s="1"/>
  <c r="F41" i="34" s="1"/>
  <c r="E41" i="34" s="1"/>
  <c r="BL41" i="34" s="1"/>
  <c r="BH41" i="34"/>
  <c r="H41" i="33"/>
  <c r="G41" i="33" s="1"/>
  <c r="F41" i="33" s="1"/>
  <c r="E41" i="33" s="1"/>
  <c r="BL41" i="33" s="1"/>
  <c r="E112" i="48" s="1"/>
  <c r="BH41" i="33"/>
  <c r="H41" i="32"/>
  <c r="G41" i="32" s="1"/>
  <c r="F41" i="32" s="1"/>
  <c r="E41" i="32" s="1"/>
  <c r="BH41" i="32"/>
  <c r="H41" i="30"/>
  <c r="G41" i="30"/>
  <c r="F41" i="30" s="1"/>
  <c r="E41" i="30" s="1"/>
  <c r="BL41" i="30" s="1"/>
  <c r="E115" i="48" s="1"/>
  <c r="H21" i="64" s="1"/>
  <c r="BH41" i="30"/>
  <c r="H41" i="40"/>
  <c r="G41" i="40" s="1"/>
  <c r="F41" i="40" s="1"/>
  <c r="E41" i="40"/>
  <c r="BH41" i="40"/>
  <c r="H41" i="39"/>
  <c r="G41" i="39" s="1"/>
  <c r="F41" i="39" s="1"/>
  <c r="E41" i="39" s="1"/>
  <c r="BL41" i="39" s="1"/>
  <c r="BH41" i="39"/>
  <c r="H41" i="38"/>
  <c r="G41" i="38" s="1"/>
  <c r="F41" i="38" s="1"/>
  <c r="E41" i="38" s="1"/>
  <c r="BH41" i="38"/>
  <c r="H41" i="37"/>
  <c r="G41" i="37" s="1"/>
  <c r="F41" i="37" s="1"/>
  <c r="E41" i="37" s="1"/>
  <c r="BL41" i="37" s="1"/>
  <c r="E119" i="48" s="1"/>
  <c r="BH41" i="37"/>
  <c r="H41" i="19"/>
  <c r="G41" i="19" s="1"/>
  <c r="F41" i="19" s="1"/>
  <c r="E41" i="19" s="1"/>
  <c r="BH41" i="19"/>
  <c r="C102" i="48"/>
  <c r="C8" i="64" s="1"/>
  <c r="C103" i="48"/>
  <c r="C9" i="64" s="1"/>
  <c r="C104" i="48"/>
  <c r="C10" i="64" s="1"/>
  <c r="C106" i="48"/>
  <c r="C12" i="64" s="1"/>
  <c r="C107" i="48"/>
  <c r="C13" i="64" s="1"/>
  <c r="C108" i="48"/>
  <c r="C14" i="64" s="1"/>
  <c r="C109" i="48"/>
  <c r="C15" i="64" s="1"/>
  <c r="C110" i="48"/>
  <c r="C16" i="64" s="1"/>
  <c r="C111" i="48"/>
  <c r="C17" i="64" s="1"/>
  <c r="C112" i="48"/>
  <c r="C18" i="64" s="1"/>
  <c r="C113" i="48"/>
  <c r="C19" i="64" s="1"/>
  <c r="C114" i="48"/>
  <c r="C20" i="64" s="1"/>
  <c r="C115" i="48"/>
  <c r="C21" i="64" s="1"/>
  <c r="C116" i="48"/>
  <c r="C22" i="64" s="1"/>
  <c r="C117" i="48"/>
  <c r="C23" i="64" s="1"/>
  <c r="C118" i="48"/>
  <c r="C119" i="48"/>
  <c r="C101" i="48"/>
  <c r="C7" i="64" s="1"/>
  <c r="H38" i="29"/>
  <c r="G38" i="29" s="1"/>
  <c r="F38" i="29" s="1"/>
  <c r="E38" i="29" s="1"/>
  <c r="BL38" i="29" s="1"/>
  <c r="E78" i="48" s="1"/>
  <c r="H8" i="58" s="1"/>
  <c r="BH38" i="29"/>
  <c r="H38" i="28"/>
  <c r="G38" i="28" s="1"/>
  <c r="F38" i="28" s="1"/>
  <c r="E38" i="28" s="1"/>
  <c r="BL38" i="28" s="1"/>
  <c r="E79" i="48" s="1"/>
  <c r="H9" i="58" s="1"/>
  <c r="BH38" i="28"/>
  <c r="H38" i="27"/>
  <c r="G38" i="27" s="1"/>
  <c r="F38" i="27" s="1"/>
  <c r="E38" i="27" s="1"/>
  <c r="BL38" i="27" s="1"/>
  <c r="E80" i="48" s="1"/>
  <c r="H10" i="58" s="1"/>
  <c r="BH38" i="27"/>
  <c r="H38" i="26"/>
  <c r="G38" i="26" s="1"/>
  <c r="F38" i="26" s="1"/>
  <c r="E38" i="26" s="1"/>
  <c r="BL38" i="26" s="1"/>
  <c r="BH38" i="26"/>
  <c r="H38" i="25"/>
  <c r="G38" i="25" s="1"/>
  <c r="F38" i="25" s="1"/>
  <c r="E38" i="25" s="1"/>
  <c r="BL38" i="25" s="1"/>
  <c r="E82" i="48" s="1"/>
  <c r="H12" i="58" s="1"/>
  <c r="BH38" i="25"/>
  <c r="H38" i="24"/>
  <c r="G38" i="24" s="1"/>
  <c r="BH38" i="24"/>
  <c r="H38" i="23"/>
  <c r="G38" i="23" s="1"/>
  <c r="F38" i="23" s="1"/>
  <c r="E38" i="23" s="1"/>
  <c r="BH38" i="23"/>
  <c r="H38" i="22"/>
  <c r="G38" i="22" s="1"/>
  <c r="F38" i="22" s="1"/>
  <c r="E38" i="22" s="1"/>
  <c r="BL38" i="22" s="1"/>
  <c r="E85" i="48" s="1"/>
  <c r="H15" i="58" s="1"/>
  <c r="BH38" i="22"/>
  <c r="H38" i="21"/>
  <c r="G38" i="21" s="1"/>
  <c r="F38" i="21" s="1"/>
  <c r="E38" i="21" s="1"/>
  <c r="BL38" i="21" s="1"/>
  <c r="BH38" i="21"/>
  <c r="H38" i="34"/>
  <c r="G38" i="34" s="1"/>
  <c r="F38" i="34" s="1"/>
  <c r="E38" i="34" s="1"/>
  <c r="BH38" i="34"/>
  <c r="H38" i="33"/>
  <c r="G38" i="33" s="1"/>
  <c r="F38" i="33" s="1"/>
  <c r="E38" i="33" s="1"/>
  <c r="BL38" i="33" s="1"/>
  <c r="E88" i="48" s="1"/>
  <c r="H18" i="58" s="1"/>
  <c r="BH38" i="33"/>
  <c r="H38" i="32"/>
  <c r="G38" i="32" s="1"/>
  <c r="F38" i="32" s="1"/>
  <c r="E38" i="32" s="1"/>
  <c r="BH38" i="32"/>
  <c r="BL38" i="32" s="1"/>
  <c r="E89" i="48" s="1"/>
  <c r="H38" i="30"/>
  <c r="G38" i="30" s="1"/>
  <c r="F38" i="30" s="1"/>
  <c r="E38" i="30" s="1"/>
  <c r="BH38" i="30"/>
  <c r="H38" i="40"/>
  <c r="G38" i="40"/>
  <c r="F38" i="40" s="1"/>
  <c r="E38" i="40" s="1"/>
  <c r="BH38" i="40"/>
  <c r="H38" i="39"/>
  <c r="G38" i="39" s="1"/>
  <c r="F38" i="39" s="1"/>
  <c r="E38" i="39" s="1"/>
  <c r="BH38" i="39"/>
  <c r="H38" i="38"/>
  <c r="G38" i="38" s="1"/>
  <c r="F38" i="38" s="1"/>
  <c r="E38" i="38" s="1"/>
  <c r="BH38" i="38"/>
  <c r="H38" i="37"/>
  <c r="G38" i="37" s="1"/>
  <c r="F38" i="37" s="1"/>
  <c r="E38" i="37" s="1"/>
  <c r="BH38" i="37"/>
  <c r="H38" i="19"/>
  <c r="G38" i="19" s="1"/>
  <c r="F38" i="19" s="1"/>
  <c r="E38" i="19" s="1"/>
  <c r="BH38" i="19"/>
  <c r="C78" i="48"/>
  <c r="C8" i="58" s="1"/>
  <c r="C79" i="48"/>
  <c r="C9" i="58" s="1"/>
  <c r="C80" i="48"/>
  <c r="C10" i="58" s="1"/>
  <c r="C81" i="48"/>
  <c r="C11" i="58" s="1"/>
  <c r="C82" i="48"/>
  <c r="C12" i="58" s="1"/>
  <c r="C83" i="48"/>
  <c r="C13" i="58" s="1"/>
  <c r="C84" i="48"/>
  <c r="C14" i="58" s="1"/>
  <c r="C85" i="48"/>
  <c r="C15" i="58" s="1"/>
  <c r="C86" i="48"/>
  <c r="C16" i="58" s="1"/>
  <c r="C87" i="48"/>
  <c r="C17" i="58" s="1"/>
  <c r="C88" i="48"/>
  <c r="C18" i="58" s="1"/>
  <c r="C89" i="48"/>
  <c r="C19" i="58" s="1"/>
  <c r="C90" i="48"/>
  <c r="C20" i="58" s="1"/>
  <c r="C91" i="48"/>
  <c r="C21" i="58" s="1"/>
  <c r="C92" i="48"/>
  <c r="C22" i="58" s="1"/>
  <c r="C93" i="48"/>
  <c r="C23" i="58" s="1"/>
  <c r="C94" i="48"/>
  <c r="C95" i="48"/>
  <c r="C77" i="48"/>
  <c r="AH63" i="37"/>
  <c r="AH63" i="38"/>
  <c r="AH63" i="39"/>
  <c r="S23" i="89" s="1"/>
  <c r="L23" i="89" s="1"/>
  <c r="AH63" i="40"/>
  <c r="S22" i="89" s="1"/>
  <c r="L22" i="89" s="1"/>
  <c r="AH63" i="30"/>
  <c r="S21" i="89" s="1"/>
  <c r="L21" i="89" s="1"/>
  <c r="AH63" i="32"/>
  <c r="S19" i="89" s="1"/>
  <c r="L19" i="89" s="1"/>
  <c r="AH63" i="33"/>
  <c r="S18" i="89" s="1"/>
  <c r="L18" i="89" s="1"/>
  <c r="AH63" i="34"/>
  <c r="S17" i="89" s="1"/>
  <c r="L17" i="89" s="1"/>
  <c r="AH63" i="21"/>
  <c r="S16" i="89" s="1"/>
  <c r="L16" i="89" s="1"/>
  <c r="AH63" i="22"/>
  <c r="S15" i="89" s="1"/>
  <c r="L15" i="89" s="1"/>
  <c r="AH63" i="23"/>
  <c r="S14" i="89" s="1"/>
  <c r="L14" i="89" s="1"/>
  <c r="AH63" i="24"/>
  <c r="S13" i="89" s="1"/>
  <c r="L13" i="89" s="1"/>
  <c r="AH63" i="25"/>
  <c r="S12" i="89" s="1"/>
  <c r="L12" i="89" s="1"/>
  <c r="AH63" i="26"/>
  <c r="S11" i="89" s="1"/>
  <c r="L11" i="89" s="1"/>
  <c r="AH63" i="27"/>
  <c r="S10" i="89" s="1"/>
  <c r="L10" i="89" s="1"/>
  <c r="AH63" i="28"/>
  <c r="S9" i="89" s="1"/>
  <c r="AH63" i="29"/>
  <c r="AH63" i="19"/>
  <c r="S7" i="89" s="1"/>
  <c r="L7" i="89" s="1"/>
  <c r="H37" i="29"/>
  <c r="G37" i="29" s="1"/>
  <c r="F37" i="29" s="1"/>
  <c r="E37" i="29" s="1"/>
  <c r="BH37" i="29"/>
  <c r="H37" i="28"/>
  <c r="G37" i="28" s="1"/>
  <c r="F37" i="28" s="1"/>
  <c r="E37" i="28" s="1"/>
  <c r="BH37" i="28"/>
  <c r="H37" i="27"/>
  <c r="G37" i="27"/>
  <c r="F37" i="27" s="1"/>
  <c r="E37" i="27" s="1"/>
  <c r="BH37" i="27"/>
  <c r="H37" i="26"/>
  <c r="G37" i="26" s="1"/>
  <c r="F37" i="26" s="1"/>
  <c r="E37" i="26" s="1"/>
  <c r="BL37" i="26" s="1"/>
  <c r="BH37" i="26"/>
  <c r="H37" i="25"/>
  <c r="G37" i="25" s="1"/>
  <c r="F37" i="25" s="1"/>
  <c r="E37" i="25" s="1"/>
  <c r="BL37" i="25" s="1"/>
  <c r="E58" i="48" s="1"/>
  <c r="BH37" i="25"/>
  <c r="H37" i="24"/>
  <c r="G37" i="24" s="1"/>
  <c r="F37" i="24" s="1"/>
  <c r="E37" i="24" s="1"/>
  <c r="BL37" i="24" s="1"/>
  <c r="E59" i="48" s="1"/>
  <c r="BH37" i="24"/>
  <c r="H37" i="23"/>
  <c r="G37" i="23" s="1"/>
  <c r="F37" i="23" s="1"/>
  <c r="E37" i="23" s="1"/>
  <c r="BH37" i="23"/>
  <c r="H37" i="22"/>
  <c r="G37" i="22" s="1"/>
  <c r="F37" i="22" s="1"/>
  <c r="E37" i="22" s="1"/>
  <c r="BH37" i="22"/>
  <c r="H37" i="21"/>
  <c r="G37" i="21" s="1"/>
  <c r="F37" i="21" s="1"/>
  <c r="E37" i="21" s="1"/>
  <c r="BL37" i="21" s="1"/>
  <c r="E62" i="48" s="1"/>
  <c r="BH37" i="21"/>
  <c r="H37" i="34"/>
  <c r="G37" i="34" s="1"/>
  <c r="F37" i="34" s="1"/>
  <c r="E37" i="34" s="1"/>
  <c r="BH37" i="34"/>
  <c r="H37" i="33"/>
  <c r="G37" i="33" s="1"/>
  <c r="F37" i="33" s="1"/>
  <c r="E37" i="33" s="1"/>
  <c r="BL37" i="33" s="1"/>
  <c r="E64" i="48" s="1"/>
  <c r="T18" i="89" s="1"/>
  <c r="BH37" i="33"/>
  <c r="H37" i="32"/>
  <c r="G37" i="32" s="1"/>
  <c r="F37" i="32" s="1"/>
  <c r="E37" i="32" s="1"/>
  <c r="BH37" i="32"/>
  <c r="H37" i="30"/>
  <c r="G37" i="30" s="1"/>
  <c r="F37" i="30" s="1"/>
  <c r="E37" i="30" s="1"/>
  <c r="BH37" i="30"/>
  <c r="H37" i="40"/>
  <c r="G37" i="40"/>
  <c r="F37" i="40" s="1"/>
  <c r="E37" i="40" s="1"/>
  <c r="BL37" i="40" s="1"/>
  <c r="E68" i="48" s="1"/>
  <c r="BH37" i="40"/>
  <c r="H37" i="39"/>
  <c r="G37" i="39"/>
  <c r="F37" i="39" s="1"/>
  <c r="E37" i="39" s="1"/>
  <c r="BL37" i="39" s="1"/>
  <c r="E69" i="48" s="1"/>
  <c r="T23" i="89" s="1"/>
  <c r="BH37" i="39"/>
  <c r="H37" i="38"/>
  <c r="G37" i="38" s="1"/>
  <c r="F37" i="38" s="1"/>
  <c r="E37" i="38" s="1"/>
  <c r="BL37" i="38" s="1"/>
  <c r="E70" i="48" s="1"/>
  <c r="BH37" i="38"/>
  <c r="H37" i="37"/>
  <c r="G37" i="37" s="1"/>
  <c r="F37" i="37" s="1"/>
  <c r="E37" i="37" s="1"/>
  <c r="BL37" i="37" s="1"/>
  <c r="E71" i="48" s="1"/>
  <c r="BH37" i="37"/>
  <c r="H37" i="19"/>
  <c r="G37" i="19"/>
  <c r="F37" i="19" s="1"/>
  <c r="E37" i="19" s="1"/>
  <c r="BL37" i="19" s="1"/>
  <c r="AH37" i="19" s="1"/>
  <c r="AE37" i="19" s="1"/>
  <c r="V37" i="19" s="1"/>
  <c r="BH37" i="19"/>
  <c r="C54" i="48"/>
  <c r="K8" i="89" s="1"/>
  <c r="C55" i="48"/>
  <c r="K9" i="89" s="1"/>
  <c r="C56" i="48"/>
  <c r="K10" i="89" s="1"/>
  <c r="C57" i="48"/>
  <c r="C58" i="48"/>
  <c r="K12" i="89" s="1"/>
  <c r="C59" i="48"/>
  <c r="K13" i="89" s="1"/>
  <c r="C60" i="48"/>
  <c r="C61" i="48"/>
  <c r="K15" i="89" s="1"/>
  <c r="C62" i="48"/>
  <c r="K16" i="89" s="1"/>
  <c r="C63" i="48"/>
  <c r="K17" i="89" s="1"/>
  <c r="C64" i="48"/>
  <c r="K18" i="89" s="1"/>
  <c r="C65" i="48"/>
  <c r="K19" i="89" s="1"/>
  <c r="C66" i="48"/>
  <c r="K20" i="89" s="1"/>
  <c r="C67" i="48"/>
  <c r="K21" i="89" s="1"/>
  <c r="C68" i="48"/>
  <c r="K22" i="89" s="1"/>
  <c r="C69" i="48"/>
  <c r="K23" i="89" s="1"/>
  <c r="C70" i="48"/>
  <c r="C71" i="48"/>
  <c r="C53" i="48"/>
  <c r="K7" i="89" s="1"/>
  <c r="F24" i="60"/>
  <c r="F23" i="60"/>
  <c r="H36" i="29"/>
  <c r="G36" i="29" s="1"/>
  <c r="F36" i="29" s="1"/>
  <c r="E36" i="29" s="1"/>
  <c r="BH36" i="29"/>
  <c r="H36" i="28"/>
  <c r="G36" i="28" s="1"/>
  <c r="F36" i="28" s="1"/>
  <c r="E36" i="28" s="1"/>
  <c r="BH36" i="28"/>
  <c r="H36" i="27"/>
  <c r="G36" i="27" s="1"/>
  <c r="F36" i="27" s="1"/>
  <c r="E36" i="27" s="1"/>
  <c r="BH36" i="27"/>
  <c r="H36" i="26"/>
  <c r="G36" i="26" s="1"/>
  <c r="F36" i="26" s="1"/>
  <c r="E36" i="26" s="1"/>
  <c r="BH36" i="26"/>
  <c r="H36" i="25"/>
  <c r="G36" i="25" s="1"/>
  <c r="F36" i="25" s="1"/>
  <c r="E36" i="25" s="1"/>
  <c r="BH36" i="25"/>
  <c r="H36" i="24"/>
  <c r="G36" i="24" s="1"/>
  <c r="F36" i="24" s="1"/>
  <c r="E36" i="24" s="1"/>
  <c r="BH36" i="24"/>
  <c r="H36" i="23"/>
  <c r="G36" i="23"/>
  <c r="F36" i="23" s="1"/>
  <c r="E36" i="23" s="1"/>
  <c r="BL36" i="23" s="1"/>
  <c r="E36" i="48" s="1"/>
  <c r="H15" i="60" s="1"/>
  <c r="BH36" i="23"/>
  <c r="H36" i="22"/>
  <c r="G36" i="22"/>
  <c r="F36" i="22" s="1"/>
  <c r="E36" i="22"/>
  <c r="BH36" i="22"/>
  <c r="H36" i="21"/>
  <c r="G36" i="21" s="1"/>
  <c r="F36" i="21" s="1"/>
  <c r="E36" i="21" s="1"/>
  <c r="BH36" i="21"/>
  <c r="H36" i="34"/>
  <c r="G36" i="34" s="1"/>
  <c r="F36" i="34" s="1"/>
  <c r="E36" i="34" s="1"/>
  <c r="BH36" i="34"/>
  <c r="H36" i="33"/>
  <c r="G36" i="33"/>
  <c r="F36" i="33" s="1"/>
  <c r="E36" i="33" s="1"/>
  <c r="BL36" i="33" s="1"/>
  <c r="E40" i="48" s="1"/>
  <c r="H19" i="60" s="1"/>
  <c r="BH36" i="33"/>
  <c r="H36" i="32"/>
  <c r="G36" i="32"/>
  <c r="F36" i="32" s="1"/>
  <c r="E36" i="32" s="1"/>
  <c r="BH36" i="32"/>
  <c r="H36" i="30"/>
  <c r="G36" i="30" s="1"/>
  <c r="F36" i="30" s="1"/>
  <c r="E36" i="30" s="1"/>
  <c r="BL36" i="30" s="1"/>
  <c r="E43" i="48" s="1"/>
  <c r="H22" i="60" s="1"/>
  <c r="BH36" i="30"/>
  <c r="H36" i="40"/>
  <c r="G36" i="40" s="1"/>
  <c r="F36" i="40" s="1"/>
  <c r="E36" i="40" s="1"/>
  <c r="BL36" i="40"/>
  <c r="E44" i="48" s="1"/>
  <c r="H23" i="60" s="1"/>
  <c r="BH36" i="40"/>
  <c r="H36" i="39"/>
  <c r="G36" i="39" s="1"/>
  <c r="F36" i="39" s="1"/>
  <c r="E36" i="39" s="1"/>
  <c r="BH36" i="39"/>
  <c r="H36" i="38"/>
  <c r="G36" i="38" s="1"/>
  <c r="F36" i="38" s="1"/>
  <c r="E36" i="38" s="1"/>
  <c r="BL36" i="38" s="1"/>
  <c r="BH36" i="38"/>
  <c r="H36" i="37"/>
  <c r="G36" i="37"/>
  <c r="F36" i="37" s="1"/>
  <c r="E36" i="37" s="1"/>
  <c r="BH36" i="37"/>
  <c r="H36" i="19"/>
  <c r="G36" i="19"/>
  <c r="F36" i="19" s="1"/>
  <c r="E36" i="19" s="1"/>
  <c r="BH36" i="19"/>
  <c r="C30" i="48"/>
  <c r="C9" i="60" s="1"/>
  <c r="C31" i="48"/>
  <c r="C10" i="60" s="1"/>
  <c r="C32" i="48"/>
  <c r="C11" i="60" s="1"/>
  <c r="C33" i="48"/>
  <c r="C12" i="60" s="1"/>
  <c r="C34" i="48"/>
  <c r="C13" i="60" s="1"/>
  <c r="C35" i="48"/>
  <c r="C14" i="60" s="1"/>
  <c r="C36" i="48"/>
  <c r="C15" i="60" s="1"/>
  <c r="C37" i="48"/>
  <c r="C16" i="60" s="1"/>
  <c r="C38" i="48"/>
  <c r="C17" i="60" s="1"/>
  <c r="C39" i="48"/>
  <c r="C18" i="60" s="1"/>
  <c r="C40" i="48"/>
  <c r="C19" i="60" s="1"/>
  <c r="C41" i="48"/>
  <c r="C20" i="60" s="1"/>
  <c r="C42" i="48"/>
  <c r="C21" i="60" s="1"/>
  <c r="C43" i="48"/>
  <c r="C22" i="60" s="1"/>
  <c r="C44" i="48"/>
  <c r="C23" i="60" s="1"/>
  <c r="C45" i="48"/>
  <c r="C24" i="60" s="1"/>
  <c r="C46" i="48"/>
  <c r="C47" i="48"/>
  <c r="C29" i="48"/>
  <c r="C8" i="60" s="1"/>
  <c r="H35" i="29"/>
  <c r="G35" i="29" s="1"/>
  <c r="F35" i="29" s="1"/>
  <c r="E35" i="29" s="1"/>
  <c r="BL35" i="29" s="1"/>
  <c r="E6" i="48" s="1"/>
  <c r="H8" i="61" s="1"/>
  <c r="H35" i="28"/>
  <c r="G35" i="28" s="1"/>
  <c r="F35" i="28" s="1"/>
  <c r="E35" i="28" s="1"/>
  <c r="BL35" i="28" s="1"/>
  <c r="E7" i="48" s="1"/>
  <c r="H9" i="61" s="1"/>
  <c r="H35" i="27"/>
  <c r="G35" i="27"/>
  <c r="F35" i="27" s="1"/>
  <c r="E35" i="27" s="1"/>
  <c r="BL35" i="27" s="1"/>
  <c r="E8" i="48" s="1"/>
  <c r="H10" i="61" s="1"/>
  <c r="H35" i="26"/>
  <c r="G35" i="26" s="1"/>
  <c r="F35" i="26" s="1"/>
  <c r="E35" i="26" s="1"/>
  <c r="BL35" i="26" s="1"/>
  <c r="E9" i="48" s="1"/>
  <c r="H11" i="61" s="1"/>
  <c r="H35" i="25"/>
  <c r="G35" i="25" s="1"/>
  <c r="F35" i="25" s="1"/>
  <c r="E35" i="25" s="1"/>
  <c r="BL35" i="25" s="1"/>
  <c r="E10" i="48" s="1"/>
  <c r="H12" i="61" s="1"/>
  <c r="H35" i="24"/>
  <c r="G35" i="24" s="1"/>
  <c r="F35" i="24" s="1"/>
  <c r="E35" i="24" s="1"/>
  <c r="BL35" i="24" s="1"/>
  <c r="E11" i="48" s="1"/>
  <c r="H13" i="61" s="1"/>
  <c r="H35" i="23"/>
  <c r="G35" i="23" s="1"/>
  <c r="F35" i="23" s="1"/>
  <c r="E35" i="23" s="1"/>
  <c r="BL35" i="23" s="1"/>
  <c r="E12" i="48" s="1"/>
  <c r="H14" i="61" s="1"/>
  <c r="H35" i="22"/>
  <c r="G35" i="22" s="1"/>
  <c r="F35" i="22" s="1"/>
  <c r="E35" i="22" s="1"/>
  <c r="BL35" i="22" s="1"/>
  <c r="E13" i="48" s="1"/>
  <c r="H15" i="61" s="1"/>
  <c r="H35" i="21"/>
  <c r="G35" i="21" s="1"/>
  <c r="F35" i="21" s="1"/>
  <c r="E35" i="21" s="1"/>
  <c r="BL35" i="21" s="1"/>
  <c r="E14" i="48" s="1"/>
  <c r="H16" i="61" s="1"/>
  <c r="H35" i="34"/>
  <c r="G35" i="34" s="1"/>
  <c r="F35" i="34" s="1"/>
  <c r="E35" i="34" s="1"/>
  <c r="BL35" i="34" s="1"/>
  <c r="E15" i="48" s="1"/>
  <c r="H17" i="61" s="1"/>
  <c r="H35" i="33"/>
  <c r="G35" i="33" s="1"/>
  <c r="F35" i="33" s="1"/>
  <c r="E35" i="33" s="1"/>
  <c r="BL35" i="33" s="1"/>
  <c r="E16" i="48" s="1"/>
  <c r="H18" i="61" s="1"/>
  <c r="H35" i="32"/>
  <c r="G35" i="32" s="1"/>
  <c r="F35" i="32" s="1"/>
  <c r="E35" i="32" s="1"/>
  <c r="BL35" i="32" s="1"/>
  <c r="H35" i="30"/>
  <c r="G35" i="30" s="1"/>
  <c r="F35" i="30" s="1"/>
  <c r="E35" i="30" s="1"/>
  <c r="BL35" i="30" s="1"/>
  <c r="E19" i="48" s="1"/>
  <c r="H21" i="61" s="1"/>
  <c r="H35" i="40"/>
  <c r="G35" i="40" s="1"/>
  <c r="F35" i="40" s="1"/>
  <c r="E35" i="40" s="1"/>
  <c r="BL35" i="40" s="1"/>
  <c r="E20" i="48" s="1"/>
  <c r="H22" i="61" s="1"/>
  <c r="H35" i="39"/>
  <c r="G35" i="39" s="1"/>
  <c r="F35" i="39" s="1"/>
  <c r="E35" i="39" s="1"/>
  <c r="BL35" i="39" s="1"/>
  <c r="E21" i="48"/>
  <c r="H23" i="61" s="1"/>
  <c r="H35" i="38"/>
  <c r="G35" i="38" s="1"/>
  <c r="F35" i="38" s="1"/>
  <c r="E35" i="38" s="1"/>
  <c r="BL35" i="38" s="1"/>
  <c r="H35" i="37"/>
  <c r="G35" i="37"/>
  <c r="F35" i="37" s="1"/>
  <c r="E35" i="37" s="1"/>
  <c r="BL35" i="37" s="1"/>
  <c r="E23" i="48" s="1"/>
  <c r="H35" i="19"/>
  <c r="G35" i="19" s="1"/>
  <c r="F35" i="19" s="1"/>
  <c r="E35" i="19" s="1"/>
  <c r="BL35" i="19" s="1"/>
  <c r="E5" i="48" s="1"/>
  <c r="H7" i="61" s="1"/>
  <c r="C6" i="48"/>
  <c r="C7" i="48"/>
  <c r="C9" i="61" s="1"/>
  <c r="C8" i="48"/>
  <c r="C10" i="61" s="1"/>
  <c r="C9" i="48"/>
  <c r="C11" i="61" s="1"/>
  <c r="C10" i="48"/>
  <c r="C12" i="61" s="1"/>
  <c r="C11" i="48"/>
  <c r="C13" i="61" s="1"/>
  <c r="C12" i="48"/>
  <c r="C13" i="48"/>
  <c r="C15" i="61" s="1"/>
  <c r="C14" i="48"/>
  <c r="C16" i="61" s="1"/>
  <c r="C15" i="48"/>
  <c r="C16" i="48"/>
  <c r="C18" i="61" s="1"/>
  <c r="C17" i="48"/>
  <c r="C19" i="61" s="1"/>
  <c r="C18" i="48"/>
  <c r="C20" i="61" s="1"/>
  <c r="C19" i="48"/>
  <c r="C21" i="61" s="1"/>
  <c r="C20" i="48"/>
  <c r="C22" i="61" s="1"/>
  <c r="C21" i="48"/>
  <c r="C23" i="61" s="1"/>
  <c r="C22" i="48"/>
  <c r="C23" i="48"/>
  <c r="C5" i="48"/>
  <c r="AC63" i="37"/>
  <c r="AC63" i="38"/>
  <c r="AC63" i="39"/>
  <c r="W115" i="39" s="1"/>
  <c r="AC63" i="40"/>
  <c r="AC63" i="30"/>
  <c r="W115" i="30" s="1"/>
  <c r="AC63" i="32"/>
  <c r="AC63" i="33"/>
  <c r="AC63" i="34"/>
  <c r="AC63" i="21"/>
  <c r="AC63" i="22"/>
  <c r="AC63" i="23"/>
  <c r="AC63" i="24"/>
  <c r="AC63" i="25"/>
  <c r="AC63" i="26"/>
  <c r="AC63" i="27"/>
  <c r="AC63" i="28"/>
  <c r="AC63" i="29"/>
  <c r="AC63" i="19"/>
  <c r="F23" i="56"/>
  <c r="H32" i="29"/>
  <c r="G32" i="29" s="1"/>
  <c r="F32" i="29" s="1"/>
  <c r="E32" i="29" s="1"/>
  <c r="AE32" i="29"/>
  <c r="BH32" i="29"/>
  <c r="H32" i="28"/>
  <c r="G32" i="28" s="1"/>
  <c r="F32" i="28" s="1"/>
  <c r="E32" i="28" s="1"/>
  <c r="AE32" i="28"/>
  <c r="BH32" i="28"/>
  <c r="H32" i="27"/>
  <c r="G32" i="27" s="1"/>
  <c r="F32" i="27" s="1"/>
  <c r="E32" i="27" s="1"/>
  <c r="AE32" i="27"/>
  <c r="BH32" i="27"/>
  <c r="H32" i="26"/>
  <c r="G32" i="26" s="1"/>
  <c r="F32" i="26" s="1"/>
  <c r="E32" i="26" s="1"/>
  <c r="AE32" i="26"/>
  <c r="BH32" i="26"/>
  <c r="H32" i="25"/>
  <c r="G32" i="25" s="1"/>
  <c r="F32" i="25" s="1"/>
  <c r="E32" i="25" s="1"/>
  <c r="BH32" i="25"/>
  <c r="H32" i="24"/>
  <c r="G32" i="24" s="1"/>
  <c r="F32" i="24" s="1"/>
  <c r="E32" i="24" s="1"/>
  <c r="AE32" i="24"/>
  <c r="Y96" i="24" s="1"/>
  <c r="BH32" i="24"/>
  <c r="H32" i="23"/>
  <c r="G32" i="23" s="1"/>
  <c r="F32" i="23" s="1"/>
  <c r="E32" i="23" s="1"/>
  <c r="AE32" i="23"/>
  <c r="BH32" i="23"/>
  <c r="H32" i="22"/>
  <c r="G32" i="22" s="1"/>
  <c r="F32" i="22" s="1"/>
  <c r="E32" i="22" s="1"/>
  <c r="AE32" i="22"/>
  <c r="BH32" i="22"/>
  <c r="H32" i="21"/>
  <c r="G32" i="21" s="1"/>
  <c r="F32" i="21" s="1"/>
  <c r="E32" i="21" s="1"/>
  <c r="AE32" i="21"/>
  <c r="BH32" i="21"/>
  <c r="H32" i="34"/>
  <c r="G32" i="34" s="1"/>
  <c r="F32" i="34" s="1"/>
  <c r="E32" i="34" s="1"/>
  <c r="BL32" i="34" s="1"/>
  <c r="AE32" i="34"/>
  <c r="BH32" i="34"/>
  <c r="H32" i="33"/>
  <c r="G32" i="33" s="1"/>
  <c r="F32" i="33" s="1"/>
  <c r="E32" i="33" s="1"/>
  <c r="AE32" i="33"/>
  <c r="BH32" i="33"/>
  <c r="H32" i="32"/>
  <c r="G32" i="32" s="1"/>
  <c r="F32" i="32" s="1"/>
  <c r="E32" i="32" s="1"/>
  <c r="AE32" i="32"/>
  <c r="BH32" i="32"/>
  <c r="H32" i="30"/>
  <c r="G32" i="30" s="1"/>
  <c r="F32" i="30" s="1"/>
  <c r="E32" i="30" s="1"/>
  <c r="AE32" i="30"/>
  <c r="Y95" i="30" s="1"/>
  <c r="BH32" i="30"/>
  <c r="H32" i="40"/>
  <c r="G32" i="40" s="1"/>
  <c r="F32" i="40" s="1"/>
  <c r="E32" i="40" s="1"/>
  <c r="AE32" i="40"/>
  <c r="BH32" i="40"/>
  <c r="H32" i="39"/>
  <c r="G32" i="39" s="1"/>
  <c r="F32" i="39" s="1"/>
  <c r="E32" i="39" s="1"/>
  <c r="AE32" i="39"/>
  <c r="BH32" i="39"/>
  <c r="H32" i="38"/>
  <c r="G32" i="38" s="1"/>
  <c r="F32" i="38"/>
  <c r="E32" i="38" s="1"/>
  <c r="AE32" i="38"/>
  <c r="BH32" i="38"/>
  <c r="H32" i="37"/>
  <c r="G32" i="37" s="1"/>
  <c r="F32" i="37" s="1"/>
  <c r="E32" i="37" s="1"/>
  <c r="AE32" i="37"/>
  <c r="BH32" i="37"/>
  <c r="H32" i="19"/>
  <c r="G32" i="19" s="1"/>
  <c r="F32" i="19" s="1"/>
  <c r="E32" i="19" s="1"/>
  <c r="AE32" i="19"/>
  <c r="BH32" i="19"/>
  <c r="C106" i="47"/>
  <c r="C8" i="56" s="1"/>
  <c r="C107" i="47"/>
  <c r="C9" i="56" s="1"/>
  <c r="C108" i="47"/>
  <c r="C10" i="56" s="1"/>
  <c r="C109" i="47"/>
  <c r="C11" i="56" s="1"/>
  <c r="C110" i="47"/>
  <c r="C12" i="56" s="1"/>
  <c r="C111" i="47"/>
  <c r="C13" i="56" s="1"/>
  <c r="C112" i="47"/>
  <c r="C14" i="56" s="1"/>
  <c r="C113" i="47"/>
  <c r="C15" i="56" s="1"/>
  <c r="C114" i="47"/>
  <c r="C16" i="56" s="1"/>
  <c r="C115" i="47"/>
  <c r="C17" i="56" s="1"/>
  <c r="C116" i="47"/>
  <c r="C18" i="56" s="1"/>
  <c r="C117" i="47"/>
  <c r="C19" i="56" s="1"/>
  <c r="C118" i="47"/>
  <c r="C20" i="56" s="1"/>
  <c r="C120" i="47"/>
  <c r="C22" i="56" s="1"/>
  <c r="C121" i="47"/>
  <c r="C23" i="56" s="1"/>
  <c r="C122" i="47"/>
  <c r="C123" i="47"/>
  <c r="C105" i="47"/>
  <c r="C7" i="56" s="1"/>
  <c r="H31" i="29"/>
  <c r="G31" i="29" s="1"/>
  <c r="F31" i="29" s="1"/>
  <c r="E31" i="29" s="1"/>
  <c r="AE31" i="29"/>
  <c r="BH31" i="29"/>
  <c r="H31" i="28"/>
  <c r="G31" i="28" s="1"/>
  <c r="F31" i="28" s="1"/>
  <c r="E31" i="28" s="1"/>
  <c r="AE31" i="28"/>
  <c r="BL31" i="28" s="1"/>
  <c r="AB31" i="28" s="1"/>
  <c r="AB25" i="28" s="1"/>
  <c r="BH31" i="28"/>
  <c r="H31" i="27"/>
  <c r="G31" i="27"/>
  <c r="F31" i="27" s="1"/>
  <c r="E31" i="27"/>
  <c r="AE31" i="27"/>
  <c r="BH31" i="27"/>
  <c r="H31" i="26"/>
  <c r="G31" i="26" s="1"/>
  <c r="F31" i="26" s="1"/>
  <c r="E31" i="26" s="1"/>
  <c r="AE31" i="26"/>
  <c r="BH31" i="26"/>
  <c r="H31" i="25"/>
  <c r="G31" i="25" s="1"/>
  <c r="F31" i="25" s="1"/>
  <c r="E31" i="25" s="1"/>
  <c r="AE31" i="25"/>
  <c r="BL31" i="25" s="1"/>
  <c r="BH31" i="25"/>
  <c r="H31" i="24"/>
  <c r="G31" i="24"/>
  <c r="F31" i="24" s="1"/>
  <c r="E31" i="24" s="1"/>
  <c r="AE31" i="24"/>
  <c r="BH31" i="24"/>
  <c r="H31" i="23"/>
  <c r="G31" i="23" s="1"/>
  <c r="F31" i="23" s="1"/>
  <c r="E31" i="23" s="1"/>
  <c r="AE31" i="23"/>
  <c r="BH31" i="23"/>
  <c r="H31" i="22"/>
  <c r="G31" i="22"/>
  <c r="F31" i="22" s="1"/>
  <c r="E31" i="22" s="1"/>
  <c r="AE31" i="22"/>
  <c r="BH31" i="22"/>
  <c r="H31" i="21"/>
  <c r="G31" i="21" s="1"/>
  <c r="F31" i="21" s="1"/>
  <c r="E31" i="21" s="1"/>
  <c r="AE31" i="21"/>
  <c r="BH31" i="21"/>
  <c r="H31" i="34"/>
  <c r="G31" i="34" s="1"/>
  <c r="F31" i="34" s="1"/>
  <c r="E31" i="34" s="1"/>
  <c r="AE31" i="34"/>
  <c r="BH31" i="34"/>
  <c r="H31" i="33"/>
  <c r="G31" i="33" s="1"/>
  <c r="F31" i="33" s="1"/>
  <c r="E31" i="33" s="1"/>
  <c r="AE31" i="33"/>
  <c r="Y94" i="33" s="1"/>
  <c r="BH31" i="33"/>
  <c r="H31" i="32"/>
  <c r="G31" i="32" s="1"/>
  <c r="F31" i="32" s="1"/>
  <c r="E31" i="32" s="1"/>
  <c r="AE31" i="32"/>
  <c r="BH31" i="32"/>
  <c r="H31" i="30"/>
  <c r="G31" i="30" s="1"/>
  <c r="F31" i="30" s="1"/>
  <c r="E31" i="30" s="1"/>
  <c r="AE31" i="30"/>
  <c r="Y94" i="30" s="1"/>
  <c r="BH31" i="30"/>
  <c r="H31" i="40"/>
  <c r="G31" i="40"/>
  <c r="F31" i="40" s="1"/>
  <c r="E31" i="40" s="1"/>
  <c r="AE31" i="40"/>
  <c r="BH31" i="40"/>
  <c r="H31" i="39"/>
  <c r="G31" i="39" s="1"/>
  <c r="F31" i="39" s="1"/>
  <c r="E31" i="39" s="1"/>
  <c r="AE31" i="39"/>
  <c r="BH31" i="39"/>
  <c r="H31" i="38"/>
  <c r="G31" i="38" s="1"/>
  <c r="F31" i="38" s="1"/>
  <c r="E31" i="38" s="1"/>
  <c r="AE31" i="38"/>
  <c r="BH31" i="38"/>
  <c r="H31" i="37"/>
  <c r="G31" i="37" s="1"/>
  <c r="F31" i="37" s="1"/>
  <c r="E31" i="37" s="1"/>
  <c r="AE31" i="37"/>
  <c r="BH31" i="37"/>
  <c r="H31" i="19"/>
  <c r="G31" i="19" s="1"/>
  <c r="F31" i="19" s="1"/>
  <c r="E31" i="19" s="1"/>
  <c r="AE31" i="19"/>
  <c r="BH31" i="19"/>
  <c r="C81" i="47"/>
  <c r="C8" i="57" s="1"/>
  <c r="C82" i="47"/>
  <c r="C9" i="57" s="1"/>
  <c r="C83" i="47"/>
  <c r="C10" i="57" s="1"/>
  <c r="C84" i="47"/>
  <c r="C11" i="57" s="1"/>
  <c r="C85" i="47"/>
  <c r="C12" i="57" s="1"/>
  <c r="C86" i="47"/>
  <c r="C13" i="57" s="1"/>
  <c r="C87" i="47"/>
  <c r="C14" i="57" s="1"/>
  <c r="C88" i="47"/>
  <c r="C15" i="57" s="1"/>
  <c r="C89" i="47"/>
  <c r="C16" i="57" s="1"/>
  <c r="C90" i="47"/>
  <c r="C17" i="57" s="1"/>
  <c r="C91" i="47"/>
  <c r="C18" i="57" s="1"/>
  <c r="C92" i="47"/>
  <c r="C19" i="57" s="1"/>
  <c r="C93" i="47"/>
  <c r="C20" i="57" s="1"/>
  <c r="C94" i="47"/>
  <c r="C95" i="47"/>
  <c r="C22" i="57" s="1"/>
  <c r="C96" i="47"/>
  <c r="C23" i="57" s="1"/>
  <c r="C97" i="47"/>
  <c r="C98" i="47"/>
  <c r="C80" i="47"/>
  <c r="C7" i="57" s="1"/>
  <c r="U13" i="53"/>
  <c r="S13" i="53"/>
  <c r="P13" i="53"/>
  <c r="O13" i="53"/>
  <c r="M13" i="53"/>
  <c r="L13" i="53"/>
  <c r="J13" i="53"/>
  <c r="I13" i="53"/>
  <c r="H13" i="53"/>
  <c r="G13" i="53"/>
  <c r="F13" i="53"/>
  <c r="U12" i="53"/>
  <c r="S12" i="53"/>
  <c r="M12" i="53"/>
  <c r="L12" i="53"/>
  <c r="J12" i="53"/>
  <c r="I12" i="53"/>
  <c r="H12" i="53"/>
  <c r="G12" i="53"/>
  <c r="F12" i="53"/>
  <c r="E13" i="53"/>
  <c r="E12" i="53"/>
  <c r="E11" i="53"/>
  <c r="D11" i="53" s="1"/>
  <c r="U10" i="53"/>
  <c r="S10" i="53"/>
  <c r="P10" i="53"/>
  <c r="O10" i="53"/>
  <c r="M10" i="53"/>
  <c r="L10" i="53"/>
  <c r="J10" i="53"/>
  <c r="I10" i="53"/>
  <c r="H10" i="53"/>
  <c r="G10" i="53"/>
  <c r="F10" i="53"/>
  <c r="E10" i="53"/>
  <c r="D9" i="53"/>
  <c r="U7" i="53"/>
  <c r="S7" i="53"/>
  <c r="P7" i="53"/>
  <c r="O7" i="53"/>
  <c r="M7" i="53"/>
  <c r="L7" i="53"/>
  <c r="J7" i="53"/>
  <c r="I7" i="53"/>
  <c r="H7" i="53"/>
  <c r="G7" i="53"/>
  <c r="F7" i="53"/>
  <c r="E7" i="53"/>
  <c r="H28" i="29"/>
  <c r="G28" i="29" s="1"/>
  <c r="F28" i="29" s="1"/>
  <c r="E28" i="29" s="1"/>
  <c r="AE28" i="29"/>
  <c r="BH28" i="29"/>
  <c r="H28" i="24"/>
  <c r="G28" i="24" s="1"/>
  <c r="F28" i="24" s="1"/>
  <c r="E28" i="24" s="1"/>
  <c r="AE28" i="24"/>
  <c r="BH28" i="24"/>
  <c r="H28" i="33"/>
  <c r="G28" i="33" s="1"/>
  <c r="F28" i="33" s="1"/>
  <c r="E28" i="33" s="1"/>
  <c r="BL28" i="33" s="1"/>
  <c r="AE28" i="33"/>
  <c r="BH28" i="33"/>
  <c r="H28" i="30"/>
  <c r="G28" i="30" s="1"/>
  <c r="F28" i="30" s="1"/>
  <c r="E28" i="30" s="1"/>
  <c r="AE28" i="30"/>
  <c r="BH28" i="30"/>
  <c r="H28" i="38"/>
  <c r="G28" i="38" s="1"/>
  <c r="F28" i="38" s="1"/>
  <c r="E28" i="38" s="1"/>
  <c r="AE28" i="38"/>
  <c r="BH28" i="38"/>
  <c r="H28" i="37"/>
  <c r="G28" i="37" s="1"/>
  <c r="F28" i="37" s="1"/>
  <c r="E28" i="37" s="1"/>
  <c r="AE28" i="37"/>
  <c r="BH28" i="37"/>
  <c r="C56" i="47"/>
  <c r="C7" i="53" s="1"/>
  <c r="C61" i="47"/>
  <c r="C9" i="53" s="1"/>
  <c r="C66" i="47"/>
  <c r="C10" i="53" s="1"/>
  <c r="C69" i="47"/>
  <c r="C11" i="53" s="1"/>
  <c r="C72" i="47"/>
  <c r="C12" i="53"/>
  <c r="C73" i="47"/>
  <c r="C13" i="53" s="1"/>
  <c r="H27" i="29"/>
  <c r="G27" i="29" s="1"/>
  <c r="F27" i="29" s="1"/>
  <c r="AE27" i="29"/>
  <c r="BH27" i="29"/>
  <c r="H27" i="28"/>
  <c r="G27" i="28" s="1"/>
  <c r="F27" i="28" s="1"/>
  <c r="AE27" i="28"/>
  <c r="BH27" i="28"/>
  <c r="H27" i="27"/>
  <c r="G27" i="27" s="1"/>
  <c r="F27" i="27" s="1"/>
  <c r="AE27" i="27"/>
  <c r="BH27" i="27"/>
  <c r="H27" i="26"/>
  <c r="G27" i="26" s="1"/>
  <c r="F27" i="26" s="1"/>
  <c r="AE27" i="26"/>
  <c r="BH27" i="26"/>
  <c r="H27" i="25"/>
  <c r="G27" i="25" s="1"/>
  <c r="F27" i="25" s="1"/>
  <c r="AE27" i="25"/>
  <c r="BH27" i="25"/>
  <c r="H27" i="24"/>
  <c r="G27" i="24" s="1"/>
  <c r="F27" i="24" s="1"/>
  <c r="AE27" i="24"/>
  <c r="BH27" i="24"/>
  <c r="H27" i="23"/>
  <c r="G27" i="23" s="1"/>
  <c r="F27" i="23" s="1"/>
  <c r="AE27" i="23"/>
  <c r="BH27" i="23"/>
  <c r="H27" i="22"/>
  <c r="G27" i="22" s="1"/>
  <c r="F27" i="22" s="1"/>
  <c r="AE27" i="22"/>
  <c r="BH27" i="22"/>
  <c r="H27" i="21"/>
  <c r="G27" i="21" s="1"/>
  <c r="F27" i="21" s="1"/>
  <c r="AE27" i="21"/>
  <c r="BH27" i="21"/>
  <c r="H27" i="34"/>
  <c r="G27" i="34" s="1"/>
  <c r="F27" i="34" s="1"/>
  <c r="AE27" i="34"/>
  <c r="BH27" i="34"/>
  <c r="H27" i="33"/>
  <c r="G27" i="33" s="1"/>
  <c r="F27" i="33" s="1"/>
  <c r="AE27" i="33"/>
  <c r="BH27" i="33"/>
  <c r="H27" i="32"/>
  <c r="G27" i="32" s="1"/>
  <c r="F27" i="32" s="1"/>
  <c r="AE27" i="32"/>
  <c r="BH27" i="32"/>
  <c r="H27" i="30"/>
  <c r="G27" i="30" s="1"/>
  <c r="F27" i="30" s="1"/>
  <c r="AE27" i="30"/>
  <c r="BH27" i="30"/>
  <c r="H27" i="40"/>
  <c r="G27" i="40" s="1"/>
  <c r="F27" i="40" s="1"/>
  <c r="BL27" i="40" s="1"/>
  <c r="AE27" i="40"/>
  <c r="BH27" i="40"/>
  <c r="H27" i="39"/>
  <c r="G27" i="39" s="1"/>
  <c r="F27" i="39" s="1"/>
  <c r="BL27" i="39" s="1"/>
  <c r="AE27" i="39"/>
  <c r="BH27" i="39"/>
  <c r="H27" i="38"/>
  <c r="G27" i="38" s="1"/>
  <c r="F27" i="38" s="1"/>
  <c r="AE27" i="38"/>
  <c r="BH27" i="38"/>
  <c r="H27" i="37"/>
  <c r="G27" i="37" s="1"/>
  <c r="F27" i="37" s="1"/>
  <c r="AE27" i="37"/>
  <c r="BH27" i="37"/>
  <c r="H27" i="19"/>
  <c r="G27" i="19" s="1"/>
  <c r="AE27" i="19"/>
  <c r="BH27" i="19"/>
  <c r="C31" i="47"/>
  <c r="C8" i="54" s="1"/>
  <c r="C32" i="47"/>
  <c r="C9" i="54" s="1"/>
  <c r="C33" i="47"/>
  <c r="C10" i="54" s="1"/>
  <c r="C34" i="47"/>
  <c r="C11" i="54" s="1"/>
  <c r="C35" i="47"/>
  <c r="C12" i="54" s="1"/>
  <c r="C36" i="47"/>
  <c r="C13" i="54" s="1"/>
  <c r="C37" i="47"/>
  <c r="C14" i="54" s="1"/>
  <c r="C38" i="47"/>
  <c r="C15" i="54" s="1"/>
  <c r="C39" i="47"/>
  <c r="C16" i="54" s="1"/>
  <c r="C40" i="47"/>
  <c r="C17" i="54" s="1"/>
  <c r="C41" i="47"/>
  <c r="C18" i="54" s="1"/>
  <c r="C42" i="47"/>
  <c r="C19" i="54" s="1"/>
  <c r="C43" i="47"/>
  <c r="C20" i="54" s="1"/>
  <c r="C44" i="47"/>
  <c r="C21" i="54" s="1"/>
  <c r="C45" i="47"/>
  <c r="C22" i="54" s="1"/>
  <c r="C46" i="47"/>
  <c r="C23" i="54" s="1"/>
  <c r="C47" i="47"/>
  <c r="C48" i="47"/>
  <c r="C30" i="47"/>
  <c r="C7" i="54" s="1"/>
  <c r="AE26" i="29"/>
  <c r="BH26" i="29"/>
  <c r="AE26" i="28"/>
  <c r="BH26" i="28"/>
  <c r="AE26" i="27"/>
  <c r="BH26" i="27"/>
  <c r="AE26" i="26"/>
  <c r="BH26" i="26"/>
  <c r="AE26" i="25"/>
  <c r="BH26" i="25"/>
  <c r="AE26" i="24"/>
  <c r="BH26" i="24"/>
  <c r="BL26" i="24" s="1"/>
  <c r="AE26" i="23"/>
  <c r="BH26" i="23"/>
  <c r="BL26" i="23"/>
  <c r="AE26" i="22"/>
  <c r="BH26" i="22"/>
  <c r="BL26" i="22"/>
  <c r="AE26" i="21"/>
  <c r="BH26" i="21"/>
  <c r="AE26" i="34"/>
  <c r="BH26" i="34"/>
  <c r="AE26" i="33"/>
  <c r="BH26" i="33"/>
  <c r="AE26" i="32"/>
  <c r="BH26" i="32"/>
  <c r="AE26" i="30"/>
  <c r="BH26" i="30"/>
  <c r="AE26" i="40"/>
  <c r="BH26" i="40"/>
  <c r="BL26" i="40"/>
  <c r="AE26" i="39"/>
  <c r="BH26" i="39"/>
  <c r="AE26" i="38"/>
  <c r="BH26" i="38"/>
  <c r="AE26" i="37"/>
  <c r="BH26" i="37"/>
  <c r="AE26" i="19"/>
  <c r="BH26" i="19"/>
  <c r="C6" i="47"/>
  <c r="C8" i="55" s="1"/>
  <c r="C7" i="47"/>
  <c r="C9" i="55" s="1"/>
  <c r="C8" i="47"/>
  <c r="C10" i="55" s="1"/>
  <c r="C9" i="47"/>
  <c r="C11" i="55" s="1"/>
  <c r="C10" i="47"/>
  <c r="C12" i="55" s="1"/>
  <c r="C11" i="47"/>
  <c r="C13" i="55" s="1"/>
  <c r="C12" i="47"/>
  <c r="C13" i="47"/>
  <c r="C15" i="55" s="1"/>
  <c r="C14" i="47"/>
  <c r="C16" i="55" s="1"/>
  <c r="C15" i="47"/>
  <c r="C17" i="55" s="1"/>
  <c r="C16" i="47"/>
  <c r="C18" i="55" s="1"/>
  <c r="C17" i="47"/>
  <c r="C19" i="55" s="1"/>
  <c r="C18" i="47"/>
  <c r="C20" i="55" s="1"/>
  <c r="C19" i="47"/>
  <c r="C21" i="55" s="1"/>
  <c r="C20" i="47"/>
  <c r="C22" i="55" s="1"/>
  <c r="C21" i="47"/>
  <c r="C23" i="55" s="1"/>
  <c r="C22" i="47"/>
  <c r="C23" i="47"/>
  <c r="C5" i="47"/>
  <c r="C7" i="55" s="1"/>
  <c r="E24" i="49"/>
  <c r="H24" i="29"/>
  <c r="G24" i="29" s="1"/>
  <c r="F24" i="29" s="1"/>
  <c r="O24" i="29"/>
  <c r="BH24" i="29"/>
  <c r="AE24" i="29"/>
  <c r="H24" i="28"/>
  <c r="G24" i="28" s="1"/>
  <c r="F24" i="28" s="1"/>
  <c r="O24" i="28"/>
  <c r="BH24" i="28"/>
  <c r="H24" i="27"/>
  <c r="G24" i="27" s="1"/>
  <c r="F24" i="27" s="1"/>
  <c r="O24" i="27"/>
  <c r="BH24" i="27"/>
  <c r="H24" i="26"/>
  <c r="G24" i="26" s="1"/>
  <c r="F24" i="26" s="1"/>
  <c r="O24" i="26"/>
  <c r="BH24" i="26"/>
  <c r="H24" i="25"/>
  <c r="G24" i="25" s="1"/>
  <c r="F24" i="25" s="1"/>
  <c r="O24" i="25"/>
  <c r="BH24" i="25"/>
  <c r="H24" i="24"/>
  <c r="G24" i="24" s="1"/>
  <c r="F24" i="24" s="1"/>
  <c r="O24" i="24"/>
  <c r="BH24" i="24"/>
  <c r="H24" i="23"/>
  <c r="G24" i="23" s="1"/>
  <c r="F24" i="23" s="1"/>
  <c r="O24" i="23"/>
  <c r="BH24" i="23"/>
  <c r="H24" i="22"/>
  <c r="G24" i="22" s="1"/>
  <c r="F24" i="22" s="1"/>
  <c r="O24" i="22"/>
  <c r="BH24" i="22"/>
  <c r="H24" i="21"/>
  <c r="G24" i="21" s="1"/>
  <c r="F24" i="21" s="1"/>
  <c r="O24" i="21"/>
  <c r="BH24" i="21"/>
  <c r="H24" i="34"/>
  <c r="G24" i="34" s="1"/>
  <c r="F24" i="34" s="1"/>
  <c r="O24" i="34"/>
  <c r="BH24" i="34"/>
  <c r="H24" i="33"/>
  <c r="G24" i="33" s="1"/>
  <c r="F24" i="33" s="1"/>
  <c r="O24" i="33"/>
  <c r="BH24" i="33"/>
  <c r="H24" i="32"/>
  <c r="G24" i="32" s="1"/>
  <c r="F24" i="32" s="1"/>
  <c r="O24" i="32"/>
  <c r="BH24" i="32"/>
  <c r="H24" i="30"/>
  <c r="G24" i="30" s="1"/>
  <c r="F24" i="30" s="1"/>
  <c r="O24" i="30"/>
  <c r="BH24" i="30"/>
  <c r="H24" i="40"/>
  <c r="G24" i="40" s="1"/>
  <c r="F24" i="40" s="1"/>
  <c r="O24" i="40"/>
  <c r="BH24" i="40"/>
  <c r="H24" i="39"/>
  <c r="G24" i="39" s="1"/>
  <c r="F24" i="39" s="1"/>
  <c r="O24" i="39"/>
  <c r="BH24" i="39"/>
  <c r="H24" i="38"/>
  <c r="G24" i="38" s="1"/>
  <c r="F24" i="38" s="1"/>
  <c r="O24" i="38"/>
  <c r="BH24" i="38"/>
  <c r="H24" i="37"/>
  <c r="G24" i="37" s="1"/>
  <c r="F24" i="37" s="1"/>
  <c r="O24" i="37"/>
  <c r="BH24" i="37"/>
  <c r="H24" i="19"/>
  <c r="G24" i="19" s="1"/>
  <c r="F24" i="19" s="1"/>
  <c r="BL24" i="19" s="1"/>
  <c r="O24" i="19"/>
  <c r="BH24" i="19"/>
  <c r="C181" i="46"/>
  <c r="C8" i="49" s="1"/>
  <c r="C182" i="46"/>
  <c r="C9" i="49" s="1"/>
  <c r="C183" i="46"/>
  <c r="C10" i="49"/>
  <c r="C184" i="46"/>
  <c r="C11" i="49" s="1"/>
  <c r="C185" i="46"/>
  <c r="C12" i="49" s="1"/>
  <c r="C186" i="46"/>
  <c r="C13" i="49" s="1"/>
  <c r="C187" i="46"/>
  <c r="C14" i="49" s="1"/>
  <c r="C188" i="46"/>
  <c r="C15" i="49" s="1"/>
  <c r="C189" i="46"/>
  <c r="C16" i="49" s="1"/>
  <c r="C190" i="46"/>
  <c r="C17" i="49" s="1"/>
  <c r="C191" i="46"/>
  <c r="C18" i="49" s="1"/>
  <c r="C192" i="46"/>
  <c r="C19" i="49" s="1"/>
  <c r="C193" i="46"/>
  <c r="C194" i="46"/>
  <c r="C21" i="49" s="1"/>
  <c r="C195" i="46"/>
  <c r="C22" i="49"/>
  <c r="C196" i="46"/>
  <c r="C23" i="49" s="1"/>
  <c r="C197" i="46"/>
  <c r="C198" i="46"/>
  <c r="C180" i="46"/>
  <c r="C7" i="49" s="1"/>
  <c r="H27" i="50"/>
  <c r="H22" i="29"/>
  <c r="G22" i="29" s="1"/>
  <c r="O22" i="29"/>
  <c r="AE22" i="29"/>
  <c r="BH22" i="29"/>
  <c r="H22" i="28"/>
  <c r="G22" i="28" s="1"/>
  <c r="O22" i="28"/>
  <c r="AE22" i="28"/>
  <c r="BH22" i="28"/>
  <c r="H22" i="27"/>
  <c r="G22" i="27" s="1"/>
  <c r="O22" i="27"/>
  <c r="AE22" i="27"/>
  <c r="BH22" i="27"/>
  <c r="H22" i="26"/>
  <c r="G22" i="26" s="1"/>
  <c r="O22" i="26"/>
  <c r="AE22" i="26"/>
  <c r="BH22" i="26"/>
  <c r="H22" i="25"/>
  <c r="G22" i="25"/>
  <c r="O22" i="25"/>
  <c r="AE22" i="25"/>
  <c r="BH22" i="25"/>
  <c r="H22" i="24"/>
  <c r="G22" i="24" s="1"/>
  <c r="O22" i="24"/>
  <c r="AE22" i="24"/>
  <c r="BH22" i="24"/>
  <c r="H22" i="23"/>
  <c r="G22" i="23" s="1"/>
  <c r="O22" i="23"/>
  <c r="AE22" i="23"/>
  <c r="BH22" i="23"/>
  <c r="H22" i="22"/>
  <c r="G22" i="22" s="1"/>
  <c r="O22" i="22"/>
  <c r="AE22" i="22"/>
  <c r="BH22" i="22"/>
  <c r="H22" i="21"/>
  <c r="G22" i="21" s="1"/>
  <c r="O22" i="21"/>
  <c r="AE22" i="21"/>
  <c r="BH22" i="21"/>
  <c r="H22" i="34"/>
  <c r="G22" i="34" s="1"/>
  <c r="O22" i="34"/>
  <c r="AE22" i="34"/>
  <c r="BH22" i="34"/>
  <c r="H22" i="33"/>
  <c r="G22" i="33" s="1"/>
  <c r="O22" i="33"/>
  <c r="AE22" i="33"/>
  <c r="BH22" i="33"/>
  <c r="H22" i="32"/>
  <c r="G22" i="32" s="1"/>
  <c r="O22" i="32"/>
  <c r="AE22" i="32"/>
  <c r="BH22" i="32"/>
  <c r="H22" i="30"/>
  <c r="G22" i="30" s="1"/>
  <c r="O22" i="30"/>
  <c r="AE22" i="30"/>
  <c r="BH22" i="30"/>
  <c r="H22" i="40"/>
  <c r="G22" i="40"/>
  <c r="O22" i="40"/>
  <c r="AE22" i="40"/>
  <c r="BH22" i="40"/>
  <c r="H22" i="39"/>
  <c r="G22" i="39" s="1"/>
  <c r="O22" i="39"/>
  <c r="AE22" i="39"/>
  <c r="BH22" i="39"/>
  <c r="H22" i="38"/>
  <c r="G22" i="38" s="1"/>
  <c r="O22" i="38"/>
  <c r="AE22" i="38"/>
  <c r="BH22" i="38"/>
  <c r="H22" i="37"/>
  <c r="G22" i="37" s="1"/>
  <c r="O22" i="37"/>
  <c r="AE22" i="37"/>
  <c r="BH22" i="37"/>
  <c r="H22" i="19"/>
  <c r="G22" i="19" s="1"/>
  <c r="O22" i="19"/>
  <c r="AE22" i="19"/>
  <c r="BH22" i="19"/>
  <c r="C156" i="46"/>
  <c r="C9" i="50" s="1"/>
  <c r="C157" i="46"/>
  <c r="C10" i="50" s="1"/>
  <c r="C158" i="46"/>
  <c r="C11" i="50" s="1"/>
  <c r="C159" i="46"/>
  <c r="C12" i="50" s="1"/>
  <c r="C160" i="46"/>
  <c r="C13" i="50" s="1"/>
  <c r="C161" i="46"/>
  <c r="C14" i="50" s="1"/>
  <c r="C162" i="46"/>
  <c r="C15" i="50" s="1"/>
  <c r="C163" i="46"/>
  <c r="C16" i="50" s="1"/>
  <c r="C164" i="46"/>
  <c r="C17" i="50" s="1"/>
  <c r="C165" i="46"/>
  <c r="C18" i="50" s="1"/>
  <c r="C166" i="46"/>
  <c r="C19" i="50" s="1"/>
  <c r="C167" i="46"/>
  <c r="C20" i="50" s="1"/>
  <c r="C168" i="46"/>
  <c r="C21" i="50" s="1"/>
  <c r="C170" i="46"/>
  <c r="C23" i="50" s="1"/>
  <c r="C171" i="46"/>
  <c r="C24" i="50" s="1"/>
  <c r="C172" i="46"/>
  <c r="C173" i="46"/>
  <c r="C155" i="46"/>
  <c r="C8" i="50" s="1"/>
  <c r="C131" i="46"/>
  <c r="C132" i="46"/>
  <c r="C133" i="46"/>
  <c r="C134" i="46"/>
  <c r="C135" i="46"/>
  <c r="C136" i="46"/>
  <c r="C141" i="46"/>
  <c r="C142" i="46"/>
  <c r="C143" i="46"/>
  <c r="F15" i="51"/>
  <c r="D15" i="51" s="1"/>
  <c r="F14" i="51"/>
  <c r="D14" i="51" s="1"/>
  <c r="F13" i="51"/>
  <c r="D13" i="51" s="1"/>
  <c r="F11" i="51"/>
  <c r="D11" i="51" s="1"/>
  <c r="F10" i="51"/>
  <c r="F9" i="51"/>
  <c r="D9" i="51" s="1"/>
  <c r="E8" i="51"/>
  <c r="F8" i="51"/>
  <c r="R63" i="29"/>
  <c r="F7" i="51" s="1"/>
  <c r="H21" i="29"/>
  <c r="G21" i="29" s="1"/>
  <c r="F21" i="29" s="1"/>
  <c r="AE21" i="29"/>
  <c r="BH21" i="29"/>
  <c r="H21" i="28"/>
  <c r="G21" i="28"/>
  <c r="F21" i="28" s="1"/>
  <c r="AE21" i="28"/>
  <c r="BH21" i="28"/>
  <c r="H21" i="27"/>
  <c r="G21" i="27" s="1"/>
  <c r="F21" i="27" s="1"/>
  <c r="AE21" i="27"/>
  <c r="Y83" i="27" s="1"/>
  <c r="BH21" i="27"/>
  <c r="H21" i="26"/>
  <c r="G21" i="26" s="1"/>
  <c r="F21" i="26" s="1"/>
  <c r="AE21" i="26"/>
  <c r="BH21" i="26"/>
  <c r="H21" i="25"/>
  <c r="G21" i="25" s="1"/>
  <c r="F21" i="25" s="1"/>
  <c r="AE21" i="25"/>
  <c r="V21" i="25"/>
  <c r="BH21" i="25"/>
  <c r="H21" i="24"/>
  <c r="G21" i="24" s="1"/>
  <c r="F21" i="24" s="1"/>
  <c r="AE21" i="24"/>
  <c r="BH21" i="24"/>
  <c r="H21" i="33"/>
  <c r="G21" i="33" s="1"/>
  <c r="F21" i="33" s="1"/>
  <c r="AE21" i="33"/>
  <c r="BH21" i="33"/>
  <c r="H21" i="32"/>
  <c r="G21" i="32" s="1"/>
  <c r="F21" i="32" s="1"/>
  <c r="AE21" i="32"/>
  <c r="V21" i="32" s="1"/>
  <c r="BH21" i="32"/>
  <c r="D10" i="51"/>
  <c r="D12" i="51"/>
  <c r="P63" i="28"/>
  <c r="H19" i="29"/>
  <c r="G19" i="29"/>
  <c r="F19" i="29" s="1"/>
  <c r="AE19" i="29"/>
  <c r="BH19" i="29"/>
  <c r="H19" i="28"/>
  <c r="G19" i="28"/>
  <c r="F19" i="28" s="1"/>
  <c r="AE19" i="28"/>
  <c r="BH19" i="28"/>
  <c r="H19" i="27"/>
  <c r="G19" i="27" s="1"/>
  <c r="F19" i="27" s="1"/>
  <c r="AE19" i="27"/>
  <c r="BH19" i="27"/>
  <c r="H19" i="26"/>
  <c r="G19" i="26" s="1"/>
  <c r="F19" i="26" s="1"/>
  <c r="AE19" i="26"/>
  <c r="V19" i="26" s="1"/>
  <c r="BH19" i="26"/>
  <c r="H19" i="25"/>
  <c r="G19" i="25"/>
  <c r="F19" i="25" s="1"/>
  <c r="AE19" i="25"/>
  <c r="BH19" i="25"/>
  <c r="H19" i="24"/>
  <c r="G19" i="24" s="1"/>
  <c r="F19" i="24" s="1"/>
  <c r="AE19" i="24"/>
  <c r="V19" i="24" s="1"/>
  <c r="BH19" i="24"/>
  <c r="H19" i="23"/>
  <c r="G19" i="23" s="1"/>
  <c r="F19" i="23" s="1"/>
  <c r="AE19" i="23"/>
  <c r="BH19" i="23"/>
  <c r="H19" i="22"/>
  <c r="G19" i="22" s="1"/>
  <c r="F19" i="22" s="1"/>
  <c r="AE19" i="22"/>
  <c r="V19" i="22"/>
  <c r="BH19" i="22"/>
  <c r="H19" i="21"/>
  <c r="G19" i="21" s="1"/>
  <c r="F19" i="21" s="1"/>
  <c r="AE19" i="21"/>
  <c r="BH19" i="21"/>
  <c r="H19" i="34"/>
  <c r="G19" i="34" s="1"/>
  <c r="F19" i="34" s="1"/>
  <c r="AE19" i="34"/>
  <c r="BH19" i="34"/>
  <c r="H19" i="33"/>
  <c r="G19" i="33" s="1"/>
  <c r="F19" i="33" s="1"/>
  <c r="AE19" i="33"/>
  <c r="BH19" i="33"/>
  <c r="H19" i="32"/>
  <c r="G19" i="32"/>
  <c r="F19" i="32" s="1"/>
  <c r="AE19" i="32"/>
  <c r="V19" i="32" s="1"/>
  <c r="BH19" i="32"/>
  <c r="H19" i="30"/>
  <c r="G19" i="30"/>
  <c r="F19" i="30" s="1"/>
  <c r="AE19" i="30"/>
  <c r="BH19" i="30"/>
  <c r="H19" i="40"/>
  <c r="G19" i="40" s="1"/>
  <c r="F19" i="40" s="1"/>
  <c r="AE19" i="40"/>
  <c r="BH19" i="40"/>
  <c r="H19" i="39"/>
  <c r="G19" i="39" s="1"/>
  <c r="F19" i="39" s="1"/>
  <c r="AE19" i="39"/>
  <c r="BH19" i="39"/>
  <c r="H19" i="38"/>
  <c r="G19" i="38"/>
  <c r="F19" i="38" s="1"/>
  <c r="AE19" i="38"/>
  <c r="V19" i="38"/>
  <c r="BH19" i="38"/>
  <c r="H19" i="37"/>
  <c r="G19" i="37" s="1"/>
  <c r="F19" i="37" s="1"/>
  <c r="AE19" i="37"/>
  <c r="BH19" i="37"/>
  <c r="H19" i="19"/>
  <c r="G19" i="19" s="1"/>
  <c r="F19" i="19" s="1"/>
  <c r="AE19" i="19"/>
  <c r="BH19" i="19"/>
  <c r="C106" i="46"/>
  <c r="C8" i="41" s="1"/>
  <c r="C107" i="46"/>
  <c r="C9" i="41" s="1"/>
  <c r="C108" i="46"/>
  <c r="C10" i="41" s="1"/>
  <c r="C109" i="46"/>
  <c r="C11" i="41" s="1"/>
  <c r="C110" i="46"/>
  <c r="C12" i="41" s="1"/>
  <c r="C111" i="46"/>
  <c r="C13" i="41" s="1"/>
  <c r="C112" i="46"/>
  <c r="C14" i="41" s="1"/>
  <c r="C113" i="46"/>
  <c r="C15" i="41" s="1"/>
  <c r="C114" i="46"/>
  <c r="C16" i="41" s="1"/>
  <c r="C115" i="46"/>
  <c r="C17" i="41" s="1"/>
  <c r="C116" i="46"/>
  <c r="C18" i="41" s="1"/>
  <c r="C117" i="46"/>
  <c r="C19" i="41" s="1"/>
  <c r="C118" i="46"/>
  <c r="C20" i="41" s="1"/>
  <c r="C119" i="46"/>
  <c r="C21" i="41" s="1"/>
  <c r="C120" i="46"/>
  <c r="C22" i="41" s="1"/>
  <c r="C121" i="46"/>
  <c r="C23" i="41" s="1"/>
  <c r="C122" i="46"/>
  <c r="C123" i="46"/>
  <c r="C105" i="46"/>
  <c r="C7" i="41" s="1"/>
  <c r="AP11" i="37"/>
  <c r="AP10" i="37" s="1"/>
  <c r="AP9" i="37" s="1"/>
  <c r="AP8" i="37" s="1"/>
  <c r="AP18" i="37"/>
  <c r="AP63" i="37"/>
  <c r="AP11" i="38"/>
  <c r="AP10" i="38" s="1"/>
  <c r="AP9" i="38" s="1"/>
  <c r="AP18" i="38"/>
  <c r="AP63" i="38"/>
  <c r="AP11" i="39"/>
  <c r="AP10" i="39" s="1"/>
  <c r="AP9" i="39" s="1"/>
  <c r="AP18" i="39"/>
  <c r="AP63" i="39"/>
  <c r="AP11" i="40"/>
  <c r="AP10" i="40" s="1"/>
  <c r="AP9" i="40" s="1"/>
  <c r="AP18" i="40"/>
  <c r="AP63" i="40"/>
  <c r="AP11" i="30"/>
  <c r="AP10" i="30" s="1"/>
  <c r="AP9" i="30" s="1"/>
  <c r="AP8" i="30" s="1"/>
  <c r="AP18" i="30"/>
  <c r="AP63" i="30"/>
  <c r="AP11" i="32"/>
  <c r="AP10" i="32" s="1"/>
  <c r="AP9" i="32" s="1"/>
  <c r="AP18" i="32"/>
  <c r="AP63" i="32"/>
  <c r="AP11" i="33"/>
  <c r="AP10" i="33" s="1"/>
  <c r="AP9" i="33" s="1"/>
  <c r="AP8" i="33" s="1"/>
  <c r="AP67" i="33" s="1"/>
  <c r="AP18" i="33"/>
  <c r="AP63" i="33"/>
  <c r="AP11" i="34"/>
  <c r="AP10" i="34" s="1"/>
  <c r="AP9" i="34" s="1"/>
  <c r="AP18" i="34"/>
  <c r="AP63" i="34"/>
  <c r="AP11" i="21"/>
  <c r="AP10" i="21" s="1"/>
  <c r="AP9" i="21" s="1"/>
  <c r="AP8" i="21" s="1"/>
  <c r="AP68" i="21" s="1"/>
  <c r="D16" i="67" s="1"/>
  <c r="AP18" i="21"/>
  <c r="AP63" i="21"/>
  <c r="AP11" i="22"/>
  <c r="AP10" i="22" s="1"/>
  <c r="AP9" i="22" s="1"/>
  <c r="AP18" i="22"/>
  <c r="AP63" i="22"/>
  <c r="AP11" i="23"/>
  <c r="AP10" i="23" s="1"/>
  <c r="AP9" i="23" s="1"/>
  <c r="AP8" i="23" s="1"/>
  <c r="AP18" i="23"/>
  <c r="AP63" i="23"/>
  <c r="AP11" i="24"/>
  <c r="AP10" i="24" s="1"/>
  <c r="AP9" i="24" s="1"/>
  <c r="AP18" i="24"/>
  <c r="AP63" i="24"/>
  <c r="AP11" i="25"/>
  <c r="AP10" i="25" s="1"/>
  <c r="AP9" i="25" s="1"/>
  <c r="AP8" i="25" s="1"/>
  <c r="AP18" i="25"/>
  <c r="AP63" i="25"/>
  <c r="AP11" i="26"/>
  <c r="AP10" i="26" s="1"/>
  <c r="AP9" i="26" s="1"/>
  <c r="AP18" i="26"/>
  <c r="AP63" i="26"/>
  <c r="AP11" i="27"/>
  <c r="AP10" i="27" s="1"/>
  <c r="AP9" i="27" s="1"/>
  <c r="AP8" i="27" s="1"/>
  <c r="AP18" i="27"/>
  <c r="AP63" i="27"/>
  <c r="AP11" i="28"/>
  <c r="AP10" i="28" s="1"/>
  <c r="AP9" i="28" s="1"/>
  <c r="AP8" i="28" s="1"/>
  <c r="AP18" i="28"/>
  <c r="AP63" i="28"/>
  <c r="AP11" i="29"/>
  <c r="AP10" i="29" s="1"/>
  <c r="AP9" i="29" s="1"/>
  <c r="AP18" i="29"/>
  <c r="AP63" i="29"/>
  <c r="AP11" i="19"/>
  <c r="AP10" i="19" s="1"/>
  <c r="AP9" i="19" s="1"/>
  <c r="AP18" i="19"/>
  <c r="AP63" i="19"/>
  <c r="AO11" i="37"/>
  <c r="AO10" i="37"/>
  <c r="AO9" i="37" s="1"/>
  <c r="AO8" i="37" s="1"/>
  <c r="AO67" i="37" s="1"/>
  <c r="D191" i="48" s="1"/>
  <c r="AO18" i="37"/>
  <c r="AO63" i="37"/>
  <c r="AO11" i="38"/>
  <c r="AO10" i="38" s="1"/>
  <c r="AO9" i="38" s="1"/>
  <c r="AO18" i="38"/>
  <c r="AO63" i="38"/>
  <c r="AO11" i="39"/>
  <c r="AO10" i="39" s="1"/>
  <c r="AO9" i="39" s="1"/>
  <c r="AO18" i="39"/>
  <c r="AO63" i="39"/>
  <c r="AO11" i="40"/>
  <c r="AO10" i="40" s="1"/>
  <c r="AO9" i="40" s="1"/>
  <c r="AO18" i="40"/>
  <c r="AO63" i="40"/>
  <c r="AO11" i="30"/>
  <c r="AO10" i="30" s="1"/>
  <c r="AO9" i="30" s="1"/>
  <c r="AO18" i="30"/>
  <c r="AO63" i="30"/>
  <c r="AO11" i="32"/>
  <c r="AO10" i="32" s="1"/>
  <c r="AO9" i="32" s="1"/>
  <c r="AO8" i="32" s="1"/>
  <c r="AO18" i="32"/>
  <c r="AO63" i="32"/>
  <c r="AO11" i="33"/>
  <c r="AO10" i="33"/>
  <c r="AO9" i="33" s="1"/>
  <c r="AO8" i="33" s="1"/>
  <c r="AO18" i="33"/>
  <c r="AO63" i="33"/>
  <c r="AO11" i="34"/>
  <c r="AO10" i="34"/>
  <c r="AO9" i="34" s="1"/>
  <c r="AO8" i="34" s="1"/>
  <c r="AO18" i="34"/>
  <c r="AO63" i="34"/>
  <c r="AO11" i="21"/>
  <c r="AO10" i="21" s="1"/>
  <c r="AO9" i="21" s="1"/>
  <c r="AO18" i="21"/>
  <c r="AO63" i="21"/>
  <c r="AO11" i="22"/>
  <c r="AO10" i="22" s="1"/>
  <c r="AO9" i="22" s="1"/>
  <c r="AO8" i="22" s="1"/>
  <c r="AO67" i="22" s="1"/>
  <c r="D181" i="48" s="1"/>
  <c r="AO18" i="22"/>
  <c r="AO63" i="22"/>
  <c r="AO11" i="23"/>
  <c r="AO10" i="23" s="1"/>
  <c r="AO9" i="23" s="1"/>
  <c r="AO18" i="23"/>
  <c r="AO63" i="23"/>
  <c r="AO11" i="24"/>
  <c r="AO10" i="24" s="1"/>
  <c r="AO9" i="24" s="1"/>
  <c r="AO18" i="24"/>
  <c r="AO63" i="24"/>
  <c r="AO11" i="25"/>
  <c r="AO10" i="25" s="1"/>
  <c r="AO9" i="25" s="1"/>
  <c r="AO18" i="25"/>
  <c r="AO63" i="25"/>
  <c r="AO11" i="26"/>
  <c r="AO10" i="26" s="1"/>
  <c r="AO9" i="26" s="1"/>
  <c r="AO18" i="26"/>
  <c r="AO63" i="26"/>
  <c r="AO11" i="27"/>
  <c r="AO10" i="27"/>
  <c r="AO9" i="27" s="1"/>
  <c r="AO18" i="27"/>
  <c r="AO63" i="27"/>
  <c r="AO11" i="28"/>
  <c r="AO10" i="28" s="1"/>
  <c r="AO9" i="28" s="1"/>
  <c r="AO18" i="28"/>
  <c r="AO63" i="28"/>
  <c r="AO11" i="29"/>
  <c r="AO10" i="29" s="1"/>
  <c r="AO9" i="29" s="1"/>
  <c r="AO8" i="29" s="1"/>
  <c r="AO18" i="29"/>
  <c r="AO63" i="29"/>
  <c r="AO11" i="19"/>
  <c r="AO10" i="19" s="1"/>
  <c r="AO9" i="19" s="1"/>
  <c r="AO18" i="19"/>
  <c r="AO63" i="19"/>
  <c r="AN11" i="37"/>
  <c r="AN10" i="37" s="1"/>
  <c r="AN9" i="37" s="1"/>
  <c r="AN8" i="37" s="1"/>
  <c r="AN18" i="37"/>
  <c r="AN63" i="37"/>
  <c r="AN11" i="38"/>
  <c r="AN10" i="38" s="1"/>
  <c r="AN9" i="38" s="1"/>
  <c r="AN18" i="38"/>
  <c r="AN63" i="38"/>
  <c r="AN11" i="39"/>
  <c r="AN10" i="39" s="1"/>
  <c r="AN9" i="39" s="1"/>
  <c r="AN8" i="39" s="1"/>
  <c r="AN18" i="39"/>
  <c r="AN63" i="39"/>
  <c r="AN11" i="40"/>
  <c r="AN10" i="40"/>
  <c r="AN9" i="40" s="1"/>
  <c r="AN18" i="40"/>
  <c r="AN63" i="40"/>
  <c r="AN11" i="30"/>
  <c r="AN10" i="30" s="1"/>
  <c r="AN9" i="30" s="1"/>
  <c r="AN8" i="30" s="1"/>
  <c r="AN18" i="30"/>
  <c r="AN63" i="30"/>
  <c r="AN11" i="32"/>
  <c r="AN10" i="32" s="1"/>
  <c r="AN9" i="32" s="1"/>
  <c r="AN18" i="32"/>
  <c r="AN63" i="32"/>
  <c r="AN11" i="33"/>
  <c r="AN10" i="33" s="1"/>
  <c r="AN9" i="33" s="1"/>
  <c r="AN8" i="33" s="1"/>
  <c r="AN18" i="33"/>
  <c r="AN63" i="33"/>
  <c r="AN11" i="34"/>
  <c r="AN10" i="34" s="1"/>
  <c r="AN9" i="34" s="1"/>
  <c r="AN18" i="34"/>
  <c r="AN63" i="34"/>
  <c r="AN11" i="21"/>
  <c r="AN10" i="21" s="1"/>
  <c r="AN9" i="21" s="1"/>
  <c r="AN8" i="21" s="1"/>
  <c r="AN18" i="21"/>
  <c r="AN63" i="21"/>
  <c r="AN11" i="22"/>
  <c r="AN10" i="22" s="1"/>
  <c r="AN9" i="22" s="1"/>
  <c r="AN8" i="22" s="1"/>
  <c r="AN18" i="22"/>
  <c r="AN63" i="22"/>
  <c r="AN11" i="23"/>
  <c r="AN10" i="23" s="1"/>
  <c r="AN9" i="23" s="1"/>
  <c r="AN18" i="23"/>
  <c r="AN63" i="23"/>
  <c r="AN11" i="24"/>
  <c r="AN10" i="24" s="1"/>
  <c r="AN9" i="24" s="1"/>
  <c r="AN18" i="24"/>
  <c r="AN63" i="24"/>
  <c r="AN11" i="25"/>
  <c r="AN10" i="25" s="1"/>
  <c r="AN9" i="25" s="1"/>
  <c r="AN18" i="25"/>
  <c r="AN63" i="25"/>
  <c r="AN11" i="26"/>
  <c r="AN10" i="26" s="1"/>
  <c r="AN9" i="26" s="1"/>
  <c r="AN18" i="26"/>
  <c r="AN63" i="26"/>
  <c r="AN11" i="27"/>
  <c r="AN10" i="27" s="1"/>
  <c r="AN9" i="27" s="1"/>
  <c r="AN18" i="27"/>
  <c r="AN63" i="27"/>
  <c r="AN11" i="28"/>
  <c r="AN10" i="28" s="1"/>
  <c r="AN9" i="28" s="1"/>
  <c r="AN18" i="28"/>
  <c r="AN63" i="28"/>
  <c r="AN11" i="29"/>
  <c r="AN10" i="29" s="1"/>
  <c r="AN9" i="29" s="1"/>
  <c r="AN18" i="29"/>
  <c r="AN63" i="29"/>
  <c r="AN11" i="19"/>
  <c r="AN10" i="19" s="1"/>
  <c r="AN9" i="19" s="1"/>
  <c r="AN8" i="19" s="1"/>
  <c r="AN18" i="19"/>
  <c r="AN63" i="19"/>
  <c r="AM11" i="37"/>
  <c r="AM10" i="37" s="1"/>
  <c r="AM9" i="37" s="1"/>
  <c r="AM18" i="37"/>
  <c r="AM63" i="37"/>
  <c r="AM11" i="38"/>
  <c r="AM10" i="38" s="1"/>
  <c r="AM9" i="38" s="1"/>
  <c r="AM8" i="38" s="1"/>
  <c r="AM67" i="38" s="1"/>
  <c r="AM18" i="38"/>
  <c r="AM63" i="38"/>
  <c r="AM11" i="39"/>
  <c r="AM10" i="39" s="1"/>
  <c r="AM9" i="39" s="1"/>
  <c r="AM18" i="39"/>
  <c r="AM63" i="39"/>
  <c r="AM11" i="40"/>
  <c r="AM10" i="40" s="1"/>
  <c r="AM9" i="40" s="1"/>
  <c r="AM8" i="40" s="1"/>
  <c r="AM18" i="40"/>
  <c r="AM63" i="40"/>
  <c r="AM11" i="30"/>
  <c r="AM10" i="30" s="1"/>
  <c r="AM9" i="30" s="1"/>
  <c r="AM18" i="30"/>
  <c r="AM63" i="30"/>
  <c r="AM11" i="32"/>
  <c r="AM10" i="32" s="1"/>
  <c r="AM9" i="32" s="1"/>
  <c r="AM8" i="32" s="1"/>
  <c r="AM18" i="32"/>
  <c r="AM63" i="32"/>
  <c r="AM11" i="33"/>
  <c r="AM10" i="33" s="1"/>
  <c r="AM9" i="33" s="1"/>
  <c r="AM18" i="33"/>
  <c r="AM63" i="33"/>
  <c r="AM11" i="34"/>
  <c r="AM10" i="34"/>
  <c r="AM9" i="34" s="1"/>
  <c r="AM8" i="34" s="1"/>
  <c r="AM18" i="34"/>
  <c r="AM63" i="34"/>
  <c r="AM11" i="21"/>
  <c r="AM10" i="21" s="1"/>
  <c r="AM9" i="21" s="1"/>
  <c r="AM18" i="21"/>
  <c r="AM63" i="21"/>
  <c r="AM11" i="22"/>
  <c r="AM10" i="22" s="1"/>
  <c r="AM9" i="22" s="1"/>
  <c r="AM18" i="22"/>
  <c r="AM63" i="22"/>
  <c r="AM11" i="23"/>
  <c r="AM10" i="23" s="1"/>
  <c r="AM9" i="23" s="1"/>
  <c r="AM18" i="23"/>
  <c r="AM63" i="23"/>
  <c r="AM11" i="24"/>
  <c r="AM10" i="24" s="1"/>
  <c r="AM9" i="24" s="1"/>
  <c r="AM18" i="24"/>
  <c r="AM63" i="24"/>
  <c r="AM11" i="25"/>
  <c r="AM10" i="25" s="1"/>
  <c r="AM9" i="25" s="1"/>
  <c r="AM18" i="25"/>
  <c r="AM63" i="25"/>
  <c r="AM11" i="26"/>
  <c r="AM10" i="26" s="1"/>
  <c r="AM9" i="26" s="1"/>
  <c r="AM18" i="26"/>
  <c r="AM63" i="26"/>
  <c r="AM11" i="27"/>
  <c r="AM10" i="27" s="1"/>
  <c r="AM9" i="27" s="1"/>
  <c r="AM18" i="27"/>
  <c r="AM63" i="27"/>
  <c r="AM11" i="28"/>
  <c r="AM10" i="28" s="1"/>
  <c r="AM9" i="28" s="1"/>
  <c r="AM8" i="28" s="1"/>
  <c r="AM67" i="28" s="1"/>
  <c r="AM18" i="28"/>
  <c r="AM63" i="28"/>
  <c r="AM11" i="29"/>
  <c r="AM10" i="29" s="1"/>
  <c r="AM9" i="29" s="1"/>
  <c r="AM18" i="29"/>
  <c r="AM63" i="29"/>
  <c r="AM11" i="19"/>
  <c r="AM10" i="19" s="1"/>
  <c r="AM9" i="19" s="1"/>
  <c r="AM8" i="19" s="1"/>
  <c r="AM18" i="19"/>
  <c r="AM63" i="19"/>
  <c r="AL11" i="37"/>
  <c r="AL10" i="37" s="1"/>
  <c r="AL9" i="37" s="1"/>
  <c r="AL18" i="37"/>
  <c r="AL11" i="38"/>
  <c r="AL10" i="38" s="1"/>
  <c r="AL9" i="38" s="1"/>
  <c r="AL18" i="38"/>
  <c r="AL11" i="39"/>
  <c r="AL10" i="39" s="1"/>
  <c r="AL9" i="39" s="1"/>
  <c r="AL18" i="39"/>
  <c r="AL11" i="40"/>
  <c r="AL10" i="40" s="1"/>
  <c r="AL9" i="40" s="1"/>
  <c r="AL18" i="40"/>
  <c r="AL11" i="30"/>
  <c r="AL10" i="30" s="1"/>
  <c r="AL9" i="30" s="1"/>
  <c r="AL18" i="30"/>
  <c r="AL11" i="32"/>
  <c r="AL10" i="32" s="1"/>
  <c r="AL9" i="32" s="1"/>
  <c r="AL18" i="32"/>
  <c r="AL11" i="33"/>
  <c r="AL10" i="33" s="1"/>
  <c r="AL9" i="33" s="1"/>
  <c r="AL18" i="33"/>
  <c r="AL11" i="34"/>
  <c r="AL10" i="34" s="1"/>
  <c r="AL9" i="34" s="1"/>
  <c r="AL18" i="34"/>
  <c r="AL11" i="21"/>
  <c r="AL10" i="21" s="1"/>
  <c r="AL9" i="21" s="1"/>
  <c r="AL18" i="21"/>
  <c r="AL11" i="22"/>
  <c r="AL10" i="22" s="1"/>
  <c r="AL9" i="22" s="1"/>
  <c r="AL18" i="22"/>
  <c r="AL11" i="23"/>
  <c r="AL10" i="23" s="1"/>
  <c r="AL9" i="23" s="1"/>
  <c r="AL18" i="23"/>
  <c r="AL11" i="24"/>
  <c r="AL10" i="24" s="1"/>
  <c r="AL9" i="24" s="1"/>
  <c r="AL18" i="24"/>
  <c r="AL11" i="25"/>
  <c r="AL10" i="25" s="1"/>
  <c r="AL9" i="25" s="1"/>
  <c r="AL18" i="25"/>
  <c r="AL11" i="26"/>
  <c r="AL10" i="26" s="1"/>
  <c r="AL9" i="26" s="1"/>
  <c r="AL18" i="26"/>
  <c r="AL11" i="27"/>
  <c r="AL10" i="27" s="1"/>
  <c r="AL9" i="27" s="1"/>
  <c r="AL18" i="27"/>
  <c r="AL11" i="28"/>
  <c r="AL10" i="28" s="1"/>
  <c r="AL9" i="28" s="1"/>
  <c r="AL18" i="28"/>
  <c r="AL11" i="29"/>
  <c r="AL10" i="29" s="1"/>
  <c r="AL9" i="29" s="1"/>
  <c r="AL18" i="29"/>
  <c r="AL11" i="19"/>
  <c r="AL10" i="19" s="1"/>
  <c r="AL9" i="19" s="1"/>
  <c r="AL18" i="19"/>
  <c r="AI11" i="37"/>
  <c r="AI10" i="37"/>
  <c r="AI9" i="37" s="1"/>
  <c r="AI8" i="37" s="1"/>
  <c r="AI18" i="37"/>
  <c r="AI63" i="37"/>
  <c r="AI11" i="38"/>
  <c r="AI10" i="38" s="1"/>
  <c r="AI9" i="38" s="1"/>
  <c r="AI18" i="38"/>
  <c r="AI63" i="38"/>
  <c r="AI11" i="39"/>
  <c r="AI10" i="39" s="1"/>
  <c r="AI9" i="39" s="1"/>
  <c r="AI8" i="39" s="1"/>
  <c r="AI18" i="39"/>
  <c r="AI63" i="39"/>
  <c r="AI11" i="40"/>
  <c r="AI10" i="40" s="1"/>
  <c r="AI9" i="40" s="1"/>
  <c r="AI18" i="40"/>
  <c r="AI63" i="40"/>
  <c r="AI11" i="30"/>
  <c r="AI10" i="30" s="1"/>
  <c r="AI9" i="30" s="1"/>
  <c r="AI8" i="30" s="1"/>
  <c r="AI67" i="30" s="1"/>
  <c r="D21" i="58" s="1"/>
  <c r="AI18" i="30"/>
  <c r="AI63" i="30"/>
  <c r="AI11" i="32"/>
  <c r="AI10" i="32" s="1"/>
  <c r="AI9" i="32" s="1"/>
  <c r="AI18" i="32"/>
  <c r="AI63" i="32"/>
  <c r="AI11" i="33"/>
  <c r="AI10" i="33" s="1"/>
  <c r="AI9" i="33" s="1"/>
  <c r="AI8" i="33" s="1"/>
  <c r="AI18" i="33"/>
  <c r="AI63" i="33"/>
  <c r="AI11" i="34"/>
  <c r="AI10" i="34" s="1"/>
  <c r="AI9" i="34" s="1"/>
  <c r="AI18" i="34"/>
  <c r="AI63" i="34"/>
  <c r="AI11" i="21"/>
  <c r="AI10" i="21" s="1"/>
  <c r="AI9" i="21" s="1"/>
  <c r="AI18" i="21"/>
  <c r="AI63" i="21"/>
  <c r="AI11" i="22"/>
  <c r="AI10" i="22" s="1"/>
  <c r="AI9" i="22" s="1"/>
  <c r="AI18" i="22"/>
  <c r="AI63" i="22"/>
  <c r="AI11" i="23"/>
  <c r="AI10" i="23" s="1"/>
  <c r="AI9" i="23" s="1"/>
  <c r="AI8" i="23" s="1"/>
  <c r="AI18" i="23"/>
  <c r="AI63" i="23"/>
  <c r="AI11" i="24"/>
  <c r="AI10" i="24" s="1"/>
  <c r="AI9" i="24" s="1"/>
  <c r="AI18" i="24"/>
  <c r="AI63" i="24"/>
  <c r="AI11" i="25"/>
  <c r="AI10" i="25" s="1"/>
  <c r="AI9" i="25" s="1"/>
  <c r="AI8" i="25" s="1"/>
  <c r="AI67" i="25" s="1"/>
  <c r="AI18" i="25"/>
  <c r="AI63" i="25"/>
  <c r="AI11" i="26"/>
  <c r="AI10" i="26" s="1"/>
  <c r="AI9" i="26" s="1"/>
  <c r="AI18" i="26"/>
  <c r="AI63" i="26"/>
  <c r="AI11" i="27"/>
  <c r="AI10" i="27" s="1"/>
  <c r="AI9" i="27" s="1"/>
  <c r="AI8" i="27" s="1"/>
  <c r="AI18" i="27"/>
  <c r="AI63" i="27"/>
  <c r="AI11" i="28"/>
  <c r="AI10" i="28" s="1"/>
  <c r="AI9" i="28" s="1"/>
  <c r="AI18" i="28"/>
  <c r="AI63" i="28"/>
  <c r="AI11" i="29"/>
  <c r="AI10" i="29" s="1"/>
  <c r="AI9" i="29" s="1"/>
  <c r="AI8" i="29" s="1"/>
  <c r="AI67" i="29" s="1"/>
  <c r="D8" i="58" s="1"/>
  <c r="AI18" i="29"/>
  <c r="AI63" i="29"/>
  <c r="AI11" i="19"/>
  <c r="AI10" i="19" s="1"/>
  <c r="AI9" i="19" s="1"/>
  <c r="AI18" i="19"/>
  <c r="AI63" i="19"/>
  <c r="AH11" i="37"/>
  <c r="AH10" i="37" s="1"/>
  <c r="AH9" i="37" s="1"/>
  <c r="AH8" i="37" s="1"/>
  <c r="AH67" i="37" s="1"/>
  <c r="AH18" i="37"/>
  <c r="AH11" i="38"/>
  <c r="AH10" i="38" s="1"/>
  <c r="AH9" i="38" s="1"/>
  <c r="AH8" i="38" s="1"/>
  <c r="AH18" i="38"/>
  <c r="AH11" i="39"/>
  <c r="AH10" i="39" s="1"/>
  <c r="AH9" i="39" s="1"/>
  <c r="AH8" i="39" s="1"/>
  <c r="AH67" i="39" s="1"/>
  <c r="D23" i="59" s="1"/>
  <c r="AH18" i="39"/>
  <c r="AH11" i="40"/>
  <c r="AH10" i="40" s="1"/>
  <c r="AH9" i="40" s="1"/>
  <c r="AH8" i="40" s="1"/>
  <c r="AH18" i="40"/>
  <c r="AH11" i="30"/>
  <c r="AH10" i="30" s="1"/>
  <c r="AH9" i="30" s="1"/>
  <c r="AH18" i="30"/>
  <c r="AH11" i="32"/>
  <c r="AH10" i="32"/>
  <c r="AH9" i="32" s="1"/>
  <c r="AH8" i="32" s="1"/>
  <c r="AH18" i="32"/>
  <c r="AH11" i="33"/>
  <c r="AH10" i="33" s="1"/>
  <c r="AH9" i="33" s="1"/>
  <c r="AH18" i="33"/>
  <c r="AH11" i="34"/>
  <c r="AH10" i="34" s="1"/>
  <c r="AH9" i="34" s="1"/>
  <c r="AH8" i="34" s="1"/>
  <c r="AH18" i="34"/>
  <c r="AH11" i="21"/>
  <c r="AH10" i="21" s="1"/>
  <c r="AH9" i="21" s="1"/>
  <c r="AH18" i="21"/>
  <c r="AH11" i="22"/>
  <c r="AH10" i="22" s="1"/>
  <c r="AH9" i="22" s="1"/>
  <c r="AH8" i="22" s="1"/>
  <c r="AH18" i="22"/>
  <c r="AH11" i="23"/>
  <c r="AH10" i="23" s="1"/>
  <c r="AH9" i="23" s="1"/>
  <c r="AH8" i="23" s="1"/>
  <c r="AH18" i="23"/>
  <c r="AH11" i="24"/>
  <c r="AH10" i="24" s="1"/>
  <c r="AH9" i="24" s="1"/>
  <c r="AH8" i="24" s="1"/>
  <c r="AH68" i="24" s="1"/>
  <c r="AH18" i="24"/>
  <c r="AH11" i="25"/>
  <c r="AH10" i="25" s="1"/>
  <c r="AH9" i="25" s="1"/>
  <c r="AH8" i="25" s="1"/>
  <c r="AH18" i="25"/>
  <c r="AH11" i="26"/>
  <c r="AH10" i="26" s="1"/>
  <c r="AH9" i="26" s="1"/>
  <c r="AH18" i="26"/>
  <c r="AH11" i="27"/>
  <c r="AH10" i="27" s="1"/>
  <c r="AH9" i="27" s="1"/>
  <c r="AH8" i="27" s="1"/>
  <c r="AH18" i="27"/>
  <c r="AH11" i="28"/>
  <c r="AH10" i="28" s="1"/>
  <c r="AH9" i="28" s="1"/>
  <c r="AH18" i="28"/>
  <c r="AH11" i="29"/>
  <c r="AH10" i="29" s="1"/>
  <c r="AH9" i="29" s="1"/>
  <c r="AH18" i="29"/>
  <c r="AH11" i="19"/>
  <c r="AH10" i="19" s="1"/>
  <c r="AH9" i="19" s="1"/>
  <c r="AH8" i="19" s="1"/>
  <c r="AH67" i="19" s="1"/>
  <c r="AH18" i="19"/>
  <c r="AG11" i="37"/>
  <c r="AG10" i="37" s="1"/>
  <c r="AG9" i="37" s="1"/>
  <c r="AG8" i="37" s="1"/>
  <c r="AG67" i="37" s="1"/>
  <c r="AG18" i="37"/>
  <c r="AG63" i="37"/>
  <c r="AG11" i="38"/>
  <c r="AG18" i="38"/>
  <c r="AG63" i="38"/>
  <c r="AG11" i="39"/>
  <c r="AG18" i="39"/>
  <c r="AG63" i="39"/>
  <c r="AG11" i="40"/>
  <c r="AG18" i="40"/>
  <c r="AG63" i="40"/>
  <c r="AG11" i="30"/>
  <c r="AG18" i="30"/>
  <c r="AG63" i="30"/>
  <c r="AG11" i="32"/>
  <c r="AG18" i="32"/>
  <c r="AG63" i="32"/>
  <c r="AG11" i="33"/>
  <c r="AG18" i="33"/>
  <c r="AG63" i="33"/>
  <c r="AG11" i="34"/>
  <c r="AG18" i="34"/>
  <c r="AG63" i="34"/>
  <c r="AG11" i="21"/>
  <c r="AG10" i="21" s="1"/>
  <c r="AG9" i="21" s="1"/>
  <c r="AG8" i="21" s="1"/>
  <c r="AG68" i="21" s="1"/>
  <c r="AG18" i="21"/>
  <c r="AG63" i="21"/>
  <c r="AG11" i="22"/>
  <c r="AG18" i="22"/>
  <c r="AG63" i="22"/>
  <c r="AG11" i="23"/>
  <c r="AG18" i="23"/>
  <c r="AG63" i="23"/>
  <c r="AG11" i="24"/>
  <c r="AG10" i="24"/>
  <c r="AG9" i="24" s="1"/>
  <c r="AG18" i="24"/>
  <c r="AG63" i="24"/>
  <c r="AG11" i="25"/>
  <c r="AG18" i="25"/>
  <c r="AG63" i="25"/>
  <c r="AG11" i="26"/>
  <c r="AG18" i="26"/>
  <c r="AG63" i="26"/>
  <c r="AG11" i="27"/>
  <c r="AG18" i="27"/>
  <c r="AG63" i="27"/>
  <c r="AG11" i="28"/>
  <c r="AG18" i="28"/>
  <c r="AG63" i="28"/>
  <c r="AG11" i="29"/>
  <c r="AG10" i="29"/>
  <c r="AG9" i="29" s="1"/>
  <c r="AG8" i="29" s="1"/>
  <c r="AG67" i="29" s="1"/>
  <c r="D9" i="60" s="1"/>
  <c r="AG18" i="29"/>
  <c r="AG63" i="29"/>
  <c r="AG11" i="19"/>
  <c r="AG10" i="19"/>
  <c r="AG9" i="19" s="1"/>
  <c r="AG8" i="19" s="1"/>
  <c r="AG67" i="19" s="1"/>
  <c r="D8" i="60" s="1"/>
  <c r="AG18" i="19"/>
  <c r="AG63" i="19"/>
  <c r="AF11" i="37"/>
  <c r="AF10" i="37" s="1"/>
  <c r="AF9" i="37" s="1"/>
  <c r="AF8" i="37" s="1"/>
  <c r="AF18" i="37"/>
  <c r="AF63" i="37"/>
  <c r="AF11" i="38"/>
  <c r="AF10" i="38" s="1"/>
  <c r="AF9" i="38" s="1"/>
  <c r="AF18" i="38"/>
  <c r="AF63" i="38"/>
  <c r="AF11" i="39"/>
  <c r="AF10" i="39" s="1"/>
  <c r="AF9" i="39" s="1"/>
  <c r="AF8" i="39" s="1"/>
  <c r="AF18" i="39"/>
  <c r="AF63" i="39"/>
  <c r="AF11" i="40"/>
  <c r="AF10" i="40" s="1"/>
  <c r="AF9" i="40" s="1"/>
  <c r="AF18" i="40"/>
  <c r="AF63" i="40"/>
  <c r="AF11" i="30"/>
  <c r="AF10" i="30" s="1"/>
  <c r="AF9" i="30" s="1"/>
  <c r="AF8" i="30" s="1"/>
  <c r="AF18" i="30"/>
  <c r="AF63" i="30"/>
  <c r="AF11" i="32"/>
  <c r="AF10" i="32" s="1"/>
  <c r="AF9" i="32" s="1"/>
  <c r="AF18" i="32"/>
  <c r="AF63" i="32"/>
  <c r="AF11" i="33"/>
  <c r="AF10" i="33" s="1"/>
  <c r="AF9" i="33" s="1"/>
  <c r="AF8" i="33" s="1"/>
  <c r="AF18" i="33"/>
  <c r="AF63" i="33"/>
  <c r="AF11" i="34"/>
  <c r="AF10" i="34"/>
  <c r="AF9" i="34" s="1"/>
  <c r="AF18" i="34"/>
  <c r="AF63" i="34"/>
  <c r="AF11" i="21"/>
  <c r="AF10" i="21" s="1"/>
  <c r="AF9" i="21" s="1"/>
  <c r="AF18" i="21"/>
  <c r="AF63" i="21"/>
  <c r="AF11" i="22"/>
  <c r="AF10" i="22"/>
  <c r="AF9" i="22" s="1"/>
  <c r="AF8" i="22" s="1"/>
  <c r="AF67" i="22" s="1"/>
  <c r="AF18" i="22"/>
  <c r="AF63" i="22"/>
  <c r="AF11" i="23"/>
  <c r="AF10" i="23" s="1"/>
  <c r="AF9" i="23" s="1"/>
  <c r="AF8" i="23" s="1"/>
  <c r="AF68" i="23" s="1"/>
  <c r="AF18" i="23"/>
  <c r="AF63" i="23"/>
  <c r="AF11" i="24"/>
  <c r="AF10" i="24" s="1"/>
  <c r="AF9" i="24" s="1"/>
  <c r="AF18" i="24"/>
  <c r="AF63" i="24"/>
  <c r="AF11" i="25"/>
  <c r="AF10" i="25"/>
  <c r="AF9" i="25" s="1"/>
  <c r="AF8" i="25" s="1"/>
  <c r="AF18" i="25"/>
  <c r="AF63" i="25"/>
  <c r="AF11" i="26"/>
  <c r="AF10" i="26" s="1"/>
  <c r="AF9" i="26" s="1"/>
  <c r="AF18" i="26"/>
  <c r="AF63" i="26"/>
  <c r="AF11" i="27"/>
  <c r="AF10" i="27" s="1"/>
  <c r="AF9" i="27" s="1"/>
  <c r="AF18" i="27"/>
  <c r="AF63" i="27"/>
  <c r="AF11" i="28"/>
  <c r="AF10" i="28" s="1"/>
  <c r="AF9" i="28" s="1"/>
  <c r="AF18" i="28"/>
  <c r="AF63" i="28"/>
  <c r="AF11" i="19"/>
  <c r="AF10" i="19" s="1"/>
  <c r="AF9" i="19" s="1"/>
  <c r="AF8" i="19" s="1"/>
  <c r="AF18" i="19"/>
  <c r="AF63" i="19"/>
  <c r="AF11" i="29"/>
  <c r="AF10" i="29" s="1"/>
  <c r="AF9" i="29" s="1"/>
  <c r="AF18" i="29"/>
  <c r="AF63" i="29"/>
  <c r="G12" i="88"/>
  <c r="H12" i="88"/>
  <c r="H13" i="88"/>
  <c r="G15" i="88"/>
  <c r="H16" i="88"/>
  <c r="I16" i="88"/>
  <c r="H17" i="88"/>
  <c r="G14" i="88"/>
  <c r="I15" i="88"/>
  <c r="G17" i="88"/>
  <c r="H18" i="88"/>
  <c r="G18" i="88"/>
  <c r="H19" i="88"/>
  <c r="G21" i="88"/>
  <c r="H21" i="88"/>
  <c r="G22" i="88"/>
  <c r="H22" i="88"/>
  <c r="G23" i="88"/>
  <c r="H23" i="88"/>
  <c r="H24" i="88"/>
  <c r="G25" i="88"/>
  <c r="H25" i="88"/>
  <c r="G26" i="88"/>
  <c r="H26" i="88"/>
  <c r="G27" i="88"/>
  <c r="H27" i="88"/>
  <c r="H28" i="88"/>
  <c r="G30" i="88"/>
  <c r="G31" i="88"/>
  <c r="H31" i="88"/>
  <c r="G32" i="88"/>
  <c r="H32" i="88"/>
  <c r="G33" i="88"/>
  <c r="H33" i="88"/>
  <c r="G34" i="88"/>
  <c r="H34" i="88"/>
  <c r="G35" i="88"/>
  <c r="H35" i="88"/>
  <c r="G36" i="88"/>
  <c r="H36" i="88"/>
  <c r="H37" i="88"/>
  <c r="G38" i="88"/>
  <c r="G39" i="88"/>
  <c r="H39" i="88"/>
  <c r="G40" i="88"/>
  <c r="H40" i="88"/>
  <c r="H41" i="88"/>
  <c r="G42" i="88"/>
  <c r="H42" i="88"/>
  <c r="G43" i="88"/>
  <c r="H43" i="88"/>
  <c r="G44" i="88"/>
  <c r="H44" i="88"/>
  <c r="H45" i="88"/>
  <c r="G46" i="88"/>
  <c r="H46" i="88"/>
  <c r="G47" i="88"/>
  <c r="H47" i="88"/>
  <c r="G48" i="88"/>
  <c r="H48" i="88"/>
  <c r="H49" i="88"/>
  <c r="G50" i="88"/>
  <c r="H50" i="88"/>
  <c r="G51" i="88"/>
  <c r="H51" i="88"/>
  <c r="G52" i="88"/>
  <c r="H52" i="88"/>
  <c r="H53" i="88"/>
  <c r="G54" i="88"/>
  <c r="H54" i="88"/>
  <c r="G55" i="88"/>
  <c r="H55" i="88"/>
  <c r="G56" i="88"/>
  <c r="H56" i="88"/>
  <c r="H57" i="88"/>
  <c r="I11" i="88"/>
  <c r="J10" i="88"/>
  <c r="J11" i="88"/>
  <c r="K11" i="88"/>
  <c r="L10" i="88"/>
  <c r="L11" i="88"/>
  <c r="L12" i="88"/>
  <c r="M11" i="88"/>
  <c r="M12" i="88"/>
  <c r="N10" i="88"/>
  <c r="N11" i="88"/>
  <c r="N12" i="88"/>
  <c r="O11" i="88"/>
  <c r="O12" i="88"/>
  <c r="P11" i="88"/>
  <c r="R11" i="88"/>
  <c r="S10" i="88"/>
  <c r="T10" i="88"/>
  <c r="T11" i="88"/>
  <c r="U10" i="88"/>
  <c r="U11" i="88"/>
  <c r="V11" i="88"/>
  <c r="W10" i="88"/>
  <c r="W11" i="88"/>
  <c r="X11" i="88"/>
  <c r="Y10" i="88"/>
  <c r="Y11" i="88"/>
  <c r="AA10" i="88"/>
  <c r="AB10" i="88"/>
  <c r="AC10" i="88"/>
  <c r="AD10" i="88"/>
  <c r="AE10" i="88"/>
  <c r="AF10" i="88"/>
  <c r="AG10" i="88"/>
  <c r="AJ10" i="88"/>
  <c r="AK10" i="88"/>
  <c r="AA11" i="88"/>
  <c r="AC11" i="88"/>
  <c r="AD11" i="88"/>
  <c r="AE11" i="88"/>
  <c r="AF11" i="88"/>
  <c r="AG11" i="88"/>
  <c r="AH11" i="88"/>
  <c r="AI11" i="88"/>
  <c r="AK11" i="88"/>
  <c r="AL10" i="88"/>
  <c r="AL11" i="88"/>
  <c r="AM11" i="88"/>
  <c r="AN10" i="88"/>
  <c r="AN11" i="88"/>
  <c r="AO11" i="88"/>
  <c r="AP11" i="88"/>
  <c r="AQ11" i="88"/>
  <c r="AR10" i="88"/>
  <c r="AR11" i="88"/>
  <c r="AS10" i="88"/>
  <c r="AS11" i="88"/>
  <c r="AG8" i="84"/>
  <c r="AT10" i="88"/>
  <c r="AT11" i="88"/>
  <c r="AU11" i="88"/>
  <c r="AV10" i="88"/>
  <c r="AV11" i="88"/>
  <c r="AW10" i="88"/>
  <c r="AW11" i="88"/>
  <c r="AX10" i="88"/>
  <c r="AX11" i="88"/>
  <c r="AY11" i="88"/>
  <c r="AZ10" i="88"/>
  <c r="AZ11" i="88"/>
  <c r="BA10" i="88"/>
  <c r="BA11" i="88"/>
  <c r="BB10" i="88"/>
  <c r="BB11" i="88"/>
  <c r="H11" i="84"/>
  <c r="H12" i="84"/>
  <c r="H14" i="84"/>
  <c r="H15" i="84"/>
  <c r="H16" i="84"/>
  <c r="H17" i="84"/>
  <c r="H20" i="84"/>
  <c r="H21" i="84"/>
  <c r="H22" i="84"/>
  <c r="H23" i="84"/>
  <c r="H24" i="84"/>
  <c r="H25" i="84"/>
  <c r="H26" i="84"/>
  <c r="I30" i="88"/>
  <c r="I31" i="88"/>
  <c r="I32" i="88"/>
  <c r="I33" i="88"/>
  <c r="I34" i="88"/>
  <c r="I35" i="88"/>
  <c r="I36" i="88"/>
  <c r="I37" i="88"/>
  <c r="I38" i="88"/>
  <c r="I39" i="88"/>
  <c r="I40" i="88"/>
  <c r="I41" i="88"/>
  <c r="I42" i="88"/>
  <c r="I43" i="88"/>
  <c r="I44" i="88"/>
  <c r="I45" i="88"/>
  <c r="I47" i="88"/>
  <c r="I48" i="88"/>
  <c r="I50" i="88"/>
  <c r="I51" i="88"/>
  <c r="I52" i="88"/>
  <c r="I54" i="88"/>
  <c r="I55" i="88"/>
  <c r="I56" i="88"/>
  <c r="I57" i="88"/>
  <c r="I10" i="84"/>
  <c r="J10" i="84"/>
  <c r="L14" i="88"/>
  <c r="M14" i="88"/>
  <c r="N14" i="88"/>
  <c r="N10" i="84"/>
  <c r="T12" i="88"/>
  <c r="U12" i="88"/>
  <c r="V12" i="88"/>
  <c r="W12" i="88"/>
  <c r="X12" i="88"/>
  <c r="Y12" i="88"/>
  <c r="AA12" i="88"/>
  <c r="AB12" i="88"/>
  <c r="AC12" i="88"/>
  <c r="AD12" i="88"/>
  <c r="AE12" i="88"/>
  <c r="AF12" i="88"/>
  <c r="AG12" i="88"/>
  <c r="AH12" i="88"/>
  <c r="AI12" i="88"/>
  <c r="AJ12" i="88"/>
  <c r="AK12" i="88"/>
  <c r="AL12" i="88"/>
  <c r="AM12" i="88"/>
  <c r="AN12" i="88"/>
  <c r="AP12" i="88"/>
  <c r="AQ12" i="88"/>
  <c r="AR12" i="88"/>
  <c r="AS12" i="88"/>
  <c r="AT12" i="88"/>
  <c r="AU12" i="88"/>
  <c r="AV12" i="88"/>
  <c r="AW12" i="88"/>
  <c r="AX12" i="88"/>
  <c r="AY12" i="88"/>
  <c r="AZ12" i="88"/>
  <c r="BA12" i="88"/>
  <c r="BB12" i="88"/>
  <c r="I12" i="84"/>
  <c r="I13" i="84"/>
  <c r="I15" i="84"/>
  <c r="I16" i="84"/>
  <c r="I17" i="84"/>
  <c r="I19" i="84"/>
  <c r="I21" i="84"/>
  <c r="I23" i="84"/>
  <c r="I24" i="84"/>
  <c r="I25" i="84"/>
  <c r="I26" i="84"/>
  <c r="J30" i="88"/>
  <c r="J31" i="88"/>
  <c r="J32" i="88"/>
  <c r="J34" i="88"/>
  <c r="J35" i="88"/>
  <c r="J36" i="88"/>
  <c r="J37" i="88"/>
  <c r="J38" i="88"/>
  <c r="J39" i="88"/>
  <c r="J40" i="88"/>
  <c r="J41" i="88"/>
  <c r="J42" i="88"/>
  <c r="J43" i="88"/>
  <c r="J44" i="88"/>
  <c r="J45" i="88"/>
  <c r="J46" i="88"/>
  <c r="J47" i="88"/>
  <c r="J48" i="88"/>
  <c r="J49" i="88"/>
  <c r="J50" i="88"/>
  <c r="J52" i="88"/>
  <c r="J53" i="88"/>
  <c r="J54" i="88"/>
  <c r="J56" i="88"/>
  <c r="J57" i="88"/>
  <c r="K11" i="84"/>
  <c r="M15" i="88"/>
  <c r="N15" i="88"/>
  <c r="N11" i="84"/>
  <c r="S13" i="88"/>
  <c r="T13" i="88"/>
  <c r="U13" i="88"/>
  <c r="V13" i="88"/>
  <c r="W13" i="88"/>
  <c r="X13" i="88"/>
  <c r="Y13" i="88"/>
  <c r="AA13" i="88"/>
  <c r="AB13" i="88"/>
  <c r="AC13" i="88"/>
  <c r="AD13" i="88"/>
  <c r="AE13" i="88"/>
  <c r="AF13" i="88"/>
  <c r="AG13" i="88"/>
  <c r="AH13" i="88"/>
  <c r="AI13" i="88"/>
  <c r="AJ13" i="88"/>
  <c r="AK13" i="88"/>
  <c r="AL13" i="88"/>
  <c r="AM13" i="88"/>
  <c r="AP13" i="88"/>
  <c r="AR13" i="88"/>
  <c r="AS13" i="88"/>
  <c r="AT13" i="88"/>
  <c r="AU13" i="88"/>
  <c r="AV13" i="88"/>
  <c r="AW13" i="88"/>
  <c r="AX13" i="88"/>
  <c r="AY13" i="88"/>
  <c r="AZ13" i="88"/>
  <c r="BA13" i="88"/>
  <c r="BB13" i="88"/>
  <c r="K15" i="88"/>
  <c r="K16" i="88"/>
  <c r="K17" i="88"/>
  <c r="K18" i="88"/>
  <c r="K19" i="88"/>
  <c r="K21" i="88"/>
  <c r="K22" i="88"/>
  <c r="K23" i="88"/>
  <c r="K25" i="88"/>
  <c r="K27" i="88"/>
  <c r="K30" i="88"/>
  <c r="K31" i="88"/>
  <c r="K32" i="88"/>
  <c r="K33" i="88"/>
  <c r="K34" i="88"/>
  <c r="K35" i="88"/>
  <c r="K36" i="88"/>
  <c r="K37" i="88"/>
  <c r="K38" i="88"/>
  <c r="K39" i="88"/>
  <c r="K40" i="88"/>
  <c r="K41" i="88"/>
  <c r="K42" i="88"/>
  <c r="K43" i="88"/>
  <c r="K44" i="88"/>
  <c r="K45" i="88"/>
  <c r="K48" i="88"/>
  <c r="K49" i="88"/>
  <c r="K52" i="88"/>
  <c r="K53" i="88"/>
  <c r="K54" i="88"/>
  <c r="K56" i="88"/>
  <c r="K57" i="88"/>
  <c r="K12" i="84"/>
  <c r="L12" i="84"/>
  <c r="M12" i="84"/>
  <c r="O15" i="88"/>
  <c r="P14" i="88"/>
  <c r="R14" i="88"/>
  <c r="S14" i="88"/>
  <c r="T14" i="88"/>
  <c r="U14" i="88"/>
  <c r="V14" i="88"/>
  <c r="X14" i="88"/>
  <c r="Y14" i="88"/>
  <c r="AC14" i="88"/>
  <c r="AD14" i="88"/>
  <c r="AF14" i="88"/>
  <c r="AG14" i="88"/>
  <c r="AH14" i="88"/>
  <c r="AI14" i="88"/>
  <c r="AK14" i="88"/>
  <c r="AL14" i="88"/>
  <c r="AO14" i="88"/>
  <c r="AP14" i="88"/>
  <c r="AQ14" i="88"/>
  <c r="AR14" i="88"/>
  <c r="AS14" i="88"/>
  <c r="AU14" i="88"/>
  <c r="AV14" i="88"/>
  <c r="AW14" i="88"/>
  <c r="AX14" i="88"/>
  <c r="AY14" i="88"/>
  <c r="AZ14" i="88"/>
  <c r="BA14" i="88"/>
  <c r="BB14" i="88"/>
  <c r="L17" i="88"/>
  <c r="L18" i="88"/>
  <c r="L19" i="88"/>
  <c r="L21" i="88"/>
  <c r="L20" i="88" s="1"/>
  <c r="K20" i="84"/>
  <c r="K21" i="84"/>
  <c r="K22" i="84"/>
  <c r="K23" i="84"/>
  <c r="K24" i="84"/>
  <c r="K25" i="84"/>
  <c r="K26" i="84"/>
  <c r="K29" i="84"/>
  <c r="K31" i="84"/>
  <c r="K33" i="84"/>
  <c r="K34" i="84"/>
  <c r="K35" i="84"/>
  <c r="K36" i="84"/>
  <c r="K37" i="84"/>
  <c r="K38" i="84"/>
  <c r="K39" i="84"/>
  <c r="K41" i="84"/>
  <c r="K42" i="84"/>
  <c r="K44" i="84"/>
  <c r="M13" i="84"/>
  <c r="O16" i="88"/>
  <c r="P15" i="88"/>
  <c r="R15" i="88"/>
  <c r="S15" i="88"/>
  <c r="T15" i="88"/>
  <c r="V15" i="88"/>
  <c r="W15" i="88"/>
  <c r="X15" i="88"/>
  <c r="AA15" i="88"/>
  <c r="AB15" i="88"/>
  <c r="AC15" i="88"/>
  <c r="AE15" i="88"/>
  <c r="AF15" i="88"/>
  <c r="AG15" i="88"/>
  <c r="AI15" i="88"/>
  <c r="AJ15" i="88"/>
  <c r="AK15" i="88"/>
  <c r="AL15" i="88"/>
  <c r="AM15" i="88"/>
  <c r="AN15" i="88"/>
  <c r="AO15" i="88"/>
  <c r="AP15" i="88"/>
  <c r="AQ15" i="88"/>
  <c r="AR15" i="88"/>
  <c r="AS15" i="88"/>
  <c r="AT15" i="88"/>
  <c r="AU15" i="88"/>
  <c r="AV15" i="88"/>
  <c r="AW15" i="88"/>
  <c r="AX15" i="88"/>
  <c r="AY15" i="88"/>
  <c r="AZ15" i="88"/>
  <c r="BA15" i="88"/>
  <c r="M17" i="88"/>
  <c r="M19" i="88"/>
  <c r="M22" i="88"/>
  <c r="M23" i="88"/>
  <c r="M24" i="88"/>
  <c r="M25" i="88"/>
  <c r="M26" i="88"/>
  <c r="M27" i="88"/>
  <c r="M28" i="88"/>
  <c r="L26" i="84"/>
  <c r="M30" i="88"/>
  <c r="M31" i="88"/>
  <c r="M32" i="88"/>
  <c r="M33" i="88"/>
  <c r="M34" i="88"/>
  <c r="M35" i="88"/>
  <c r="M36" i="88"/>
  <c r="M38" i="88"/>
  <c r="M39" i="88"/>
  <c r="M40" i="88"/>
  <c r="M41" i="88"/>
  <c r="M42" i="88"/>
  <c r="M43" i="88"/>
  <c r="M44" i="88"/>
  <c r="M45" i="88"/>
  <c r="M46" i="88"/>
  <c r="M47" i="88"/>
  <c r="M49" i="88"/>
  <c r="M50" i="88"/>
  <c r="M51" i="88"/>
  <c r="M52" i="88"/>
  <c r="M53" i="88"/>
  <c r="M54" i="88"/>
  <c r="M55" i="88"/>
  <c r="M56" i="88"/>
  <c r="M57" i="88"/>
  <c r="M14" i="84"/>
  <c r="O14" i="88"/>
  <c r="P16" i="88"/>
  <c r="S16" i="88"/>
  <c r="T16" i="88"/>
  <c r="U16" i="88"/>
  <c r="V16" i="88"/>
  <c r="W16" i="88"/>
  <c r="X16" i="88"/>
  <c r="Y16" i="88"/>
  <c r="AA16" i="88"/>
  <c r="AB16" i="88"/>
  <c r="AC16" i="88"/>
  <c r="AD16" i="88"/>
  <c r="AE16" i="88"/>
  <c r="AF16" i="88"/>
  <c r="AG16" i="88"/>
  <c r="AH16" i="88"/>
  <c r="AI16" i="88"/>
  <c r="AJ16" i="88"/>
  <c r="AK16" i="88"/>
  <c r="AL16" i="88"/>
  <c r="AM16" i="88"/>
  <c r="AO16" i="88"/>
  <c r="AP16" i="88"/>
  <c r="AQ16" i="88"/>
  <c r="AR16" i="88"/>
  <c r="AS16" i="88"/>
  <c r="AU16" i="88"/>
  <c r="AV16" i="88"/>
  <c r="AW16" i="88"/>
  <c r="AX16" i="88"/>
  <c r="AY16" i="88"/>
  <c r="AZ16" i="88"/>
  <c r="BA16" i="88"/>
  <c r="BB16" i="88"/>
  <c r="N18" i="88"/>
  <c r="N19" i="88"/>
  <c r="N23" i="88"/>
  <c r="N24" i="88"/>
  <c r="N25" i="88"/>
  <c r="N26" i="88"/>
  <c r="N27" i="88"/>
  <c r="N28" i="88"/>
  <c r="N30" i="88"/>
  <c r="N31" i="88"/>
  <c r="N32" i="88"/>
  <c r="N33" i="88"/>
  <c r="N34" i="88"/>
  <c r="N35" i="88"/>
  <c r="N36" i="88"/>
  <c r="N37" i="88"/>
  <c r="N38" i="88"/>
  <c r="N39" i="88"/>
  <c r="N40" i="88"/>
  <c r="N41" i="88"/>
  <c r="N42" i="88"/>
  <c r="N43" i="88"/>
  <c r="N44" i="88"/>
  <c r="N45" i="88"/>
  <c r="N46" i="88"/>
  <c r="N47" i="88"/>
  <c r="N48" i="88"/>
  <c r="N50" i="88"/>
  <c r="N51" i="88"/>
  <c r="N52" i="88"/>
  <c r="N53" i="88"/>
  <c r="N54" i="88"/>
  <c r="N56" i="88"/>
  <c r="N57" i="88"/>
  <c r="N15" i="84"/>
  <c r="U17" i="88"/>
  <c r="V17" i="88"/>
  <c r="X17" i="88"/>
  <c r="Y17" i="88"/>
  <c r="AA17" i="88"/>
  <c r="AB17" i="88"/>
  <c r="AC17" i="88"/>
  <c r="AD17" i="88"/>
  <c r="AE17" i="88"/>
  <c r="AF17" i="88"/>
  <c r="AH17" i="88"/>
  <c r="AI17" i="88"/>
  <c r="AJ17" i="88"/>
  <c r="AK17" i="88"/>
  <c r="AL17" i="88"/>
  <c r="AM17" i="88"/>
  <c r="AN17" i="88"/>
  <c r="AQ17" i="88"/>
  <c r="AR17" i="88"/>
  <c r="AS17" i="88"/>
  <c r="AU17" i="88"/>
  <c r="AW17" i="88"/>
  <c r="AZ17" i="88"/>
  <c r="BA17" i="88"/>
  <c r="BB17" i="88"/>
  <c r="D16" i="84"/>
  <c r="O21" i="88"/>
  <c r="O22" i="88"/>
  <c r="O23" i="88"/>
  <c r="O24" i="88"/>
  <c r="O25" i="88"/>
  <c r="O26" i="88"/>
  <c r="O27" i="88"/>
  <c r="O28" i="88"/>
  <c r="N28" i="84"/>
  <c r="N29" i="84"/>
  <c r="N30" i="84"/>
  <c r="N31" i="84"/>
  <c r="N32" i="84"/>
  <c r="N33" i="84"/>
  <c r="N34" i="84"/>
  <c r="N35" i="84"/>
  <c r="N36" i="84"/>
  <c r="N37" i="84"/>
  <c r="N38" i="84"/>
  <c r="N39" i="84"/>
  <c r="N40" i="84"/>
  <c r="N41" i="84"/>
  <c r="N42" i="84"/>
  <c r="N43" i="84"/>
  <c r="N44" i="84"/>
  <c r="P18" i="88"/>
  <c r="R18" i="88"/>
  <c r="S18" i="88"/>
  <c r="T18" i="88"/>
  <c r="U18" i="88"/>
  <c r="V18" i="88"/>
  <c r="W18" i="88"/>
  <c r="X18" i="88"/>
  <c r="AA18" i="88"/>
  <c r="AB18" i="88"/>
  <c r="AC18" i="88"/>
  <c r="AD18" i="88"/>
  <c r="AE18" i="88"/>
  <c r="AF18" i="88"/>
  <c r="AG18" i="88"/>
  <c r="AH18" i="88"/>
  <c r="AI18" i="88"/>
  <c r="AJ18" i="88"/>
  <c r="AK18" i="88"/>
  <c r="AL18" i="88"/>
  <c r="AM18" i="88"/>
  <c r="AN18" i="88"/>
  <c r="AO18" i="88"/>
  <c r="AP18" i="88"/>
  <c r="AQ18" i="88"/>
  <c r="AR18" i="88"/>
  <c r="AS18" i="88"/>
  <c r="AT18" i="88"/>
  <c r="AU18" i="88"/>
  <c r="AV18" i="88"/>
  <c r="AW18" i="88"/>
  <c r="AX18" i="88"/>
  <c r="AY18" i="88"/>
  <c r="AZ18" i="88"/>
  <c r="BA18" i="88"/>
  <c r="P21" i="88"/>
  <c r="P22" i="88"/>
  <c r="P23" i="88"/>
  <c r="P25" i="88"/>
  <c r="P26" i="88"/>
  <c r="P27" i="88"/>
  <c r="P30" i="88"/>
  <c r="P31" i="88"/>
  <c r="P32" i="88"/>
  <c r="P33" i="88"/>
  <c r="P34" i="88"/>
  <c r="P35" i="88"/>
  <c r="P36" i="88"/>
  <c r="P37" i="88"/>
  <c r="P38" i="88"/>
  <c r="P39" i="88"/>
  <c r="P40" i="88"/>
  <c r="P42" i="88"/>
  <c r="P43" i="88"/>
  <c r="P44" i="88"/>
  <c r="P46" i="88"/>
  <c r="P47" i="88"/>
  <c r="P48" i="88"/>
  <c r="P50" i="88"/>
  <c r="P51" i="88"/>
  <c r="P52" i="88"/>
  <c r="P54" i="88"/>
  <c r="P55" i="88"/>
  <c r="P56" i="88"/>
  <c r="P57" i="88"/>
  <c r="R19" i="88"/>
  <c r="S19" i="88"/>
  <c r="U19" i="88"/>
  <c r="V19" i="88"/>
  <c r="W19" i="88"/>
  <c r="X19" i="88"/>
  <c r="Y19" i="88"/>
  <c r="AA19" i="88"/>
  <c r="AB19" i="88"/>
  <c r="AC19" i="88"/>
  <c r="AD19" i="88"/>
  <c r="AE19" i="88"/>
  <c r="AF19" i="88"/>
  <c r="AG19" i="88"/>
  <c r="AH19" i="88"/>
  <c r="AI19" i="88"/>
  <c r="AJ19" i="88"/>
  <c r="AK19" i="88"/>
  <c r="AL19" i="88"/>
  <c r="AM19" i="88"/>
  <c r="AN19" i="88"/>
  <c r="AO19" i="88"/>
  <c r="AP19" i="88"/>
  <c r="AQ19" i="88"/>
  <c r="AR19" i="88"/>
  <c r="AS19" i="88"/>
  <c r="AT19" i="88"/>
  <c r="AU19" i="88"/>
  <c r="AV19" i="88"/>
  <c r="AW19" i="88"/>
  <c r="AX19" i="88"/>
  <c r="AY19" i="88"/>
  <c r="BA19" i="88"/>
  <c r="BB19" i="88"/>
  <c r="R23" i="88"/>
  <c r="R24" i="88"/>
  <c r="R25" i="88"/>
  <c r="R26" i="88"/>
  <c r="R28" i="88"/>
  <c r="R30" i="88"/>
  <c r="R31" i="88"/>
  <c r="R33" i="88"/>
  <c r="R34" i="88"/>
  <c r="R35" i="88"/>
  <c r="R36" i="88"/>
  <c r="R38" i="88"/>
  <c r="R39" i="88"/>
  <c r="R40" i="88"/>
  <c r="R41" i="88"/>
  <c r="R42" i="88"/>
  <c r="R43" i="88"/>
  <c r="R44" i="88"/>
  <c r="R45" i="88"/>
  <c r="R46" i="88"/>
  <c r="R47" i="88"/>
  <c r="R49" i="88"/>
  <c r="R51" i="88"/>
  <c r="R52" i="88"/>
  <c r="R53" i="88"/>
  <c r="R54" i="88"/>
  <c r="R56" i="88"/>
  <c r="R57" i="88"/>
  <c r="S21" i="88"/>
  <c r="T21" i="88"/>
  <c r="U21" i="88"/>
  <c r="V21" i="88"/>
  <c r="W21" i="88"/>
  <c r="Y21" i="88"/>
  <c r="AA21" i="88"/>
  <c r="AB21" i="88"/>
  <c r="AC21" i="88"/>
  <c r="AD21" i="88"/>
  <c r="AE21" i="88"/>
  <c r="AF21" i="88"/>
  <c r="AG21" i="88"/>
  <c r="AH21" i="88"/>
  <c r="AI21" i="88"/>
  <c r="AJ21" i="88"/>
  <c r="AK21" i="88"/>
  <c r="AL21" i="88"/>
  <c r="AM21" i="88"/>
  <c r="AO21" i="88"/>
  <c r="AQ21" i="88"/>
  <c r="AR21" i="88"/>
  <c r="AS21" i="88"/>
  <c r="AT21" i="88"/>
  <c r="AU21" i="88"/>
  <c r="AV21" i="88"/>
  <c r="AW21" i="88"/>
  <c r="AX21" i="88"/>
  <c r="AY21" i="88"/>
  <c r="AZ21" i="88"/>
  <c r="BA21" i="88"/>
  <c r="BB21" i="88"/>
  <c r="S23" i="88"/>
  <c r="S24" i="88"/>
  <c r="S25" i="88"/>
  <c r="S26" i="88"/>
  <c r="S27" i="88"/>
  <c r="S28" i="88"/>
  <c r="S30" i="88"/>
  <c r="S31" i="88"/>
  <c r="S32" i="88"/>
  <c r="S33" i="88"/>
  <c r="S34" i="88"/>
  <c r="S35" i="88"/>
  <c r="S36" i="88"/>
  <c r="S37" i="88"/>
  <c r="S38" i="88"/>
  <c r="S39" i="88"/>
  <c r="S40" i="88"/>
  <c r="S41" i="88"/>
  <c r="S42" i="88"/>
  <c r="S43" i="88"/>
  <c r="S44" i="88"/>
  <c r="S46" i="88"/>
  <c r="S48" i="88"/>
  <c r="S49" i="88"/>
  <c r="S50" i="88"/>
  <c r="S51" i="88"/>
  <c r="S52" i="88"/>
  <c r="S54" i="88"/>
  <c r="S56" i="88"/>
  <c r="S57" i="88"/>
  <c r="T22" i="88"/>
  <c r="U22" i="88"/>
  <c r="V22" i="88"/>
  <c r="X22" i="88"/>
  <c r="Y22" i="88"/>
  <c r="AA22" i="88"/>
  <c r="AB22" i="88"/>
  <c r="AC22" i="88"/>
  <c r="AD22" i="88"/>
  <c r="AE22" i="88"/>
  <c r="AF22" i="88"/>
  <c r="AG22" i="88"/>
  <c r="AH22" i="88"/>
  <c r="AI22" i="88"/>
  <c r="AJ22" i="88"/>
  <c r="AK22" i="88"/>
  <c r="AL22" i="88"/>
  <c r="AM22" i="88"/>
  <c r="AN22" i="88"/>
  <c r="AO22" i="88"/>
  <c r="AP22" i="88"/>
  <c r="AQ22" i="88"/>
  <c r="AR22" i="88"/>
  <c r="AS22" i="88"/>
  <c r="AT22" i="88"/>
  <c r="AU22" i="88"/>
  <c r="AV22" i="88"/>
  <c r="AW22" i="88"/>
  <c r="AX22" i="88"/>
  <c r="AY22" i="88"/>
  <c r="AZ22" i="88"/>
  <c r="BA22" i="88"/>
  <c r="T24" i="88"/>
  <c r="T25" i="88"/>
  <c r="T26" i="88"/>
  <c r="T28" i="88"/>
  <c r="T30" i="88"/>
  <c r="T31" i="88"/>
  <c r="T32" i="88"/>
  <c r="T33" i="88"/>
  <c r="T34" i="88"/>
  <c r="T35" i="88"/>
  <c r="T36" i="88"/>
  <c r="T37" i="88"/>
  <c r="T38" i="88"/>
  <c r="T39" i="88"/>
  <c r="T40" i="88"/>
  <c r="T41" i="88"/>
  <c r="T43" i="88"/>
  <c r="T44" i="88"/>
  <c r="T45" i="88"/>
  <c r="T46" i="88"/>
  <c r="T47" i="88"/>
  <c r="T48" i="88"/>
  <c r="T50" i="88"/>
  <c r="T51" i="88"/>
  <c r="T52" i="88"/>
  <c r="T53" i="88"/>
  <c r="T54" i="88"/>
  <c r="T56" i="88"/>
  <c r="T57" i="88"/>
  <c r="U23" i="88"/>
  <c r="V23" i="88"/>
  <c r="W23" i="88"/>
  <c r="X23" i="88"/>
  <c r="Y23" i="88"/>
  <c r="AA23" i="88"/>
  <c r="AB23" i="88"/>
  <c r="AC23" i="88"/>
  <c r="AD23" i="88"/>
  <c r="AE23" i="88"/>
  <c r="AF23" i="88"/>
  <c r="AG23" i="88"/>
  <c r="AH23" i="88"/>
  <c r="AI23" i="88"/>
  <c r="AJ23" i="88"/>
  <c r="AK23" i="88"/>
  <c r="AL23" i="88"/>
  <c r="AM23" i="88"/>
  <c r="AN23" i="88"/>
  <c r="AO23" i="88"/>
  <c r="AP23" i="88"/>
  <c r="AQ23" i="88"/>
  <c r="AR23" i="88"/>
  <c r="AS23" i="88"/>
  <c r="AT23" i="88"/>
  <c r="AU23" i="88"/>
  <c r="AV23" i="88"/>
  <c r="AW23" i="88"/>
  <c r="AX23" i="88"/>
  <c r="AZ23" i="88"/>
  <c r="BA23" i="88"/>
  <c r="BB23" i="88"/>
  <c r="D22" i="84"/>
  <c r="U25" i="88"/>
  <c r="U26" i="88"/>
  <c r="U27" i="88"/>
  <c r="U28" i="88"/>
  <c r="U30" i="88"/>
  <c r="U31" i="88"/>
  <c r="U32" i="88"/>
  <c r="U33" i="88"/>
  <c r="U34" i="88"/>
  <c r="U35" i="88"/>
  <c r="U36" i="88"/>
  <c r="U37" i="88"/>
  <c r="U38" i="88"/>
  <c r="U39" i="88"/>
  <c r="U40" i="88"/>
  <c r="U41" i="88"/>
  <c r="U43" i="88"/>
  <c r="U44" i="88"/>
  <c r="U45" i="88"/>
  <c r="U47" i="88"/>
  <c r="U48" i="88"/>
  <c r="U49" i="88"/>
  <c r="U50" i="88"/>
  <c r="U51" i="88"/>
  <c r="U52" i="88"/>
  <c r="U53" i="88"/>
  <c r="U54" i="88"/>
  <c r="U55" i="88"/>
  <c r="U56" i="88"/>
  <c r="U57" i="88"/>
  <c r="V24" i="88"/>
  <c r="X24" i="88"/>
  <c r="Y24" i="88"/>
  <c r="AA24" i="88"/>
  <c r="AB24" i="88"/>
  <c r="AC24" i="88"/>
  <c r="AD24" i="88"/>
  <c r="AE24" i="88"/>
  <c r="AF24" i="88"/>
  <c r="AG24" i="88"/>
  <c r="AH24" i="88"/>
  <c r="AI24" i="88"/>
  <c r="AJ24" i="88"/>
  <c r="AK24" i="88"/>
  <c r="AL24" i="88"/>
  <c r="AM24" i="88"/>
  <c r="AN24" i="88"/>
  <c r="AO24" i="88"/>
  <c r="AP24" i="88"/>
  <c r="AQ24" i="88"/>
  <c r="AR24" i="88"/>
  <c r="AT24" i="88"/>
  <c r="AU24" i="88"/>
  <c r="AV24" i="88"/>
  <c r="AX24" i="88"/>
  <c r="AY24" i="88"/>
  <c r="AZ24" i="88"/>
  <c r="BA24" i="88"/>
  <c r="BB24" i="88"/>
  <c r="V26" i="88"/>
  <c r="V27" i="88"/>
  <c r="V28" i="88"/>
  <c r="V30" i="88"/>
  <c r="V31" i="88"/>
  <c r="V32" i="88"/>
  <c r="V33" i="88"/>
  <c r="V34" i="88"/>
  <c r="V35" i="88"/>
  <c r="V36" i="88"/>
  <c r="V37" i="88"/>
  <c r="V38" i="88"/>
  <c r="V39" i="88"/>
  <c r="V40" i="88"/>
  <c r="V41" i="88"/>
  <c r="V42" i="88"/>
  <c r="V43" i="88"/>
  <c r="V44" i="88"/>
  <c r="V45" i="88"/>
  <c r="V46" i="88"/>
  <c r="V47" i="88"/>
  <c r="V48" i="88"/>
  <c r="V49" i="88"/>
  <c r="V50" i="88"/>
  <c r="V51" i="88"/>
  <c r="V52" i="88"/>
  <c r="V53" i="88"/>
  <c r="V54" i="88"/>
  <c r="V56" i="88"/>
  <c r="V57" i="88"/>
  <c r="W25" i="88"/>
  <c r="X25" i="88"/>
  <c r="Y25" i="88"/>
  <c r="AA25" i="88"/>
  <c r="AB25" i="88"/>
  <c r="AC25" i="88"/>
  <c r="AD25" i="88"/>
  <c r="AE25" i="88"/>
  <c r="AF25" i="88"/>
  <c r="AG25" i="88"/>
  <c r="AH25" i="88"/>
  <c r="AI25" i="88"/>
  <c r="AJ25" i="88"/>
  <c r="AK25" i="88"/>
  <c r="AL25" i="88"/>
  <c r="AM25" i="88"/>
  <c r="AN25" i="88"/>
  <c r="AO25" i="88"/>
  <c r="AP25" i="88"/>
  <c r="AQ25" i="88"/>
  <c r="AR25" i="88"/>
  <c r="AS25" i="88"/>
  <c r="AT25" i="88"/>
  <c r="AU25" i="88"/>
  <c r="AV25" i="88"/>
  <c r="AW25" i="88"/>
  <c r="AX25" i="88"/>
  <c r="AY25" i="88"/>
  <c r="AZ25" i="88"/>
  <c r="BB25" i="88"/>
  <c r="W27" i="88"/>
  <c r="W28" i="88"/>
  <c r="W30" i="88"/>
  <c r="W31" i="88"/>
  <c r="W32" i="88"/>
  <c r="W33" i="88"/>
  <c r="W34" i="88"/>
  <c r="W35" i="88"/>
  <c r="W36" i="88"/>
  <c r="W38" i="88"/>
  <c r="W39" i="88"/>
  <c r="W40" i="88"/>
  <c r="W41" i="88"/>
  <c r="W42" i="88"/>
  <c r="W43" i="88"/>
  <c r="W44" i="88"/>
  <c r="W45" i="88"/>
  <c r="W46" i="88"/>
  <c r="W47" i="88"/>
  <c r="W48" i="88"/>
  <c r="W49" i="88"/>
  <c r="W50" i="88"/>
  <c r="W51" i="88"/>
  <c r="W52" i="88"/>
  <c r="W53" i="88"/>
  <c r="W54" i="88"/>
  <c r="W56" i="88"/>
  <c r="W57" i="88"/>
  <c r="X26" i="88"/>
  <c r="Y26" i="88"/>
  <c r="AA26" i="88"/>
  <c r="AB26" i="88"/>
  <c r="AC26" i="88"/>
  <c r="AD26" i="88"/>
  <c r="AE26" i="88"/>
  <c r="AF26" i="88"/>
  <c r="AG26" i="88"/>
  <c r="AH26" i="88"/>
  <c r="AI26" i="88"/>
  <c r="AJ26" i="88"/>
  <c r="AK26" i="88"/>
  <c r="AL26" i="88"/>
  <c r="AM26" i="88"/>
  <c r="AN26" i="88"/>
  <c r="AO26" i="88"/>
  <c r="AP26" i="88"/>
  <c r="AQ26" i="88"/>
  <c r="AR26" i="88"/>
  <c r="AT26" i="88"/>
  <c r="AU26" i="88"/>
  <c r="AV26" i="88"/>
  <c r="AW26" i="88"/>
  <c r="AX26" i="88"/>
  <c r="AY26" i="88"/>
  <c r="AZ26" i="88"/>
  <c r="BA26" i="88"/>
  <c r="BB26" i="88"/>
  <c r="X28" i="88"/>
  <c r="X30" i="88"/>
  <c r="X31" i="88"/>
  <c r="X32" i="88"/>
  <c r="X33" i="88"/>
  <c r="X34" i="88"/>
  <c r="X35" i="88"/>
  <c r="X36" i="88"/>
  <c r="X37" i="88"/>
  <c r="X38" i="88"/>
  <c r="X39" i="88"/>
  <c r="X40" i="88"/>
  <c r="X41" i="88"/>
  <c r="X43" i="88"/>
  <c r="X44" i="88"/>
  <c r="X45" i="88"/>
  <c r="X46" i="88"/>
  <c r="X47" i="88"/>
  <c r="X48" i="88"/>
  <c r="X50" i="88"/>
  <c r="X51" i="88"/>
  <c r="X52" i="88"/>
  <c r="X53" i="88"/>
  <c r="X54" i="88"/>
  <c r="X55" i="88"/>
  <c r="X56" i="88"/>
  <c r="X57" i="88"/>
  <c r="Y27" i="88"/>
  <c r="AA27" i="88"/>
  <c r="AB27" i="88"/>
  <c r="AC27" i="88"/>
  <c r="AD27" i="88"/>
  <c r="AE27" i="88"/>
  <c r="AF27" i="88"/>
  <c r="AG27" i="88"/>
  <c r="AH27" i="88"/>
  <c r="AI27" i="88"/>
  <c r="AJ27" i="88"/>
  <c r="AK27" i="88"/>
  <c r="AL27" i="88"/>
  <c r="AM27" i="88"/>
  <c r="AN27" i="88"/>
  <c r="AO27" i="88"/>
  <c r="AP27" i="88"/>
  <c r="AQ27" i="88"/>
  <c r="AR27" i="88"/>
  <c r="AS27" i="88"/>
  <c r="AT27" i="88"/>
  <c r="AU27" i="88"/>
  <c r="AV27" i="88"/>
  <c r="AW27" i="88"/>
  <c r="AX27" i="88"/>
  <c r="AY27" i="88"/>
  <c r="AZ27" i="88"/>
  <c r="BA27" i="88"/>
  <c r="BB27" i="88"/>
  <c r="Y31" i="88"/>
  <c r="Y32" i="88"/>
  <c r="Y33" i="88"/>
  <c r="Y34" i="88"/>
  <c r="Y35" i="88"/>
  <c r="Y36" i="88"/>
  <c r="Y37" i="88"/>
  <c r="Y38" i="88"/>
  <c r="Y39" i="88"/>
  <c r="Y40" i="88"/>
  <c r="Y41" i="88"/>
  <c r="Y42" i="88"/>
  <c r="Y43" i="88"/>
  <c r="Y44" i="88"/>
  <c r="Y45" i="88"/>
  <c r="Y46" i="88"/>
  <c r="Y47" i="88"/>
  <c r="Y48" i="88"/>
  <c r="Y49" i="88"/>
  <c r="Y50" i="88"/>
  <c r="Y51" i="88"/>
  <c r="Y52" i="88"/>
  <c r="Y53" i="88"/>
  <c r="Y54" i="88"/>
  <c r="Y55" i="88"/>
  <c r="Y56" i="88"/>
  <c r="AA28" i="88"/>
  <c r="AB28" i="88"/>
  <c r="AC28" i="88"/>
  <c r="AD28" i="88"/>
  <c r="AE28" i="88"/>
  <c r="AF28" i="88"/>
  <c r="AG28" i="88"/>
  <c r="AH28" i="88"/>
  <c r="AI28" i="88"/>
  <c r="AJ28" i="88"/>
  <c r="AK28" i="88"/>
  <c r="AL28" i="88"/>
  <c r="AM28" i="88"/>
  <c r="AN28" i="88"/>
  <c r="AO28" i="88"/>
  <c r="AP28" i="88"/>
  <c r="AQ28" i="88"/>
  <c r="AR28" i="88"/>
  <c r="AS28" i="88"/>
  <c r="AT28" i="88"/>
  <c r="AU28" i="88"/>
  <c r="AV28" i="88"/>
  <c r="AW28" i="88"/>
  <c r="AX28" i="88"/>
  <c r="AY28" i="88"/>
  <c r="AZ28" i="88"/>
  <c r="BA28" i="88"/>
  <c r="BB28" i="88"/>
  <c r="AQ26" i="84"/>
  <c r="D34" i="19"/>
  <c r="D34" i="23"/>
  <c r="D34" i="33"/>
  <c r="D34" i="32"/>
  <c r="D34" i="40"/>
  <c r="D34" i="38"/>
  <c r="D34" i="37"/>
  <c r="AA41" i="88"/>
  <c r="AB41" i="88"/>
  <c r="AC41" i="88"/>
  <c r="AD41" i="88"/>
  <c r="AE41" i="88"/>
  <c r="AF41" i="88"/>
  <c r="AG41" i="88"/>
  <c r="AH41" i="88"/>
  <c r="AI41" i="88"/>
  <c r="AJ41" i="88"/>
  <c r="AK41" i="88"/>
  <c r="AA42" i="88"/>
  <c r="AB42" i="88"/>
  <c r="AC42" i="88"/>
  <c r="AD42" i="88"/>
  <c r="AE42" i="88"/>
  <c r="AF42" i="88"/>
  <c r="AG42" i="88"/>
  <c r="AH42" i="88"/>
  <c r="AI42" i="88"/>
  <c r="AJ42" i="88"/>
  <c r="AK42" i="88"/>
  <c r="AA43" i="88"/>
  <c r="AB43" i="88"/>
  <c r="AC43" i="88"/>
  <c r="AD43" i="88"/>
  <c r="AE43" i="88"/>
  <c r="AF43" i="88"/>
  <c r="AG43" i="88"/>
  <c r="AH43" i="88"/>
  <c r="AI43" i="88"/>
  <c r="AJ43" i="88"/>
  <c r="AK43" i="88"/>
  <c r="AA44" i="88"/>
  <c r="AB44" i="88"/>
  <c r="AC44" i="88"/>
  <c r="AD44" i="88"/>
  <c r="AE44" i="88"/>
  <c r="AF44" i="88"/>
  <c r="AG44" i="88"/>
  <c r="AH44" i="88"/>
  <c r="AI44" i="88"/>
  <c r="AJ44" i="88"/>
  <c r="AK44" i="88"/>
  <c r="AA45" i="88"/>
  <c r="AB45" i="88"/>
  <c r="AC45" i="88"/>
  <c r="AD45" i="88"/>
  <c r="AE45" i="88"/>
  <c r="AF45" i="88"/>
  <c r="AG45" i="88"/>
  <c r="AH45" i="88"/>
  <c r="AI45" i="88"/>
  <c r="AJ45" i="88"/>
  <c r="AK45" i="88"/>
  <c r="AA46" i="88"/>
  <c r="AB46" i="88"/>
  <c r="AC46" i="88"/>
  <c r="AD46" i="88"/>
  <c r="AE46" i="88"/>
  <c r="AF46" i="88"/>
  <c r="AG46" i="88"/>
  <c r="AH46" i="88"/>
  <c r="AI46" i="88"/>
  <c r="AJ46" i="88"/>
  <c r="AK46" i="88"/>
  <c r="AA47" i="88"/>
  <c r="AB47" i="88"/>
  <c r="AC47" i="88"/>
  <c r="AD47" i="88"/>
  <c r="AE47" i="88"/>
  <c r="AF47" i="88"/>
  <c r="AG47" i="88"/>
  <c r="AH47" i="88"/>
  <c r="AI47" i="88"/>
  <c r="AJ47" i="88"/>
  <c r="AK47" i="88"/>
  <c r="AB48" i="88"/>
  <c r="AC48" i="88"/>
  <c r="AD48" i="88"/>
  <c r="AE48" i="88"/>
  <c r="AF48" i="88"/>
  <c r="AG48" i="88"/>
  <c r="AH48" i="88"/>
  <c r="AI48" i="88"/>
  <c r="AJ48" i="88"/>
  <c r="AK48" i="88"/>
  <c r="AA49" i="88"/>
  <c r="AB49" i="88"/>
  <c r="AC49" i="88"/>
  <c r="AD49" i="88"/>
  <c r="AE49" i="88"/>
  <c r="AF49" i="88"/>
  <c r="AG49" i="88"/>
  <c r="AH49" i="88"/>
  <c r="AI49" i="88"/>
  <c r="AJ49" i="88"/>
  <c r="AK49" i="88"/>
  <c r="AA50" i="88"/>
  <c r="AB50" i="88"/>
  <c r="AD50" i="88"/>
  <c r="AE50" i="88"/>
  <c r="AF50" i="88"/>
  <c r="AG50" i="88"/>
  <c r="AH50" i="88"/>
  <c r="AI50" i="88"/>
  <c r="AJ50" i="88"/>
  <c r="AK50" i="88"/>
  <c r="AA51" i="88"/>
  <c r="AB51" i="88"/>
  <c r="AC51" i="88"/>
  <c r="AD51" i="88"/>
  <c r="AE51" i="88"/>
  <c r="AF51" i="88"/>
  <c r="AG51" i="88"/>
  <c r="AH51" i="88"/>
  <c r="AI51" i="88"/>
  <c r="AJ51" i="88"/>
  <c r="AK51" i="88"/>
  <c r="AA52" i="88"/>
  <c r="AB52" i="88"/>
  <c r="AC52" i="88"/>
  <c r="AD52" i="88"/>
  <c r="AE52" i="88"/>
  <c r="AF52" i="88"/>
  <c r="AG52" i="88"/>
  <c r="AH52" i="88"/>
  <c r="AI52" i="88"/>
  <c r="AJ52" i="88"/>
  <c r="AK52" i="88"/>
  <c r="AA53" i="88"/>
  <c r="AB53" i="88"/>
  <c r="AC53" i="88"/>
  <c r="AD53" i="88"/>
  <c r="AE53" i="88"/>
  <c r="AF53" i="88"/>
  <c r="AG53" i="88"/>
  <c r="AH53" i="88"/>
  <c r="AI53" i="88"/>
  <c r="AJ53" i="88"/>
  <c r="AK53" i="88"/>
  <c r="AA54" i="88"/>
  <c r="AB54" i="88"/>
  <c r="AC54" i="88"/>
  <c r="AD54" i="88"/>
  <c r="AE54" i="88"/>
  <c r="AF54" i="88"/>
  <c r="AG54" i="88"/>
  <c r="AH54" i="88"/>
  <c r="AI54" i="88"/>
  <c r="AJ54" i="88"/>
  <c r="AK54" i="88"/>
  <c r="AA55" i="88"/>
  <c r="AB55" i="88"/>
  <c r="AC55" i="88"/>
  <c r="AD55" i="88"/>
  <c r="AE55" i="88"/>
  <c r="AF55" i="88"/>
  <c r="AG55" i="88"/>
  <c r="AH55" i="88"/>
  <c r="AI55" i="88"/>
  <c r="AJ55" i="88"/>
  <c r="AK55" i="88"/>
  <c r="AA56" i="88"/>
  <c r="AB56" i="88"/>
  <c r="AC56" i="88"/>
  <c r="AD56" i="88"/>
  <c r="AE56" i="88"/>
  <c r="AF56" i="88"/>
  <c r="AG56" i="88"/>
  <c r="AH56" i="88"/>
  <c r="AI56" i="88"/>
  <c r="AJ56" i="88"/>
  <c r="AK56" i="88"/>
  <c r="AA57" i="88"/>
  <c r="AB57" i="88"/>
  <c r="AC57" i="88"/>
  <c r="AD57" i="88"/>
  <c r="AE57" i="88"/>
  <c r="AF57" i="88"/>
  <c r="AG57" i="88"/>
  <c r="AH57" i="88"/>
  <c r="AI57" i="88"/>
  <c r="AJ57" i="88"/>
  <c r="AK57" i="88"/>
  <c r="AI58" i="88"/>
  <c r="AL30" i="88"/>
  <c r="AL31" i="88"/>
  <c r="AL32" i="88"/>
  <c r="AL33" i="88"/>
  <c r="AL34" i="88"/>
  <c r="AL35" i="88"/>
  <c r="AL36" i="88"/>
  <c r="AL37" i="88"/>
  <c r="AL38" i="88"/>
  <c r="AL39" i="88"/>
  <c r="AL40" i="88"/>
  <c r="AM30" i="88"/>
  <c r="AM31" i="88"/>
  <c r="AM33" i="88"/>
  <c r="AM34" i="88"/>
  <c r="AM35" i="88"/>
  <c r="AM36" i="88"/>
  <c r="AM37" i="88"/>
  <c r="AM38" i="88"/>
  <c r="AM39" i="88"/>
  <c r="AM40" i="88"/>
  <c r="AN30" i="88"/>
  <c r="AN31" i="88"/>
  <c r="AN32" i="88"/>
  <c r="AN33" i="88"/>
  <c r="AN34" i="88"/>
  <c r="AN35" i="88"/>
  <c r="AN36" i="88"/>
  <c r="AN37" i="88"/>
  <c r="AN38" i="88"/>
  <c r="AN39" i="88"/>
  <c r="AN40" i="88"/>
  <c r="AO30" i="88"/>
  <c r="AO31" i="88"/>
  <c r="AO32" i="88"/>
  <c r="AO33" i="88"/>
  <c r="AO34" i="88"/>
  <c r="AO35" i="88"/>
  <c r="AO36" i="88"/>
  <c r="AO37" i="88"/>
  <c r="AO38" i="88"/>
  <c r="AO39" i="88"/>
  <c r="AO40" i="88"/>
  <c r="AP30" i="88"/>
  <c r="AP31" i="88"/>
  <c r="AP32" i="88"/>
  <c r="AP33" i="88"/>
  <c r="AP34" i="88"/>
  <c r="AP35" i="88"/>
  <c r="AP36" i="88"/>
  <c r="AP37" i="88"/>
  <c r="AP38" i="88"/>
  <c r="AP39" i="88"/>
  <c r="AP40" i="88"/>
  <c r="AQ30" i="88"/>
  <c r="AQ31" i="88"/>
  <c r="AQ32" i="88"/>
  <c r="AQ33" i="88"/>
  <c r="AQ34" i="88"/>
  <c r="AQ35" i="88"/>
  <c r="AQ36" i="88"/>
  <c r="AQ37" i="88"/>
  <c r="AQ38" i="88"/>
  <c r="AQ39" i="88"/>
  <c r="AQ40" i="88"/>
  <c r="AR30" i="88"/>
  <c r="AR31" i="88"/>
  <c r="AR32" i="88"/>
  <c r="AR33" i="88"/>
  <c r="AR34" i="88"/>
  <c r="AR35" i="88"/>
  <c r="AR36" i="88"/>
  <c r="AR37" i="88"/>
  <c r="AR38" i="88"/>
  <c r="AR39" i="88"/>
  <c r="AR40" i="88"/>
  <c r="AS30" i="88"/>
  <c r="AS31" i="88"/>
  <c r="AS32" i="88"/>
  <c r="AS33" i="88"/>
  <c r="AS34" i="88"/>
  <c r="AS35" i="88"/>
  <c r="AS36" i="88"/>
  <c r="AS37" i="88"/>
  <c r="AS38" i="88"/>
  <c r="AS39" i="88"/>
  <c r="AS40" i="88"/>
  <c r="AT30" i="88"/>
  <c r="AT31" i="88"/>
  <c r="AT32" i="88"/>
  <c r="AT33" i="88"/>
  <c r="AT34" i="88"/>
  <c r="AT35" i="88"/>
  <c r="AT36" i="88"/>
  <c r="AT37" i="88"/>
  <c r="AT38" i="88"/>
  <c r="AT39" i="88"/>
  <c r="AT40" i="88"/>
  <c r="AU30" i="88"/>
  <c r="AU31" i="88"/>
  <c r="AU32" i="88"/>
  <c r="AU33" i="88"/>
  <c r="AU34" i="88"/>
  <c r="AU35" i="88"/>
  <c r="AU36" i="88"/>
  <c r="AU37" i="88"/>
  <c r="AU38" i="88"/>
  <c r="AU39" i="88"/>
  <c r="AU40" i="88"/>
  <c r="AV30" i="88"/>
  <c r="AV31" i="88"/>
  <c r="AV32" i="88"/>
  <c r="AV33" i="88"/>
  <c r="AV34" i="88"/>
  <c r="AV35" i="88"/>
  <c r="AV36" i="88"/>
  <c r="AV37" i="88"/>
  <c r="AV38" i="88"/>
  <c r="AV39" i="88"/>
  <c r="AV40" i="88"/>
  <c r="AW30" i="88"/>
  <c r="AW31" i="88"/>
  <c r="AW32" i="88"/>
  <c r="AW33" i="88"/>
  <c r="AW34" i="88"/>
  <c r="AW35" i="88"/>
  <c r="AW36" i="88"/>
  <c r="AW37" i="88"/>
  <c r="AW38" i="88"/>
  <c r="AW39" i="88"/>
  <c r="AW40" i="88"/>
  <c r="AX30" i="88"/>
  <c r="AX31" i="88"/>
  <c r="AX32" i="88"/>
  <c r="AX33" i="88"/>
  <c r="AX34" i="88"/>
  <c r="AX35" i="88"/>
  <c r="AX36" i="88"/>
  <c r="AX37" i="88"/>
  <c r="AX38" i="88"/>
  <c r="AX39" i="88"/>
  <c r="AX40" i="88"/>
  <c r="AY30" i="88"/>
  <c r="AY31" i="88"/>
  <c r="AY32" i="88"/>
  <c r="AY33" i="88"/>
  <c r="AY34" i="88"/>
  <c r="AY35" i="88"/>
  <c r="AY36" i="88"/>
  <c r="AY37" i="88"/>
  <c r="AY38" i="88"/>
  <c r="AY39" i="88"/>
  <c r="AY40" i="88"/>
  <c r="AZ30" i="88"/>
  <c r="AZ31" i="88"/>
  <c r="AZ32" i="88"/>
  <c r="AZ33" i="88"/>
  <c r="AZ34" i="88"/>
  <c r="AZ35" i="88"/>
  <c r="AZ36" i="88"/>
  <c r="AZ37" i="88"/>
  <c r="AZ38" i="88"/>
  <c r="AZ39" i="88"/>
  <c r="AZ40" i="88"/>
  <c r="BA30" i="88"/>
  <c r="BA31" i="88"/>
  <c r="BA32" i="88"/>
  <c r="BA33" i="88"/>
  <c r="BA34" i="88"/>
  <c r="BA35" i="88"/>
  <c r="BA36" i="88"/>
  <c r="BA37" i="88"/>
  <c r="BA38" i="88"/>
  <c r="BA39" i="88"/>
  <c r="BA40" i="88"/>
  <c r="BB30" i="88"/>
  <c r="BB31" i="88"/>
  <c r="BB32" i="88"/>
  <c r="BB33" i="88"/>
  <c r="BB34" i="88"/>
  <c r="BB35" i="88"/>
  <c r="BB36" i="88"/>
  <c r="BB37" i="88"/>
  <c r="BB38" i="88"/>
  <c r="BB39" i="88"/>
  <c r="BB40" i="88"/>
  <c r="AL42" i="88"/>
  <c r="AL43" i="88"/>
  <c r="AL44" i="88"/>
  <c r="AL45" i="88"/>
  <c r="AL46" i="88"/>
  <c r="AL47" i="88"/>
  <c r="AL49" i="88"/>
  <c r="AL50" i="88"/>
  <c r="AL51" i="88"/>
  <c r="AL52" i="88"/>
  <c r="AL53" i="88"/>
  <c r="AL54" i="88"/>
  <c r="AL55" i="88"/>
  <c r="AL56" i="88"/>
  <c r="AL57" i="88"/>
  <c r="AM41" i="88"/>
  <c r="AN41" i="88"/>
  <c r="AO41" i="88"/>
  <c r="AP41" i="88"/>
  <c r="AQ41" i="88"/>
  <c r="AR41" i="88"/>
  <c r="AS41" i="88"/>
  <c r="AT41" i="88"/>
  <c r="AU41" i="88"/>
  <c r="AV41" i="88"/>
  <c r="AW41" i="88"/>
  <c r="AY41" i="88"/>
  <c r="AZ41" i="88"/>
  <c r="BA41" i="88"/>
  <c r="BB41" i="88"/>
  <c r="D29" i="84"/>
  <c r="AM43" i="88"/>
  <c r="AM44" i="88"/>
  <c r="AM45" i="88"/>
  <c r="AM46" i="88"/>
  <c r="AM47" i="88"/>
  <c r="AM48" i="88"/>
  <c r="AM49" i="88"/>
  <c r="AM50" i="88"/>
  <c r="AM51" i="88"/>
  <c r="AM52" i="88"/>
  <c r="AM53" i="88"/>
  <c r="AM54" i="88"/>
  <c r="AM55" i="88"/>
  <c r="AM56" i="88"/>
  <c r="AM57" i="88"/>
  <c r="AN42" i="88"/>
  <c r="AO42" i="88"/>
  <c r="AP42" i="88"/>
  <c r="AQ42" i="88"/>
  <c r="AR42" i="88"/>
  <c r="AS42" i="88"/>
  <c r="AT42" i="88"/>
  <c r="AU42" i="88"/>
  <c r="AW42" i="88"/>
  <c r="AX42" i="88"/>
  <c r="AY42" i="88"/>
  <c r="AZ42" i="88"/>
  <c r="BA42" i="88"/>
  <c r="BB42" i="88"/>
  <c r="AN44" i="88"/>
  <c r="AN45" i="88"/>
  <c r="AN46" i="88"/>
  <c r="AN47" i="88"/>
  <c r="AN48" i="88"/>
  <c r="AN49" i="88"/>
  <c r="AN50" i="88"/>
  <c r="AN51" i="88"/>
  <c r="AN52" i="88"/>
  <c r="AN53" i="88"/>
  <c r="AN54" i="88"/>
  <c r="AN55" i="88"/>
  <c r="AN56" i="88"/>
  <c r="AN57" i="88"/>
  <c r="AO43" i="88"/>
  <c r="AP43" i="88"/>
  <c r="AQ43" i="88"/>
  <c r="AR43" i="88"/>
  <c r="AS43" i="88"/>
  <c r="AT43" i="88"/>
  <c r="AV43" i="88"/>
  <c r="AW43" i="88"/>
  <c r="AX43" i="88"/>
  <c r="AZ43" i="88"/>
  <c r="BA43" i="88"/>
  <c r="BB43" i="88"/>
  <c r="AO45" i="88"/>
  <c r="AO46" i="88"/>
  <c r="AO47" i="88"/>
  <c r="AO48" i="88"/>
  <c r="AO49" i="88"/>
  <c r="AO50" i="88"/>
  <c r="AO51" i="88"/>
  <c r="AO52" i="88"/>
  <c r="AO53" i="88"/>
  <c r="AO55" i="88"/>
  <c r="AO56" i="88"/>
  <c r="AO57" i="88"/>
  <c r="AP44" i="88"/>
  <c r="AQ44" i="88"/>
  <c r="AR44" i="88"/>
  <c r="AS44" i="88"/>
  <c r="AT44" i="88"/>
  <c r="AU44" i="88"/>
  <c r="AV44" i="88"/>
  <c r="AW44" i="88"/>
  <c r="AX44" i="88"/>
  <c r="AY44" i="88"/>
  <c r="AZ44" i="88"/>
  <c r="BA44" i="88"/>
  <c r="BB44" i="88"/>
  <c r="AP46" i="88"/>
  <c r="AP47" i="88"/>
  <c r="AP48" i="88"/>
  <c r="AP49" i="88"/>
  <c r="AP50" i="88"/>
  <c r="AP51" i="88"/>
  <c r="AP53" i="88"/>
  <c r="AP54" i="88"/>
  <c r="AP56" i="88"/>
  <c r="AP57" i="88"/>
  <c r="AQ45" i="88"/>
  <c r="AR45" i="88"/>
  <c r="AS45" i="88"/>
  <c r="AT45" i="88"/>
  <c r="AU45" i="88"/>
  <c r="AV45" i="88"/>
  <c r="AW45" i="88"/>
  <c r="AX45" i="88"/>
  <c r="AY45" i="88"/>
  <c r="BA45" i="88"/>
  <c r="BB45" i="88"/>
  <c r="AQ47" i="88"/>
  <c r="AQ48" i="88"/>
  <c r="AQ49" i="88"/>
  <c r="AQ50" i="88"/>
  <c r="AQ52" i="88"/>
  <c r="AQ53" i="88"/>
  <c r="AQ54" i="88"/>
  <c r="AQ55" i="88"/>
  <c r="AQ56" i="88"/>
  <c r="AR46" i="88"/>
  <c r="AS46" i="88"/>
  <c r="AT46" i="88"/>
  <c r="AU46" i="88"/>
  <c r="AV46" i="88"/>
  <c r="AW46" i="88"/>
  <c r="AX46" i="88"/>
  <c r="AY46" i="88"/>
  <c r="AZ46" i="88"/>
  <c r="BA46" i="88"/>
  <c r="BB46" i="88"/>
  <c r="AR48" i="88"/>
  <c r="AR49" i="88"/>
  <c r="AR50" i="88"/>
  <c r="AR51" i="88"/>
  <c r="AR52" i="88"/>
  <c r="AR53" i="88"/>
  <c r="AR54" i="88"/>
  <c r="AR55" i="88"/>
  <c r="AR56" i="88"/>
  <c r="AR57" i="88"/>
  <c r="AS47" i="88"/>
  <c r="AT47" i="88"/>
  <c r="AU47" i="88"/>
  <c r="AV47" i="88"/>
  <c r="AW47" i="88"/>
  <c r="AX47" i="88"/>
  <c r="AY47" i="88"/>
  <c r="AZ47" i="88"/>
  <c r="BA47" i="88"/>
  <c r="BB47" i="88"/>
  <c r="AS49" i="88"/>
  <c r="AS50" i="88"/>
  <c r="AS52" i="88"/>
  <c r="AS53" i="88"/>
  <c r="AS54" i="88"/>
  <c r="AS56" i="88"/>
  <c r="AS57" i="88"/>
  <c r="AS58" i="88"/>
  <c r="AT48" i="88"/>
  <c r="AU48" i="88"/>
  <c r="AV48" i="88"/>
  <c r="AW48" i="88"/>
  <c r="AY48" i="88"/>
  <c r="AZ48" i="88"/>
  <c r="BA48" i="88"/>
  <c r="AQ35" i="84"/>
  <c r="AT50" i="88"/>
  <c r="AT51" i="88"/>
  <c r="AT52" i="88"/>
  <c r="AT53" i="88"/>
  <c r="AT54" i="88"/>
  <c r="AT55" i="88"/>
  <c r="AT56" i="88"/>
  <c r="AT57" i="88"/>
  <c r="AU49" i="88"/>
  <c r="AV49" i="88"/>
  <c r="AW49" i="88"/>
  <c r="AX49" i="88"/>
  <c r="AY49" i="88"/>
  <c r="AZ49" i="88"/>
  <c r="BA49" i="88"/>
  <c r="BB49" i="88"/>
  <c r="AU51" i="88"/>
  <c r="AU52" i="88"/>
  <c r="AU53" i="88"/>
  <c r="AU54" i="88"/>
  <c r="AU55" i="88"/>
  <c r="AU56" i="88"/>
  <c r="AU57" i="88"/>
  <c r="AV50" i="88"/>
  <c r="AW50" i="88"/>
  <c r="AX50" i="88"/>
  <c r="AY50" i="88"/>
  <c r="AZ50" i="88"/>
  <c r="BA50" i="88"/>
  <c r="BB50" i="88"/>
  <c r="AQ37" i="84"/>
  <c r="AV52" i="88"/>
  <c r="AV53" i="88"/>
  <c r="AV54" i="88"/>
  <c r="AV55" i="88"/>
  <c r="AV56" i="88"/>
  <c r="AV57" i="88"/>
  <c r="AW51" i="88"/>
  <c r="AX51" i="88"/>
  <c r="AY51" i="88"/>
  <c r="AZ51" i="88"/>
  <c r="BA51" i="88"/>
  <c r="BB51" i="88"/>
  <c r="AQ38" i="84"/>
  <c r="AW54" i="88"/>
  <c r="AW55" i="88"/>
  <c r="AW56" i="88"/>
  <c r="AW57" i="88"/>
  <c r="AX52" i="88"/>
  <c r="AY52" i="88"/>
  <c r="AZ52" i="88"/>
  <c r="BA52" i="88"/>
  <c r="AX54" i="88"/>
  <c r="AX55" i="88"/>
  <c r="AX56" i="88"/>
  <c r="AX57" i="88"/>
  <c r="AY53" i="88"/>
  <c r="BA53" i="88"/>
  <c r="AY55" i="88"/>
  <c r="AY56" i="88"/>
  <c r="AY57" i="88"/>
  <c r="AZ54" i="88"/>
  <c r="BA54" i="88"/>
  <c r="BB54" i="88"/>
  <c r="AZ56" i="88"/>
  <c r="AZ57" i="88"/>
  <c r="BA55" i="88"/>
  <c r="BB55" i="88"/>
  <c r="BA57" i="88"/>
  <c r="BB56" i="88"/>
  <c r="D63" i="29"/>
  <c r="D63" i="25"/>
  <c r="D63" i="24"/>
  <c r="D63" i="23"/>
  <c r="D63" i="21"/>
  <c r="D63" i="34"/>
  <c r="D63" i="33"/>
  <c r="D63" i="32"/>
  <c r="D63" i="40"/>
  <c r="D63" i="39"/>
  <c r="D63" i="38"/>
  <c r="D63" i="37"/>
  <c r="BJ11" i="33"/>
  <c r="BJ10" i="33" s="1"/>
  <c r="BJ9" i="33" s="1"/>
  <c r="BJ8" i="33" s="1"/>
  <c r="BJ18" i="33"/>
  <c r="BJ34" i="33"/>
  <c r="BJ25" i="33" s="1"/>
  <c r="H65" i="33"/>
  <c r="G65" i="33" s="1"/>
  <c r="F65" i="33" s="1"/>
  <c r="E65" i="33" s="1"/>
  <c r="AE65" i="33"/>
  <c r="V65" i="33" s="1"/>
  <c r="I18" i="19"/>
  <c r="I67" i="19" s="1"/>
  <c r="I34" i="19"/>
  <c r="I25" i="19" s="1"/>
  <c r="I63" i="19"/>
  <c r="O12" i="19"/>
  <c r="J18" i="19"/>
  <c r="J34" i="19"/>
  <c r="J25" i="19" s="1"/>
  <c r="J63" i="19"/>
  <c r="O13" i="19"/>
  <c r="K18" i="19"/>
  <c r="K34" i="19"/>
  <c r="K25" i="19" s="1"/>
  <c r="K63" i="19"/>
  <c r="O14" i="19"/>
  <c r="BL14" i="19" s="1"/>
  <c r="M18" i="19"/>
  <c r="M34" i="19"/>
  <c r="M25" i="19" s="1"/>
  <c r="M63" i="19"/>
  <c r="M67" i="19" s="1"/>
  <c r="D55" i="46" s="1"/>
  <c r="N18" i="19"/>
  <c r="N34" i="19"/>
  <c r="N25" i="19" s="1"/>
  <c r="N63" i="19"/>
  <c r="P11" i="19"/>
  <c r="P34" i="19"/>
  <c r="P25" i="19" s="1"/>
  <c r="P63" i="19"/>
  <c r="Q34" i="19"/>
  <c r="Q25" i="19" s="1"/>
  <c r="Q63" i="19"/>
  <c r="H20" i="19"/>
  <c r="G20" i="19" s="1"/>
  <c r="F20" i="19" s="1"/>
  <c r="AE20" i="19"/>
  <c r="V20" i="19" s="1"/>
  <c r="BH20" i="19"/>
  <c r="R34" i="19"/>
  <c r="R63" i="19"/>
  <c r="H21" i="19"/>
  <c r="G21" i="19" s="1"/>
  <c r="F21" i="19" s="1"/>
  <c r="AE21" i="19"/>
  <c r="AE18" i="19" s="1"/>
  <c r="BH21" i="19"/>
  <c r="S9" i="19"/>
  <c r="S18" i="19"/>
  <c r="S34" i="19"/>
  <c r="S25" i="19" s="1"/>
  <c r="S63" i="19"/>
  <c r="T10" i="19"/>
  <c r="T9" i="19"/>
  <c r="T18" i="19"/>
  <c r="T34" i="19"/>
  <c r="T25" i="19"/>
  <c r="T63" i="19"/>
  <c r="H23" i="19"/>
  <c r="G23" i="19" s="1"/>
  <c r="F23" i="19" s="1"/>
  <c r="O23" i="19"/>
  <c r="AE23" i="19"/>
  <c r="V23" i="19" s="1"/>
  <c r="BH23" i="19"/>
  <c r="U10" i="19"/>
  <c r="U9" i="19" s="1"/>
  <c r="U18" i="19"/>
  <c r="U34" i="19"/>
  <c r="U25" i="19" s="1"/>
  <c r="U63" i="19"/>
  <c r="P11" i="29"/>
  <c r="P10" i="29" s="1"/>
  <c r="P34" i="29"/>
  <c r="P25" i="29" s="1"/>
  <c r="P63" i="29"/>
  <c r="Q34" i="29"/>
  <c r="Q25" i="29" s="1"/>
  <c r="Q63" i="29"/>
  <c r="H20" i="29"/>
  <c r="G20" i="29" s="1"/>
  <c r="F20" i="29" s="1"/>
  <c r="AE20" i="29"/>
  <c r="V20" i="29" s="1"/>
  <c r="BH20" i="29"/>
  <c r="R34" i="29"/>
  <c r="R25" i="29" s="1"/>
  <c r="R67" i="29" s="1"/>
  <c r="S10" i="29"/>
  <c r="S9" i="29" s="1"/>
  <c r="S18" i="29"/>
  <c r="S34" i="29"/>
  <c r="S25" i="29" s="1"/>
  <c r="S63" i="29"/>
  <c r="T10" i="29"/>
  <c r="T9" i="29" s="1"/>
  <c r="T67" i="29" s="1"/>
  <c r="T18" i="29"/>
  <c r="T34" i="29"/>
  <c r="T25" i="29" s="1"/>
  <c r="T63" i="29"/>
  <c r="H23" i="29"/>
  <c r="G23" i="29" s="1"/>
  <c r="F23" i="29" s="1"/>
  <c r="O23" i="29"/>
  <c r="AE23" i="29"/>
  <c r="V23" i="29" s="1"/>
  <c r="BH23" i="29"/>
  <c r="U10" i="29"/>
  <c r="U9" i="29" s="1"/>
  <c r="U18" i="29"/>
  <c r="U34" i="29"/>
  <c r="U25" i="29" s="1"/>
  <c r="U63" i="29"/>
  <c r="I18" i="29"/>
  <c r="I34" i="29"/>
  <c r="I25" i="29" s="1"/>
  <c r="I63" i="29"/>
  <c r="O12" i="29"/>
  <c r="J18" i="29"/>
  <c r="J34" i="29"/>
  <c r="J25" i="29" s="1"/>
  <c r="J63" i="29"/>
  <c r="O13" i="29"/>
  <c r="K18" i="29"/>
  <c r="K34" i="29"/>
  <c r="K25" i="29"/>
  <c r="K63" i="29"/>
  <c r="O14" i="29"/>
  <c r="BL14" i="29" s="1"/>
  <c r="M18" i="29"/>
  <c r="M34" i="29"/>
  <c r="M25" i="29" s="1"/>
  <c r="M63" i="29"/>
  <c r="N18" i="29"/>
  <c r="N34" i="29"/>
  <c r="N25" i="29" s="1"/>
  <c r="N63" i="29"/>
  <c r="N67" i="29"/>
  <c r="D81" i="46" s="1"/>
  <c r="I18" i="28"/>
  <c r="I34" i="28"/>
  <c r="I25" i="28" s="1"/>
  <c r="I67" i="28" s="1"/>
  <c r="I63" i="28"/>
  <c r="O12" i="28"/>
  <c r="J18" i="28"/>
  <c r="J34" i="28"/>
  <c r="J25" i="28" s="1"/>
  <c r="J67" i="28" s="1"/>
  <c r="J63" i="28"/>
  <c r="O13" i="28"/>
  <c r="K18" i="28"/>
  <c r="K34" i="28"/>
  <c r="K25" i="28" s="1"/>
  <c r="K63" i="28"/>
  <c r="O14" i="28"/>
  <c r="BL14" i="28" s="1"/>
  <c r="K14" i="28" s="1"/>
  <c r="M18" i="28"/>
  <c r="M34" i="28"/>
  <c r="M25" i="28" s="1"/>
  <c r="M63" i="28"/>
  <c r="N18" i="28"/>
  <c r="N34" i="28"/>
  <c r="N25" i="28"/>
  <c r="N63" i="28"/>
  <c r="P11" i="28"/>
  <c r="P10" i="28" s="1"/>
  <c r="P34" i="28"/>
  <c r="P25" i="28"/>
  <c r="Q34" i="28"/>
  <c r="Q25" i="28" s="1"/>
  <c r="Q63" i="28"/>
  <c r="H20" i="28"/>
  <c r="G20" i="28" s="1"/>
  <c r="F20" i="28" s="1"/>
  <c r="AE20" i="28"/>
  <c r="V20" i="28" s="1"/>
  <c r="BH20" i="28"/>
  <c r="R34" i="28"/>
  <c r="R25" i="28" s="1"/>
  <c r="R63" i="28"/>
  <c r="S10" i="28"/>
  <c r="S9" i="28" s="1"/>
  <c r="S18" i="28"/>
  <c r="S34" i="28"/>
  <c r="S25" i="28" s="1"/>
  <c r="S63" i="28"/>
  <c r="T10" i="28"/>
  <c r="T9" i="28" s="1"/>
  <c r="T67" i="28" s="1"/>
  <c r="T18" i="28"/>
  <c r="T34" i="28"/>
  <c r="T25" i="28" s="1"/>
  <c r="T63" i="28"/>
  <c r="H23" i="28"/>
  <c r="G23" i="28" s="1"/>
  <c r="F23" i="28" s="1"/>
  <c r="O23" i="28"/>
  <c r="AE23" i="28"/>
  <c r="V23" i="28" s="1"/>
  <c r="BH23" i="28"/>
  <c r="U18" i="28"/>
  <c r="U34" i="28"/>
  <c r="U25" i="28" s="1"/>
  <c r="U63" i="28"/>
  <c r="I18" i="27"/>
  <c r="I34" i="27"/>
  <c r="I25" i="27"/>
  <c r="I63" i="27"/>
  <c r="O12" i="27"/>
  <c r="J18" i="27"/>
  <c r="J34" i="27"/>
  <c r="J25" i="27" s="1"/>
  <c r="J63" i="27"/>
  <c r="O13" i="27"/>
  <c r="K18" i="27"/>
  <c r="K67" i="27" s="1"/>
  <c r="BM14" i="27" s="1"/>
  <c r="BN14" i="27" s="1"/>
  <c r="K34" i="27"/>
  <c r="K25" i="27"/>
  <c r="K63" i="27"/>
  <c r="O14" i="27"/>
  <c r="BL14" i="27" s="1"/>
  <c r="M18" i="27"/>
  <c r="M34" i="27"/>
  <c r="M25" i="27" s="1"/>
  <c r="M63" i="27"/>
  <c r="N18" i="27"/>
  <c r="N34" i="27"/>
  <c r="N25" i="27" s="1"/>
  <c r="N63" i="27"/>
  <c r="P11" i="27"/>
  <c r="P10" i="27" s="1"/>
  <c r="P34" i="27"/>
  <c r="P25" i="27" s="1"/>
  <c r="P63" i="27"/>
  <c r="Q34" i="27"/>
  <c r="Q25" i="27" s="1"/>
  <c r="Q63" i="27"/>
  <c r="H20" i="27"/>
  <c r="G20" i="27" s="1"/>
  <c r="F20" i="27" s="1"/>
  <c r="AE20" i="27"/>
  <c r="V20" i="27" s="1"/>
  <c r="BH20" i="27"/>
  <c r="R34" i="27"/>
  <c r="R25" i="27" s="1"/>
  <c r="R63" i="27"/>
  <c r="S10" i="27"/>
  <c r="S9" i="27" s="1"/>
  <c r="S18" i="27"/>
  <c r="S34" i="27"/>
  <c r="S25" i="27" s="1"/>
  <c r="S63" i="27"/>
  <c r="M115" i="27" s="1"/>
  <c r="T10" i="27"/>
  <c r="T9" i="27" s="1"/>
  <c r="T18" i="27"/>
  <c r="T34" i="27"/>
  <c r="T25" i="27"/>
  <c r="T63" i="27"/>
  <c r="H23" i="27"/>
  <c r="G23" i="27" s="1"/>
  <c r="F23" i="27" s="1"/>
  <c r="O23" i="27"/>
  <c r="AE23" i="27"/>
  <c r="V23" i="27" s="1"/>
  <c r="BH23" i="27"/>
  <c r="U18" i="27"/>
  <c r="U34" i="27"/>
  <c r="U25" i="27" s="1"/>
  <c r="U63" i="27"/>
  <c r="I18" i="26"/>
  <c r="I34" i="26"/>
  <c r="I63" i="26"/>
  <c r="O12" i="26"/>
  <c r="J18" i="26"/>
  <c r="J34" i="26"/>
  <c r="J25" i="26" s="1"/>
  <c r="J63" i="26"/>
  <c r="O13" i="26"/>
  <c r="K18" i="26"/>
  <c r="K34" i="26"/>
  <c r="K25" i="26" s="1"/>
  <c r="K63" i="26"/>
  <c r="O14" i="26"/>
  <c r="BL14" i="26" s="1"/>
  <c r="M18" i="26"/>
  <c r="M34" i="26"/>
  <c r="M25" i="26"/>
  <c r="M63" i="26"/>
  <c r="N18" i="26"/>
  <c r="N34" i="26"/>
  <c r="N25" i="26" s="1"/>
  <c r="N63" i="26"/>
  <c r="P11" i="26"/>
  <c r="P10" i="26" s="1"/>
  <c r="P34" i="26"/>
  <c r="P25" i="26" s="1"/>
  <c r="P63" i="26"/>
  <c r="Q34" i="26"/>
  <c r="Q25" i="26" s="1"/>
  <c r="Q67" i="26" s="1"/>
  <c r="Q63" i="26"/>
  <c r="H20" i="26"/>
  <c r="G20" i="26"/>
  <c r="F20" i="26" s="1"/>
  <c r="AE20" i="26"/>
  <c r="V20" i="26" s="1"/>
  <c r="BH20" i="26"/>
  <c r="R34" i="26"/>
  <c r="R25" i="26"/>
  <c r="R67" i="26" s="1"/>
  <c r="R63" i="26"/>
  <c r="S18" i="26"/>
  <c r="S34" i="26"/>
  <c r="S25" i="26" s="1"/>
  <c r="S63" i="26"/>
  <c r="T10" i="26"/>
  <c r="T9" i="26" s="1"/>
  <c r="T18" i="26"/>
  <c r="T34" i="26"/>
  <c r="T25" i="26"/>
  <c r="T63" i="26"/>
  <c r="H23" i="26"/>
  <c r="G23" i="26" s="1"/>
  <c r="F23" i="26" s="1"/>
  <c r="O23" i="26"/>
  <c r="AE23" i="26"/>
  <c r="V23" i="26" s="1"/>
  <c r="BH23" i="26"/>
  <c r="U10" i="26"/>
  <c r="U9" i="26" s="1"/>
  <c r="U18" i="26"/>
  <c r="U34" i="26"/>
  <c r="U25" i="26" s="1"/>
  <c r="U63" i="26"/>
  <c r="I18" i="25"/>
  <c r="I34" i="25"/>
  <c r="I25" i="25"/>
  <c r="I63" i="25"/>
  <c r="O12" i="25"/>
  <c r="J18" i="25"/>
  <c r="J34" i="25"/>
  <c r="J25" i="25" s="1"/>
  <c r="J63" i="25"/>
  <c r="O13" i="25"/>
  <c r="K18" i="25"/>
  <c r="K34" i="25"/>
  <c r="K25" i="25" s="1"/>
  <c r="K63" i="25"/>
  <c r="O14" i="25"/>
  <c r="BL14" i="25" s="1"/>
  <c r="M18" i="25"/>
  <c r="M34" i="25"/>
  <c r="M25" i="25" s="1"/>
  <c r="M63" i="25"/>
  <c r="N18" i="25"/>
  <c r="N34" i="25"/>
  <c r="N25" i="25"/>
  <c r="N63" i="25"/>
  <c r="P11" i="25"/>
  <c r="P34" i="25"/>
  <c r="P25" i="25" s="1"/>
  <c r="P63" i="25"/>
  <c r="J115" i="25" s="1"/>
  <c r="Q34" i="25"/>
  <c r="Q25" i="25" s="1"/>
  <c r="Q63" i="25"/>
  <c r="H20" i="25"/>
  <c r="G20" i="25"/>
  <c r="F20" i="25" s="1"/>
  <c r="AE20" i="25"/>
  <c r="V20" i="25" s="1"/>
  <c r="BH20" i="25"/>
  <c r="R34" i="25"/>
  <c r="R25" i="25" s="1"/>
  <c r="R63" i="25"/>
  <c r="L115" i="25" s="1"/>
  <c r="S18" i="25"/>
  <c r="S34" i="25"/>
  <c r="S25" i="25" s="1"/>
  <c r="S63" i="25"/>
  <c r="T10" i="25"/>
  <c r="T9" i="25" s="1"/>
  <c r="T18" i="25"/>
  <c r="T34" i="25"/>
  <c r="T25" i="25" s="1"/>
  <c r="T63" i="25"/>
  <c r="H23" i="25"/>
  <c r="G23" i="25" s="1"/>
  <c r="F23" i="25" s="1"/>
  <c r="O23" i="25"/>
  <c r="AE23" i="25"/>
  <c r="V23" i="25"/>
  <c r="BH23" i="25"/>
  <c r="U18" i="25"/>
  <c r="U34" i="25"/>
  <c r="U25" i="25" s="1"/>
  <c r="U63" i="25"/>
  <c r="I18" i="24"/>
  <c r="I34" i="24"/>
  <c r="I25" i="24" s="1"/>
  <c r="I68" i="24" s="1"/>
  <c r="D36" i="46" s="1"/>
  <c r="I63" i="24"/>
  <c r="O12" i="24"/>
  <c r="J18" i="24"/>
  <c r="J34" i="24"/>
  <c r="J25" i="24" s="1"/>
  <c r="J63" i="24"/>
  <c r="O13" i="24"/>
  <c r="K18" i="24"/>
  <c r="K34" i="24"/>
  <c r="K25" i="24" s="1"/>
  <c r="K63" i="24"/>
  <c r="O14" i="24"/>
  <c r="BL14" i="24" s="1"/>
  <c r="M18" i="24"/>
  <c r="M34" i="24"/>
  <c r="M25" i="24" s="1"/>
  <c r="M63" i="24"/>
  <c r="N18" i="24"/>
  <c r="N34" i="24"/>
  <c r="N25" i="24" s="1"/>
  <c r="N63" i="24"/>
  <c r="P11" i="24"/>
  <c r="P10" i="24" s="1"/>
  <c r="P34" i="24"/>
  <c r="P25" i="24" s="1"/>
  <c r="P63" i="24"/>
  <c r="Q34" i="24"/>
  <c r="Q25" i="24" s="1"/>
  <c r="Q63" i="24"/>
  <c r="Q68" i="24"/>
  <c r="H20" i="24"/>
  <c r="G20" i="24" s="1"/>
  <c r="F20" i="24" s="1"/>
  <c r="AE20" i="24"/>
  <c r="BH20" i="24"/>
  <c r="R34" i="24"/>
  <c r="R25" i="24" s="1"/>
  <c r="R63" i="24"/>
  <c r="S18" i="24"/>
  <c r="S34" i="24"/>
  <c r="S25" i="24" s="1"/>
  <c r="S63" i="24"/>
  <c r="T10" i="24"/>
  <c r="T9" i="24" s="1"/>
  <c r="T68" i="24" s="1"/>
  <c r="T18" i="24"/>
  <c r="T34" i="24"/>
  <c r="T25" i="24" s="1"/>
  <c r="T63" i="24"/>
  <c r="H23" i="24"/>
  <c r="G23" i="24" s="1"/>
  <c r="F23" i="24" s="1"/>
  <c r="O23" i="24"/>
  <c r="AE23" i="24"/>
  <c r="V23" i="24" s="1"/>
  <c r="BH23" i="24"/>
  <c r="U10" i="24"/>
  <c r="U9" i="24" s="1"/>
  <c r="U18" i="24"/>
  <c r="U34" i="24"/>
  <c r="U25" i="24" s="1"/>
  <c r="U63" i="24"/>
  <c r="I18" i="23"/>
  <c r="I34" i="23"/>
  <c r="I25" i="23"/>
  <c r="I63" i="23"/>
  <c r="O12" i="23"/>
  <c r="J18" i="23"/>
  <c r="J34" i="23"/>
  <c r="J25" i="23"/>
  <c r="J63" i="23"/>
  <c r="O13" i="23"/>
  <c r="K18" i="23"/>
  <c r="K34" i="23"/>
  <c r="K25" i="23" s="1"/>
  <c r="K63" i="23"/>
  <c r="O14" i="23"/>
  <c r="BL14" i="23" s="1"/>
  <c r="M18" i="23"/>
  <c r="M34" i="23"/>
  <c r="M25" i="23"/>
  <c r="M63" i="23"/>
  <c r="N18" i="23"/>
  <c r="N34" i="23"/>
  <c r="N25" i="23" s="1"/>
  <c r="N63" i="23"/>
  <c r="P11" i="23"/>
  <c r="P10" i="23" s="1"/>
  <c r="P34" i="23"/>
  <c r="P25" i="23" s="1"/>
  <c r="P63" i="23"/>
  <c r="Q34" i="23"/>
  <c r="Q25" i="23" s="1"/>
  <c r="Q63" i="23"/>
  <c r="H20" i="23"/>
  <c r="G20" i="23" s="1"/>
  <c r="F20" i="23" s="1"/>
  <c r="AE20" i="23"/>
  <c r="BH20" i="23"/>
  <c r="R34" i="23"/>
  <c r="R25" i="23" s="1"/>
  <c r="R68" i="23" s="1"/>
  <c r="R63" i="23"/>
  <c r="H21" i="23"/>
  <c r="G21" i="23"/>
  <c r="F21" i="23" s="1"/>
  <c r="AE21" i="23"/>
  <c r="AE18" i="23" s="1"/>
  <c r="BH21" i="23"/>
  <c r="AQ84" i="23" s="1"/>
  <c r="S10" i="23"/>
  <c r="S9" i="23" s="1"/>
  <c r="S18" i="23"/>
  <c r="S34" i="23"/>
  <c r="S25" i="23" s="1"/>
  <c r="S63" i="23"/>
  <c r="T10" i="23"/>
  <c r="T9" i="23" s="1"/>
  <c r="T18" i="23"/>
  <c r="T34" i="23"/>
  <c r="T25" i="23"/>
  <c r="T63" i="23"/>
  <c r="H23" i="23"/>
  <c r="G23" i="23" s="1"/>
  <c r="F23" i="23" s="1"/>
  <c r="O23" i="23"/>
  <c r="AE23" i="23"/>
  <c r="BH23" i="23"/>
  <c r="U10" i="23"/>
  <c r="U9" i="23" s="1"/>
  <c r="U68" i="23" s="1"/>
  <c r="U18" i="23"/>
  <c r="U34" i="23"/>
  <c r="U25" i="23" s="1"/>
  <c r="U63" i="23"/>
  <c r="I18" i="22"/>
  <c r="I34" i="22"/>
  <c r="I25" i="22" s="1"/>
  <c r="I67" i="22" s="1"/>
  <c r="D38" i="46" s="1"/>
  <c r="I63" i="22"/>
  <c r="O12" i="22"/>
  <c r="J18" i="22"/>
  <c r="J34" i="22"/>
  <c r="J25" i="22" s="1"/>
  <c r="J67" i="22" s="1"/>
  <c r="J63" i="22"/>
  <c r="O13" i="22"/>
  <c r="K18" i="22"/>
  <c r="K34" i="22"/>
  <c r="K25" i="22"/>
  <c r="K63" i="22"/>
  <c r="O14" i="22"/>
  <c r="BL14" i="22" s="1"/>
  <c r="M18" i="22"/>
  <c r="M67" i="22"/>
  <c r="D63" i="46" s="1"/>
  <c r="M34" i="22"/>
  <c r="M25" i="22" s="1"/>
  <c r="M63" i="22"/>
  <c r="N18" i="22"/>
  <c r="N34" i="22"/>
  <c r="N25" i="22" s="1"/>
  <c r="N63" i="22"/>
  <c r="P11" i="22"/>
  <c r="P10" i="22" s="1"/>
  <c r="P34" i="22"/>
  <c r="P25" i="22" s="1"/>
  <c r="P63" i="22"/>
  <c r="Q34" i="22"/>
  <c r="Q25" i="22" s="1"/>
  <c r="Q63" i="22"/>
  <c r="H20" i="22"/>
  <c r="G20" i="22"/>
  <c r="F20" i="22" s="1"/>
  <c r="AE20" i="22"/>
  <c r="Y82" i="22"/>
  <c r="BH20" i="22"/>
  <c r="R34" i="22"/>
  <c r="R25" i="22" s="1"/>
  <c r="R67" i="22" s="1"/>
  <c r="D138" i="46" s="1"/>
  <c r="R63" i="22"/>
  <c r="H21" i="22"/>
  <c r="G21" i="22" s="1"/>
  <c r="F21" i="22" s="1"/>
  <c r="AE21" i="22"/>
  <c r="V21" i="22" s="1"/>
  <c r="BH21" i="22"/>
  <c r="S10" i="22"/>
  <c r="S9" i="22" s="1"/>
  <c r="S18" i="22"/>
  <c r="S34" i="22"/>
  <c r="S25" i="22"/>
  <c r="S63" i="22"/>
  <c r="T10" i="22"/>
  <c r="T9" i="22" s="1"/>
  <c r="T18" i="22"/>
  <c r="T34" i="22"/>
  <c r="T25" i="22"/>
  <c r="T63" i="22"/>
  <c r="H23" i="22"/>
  <c r="G23" i="22" s="1"/>
  <c r="F23" i="22" s="1"/>
  <c r="O23" i="22"/>
  <c r="AE23" i="22"/>
  <c r="V23" i="22" s="1"/>
  <c r="BH23" i="22"/>
  <c r="U18" i="22"/>
  <c r="U34" i="22"/>
  <c r="U25" i="22"/>
  <c r="U63" i="22"/>
  <c r="I18" i="21"/>
  <c r="I34" i="21"/>
  <c r="I25" i="21" s="1"/>
  <c r="I63" i="21"/>
  <c r="O12" i="21"/>
  <c r="J18" i="21"/>
  <c r="J34" i="21"/>
  <c r="J25" i="21" s="1"/>
  <c r="J63" i="21"/>
  <c r="O13" i="21"/>
  <c r="K18" i="21"/>
  <c r="K34" i="21"/>
  <c r="K25" i="21"/>
  <c r="K63" i="21"/>
  <c r="O14" i="21"/>
  <c r="M18" i="21"/>
  <c r="M34" i="21"/>
  <c r="M25" i="21" s="1"/>
  <c r="M68" i="21" s="1"/>
  <c r="D64" i="46" s="1"/>
  <c r="M63" i="21"/>
  <c r="N18" i="21"/>
  <c r="N34" i="21"/>
  <c r="N25" i="21"/>
  <c r="N63" i="21"/>
  <c r="P11" i="21"/>
  <c r="P10" i="21" s="1"/>
  <c r="P9" i="21" s="1"/>
  <c r="P34" i="21"/>
  <c r="P25" i="21"/>
  <c r="P63" i="21"/>
  <c r="Q34" i="21"/>
  <c r="Q25" i="21"/>
  <c r="Q63" i="21"/>
  <c r="H20" i="21"/>
  <c r="G20" i="21" s="1"/>
  <c r="F20" i="21" s="1"/>
  <c r="AE20" i="21"/>
  <c r="Y83" i="21" s="1"/>
  <c r="BH20" i="21"/>
  <c r="AQ83" i="21" s="1"/>
  <c r="R34" i="21"/>
  <c r="R25" i="21" s="1"/>
  <c r="R63" i="21"/>
  <c r="H21" i="21"/>
  <c r="G21" i="21" s="1"/>
  <c r="F21" i="21" s="1"/>
  <c r="AE21" i="21"/>
  <c r="AE18" i="21" s="1"/>
  <c r="BH21" i="21"/>
  <c r="S10" i="21"/>
  <c r="S9" i="21" s="1"/>
  <c r="S18" i="21"/>
  <c r="S34" i="21"/>
  <c r="S25" i="21" s="1"/>
  <c r="S63" i="21"/>
  <c r="T10" i="21"/>
  <c r="T9" i="21" s="1"/>
  <c r="T68" i="21" s="1"/>
  <c r="T18" i="21"/>
  <c r="T34" i="21"/>
  <c r="T25" i="21"/>
  <c r="T63" i="21"/>
  <c r="H23" i="21"/>
  <c r="G23" i="21" s="1"/>
  <c r="F23" i="21" s="1"/>
  <c r="O23" i="21"/>
  <c r="E23" i="21" s="1"/>
  <c r="AE23" i="21"/>
  <c r="V23" i="21" s="1"/>
  <c r="BH23" i="21"/>
  <c r="U10" i="21"/>
  <c r="U9" i="21" s="1"/>
  <c r="U68" i="21" s="1"/>
  <c r="D16" i="49" s="1"/>
  <c r="U18" i="21"/>
  <c r="U34" i="21"/>
  <c r="U25" i="21" s="1"/>
  <c r="U63" i="21"/>
  <c r="I18" i="34"/>
  <c r="H18" i="34" s="1"/>
  <c r="I34" i="34"/>
  <c r="I25" i="34"/>
  <c r="I63" i="34"/>
  <c r="O12" i="34"/>
  <c r="J18" i="34"/>
  <c r="J34" i="34"/>
  <c r="J25" i="34" s="1"/>
  <c r="J63" i="34"/>
  <c r="O13" i="34"/>
  <c r="BL13" i="34" s="1"/>
  <c r="K18" i="34"/>
  <c r="K34" i="34"/>
  <c r="K25" i="34" s="1"/>
  <c r="K63" i="34"/>
  <c r="O14" i="34"/>
  <c r="BL14" i="34" s="1"/>
  <c r="M18" i="34"/>
  <c r="M34" i="34"/>
  <c r="M25" i="34" s="1"/>
  <c r="M63" i="34"/>
  <c r="N18" i="34"/>
  <c r="N34" i="34"/>
  <c r="N25" i="34"/>
  <c r="N63" i="34"/>
  <c r="P11" i="34"/>
  <c r="P10" i="34" s="1"/>
  <c r="P34" i="34"/>
  <c r="P25" i="34"/>
  <c r="P63" i="34"/>
  <c r="Q34" i="34"/>
  <c r="Q25" i="34"/>
  <c r="Q63" i="34"/>
  <c r="H20" i="34"/>
  <c r="AE20" i="34"/>
  <c r="V20" i="34"/>
  <c r="BH20" i="34"/>
  <c r="R34" i="34"/>
  <c r="R25" i="34" s="1"/>
  <c r="R67" i="34" s="1"/>
  <c r="D140" i="46" s="1"/>
  <c r="R63" i="34"/>
  <c r="H21" i="34"/>
  <c r="G21" i="34"/>
  <c r="F21" i="34" s="1"/>
  <c r="AE21" i="34"/>
  <c r="BH21" i="34"/>
  <c r="S10" i="34"/>
  <c r="S9" i="34" s="1"/>
  <c r="S18" i="34"/>
  <c r="S34" i="34"/>
  <c r="S25" i="34" s="1"/>
  <c r="S63" i="34"/>
  <c r="T10" i="34"/>
  <c r="T9" i="34"/>
  <c r="T18" i="34"/>
  <c r="T34" i="34"/>
  <c r="T25" i="34" s="1"/>
  <c r="T63" i="34"/>
  <c r="H23" i="34"/>
  <c r="G23" i="34" s="1"/>
  <c r="F23" i="34" s="1"/>
  <c r="O23" i="34"/>
  <c r="AE23" i="34"/>
  <c r="V23" i="34" s="1"/>
  <c r="BH23" i="34"/>
  <c r="U10" i="34"/>
  <c r="U9" i="34" s="1"/>
  <c r="U18" i="34"/>
  <c r="U34" i="34"/>
  <c r="U25" i="34" s="1"/>
  <c r="U63" i="34"/>
  <c r="W11" i="19"/>
  <c r="W10" i="19" s="1"/>
  <c r="W9" i="19" s="1"/>
  <c r="W18" i="19"/>
  <c r="W34" i="19"/>
  <c r="W63" i="19"/>
  <c r="X11" i="19"/>
  <c r="X10" i="19" s="1"/>
  <c r="X9" i="19" s="1"/>
  <c r="X18" i="19"/>
  <c r="X34" i="19"/>
  <c r="X63" i="19"/>
  <c r="R115" i="19" s="1"/>
  <c r="Y11" i="19"/>
  <c r="Y10" i="19" s="1"/>
  <c r="Y9" i="19" s="1"/>
  <c r="Y18" i="19"/>
  <c r="Y34" i="19"/>
  <c r="Y63" i="19"/>
  <c r="H28" i="19"/>
  <c r="G28" i="19"/>
  <c r="F28" i="19" s="1"/>
  <c r="E28" i="19" s="1"/>
  <c r="BL28" i="19" s="1"/>
  <c r="AE28" i="19"/>
  <c r="BH28" i="19"/>
  <c r="Z11" i="19"/>
  <c r="Z10" i="19" s="1"/>
  <c r="Z9" i="19" s="1"/>
  <c r="Z8" i="19" s="1"/>
  <c r="Z67" i="19" s="1"/>
  <c r="Z18" i="19"/>
  <c r="Z34" i="19"/>
  <c r="T97" i="19" s="1"/>
  <c r="Z63" i="19"/>
  <c r="T115" i="19" s="1"/>
  <c r="H29" i="19"/>
  <c r="AE29" i="19"/>
  <c r="BH29" i="19"/>
  <c r="AQ92" i="19" s="1"/>
  <c r="AA11" i="19"/>
  <c r="AA10" i="19" s="1"/>
  <c r="AA9" i="19" s="1"/>
  <c r="AA18" i="19"/>
  <c r="AA34" i="19"/>
  <c r="AA63" i="19"/>
  <c r="H30" i="19"/>
  <c r="AE30" i="19"/>
  <c r="BH30" i="19"/>
  <c r="AB11" i="19"/>
  <c r="AB10" i="19" s="1"/>
  <c r="AB9" i="19" s="1"/>
  <c r="AB18" i="19"/>
  <c r="AB34" i="19"/>
  <c r="AB63" i="19"/>
  <c r="AC11" i="19"/>
  <c r="W78" i="19" s="1"/>
  <c r="AC18" i="19"/>
  <c r="AC34" i="19"/>
  <c r="AD11" i="19"/>
  <c r="AD10" i="19" s="1"/>
  <c r="AD9" i="19" s="1"/>
  <c r="AD18" i="19"/>
  <c r="AD34" i="19"/>
  <c r="AD63" i="19"/>
  <c r="H33" i="19"/>
  <c r="G33" i="19" s="1"/>
  <c r="F33" i="19" s="1"/>
  <c r="E33" i="19" s="1"/>
  <c r="AE33" i="19"/>
  <c r="BH33" i="19"/>
  <c r="AJ11" i="19"/>
  <c r="AJ10" i="19" s="1"/>
  <c r="AJ9" i="19" s="1"/>
  <c r="AJ18" i="19"/>
  <c r="AJ63" i="19"/>
  <c r="H39" i="19"/>
  <c r="BH39" i="19"/>
  <c r="AK11" i="19"/>
  <c r="AK10" i="19"/>
  <c r="AK9" i="19" s="1"/>
  <c r="AK18" i="19"/>
  <c r="AK63" i="19"/>
  <c r="H40" i="19"/>
  <c r="G40" i="19"/>
  <c r="F40" i="19" s="1"/>
  <c r="E40" i="19" s="1"/>
  <c r="BL40" i="19" s="1"/>
  <c r="BH40" i="19"/>
  <c r="AQ11" i="19"/>
  <c r="AQ10" i="19" s="1"/>
  <c r="AQ9" i="19" s="1"/>
  <c r="AQ8" i="19" s="1"/>
  <c r="AQ18" i="19"/>
  <c r="AQ34" i="19"/>
  <c r="AQ63" i="19"/>
  <c r="AR11" i="19"/>
  <c r="AR10" i="19" s="1"/>
  <c r="AR9" i="19" s="1"/>
  <c r="AR8" i="19" s="1"/>
  <c r="AR67" i="19" s="1"/>
  <c r="AR18" i="19"/>
  <c r="AR34" i="19"/>
  <c r="AR63" i="19"/>
  <c r="H47" i="19"/>
  <c r="G47" i="19" s="1"/>
  <c r="F47" i="19"/>
  <c r="E47" i="19" s="1"/>
  <c r="AE47" i="19"/>
  <c r="BH47" i="19"/>
  <c r="AS11" i="19"/>
  <c r="AS10" i="19" s="1"/>
  <c r="AS9" i="19" s="1"/>
  <c r="AS18" i="19"/>
  <c r="AS34" i="19"/>
  <c r="AT11" i="19"/>
  <c r="AT10" i="19" s="1"/>
  <c r="AT9" i="19" s="1"/>
  <c r="AT18" i="19"/>
  <c r="AT34" i="19"/>
  <c r="AT63" i="19"/>
  <c r="H49" i="19"/>
  <c r="G49" i="19" s="1"/>
  <c r="F49" i="19" s="1"/>
  <c r="E49" i="19" s="1"/>
  <c r="AE49" i="19"/>
  <c r="Y101" i="19" s="1"/>
  <c r="BH49" i="19"/>
  <c r="AU11" i="19"/>
  <c r="AU10" i="19" s="1"/>
  <c r="AU9" i="19" s="1"/>
  <c r="AU18" i="19"/>
  <c r="AU34" i="19"/>
  <c r="AD97" i="19" s="1"/>
  <c r="AU63" i="19"/>
  <c r="AV11" i="19"/>
  <c r="AV18" i="19"/>
  <c r="AV34" i="19"/>
  <c r="AV63" i="19"/>
  <c r="AW11" i="19"/>
  <c r="AW10" i="19" s="1"/>
  <c r="AW9" i="19" s="1"/>
  <c r="AW18" i="19"/>
  <c r="AW34" i="19"/>
  <c r="AW63" i="19"/>
  <c r="AX11" i="19"/>
  <c r="AX10" i="19" s="1"/>
  <c r="AX9" i="19" s="1"/>
  <c r="AX18" i="19"/>
  <c r="AX34" i="19"/>
  <c r="AX63" i="19"/>
  <c r="H53" i="19"/>
  <c r="AE53" i="19"/>
  <c r="BH53" i="19"/>
  <c r="AY11" i="19"/>
  <c r="AY10" i="19" s="1"/>
  <c r="AY9" i="19" s="1"/>
  <c r="AY18" i="19"/>
  <c r="AY34" i="19"/>
  <c r="AY63" i="19"/>
  <c r="AZ11" i="19"/>
  <c r="AZ18" i="19"/>
  <c r="AZ34" i="19"/>
  <c r="BA11" i="19"/>
  <c r="BA10" i="19" s="1"/>
  <c r="BA9" i="19" s="1"/>
  <c r="BA8" i="19" s="1"/>
  <c r="BA18" i="19"/>
  <c r="BA34" i="19"/>
  <c r="BA63" i="19"/>
  <c r="BB11" i="19"/>
  <c r="BB10" i="19" s="1"/>
  <c r="BB9" i="19" s="1"/>
  <c r="BB18" i="19"/>
  <c r="BB34" i="19"/>
  <c r="BB63" i="19"/>
  <c r="BC11" i="19"/>
  <c r="BC10" i="19" s="1"/>
  <c r="BC9" i="19" s="1"/>
  <c r="BC18" i="19"/>
  <c r="BC34" i="19"/>
  <c r="BD11" i="19"/>
  <c r="BD10" i="19" s="1"/>
  <c r="BD9" i="19" s="1"/>
  <c r="BD8" i="19" s="1"/>
  <c r="BD67" i="19" s="1"/>
  <c r="D6" i="78" s="1"/>
  <c r="BD18" i="19"/>
  <c r="BD34" i="19"/>
  <c r="BD63" i="19"/>
  <c r="BE11" i="19"/>
  <c r="BE10" i="19" s="1"/>
  <c r="BE9" i="19" s="1"/>
  <c r="BE8" i="19" s="1"/>
  <c r="BE18" i="19"/>
  <c r="BE34" i="19"/>
  <c r="BE63" i="19"/>
  <c r="BF11" i="19"/>
  <c r="BF10" i="19" s="1"/>
  <c r="BF9" i="19" s="1"/>
  <c r="BF8" i="19" s="1"/>
  <c r="BF67" i="19" s="1"/>
  <c r="D6" i="77" s="1"/>
  <c r="BF18" i="19"/>
  <c r="BF34" i="19"/>
  <c r="BF63" i="19"/>
  <c r="BG11" i="19"/>
  <c r="BG10" i="19" s="1"/>
  <c r="BG9" i="19" s="1"/>
  <c r="BG18" i="19"/>
  <c r="BG34" i="19"/>
  <c r="BG63" i="19"/>
  <c r="H62" i="19"/>
  <c r="G62" i="19" s="1"/>
  <c r="F62" i="19" s="1"/>
  <c r="E62" i="19" s="1"/>
  <c r="BL62" i="19" s="1"/>
  <c r="AE62" i="19"/>
  <c r="BH62" i="19"/>
  <c r="AJ11" i="29"/>
  <c r="AJ10" i="29" s="1"/>
  <c r="AJ9" i="29" s="1"/>
  <c r="AJ18" i="29"/>
  <c r="AJ63" i="29"/>
  <c r="H39" i="29"/>
  <c r="G39" i="29" s="1"/>
  <c r="F39" i="29"/>
  <c r="E39" i="29" s="1"/>
  <c r="BL39" i="29"/>
  <c r="BH39" i="29"/>
  <c r="AK11" i="29"/>
  <c r="AK10" i="29" s="1"/>
  <c r="AK9" i="29" s="1"/>
  <c r="AK18" i="29"/>
  <c r="AK63" i="29"/>
  <c r="H40" i="29"/>
  <c r="G40" i="29" s="1"/>
  <c r="F40" i="29" s="1"/>
  <c r="E40" i="29" s="1"/>
  <c r="BL40" i="29" s="1"/>
  <c r="BH40" i="29"/>
  <c r="AQ11" i="29"/>
  <c r="AQ10" i="29"/>
  <c r="AQ9" i="29" s="1"/>
  <c r="AQ8" i="29" s="1"/>
  <c r="AQ18" i="29"/>
  <c r="AQ34" i="29"/>
  <c r="AQ63" i="29"/>
  <c r="AR11" i="29"/>
  <c r="AR10" i="29" s="1"/>
  <c r="AR9" i="29" s="1"/>
  <c r="AR18" i="29"/>
  <c r="AR34" i="29"/>
  <c r="AR63" i="29"/>
  <c r="H47" i="29"/>
  <c r="G47" i="29" s="1"/>
  <c r="F47" i="29" s="1"/>
  <c r="E47" i="29" s="1"/>
  <c r="BL47" i="29" s="1"/>
  <c r="AE47" i="29"/>
  <c r="BH47" i="29"/>
  <c r="AS11" i="29"/>
  <c r="AS10" i="29" s="1"/>
  <c r="AS9" i="29" s="1"/>
  <c r="AS18" i="29"/>
  <c r="AS34" i="29"/>
  <c r="AT11" i="29"/>
  <c r="AT10" i="29" s="1"/>
  <c r="AT9" i="29" s="1"/>
  <c r="AT18" i="29"/>
  <c r="AT34" i="29"/>
  <c r="AT63" i="29"/>
  <c r="H49" i="29"/>
  <c r="G49" i="29"/>
  <c r="F49" i="29" s="1"/>
  <c r="E49" i="29" s="1"/>
  <c r="AE49" i="29"/>
  <c r="Y101" i="29" s="1"/>
  <c r="BH49" i="29"/>
  <c r="AU11" i="29"/>
  <c r="AU10" i="29" s="1"/>
  <c r="AU9" i="29" s="1"/>
  <c r="AU18" i="29"/>
  <c r="AU34" i="29"/>
  <c r="AU63" i="29"/>
  <c r="AV11" i="29"/>
  <c r="AV10" i="29" s="1"/>
  <c r="AV9" i="29" s="1"/>
  <c r="AV18" i="29"/>
  <c r="AV34" i="29"/>
  <c r="AV63" i="29"/>
  <c r="AW11" i="29"/>
  <c r="AW10" i="29" s="1"/>
  <c r="AW9" i="29" s="1"/>
  <c r="AW8" i="29" s="1"/>
  <c r="AW67" i="29" s="1"/>
  <c r="AW18" i="29"/>
  <c r="AW34" i="29"/>
  <c r="AW63" i="29"/>
  <c r="AX11" i="29"/>
  <c r="AX10" i="29" s="1"/>
  <c r="AX9" i="29" s="1"/>
  <c r="AX18" i="29"/>
  <c r="AX34" i="29"/>
  <c r="AX63" i="29"/>
  <c r="H53" i="29"/>
  <c r="G53" i="29" s="1"/>
  <c r="F53" i="29" s="1"/>
  <c r="E53" i="29" s="1"/>
  <c r="AE53" i="29"/>
  <c r="BH53" i="29"/>
  <c r="AY11" i="29"/>
  <c r="AY10" i="29" s="1"/>
  <c r="AY9" i="29" s="1"/>
  <c r="AY18" i="29"/>
  <c r="AY34" i="29"/>
  <c r="AY63" i="29"/>
  <c r="AZ11" i="29"/>
  <c r="AZ10" i="29" s="1"/>
  <c r="AZ9" i="29" s="1"/>
  <c r="AZ18" i="29"/>
  <c r="AZ34" i="29"/>
  <c r="BA11" i="29"/>
  <c r="BA10" i="29" s="1"/>
  <c r="BA9" i="29" s="1"/>
  <c r="BA18" i="29"/>
  <c r="BA34" i="29"/>
  <c r="AJ97" i="29" s="1"/>
  <c r="BA63" i="29"/>
  <c r="BB11" i="29"/>
  <c r="BB10" i="29" s="1"/>
  <c r="BB9" i="29" s="1"/>
  <c r="BB18" i="29"/>
  <c r="BB34" i="29"/>
  <c r="BB63" i="29"/>
  <c r="BC11" i="29"/>
  <c r="BC18" i="29"/>
  <c r="BC34" i="29"/>
  <c r="BD11" i="29"/>
  <c r="BD10" i="29" s="1"/>
  <c r="BD9" i="29" s="1"/>
  <c r="BD8" i="29" s="1"/>
  <c r="BD18" i="29"/>
  <c r="BD34" i="29"/>
  <c r="BD63" i="29"/>
  <c r="BE11" i="29"/>
  <c r="BE10" i="29" s="1"/>
  <c r="BE9" i="29" s="1"/>
  <c r="BE8" i="29" s="1"/>
  <c r="BE18" i="29"/>
  <c r="BE34" i="29"/>
  <c r="BE63" i="29"/>
  <c r="BF11" i="29"/>
  <c r="BF10" i="29"/>
  <c r="BF9" i="29" s="1"/>
  <c r="BF18" i="29"/>
  <c r="BF34" i="29"/>
  <c r="BF63" i="29"/>
  <c r="AO115" i="29"/>
  <c r="BG11" i="29"/>
  <c r="BG10" i="29" s="1"/>
  <c r="BG9" i="29" s="1"/>
  <c r="BG8" i="29" s="1"/>
  <c r="BG18" i="29"/>
  <c r="BG34" i="29"/>
  <c r="BG63" i="29"/>
  <c r="H62" i="29"/>
  <c r="G62" i="29" s="1"/>
  <c r="F62" i="29"/>
  <c r="E62" i="29" s="1"/>
  <c r="AE62" i="29"/>
  <c r="BH62" i="29"/>
  <c r="W11" i="29"/>
  <c r="W10" i="29" s="1"/>
  <c r="W9" i="29" s="1"/>
  <c r="W18" i="29"/>
  <c r="W34" i="29"/>
  <c r="W63" i="29"/>
  <c r="X11" i="29"/>
  <c r="X10" i="29" s="1"/>
  <c r="X9" i="29" s="1"/>
  <c r="X18" i="29"/>
  <c r="X34" i="29"/>
  <c r="X63" i="29"/>
  <c r="Y11" i="29"/>
  <c r="Y10" i="29" s="1"/>
  <c r="Y9" i="29" s="1"/>
  <c r="Y18" i="29"/>
  <c r="Y34" i="29"/>
  <c r="Y63" i="29"/>
  <c r="Z11" i="29"/>
  <c r="Z18" i="29"/>
  <c r="Z34" i="29"/>
  <c r="Z63" i="29"/>
  <c r="T115" i="29" s="1"/>
  <c r="H29" i="29"/>
  <c r="AE29" i="29"/>
  <c r="Y92" i="29" s="1"/>
  <c r="BH29" i="29"/>
  <c r="AA11" i="29"/>
  <c r="AA10" i="29" s="1"/>
  <c r="AA9" i="29" s="1"/>
  <c r="AA18" i="29"/>
  <c r="AA34" i="29"/>
  <c r="AA63" i="29"/>
  <c r="H30" i="29"/>
  <c r="G30" i="29" s="1"/>
  <c r="F30" i="29" s="1"/>
  <c r="E30" i="29" s="1"/>
  <c r="AE30" i="29"/>
  <c r="Y93" i="29"/>
  <c r="BH30" i="29"/>
  <c r="AB11" i="29"/>
  <c r="AB10" i="29" s="1"/>
  <c r="AB9" i="29" s="1"/>
  <c r="AB18" i="29"/>
  <c r="AB34" i="29"/>
  <c r="AB63" i="29"/>
  <c r="AC11" i="29"/>
  <c r="AC10" i="29" s="1"/>
  <c r="AC9" i="29" s="1"/>
  <c r="AC18" i="29"/>
  <c r="AC34" i="29"/>
  <c r="AD11" i="29"/>
  <c r="AD18" i="29"/>
  <c r="AD34" i="29"/>
  <c r="X97" i="29" s="1"/>
  <c r="AD63" i="29"/>
  <c r="H33" i="29"/>
  <c r="AE33" i="29"/>
  <c r="BH33" i="29"/>
  <c r="W11" i="28"/>
  <c r="W10" i="28" s="1"/>
  <c r="W9" i="28" s="1"/>
  <c r="W18" i="28"/>
  <c r="W34" i="28"/>
  <c r="W63" i="28"/>
  <c r="X11" i="28"/>
  <c r="X10" i="28" s="1"/>
  <c r="X9" i="28" s="1"/>
  <c r="X18" i="28"/>
  <c r="X34" i="28"/>
  <c r="X63" i="28"/>
  <c r="Y11" i="28"/>
  <c r="Y10" i="28" s="1"/>
  <c r="Y9" i="28" s="1"/>
  <c r="Y8" i="28" s="1"/>
  <c r="Y18" i="28"/>
  <c r="Y34" i="28"/>
  <c r="S97" i="28" s="1"/>
  <c r="Y63" i="28"/>
  <c r="H28" i="28"/>
  <c r="G28" i="28" s="1"/>
  <c r="F28" i="28" s="1"/>
  <c r="E28" i="28" s="1"/>
  <c r="AE28" i="28"/>
  <c r="BH28" i="28"/>
  <c r="Z11" i="28"/>
  <c r="Z10" i="28" s="1"/>
  <c r="Z9" i="28" s="1"/>
  <c r="Z18" i="28"/>
  <c r="Z34" i="28"/>
  <c r="Z63" i="28"/>
  <c r="T115" i="28" s="1"/>
  <c r="H29" i="28"/>
  <c r="G29" i="28" s="1"/>
  <c r="F29" i="28" s="1"/>
  <c r="E29" i="28" s="1"/>
  <c r="AE29" i="28"/>
  <c r="Y92" i="28" s="1"/>
  <c r="BH29" i="28"/>
  <c r="AQ92" i="28" s="1"/>
  <c r="AA11" i="28"/>
  <c r="AA10" i="28" s="1"/>
  <c r="AA9" i="28" s="1"/>
  <c r="AA18" i="28"/>
  <c r="AA34" i="28"/>
  <c r="AA63" i="28"/>
  <c r="H30" i="28"/>
  <c r="G30" i="28" s="1"/>
  <c r="F30" i="28" s="1"/>
  <c r="E30" i="28" s="1"/>
  <c r="AE30" i="28"/>
  <c r="BH30" i="28"/>
  <c r="AB11" i="28"/>
  <c r="AB10" i="28" s="1"/>
  <c r="AB9" i="28" s="1"/>
  <c r="AB8" i="28" s="1"/>
  <c r="AB67" i="28" s="1"/>
  <c r="AB18" i="28"/>
  <c r="AB34" i="28"/>
  <c r="AB63" i="28"/>
  <c r="AC11" i="28"/>
  <c r="AC10" i="28" s="1"/>
  <c r="AC9" i="28" s="1"/>
  <c r="AC18" i="28"/>
  <c r="AC34" i="28"/>
  <c r="W97" i="28" s="1"/>
  <c r="AD11" i="28"/>
  <c r="AD10" i="28" s="1"/>
  <c r="AD9" i="28" s="1"/>
  <c r="AD18" i="28"/>
  <c r="AD34" i="28"/>
  <c r="AD63" i="28"/>
  <c r="X115" i="28" s="1"/>
  <c r="H33" i="28"/>
  <c r="G33" i="28" s="1"/>
  <c r="F33" i="28"/>
  <c r="E33" i="28" s="1"/>
  <c r="BL33" i="28" s="1"/>
  <c r="AE33" i="28"/>
  <c r="BH33" i="28"/>
  <c r="AJ11" i="28"/>
  <c r="AJ10" i="28" s="1"/>
  <c r="AJ9" i="28" s="1"/>
  <c r="AJ18" i="28"/>
  <c r="AJ63" i="28"/>
  <c r="H39" i="28"/>
  <c r="G39" i="28" s="1"/>
  <c r="BH39" i="28"/>
  <c r="AK11" i="28"/>
  <c r="AK10" i="28" s="1"/>
  <c r="AK9" i="28" s="1"/>
  <c r="AK8" i="28" s="1"/>
  <c r="AK67" i="28" s="1"/>
  <c r="BM40" i="28" s="1"/>
  <c r="BN40" i="28" s="1"/>
  <c r="AK18" i="28"/>
  <c r="AK63" i="28"/>
  <c r="H40" i="28"/>
  <c r="BH40" i="28"/>
  <c r="AQ11" i="28"/>
  <c r="AQ10" i="28" s="1"/>
  <c r="AQ9" i="28" s="1"/>
  <c r="AQ8" i="28" s="1"/>
  <c r="AQ18" i="28"/>
  <c r="AQ34" i="28"/>
  <c r="AQ63" i="28"/>
  <c r="AR11" i="28"/>
  <c r="AR10" i="28" s="1"/>
  <c r="AR9" i="28" s="1"/>
  <c r="AR8" i="28" s="1"/>
  <c r="AR18" i="28"/>
  <c r="AR34" i="28"/>
  <c r="AA97" i="28" s="1"/>
  <c r="AR63" i="28"/>
  <c r="H47" i="28"/>
  <c r="AE47" i="28"/>
  <c r="BH47" i="28"/>
  <c r="AS11" i="28"/>
  <c r="AS10" i="28" s="1"/>
  <c r="AS9" i="28" s="1"/>
  <c r="AS18" i="28"/>
  <c r="AS34" i="28"/>
  <c r="AT11" i="28"/>
  <c r="AT10" i="28" s="1"/>
  <c r="AT9" i="28" s="1"/>
  <c r="AT18" i="28"/>
  <c r="AT34" i="28"/>
  <c r="AT63" i="28"/>
  <c r="H49" i="28"/>
  <c r="G49" i="28" s="1"/>
  <c r="F49" i="28" s="1"/>
  <c r="E49" i="28" s="1"/>
  <c r="AE49" i="28"/>
  <c r="BH49" i="28"/>
  <c r="AQ101" i="28" s="1"/>
  <c r="AU11" i="28"/>
  <c r="AU10" i="28" s="1"/>
  <c r="AU9" i="28" s="1"/>
  <c r="AU18" i="28"/>
  <c r="AU34" i="28"/>
  <c r="AU63" i="28"/>
  <c r="AV11" i="28"/>
  <c r="AV10" i="28" s="1"/>
  <c r="AV9" i="28" s="1"/>
  <c r="AV18" i="28"/>
  <c r="AV34" i="28"/>
  <c r="AV63" i="28"/>
  <c r="AW11" i="28"/>
  <c r="AW10" i="28" s="1"/>
  <c r="AW9" i="28" s="1"/>
  <c r="AW18" i="28"/>
  <c r="AW34" i="28"/>
  <c r="AW63" i="28"/>
  <c r="AX11" i="28"/>
  <c r="AX10" i="28" s="1"/>
  <c r="AX9" i="28" s="1"/>
  <c r="AX18" i="28"/>
  <c r="AX34" i="28"/>
  <c r="AX63" i="28"/>
  <c r="H53" i="28"/>
  <c r="G53" i="28" s="1"/>
  <c r="F53" i="28" s="1"/>
  <c r="E53" i="28" s="1"/>
  <c r="AE53" i="28"/>
  <c r="Y105" i="28" s="1"/>
  <c r="BH53" i="28"/>
  <c r="AY11" i="28"/>
  <c r="AY10" i="28" s="1"/>
  <c r="AY9" i="28" s="1"/>
  <c r="AY18" i="28"/>
  <c r="AY34" i="28"/>
  <c r="AH97" i="28" s="1"/>
  <c r="AY63" i="28"/>
  <c r="AZ11" i="28"/>
  <c r="AZ10" i="28" s="1"/>
  <c r="AZ9" i="28" s="1"/>
  <c r="AZ18" i="28"/>
  <c r="AZ34" i="28"/>
  <c r="BA11" i="28"/>
  <c r="BA10" i="28" s="1"/>
  <c r="BA9" i="28" s="1"/>
  <c r="BA18" i="28"/>
  <c r="BA34" i="28"/>
  <c r="BA63" i="28"/>
  <c r="BB11" i="28"/>
  <c r="BB10" i="28" s="1"/>
  <c r="BB9" i="28" s="1"/>
  <c r="BB8" i="28" s="1"/>
  <c r="BB18" i="28"/>
  <c r="BB34" i="28"/>
  <c r="BB63" i="28"/>
  <c r="BC11" i="28"/>
  <c r="BC18" i="28"/>
  <c r="BC34" i="28"/>
  <c r="BD11" i="28"/>
  <c r="BD10" i="28" s="1"/>
  <c r="BD9" i="28" s="1"/>
  <c r="BD18" i="28"/>
  <c r="BD34" i="28"/>
  <c r="BD63" i="28"/>
  <c r="BE11" i="28"/>
  <c r="BE10" i="28" s="1"/>
  <c r="BE9" i="28" s="1"/>
  <c r="BE18" i="28"/>
  <c r="BE34" i="28"/>
  <c r="BE63" i="28"/>
  <c r="BF11" i="28"/>
  <c r="BF10" i="28" s="1"/>
  <c r="BF9" i="28" s="1"/>
  <c r="BF18" i="28"/>
  <c r="BF34" i="28"/>
  <c r="BF63" i="28"/>
  <c r="BG11" i="28"/>
  <c r="BG10" i="28" s="1"/>
  <c r="BG9" i="28" s="1"/>
  <c r="BG18" i="28"/>
  <c r="BG34" i="28"/>
  <c r="BG63" i="28"/>
  <c r="H62" i="28"/>
  <c r="G62" i="28" s="1"/>
  <c r="F62" i="28" s="1"/>
  <c r="E62" i="28" s="1"/>
  <c r="BL62" i="28" s="1"/>
  <c r="AE62" i="28"/>
  <c r="BH62" i="28"/>
  <c r="W11" i="27"/>
  <c r="W10" i="27" s="1"/>
  <c r="W9" i="27" s="1"/>
  <c r="W18" i="27"/>
  <c r="W8" i="27" s="1"/>
  <c r="W67" i="27" s="1"/>
  <c r="W34" i="27"/>
  <c r="W63" i="27"/>
  <c r="X11" i="27"/>
  <c r="X10" i="27" s="1"/>
  <c r="X9" i="27" s="1"/>
  <c r="X18" i="27"/>
  <c r="X34" i="27"/>
  <c r="X63" i="27"/>
  <c r="Y11" i="27"/>
  <c r="Y10" i="27" s="1"/>
  <c r="Y9" i="27" s="1"/>
  <c r="Y18" i="27"/>
  <c r="Y34" i="27"/>
  <c r="Y63" i="27"/>
  <c r="H28" i="27"/>
  <c r="G28" i="27" s="1"/>
  <c r="F28" i="27" s="1"/>
  <c r="E28" i="27" s="1"/>
  <c r="AE28" i="27"/>
  <c r="BH28" i="27"/>
  <c r="Z11" i="27"/>
  <c r="Z10" i="27" s="1"/>
  <c r="Z9" i="27" s="1"/>
  <c r="Z18" i="27"/>
  <c r="Z34" i="27"/>
  <c r="Z63" i="27"/>
  <c r="T115" i="27" s="1"/>
  <c r="H29" i="27"/>
  <c r="G29" i="27" s="1"/>
  <c r="F29" i="27" s="1"/>
  <c r="E29" i="27" s="1"/>
  <c r="AE29" i="27"/>
  <c r="BH29" i="27"/>
  <c r="AA11" i="27"/>
  <c r="AA10" i="27" s="1"/>
  <c r="AA9" i="27" s="1"/>
  <c r="AA18" i="27"/>
  <c r="AA34" i="27"/>
  <c r="AA63" i="27"/>
  <c r="H30" i="27"/>
  <c r="G30" i="27" s="1"/>
  <c r="F30" i="27" s="1"/>
  <c r="E30" i="27" s="1"/>
  <c r="AE30" i="27"/>
  <c r="BH30" i="27"/>
  <c r="AB11" i="27"/>
  <c r="AB10" i="27" s="1"/>
  <c r="AB9" i="27" s="1"/>
  <c r="AB8" i="27" s="1"/>
  <c r="AB67" i="27" s="1"/>
  <c r="D10" i="57" s="1"/>
  <c r="AB18" i="27"/>
  <c r="AB34" i="27"/>
  <c r="AB63" i="27"/>
  <c r="AC11" i="27"/>
  <c r="AC10" i="27" s="1"/>
  <c r="AC9" i="27" s="1"/>
  <c r="AC18" i="27"/>
  <c r="AC34" i="27"/>
  <c r="AD11" i="27"/>
  <c r="AD18" i="27"/>
  <c r="AD34" i="27"/>
  <c r="AD63" i="27"/>
  <c r="H33" i="27"/>
  <c r="G33" i="27" s="1"/>
  <c r="F33" i="27" s="1"/>
  <c r="E33" i="27" s="1"/>
  <c r="BL33" i="27" s="1"/>
  <c r="AE33" i="27"/>
  <c r="BH33" i="27"/>
  <c r="AJ11" i="27"/>
  <c r="AJ10" i="27" s="1"/>
  <c r="AJ9" i="27" s="1"/>
  <c r="AJ18" i="27"/>
  <c r="AJ63" i="27"/>
  <c r="H39" i="27"/>
  <c r="G39" i="27" s="1"/>
  <c r="F39" i="27" s="1"/>
  <c r="E39" i="27" s="1"/>
  <c r="BH39" i="27"/>
  <c r="AK11" i="27"/>
  <c r="AK10" i="27" s="1"/>
  <c r="AK9" i="27" s="1"/>
  <c r="AK18" i="27"/>
  <c r="AK63" i="27"/>
  <c r="H40" i="27"/>
  <c r="BH40" i="27"/>
  <c r="AQ11" i="27"/>
  <c r="AQ10" i="27" s="1"/>
  <c r="AQ9" i="27" s="1"/>
  <c r="AQ18" i="27"/>
  <c r="AQ34" i="27"/>
  <c r="AQ63" i="27"/>
  <c r="Z115" i="27" s="1"/>
  <c r="AR11" i="27"/>
  <c r="AR10" i="27" s="1"/>
  <c r="AR9" i="27" s="1"/>
  <c r="AR8" i="27" s="1"/>
  <c r="AR67" i="27" s="1"/>
  <c r="AR18" i="27"/>
  <c r="AR34" i="27"/>
  <c r="AR63" i="27"/>
  <c r="H47" i="27"/>
  <c r="G47" i="27" s="1"/>
  <c r="F47" i="27" s="1"/>
  <c r="E47" i="27" s="1"/>
  <c r="AE47" i="27"/>
  <c r="BH47" i="27"/>
  <c r="AQ99" i="27"/>
  <c r="AS11" i="27"/>
  <c r="AS10" i="27"/>
  <c r="AS9" i="27" s="1"/>
  <c r="AS18" i="27"/>
  <c r="AS34" i="27"/>
  <c r="AT11" i="27"/>
  <c r="AT10" i="27" s="1"/>
  <c r="AT9" i="27" s="1"/>
  <c r="AT18" i="27"/>
  <c r="AT34" i="27"/>
  <c r="AC97" i="27" s="1"/>
  <c r="AT63" i="27"/>
  <c r="H49" i="27"/>
  <c r="G49" i="27" s="1"/>
  <c r="F49" i="27" s="1"/>
  <c r="E49" i="27" s="1"/>
  <c r="AE49" i="27"/>
  <c r="Y101" i="27" s="1"/>
  <c r="BH49" i="27"/>
  <c r="AQ101" i="27" s="1"/>
  <c r="AU11" i="27"/>
  <c r="AU10" i="27" s="1"/>
  <c r="AU9" i="27" s="1"/>
  <c r="AU18" i="27"/>
  <c r="AU34" i="27"/>
  <c r="AU63" i="27"/>
  <c r="AV11" i="27"/>
  <c r="AV10" i="27" s="1"/>
  <c r="AV9" i="27" s="1"/>
  <c r="AV18" i="27"/>
  <c r="AV34" i="27"/>
  <c r="AE97" i="27" s="1"/>
  <c r="AV63" i="27"/>
  <c r="AW11" i="27"/>
  <c r="AW10" i="27" s="1"/>
  <c r="AW9" i="27" s="1"/>
  <c r="AW18" i="27"/>
  <c r="AW34" i="27"/>
  <c r="AW63" i="27"/>
  <c r="AX11" i="27"/>
  <c r="AX10" i="27" s="1"/>
  <c r="AX9" i="27" s="1"/>
  <c r="AX8" i="27" s="1"/>
  <c r="AX67" i="27" s="1"/>
  <c r="AX18" i="27"/>
  <c r="AX34" i="27"/>
  <c r="AX63" i="27"/>
  <c r="H53" i="27"/>
  <c r="G53" i="27" s="1"/>
  <c r="F53" i="27" s="1"/>
  <c r="E53" i="27" s="1"/>
  <c r="AE53" i="27"/>
  <c r="BH53" i="27"/>
  <c r="AY11" i="27"/>
  <c r="AY10" i="27" s="1"/>
  <c r="AY9" i="27" s="1"/>
  <c r="AY18" i="27"/>
  <c r="AY34" i="27"/>
  <c r="AY63" i="27"/>
  <c r="AZ11" i="27"/>
  <c r="AZ10" i="27" s="1"/>
  <c r="AZ9" i="27" s="1"/>
  <c r="AZ18" i="27"/>
  <c r="AZ34" i="27"/>
  <c r="BA11" i="27"/>
  <c r="BA10" i="27" s="1"/>
  <c r="BA9" i="27" s="1"/>
  <c r="BA18" i="27"/>
  <c r="BA34" i="27"/>
  <c r="BA63" i="27"/>
  <c r="BB11" i="27"/>
  <c r="BB10" i="27" s="1"/>
  <c r="BB9" i="27" s="1"/>
  <c r="BB18" i="27"/>
  <c r="BB34" i="27"/>
  <c r="BB63" i="27"/>
  <c r="BC11" i="27"/>
  <c r="AL78" i="27" s="1"/>
  <c r="BC18" i="27"/>
  <c r="BC34" i="27"/>
  <c r="BD11" i="27"/>
  <c r="BD10" i="27" s="1"/>
  <c r="BD9" i="27" s="1"/>
  <c r="BD8" i="27" s="1"/>
  <c r="BD67" i="27" s="1"/>
  <c r="BD18" i="27"/>
  <c r="BD34" i="27"/>
  <c r="BD63" i="27"/>
  <c r="BE11" i="27"/>
  <c r="BE10" i="27" s="1"/>
  <c r="BE9" i="27" s="1"/>
  <c r="BE18" i="27"/>
  <c r="BE34" i="27"/>
  <c r="BE63" i="27"/>
  <c r="BF11" i="27"/>
  <c r="BF10" i="27" s="1"/>
  <c r="BF9" i="27" s="1"/>
  <c r="BF8" i="27" s="1"/>
  <c r="BF67" i="27" s="1"/>
  <c r="BF18" i="27"/>
  <c r="BF34" i="27"/>
  <c r="BF63" i="27"/>
  <c r="AO115" i="27"/>
  <c r="BG11" i="27"/>
  <c r="BG10" i="27" s="1"/>
  <c r="BG9" i="27" s="1"/>
  <c r="BG8" i="27" s="1"/>
  <c r="BG18" i="27"/>
  <c r="BG34" i="27"/>
  <c r="BG63" i="27"/>
  <c r="H62" i="27"/>
  <c r="G62" i="27" s="1"/>
  <c r="F62" i="27" s="1"/>
  <c r="E62" i="27" s="1"/>
  <c r="AE62" i="27"/>
  <c r="BH62" i="27"/>
  <c r="W11" i="26"/>
  <c r="W10" i="26" s="1"/>
  <c r="W9" i="26" s="1"/>
  <c r="W8" i="26" s="1"/>
  <c r="W18" i="26"/>
  <c r="W34" i="26"/>
  <c r="W63" i="26"/>
  <c r="X11" i="26"/>
  <c r="X18" i="26"/>
  <c r="X34" i="26"/>
  <c r="X63" i="26"/>
  <c r="Y11" i="26"/>
  <c r="Y10" i="26" s="1"/>
  <c r="Y9" i="26" s="1"/>
  <c r="Y18" i="26"/>
  <c r="Y34" i="26"/>
  <c r="Y63" i="26"/>
  <c r="H28" i="26"/>
  <c r="G28" i="26" s="1"/>
  <c r="F28" i="26" s="1"/>
  <c r="E28" i="26" s="1"/>
  <c r="AE28" i="26"/>
  <c r="BH28" i="26"/>
  <c r="Z11" i="26"/>
  <c r="Z18" i="26"/>
  <c r="Z34" i="26"/>
  <c r="Z63" i="26"/>
  <c r="H29" i="26"/>
  <c r="AE29" i="26"/>
  <c r="Y92" i="26" s="1"/>
  <c r="BH29" i="26"/>
  <c r="AA11" i="26"/>
  <c r="AA10" i="26" s="1"/>
  <c r="AA9" i="26" s="1"/>
  <c r="AA18" i="26"/>
  <c r="AA34" i="26"/>
  <c r="U97" i="26"/>
  <c r="AA63" i="26"/>
  <c r="H30" i="26"/>
  <c r="AE30" i="26"/>
  <c r="BH30" i="26"/>
  <c r="AB11" i="26"/>
  <c r="AB10" i="26" s="1"/>
  <c r="AB9" i="26" s="1"/>
  <c r="AB18" i="26"/>
  <c r="AB34" i="26"/>
  <c r="AB63" i="26"/>
  <c r="AC11" i="26"/>
  <c r="AC10" i="26"/>
  <c r="AC9" i="26" s="1"/>
  <c r="AC18" i="26"/>
  <c r="AC34" i="26"/>
  <c r="W97" i="26"/>
  <c r="AD11" i="26"/>
  <c r="AD10" i="26" s="1"/>
  <c r="AD9" i="26" s="1"/>
  <c r="AD18" i="26"/>
  <c r="AD34" i="26"/>
  <c r="AD63" i="26"/>
  <c r="H33" i="26"/>
  <c r="G33" i="26" s="1"/>
  <c r="F33" i="26" s="1"/>
  <c r="E33" i="26" s="1"/>
  <c r="AE33" i="26"/>
  <c r="BH33" i="26"/>
  <c r="AJ11" i="26"/>
  <c r="AJ10" i="26" s="1"/>
  <c r="AJ9" i="26" s="1"/>
  <c r="AJ18" i="26"/>
  <c r="AJ63" i="26"/>
  <c r="H39" i="26"/>
  <c r="G39" i="26"/>
  <c r="F39" i="26" s="1"/>
  <c r="BH39" i="26"/>
  <c r="AK11" i="26"/>
  <c r="AK10" i="26" s="1"/>
  <c r="AK9" i="26" s="1"/>
  <c r="AK18" i="26"/>
  <c r="AK63" i="26"/>
  <c r="H40" i="26"/>
  <c r="G40" i="26" s="1"/>
  <c r="F40" i="26" s="1"/>
  <c r="E40" i="26" s="1"/>
  <c r="BH40" i="26"/>
  <c r="AQ11" i="26"/>
  <c r="AQ10" i="26" s="1"/>
  <c r="AQ9" i="26" s="1"/>
  <c r="AQ18" i="26"/>
  <c r="AQ34" i="26"/>
  <c r="AQ63" i="26"/>
  <c r="AR11" i="26"/>
  <c r="AR10" i="26" s="1"/>
  <c r="AR9" i="26" s="1"/>
  <c r="AR18" i="26"/>
  <c r="AR34" i="26"/>
  <c r="AR63" i="26"/>
  <c r="H47" i="26"/>
  <c r="G47" i="26" s="1"/>
  <c r="F47" i="26" s="1"/>
  <c r="E47" i="26" s="1"/>
  <c r="AE47" i="26"/>
  <c r="BH47" i="26"/>
  <c r="AS11" i="26"/>
  <c r="AS10" i="26" s="1"/>
  <c r="AS9" i="26" s="1"/>
  <c r="AS18" i="26"/>
  <c r="AS34" i="26"/>
  <c r="AT11" i="26"/>
  <c r="AT10" i="26" s="1"/>
  <c r="AT9" i="26" s="1"/>
  <c r="AT18" i="26"/>
  <c r="AT34" i="26"/>
  <c r="AT63" i="26"/>
  <c r="H49" i="26"/>
  <c r="G49" i="26" s="1"/>
  <c r="F49" i="26" s="1"/>
  <c r="E49" i="26" s="1"/>
  <c r="AE49" i="26"/>
  <c r="Y101" i="26" s="1"/>
  <c r="BH49" i="26"/>
  <c r="AU11" i="26"/>
  <c r="AU10" i="26" s="1"/>
  <c r="AU9" i="26" s="1"/>
  <c r="AU18" i="26"/>
  <c r="AU34" i="26"/>
  <c r="AU63" i="26"/>
  <c r="AV11" i="26"/>
  <c r="AV10" i="26" s="1"/>
  <c r="AV9" i="26" s="1"/>
  <c r="AV18" i="26"/>
  <c r="AV34" i="26"/>
  <c r="AV63" i="26"/>
  <c r="AW11" i="26"/>
  <c r="AW10" i="26" s="1"/>
  <c r="AW9" i="26" s="1"/>
  <c r="AW18" i="26"/>
  <c r="AW34" i="26"/>
  <c r="AW63" i="26"/>
  <c r="AX11" i="26"/>
  <c r="AX10" i="26"/>
  <c r="AX9" i="26" s="1"/>
  <c r="AX18" i="26"/>
  <c r="AX34" i="26"/>
  <c r="AX63" i="26"/>
  <c r="H53" i="26"/>
  <c r="G53" i="26" s="1"/>
  <c r="F53" i="26" s="1"/>
  <c r="E53" i="26" s="1"/>
  <c r="AE53" i="26"/>
  <c r="BH53" i="26"/>
  <c r="AQ105" i="26" s="1"/>
  <c r="AY11" i="26"/>
  <c r="AY10" i="26" s="1"/>
  <c r="AY9" i="26" s="1"/>
  <c r="AY18" i="26"/>
  <c r="AY34" i="26"/>
  <c r="AY63" i="26"/>
  <c r="AZ11" i="26"/>
  <c r="AZ10" i="26"/>
  <c r="AZ9" i="26" s="1"/>
  <c r="AZ18" i="26"/>
  <c r="AZ34" i="26"/>
  <c r="BA11" i="26"/>
  <c r="BA10" i="26" s="1"/>
  <c r="BA9" i="26" s="1"/>
  <c r="BA18" i="26"/>
  <c r="BA34" i="26"/>
  <c r="BA63" i="26"/>
  <c r="BB11" i="26"/>
  <c r="BB10" i="26" s="1"/>
  <c r="BB9" i="26" s="1"/>
  <c r="BB18" i="26"/>
  <c r="BB34" i="26"/>
  <c r="BB63" i="26"/>
  <c r="BC11" i="26"/>
  <c r="BC10" i="26" s="1"/>
  <c r="BC9" i="26" s="1"/>
  <c r="BC18" i="26"/>
  <c r="BC34" i="26"/>
  <c r="BD11" i="26"/>
  <c r="BD10" i="26" s="1"/>
  <c r="BD9" i="26" s="1"/>
  <c r="BD18" i="26"/>
  <c r="BD34" i="26"/>
  <c r="BD63" i="26"/>
  <c r="BE11" i="26"/>
  <c r="BE10" i="26" s="1"/>
  <c r="BE9" i="26" s="1"/>
  <c r="BE18" i="26"/>
  <c r="BE34" i="26"/>
  <c r="BE63" i="26"/>
  <c r="BF11" i="26"/>
  <c r="BF10" i="26" s="1"/>
  <c r="BF9" i="26" s="1"/>
  <c r="BF18" i="26"/>
  <c r="BF34" i="26"/>
  <c r="BF63" i="26"/>
  <c r="BG11" i="26"/>
  <c r="BG10" i="26"/>
  <c r="BG9" i="26" s="1"/>
  <c r="BG8" i="26" s="1"/>
  <c r="BG67" i="26" s="1"/>
  <c r="BG18" i="26"/>
  <c r="BG34" i="26"/>
  <c r="BG63" i="26"/>
  <c r="H62" i="26"/>
  <c r="G62" i="26" s="1"/>
  <c r="F62" i="26" s="1"/>
  <c r="E62" i="26" s="1"/>
  <c r="AE62" i="26"/>
  <c r="BH62" i="26"/>
  <c r="W11" i="25"/>
  <c r="W10" i="25" s="1"/>
  <c r="W9" i="25" s="1"/>
  <c r="W18" i="25"/>
  <c r="W34" i="25"/>
  <c r="W63" i="25"/>
  <c r="X11" i="25"/>
  <c r="X10" i="25" s="1"/>
  <c r="X9" i="25" s="1"/>
  <c r="X8" i="25" s="1"/>
  <c r="X67" i="25" s="1"/>
  <c r="D12" i="54" s="1"/>
  <c r="X18" i="25"/>
  <c r="X34" i="25"/>
  <c r="X63" i="25"/>
  <c r="Y11" i="25"/>
  <c r="Y10" i="25" s="1"/>
  <c r="Y9" i="25" s="1"/>
  <c r="Y8" i="25" s="1"/>
  <c r="Y67" i="25" s="1"/>
  <c r="Y18" i="25"/>
  <c r="Y34" i="25"/>
  <c r="Y63" i="25"/>
  <c r="H28" i="25"/>
  <c r="G28" i="25" s="1"/>
  <c r="F28" i="25" s="1"/>
  <c r="E28" i="25" s="1"/>
  <c r="AE28" i="25"/>
  <c r="BH28" i="25"/>
  <c r="Z11" i="25"/>
  <c r="Z10" i="25" s="1"/>
  <c r="Z9" i="25"/>
  <c r="Z8" i="25" s="1"/>
  <c r="Z18" i="25"/>
  <c r="Z34" i="25"/>
  <c r="Z63" i="25"/>
  <c r="T115" i="25"/>
  <c r="H29" i="25"/>
  <c r="G29" i="25"/>
  <c r="F29" i="25" s="1"/>
  <c r="E29" i="25" s="1"/>
  <c r="AE29" i="25"/>
  <c r="BH29" i="25"/>
  <c r="AQ92" i="25" s="1"/>
  <c r="AA11" i="25"/>
  <c r="AA10" i="25" s="1"/>
  <c r="AA9" i="25" s="1"/>
  <c r="AA8" i="25" s="1"/>
  <c r="AA67" i="25" s="1"/>
  <c r="AA18" i="25"/>
  <c r="AA34" i="25"/>
  <c r="AA63" i="25"/>
  <c r="H30" i="25"/>
  <c r="G30" i="25" s="1"/>
  <c r="F30" i="25" s="1"/>
  <c r="E30" i="25" s="1"/>
  <c r="AE30" i="25"/>
  <c r="BH30" i="25"/>
  <c r="AB11" i="25"/>
  <c r="AB10" i="25" s="1"/>
  <c r="AB9" i="25" s="1"/>
  <c r="AB18" i="25"/>
  <c r="AB34" i="25"/>
  <c r="AB63" i="25"/>
  <c r="AC11" i="25"/>
  <c r="AC10" i="25" s="1"/>
  <c r="AC9" i="25" s="1"/>
  <c r="AC18" i="25"/>
  <c r="AC34" i="25"/>
  <c r="AD11" i="25"/>
  <c r="AD10" i="25" s="1"/>
  <c r="AD9" i="25" s="1"/>
  <c r="AD8" i="25" s="1"/>
  <c r="AD18" i="25"/>
  <c r="AD34" i="25"/>
  <c r="X97" i="25" s="1"/>
  <c r="AD63" i="25"/>
  <c r="H33" i="25"/>
  <c r="G33" i="25"/>
  <c r="F33" i="25" s="1"/>
  <c r="E33" i="25" s="1"/>
  <c r="AE33" i="25"/>
  <c r="BH33" i="25"/>
  <c r="AJ11" i="25"/>
  <c r="AJ10" i="25"/>
  <c r="AJ9" i="25" s="1"/>
  <c r="AJ8" i="25" s="1"/>
  <c r="AJ67" i="25" s="1"/>
  <c r="AJ18" i="25"/>
  <c r="AJ63" i="25"/>
  <c r="H39" i="25"/>
  <c r="G39" i="25"/>
  <c r="BH39" i="25"/>
  <c r="AK11" i="25"/>
  <c r="AK10" i="25" s="1"/>
  <c r="AK9" i="25" s="1"/>
  <c r="AK8" i="25" s="1"/>
  <c r="AK18" i="25"/>
  <c r="AK63" i="25"/>
  <c r="H40" i="25"/>
  <c r="G40" i="25" s="1"/>
  <c r="F40" i="25" s="1"/>
  <c r="E40" i="25" s="1"/>
  <c r="BL40" i="25" s="1"/>
  <c r="BH40" i="25"/>
  <c r="AQ11" i="25"/>
  <c r="AQ10" i="25" s="1"/>
  <c r="AQ9" i="25" s="1"/>
  <c r="AQ18" i="25"/>
  <c r="AQ34" i="25"/>
  <c r="AQ63" i="25"/>
  <c r="AR11" i="25"/>
  <c r="AR10" i="25" s="1"/>
  <c r="AR9" i="25" s="1"/>
  <c r="AR8" i="25" s="1"/>
  <c r="AR67" i="25" s="1"/>
  <c r="AR18" i="25"/>
  <c r="AR34" i="25"/>
  <c r="AR63" i="25"/>
  <c r="H47" i="25"/>
  <c r="G47" i="25" s="1"/>
  <c r="F47" i="25" s="1"/>
  <c r="E47" i="25" s="1"/>
  <c r="AE47" i="25"/>
  <c r="BH47" i="25"/>
  <c r="AS11" i="25"/>
  <c r="AS10" i="25" s="1"/>
  <c r="AS9" i="25" s="1"/>
  <c r="AS18" i="25"/>
  <c r="AS34" i="25"/>
  <c r="AB97" i="25" s="1"/>
  <c r="AT11" i="25"/>
  <c r="AT10" i="25" s="1"/>
  <c r="AT9" i="25" s="1"/>
  <c r="AT8" i="25" s="1"/>
  <c r="AT18" i="25"/>
  <c r="AT34" i="25"/>
  <c r="AT63" i="25"/>
  <c r="H49" i="25"/>
  <c r="G49" i="25" s="1"/>
  <c r="F49" i="25" s="1"/>
  <c r="E49" i="25" s="1"/>
  <c r="AE49" i="25"/>
  <c r="Y101" i="25" s="1"/>
  <c r="BH49" i="25"/>
  <c r="AU11" i="25"/>
  <c r="AU10" i="25" s="1"/>
  <c r="AU9" i="25" s="1"/>
  <c r="AU18" i="25"/>
  <c r="AU34" i="25"/>
  <c r="AD97" i="25" s="1"/>
  <c r="AU63" i="25"/>
  <c r="AV11" i="25"/>
  <c r="AV10" i="25" s="1"/>
  <c r="AV9" i="25" s="1"/>
  <c r="AV18" i="25"/>
  <c r="AV34" i="25"/>
  <c r="AV63" i="25"/>
  <c r="AE115" i="25" s="1"/>
  <c r="AW11" i="25"/>
  <c r="AW10" i="25" s="1"/>
  <c r="AW9" i="25" s="1"/>
  <c r="AW18" i="25"/>
  <c r="AW34" i="25"/>
  <c r="AW63" i="25"/>
  <c r="AX11" i="25"/>
  <c r="AX10" i="25" s="1"/>
  <c r="AX9" i="25" s="1"/>
  <c r="AX18" i="25"/>
  <c r="AX34" i="25"/>
  <c r="AX63" i="25"/>
  <c r="H53" i="25"/>
  <c r="G53" i="25"/>
  <c r="F53" i="25" s="1"/>
  <c r="E53" i="25" s="1"/>
  <c r="BL53" i="25" s="1"/>
  <c r="AE53" i="25"/>
  <c r="BH53" i="25"/>
  <c r="AY11" i="25"/>
  <c r="AY10" i="25" s="1"/>
  <c r="AY9" i="25" s="1"/>
  <c r="AY18" i="25"/>
  <c r="AY34" i="25"/>
  <c r="AY63" i="25"/>
  <c r="AZ11" i="25"/>
  <c r="AZ10" i="25" s="1"/>
  <c r="AZ9" i="25" s="1"/>
  <c r="AZ8" i="25" s="1"/>
  <c r="AZ18" i="25"/>
  <c r="AZ34" i="25"/>
  <c r="BA11" i="25"/>
  <c r="BA10" i="25" s="1"/>
  <c r="BA9" i="25" s="1"/>
  <c r="BA8" i="25" s="1"/>
  <c r="BA18" i="25"/>
  <c r="BA34" i="25"/>
  <c r="AJ97" i="25" s="1"/>
  <c r="BA63" i="25"/>
  <c r="BB11" i="25"/>
  <c r="BB10" i="25" s="1"/>
  <c r="BB9" i="25" s="1"/>
  <c r="BB8" i="25" s="1"/>
  <c r="BB18" i="25"/>
  <c r="BB34" i="25"/>
  <c r="BB63" i="25"/>
  <c r="BC11" i="25"/>
  <c r="BC10" i="25" s="1"/>
  <c r="BC9" i="25" s="1"/>
  <c r="BC18" i="25"/>
  <c r="BC34" i="25"/>
  <c r="BD11" i="25"/>
  <c r="BD10" i="25" s="1"/>
  <c r="BD9" i="25" s="1"/>
  <c r="BD18" i="25"/>
  <c r="BD34" i="25"/>
  <c r="BD63" i="25"/>
  <c r="BE11" i="25"/>
  <c r="BE10" i="25"/>
  <c r="BE9" i="25" s="1"/>
  <c r="BE8" i="25" s="1"/>
  <c r="BE67" i="25" s="1"/>
  <c r="BE18" i="25"/>
  <c r="BE34" i="25"/>
  <c r="BE63" i="25"/>
  <c r="BF11" i="25"/>
  <c r="BF10" i="25" s="1"/>
  <c r="BF9" i="25" s="1"/>
  <c r="BF8" i="25" s="1"/>
  <c r="BF18" i="25"/>
  <c r="BF34" i="25"/>
  <c r="AO97" i="25" s="1"/>
  <c r="BF63" i="25"/>
  <c r="BG11" i="25"/>
  <c r="BG10" i="25" s="1"/>
  <c r="BG9" i="25" s="1"/>
  <c r="BG8" i="25" s="1"/>
  <c r="BG18" i="25"/>
  <c r="BG34" i="25"/>
  <c r="BG63" i="25"/>
  <c r="H62" i="25"/>
  <c r="G62" i="25" s="1"/>
  <c r="F62" i="25" s="1"/>
  <c r="E62" i="25"/>
  <c r="AE62" i="25"/>
  <c r="BH62" i="25"/>
  <c r="W11" i="24"/>
  <c r="W10" i="24"/>
  <c r="W9" i="24" s="1"/>
  <c r="W18" i="24"/>
  <c r="W34" i="24"/>
  <c r="W63" i="24"/>
  <c r="X11" i="24"/>
  <c r="X10" i="24" s="1"/>
  <c r="X9" i="24" s="1"/>
  <c r="X18" i="24"/>
  <c r="X34" i="24"/>
  <c r="R98" i="24" s="1"/>
  <c r="X63" i="24"/>
  <c r="Y11" i="24"/>
  <c r="Y10" i="24"/>
  <c r="Y9" i="24" s="1"/>
  <c r="Y8" i="24" s="1"/>
  <c r="Y68" i="24" s="1"/>
  <c r="Y18" i="24"/>
  <c r="Y34" i="24"/>
  <c r="Y63" i="24"/>
  <c r="Z11" i="24"/>
  <c r="Z18" i="24"/>
  <c r="Z34" i="24"/>
  <c r="Z63" i="24"/>
  <c r="H29" i="24"/>
  <c r="G29" i="24" s="1"/>
  <c r="F29" i="24" s="1"/>
  <c r="E29" i="24" s="1"/>
  <c r="AE29" i="24"/>
  <c r="Y93" i="24" s="1"/>
  <c r="BH29" i="24"/>
  <c r="AA11" i="24"/>
  <c r="AA10" i="24" s="1"/>
  <c r="AA9" i="24" s="1"/>
  <c r="AA18" i="24"/>
  <c r="AA34" i="24"/>
  <c r="AA63" i="24"/>
  <c r="H30" i="24"/>
  <c r="G30" i="24" s="1"/>
  <c r="F30" i="24" s="1"/>
  <c r="E30" i="24" s="1"/>
  <c r="AE30" i="24"/>
  <c r="BH30" i="24"/>
  <c r="AB11" i="24"/>
  <c r="AB10" i="24" s="1"/>
  <c r="AB9" i="24" s="1"/>
  <c r="AB18" i="24"/>
  <c r="AB34" i="24"/>
  <c r="V98" i="24" s="1"/>
  <c r="AB63" i="24"/>
  <c r="V116" i="24" s="1"/>
  <c r="AC11" i="24"/>
  <c r="AC10" i="24"/>
  <c r="AC9" i="24" s="1"/>
  <c r="AC18" i="24"/>
  <c r="AC34" i="24"/>
  <c r="AD11" i="24"/>
  <c r="AD10" i="24" s="1"/>
  <c r="AD9" i="24" s="1"/>
  <c r="AD8" i="24" s="1"/>
  <c r="AD68" i="24" s="1"/>
  <c r="AD18" i="24"/>
  <c r="AD34" i="24"/>
  <c r="AD63" i="24"/>
  <c r="H33" i="24"/>
  <c r="G33" i="24"/>
  <c r="F33" i="24" s="1"/>
  <c r="E33" i="24" s="1"/>
  <c r="AE33" i="24"/>
  <c r="BH33" i="24"/>
  <c r="AJ11" i="24"/>
  <c r="AJ10" i="24" s="1"/>
  <c r="AJ9" i="24" s="1"/>
  <c r="AJ18" i="24"/>
  <c r="AJ63" i="24"/>
  <c r="H39" i="24"/>
  <c r="BH39" i="24"/>
  <c r="AK11" i="24"/>
  <c r="AK10" i="24" s="1"/>
  <c r="AK9" i="24" s="1"/>
  <c r="AK8" i="24" s="1"/>
  <c r="AK18" i="24"/>
  <c r="AK63" i="24"/>
  <c r="H40" i="24"/>
  <c r="G40" i="24" s="1"/>
  <c r="F40" i="24" s="1"/>
  <c r="E40" i="24" s="1"/>
  <c r="BL40" i="24" s="1"/>
  <c r="AK40" i="24" s="1"/>
  <c r="BH40" i="24"/>
  <c r="AQ11" i="24"/>
  <c r="Z79" i="24" s="1"/>
  <c r="AQ18" i="24"/>
  <c r="AQ34" i="24"/>
  <c r="Z98" i="24" s="1"/>
  <c r="AQ63" i="24"/>
  <c r="AR11" i="24"/>
  <c r="AR10" i="24" s="1"/>
  <c r="AR9" i="24" s="1"/>
  <c r="AR18" i="24"/>
  <c r="AR34" i="24"/>
  <c r="AR63" i="24"/>
  <c r="H47" i="24"/>
  <c r="G47" i="24" s="1"/>
  <c r="F47" i="24" s="1"/>
  <c r="E47" i="24" s="1"/>
  <c r="AE47" i="24"/>
  <c r="BH47" i="24"/>
  <c r="AS11" i="24"/>
  <c r="AS10" i="24" s="1"/>
  <c r="AS9" i="24" s="1"/>
  <c r="AS18" i="24"/>
  <c r="AS34" i="24"/>
  <c r="AT11" i="24"/>
  <c r="AT18" i="24"/>
  <c r="AT34" i="24"/>
  <c r="AT63" i="24"/>
  <c r="H49" i="24"/>
  <c r="G49" i="24" s="1"/>
  <c r="AE49" i="24"/>
  <c r="Y102" i="24" s="1"/>
  <c r="BH49" i="24"/>
  <c r="AU11" i="24"/>
  <c r="AU10" i="24" s="1"/>
  <c r="AU9" i="24" s="1"/>
  <c r="AU18" i="24"/>
  <c r="AU34" i="24"/>
  <c r="AD98" i="24" s="1"/>
  <c r="AU63" i="24"/>
  <c r="AD116" i="24"/>
  <c r="AV11" i="24"/>
  <c r="AV10" i="24" s="1"/>
  <c r="AV9" i="24" s="1"/>
  <c r="AV18" i="24"/>
  <c r="AV34" i="24"/>
  <c r="AV63" i="24"/>
  <c r="AW11" i="24"/>
  <c r="AW10" i="24" s="1"/>
  <c r="AW9" i="24" s="1"/>
  <c r="AW18" i="24"/>
  <c r="AW34" i="24"/>
  <c r="AW63" i="24"/>
  <c r="AX11" i="24"/>
  <c r="AX10" i="24" s="1"/>
  <c r="AX9" i="24" s="1"/>
  <c r="AX18" i="24"/>
  <c r="AX34" i="24"/>
  <c r="AX63" i="24"/>
  <c r="H53" i="24"/>
  <c r="G53" i="24" s="1"/>
  <c r="F53" i="24" s="1"/>
  <c r="E53" i="24" s="1"/>
  <c r="AE53" i="24"/>
  <c r="BH53" i="24"/>
  <c r="AY11" i="24"/>
  <c r="AY10" i="24" s="1"/>
  <c r="AY9" i="24" s="1"/>
  <c r="AY8" i="24" s="1"/>
  <c r="AY18" i="24"/>
  <c r="AY34" i="24"/>
  <c r="AY63" i="24"/>
  <c r="AZ11" i="24"/>
  <c r="AZ10" i="24" s="1"/>
  <c r="AZ9" i="24" s="1"/>
  <c r="AZ18" i="24"/>
  <c r="AZ34" i="24"/>
  <c r="BA11" i="24"/>
  <c r="BA10" i="24" s="1"/>
  <c r="BA9" i="24" s="1"/>
  <c r="BA18" i="24"/>
  <c r="BA34" i="24"/>
  <c r="BA63" i="24"/>
  <c r="BB11" i="24"/>
  <c r="BB10" i="24" s="1"/>
  <c r="BB9" i="24" s="1"/>
  <c r="BB18" i="24"/>
  <c r="BB34" i="24"/>
  <c r="BB63" i="24"/>
  <c r="BC11" i="24"/>
  <c r="BC10" i="24" s="1"/>
  <c r="BC9" i="24" s="1"/>
  <c r="BC18" i="24"/>
  <c r="BC34" i="24"/>
  <c r="BD11" i="24"/>
  <c r="BD10" i="24" s="1"/>
  <c r="BD9" i="24" s="1"/>
  <c r="BD18" i="24"/>
  <c r="BD34" i="24"/>
  <c r="BD63" i="24"/>
  <c r="BE11" i="24"/>
  <c r="BE10" i="24"/>
  <c r="BE9" i="24" s="1"/>
  <c r="BE8" i="24" s="1"/>
  <c r="BE18" i="24"/>
  <c r="BE34" i="24"/>
  <c r="BE63" i="24"/>
  <c r="BF11" i="24"/>
  <c r="BF10" i="24" s="1"/>
  <c r="BF9" i="24" s="1"/>
  <c r="BF18" i="24"/>
  <c r="BF34" i="24"/>
  <c r="BF63" i="24"/>
  <c r="BG11" i="24"/>
  <c r="BG10" i="24"/>
  <c r="BG9" i="24" s="1"/>
  <c r="BG8" i="24" s="1"/>
  <c r="BG18" i="24"/>
  <c r="BG34" i="24"/>
  <c r="BG63" i="24"/>
  <c r="H62" i="24"/>
  <c r="G62" i="24" s="1"/>
  <c r="F62" i="24" s="1"/>
  <c r="E62" i="24" s="1"/>
  <c r="AE62" i="24"/>
  <c r="BH62" i="24"/>
  <c r="AQ115" i="24" s="1"/>
  <c r="W11" i="23"/>
  <c r="W10" i="23" s="1"/>
  <c r="W9" i="23" s="1"/>
  <c r="W18" i="23"/>
  <c r="W34" i="23"/>
  <c r="W63" i="23"/>
  <c r="X11" i="23"/>
  <c r="X10" i="23" s="1"/>
  <c r="X9" i="23" s="1"/>
  <c r="X8" i="23" s="1"/>
  <c r="X18" i="23"/>
  <c r="X34" i="23"/>
  <c r="X63" i="23"/>
  <c r="Y11" i="23"/>
  <c r="Y10" i="23" s="1"/>
  <c r="Y9" i="23" s="1"/>
  <c r="Y18" i="23"/>
  <c r="Y34" i="23"/>
  <c r="Y63" i="23"/>
  <c r="H28" i="23"/>
  <c r="G28" i="23" s="1"/>
  <c r="F28" i="23" s="1"/>
  <c r="E28" i="23" s="1"/>
  <c r="AE28" i="23"/>
  <c r="Y92" i="23" s="1"/>
  <c r="BH28" i="23"/>
  <c r="Z11" i="23"/>
  <c r="Z18" i="23"/>
  <c r="Z34" i="23"/>
  <c r="Z63" i="23"/>
  <c r="T116" i="23" s="1"/>
  <c r="H29" i="23"/>
  <c r="AE29" i="23"/>
  <c r="Y93" i="23" s="1"/>
  <c r="BH29" i="23"/>
  <c r="AQ93" i="23" s="1"/>
  <c r="AA11" i="23"/>
  <c r="AA10" i="23"/>
  <c r="AA9" i="23" s="1"/>
  <c r="AA8" i="23" s="1"/>
  <c r="AA18" i="23"/>
  <c r="AA34" i="23"/>
  <c r="AA63" i="23"/>
  <c r="H30" i="23"/>
  <c r="G30" i="23" s="1"/>
  <c r="F30" i="23" s="1"/>
  <c r="E30" i="23" s="1"/>
  <c r="AE30" i="23"/>
  <c r="Y94" i="23" s="1"/>
  <c r="BH30" i="23"/>
  <c r="AQ94" i="23" s="1"/>
  <c r="AB11" i="23"/>
  <c r="AB10" i="23" s="1"/>
  <c r="AB9" i="23" s="1"/>
  <c r="AB8" i="23" s="1"/>
  <c r="AB18" i="23"/>
  <c r="AB34" i="23"/>
  <c r="AB63" i="23"/>
  <c r="AC11" i="23"/>
  <c r="AC10" i="23" s="1"/>
  <c r="AC9" i="23" s="1"/>
  <c r="AC8" i="23" s="1"/>
  <c r="AC18" i="23"/>
  <c r="AC34" i="23"/>
  <c r="AD11" i="23"/>
  <c r="AD10" i="23" s="1"/>
  <c r="AD9" i="23" s="1"/>
  <c r="AD18" i="23"/>
  <c r="AD34" i="23"/>
  <c r="AD63" i="23"/>
  <c r="H33" i="23"/>
  <c r="G33" i="23"/>
  <c r="F33" i="23" s="1"/>
  <c r="E33" i="23" s="1"/>
  <c r="BL33" i="23" s="1"/>
  <c r="AE33" i="23"/>
  <c r="Y97" i="23"/>
  <c r="BH33" i="23"/>
  <c r="AJ11" i="23"/>
  <c r="AJ10" i="23" s="1"/>
  <c r="AJ9" i="23" s="1"/>
  <c r="AJ18" i="23"/>
  <c r="AJ63" i="23"/>
  <c r="H39" i="23"/>
  <c r="G39" i="23"/>
  <c r="F39" i="23" s="1"/>
  <c r="E39" i="23" s="1"/>
  <c r="BH39" i="23"/>
  <c r="AK11" i="23"/>
  <c r="AK10" i="23" s="1"/>
  <c r="AK9" i="23" s="1"/>
  <c r="AK18" i="23"/>
  <c r="AK63" i="23"/>
  <c r="H40" i="23"/>
  <c r="G40" i="23"/>
  <c r="F40" i="23" s="1"/>
  <c r="E40" i="23" s="1"/>
  <c r="BL40" i="23" s="1"/>
  <c r="AK40" i="23" s="1"/>
  <c r="BH40" i="23"/>
  <c r="AQ11" i="23"/>
  <c r="Z79" i="23" s="1"/>
  <c r="AQ18" i="23"/>
  <c r="AQ34" i="23"/>
  <c r="AQ63" i="23"/>
  <c r="AR11" i="23"/>
  <c r="AR10" i="23"/>
  <c r="AR9" i="23" s="1"/>
  <c r="AR8" i="23" s="1"/>
  <c r="AR68" i="23" s="1"/>
  <c r="AR18" i="23"/>
  <c r="AR34" i="23"/>
  <c r="AR63" i="23"/>
  <c r="H47" i="23"/>
  <c r="G47" i="23" s="1"/>
  <c r="F47" i="23" s="1"/>
  <c r="E47" i="23" s="1"/>
  <c r="AE47" i="23"/>
  <c r="Y100" i="23" s="1"/>
  <c r="BH47" i="23"/>
  <c r="AS11" i="23"/>
  <c r="AS10" i="23" s="1"/>
  <c r="AS9" i="23" s="1"/>
  <c r="AS18" i="23"/>
  <c r="AS34" i="23"/>
  <c r="AT11" i="23"/>
  <c r="AT10" i="23" s="1"/>
  <c r="AT9" i="23" s="1"/>
  <c r="AT18" i="23"/>
  <c r="AT34" i="23"/>
  <c r="AC98" i="23" s="1"/>
  <c r="AT63" i="23"/>
  <c r="H49" i="23"/>
  <c r="G49" i="23" s="1"/>
  <c r="F49" i="23" s="1"/>
  <c r="E49" i="23" s="1"/>
  <c r="AE49" i="23"/>
  <c r="Y102" i="23" s="1"/>
  <c r="BH49" i="23"/>
  <c r="AU11" i="23"/>
  <c r="AU10" i="23" s="1"/>
  <c r="AU9" i="23" s="1"/>
  <c r="AU18" i="23"/>
  <c r="AU34" i="23"/>
  <c r="AU63" i="23"/>
  <c r="AV11" i="23"/>
  <c r="AV18" i="23"/>
  <c r="AV34" i="23"/>
  <c r="AV63" i="23"/>
  <c r="AW11" i="23"/>
  <c r="AW10" i="23"/>
  <c r="AW9" i="23" s="1"/>
  <c r="AW18" i="23"/>
  <c r="AW34" i="23"/>
  <c r="AW63" i="23"/>
  <c r="AX11" i="23"/>
  <c r="AX10" i="23" s="1"/>
  <c r="AX9" i="23" s="1"/>
  <c r="AX8" i="23" s="1"/>
  <c r="AX18" i="23"/>
  <c r="AX34" i="23"/>
  <c r="AX63" i="23"/>
  <c r="H53" i="23"/>
  <c r="G53" i="23" s="1"/>
  <c r="F53" i="23" s="1"/>
  <c r="E53" i="23" s="1"/>
  <c r="AE53" i="23"/>
  <c r="BH53" i="23"/>
  <c r="AY11" i="23"/>
  <c r="AY10" i="23" s="1"/>
  <c r="AY9" i="23" s="1"/>
  <c r="AY18" i="23"/>
  <c r="AY34" i="23"/>
  <c r="AY63" i="23"/>
  <c r="AZ11" i="23"/>
  <c r="AI79" i="23" s="1"/>
  <c r="AZ18" i="23"/>
  <c r="AZ34" i="23"/>
  <c r="BA11" i="23"/>
  <c r="BA10" i="23" s="1"/>
  <c r="BA9" i="23" s="1"/>
  <c r="BA8" i="23" s="1"/>
  <c r="BA68" i="23" s="1"/>
  <c r="BA18" i="23"/>
  <c r="BA34" i="23"/>
  <c r="BA63" i="23"/>
  <c r="BB11" i="23"/>
  <c r="BB10" i="23" s="1"/>
  <c r="BB9" i="23" s="1"/>
  <c r="BB8" i="23" s="1"/>
  <c r="BB68" i="23" s="1"/>
  <c r="BB18" i="23"/>
  <c r="BB34" i="23"/>
  <c r="BB63" i="23"/>
  <c r="BC11" i="23"/>
  <c r="BC10" i="23" s="1"/>
  <c r="BC9" i="23" s="1"/>
  <c r="BC18" i="23"/>
  <c r="BC34" i="23"/>
  <c r="BD11" i="23"/>
  <c r="BD10" i="23"/>
  <c r="BD9" i="23" s="1"/>
  <c r="BD8" i="23" s="1"/>
  <c r="BD68" i="23" s="1"/>
  <c r="BD18" i="23"/>
  <c r="BD34" i="23"/>
  <c r="BD63" i="23"/>
  <c r="BE11" i="23"/>
  <c r="BE10" i="23" s="1"/>
  <c r="BE9" i="23" s="1"/>
  <c r="BE8" i="23" s="1"/>
  <c r="BE18" i="23"/>
  <c r="BE34" i="23"/>
  <c r="BE63" i="23"/>
  <c r="BF11" i="23"/>
  <c r="BF10" i="23" s="1"/>
  <c r="BF9" i="23" s="1"/>
  <c r="BF8" i="23" s="1"/>
  <c r="BF68" i="23" s="1"/>
  <c r="D13" i="77" s="1"/>
  <c r="BF18" i="23"/>
  <c r="BF34" i="23"/>
  <c r="BF63" i="23"/>
  <c r="BG11" i="23"/>
  <c r="BG18" i="23"/>
  <c r="BG34" i="23"/>
  <c r="BG63" i="23"/>
  <c r="H62" i="23"/>
  <c r="G62" i="23" s="1"/>
  <c r="F62" i="23" s="1"/>
  <c r="E62" i="23" s="1"/>
  <c r="AE62" i="23"/>
  <c r="Y115" i="23" s="1"/>
  <c r="BH62" i="23"/>
  <c r="AQ115" i="23" s="1"/>
  <c r="AJ11" i="22"/>
  <c r="AJ10" i="22" s="1"/>
  <c r="AJ9" i="22" s="1"/>
  <c r="AJ18" i="22"/>
  <c r="AJ63" i="22"/>
  <c r="H39" i="22"/>
  <c r="BH39" i="22"/>
  <c r="AK11" i="22"/>
  <c r="AK10" i="22" s="1"/>
  <c r="AK9" i="22" s="1"/>
  <c r="AK8" i="22" s="1"/>
  <c r="AK67" i="22" s="1"/>
  <c r="AK18" i="22"/>
  <c r="AK63" i="22"/>
  <c r="H40" i="22"/>
  <c r="G40" i="22" s="1"/>
  <c r="F40" i="22" s="1"/>
  <c r="E40" i="22" s="1"/>
  <c r="BL40" i="22" s="1"/>
  <c r="BH40" i="22"/>
  <c r="AQ11" i="22"/>
  <c r="AQ10" i="22"/>
  <c r="AQ9" i="22" s="1"/>
  <c r="AQ8" i="22" s="1"/>
  <c r="AQ7" i="22" s="1"/>
  <c r="AQ18" i="22"/>
  <c r="AQ34" i="22"/>
  <c r="AQ63" i="22"/>
  <c r="AR11" i="22"/>
  <c r="AR10" i="22" s="1"/>
  <c r="AR9" i="22" s="1"/>
  <c r="AR8" i="22" s="1"/>
  <c r="AR18" i="22"/>
  <c r="AR34" i="22"/>
  <c r="AR63" i="22"/>
  <c r="H47" i="22"/>
  <c r="G47" i="22" s="1"/>
  <c r="F47" i="22" s="1"/>
  <c r="E47" i="22" s="1"/>
  <c r="AE47" i="22"/>
  <c r="BH47" i="22"/>
  <c r="AS11" i="22"/>
  <c r="AS10" i="22" s="1"/>
  <c r="AS9" i="22" s="1"/>
  <c r="AS34" i="22"/>
  <c r="AB97" i="22" s="1"/>
  <c r="AT11" i="22"/>
  <c r="AT10" i="22" s="1"/>
  <c r="AT9" i="22" s="1"/>
  <c r="AT18" i="22"/>
  <c r="AT34" i="22"/>
  <c r="AC97" i="22" s="1"/>
  <c r="AT63" i="22"/>
  <c r="H49" i="22"/>
  <c r="G49" i="22" s="1"/>
  <c r="F49" i="22" s="1"/>
  <c r="E49" i="22" s="1"/>
  <c r="AE49" i="22"/>
  <c r="BH49" i="22"/>
  <c r="AU11" i="22"/>
  <c r="AD78" i="22" s="1"/>
  <c r="AU18" i="22"/>
  <c r="AU34" i="22"/>
  <c r="AU63" i="22"/>
  <c r="AV11" i="22"/>
  <c r="AV10" i="22" s="1"/>
  <c r="AV9" i="22" s="1"/>
  <c r="AV18" i="22"/>
  <c r="AV34" i="22"/>
  <c r="AV63" i="22"/>
  <c r="AW11" i="22"/>
  <c r="AW10" i="22" s="1"/>
  <c r="AW9" i="22" s="1"/>
  <c r="AW18" i="22"/>
  <c r="AW34" i="22"/>
  <c r="AF97" i="22"/>
  <c r="AW63" i="22"/>
  <c r="AX11" i="22"/>
  <c r="AX10" i="22" s="1"/>
  <c r="AX9" i="22" s="1"/>
  <c r="AX18" i="22"/>
  <c r="AX34" i="22"/>
  <c r="AX63" i="22"/>
  <c r="H53" i="22"/>
  <c r="G53" i="22" s="1"/>
  <c r="F53" i="22" s="1"/>
  <c r="E53" i="22" s="1"/>
  <c r="AE53" i="22"/>
  <c r="BH53" i="22"/>
  <c r="AY11" i="22"/>
  <c r="AY10" i="22" s="1"/>
  <c r="AY9" i="22" s="1"/>
  <c r="AY18" i="22"/>
  <c r="AY34" i="22"/>
  <c r="AY63" i="22"/>
  <c r="AZ11" i="22"/>
  <c r="AZ10" i="22" s="1"/>
  <c r="AZ9" i="22" s="1"/>
  <c r="AZ18" i="22"/>
  <c r="AZ34" i="22"/>
  <c r="BA11" i="22"/>
  <c r="BA10" i="22" s="1"/>
  <c r="BA9" i="22" s="1"/>
  <c r="BA18" i="22"/>
  <c r="BA34" i="22"/>
  <c r="BA63" i="22"/>
  <c r="BB11" i="22"/>
  <c r="BB10" i="22"/>
  <c r="BB9" i="22" s="1"/>
  <c r="BB18" i="22"/>
  <c r="BB34" i="22"/>
  <c r="BB63" i="22"/>
  <c r="AK115" i="22" s="1"/>
  <c r="BC11" i="22"/>
  <c r="BC10" i="22" s="1"/>
  <c r="BC9" i="22" s="1"/>
  <c r="BC18" i="22"/>
  <c r="BC34" i="22"/>
  <c r="BD11" i="22"/>
  <c r="BD10" i="22"/>
  <c r="BD9" i="22" s="1"/>
  <c r="BD18" i="22"/>
  <c r="BD34" i="22"/>
  <c r="BD63" i="22"/>
  <c r="BE11" i="22"/>
  <c r="BE10" i="22"/>
  <c r="BE9" i="22" s="1"/>
  <c r="BE8" i="22" s="1"/>
  <c r="BE67" i="22" s="1"/>
  <c r="BE18" i="22"/>
  <c r="BE34" i="22"/>
  <c r="BE63" i="22"/>
  <c r="BF11" i="22"/>
  <c r="BF10" i="22"/>
  <c r="BF9" i="22" s="1"/>
  <c r="BF8" i="22" s="1"/>
  <c r="BF18" i="22"/>
  <c r="BF34" i="22"/>
  <c r="BF63" i="22"/>
  <c r="BG11" i="22"/>
  <c r="BG10" i="22" s="1"/>
  <c r="BG9" i="22" s="1"/>
  <c r="BG8" i="22" s="1"/>
  <c r="BG67" i="22" s="1"/>
  <c r="BM62" i="22" s="1"/>
  <c r="BN62" i="22" s="1"/>
  <c r="BG18" i="22"/>
  <c r="BG34" i="22"/>
  <c r="BG63" i="22"/>
  <c r="H62" i="22"/>
  <c r="G62" i="22"/>
  <c r="F62" i="22" s="1"/>
  <c r="E62" i="22" s="1"/>
  <c r="AE62" i="22"/>
  <c r="Y114" i="22"/>
  <c r="BH62" i="22"/>
  <c r="W11" i="22"/>
  <c r="W10" i="22" s="1"/>
  <c r="W9" i="22" s="1"/>
  <c r="W18" i="22"/>
  <c r="W34" i="22"/>
  <c r="W63" i="22"/>
  <c r="X11" i="22"/>
  <c r="X10" i="22" s="1"/>
  <c r="X9" i="22" s="1"/>
  <c r="X18" i="22"/>
  <c r="X34" i="22"/>
  <c r="X63" i="22"/>
  <c r="Y11" i="22"/>
  <c r="Y10" i="22"/>
  <c r="Y9" i="22" s="1"/>
  <c r="Y18" i="22"/>
  <c r="Y34" i="22"/>
  <c r="Y63" i="22"/>
  <c r="H28" i="22"/>
  <c r="G28" i="22" s="1"/>
  <c r="F28" i="22" s="1"/>
  <c r="E28" i="22" s="1"/>
  <c r="AE28" i="22"/>
  <c r="BH28" i="22"/>
  <c r="Z11" i="22"/>
  <c r="Z10" i="22" s="1"/>
  <c r="Z9" i="22" s="1"/>
  <c r="Z18" i="22"/>
  <c r="Z34" i="22"/>
  <c r="T97" i="22" s="1"/>
  <c r="Z63" i="22"/>
  <c r="T115" i="22"/>
  <c r="H29" i="22"/>
  <c r="G29" i="22" s="1"/>
  <c r="F29" i="22" s="1"/>
  <c r="E29" i="22" s="1"/>
  <c r="AE29" i="22"/>
  <c r="Y92" i="22"/>
  <c r="BH29" i="22"/>
  <c r="AQ92" i="22" s="1"/>
  <c r="AA11" i="22"/>
  <c r="AA18" i="22"/>
  <c r="AA34" i="22"/>
  <c r="AA63" i="22"/>
  <c r="H30" i="22"/>
  <c r="AE30" i="22"/>
  <c r="BH30" i="22"/>
  <c r="AB11" i="22"/>
  <c r="AB10" i="22" s="1"/>
  <c r="AB9" i="22" s="1"/>
  <c r="AB18" i="22"/>
  <c r="AB34" i="22"/>
  <c r="AB63" i="22"/>
  <c r="AC11" i="22"/>
  <c r="AC10" i="22" s="1"/>
  <c r="AC9" i="22" s="1"/>
  <c r="AC8" i="22" s="1"/>
  <c r="AC18" i="22"/>
  <c r="AC34" i="22"/>
  <c r="W97" i="22"/>
  <c r="AD11" i="22"/>
  <c r="AD10" i="22" s="1"/>
  <c r="AD9" i="22" s="1"/>
  <c r="AD8" i="22" s="1"/>
  <c r="AD18" i="22"/>
  <c r="AD34" i="22"/>
  <c r="AD63" i="22"/>
  <c r="X115" i="22" s="1"/>
  <c r="H33" i="22"/>
  <c r="G33" i="22"/>
  <c r="F33" i="22" s="1"/>
  <c r="E33" i="22" s="1"/>
  <c r="AE33" i="22"/>
  <c r="BH33" i="22"/>
  <c r="W11" i="21"/>
  <c r="W10" i="21" s="1"/>
  <c r="W9" i="21" s="1"/>
  <c r="W18" i="21"/>
  <c r="W34" i="21"/>
  <c r="W63" i="21"/>
  <c r="X11" i="21"/>
  <c r="X10" i="21" s="1"/>
  <c r="X9" i="21" s="1"/>
  <c r="X18" i="21"/>
  <c r="X34" i="21"/>
  <c r="X63" i="21"/>
  <c r="Y11" i="21"/>
  <c r="Y10" i="21" s="1"/>
  <c r="Y9" i="21" s="1"/>
  <c r="Y18" i="21"/>
  <c r="Y34" i="21"/>
  <c r="S98" i="21" s="1"/>
  <c r="Y63" i="21"/>
  <c r="H28" i="21"/>
  <c r="G28" i="21" s="1"/>
  <c r="F28" i="21" s="1"/>
  <c r="E28" i="21" s="1"/>
  <c r="AE28" i="21"/>
  <c r="Y92" i="21" s="1"/>
  <c r="BH28" i="21"/>
  <c r="Z11" i="21"/>
  <c r="Z18" i="21"/>
  <c r="Z34" i="21"/>
  <c r="T98" i="21" s="1"/>
  <c r="Z63" i="21"/>
  <c r="T116" i="21"/>
  <c r="H29" i="21"/>
  <c r="G29" i="21" s="1"/>
  <c r="F29" i="21" s="1"/>
  <c r="E29" i="21" s="1"/>
  <c r="AE29" i="21"/>
  <c r="Y93" i="21" s="1"/>
  <c r="BH29" i="21"/>
  <c r="AQ93" i="21" s="1"/>
  <c r="AA11" i="21"/>
  <c r="AA10" i="21" s="1"/>
  <c r="AA9" i="21" s="1"/>
  <c r="AA18" i="21"/>
  <c r="AA34" i="21"/>
  <c r="U98" i="21" s="1"/>
  <c r="AA63" i="21"/>
  <c r="H30" i="21"/>
  <c r="AE30" i="21"/>
  <c r="Y94" i="21"/>
  <c r="BH30" i="21"/>
  <c r="AB11" i="21"/>
  <c r="AB10" i="21" s="1"/>
  <c r="AB9" i="21" s="1"/>
  <c r="AB18" i="21"/>
  <c r="AB34" i="21"/>
  <c r="V98" i="21" s="1"/>
  <c r="AB63" i="21"/>
  <c r="V116" i="21" s="1"/>
  <c r="AC11" i="21"/>
  <c r="AC18" i="21"/>
  <c r="AC34" i="21"/>
  <c r="W98" i="21" s="1"/>
  <c r="AD11" i="21"/>
  <c r="AD18" i="21"/>
  <c r="AD34" i="21"/>
  <c r="X98" i="21" s="1"/>
  <c r="AD63" i="21"/>
  <c r="H33" i="21"/>
  <c r="G33" i="21"/>
  <c r="F33" i="21" s="1"/>
  <c r="E33" i="21" s="1"/>
  <c r="AE33" i="21"/>
  <c r="Y97" i="21" s="1"/>
  <c r="BH33" i="21"/>
  <c r="AQ97" i="21" s="1"/>
  <c r="AJ11" i="21"/>
  <c r="AJ10" i="21" s="1"/>
  <c r="AJ9" i="21" s="1"/>
  <c r="AJ18" i="21"/>
  <c r="AJ63" i="21"/>
  <c r="H39" i="21"/>
  <c r="G39" i="21" s="1"/>
  <c r="F39" i="21" s="1"/>
  <c r="E39" i="21" s="1"/>
  <c r="BH39" i="21"/>
  <c r="AK11" i="21"/>
  <c r="AK10" i="21" s="1"/>
  <c r="AK9" i="21" s="1"/>
  <c r="AK8" i="21" s="1"/>
  <c r="AK18" i="21"/>
  <c r="AK63" i="21"/>
  <c r="H40" i="21"/>
  <c r="BH40" i="21"/>
  <c r="AQ11" i="21"/>
  <c r="AQ10" i="21" s="1"/>
  <c r="AQ9" i="21" s="1"/>
  <c r="AQ8" i="21" s="1"/>
  <c r="AQ68" i="21" s="1"/>
  <c r="D164" i="47" s="1"/>
  <c r="AQ18" i="21"/>
  <c r="AQ34" i="21"/>
  <c r="Z98" i="21" s="1"/>
  <c r="AQ63" i="21"/>
  <c r="AR11" i="21"/>
  <c r="AA79" i="21" s="1"/>
  <c r="AR18" i="21"/>
  <c r="AR34" i="21"/>
  <c r="AR63" i="21"/>
  <c r="H47" i="21"/>
  <c r="G47" i="21" s="1"/>
  <c r="F47" i="21" s="1"/>
  <c r="E47" i="21" s="1"/>
  <c r="BL47" i="21"/>
  <c r="AE47" i="21"/>
  <c r="BH47" i="21"/>
  <c r="AS11" i="21"/>
  <c r="AS10" i="21" s="1"/>
  <c r="AS9" i="21" s="1"/>
  <c r="AS8" i="21" s="1"/>
  <c r="AS68" i="21" s="1"/>
  <c r="D15" i="65" s="1"/>
  <c r="AS18" i="21"/>
  <c r="AS34" i="21"/>
  <c r="AT11" i="21"/>
  <c r="AT10" i="21" s="1"/>
  <c r="AT9" i="21" s="1"/>
  <c r="AT8" i="21" s="1"/>
  <c r="AT18" i="21"/>
  <c r="AT34" i="21"/>
  <c r="AT63" i="21"/>
  <c r="H49" i="21"/>
  <c r="G49" i="21" s="1"/>
  <c r="F49" i="21" s="1"/>
  <c r="E49" i="21" s="1"/>
  <c r="AE49" i="21"/>
  <c r="BH49" i="21"/>
  <c r="AQ102" i="21" s="1"/>
  <c r="AU11" i="21"/>
  <c r="AD79" i="21" s="1"/>
  <c r="AU18" i="21"/>
  <c r="AU34" i="21"/>
  <c r="AD98" i="21" s="1"/>
  <c r="AU63" i="21"/>
  <c r="AD116" i="21" s="1"/>
  <c r="AV11" i="21"/>
  <c r="AV18" i="21"/>
  <c r="AV34" i="21"/>
  <c r="AV63" i="21"/>
  <c r="AW11" i="21"/>
  <c r="AW18" i="21"/>
  <c r="AW34" i="21"/>
  <c r="AW63" i="21"/>
  <c r="AX11" i="21"/>
  <c r="AX10" i="21" s="1"/>
  <c r="AX9" i="21" s="1"/>
  <c r="AX8" i="21" s="1"/>
  <c r="AX68" i="21" s="1"/>
  <c r="AX18" i="21"/>
  <c r="AX34" i="21"/>
  <c r="AX63" i="21"/>
  <c r="H53" i="21"/>
  <c r="AE53" i="21"/>
  <c r="BH53" i="21"/>
  <c r="AQ106" i="21"/>
  <c r="AY11" i="21"/>
  <c r="AY10" i="21" s="1"/>
  <c r="AY9" i="21" s="1"/>
  <c r="AY18" i="21"/>
  <c r="AY34" i="21"/>
  <c r="AY63" i="21"/>
  <c r="AZ11" i="21"/>
  <c r="AZ10" i="21" s="1"/>
  <c r="AZ9" i="21" s="1"/>
  <c r="AZ18" i="21"/>
  <c r="AZ34" i="21"/>
  <c r="AI98" i="21" s="1"/>
  <c r="BA11" i="21"/>
  <c r="BA10" i="21" s="1"/>
  <c r="BA9" i="21" s="1"/>
  <c r="BA18" i="21"/>
  <c r="BA34" i="21"/>
  <c r="BA63" i="21"/>
  <c r="BB11" i="21"/>
  <c r="BB10" i="21" s="1"/>
  <c r="BB9" i="21" s="1"/>
  <c r="BB8" i="21" s="1"/>
  <c r="BB18" i="21"/>
  <c r="BB34" i="21"/>
  <c r="BB63" i="21"/>
  <c r="BC11" i="21"/>
  <c r="BC10" i="21" s="1"/>
  <c r="BC9" i="21" s="1"/>
  <c r="BC18" i="21"/>
  <c r="BC34" i="21"/>
  <c r="BD11" i="21"/>
  <c r="BD10" i="21" s="1"/>
  <c r="BD9" i="21" s="1"/>
  <c r="BD18" i="21"/>
  <c r="BD34" i="21"/>
  <c r="BD63" i="21"/>
  <c r="BE11" i="21"/>
  <c r="BE10" i="21" s="1"/>
  <c r="BE9" i="21" s="1"/>
  <c r="BE8" i="21" s="1"/>
  <c r="BE68" i="21" s="1"/>
  <c r="BE18" i="21"/>
  <c r="BE34" i="21"/>
  <c r="BE63" i="21"/>
  <c r="BF11" i="21"/>
  <c r="BF10" i="21" s="1"/>
  <c r="BF9" i="21" s="1"/>
  <c r="BF18" i="21"/>
  <c r="BF34" i="21"/>
  <c r="AO98" i="21" s="1"/>
  <c r="BF63" i="21"/>
  <c r="BG11" i="21"/>
  <c r="BG18" i="21"/>
  <c r="BG34" i="21"/>
  <c r="BG63" i="21"/>
  <c r="H62" i="21"/>
  <c r="G62" i="21" s="1"/>
  <c r="F62" i="21" s="1"/>
  <c r="E62" i="21" s="1"/>
  <c r="AE62" i="21"/>
  <c r="Y115" i="21" s="1"/>
  <c r="BH62" i="21"/>
  <c r="AJ11" i="34"/>
  <c r="AJ10" i="34" s="1"/>
  <c r="AJ9" i="34" s="1"/>
  <c r="AJ18" i="34"/>
  <c r="AJ63" i="34"/>
  <c r="H39" i="34"/>
  <c r="BH39" i="34"/>
  <c r="AK11" i="34"/>
  <c r="AK10" i="34" s="1"/>
  <c r="AK9" i="34" s="1"/>
  <c r="AK8" i="34" s="1"/>
  <c r="AK67" i="34" s="1"/>
  <c r="AK18" i="34"/>
  <c r="AK63" i="34"/>
  <c r="H40" i="34"/>
  <c r="G40" i="34" s="1"/>
  <c r="F40" i="34" s="1"/>
  <c r="E40" i="34" s="1"/>
  <c r="BH40" i="34"/>
  <c r="AQ11" i="34"/>
  <c r="AQ10" i="34"/>
  <c r="AQ9" i="34" s="1"/>
  <c r="AQ8" i="34" s="1"/>
  <c r="AQ18" i="34"/>
  <c r="AQ34" i="34"/>
  <c r="AQ63" i="34"/>
  <c r="AR11" i="34"/>
  <c r="AR10" i="34" s="1"/>
  <c r="AR9" i="34" s="1"/>
  <c r="AR18" i="34"/>
  <c r="AR34" i="34"/>
  <c r="AR63" i="34"/>
  <c r="H47" i="34"/>
  <c r="G47" i="34" s="1"/>
  <c r="F47" i="34" s="1"/>
  <c r="E47" i="34" s="1"/>
  <c r="AE47" i="34"/>
  <c r="BH47" i="34"/>
  <c r="AQ99" i="34" s="1"/>
  <c r="AS11" i="34"/>
  <c r="AS10" i="34" s="1"/>
  <c r="AS9" i="34" s="1"/>
  <c r="AS8" i="34" s="1"/>
  <c r="AS18" i="34"/>
  <c r="AS34" i="34"/>
  <c r="AT11" i="34"/>
  <c r="AT10" i="34" s="1"/>
  <c r="AT9" i="34" s="1"/>
  <c r="AT8" i="34" s="1"/>
  <c r="AT18" i="34"/>
  <c r="AT34" i="34"/>
  <c r="AT63" i="34"/>
  <c r="H49" i="34"/>
  <c r="AE49" i="34"/>
  <c r="BH49" i="34"/>
  <c r="AQ101" i="34"/>
  <c r="AU11" i="34"/>
  <c r="AD78" i="34" s="1"/>
  <c r="AU18" i="34"/>
  <c r="AU34" i="34"/>
  <c r="AU63" i="34"/>
  <c r="AV11" i="34"/>
  <c r="AV10" i="34"/>
  <c r="AV9" i="34" s="1"/>
  <c r="AV18" i="34"/>
  <c r="AV34" i="34"/>
  <c r="AV63" i="34"/>
  <c r="AW11" i="34"/>
  <c r="AF78" i="34" s="1"/>
  <c r="AW18" i="34"/>
  <c r="AW34" i="34"/>
  <c r="AW63" i="34"/>
  <c r="AX11" i="34"/>
  <c r="AX10" i="34"/>
  <c r="AX9" i="34" s="1"/>
  <c r="AX18" i="34"/>
  <c r="AX34" i="34"/>
  <c r="AX63" i="34"/>
  <c r="H53" i="34"/>
  <c r="G53" i="34" s="1"/>
  <c r="F53" i="34" s="1"/>
  <c r="E53" i="34" s="1"/>
  <c r="AE53" i="34"/>
  <c r="Y105" i="34" s="1"/>
  <c r="BH53" i="34"/>
  <c r="AY11" i="34"/>
  <c r="AY18" i="34"/>
  <c r="AY34" i="34"/>
  <c r="AY63" i="34"/>
  <c r="AZ11" i="34"/>
  <c r="AI78" i="34" s="1"/>
  <c r="AZ18" i="34"/>
  <c r="AZ34" i="34"/>
  <c r="BA11" i="34"/>
  <c r="BA18" i="34"/>
  <c r="BA34" i="34"/>
  <c r="BA63" i="34"/>
  <c r="BB11" i="34"/>
  <c r="BB10" i="34" s="1"/>
  <c r="BB9" i="34" s="1"/>
  <c r="BB18" i="34"/>
  <c r="BB34" i="34"/>
  <c r="BB63" i="34"/>
  <c r="BC11" i="34"/>
  <c r="BC10" i="34" s="1"/>
  <c r="BC9" i="34" s="1"/>
  <c r="BC18" i="34"/>
  <c r="BC34" i="34"/>
  <c r="BD11" i="34"/>
  <c r="BD10" i="34" s="1"/>
  <c r="BD9" i="34" s="1"/>
  <c r="BD8" i="34" s="1"/>
  <c r="BD18" i="34"/>
  <c r="BD34" i="34"/>
  <c r="AM97" i="34"/>
  <c r="BD63" i="34"/>
  <c r="BE11" i="34"/>
  <c r="BE18" i="34"/>
  <c r="BE34" i="34"/>
  <c r="BE63" i="34"/>
  <c r="BF11" i="34"/>
  <c r="BF10" i="34" s="1"/>
  <c r="BF9" i="34"/>
  <c r="BF18" i="34"/>
  <c r="BF34" i="34"/>
  <c r="BF63" i="34"/>
  <c r="BG11" i="34"/>
  <c r="BG10" i="34" s="1"/>
  <c r="BG9" i="34" s="1"/>
  <c r="BG18" i="34"/>
  <c r="BG34" i="34"/>
  <c r="BG63" i="34"/>
  <c r="H62" i="34"/>
  <c r="G62" i="34" s="1"/>
  <c r="F62" i="34" s="1"/>
  <c r="E62" i="34" s="1"/>
  <c r="AE62" i="34"/>
  <c r="BH62" i="34"/>
  <c r="W11" i="34"/>
  <c r="W10" i="34"/>
  <c r="W9" i="34" s="1"/>
  <c r="W18" i="34"/>
  <c r="W34" i="34"/>
  <c r="W63" i="34"/>
  <c r="X11" i="34"/>
  <c r="X10" i="34" s="1"/>
  <c r="X9" i="34" s="1"/>
  <c r="X18" i="34"/>
  <c r="X34" i="34"/>
  <c r="R97" i="34" s="1"/>
  <c r="X63" i="34"/>
  <c r="Y11" i="34"/>
  <c r="Y18" i="34"/>
  <c r="Y34" i="34"/>
  <c r="Y63" i="34"/>
  <c r="H28" i="34"/>
  <c r="G28" i="34"/>
  <c r="F28" i="34" s="1"/>
  <c r="E28" i="34" s="1"/>
  <c r="AE28" i="34"/>
  <c r="BH28" i="34"/>
  <c r="Z11" i="34"/>
  <c r="Z10" i="34"/>
  <c r="Z9" i="34" s="1"/>
  <c r="Z8" i="34" s="1"/>
  <c r="Z18" i="34"/>
  <c r="Z34" i="34"/>
  <c r="T97" i="34" s="1"/>
  <c r="Z63" i="34"/>
  <c r="T115" i="34" s="1"/>
  <c r="AA11" i="34"/>
  <c r="AA18" i="34"/>
  <c r="AA34" i="34"/>
  <c r="AA63" i="34"/>
  <c r="H30" i="34"/>
  <c r="G30" i="34" s="1"/>
  <c r="F30" i="34" s="1"/>
  <c r="E30" i="34" s="1"/>
  <c r="BL30" i="34" s="1"/>
  <c r="AE30" i="34"/>
  <c r="BH30" i="34"/>
  <c r="AD11" i="34"/>
  <c r="AD10" i="34"/>
  <c r="AD9" i="34" s="1"/>
  <c r="AD8" i="34" s="1"/>
  <c r="AD18" i="34"/>
  <c r="AD34" i="34"/>
  <c r="AD63" i="34"/>
  <c r="H33" i="34"/>
  <c r="G33" i="34" s="1"/>
  <c r="F33" i="34" s="1"/>
  <c r="E33" i="34" s="1"/>
  <c r="BL33" i="34" s="1"/>
  <c r="AD33" i="34" s="1"/>
  <c r="V33" i="34" s="1"/>
  <c r="AE33" i="34"/>
  <c r="BH33" i="34"/>
  <c r="AB11" i="34"/>
  <c r="AB10" i="34" s="1"/>
  <c r="AB9" i="34" s="1"/>
  <c r="AB18" i="34"/>
  <c r="AB34" i="34"/>
  <c r="AB63" i="34"/>
  <c r="AC11" i="34"/>
  <c r="W78" i="34"/>
  <c r="AC18" i="34"/>
  <c r="AC34" i="34"/>
  <c r="BI11" i="19"/>
  <c r="BI10" i="19"/>
  <c r="BI9" i="19" s="1"/>
  <c r="BI8" i="19" s="1"/>
  <c r="BI18" i="19"/>
  <c r="BI34" i="19"/>
  <c r="G64" i="19"/>
  <c r="F64" i="19"/>
  <c r="E64" i="19" s="1"/>
  <c r="AE64" i="19"/>
  <c r="V64" i="19" s="1"/>
  <c r="BJ11" i="19"/>
  <c r="BJ10" i="19" s="1"/>
  <c r="BJ9" i="19" s="1"/>
  <c r="BJ18" i="19"/>
  <c r="BJ34" i="19"/>
  <c r="BJ25" i="19" s="1"/>
  <c r="H65" i="19"/>
  <c r="G65" i="19"/>
  <c r="F65" i="19" s="1"/>
  <c r="E65" i="19" s="1"/>
  <c r="AE65" i="19"/>
  <c r="V65" i="19" s="1"/>
  <c r="H66" i="19"/>
  <c r="AE66" i="19"/>
  <c r="V66" i="19" s="1"/>
  <c r="BI11" i="29"/>
  <c r="BI10" i="29" s="1"/>
  <c r="BI9" i="29" s="1"/>
  <c r="BI8" i="29" s="1"/>
  <c r="BI18" i="29"/>
  <c r="BI34" i="29"/>
  <c r="BI25" i="29" s="1"/>
  <c r="G64" i="29"/>
  <c r="F64" i="29" s="1"/>
  <c r="E64" i="29" s="1"/>
  <c r="AE64" i="29"/>
  <c r="BJ11" i="29"/>
  <c r="BJ10" i="29" s="1"/>
  <c r="BJ9" i="29" s="1"/>
  <c r="BJ8" i="29" s="1"/>
  <c r="BJ18" i="29"/>
  <c r="BJ34" i="29"/>
  <c r="H65" i="29"/>
  <c r="G65" i="29" s="1"/>
  <c r="F65" i="29" s="1"/>
  <c r="AE65" i="29"/>
  <c r="V65" i="29" s="1"/>
  <c r="H66" i="29"/>
  <c r="G66" i="29" s="1"/>
  <c r="F66" i="29" s="1"/>
  <c r="E66" i="29" s="1"/>
  <c r="AE66" i="29"/>
  <c r="V66" i="29" s="1"/>
  <c r="BI11" i="28"/>
  <c r="BI10" i="28"/>
  <c r="BI9" i="28" s="1"/>
  <c r="BI8" i="28" s="1"/>
  <c r="BI67" i="28" s="1"/>
  <c r="BI18" i="28"/>
  <c r="BI34" i="28"/>
  <c r="BI25" i="28" s="1"/>
  <c r="G64" i="28"/>
  <c r="F64" i="28" s="1"/>
  <c r="O64" i="28"/>
  <c r="AE64" i="28"/>
  <c r="V64" i="28" s="1"/>
  <c r="BJ11" i="28"/>
  <c r="BJ10" i="28" s="1"/>
  <c r="BJ9" i="28" s="1"/>
  <c r="BJ18" i="28"/>
  <c r="BJ34" i="28"/>
  <c r="H65" i="28"/>
  <c r="G65" i="28" s="1"/>
  <c r="F65" i="28" s="1"/>
  <c r="O65" i="28"/>
  <c r="AE65" i="28"/>
  <c r="V65" i="28" s="1"/>
  <c r="H66" i="28"/>
  <c r="O66" i="28"/>
  <c r="AE66" i="28"/>
  <c r="V66" i="28"/>
  <c r="BI11" i="27"/>
  <c r="BI10" i="27" s="1"/>
  <c r="BI9" i="27" s="1"/>
  <c r="BI18" i="27"/>
  <c r="BI34" i="27"/>
  <c r="BI25" i="27"/>
  <c r="G64" i="27"/>
  <c r="F64" i="27"/>
  <c r="O64" i="27"/>
  <c r="BJ11" i="27"/>
  <c r="BJ10" i="27" s="1"/>
  <c r="BJ9" i="27" s="1"/>
  <c r="BJ18" i="27"/>
  <c r="BJ34" i="27"/>
  <c r="H65" i="27"/>
  <c r="G65" i="27" s="1"/>
  <c r="O65" i="27"/>
  <c r="AE65" i="27"/>
  <c r="V65" i="27" s="1"/>
  <c r="H66" i="27"/>
  <c r="O66" i="27"/>
  <c r="O63" i="27"/>
  <c r="AE66" i="27"/>
  <c r="V66" i="27" s="1"/>
  <c r="BJ11" i="26"/>
  <c r="BJ10" i="26" s="1"/>
  <c r="BJ9" i="26" s="1"/>
  <c r="BJ18" i="26"/>
  <c r="BJ34" i="26"/>
  <c r="H65" i="26"/>
  <c r="AE65" i="26"/>
  <c r="V65" i="26" s="1"/>
  <c r="H66" i="26"/>
  <c r="G66" i="26"/>
  <c r="F66" i="26" s="1"/>
  <c r="E66" i="26" s="1"/>
  <c r="AE66" i="26"/>
  <c r="BI11" i="26"/>
  <c r="BI10" i="26" s="1"/>
  <c r="BI9" i="26" s="1"/>
  <c r="BI18" i="26"/>
  <c r="BI34" i="26"/>
  <c r="BI25" i="26"/>
  <c r="G64" i="26"/>
  <c r="F64" i="26"/>
  <c r="E64" i="26" s="1"/>
  <c r="AE64" i="26"/>
  <c r="V64" i="26" s="1"/>
  <c r="BJ11" i="25"/>
  <c r="BJ10" i="25" s="1"/>
  <c r="BJ9" i="25" s="1"/>
  <c r="BJ18" i="25"/>
  <c r="BJ34" i="25"/>
  <c r="BJ25" i="25"/>
  <c r="H65" i="25"/>
  <c r="AE65" i="25"/>
  <c r="H66" i="25"/>
  <c r="G66" i="25"/>
  <c r="F66" i="25" s="1"/>
  <c r="E66" i="25" s="1"/>
  <c r="AE66" i="25"/>
  <c r="V66" i="25"/>
  <c r="BI11" i="25"/>
  <c r="BI10" i="25"/>
  <c r="BI9" i="25" s="1"/>
  <c r="BI18" i="25"/>
  <c r="BI34" i="25"/>
  <c r="BI25" i="25"/>
  <c r="G64" i="25"/>
  <c r="F64" i="25"/>
  <c r="AE64" i="25"/>
  <c r="V64" i="25" s="1"/>
  <c r="BI11" i="24"/>
  <c r="BI10" i="24" s="1"/>
  <c r="BI9" i="24" s="1"/>
  <c r="BI18" i="24"/>
  <c r="BI34" i="24"/>
  <c r="G64" i="24"/>
  <c r="F64" i="24" s="1"/>
  <c r="E64" i="24" s="1"/>
  <c r="AE64" i="24"/>
  <c r="V64" i="24" s="1"/>
  <c r="BJ11" i="24"/>
  <c r="BJ10" i="24" s="1"/>
  <c r="BJ9" i="24" s="1"/>
  <c r="BJ18" i="24"/>
  <c r="BJ34" i="24"/>
  <c r="H65" i="24"/>
  <c r="G65" i="24" s="1"/>
  <c r="F65" i="24" s="1"/>
  <c r="AE65" i="24"/>
  <c r="H66" i="24"/>
  <c r="AE66" i="24"/>
  <c r="BJ11" i="23"/>
  <c r="BJ10" i="23"/>
  <c r="BJ9" i="23" s="1"/>
  <c r="BJ18" i="23"/>
  <c r="BJ34" i="23"/>
  <c r="H65" i="23"/>
  <c r="AE65" i="23"/>
  <c r="H66" i="23"/>
  <c r="G66" i="23" s="1"/>
  <c r="F66" i="23" s="1"/>
  <c r="E66" i="23" s="1"/>
  <c r="AE66" i="23"/>
  <c r="V66" i="23"/>
  <c r="BI11" i="23"/>
  <c r="BI10" i="23" s="1"/>
  <c r="BI9" i="23" s="1"/>
  <c r="BI8" i="23" s="1"/>
  <c r="BI68" i="23" s="1"/>
  <c r="BI18" i="23"/>
  <c r="BI34" i="23"/>
  <c r="BI25" i="23" s="1"/>
  <c r="G64" i="23"/>
  <c r="F64" i="23" s="1"/>
  <c r="AE64" i="23"/>
  <c r="V64" i="23" s="1"/>
  <c r="BJ11" i="22"/>
  <c r="BJ10" i="22"/>
  <c r="BJ9" i="22" s="1"/>
  <c r="BJ18" i="22"/>
  <c r="BJ34" i="22"/>
  <c r="BJ25" i="22" s="1"/>
  <c r="H65" i="22"/>
  <c r="G65" i="22"/>
  <c r="AE65" i="22"/>
  <c r="H66" i="22"/>
  <c r="G66" i="22" s="1"/>
  <c r="F66" i="22" s="1"/>
  <c r="E66" i="22" s="1"/>
  <c r="AE66" i="22"/>
  <c r="V66" i="22" s="1"/>
  <c r="BI11" i="22"/>
  <c r="BI10" i="22" s="1"/>
  <c r="BI9" i="22" s="1"/>
  <c r="BI18" i="22"/>
  <c r="BI34" i="22"/>
  <c r="BI25" i="22" s="1"/>
  <c r="G64" i="22"/>
  <c r="F64" i="22" s="1"/>
  <c r="E64" i="22" s="1"/>
  <c r="AE64" i="22"/>
  <c r="V64" i="22" s="1"/>
  <c r="BJ11" i="21"/>
  <c r="BJ10" i="21" s="1"/>
  <c r="BJ9" i="21" s="1"/>
  <c r="BJ8" i="21" s="1"/>
  <c r="BJ18" i="21"/>
  <c r="BJ34" i="21"/>
  <c r="H65" i="21"/>
  <c r="AE65" i="21"/>
  <c r="V65" i="21" s="1"/>
  <c r="H66" i="21"/>
  <c r="G66" i="21" s="1"/>
  <c r="AE66" i="21"/>
  <c r="V66" i="21" s="1"/>
  <c r="BI11" i="21"/>
  <c r="BI10" i="21" s="1"/>
  <c r="BI9" i="21" s="1"/>
  <c r="BI18" i="21"/>
  <c r="BI34" i="21"/>
  <c r="BI25" i="21"/>
  <c r="G64" i="21"/>
  <c r="F64" i="21"/>
  <c r="E64" i="21" s="1"/>
  <c r="BI11" i="34"/>
  <c r="BI10" i="34" s="1"/>
  <c r="BI9" i="34" s="1"/>
  <c r="BI18" i="34"/>
  <c r="BI34" i="34"/>
  <c r="G64" i="34"/>
  <c r="F64" i="34" s="1"/>
  <c r="E64" i="34" s="1"/>
  <c r="AE64" i="34"/>
  <c r="BJ11" i="34"/>
  <c r="BJ10" i="34"/>
  <c r="BJ9" i="34" s="1"/>
  <c r="BJ8" i="34" s="1"/>
  <c r="BJ18" i="34"/>
  <c r="BJ34" i="34"/>
  <c r="BJ25" i="34" s="1"/>
  <c r="H65" i="34"/>
  <c r="G65" i="34" s="1"/>
  <c r="F65" i="34" s="1"/>
  <c r="E65" i="34" s="1"/>
  <c r="BL65" i="34"/>
  <c r="BJ65" i="34" s="1"/>
  <c r="AE65" i="34"/>
  <c r="V65" i="34"/>
  <c r="H66" i="34"/>
  <c r="AE66" i="34"/>
  <c r="V66" i="34" s="1"/>
  <c r="I18" i="40"/>
  <c r="I34" i="40"/>
  <c r="I25" i="40"/>
  <c r="I63" i="40"/>
  <c r="O12" i="40"/>
  <c r="J18" i="40"/>
  <c r="J34" i="40"/>
  <c r="J25" i="40" s="1"/>
  <c r="J63" i="40"/>
  <c r="O13" i="40"/>
  <c r="K18" i="40"/>
  <c r="K34" i="40"/>
  <c r="K25" i="40" s="1"/>
  <c r="K67" i="40" s="1"/>
  <c r="K63" i="40"/>
  <c r="O14" i="40"/>
  <c r="BL14" i="40" s="1"/>
  <c r="K14" i="40" s="1"/>
  <c r="H14" i="40" s="1"/>
  <c r="G14" i="40" s="1"/>
  <c r="F14" i="40" s="1"/>
  <c r="E14" i="40" s="1"/>
  <c r="I18" i="39"/>
  <c r="I34" i="39"/>
  <c r="I25" i="39" s="1"/>
  <c r="I63" i="39"/>
  <c r="G115" i="39" s="1"/>
  <c r="O12" i="39"/>
  <c r="I18" i="38"/>
  <c r="I34" i="38"/>
  <c r="I25" i="38" s="1"/>
  <c r="I63" i="38"/>
  <c r="O12" i="38"/>
  <c r="J18" i="38"/>
  <c r="J34" i="38"/>
  <c r="J25" i="38" s="1"/>
  <c r="J63" i="38"/>
  <c r="O13" i="38"/>
  <c r="K18" i="38"/>
  <c r="K34" i="38"/>
  <c r="K25" i="38" s="1"/>
  <c r="K63" i="38"/>
  <c r="O14" i="38"/>
  <c r="BL14" i="38" s="1"/>
  <c r="AC11" i="33"/>
  <c r="W78" i="33" s="1"/>
  <c r="AC18" i="33"/>
  <c r="AC34" i="33"/>
  <c r="W97" i="33" s="1"/>
  <c r="AJ11" i="33"/>
  <c r="AJ10" i="33" s="1"/>
  <c r="AJ9" i="33" s="1"/>
  <c r="AJ18" i="33"/>
  <c r="AJ63" i="33"/>
  <c r="H39" i="33"/>
  <c r="BH39" i="33"/>
  <c r="AK11" i="33"/>
  <c r="AK10" i="33" s="1"/>
  <c r="AK9" i="33" s="1"/>
  <c r="AK18" i="33"/>
  <c r="AK63" i="33"/>
  <c r="H40" i="33"/>
  <c r="G40" i="33" s="1"/>
  <c r="F40" i="33" s="1"/>
  <c r="E40" i="33" s="1"/>
  <c r="BH40" i="33"/>
  <c r="AQ11" i="33"/>
  <c r="AQ10" i="33" s="1"/>
  <c r="AQ9" i="33" s="1"/>
  <c r="AQ18" i="33"/>
  <c r="AQ34" i="33"/>
  <c r="Z97" i="33" s="1"/>
  <c r="AQ63" i="33"/>
  <c r="AT11" i="33"/>
  <c r="AT10" i="33" s="1"/>
  <c r="AT9" i="33" s="1"/>
  <c r="AT8" i="33" s="1"/>
  <c r="AT18" i="33"/>
  <c r="AT34" i="33"/>
  <c r="AC97" i="33" s="1"/>
  <c r="AV11" i="33"/>
  <c r="AV10" i="33" s="1"/>
  <c r="AV9" i="33" s="1"/>
  <c r="AV18" i="33"/>
  <c r="AV34" i="33"/>
  <c r="AV63" i="33"/>
  <c r="AE115" i="33" s="1"/>
  <c r="AW11" i="33"/>
  <c r="AW10" i="33" s="1"/>
  <c r="AW9" i="33" s="1"/>
  <c r="AW18" i="33"/>
  <c r="AW34" i="33"/>
  <c r="AW63" i="33"/>
  <c r="AY11" i="33"/>
  <c r="AY10" i="33" s="1"/>
  <c r="AY9" i="33" s="1"/>
  <c r="AY8" i="33" s="1"/>
  <c r="AY18" i="33"/>
  <c r="AY34" i="33"/>
  <c r="AY63" i="33"/>
  <c r="BB11" i="33"/>
  <c r="BB10" i="33" s="1"/>
  <c r="BB9" i="33" s="1"/>
  <c r="BB8" i="33" s="1"/>
  <c r="BB18" i="33"/>
  <c r="BB34" i="33"/>
  <c r="BB63" i="33"/>
  <c r="BD11" i="33"/>
  <c r="BD10" i="33" s="1"/>
  <c r="BD9" i="33" s="1"/>
  <c r="BD18" i="33"/>
  <c r="BD34" i="33"/>
  <c r="BD63" i="33"/>
  <c r="AB11" i="32"/>
  <c r="AB10" i="32" s="1"/>
  <c r="AB9" i="32" s="1"/>
  <c r="AB8" i="32" s="1"/>
  <c r="AB18" i="32"/>
  <c r="AB34" i="32"/>
  <c r="V97" i="32" s="1"/>
  <c r="AB63" i="32"/>
  <c r="AC11" i="32"/>
  <c r="AC10" i="32" s="1"/>
  <c r="AC9" i="32" s="1"/>
  <c r="AC18" i="32"/>
  <c r="AC34" i="32"/>
  <c r="W97" i="32" s="1"/>
  <c r="AJ11" i="32"/>
  <c r="AJ10" i="32" s="1"/>
  <c r="AJ9" i="32" s="1"/>
  <c r="AJ8" i="32" s="1"/>
  <c r="AJ67" i="32" s="1"/>
  <c r="AJ18" i="32"/>
  <c r="AJ63" i="32"/>
  <c r="H39" i="32"/>
  <c r="G39" i="32" s="1"/>
  <c r="BH39" i="32"/>
  <c r="AK11" i="32"/>
  <c r="AK10" i="32" s="1"/>
  <c r="AK9" i="32" s="1"/>
  <c r="AK18" i="32"/>
  <c r="AK63" i="32"/>
  <c r="H40" i="32"/>
  <c r="G40" i="32" s="1"/>
  <c r="F40" i="32" s="1"/>
  <c r="E40" i="32" s="1"/>
  <c r="BL40" i="32" s="1"/>
  <c r="AK40" i="32" s="1"/>
  <c r="BH40" i="32"/>
  <c r="AQ11" i="32"/>
  <c r="AQ10" i="32"/>
  <c r="AQ9" i="32" s="1"/>
  <c r="AQ8" i="32" s="1"/>
  <c r="AQ67" i="32" s="1"/>
  <c r="D167" i="47" s="1"/>
  <c r="AQ18" i="32"/>
  <c r="AQ34" i="32"/>
  <c r="AQ63" i="32"/>
  <c r="AT11" i="32"/>
  <c r="AT10" i="32" s="1"/>
  <c r="AT9" i="32" s="1"/>
  <c r="AT8" i="32" s="1"/>
  <c r="AT18" i="32"/>
  <c r="AT34" i="32"/>
  <c r="AV11" i="32"/>
  <c r="AV10" i="32"/>
  <c r="AV9" i="32" s="1"/>
  <c r="AV18" i="32"/>
  <c r="AV34" i="32"/>
  <c r="AV63" i="32"/>
  <c r="AE115" i="32" s="1"/>
  <c r="AW11" i="32"/>
  <c r="AW10" i="32" s="1"/>
  <c r="AW9" i="32" s="1"/>
  <c r="AW8" i="32" s="1"/>
  <c r="AW18" i="32"/>
  <c r="AW34" i="32"/>
  <c r="AF97" i="32" s="1"/>
  <c r="AW63" i="32"/>
  <c r="AY11" i="32"/>
  <c r="AY10" i="32" s="1"/>
  <c r="AY9" i="32" s="1"/>
  <c r="AY8" i="32" s="1"/>
  <c r="AY18" i="32"/>
  <c r="AY34" i="32"/>
  <c r="AY63" i="32"/>
  <c r="BB11" i="32"/>
  <c r="BB18" i="32"/>
  <c r="BB34" i="32"/>
  <c r="BB63" i="32"/>
  <c r="AK115" i="32" s="1"/>
  <c r="BD11" i="32"/>
  <c r="BD10" i="32" s="1"/>
  <c r="BD9" i="32" s="1"/>
  <c r="BD8" i="32" s="1"/>
  <c r="BD18" i="32"/>
  <c r="BD34" i="32"/>
  <c r="AM97" i="32"/>
  <c r="BD63" i="32"/>
  <c r="AC11" i="30"/>
  <c r="AC10" i="30" s="1"/>
  <c r="AC9" i="30" s="1"/>
  <c r="AC18" i="30"/>
  <c r="AC34" i="30"/>
  <c r="W97" i="30" s="1"/>
  <c r="AJ11" i="30"/>
  <c r="AJ10" i="30" s="1"/>
  <c r="AJ9" i="30"/>
  <c r="AJ18" i="30"/>
  <c r="AJ63" i="30"/>
  <c r="H39" i="30"/>
  <c r="G39" i="30" s="1"/>
  <c r="BH39" i="30"/>
  <c r="AK11" i="30"/>
  <c r="AK10" i="30"/>
  <c r="AK9" i="30" s="1"/>
  <c r="AK8" i="30" s="1"/>
  <c r="AK18" i="30"/>
  <c r="AK63" i="30"/>
  <c r="H40" i="30"/>
  <c r="G40" i="30"/>
  <c r="F40" i="30" s="1"/>
  <c r="E40" i="30" s="1"/>
  <c r="BL40" i="30" s="1"/>
  <c r="AK40" i="30" s="1"/>
  <c r="AE40" i="30" s="1"/>
  <c r="V40" i="30" s="1"/>
  <c r="BH40" i="30"/>
  <c r="AQ11" i="30"/>
  <c r="AQ10" i="30" s="1"/>
  <c r="AQ9" i="30" s="1"/>
  <c r="AQ18" i="30"/>
  <c r="AQ34" i="30"/>
  <c r="AQ63" i="30"/>
  <c r="AV11" i="30"/>
  <c r="AV10" i="30" s="1"/>
  <c r="AV9" i="30" s="1"/>
  <c r="AV18" i="30"/>
  <c r="AV34" i="30"/>
  <c r="AE97" i="30" s="1"/>
  <c r="AV63" i="30"/>
  <c r="AE115" i="30" s="1"/>
  <c r="AW11" i="30"/>
  <c r="AW18" i="30"/>
  <c r="AW34" i="30"/>
  <c r="AW63" i="30"/>
  <c r="AY11" i="30"/>
  <c r="AY10" i="30" s="1"/>
  <c r="AY9" i="30" s="1"/>
  <c r="AY8" i="30" s="1"/>
  <c r="AY67" i="30" s="1"/>
  <c r="AY18" i="30"/>
  <c r="AY34" i="30"/>
  <c r="AH97" i="30"/>
  <c r="AY63" i="30"/>
  <c r="BB11" i="30"/>
  <c r="BB18" i="30"/>
  <c r="BB34" i="30"/>
  <c r="BB63" i="30"/>
  <c r="AK115" i="30" s="1"/>
  <c r="BC11" i="30"/>
  <c r="BC10" i="30" s="1"/>
  <c r="BC9" i="30" s="1"/>
  <c r="BC18" i="30"/>
  <c r="BC34" i="30"/>
  <c r="AL97" i="30" s="1"/>
  <c r="BD11" i="30"/>
  <c r="BD18" i="30"/>
  <c r="BD34" i="30"/>
  <c r="BD63" i="30"/>
  <c r="AC11" i="40"/>
  <c r="AC18" i="40"/>
  <c r="AC34" i="40"/>
  <c r="AJ11" i="40"/>
  <c r="AJ10" i="40" s="1"/>
  <c r="AJ9" i="40" s="1"/>
  <c r="AJ8" i="40" s="1"/>
  <c r="AJ67" i="40" s="1"/>
  <c r="AJ18" i="40"/>
  <c r="AJ63" i="40"/>
  <c r="H39" i="40"/>
  <c r="BH39" i="40"/>
  <c r="AK11" i="40"/>
  <c r="AK10" i="40" s="1"/>
  <c r="AK9" i="40" s="1"/>
  <c r="AK18" i="40"/>
  <c r="AK63" i="40"/>
  <c r="H40" i="40"/>
  <c r="G40" i="40" s="1"/>
  <c r="F40" i="40" s="1"/>
  <c r="E40" i="40" s="1"/>
  <c r="BL40" i="40" s="1"/>
  <c r="AK40" i="40" s="1"/>
  <c r="BH40" i="40"/>
  <c r="AQ11" i="40"/>
  <c r="AQ18" i="40"/>
  <c r="AQ34" i="40"/>
  <c r="AQ63" i="40"/>
  <c r="AT11" i="40"/>
  <c r="AT10" i="40" s="1"/>
  <c r="AT9" i="40" s="1"/>
  <c r="AT18" i="40"/>
  <c r="AT34" i="40"/>
  <c r="AC97" i="40" s="1"/>
  <c r="AV11" i="40"/>
  <c r="AV18" i="40"/>
  <c r="AV34" i="40"/>
  <c r="AV63" i="40"/>
  <c r="AW11" i="40"/>
  <c r="AW10" i="40"/>
  <c r="AW9" i="40" s="1"/>
  <c r="AW18" i="40"/>
  <c r="AW34" i="40"/>
  <c r="AW63" i="40"/>
  <c r="AF115" i="40" s="1"/>
  <c r="AX11" i="40"/>
  <c r="AX10" i="40" s="1"/>
  <c r="AX9" i="40" s="1"/>
  <c r="AX18" i="40"/>
  <c r="AX34" i="40"/>
  <c r="AX63" i="40"/>
  <c r="H53" i="40"/>
  <c r="G53" i="40" s="1"/>
  <c r="F53" i="40"/>
  <c r="E53" i="40" s="1"/>
  <c r="AE53" i="40"/>
  <c r="BH53" i="40"/>
  <c r="AY11" i="40"/>
  <c r="AY18" i="40"/>
  <c r="AY34" i="40"/>
  <c r="AY63" i="40"/>
  <c r="BB11" i="40"/>
  <c r="BB10" i="40" s="1"/>
  <c r="BB9" i="40" s="1"/>
  <c r="BB18" i="40"/>
  <c r="BB34" i="40"/>
  <c r="AK97" i="40"/>
  <c r="BB63" i="40"/>
  <c r="BC11" i="40"/>
  <c r="BC18" i="40"/>
  <c r="BC34" i="40"/>
  <c r="BD11" i="40"/>
  <c r="BD18" i="40"/>
  <c r="BD34" i="40"/>
  <c r="AM97" i="40"/>
  <c r="BD63" i="40"/>
  <c r="AC11" i="39"/>
  <c r="AC10" i="39" s="1"/>
  <c r="AC9" i="39" s="1"/>
  <c r="AC18" i="39"/>
  <c r="AC34" i="39"/>
  <c r="AJ11" i="39"/>
  <c r="AJ10" i="39" s="1"/>
  <c r="AJ9" i="39" s="1"/>
  <c r="AJ18" i="39"/>
  <c r="AJ63" i="39"/>
  <c r="H39" i="39"/>
  <c r="G39" i="39" s="1"/>
  <c r="F39" i="39"/>
  <c r="BH39" i="39"/>
  <c r="AK11" i="39"/>
  <c r="AK10" i="39" s="1"/>
  <c r="AK9" i="39" s="1"/>
  <c r="AK18" i="39"/>
  <c r="AK63" i="39"/>
  <c r="H40" i="39"/>
  <c r="G40" i="39" s="1"/>
  <c r="F40" i="39" s="1"/>
  <c r="E40" i="39" s="1"/>
  <c r="BL40" i="39" s="1"/>
  <c r="AK40" i="39" s="1"/>
  <c r="BH40" i="39"/>
  <c r="AQ11" i="39"/>
  <c r="AQ18" i="39"/>
  <c r="AQ34" i="39"/>
  <c r="Z97" i="39" s="1"/>
  <c r="AQ63" i="39"/>
  <c r="AT11" i="39"/>
  <c r="AT18" i="39"/>
  <c r="AT34" i="39"/>
  <c r="AU11" i="39"/>
  <c r="AU18" i="39"/>
  <c r="AU34" i="39"/>
  <c r="AU63" i="39"/>
  <c r="AD115" i="39" s="1"/>
  <c r="H50" i="39"/>
  <c r="AE50" i="39"/>
  <c r="Y102" i="39" s="1"/>
  <c r="BH50" i="39"/>
  <c r="AV11" i="39"/>
  <c r="AV18" i="39"/>
  <c r="AV34" i="39"/>
  <c r="AV63" i="39"/>
  <c r="AE115" i="39" s="1"/>
  <c r="AW11" i="39"/>
  <c r="AW10" i="39" s="1"/>
  <c r="AW9" i="39" s="1"/>
  <c r="AW18" i="39"/>
  <c r="AW34" i="39"/>
  <c r="AW63" i="39"/>
  <c r="AX11" i="39"/>
  <c r="AX10" i="39"/>
  <c r="AX9" i="39" s="1"/>
  <c r="AX18" i="39"/>
  <c r="AX34" i="39"/>
  <c r="AX63" i="39"/>
  <c r="AG115" i="39" s="1"/>
  <c r="H53" i="39"/>
  <c r="G53" i="39" s="1"/>
  <c r="F53" i="39" s="1"/>
  <c r="E53" i="39" s="1"/>
  <c r="AE53" i="39"/>
  <c r="Y105" i="39" s="1"/>
  <c r="BH53" i="39"/>
  <c r="AY11" i="39"/>
  <c r="AY18" i="39"/>
  <c r="AY34" i="39"/>
  <c r="AH97" i="39" s="1"/>
  <c r="AY63" i="39"/>
  <c r="BB11" i="39"/>
  <c r="BB18" i="39"/>
  <c r="BB34" i="39"/>
  <c r="BB63" i="39"/>
  <c r="AK115" i="39"/>
  <c r="BC11" i="39"/>
  <c r="BC18" i="39"/>
  <c r="BC34" i="39"/>
  <c r="BD11" i="39"/>
  <c r="BD18" i="39"/>
  <c r="BD34" i="39"/>
  <c r="AM97" i="39" s="1"/>
  <c r="BD63" i="39"/>
  <c r="AC11" i="38"/>
  <c r="AC18" i="38"/>
  <c r="AC34" i="38"/>
  <c r="W97" i="38" s="1"/>
  <c r="AJ11" i="38"/>
  <c r="AJ10" i="38"/>
  <c r="AJ9" i="38" s="1"/>
  <c r="AJ18" i="38"/>
  <c r="AJ63" i="38"/>
  <c r="H39" i="38"/>
  <c r="G39" i="38"/>
  <c r="F39" i="38" s="1"/>
  <c r="BH39" i="38"/>
  <c r="AK11" i="38"/>
  <c r="AK10" i="38"/>
  <c r="AK9" i="38" s="1"/>
  <c r="AK18" i="38"/>
  <c r="AK63" i="38"/>
  <c r="H40" i="38"/>
  <c r="G40" i="38"/>
  <c r="F40" i="38" s="1"/>
  <c r="E40" i="38"/>
  <c r="BH40" i="38"/>
  <c r="AQ11" i="38"/>
  <c r="AQ10" i="38" s="1"/>
  <c r="AQ9" i="38" s="1"/>
  <c r="AQ18" i="38"/>
  <c r="AQ34" i="38"/>
  <c r="AQ63" i="38"/>
  <c r="AT11" i="38"/>
  <c r="AT10" i="38" s="1"/>
  <c r="AT9" i="38" s="1"/>
  <c r="AT18" i="38"/>
  <c r="AT34" i="38"/>
  <c r="AV11" i="38"/>
  <c r="AV10" i="38" s="1"/>
  <c r="AV9" i="38" s="1"/>
  <c r="AV8" i="38" s="1"/>
  <c r="AV18" i="38"/>
  <c r="AV34" i="38"/>
  <c r="AV63" i="38"/>
  <c r="AW11" i="38"/>
  <c r="AW10" i="38" s="1"/>
  <c r="AW9" i="38" s="1"/>
  <c r="AW8" i="38" s="1"/>
  <c r="AW18" i="38"/>
  <c r="AW34" i="38"/>
  <c r="AW63" i="38"/>
  <c r="AX11" i="38"/>
  <c r="AX18" i="38"/>
  <c r="AX34" i="38"/>
  <c r="AG97" i="38"/>
  <c r="AX63" i="38"/>
  <c r="H53" i="38"/>
  <c r="AE53" i="38"/>
  <c r="BH53" i="38"/>
  <c r="AY11" i="38"/>
  <c r="AY10" i="38" s="1"/>
  <c r="AY9" i="38" s="1"/>
  <c r="AY8" i="38" s="1"/>
  <c r="AY18" i="38"/>
  <c r="AY34" i="38"/>
  <c r="AY63" i="38"/>
  <c r="BB11" i="38"/>
  <c r="BB18" i="38"/>
  <c r="BB34" i="38"/>
  <c r="BB63" i="38"/>
  <c r="AK115" i="38"/>
  <c r="BC11" i="38"/>
  <c r="BC10" i="38" s="1"/>
  <c r="BC9" i="38" s="1"/>
  <c r="BC18" i="38"/>
  <c r="BC34" i="38"/>
  <c r="AL97" i="38"/>
  <c r="BD11" i="38"/>
  <c r="BD10" i="38"/>
  <c r="BD9" i="38" s="1"/>
  <c r="BD18" i="38"/>
  <c r="BD34" i="38"/>
  <c r="BD63" i="38"/>
  <c r="AB11" i="37"/>
  <c r="AB10" i="37" s="1"/>
  <c r="AB9" i="37" s="1"/>
  <c r="AB18" i="37"/>
  <c r="AB34" i="37"/>
  <c r="AB63" i="37"/>
  <c r="AC11" i="37"/>
  <c r="AC10" i="37" s="1"/>
  <c r="AC9" i="37" s="1"/>
  <c r="AC18" i="37"/>
  <c r="AC34" i="37"/>
  <c r="W97" i="37" s="1"/>
  <c r="AJ11" i="37"/>
  <c r="AJ10" i="37" s="1"/>
  <c r="AJ9" i="37" s="1"/>
  <c r="AJ18" i="37"/>
  <c r="AJ63" i="37"/>
  <c r="H39" i="37"/>
  <c r="G39" i="37" s="1"/>
  <c r="BH39" i="37"/>
  <c r="AK11" i="37"/>
  <c r="AK10" i="37" s="1"/>
  <c r="AK9" i="37" s="1"/>
  <c r="AK18" i="37"/>
  <c r="AK63" i="37"/>
  <c r="H40" i="37"/>
  <c r="G40" i="37"/>
  <c r="BH40" i="37"/>
  <c r="AQ11" i="37"/>
  <c r="AQ10" i="37" s="1"/>
  <c r="AQ9" i="37" s="1"/>
  <c r="AQ18" i="37"/>
  <c r="AQ34" i="37"/>
  <c r="Z97" i="37" s="1"/>
  <c r="AQ63" i="37"/>
  <c r="Z115" i="37" s="1"/>
  <c r="AR11" i="37"/>
  <c r="AR18" i="37"/>
  <c r="AR34" i="37"/>
  <c r="AR63" i="37"/>
  <c r="AA115" i="37" s="1"/>
  <c r="H47" i="37"/>
  <c r="G47" i="37"/>
  <c r="F47" i="37" s="1"/>
  <c r="E47" i="37" s="1"/>
  <c r="AE47" i="37"/>
  <c r="BH47" i="37"/>
  <c r="AT11" i="37"/>
  <c r="AT18" i="37"/>
  <c r="AT34" i="37"/>
  <c r="AU11" i="37"/>
  <c r="AU18" i="37"/>
  <c r="AU34" i="37"/>
  <c r="AU63" i="37"/>
  <c r="H50" i="37"/>
  <c r="AE50" i="37"/>
  <c r="BH50" i="37"/>
  <c r="AV11" i="37"/>
  <c r="AV18" i="37"/>
  <c r="AV34" i="37"/>
  <c r="AV63" i="37"/>
  <c r="AW11" i="37"/>
  <c r="AW10" i="37" s="1"/>
  <c r="AW9" i="37" s="1"/>
  <c r="AW18" i="37"/>
  <c r="AW34" i="37"/>
  <c r="AW63" i="37"/>
  <c r="AF115" i="37" s="1"/>
  <c r="AY11" i="37"/>
  <c r="AY18" i="37"/>
  <c r="AY34" i="37"/>
  <c r="AY63" i="37"/>
  <c r="BB11" i="37"/>
  <c r="BB18" i="37"/>
  <c r="BB34" i="37"/>
  <c r="BB63" i="37"/>
  <c r="BC11" i="37"/>
  <c r="BC18" i="37"/>
  <c r="BC34" i="37"/>
  <c r="BD11" i="37"/>
  <c r="BD10" i="37" s="1"/>
  <c r="BD9" i="37"/>
  <c r="BD18" i="37"/>
  <c r="BD34" i="37"/>
  <c r="BD63" i="37"/>
  <c r="AM115" i="37"/>
  <c r="Y11" i="33"/>
  <c r="Y10" i="33" s="1"/>
  <c r="Y9" i="33" s="1"/>
  <c r="Y18" i="33"/>
  <c r="Y34" i="33"/>
  <c r="Y63" i="33"/>
  <c r="Y11" i="30"/>
  <c r="Y18" i="30"/>
  <c r="Y34" i="30"/>
  <c r="Y63" i="30"/>
  <c r="Y11" i="38"/>
  <c r="Y18" i="38"/>
  <c r="Y34" i="38"/>
  <c r="Y63" i="38"/>
  <c r="Y11" i="37"/>
  <c r="Y10" i="37" s="1"/>
  <c r="Y9" i="37" s="1"/>
  <c r="Y18" i="37"/>
  <c r="Y34" i="37"/>
  <c r="Y63" i="37"/>
  <c r="S115" i="37" s="1"/>
  <c r="R34" i="33"/>
  <c r="R25" i="33" s="1"/>
  <c r="R63" i="33"/>
  <c r="BF11" i="37"/>
  <c r="BF18" i="37"/>
  <c r="BF34" i="37"/>
  <c r="BF63" i="37"/>
  <c r="AO115" i="37"/>
  <c r="BF11" i="38"/>
  <c r="BF10" i="38" s="1"/>
  <c r="BF9" i="38" s="1"/>
  <c r="BF18" i="38"/>
  <c r="BF34" i="38"/>
  <c r="BF63" i="38"/>
  <c r="BF11" i="39"/>
  <c r="BF10" i="39"/>
  <c r="BF9" i="39" s="1"/>
  <c r="BF18" i="39"/>
  <c r="BF8" i="39" s="1"/>
  <c r="BF34" i="39"/>
  <c r="BF63" i="39"/>
  <c r="BF11" i="40"/>
  <c r="BF10" i="40" s="1"/>
  <c r="BF9" i="40" s="1"/>
  <c r="BF8" i="40" s="1"/>
  <c r="BF67" i="40" s="1"/>
  <c r="BF18" i="40"/>
  <c r="BF34" i="40"/>
  <c r="AO97" i="40" s="1"/>
  <c r="BF63" i="40"/>
  <c r="BF11" i="30"/>
  <c r="BF10" i="30" s="1"/>
  <c r="BF9" i="30" s="1"/>
  <c r="BF8" i="30" s="1"/>
  <c r="BF67" i="30" s="1"/>
  <c r="BF18" i="30"/>
  <c r="BF34" i="30"/>
  <c r="AO97" i="30" s="1"/>
  <c r="BF63" i="30"/>
  <c r="BF11" i="32"/>
  <c r="BF10" i="32" s="1"/>
  <c r="BF9" i="32" s="1"/>
  <c r="BF18" i="32"/>
  <c r="BF34" i="32"/>
  <c r="AO97" i="32" s="1"/>
  <c r="BF63" i="32"/>
  <c r="BF11" i="33"/>
  <c r="BF10" i="33" s="1"/>
  <c r="BF9" i="33" s="1"/>
  <c r="BF18" i="33"/>
  <c r="BF34" i="33"/>
  <c r="BF63" i="33"/>
  <c r="D455" i="47"/>
  <c r="D456" i="47"/>
  <c r="D457" i="47"/>
  <c r="D458" i="47"/>
  <c r="D459" i="47"/>
  <c r="D460" i="47"/>
  <c r="D461" i="47"/>
  <c r="D462" i="47"/>
  <c r="D463" i="47"/>
  <c r="D464" i="47"/>
  <c r="D465" i="47"/>
  <c r="D466" i="47"/>
  <c r="D467" i="47"/>
  <c r="D468" i="47"/>
  <c r="D469" i="47"/>
  <c r="D470" i="47"/>
  <c r="D471" i="47"/>
  <c r="D472" i="47"/>
  <c r="D473" i="47"/>
  <c r="BC11" i="32"/>
  <c r="BC10" i="32" s="1"/>
  <c r="BC9" i="32" s="1"/>
  <c r="BC18" i="32"/>
  <c r="BC34" i="32"/>
  <c r="BC11" i="33"/>
  <c r="BC10" i="33" s="1"/>
  <c r="BC9" i="33" s="1"/>
  <c r="BC8" i="33" s="1"/>
  <c r="BC18" i="33"/>
  <c r="BC34" i="33"/>
  <c r="BA11" i="37"/>
  <c r="BA18" i="37"/>
  <c r="BA34" i="37"/>
  <c r="BA63" i="37"/>
  <c r="BA11" i="38"/>
  <c r="BA10" i="38" s="1"/>
  <c r="BA9" i="38" s="1"/>
  <c r="BA18" i="38"/>
  <c r="BA34" i="38"/>
  <c r="BA63" i="38"/>
  <c r="BA11" i="39"/>
  <c r="BA18" i="39"/>
  <c r="BA34" i="39"/>
  <c r="AJ97" i="39" s="1"/>
  <c r="BA63" i="39"/>
  <c r="BA11" i="40"/>
  <c r="BA18" i="40"/>
  <c r="BA34" i="40"/>
  <c r="BA63" i="40"/>
  <c r="AJ115" i="40"/>
  <c r="BA11" i="30"/>
  <c r="BA10" i="30" s="1"/>
  <c r="BA9" i="30" s="1"/>
  <c r="BA8" i="30" s="1"/>
  <c r="BA18" i="30"/>
  <c r="BA34" i="30"/>
  <c r="BA63" i="30"/>
  <c r="BA11" i="32"/>
  <c r="BA10" i="32"/>
  <c r="BA9" i="32" s="1"/>
  <c r="BA18" i="32"/>
  <c r="BA34" i="32"/>
  <c r="BA63" i="32"/>
  <c r="BA11" i="33"/>
  <c r="BA10" i="33"/>
  <c r="BA9" i="33" s="1"/>
  <c r="BA18" i="33"/>
  <c r="BA34" i="33"/>
  <c r="BA63" i="33"/>
  <c r="AZ11" i="37"/>
  <c r="AZ10" i="37" s="1"/>
  <c r="AZ9" i="37" s="1"/>
  <c r="AZ18" i="37"/>
  <c r="AZ34" i="37"/>
  <c r="AI97" i="37" s="1"/>
  <c r="AZ11" i="38"/>
  <c r="AZ10" i="38" s="1"/>
  <c r="AZ9" i="38"/>
  <c r="AZ18" i="38"/>
  <c r="AZ34" i="38"/>
  <c r="AI97" i="38"/>
  <c r="AZ11" i="39"/>
  <c r="AZ10" i="39"/>
  <c r="AZ9" i="39" s="1"/>
  <c r="AZ8" i="39" s="1"/>
  <c r="AZ18" i="39"/>
  <c r="AZ34" i="39"/>
  <c r="AZ11" i="40"/>
  <c r="AZ10" i="40" s="1"/>
  <c r="AZ9" i="40" s="1"/>
  <c r="AZ8" i="40" s="1"/>
  <c r="AZ18" i="40"/>
  <c r="AZ34" i="40"/>
  <c r="AZ11" i="30"/>
  <c r="AI78" i="30" s="1"/>
  <c r="AZ18" i="30"/>
  <c r="AZ34" i="30"/>
  <c r="AZ11" i="32"/>
  <c r="AZ10" i="32" s="1"/>
  <c r="AZ9" i="32" s="1"/>
  <c r="AZ18" i="32"/>
  <c r="AZ34" i="32"/>
  <c r="AI97" i="32" s="1"/>
  <c r="AZ11" i="33"/>
  <c r="AI78" i="33" s="1"/>
  <c r="AZ18" i="33"/>
  <c r="AZ34" i="33"/>
  <c r="AT11" i="30"/>
  <c r="AT10" i="30" s="1"/>
  <c r="AT9" i="30" s="1"/>
  <c r="AT18" i="30"/>
  <c r="AT34" i="30"/>
  <c r="D92" i="19"/>
  <c r="T80" i="19"/>
  <c r="T81" i="19"/>
  <c r="T82" i="19"/>
  <c r="T83" i="19"/>
  <c r="T84" i="19"/>
  <c r="T85" i="19"/>
  <c r="T86" i="19"/>
  <c r="T87" i="19"/>
  <c r="T89" i="19"/>
  <c r="T90" i="19"/>
  <c r="T91" i="19"/>
  <c r="T93" i="19"/>
  <c r="T94" i="19"/>
  <c r="T95" i="19"/>
  <c r="T96" i="19"/>
  <c r="T98" i="19"/>
  <c r="T99" i="19"/>
  <c r="T100" i="19"/>
  <c r="T101" i="19"/>
  <c r="T102" i="19"/>
  <c r="T103" i="19"/>
  <c r="T104" i="19"/>
  <c r="T105" i="19"/>
  <c r="T106" i="19"/>
  <c r="T107" i="19"/>
  <c r="T108" i="19"/>
  <c r="T109" i="19"/>
  <c r="T110" i="19"/>
  <c r="T111" i="19"/>
  <c r="T112" i="19"/>
  <c r="T113" i="19"/>
  <c r="T114" i="19"/>
  <c r="F92" i="19"/>
  <c r="H92" i="19"/>
  <c r="I92" i="19"/>
  <c r="J92" i="19"/>
  <c r="K92" i="19"/>
  <c r="L92" i="19"/>
  <c r="M92" i="19"/>
  <c r="N92" i="19"/>
  <c r="O92" i="19"/>
  <c r="Q92" i="19"/>
  <c r="R92" i="19"/>
  <c r="S92" i="19"/>
  <c r="U92" i="19"/>
  <c r="V92" i="19"/>
  <c r="W92" i="19"/>
  <c r="X92" i="19"/>
  <c r="Y92" i="19"/>
  <c r="Z92" i="19"/>
  <c r="AA92" i="19"/>
  <c r="AB92" i="19"/>
  <c r="AC92" i="19"/>
  <c r="AD92" i="19"/>
  <c r="AE92" i="19"/>
  <c r="AF92" i="19"/>
  <c r="AG92" i="19"/>
  <c r="AH92" i="19"/>
  <c r="AI92" i="19"/>
  <c r="AJ92" i="19"/>
  <c r="AK92" i="19"/>
  <c r="AL92" i="19"/>
  <c r="AM92" i="19"/>
  <c r="AN92" i="19"/>
  <c r="AO92" i="19"/>
  <c r="AP92" i="19"/>
  <c r="E205" i="47"/>
  <c r="C206" i="47"/>
  <c r="D92" i="29"/>
  <c r="T80" i="29"/>
  <c r="T81" i="29"/>
  <c r="T82" i="29"/>
  <c r="T83" i="29"/>
  <c r="T84" i="29"/>
  <c r="T85" i="29"/>
  <c r="T86" i="29"/>
  <c r="T87" i="29"/>
  <c r="T89" i="29"/>
  <c r="T90" i="29"/>
  <c r="T91" i="29"/>
  <c r="T93" i="29"/>
  <c r="T94" i="29"/>
  <c r="T95" i="29"/>
  <c r="T96" i="29"/>
  <c r="T97" i="29"/>
  <c r="T98" i="29"/>
  <c r="T99" i="29"/>
  <c r="T100" i="29"/>
  <c r="T101" i="29"/>
  <c r="T102" i="29"/>
  <c r="T103" i="29"/>
  <c r="T104" i="29"/>
  <c r="T105" i="29"/>
  <c r="T106" i="29"/>
  <c r="T107" i="29"/>
  <c r="T108" i="29"/>
  <c r="T109" i="29"/>
  <c r="T110" i="29"/>
  <c r="T111" i="29"/>
  <c r="T112" i="29"/>
  <c r="T113" i="29"/>
  <c r="T114" i="29"/>
  <c r="H92" i="29"/>
  <c r="I92" i="29"/>
  <c r="J92" i="29"/>
  <c r="K92" i="29"/>
  <c r="L92" i="29"/>
  <c r="M92" i="29"/>
  <c r="N92" i="29"/>
  <c r="O92" i="29"/>
  <c r="Q92" i="29"/>
  <c r="R92" i="29"/>
  <c r="S92" i="29"/>
  <c r="U92" i="29"/>
  <c r="V92" i="29"/>
  <c r="W92" i="29"/>
  <c r="X92" i="29"/>
  <c r="Z92" i="29"/>
  <c r="AA92" i="29"/>
  <c r="AB92" i="29"/>
  <c r="AC92" i="29"/>
  <c r="AD92" i="29"/>
  <c r="AE92" i="29"/>
  <c r="AF92" i="29"/>
  <c r="AG92" i="29"/>
  <c r="AH92" i="29"/>
  <c r="AI92" i="29"/>
  <c r="AJ92" i="29"/>
  <c r="AK92" i="29"/>
  <c r="AL92" i="29"/>
  <c r="AM92" i="29"/>
  <c r="AN92" i="29"/>
  <c r="AO92" i="29"/>
  <c r="AP92" i="29"/>
  <c r="AQ92" i="29"/>
  <c r="E206" i="47"/>
  <c r="C207" i="47"/>
  <c r="D92" i="28"/>
  <c r="T78" i="28"/>
  <c r="T80" i="28"/>
  <c r="T81" i="28"/>
  <c r="T82" i="28"/>
  <c r="T83" i="28"/>
  <c r="T84" i="28"/>
  <c r="T85" i="28"/>
  <c r="T86" i="28"/>
  <c r="T87" i="28"/>
  <c r="T89" i="28"/>
  <c r="T90" i="28"/>
  <c r="T91" i="28"/>
  <c r="T93" i="28"/>
  <c r="T94" i="28"/>
  <c r="T95" i="28"/>
  <c r="T96" i="28"/>
  <c r="T97" i="28"/>
  <c r="T98" i="28"/>
  <c r="T99" i="28"/>
  <c r="T100" i="28"/>
  <c r="T101" i="28"/>
  <c r="T102" i="28"/>
  <c r="T103" i="28"/>
  <c r="T104" i="28"/>
  <c r="T105" i="28"/>
  <c r="T106" i="28"/>
  <c r="T107" i="28"/>
  <c r="T108" i="28"/>
  <c r="T109" i="28"/>
  <c r="T110" i="28"/>
  <c r="T111" i="28"/>
  <c r="T112" i="28"/>
  <c r="T113" i="28"/>
  <c r="T114" i="28"/>
  <c r="F92" i="28"/>
  <c r="H92" i="28"/>
  <c r="I92" i="28"/>
  <c r="J92" i="28"/>
  <c r="K92" i="28"/>
  <c r="L92" i="28"/>
  <c r="M92" i="28"/>
  <c r="N92" i="28"/>
  <c r="O92" i="28"/>
  <c r="Q92" i="28"/>
  <c r="R92" i="28"/>
  <c r="S92" i="28"/>
  <c r="U92" i="28"/>
  <c r="V92" i="28"/>
  <c r="W92" i="28"/>
  <c r="X92" i="28"/>
  <c r="Z92" i="28"/>
  <c r="AA92" i="28"/>
  <c r="AB92" i="28"/>
  <c r="AC92" i="28"/>
  <c r="AD92" i="28"/>
  <c r="AE92" i="28"/>
  <c r="AF92" i="28"/>
  <c r="AG92" i="28"/>
  <c r="AH92" i="28"/>
  <c r="AI92" i="28"/>
  <c r="AJ92" i="28"/>
  <c r="AK92" i="28"/>
  <c r="AL92" i="28"/>
  <c r="AM92" i="28"/>
  <c r="AN92" i="28"/>
  <c r="AO92" i="28"/>
  <c r="AP92" i="28"/>
  <c r="E207" i="47"/>
  <c r="C208" i="47"/>
  <c r="D92" i="27"/>
  <c r="T78" i="27"/>
  <c r="T80" i="27"/>
  <c r="T81" i="27"/>
  <c r="T82" i="27"/>
  <c r="T83" i="27"/>
  <c r="T84" i="27"/>
  <c r="T85" i="27"/>
  <c r="T86" i="27"/>
  <c r="T87" i="27"/>
  <c r="T89" i="27"/>
  <c r="T90" i="27"/>
  <c r="T91" i="27"/>
  <c r="T93" i="27"/>
  <c r="T94" i="27"/>
  <c r="T95" i="27"/>
  <c r="T96" i="27"/>
  <c r="T97" i="27"/>
  <c r="T98" i="27"/>
  <c r="T99" i="27"/>
  <c r="T100" i="27"/>
  <c r="T101" i="27"/>
  <c r="T102" i="27"/>
  <c r="T103" i="27"/>
  <c r="T104" i="27"/>
  <c r="T105" i="27"/>
  <c r="T106" i="27"/>
  <c r="T107" i="27"/>
  <c r="T108" i="27"/>
  <c r="T109" i="27"/>
  <c r="T110" i="27"/>
  <c r="T111" i="27"/>
  <c r="T112" i="27"/>
  <c r="T113" i="27"/>
  <c r="T114" i="27"/>
  <c r="F92" i="27"/>
  <c r="H92" i="27"/>
  <c r="I92" i="27"/>
  <c r="J92" i="27"/>
  <c r="K92" i="27"/>
  <c r="L92" i="27"/>
  <c r="M92" i="27"/>
  <c r="N92" i="27"/>
  <c r="O92" i="27"/>
  <c r="Q92" i="27"/>
  <c r="R92" i="27"/>
  <c r="S92" i="27"/>
  <c r="U92" i="27"/>
  <c r="V92" i="27"/>
  <c r="W92" i="27"/>
  <c r="X92" i="27"/>
  <c r="Y92" i="27"/>
  <c r="Z92" i="27"/>
  <c r="AA92" i="27"/>
  <c r="AB92" i="27"/>
  <c r="AC92" i="27"/>
  <c r="AD92" i="27"/>
  <c r="AE92" i="27"/>
  <c r="AF92" i="27"/>
  <c r="AG92" i="27"/>
  <c r="AH92" i="27"/>
  <c r="AI92" i="27"/>
  <c r="AJ92" i="27"/>
  <c r="AK92" i="27"/>
  <c r="AL92" i="27"/>
  <c r="AM92" i="27"/>
  <c r="AN92" i="27"/>
  <c r="AO92" i="27"/>
  <c r="AP92" i="27"/>
  <c r="AQ92" i="27"/>
  <c r="E208" i="47"/>
  <c r="C209" i="47"/>
  <c r="D92" i="26"/>
  <c r="T80" i="26"/>
  <c r="T81" i="26"/>
  <c r="T82" i="26"/>
  <c r="T83" i="26"/>
  <c r="T84" i="26"/>
  <c r="T85" i="26"/>
  <c r="T86" i="26"/>
  <c r="T87" i="26"/>
  <c r="T89" i="26"/>
  <c r="T90" i="26"/>
  <c r="T91" i="26"/>
  <c r="T93" i="26"/>
  <c r="T94" i="26"/>
  <c r="T95" i="26"/>
  <c r="T96" i="26"/>
  <c r="T97" i="26"/>
  <c r="T98" i="26"/>
  <c r="T99" i="26"/>
  <c r="T100" i="26"/>
  <c r="T101" i="26"/>
  <c r="T102" i="26"/>
  <c r="T103" i="26"/>
  <c r="T104" i="26"/>
  <c r="T105" i="26"/>
  <c r="T106" i="26"/>
  <c r="T107" i="26"/>
  <c r="T108" i="26"/>
  <c r="T109" i="26"/>
  <c r="T110" i="26"/>
  <c r="T111" i="26"/>
  <c r="T112" i="26"/>
  <c r="T113" i="26"/>
  <c r="T114" i="26"/>
  <c r="T115" i="26"/>
  <c r="H92" i="26"/>
  <c r="I92" i="26"/>
  <c r="J92" i="26"/>
  <c r="K92" i="26"/>
  <c r="L92" i="26"/>
  <c r="M92" i="26"/>
  <c r="N92" i="26"/>
  <c r="O92" i="26"/>
  <c r="Q92" i="26"/>
  <c r="R92" i="26"/>
  <c r="S92" i="26"/>
  <c r="U92" i="26"/>
  <c r="V92" i="26"/>
  <c r="W92" i="26"/>
  <c r="X92" i="26"/>
  <c r="Z92" i="26"/>
  <c r="AA92" i="26"/>
  <c r="AB92" i="26"/>
  <c r="AC92" i="26"/>
  <c r="AD92" i="26"/>
  <c r="AE92" i="26"/>
  <c r="AF92" i="26"/>
  <c r="AG92" i="26"/>
  <c r="AH92" i="26"/>
  <c r="AI92" i="26"/>
  <c r="AJ92" i="26"/>
  <c r="AK92" i="26"/>
  <c r="AL92" i="26"/>
  <c r="AM92" i="26"/>
  <c r="AN92" i="26"/>
  <c r="AO92" i="26"/>
  <c r="AP92" i="26"/>
  <c r="AQ92" i="26"/>
  <c r="E209" i="47"/>
  <c r="C210" i="47"/>
  <c r="D92" i="25"/>
  <c r="T78" i="25"/>
  <c r="T80" i="25"/>
  <c r="T81" i="25"/>
  <c r="T82" i="25"/>
  <c r="T83" i="25"/>
  <c r="T84" i="25"/>
  <c r="T85" i="25"/>
  <c r="T86" i="25"/>
  <c r="T87" i="25"/>
  <c r="T89" i="25"/>
  <c r="T90" i="25"/>
  <c r="T91" i="25"/>
  <c r="T93" i="25"/>
  <c r="T94" i="25"/>
  <c r="T95" i="25"/>
  <c r="T96" i="25"/>
  <c r="T97" i="25"/>
  <c r="T98" i="25"/>
  <c r="T99" i="25"/>
  <c r="T100" i="25"/>
  <c r="T101" i="25"/>
  <c r="T102" i="25"/>
  <c r="T103" i="25"/>
  <c r="T104" i="25"/>
  <c r="T105" i="25"/>
  <c r="T106" i="25"/>
  <c r="T107" i="25"/>
  <c r="T108" i="25"/>
  <c r="T109" i="25"/>
  <c r="T110" i="25"/>
  <c r="T111" i="25"/>
  <c r="T112" i="25"/>
  <c r="T113" i="25"/>
  <c r="T114" i="25"/>
  <c r="F92" i="25"/>
  <c r="H92" i="25"/>
  <c r="I92" i="25"/>
  <c r="J92" i="25"/>
  <c r="K92" i="25"/>
  <c r="L92" i="25"/>
  <c r="M92" i="25"/>
  <c r="N92" i="25"/>
  <c r="O92" i="25"/>
  <c r="Q92" i="25"/>
  <c r="R92" i="25"/>
  <c r="S92" i="25"/>
  <c r="U92" i="25"/>
  <c r="V92" i="25"/>
  <c r="W92" i="25"/>
  <c r="X92" i="25"/>
  <c r="Y92" i="25"/>
  <c r="Z92" i="25"/>
  <c r="AA92" i="25"/>
  <c r="AB92" i="25"/>
  <c r="AC92" i="25"/>
  <c r="AD92" i="25"/>
  <c r="AE92" i="25"/>
  <c r="AF92" i="25"/>
  <c r="AG92" i="25"/>
  <c r="AH92" i="25"/>
  <c r="AI92" i="25"/>
  <c r="AJ92" i="25"/>
  <c r="AK92" i="25"/>
  <c r="AL92" i="25"/>
  <c r="AM92" i="25"/>
  <c r="AN92" i="25"/>
  <c r="AO92" i="25"/>
  <c r="AP92" i="25"/>
  <c r="E210" i="47"/>
  <c r="C211" i="47"/>
  <c r="D93" i="24"/>
  <c r="T81" i="24"/>
  <c r="T82" i="24"/>
  <c r="T83" i="24"/>
  <c r="T84" i="24"/>
  <c r="T85" i="24"/>
  <c r="T86" i="24"/>
  <c r="T87" i="24"/>
  <c r="T88" i="24"/>
  <c r="T90" i="24"/>
  <c r="T91" i="24"/>
  <c r="T92" i="24"/>
  <c r="T94" i="24"/>
  <c r="T95" i="24"/>
  <c r="T96" i="24"/>
  <c r="T97" i="24"/>
  <c r="T98" i="24"/>
  <c r="T99" i="24"/>
  <c r="T100" i="24"/>
  <c r="T101" i="24"/>
  <c r="T102" i="24"/>
  <c r="T103" i="24"/>
  <c r="T104" i="24"/>
  <c r="T105" i="24"/>
  <c r="T106" i="24"/>
  <c r="T107" i="24"/>
  <c r="T108" i="24"/>
  <c r="T109" i="24"/>
  <c r="T110" i="24"/>
  <c r="T111" i="24"/>
  <c r="T112" i="24"/>
  <c r="T113" i="24"/>
  <c r="T114" i="24"/>
  <c r="T115" i="24"/>
  <c r="T116" i="24"/>
  <c r="F93" i="24"/>
  <c r="H93" i="24"/>
  <c r="I93" i="24"/>
  <c r="J93" i="24"/>
  <c r="K93" i="24"/>
  <c r="L93" i="24"/>
  <c r="M93" i="24"/>
  <c r="N93" i="24"/>
  <c r="O93" i="24"/>
  <c r="Q93" i="24"/>
  <c r="R93" i="24"/>
  <c r="S93" i="24"/>
  <c r="U93" i="24"/>
  <c r="V93" i="24"/>
  <c r="W93" i="24"/>
  <c r="X93" i="24"/>
  <c r="Z93" i="24"/>
  <c r="AA93" i="24"/>
  <c r="AB93" i="24"/>
  <c r="AC93" i="24"/>
  <c r="AD93" i="24"/>
  <c r="AE93" i="24"/>
  <c r="AF93" i="24"/>
  <c r="AG93" i="24"/>
  <c r="AH93" i="24"/>
  <c r="AI93" i="24"/>
  <c r="AJ93" i="24"/>
  <c r="AK93" i="24"/>
  <c r="AL93" i="24"/>
  <c r="AM93" i="24"/>
  <c r="AN93" i="24"/>
  <c r="AO93" i="24"/>
  <c r="AP93" i="24"/>
  <c r="AQ93" i="24"/>
  <c r="E211" i="47"/>
  <c r="C212" i="47"/>
  <c r="D93" i="23"/>
  <c r="T81" i="23"/>
  <c r="T82" i="23"/>
  <c r="T83" i="23"/>
  <c r="T84" i="23"/>
  <c r="T85" i="23"/>
  <c r="T86" i="23"/>
  <c r="T87" i="23"/>
  <c r="T88" i="23"/>
  <c r="T90" i="23"/>
  <c r="T91" i="23"/>
  <c r="T92" i="23"/>
  <c r="T94" i="23"/>
  <c r="T95" i="23"/>
  <c r="T96" i="23"/>
  <c r="T97" i="23"/>
  <c r="T98" i="23"/>
  <c r="T99" i="23"/>
  <c r="T100" i="23"/>
  <c r="T101" i="23"/>
  <c r="T102" i="23"/>
  <c r="T103" i="23"/>
  <c r="T104" i="23"/>
  <c r="T105" i="23"/>
  <c r="T106" i="23"/>
  <c r="T107" i="23"/>
  <c r="T108" i="23"/>
  <c r="T109" i="23"/>
  <c r="T110" i="23"/>
  <c r="T111" i="23"/>
  <c r="T112" i="23"/>
  <c r="T113" i="23"/>
  <c r="T114" i="23"/>
  <c r="T115" i="23"/>
  <c r="H93" i="23"/>
  <c r="I93" i="23"/>
  <c r="J93" i="23"/>
  <c r="K93" i="23"/>
  <c r="L93" i="23"/>
  <c r="M93" i="23"/>
  <c r="N93" i="23"/>
  <c r="O93" i="23"/>
  <c r="Q93" i="23"/>
  <c r="R93" i="23"/>
  <c r="S93" i="23"/>
  <c r="U93" i="23"/>
  <c r="V93" i="23"/>
  <c r="W93" i="23"/>
  <c r="X93" i="23"/>
  <c r="Z93" i="23"/>
  <c r="AA93" i="23"/>
  <c r="AB93" i="23"/>
  <c r="AC93" i="23"/>
  <c r="AD93" i="23"/>
  <c r="AE93" i="23"/>
  <c r="AF93" i="23"/>
  <c r="AG93" i="23"/>
  <c r="AH93" i="23"/>
  <c r="AI93" i="23"/>
  <c r="AJ93" i="23"/>
  <c r="AK93" i="23"/>
  <c r="AL93" i="23"/>
  <c r="AM93" i="23"/>
  <c r="AN93" i="23"/>
  <c r="AO93" i="23"/>
  <c r="AP93" i="23"/>
  <c r="E212" i="47"/>
  <c r="C213" i="47"/>
  <c r="D92" i="22"/>
  <c r="T78" i="22"/>
  <c r="T80" i="22"/>
  <c r="T81" i="22"/>
  <c r="T82" i="22"/>
  <c r="T83" i="22"/>
  <c r="T84" i="22"/>
  <c r="T85" i="22"/>
  <c r="T86" i="22"/>
  <c r="T87" i="22"/>
  <c r="T89" i="22"/>
  <c r="T90" i="22"/>
  <c r="T91" i="22"/>
  <c r="T93" i="22"/>
  <c r="T94" i="22"/>
  <c r="T95" i="22"/>
  <c r="T96" i="22"/>
  <c r="T98" i="22"/>
  <c r="T99" i="22"/>
  <c r="T100" i="22"/>
  <c r="T101" i="22"/>
  <c r="T102" i="22"/>
  <c r="T103" i="22"/>
  <c r="T104" i="22"/>
  <c r="T105" i="22"/>
  <c r="T106" i="22"/>
  <c r="T107" i="22"/>
  <c r="T108" i="22"/>
  <c r="T109" i="22"/>
  <c r="T110" i="22"/>
  <c r="T111" i="22"/>
  <c r="T112" i="22"/>
  <c r="T113" i="22"/>
  <c r="T114" i="22"/>
  <c r="F92" i="22"/>
  <c r="H92" i="22"/>
  <c r="I92" i="22"/>
  <c r="J92" i="22"/>
  <c r="K92" i="22"/>
  <c r="L92" i="22"/>
  <c r="M92" i="22"/>
  <c r="N92" i="22"/>
  <c r="O92" i="22"/>
  <c r="Q92" i="22"/>
  <c r="R92" i="22"/>
  <c r="S92" i="22"/>
  <c r="U92" i="22"/>
  <c r="V92" i="22"/>
  <c r="W92" i="22"/>
  <c r="X92" i="22"/>
  <c r="Z92" i="22"/>
  <c r="AA92" i="22"/>
  <c r="AB92" i="22"/>
  <c r="AC92" i="22"/>
  <c r="AD92" i="22"/>
  <c r="AE92" i="22"/>
  <c r="AF92" i="22"/>
  <c r="AG92" i="22"/>
  <c r="AH92" i="22"/>
  <c r="AI92" i="22"/>
  <c r="AJ92" i="22"/>
  <c r="AK92" i="22"/>
  <c r="AL92" i="22"/>
  <c r="AM92" i="22"/>
  <c r="AN92" i="22"/>
  <c r="AO92" i="22"/>
  <c r="AP92" i="22"/>
  <c r="E213" i="47"/>
  <c r="C214" i="47"/>
  <c r="D93" i="21"/>
  <c r="T81" i="21"/>
  <c r="T82" i="21"/>
  <c r="T83" i="21"/>
  <c r="T84" i="21"/>
  <c r="T85" i="21"/>
  <c r="T86" i="21"/>
  <c r="T87" i="21"/>
  <c r="T88" i="21"/>
  <c r="T90" i="21"/>
  <c r="T91" i="21"/>
  <c r="T92" i="21"/>
  <c r="T94" i="21"/>
  <c r="T95" i="21"/>
  <c r="T96" i="21"/>
  <c r="T97" i="21"/>
  <c r="T99" i="21"/>
  <c r="T100" i="21"/>
  <c r="T101" i="21"/>
  <c r="T102" i="21"/>
  <c r="T103" i="21"/>
  <c r="T104" i="21"/>
  <c r="T105" i="21"/>
  <c r="T106" i="21"/>
  <c r="T107" i="21"/>
  <c r="T108" i="21"/>
  <c r="T109" i="21"/>
  <c r="T110" i="21"/>
  <c r="T111" i="21"/>
  <c r="T112" i="21"/>
  <c r="T113" i="21"/>
  <c r="T114" i="21"/>
  <c r="T115" i="21"/>
  <c r="F93" i="21"/>
  <c r="H93" i="21"/>
  <c r="I93" i="21"/>
  <c r="J93" i="21"/>
  <c r="K93" i="21"/>
  <c r="L93" i="21"/>
  <c r="M93" i="21"/>
  <c r="N93" i="21"/>
  <c r="O93" i="21"/>
  <c r="Q93" i="21"/>
  <c r="R93" i="21"/>
  <c r="S93" i="21"/>
  <c r="U93" i="21"/>
  <c r="V93" i="21"/>
  <c r="W93" i="21"/>
  <c r="X93" i="21"/>
  <c r="Z93" i="21"/>
  <c r="AA93" i="21"/>
  <c r="AB93" i="21"/>
  <c r="AC93" i="21"/>
  <c r="AD93" i="21"/>
  <c r="AE93" i="21"/>
  <c r="AF93" i="21"/>
  <c r="AG93" i="21"/>
  <c r="AH93" i="21"/>
  <c r="AI93" i="21"/>
  <c r="AJ93" i="21"/>
  <c r="AK93" i="21"/>
  <c r="AL93" i="21"/>
  <c r="AM93" i="21"/>
  <c r="AN93" i="21"/>
  <c r="AO93" i="21"/>
  <c r="AP93" i="21"/>
  <c r="E214" i="47"/>
  <c r="C215" i="47"/>
  <c r="D92" i="34"/>
  <c r="T78" i="34"/>
  <c r="T80" i="34"/>
  <c r="T81" i="34"/>
  <c r="T82" i="34"/>
  <c r="T83" i="34"/>
  <c r="T84" i="34"/>
  <c r="T85" i="34"/>
  <c r="T86" i="34"/>
  <c r="T87" i="34"/>
  <c r="T89" i="34"/>
  <c r="T90" i="34"/>
  <c r="T91" i="34"/>
  <c r="T93" i="34"/>
  <c r="T94" i="34"/>
  <c r="T95" i="34"/>
  <c r="T96" i="34"/>
  <c r="T98" i="34"/>
  <c r="T99" i="34"/>
  <c r="T100" i="34"/>
  <c r="T101" i="34"/>
  <c r="T102" i="34"/>
  <c r="T103" i="34"/>
  <c r="T104" i="34"/>
  <c r="T105" i="34"/>
  <c r="T106" i="34"/>
  <c r="T107" i="34"/>
  <c r="T108" i="34"/>
  <c r="T109" i="34"/>
  <c r="T110" i="34"/>
  <c r="T111" i="34"/>
  <c r="T112" i="34"/>
  <c r="T113" i="34"/>
  <c r="T114" i="34"/>
  <c r="F92" i="34"/>
  <c r="H92" i="34"/>
  <c r="I92" i="34"/>
  <c r="J92" i="34"/>
  <c r="K92" i="34"/>
  <c r="L92" i="34"/>
  <c r="M92" i="34"/>
  <c r="N92" i="34"/>
  <c r="O92" i="34"/>
  <c r="Q92" i="34"/>
  <c r="R92" i="34"/>
  <c r="S92" i="34"/>
  <c r="U92" i="34"/>
  <c r="V92" i="34"/>
  <c r="W92" i="34"/>
  <c r="X92" i="34"/>
  <c r="Y92" i="34"/>
  <c r="Z92" i="34"/>
  <c r="AA92" i="34"/>
  <c r="AB92" i="34"/>
  <c r="AC92" i="34"/>
  <c r="AD92" i="34"/>
  <c r="AE92" i="34"/>
  <c r="AF92" i="34"/>
  <c r="AG92" i="34"/>
  <c r="AH92" i="34"/>
  <c r="AI92" i="34"/>
  <c r="AJ92" i="34"/>
  <c r="AK92" i="34"/>
  <c r="AL92" i="34"/>
  <c r="AM92" i="34"/>
  <c r="AN92" i="34"/>
  <c r="AO92" i="34"/>
  <c r="AP92" i="34"/>
  <c r="AQ92" i="34"/>
  <c r="E215" i="47"/>
  <c r="AA31" i="88"/>
  <c r="AA32" i="88"/>
  <c r="AA33" i="88"/>
  <c r="AA34" i="88"/>
  <c r="AA35" i="88"/>
  <c r="AA36" i="88"/>
  <c r="AA37" i="88"/>
  <c r="AA38" i="88"/>
  <c r="AA39" i="88"/>
  <c r="AA40" i="88"/>
  <c r="AB30" i="88"/>
  <c r="AC30" i="88"/>
  <c r="AD30" i="88"/>
  <c r="AE30" i="88"/>
  <c r="AF30" i="88"/>
  <c r="AG30" i="88"/>
  <c r="AH30" i="88"/>
  <c r="AI30" i="88"/>
  <c r="AJ30" i="88"/>
  <c r="AK30" i="88"/>
  <c r="AB32" i="88"/>
  <c r="AB33" i="88"/>
  <c r="AB34" i="88"/>
  <c r="AB35" i="88"/>
  <c r="AB36" i="88"/>
  <c r="AB37" i="88"/>
  <c r="AB38" i="88"/>
  <c r="AB39" i="88"/>
  <c r="AB40" i="88"/>
  <c r="AC31" i="88"/>
  <c r="AD31" i="88"/>
  <c r="AE31" i="88"/>
  <c r="AF31" i="88"/>
  <c r="AG31" i="88"/>
  <c r="AH31" i="88"/>
  <c r="AI31" i="88"/>
  <c r="AJ31" i="88"/>
  <c r="AK31" i="88"/>
  <c r="AC33" i="88"/>
  <c r="AC34" i="88"/>
  <c r="AC35" i="88"/>
  <c r="AC36" i="88"/>
  <c r="AC37" i="88"/>
  <c r="AC38" i="88"/>
  <c r="AC39" i="88"/>
  <c r="AC40" i="88"/>
  <c r="AD32" i="88"/>
  <c r="AE32" i="88"/>
  <c r="AF32" i="88"/>
  <c r="AG32" i="88"/>
  <c r="AH32" i="88"/>
  <c r="AI32" i="88"/>
  <c r="AJ32" i="88"/>
  <c r="AK32" i="88"/>
  <c r="AD34" i="88"/>
  <c r="AD35" i="88"/>
  <c r="AD36" i="88"/>
  <c r="AD37" i="88"/>
  <c r="AD38" i="88"/>
  <c r="AD39" i="88"/>
  <c r="AD40" i="88"/>
  <c r="AE33" i="88"/>
  <c r="AF33" i="88"/>
  <c r="AG33" i="88"/>
  <c r="AH33" i="88"/>
  <c r="AI33" i="88"/>
  <c r="AJ33" i="88"/>
  <c r="AK33" i="88"/>
  <c r="AE35" i="88"/>
  <c r="AE36" i="88"/>
  <c r="AE37" i="88"/>
  <c r="AE38" i="88"/>
  <c r="AE39" i="88"/>
  <c r="AE40" i="88"/>
  <c r="AF34" i="88"/>
  <c r="AG34" i="88"/>
  <c r="AH34" i="88"/>
  <c r="AI34" i="88"/>
  <c r="AJ34" i="88"/>
  <c r="AK34" i="88"/>
  <c r="AF36" i="88"/>
  <c r="AF37" i="88"/>
  <c r="AF38" i="88"/>
  <c r="AF39" i="88"/>
  <c r="AF40" i="88"/>
  <c r="AG35" i="88"/>
  <c r="AH35" i="88"/>
  <c r="AI35" i="88"/>
  <c r="AJ35" i="88"/>
  <c r="AK35" i="88"/>
  <c r="AG37" i="88"/>
  <c r="AG38" i="88"/>
  <c r="AG39" i="88"/>
  <c r="AG40" i="88"/>
  <c r="AH36" i="88"/>
  <c r="AI36" i="88"/>
  <c r="AJ36" i="88"/>
  <c r="AK36" i="88"/>
  <c r="AH38" i="88"/>
  <c r="AH39" i="88"/>
  <c r="AH40" i="88"/>
  <c r="AI37" i="88"/>
  <c r="AJ37" i="88"/>
  <c r="AK37" i="88"/>
  <c r="AI39" i="88"/>
  <c r="AI40" i="88"/>
  <c r="AJ38" i="88"/>
  <c r="AK38" i="88"/>
  <c r="AJ40" i="88"/>
  <c r="AK39" i="88"/>
  <c r="G14" i="84"/>
  <c r="G15" i="84"/>
  <c r="G16" i="84"/>
  <c r="G19" i="84"/>
  <c r="G21" i="84"/>
  <c r="G23" i="84"/>
  <c r="G25" i="84"/>
  <c r="G29" i="84"/>
  <c r="G30" i="84"/>
  <c r="G31" i="84"/>
  <c r="G33" i="84"/>
  <c r="G34" i="84"/>
  <c r="G35" i="84"/>
  <c r="G37" i="84"/>
  <c r="G38" i="84"/>
  <c r="G39" i="84"/>
  <c r="G41" i="84"/>
  <c r="G42" i="84"/>
  <c r="G43" i="84"/>
  <c r="G11" i="88"/>
  <c r="X9" i="84"/>
  <c r="AG9" i="84"/>
  <c r="AH9" i="84"/>
  <c r="AP9" i="84"/>
  <c r="I9" i="84"/>
  <c r="H15" i="19"/>
  <c r="H18" i="19"/>
  <c r="H26" i="19"/>
  <c r="L18" i="19"/>
  <c r="L34" i="19"/>
  <c r="L25" i="19"/>
  <c r="L67" i="19" s="1"/>
  <c r="L63" i="19"/>
  <c r="O15" i="19"/>
  <c r="AE15" i="19"/>
  <c r="V15" i="19" s="1"/>
  <c r="BH15" i="19"/>
  <c r="AE24" i="28"/>
  <c r="V24" i="28" s="1"/>
  <c r="AE24" i="27"/>
  <c r="AE24" i="26"/>
  <c r="AE24" i="25"/>
  <c r="AE24" i="24"/>
  <c r="AE24" i="23"/>
  <c r="V24" i="23" s="1"/>
  <c r="AE24" i="22"/>
  <c r="Y87" i="22" s="1"/>
  <c r="AE24" i="21"/>
  <c r="AE24" i="34"/>
  <c r="AE20" i="33"/>
  <c r="AE23" i="33"/>
  <c r="AE24" i="33"/>
  <c r="AE20" i="32"/>
  <c r="AE23" i="32"/>
  <c r="V23" i="32" s="1"/>
  <c r="AE24" i="32"/>
  <c r="AE13" i="31"/>
  <c r="V13" i="31"/>
  <c r="AE12" i="31"/>
  <c r="AE17" i="31"/>
  <c r="AE22" i="31"/>
  <c r="AE21" i="31"/>
  <c r="AE18" i="31" s="1"/>
  <c r="AE19" i="31"/>
  <c r="AE16" i="31"/>
  <c r="AE20" i="30"/>
  <c r="V20" i="30" s="1"/>
  <c r="AE21" i="30"/>
  <c r="Y83" i="30" s="1"/>
  <c r="AE23" i="30"/>
  <c r="V23" i="30" s="1"/>
  <c r="AE24" i="30"/>
  <c r="AE20" i="40"/>
  <c r="V20" i="40"/>
  <c r="AE21" i="40"/>
  <c r="AE23" i="40"/>
  <c r="V23" i="40"/>
  <c r="AE24" i="40"/>
  <c r="V24" i="40" s="1"/>
  <c r="AE20" i="39"/>
  <c r="AE21" i="39"/>
  <c r="AE23" i="39"/>
  <c r="AE24" i="39"/>
  <c r="V24" i="39" s="1"/>
  <c r="AE20" i="38"/>
  <c r="AE21" i="38"/>
  <c r="AE23" i="38"/>
  <c r="AE24" i="38"/>
  <c r="V24" i="38"/>
  <c r="AE20" i="37"/>
  <c r="AE21" i="37"/>
  <c r="AE23" i="37"/>
  <c r="V23" i="37"/>
  <c r="AE24" i="37"/>
  <c r="AE24" i="19"/>
  <c r="H15" i="27"/>
  <c r="BL15" i="27" s="1"/>
  <c r="L15" i="27" s="1"/>
  <c r="H26" i="27"/>
  <c r="L18" i="27"/>
  <c r="L34" i="27"/>
  <c r="L25" i="27" s="1"/>
  <c r="L63" i="27"/>
  <c r="O15" i="27"/>
  <c r="AE15" i="27"/>
  <c r="V15" i="27" s="1"/>
  <c r="BH15" i="27"/>
  <c r="O12" i="33"/>
  <c r="I18" i="33"/>
  <c r="I34" i="33"/>
  <c r="I63" i="33"/>
  <c r="J18" i="33"/>
  <c r="J67" i="33" s="1"/>
  <c r="J34" i="33"/>
  <c r="J25" i="33"/>
  <c r="J63" i="33"/>
  <c r="O13" i="33"/>
  <c r="K18" i="33"/>
  <c r="K34" i="33"/>
  <c r="K25" i="33" s="1"/>
  <c r="K63" i="33"/>
  <c r="O14" i="33"/>
  <c r="BL14" i="33" s="1"/>
  <c r="P11" i="33"/>
  <c r="P34" i="33"/>
  <c r="P25" i="33"/>
  <c r="P63" i="33"/>
  <c r="S10" i="33"/>
  <c r="S9" i="33" s="1"/>
  <c r="S18" i="33"/>
  <c r="S34" i="33"/>
  <c r="S25" i="33" s="1"/>
  <c r="S63" i="33"/>
  <c r="M115" i="33" s="1"/>
  <c r="M18" i="33"/>
  <c r="M34" i="33"/>
  <c r="M25" i="33"/>
  <c r="M67" i="33" s="1"/>
  <c r="D66" i="46" s="1"/>
  <c r="M63" i="33"/>
  <c r="N18" i="33"/>
  <c r="N34" i="33"/>
  <c r="N25" i="33" s="1"/>
  <c r="N63" i="33"/>
  <c r="Q34" i="33"/>
  <c r="Q25" i="33" s="1"/>
  <c r="Q67" i="33" s="1"/>
  <c r="Q63" i="33"/>
  <c r="H20" i="33"/>
  <c r="G20" i="33"/>
  <c r="F20" i="33" s="1"/>
  <c r="BH20" i="33"/>
  <c r="T10" i="33"/>
  <c r="T9" i="33" s="1"/>
  <c r="T18" i="33"/>
  <c r="T34" i="33"/>
  <c r="T63" i="33"/>
  <c r="N115" i="33" s="1"/>
  <c r="H23" i="33"/>
  <c r="O23" i="33"/>
  <c r="BH23" i="33"/>
  <c r="AQ86" i="33" s="1"/>
  <c r="U10" i="33"/>
  <c r="U9" i="33" s="1"/>
  <c r="U18" i="33"/>
  <c r="U34" i="33"/>
  <c r="U25" i="33" s="1"/>
  <c r="U63" i="33"/>
  <c r="BE11" i="33"/>
  <c r="BE10" i="33" s="1"/>
  <c r="BE9" i="33" s="1"/>
  <c r="BE8" i="33" s="1"/>
  <c r="BE18" i="33"/>
  <c r="BE34" i="33"/>
  <c r="AN97" i="33" s="1"/>
  <c r="BE63" i="33"/>
  <c r="AU11" i="33"/>
  <c r="AU10" i="33" s="1"/>
  <c r="AU9" i="33" s="1"/>
  <c r="AU18" i="33"/>
  <c r="AU34" i="33"/>
  <c r="AU63" i="33"/>
  <c r="H50" i="33"/>
  <c r="G50" i="33" s="1"/>
  <c r="F50" i="33" s="1"/>
  <c r="E50" i="33" s="1"/>
  <c r="AE50" i="33"/>
  <c r="BH50" i="33"/>
  <c r="AB11" i="33"/>
  <c r="AB10" i="33" s="1"/>
  <c r="AB9" i="33" s="1"/>
  <c r="AB18" i="33"/>
  <c r="AB34" i="33"/>
  <c r="AB63" i="33"/>
  <c r="W11" i="33"/>
  <c r="W10" i="33" s="1"/>
  <c r="W9" i="33" s="1"/>
  <c r="W18" i="33"/>
  <c r="W34" i="33"/>
  <c r="W63" i="33"/>
  <c r="X11" i="33"/>
  <c r="X10" i="33" s="1"/>
  <c r="X9" i="33" s="1"/>
  <c r="X18" i="33"/>
  <c r="X34" i="33"/>
  <c r="R97" i="33" s="1"/>
  <c r="X63" i="33"/>
  <c r="Z11" i="33"/>
  <c r="Z18" i="33"/>
  <c r="Z34" i="33"/>
  <c r="Z63" i="33"/>
  <c r="H29" i="33"/>
  <c r="G29" i="33" s="1"/>
  <c r="F29" i="33" s="1"/>
  <c r="E29" i="33" s="1"/>
  <c r="AE29" i="33"/>
  <c r="BH29" i="33"/>
  <c r="AA11" i="33"/>
  <c r="AA10" i="33" s="1"/>
  <c r="AA9" i="33" s="1"/>
  <c r="AA8" i="33" s="1"/>
  <c r="AA18" i="33"/>
  <c r="AA34" i="33"/>
  <c r="AA63" i="33"/>
  <c r="H30" i="33"/>
  <c r="G30" i="33" s="1"/>
  <c r="F30" i="33" s="1"/>
  <c r="E30" i="33" s="1"/>
  <c r="AE30" i="33"/>
  <c r="BH30" i="33"/>
  <c r="AQ93" i="33" s="1"/>
  <c r="AD11" i="33"/>
  <c r="AD10" i="33"/>
  <c r="AD9" i="33" s="1"/>
  <c r="AD8" i="33" s="1"/>
  <c r="AD18" i="33"/>
  <c r="AD34" i="33"/>
  <c r="X97" i="33" s="1"/>
  <c r="AD63" i="33"/>
  <c r="H33" i="33"/>
  <c r="G33" i="33" s="1"/>
  <c r="F33" i="33" s="1"/>
  <c r="E33" i="33" s="1"/>
  <c r="AE33" i="33"/>
  <c r="BH33" i="33"/>
  <c r="AQ96" i="33" s="1"/>
  <c r="AR11" i="33"/>
  <c r="AR10" i="33" s="1"/>
  <c r="AR9" i="33" s="1"/>
  <c r="AR18" i="33"/>
  <c r="AR34" i="33"/>
  <c r="AR63" i="33"/>
  <c r="AA115" i="33" s="1"/>
  <c r="H47" i="33"/>
  <c r="G47" i="33" s="1"/>
  <c r="F47" i="33" s="1"/>
  <c r="E47" i="33" s="1"/>
  <c r="AE47" i="33"/>
  <c r="BH47" i="33"/>
  <c r="AS11" i="33"/>
  <c r="AS10" i="33" s="1"/>
  <c r="AS9" i="33" s="1"/>
  <c r="AS18" i="33"/>
  <c r="AS34" i="33"/>
  <c r="AX11" i="33"/>
  <c r="AX10" i="33" s="1"/>
  <c r="AX9" i="33" s="1"/>
  <c r="AX8" i="33" s="1"/>
  <c r="AX18" i="33"/>
  <c r="AX34" i="33"/>
  <c r="AX63" i="33"/>
  <c r="AG115" i="33"/>
  <c r="H53" i="33"/>
  <c r="G53" i="33" s="1"/>
  <c r="F53" i="33" s="1"/>
  <c r="E53" i="33" s="1"/>
  <c r="AE53" i="33"/>
  <c r="BH53" i="33"/>
  <c r="BG11" i="33"/>
  <c r="BG18" i="33"/>
  <c r="BG34" i="33"/>
  <c r="AP97" i="33" s="1"/>
  <c r="BG63" i="33"/>
  <c r="H62" i="33"/>
  <c r="G62" i="33"/>
  <c r="F62" i="33" s="1"/>
  <c r="E62" i="33" s="1"/>
  <c r="BL62" i="33" s="1"/>
  <c r="AE62" i="33"/>
  <c r="BH62" i="33"/>
  <c r="AQ114" i="33" s="1"/>
  <c r="BI11" i="33"/>
  <c r="BI10" i="33" s="1"/>
  <c r="BI9" i="33" s="1"/>
  <c r="BI18" i="33"/>
  <c r="BI34" i="33"/>
  <c r="BI25" i="33"/>
  <c r="G64" i="33"/>
  <c r="F64" i="33" s="1"/>
  <c r="E64" i="33" s="1"/>
  <c r="AE64" i="33"/>
  <c r="V64" i="33" s="1"/>
  <c r="H66" i="33"/>
  <c r="G66" i="33"/>
  <c r="F66" i="33" s="1"/>
  <c r="AE66" i="33"/>
  <c r="V66" i="33"/>
  <c r="N18" i="32"/>
  <c r="N34" i="32"/>
  <c r="N25" i="32" s="1"/>
  <c r="N63" i="32"/>
  <c r="R34" i="32"/>
  <c r="R25" i="32" s="1"/>
  <c r="R63" i="32"/>
  <c r="O12" i="32"/>
  <c r="I18" i="32"/>
  <c r="I34" i="32"/>
  <c r="I25" i="32" s="1"/>
  <c r="I63" i="32"/>
  <c r="O13" i="32"/>
  <c r="J18" i="32"/>
  <c r="J34" i="32"/>
  <c r="J25" i="32" s="1"/>
  <c r="J63" i="32"/>
  <c r="K18" i="32"/>
  <c r="K34" i="32"/>
  <c r="K25" i="32" s="1"/>
  <c r="K67" i="32" s="1"/>
  <c r="K63" i="32"/>
  <c r="O14" i="32"/>
  <c r="BL14" i="32" s="1"/>
  <c r="K14" i="32" s="1"/>
  <c r="S10" i="32"/>
  <c r="S9" i="32"/>
  <c r="S18" i="32"/>
  <c r="S34" i="32"/>
  <c r="S63" i="32"/>
  <c r="M115" i="32" s="1"/>
  <c r="P11" i="32"/>
  <c r="P10" i="32" s="1"/>
  <c r="P34" i="32"/>
  <c r="P25" i="32" s="1"/>
  <c r="P63" i="32"/>
  <c r="J115" i="32" s="1"/>
  <c r="M18" i="32"/>
  <c r="M34" i="32"/>
  <c r="M63" i="32"/>
  <c r="Q34" i="32"/>
  <c r="Q63" i="32"/>
  <c r="H20" i="32"/>
  <c r="BH20" i="32"/>
  <c r="BH18" i="32" s="1"/>
  <c r="T10" i="32"/>
  <c r="T9" i="32" s="1"/>
  <c r="T18" i="32"/>
  <c r="T34" i="32"/>
  <c r="T25" i="32" s="1"/>
  <c r="T63" i="32"/>
  <c r="N115" i="32" s="1"/>
  <c r="H23" i="32"/>
  <c r="O23" i="32"/>
  <c r="BH23" i="32"/>
  <c r="U18" i="32"/>
  <c r="U34" i="32"/>
  <c r="U25" i="32" s="1"/>
  <c r="U63" i="32"/>
  <c r="O115" i="32" s="1"/>
  <c r="W11" i="32"/>
  <c r="W18" i="32"/>
  <c r="W34" i="32"/>
  <c r="W63" i="32"/>
  <c r="X11" i="32"/>
  <c r="X10" i="32" s="1"/>
  <c r="X9" i="32" s="1"/>
  <c r="X18" i="32"/>
  <c r="X34" i="32"/>
  <c r="X63" i="32"/>
  <c r="AU11" i="32"/>
  <c r="AU10" i="32" s="1"/>
  <c r="AU9" i="32" s="1"/>
  <c r="AU8" i="32" s="1"/>
  <c r="AU18" i="32"/>
  <c r="AU34" i="32"/>
  <c r="AU63" i="32"/>
  <c r="H50" i="32"/>
  <c r="G50" i="32" s="1"/>
  <c r="F50" i="32" s="1"/>
  <c r="E50" i="32" s="1"/>
  <c r="AE50" i="32"/>
  <c r="BH50" i="32"/>
  <c r="Y11" i="32"/>
  <c r="Y18" i="32"/>
  <c r="Y34" i="32"/>
  <c r="S97" i="32" s="1"/>
  <c r="Y63" i="32"/>
  <c r="H28" i="32"/>
  <c r="AE28" i="32"/>
  <c r="BH28" i="32"/>
  <c r="Z11" i="32"/>
  <c r="Z18" i="32"/>
  <c r="Z34" i="32"/>
  <c r="Z63" i="32"/>
  <c r="H29" i="32"/>
  <c r="AE29" i="32"/>
  <c r="Y92" i="32" s="1"/>
  <c r="BH29" i="32"/>
  <c r="AA11" i="32"/>
  <c r="AA18" i="32"/>
  <c r="AA34" i="32"/>
  <c r="U97" i="32" s="1"/>
  <c r="AA63" i="32"/>
  <c r="H30" i="32"/>
  <c r="G30" i="32" s="1"/>
  <c r="F30" i="32" s="1"/>
  <c r="E30" i="32" s="1"/>
  <c r="BL30" i="32" s="1"/>
  <c r="AA30" i="32" s="1"/>
  <c r="V30" i="32" s="1"/>
  <c r="AE30" i="32"/>
  <c r="BH30" i="32"/>
  <c r="AD11" i="32"/>
  <c r="AD10" i="32"/>
  <c r="AD9" i="32" s="1"/>
  <c r="AD8" i="32" s="1"/>
  <c r="AD67" i="32" s="1"/>
  <c r="AD18" i="32"/>
  <c r="AD34" i="32"/>
  <c r="AD63" i="32"/>
  <c r="H33" i="32"/>
  <c r="G33" i="32" s="1"/>
  <c r="F33" i="32"/>
  <c r="E33" i="32" s="1"/>
  <c r="BL33" i="32" s="1"/>
  <c r="AE33" i="32"/>
  <c r="BH33" i="32"/>
  <c r="AQ96" i="32" s="1"/>
  <c r="AR11" i="32"/>
  <c r="AR10" i="32"/>
  <c r="AR9" i="32" s="1"/>
  <c r="AR18" i="32"/>
  <c r="AR34" i="32"/>
  <c r="AR63" i="32"/>
  <c r="AA115" i="32"/>
  <c r="H47" i="32"/>
  <c r="AE47" i="32"/>
  <c r="BH47" i="32"/>
  <c r="AS11" i="32"/>
  <c r="AS18" i="32"/>
  <c r="AS34" i="32"/>
  <c r="AB97" i="32" s="1"/>
  <c r="AX11" i="32"/>
  <c r="AX10" i="32" s="1"/>
  <c r="AX9" i="32" s="1"/>
  <c r="AX18" i="32"/>
  <c r="AX34" i="32"/>
  <c r="AX63" i="32"/>
  <c r="AG115" i="32" s="1"/>
  <c r="H53" i="32"/>
  <c r="AE53" i="32"/>
  <c r="Y105" i="32" s="1"/>
  <c r="BH53" i="32"/>
  <c r="BE11" i="32"/>
  <c r="BE10" i="32" s="1"/>
  <c r="BE9" i="32" s="1"/>
  <c r="BE8" i="32" s="1"/>
  <c r="BE18" i="32"/>
  <c r="BE34" i="32"/>
  <c r="AN97" i="32" s="1"/>
  <c r="BE63" i="32"/>
  <c r="BG11" i="32"/>
  <c r="BG10" i="32"/>
  <c r="BG9" i="32" s="1"/>
  <c r="BG8" i="32" s="1"/>
  <c r="BG67" i="32" s="1"/>
  <c r="BG18" i="32"/>
  <c r="BG34" i="32"/>
  <c r="BG63" i="32"/>
  <c r="H62" i="32"/>
  <c r="G62" i="32" s="1"/>
  <c r="F62" i="32" s="1"/>
  <c r="E62" i="32" s="1"/>
  <c r="AE62" i="32"/>
  <c r="BH62" i="32"/>
  <c r="AQ114" i="32" s="1"/>
  <c r="BI11" i="32"/>
  <c r="BI10" i="32"/>
  <c r="BI9" i="32" s="1"/>
  <c r="BI8" i="32" s="1"/>
  <c r="BI67" i="32" s="1"/>
  <c r="BI18" i="32"/>
  <c r="BI34" i="32"/>
  <c r="BI25" i="32"/>
  <c r="G64" i="32"/>
  <c r="AE64" i="32"/>
  <c r="BJ11" i="32"/>
  <c r="BJ10" i="32" s="1"/>
  <c r="BJ9" i="32" s="1"/>
  <c r="BJ18" i="32"/>
  <c r="BJ34" i="32"/>
  <c r="BJ25" i="32" s="1"/>
  <c r="H65" i="32"/>
  <c r="AE65" i="32"/>
  <c r="V65" i="32" s="1"/>
  <c r="H66" i="32"/>
  <c r="G66" i="32"/>
  <c r="F66" i="32" s="1"/>
  <c r="E66" i="32" s="1"/>
  <c r="AE66" i="32"/>
  <c r="V66" i="32" s="1"/>
  <c r="O12" i="30"/>
  <c r="I18" i="30"/>
  <c r="I34" i="30"/>
  <c r="I63" i="30"/>
  <c r="G115" i="30" s="1"/>
  <c r="O13" i="30"/>
  <c r="J18" i="30"/>
  <c r="J34" i="30"/>
  <c r="J25" i="30" s="1"/>
  <c r="J63" i="30"/>
  <c r="K18" i="30"/>
  <c r="K34" i="30"/>
  <c r="K25" i="30" s="1"/>
  <c r="K63" i="30"/>
  <c r="O14" i="30"/>
  <c r="BL14" i="30" s="1"/>
  <c r="K14" i="30" s="1"/>
  <c r="P11" i="30"/>
  <c r="P10" i="30"/>
  <c r="P9" i="30" s="1"/>
  <c r="P34" i="30"/>
  <c r="P63" i="30"/>
  <c r="J115" i="30" s="1"/>
  <c r="S10" i="30"/>
  <c r="S9" i="30" s="1"/>
  <c r="S18" i="30"/>
  <c r="S34" i="30"/>
  <c r="S25" i="30" s="1"/>
  <c r="S63" i="30"/>
  <c r="M18" i="30"/>
  <c r="M34" i="30"/>
  <c r="M63" i="30"/>
  <c r="N18" i="30"/>
  <c r="N34" i="30"/>
  <c r="N25" i="30" s="1"/>
  <c r="N63" i="30"/>
  <c r="Q34" i="30"/>
  <c r="Q25" i="30"/>
  <c r="Q67" i="30" s="1"/>
  <c r="Q63" i="30"/>
  <c r="H20" i="30"/>
  <c r="G20" i="30" s="1"/>
  <c r="F20" i="30" s="1"/>
  <c r="BH20" i="30"/>
  <c r="R34" i="30"/>
  <c r="R63" i="30"/>
  <c r="H21" i="30"/>
  <c r="G21" i="30" s="1"/>
  <c r="F21" i="30" s="1"/>
  <c r="BH21" i="30"/>
  <c r="BH18" i="30" s="1"/>
  <c r="T10" i="30"/>
  <c r="T9" i="30" s="1"/>
  <c r="T18" i="30"/>
  <c r="T34" i="30"/>
  <c r="T63" i="30"/>
  <c r="H23" i="30"/>
  <c r="G23" i="30" s="1"/>
  <c r="F23" i="30" s="1"/>
  <c r="O23" i="30"/>
  <c r="BH23" i="30"/>
  <c r="AQ86" i="30" s="1"/>
  <c r="U10" i="30"/>
  <c r="U9" i="30" s="1"/>
  <c r="U18" i="30"/>
  <c r="U34" i="30"/>
  <c r="U25" i="30" s="1"/>
  <c r="U63" i="30"/>
  <c r="BE11" i="30"/>
  <c r="BE10" i="30" s="1"/>
  <c r="BE9" i="30" s="1"/>
  <c r="BE18" i="30"/>
  <c r="BE34" i="30"/>
  <c r="BE63" i="30"/>
  <c r="W11" i="30"/>
  <c r="W18" i="30"/>
  <c r="W34" i="30"/>
  <c r="Q97" i="30" s="1"/>
  <c r="W63" i="30"/>
  <c r="X11" i="30"/>
  <c r="X10" i="30" s="1"/>
  <c r="X9" i="30" s="1"/>
  <c r="X18" i="30"/>
  <c r="X34" i="30"/>
  <c r="X63" i="30"/>
  <c r="R115" i="30" s="1"/>
  <c r="Z11" i="30"/>
  <c r="Z18" i="30"/>
  <c r="Z34" i="30"/>
  <c r="Z63" i="30"/>
  <c r="H29" i="30"/>
  <c r="AE29" i="30"/>
  <c r="Y92" i="30" s="1"/>
  <c r="BH29" i="30"/>
  <c r="AA11" i="30"/>
  <c r="AA10" i="30" s="1"/>
  <c r="AA9" i="30" s="1"/>
  <c r="AA8" i="30" s="1"/>
  <c r="AA67" i="30" s="1"/>
  <c r="AA18" i="30"/>
  <c r="AA34" i="30"/>
  <c r="U97" i="30" s="1"/>
  <c r="AA63" i="30"/>
  <c r="U115" i="30" s="1"/>
  <c r="H30" i="30"/>
  <c r="AE30" i="30"/>
  <c r="BH30" i="30"/>
  <c r="AQ93" i="30"/>
  <c r="AB11" i="30"/>
  <c r="AB10" i="30" s="1"/>
  <c r="AB9" i="30" s="1"/>
  <c r="AB34" i="30"/>
  <c r="V97" i="30" s="1"/>
  <c r="AB63" i="30"/>
  <c r="V115" i="30" s="1"/>
  <c r="AD11" i="30"/>
  <c r="AD10" i="30" s="1"/>
  <c r="AD9" i="30" s="1"/>
  <c r="AD18" i="30"/>
  <c r="AD34" i="30"/>
  <c r="AD63" i="30"/>
  <c r="H33" i="30"/>
  <c r="G33" i="30" s="1"/>
  <c r="F33" i="30" s="1"/>
  <c r="E33" i="30" s="1"/>
  <c r="AE33" i="30"/>
  <c r="Y96" i="30"/>
  <c r="BH33" i="30"/>
  <c r="AR11" i="30"/>
  <c r="AR10" i="30" s="1"/>
  <c r="AR9" i="30" s="1"/>
  <c r="AR8" i="30" s="1"/>
  <c r="AR67" i="30" s="1"/>
  <c r="AR18" i="30"/>
  <c r="AR34" i="30"/>
  <c r="AA97" i="30" s="1"/>
  <c r="AR63" i="30"/>
  <c r="H47" i="30"/>
  <c r="G47" i="30"/>
  <c r="F47" i="30" s="1"/>
  <c r="E47" i="30" s="1"/>
  <c r="AE47" i="30"/>
  <c r="BH47" i="30"/>
  <c r="AS11" i="30"/>
  <c r="AS10" i="30" s="1"/>
  <c r="AS9" i="30" s="1"/>
  <c r="AS18" i="30"/>
  <c r="AS34" i="30"/>
  <c r="AU11" i="30"/>
  <c r="AU10" i="30" s="1"/>
  <c r="AU9" i="30" s="1"/>
  <c r="AU18" i="30"/>
  <c r="AU34" i="30"/>
  <c r="AD97" i="30" s="1"/>
  <c r="AU63" i="30"/>
  <c r="AD115" i="30" s="1"/>
  <c r="H50" i="30"/>
  <c r="G50" i="30" s="1"/>
  <c r="F50" i="30" s="1"/>
  <c r="E50" i="30" s="1"/>
  <c r="AE50" i="30"/>
  <c r="BH50" i="30"/>
  <c r="AX11" i="30"/>
  <c r="AX18" i="30"/>
  <c r="AX34" i="30"/>
  <c r="AG97" i="30"/>
  <c r="AX63" i="30"/>
  <c r="H53" i="30"/>
  <c r="AE53" i="30"/>
  <c r="BH53" i="30"/>
  <c r="BG11" i="30"/>
  <c r="BG18" i="30"/>
  <c r="BG34" i="30"/>
  <c r="BG63" i="30"/>
  <c r="H62" i="30"/>
  <c r="AE62" i="30"/>
  <c r="Y114" i="30" s="1"/>
  <c r="BH62" i="30"/>
  <c r="AQ114" i="30" s="1"/>
  <c r="AE64" i="30"/>
  <c r="V64" i="30" s="1"/>
  <c r="G64" i="30"/>
  <c r="BI11" i="30"/>
  <c r="BI10" i="30" s="1"/>
  <c r="BI9" i="30" s="1"/>
  <c r="BI18" i="30"/>
  <c r="BI34" i="30"/>
  <c r="BI25" i="30" s="1"/>
  <c r="BJ11" i="30"/>
  <c r="BJ10" i="30" s="1"/>
  <c r="BJ9" i="30" s="1"/>
  <c r="BJ8" i="30" s="1"/>
  <c r="BJ18" i="30"/>
  <c r="BJ34" i="30"/>
  <c r="H65" i="30"/>
  <c r="G65" i="30" s="1"/>
  <c r="F65" i="30" s="1"/>
  <c r="E65" i="30" s="1"/>
  <c r="AE65" i="30"/>
  <c r="V65" i="30" s="1"/>
  <c r="BL65" i="30" s="1"/>
  <c r="H66" i="30"/>
  <c r="AE66" i="30"/>
  <c r="S10" i="38"/>
  <c r="S9" i="38"/>
  <c r="S18" i="38"/>
  <c r="S34" i="38"/>
  <c r="S25" i="38"/>
  <c r="S63" i="38"/>
  <c r="N18" i="38"/>
  <c r="N34" i="38"/>
  <c r="N63" i="38"/>
  <c r="M18" i="38"/>
  <c r="M67" i="38" s="1"/>
  <c r="M34" i="38"/>
  <c r="M25" i="38" s="1"/>
  <c r="M63" i="38"/>
  <c r="P11" i="38"/>
  <c r="P34" i="38"/>
  <c r="P63" i="38"/>
  <c r="Q34" i="38"/>
  <c r="Q63" i="38"/>
  <c r="H20" i="38"/>
  <c r="G20" i="38" s="1"/>
  <c r="F20" i="38" s="1"/>
  <c r="BH20" i="38"/>
  <c r="R34" i="38"/>
  <c r="L97" i="38" s="1"/>
  <c r="R63" i="38"/>
  <c r="H21" i="38"/>
  <c r="G21" i="38" s="1"/>
  <c r="F21" i="38" s="1"/>
  <c r="BH21" i="38"/>
  <c r="AQ83" i="38" s="1"/>
  <c r="T10" i="38"/>
  <c r="T9" i="38"/>
  <c r="T18" i="38"/>
  <c r="T34" i="38"/>
  <c r="T63" i="38"/>
  <c r="N115" i="38" s="1"/>
  <c r="H23" i="38"/>
  <c r="G23" i="38"/>
  <c r="F23" i="38" s="1"/>
  <c r="O23" i="38"/>
  <c r="BH23" i="38"/>
  <c r="U10" i="38"/>
  <c r="U9" i="38"/>
  <c r="U18" i="38"/>
  <c r="U34" i="38"/>
  <c r="U25" i="38"/>
  <c r="U63" i="38"/>
  <c r="BE11" i="38"/>
  <c r="BE18" i="38"/>
  <c r="BE34" i="38"/>
  <c r="BE63" i="38"/>
  <c r="AN115" i="38" s="1"/>
  <c r="AB11" i="38"/>
  <c r="AB18" i="38"/>
  <c r="AB34" i="38"/>
  <c r="AB63" i="38"/>
  <c r="AU11" i="38"/>
  <c r="AU18" i="38"/>
  <c r="AU34" i="38"/>
  <c r="AU63" i="38"/>
  <c r="AD115" i="38" s="1"/>
  <c r="H50" i="38"/>
  <c r="AE50" i="38"/>
  <c r="Y102" i="38"/>
  <c r="BH50" i="38"/>
  <c r="AQ102" i="38" s="1"/>
  <c r="W11" i="38"/>
  <c r="W10" i="38" s="1"/>
  <c r="W9" i="38" s="1"/>
  <c r="W8" i="38" s="1"/>
  <c r="W18" i="38"/>
  <c r="W34" i="38"/>
  <c r="Q97" i="38"/>
  <c r="W63" i="38"/>
  <c r="X11" i="38"/>
  <c r="X10" i="38" s="1"/>
  <c r="X9" i="38" s="1"/>
  <c r="X18" i="38"/>
  <c r="X34" i="38"/>
  <c r="X63" i="38"/>
  <c r="Z11" i="38"/>
  <c r="Z10" i="38"/>
  <c r="Z9" i="38" s="1"/>
  <c r="Z18" i="38"/>
  <c r="Z34" i="38"/>
  <c r="Z63" i="38"/>
  <c r="T115" i="38"/>
  <c r="H29" i="38"/>
  <c r="G29" i="38" s="1"/>
  <c r="F29" i="38" s="1"/>
  <c r="E29" i="38" s="1"/>
  <c r="AE29" i="38"/>
  <c r="Y92" i="38" s="1"/>
  <c r="BH29" i="38"/>
  <c r="AA11" i="38"/>
  <c r="AA10" i="38"/>
  <c r="AA9" i="38" s="1"/>
  <c r="AA8" i="38" s="1"/>
  <c r="AA18" i="38"/>
  <c r="AA34" i="38"/>
  <c r="U97" i="38" s="1"/>
  <c r="AA63" i="38"/>
  <c r="H30" i="38"/>
  <c r="G30" i="38" s="1"/>
  <c r="F30" i="38" s="1"/>
  <c r="E30" i="38" s="1"/>
  <c r="AE30" i="38"/>
  <c r="BH30" i="38"/>
  <c r="AQ93" i="38" s="1"/>
  <c r="AD11" i="38"/>
  <c r="AD18" i="38"/>
  <c r="AD34" i="38"/>
  <c r="AD63" i="38"/>
  <c r="X115" i="38" s="1"/>
  <c r="H33" i="38"/>
  <c r="AE33" i="38"/>
  <c r="BH33" i="38"/>
  <c r="AR11" i="38"/>
  <c r="AR10" i="38" s="1"/>
  <c r="AR9" i="38" s="1"/>
  <c r="AR8" i="38" s="1"/>
  <c r="AR67" i="38" s="1"/>
  <c r="AR18" i="38"/>
  <c r="AR34" i="38"/>
  <c r="AR63" i="38"/>
  <c r="H47" i="38"/>
  <c r="G47" i="38" s="1"/>
  <c r="F47" i="38" s="1"/>
  <c r="E47" i="38" s="1"/>
  <c r="AE47" i="38"/>
  <c r="Y99" i="38" s="1"/>
  <c r="BH47" i="38"/>
  <c r="AQ99" i="38"/>
  <c r="AS11" i="38"/>
  <c r="AS18" i="38"/>
  <c r="AS34" i="38"/>
  <c r="BG11" i="38"/>
  <c r="BG18" i="38"/>
  <c r="BG34" i="38"/>
  <c r="BG63" i="38"/>
  <c r="H62" i="38"/>
  <c r="AE62" i="38"/>
  <c r="BH62" i="38"/>
  <c r="AQ114" i="38" s="1"/>
  <c r="BI11" i="38"/>
  <c r="BI10" i="38" s="1"/>
  <c r="BI9" i="38" s="1"/>
  <c r="BI18" i="38"/>
  <c r="BI34" i="38"/>
  <c r="G64" i="38"/>
  <c r="F64" i="38" s="1"/>
  <c r="E64" i="38" s="1"/>
  <c r="AE64" i="38"/>
  <c r="BJ11" i="38"/>
  <c r="BJ10" i="38" s="1"/>
  <c r="BJ9" i="38" s="1"/>
  <c r="BJ8" i="38" s="1"/>
  <c r="BJ18" i="38"/>
  <c r="BJ34" i="38"/>
  <c r="BJ25" i="38"/>
  <c r="H65" i="38"/>
  <c r="G65" i="38"/>
  <c r="F65" i="38" s="1"/>
  <c r="E65" i="38" s="1"/>
  <c r="AE65" i="38"/>
  <c r="V65" i="38" s="1"/>
  <c r="H66" i="38"/>
  <c r="AE66" i="38"/>
  <c r="V66" i="38" s="1"/>
  <c r="AS11" i="37"/>
  <c r="AS10" i="37" s="1"/>
  <c r="AS9" i="37" s="1"/>
  <c r="AS18" i="37"/>
  <c r="AS34" i="37"/>
  <c r="AB97" i="37" s="1"/>
  <c r="AS11" i="39"/>
  <c r="AS18" i="39"/>
  <c r="AS34" i="39"/>
  <c r="AS11" i="40"/>
  <c r="AS10" i="40" s="1"/>
  <c r="AS9" i="40" s="1"/>
  <c r="AS18" i="40"/>
  <c r="AS34" i="40"/>
  <c r="W34" i="37"/>
  <c r="X34" i="37"/>
  <c r="R97" i="37" s="1"/>
  <c r="Z34" i="37"/>
  <c r="T97" i="37" s="1"/>
  <c r="AA34" i="37"/>
  <c r="U97" i="37" s="1"/>
  <c r="AX34" i="37"/>
  <c r="AG97" i="37" s="1"/>
  <c r="BE34" i="37"/>
  <c r="BG34" i="37"/>
  <c r="AP97" i="37" s="1"/>
  <c r="BI34" i="37"/>
  <c r="BJ34" i="37"/>
  <c r="BJ25" i="37" s="1"/>
  <c r="BK34" i="37"/>
  <c r="BK25" i="37"/>
  <c r="BK34" i="38"/>
  <c r="BK25" i="38"/>
  <c r="W34" i="39"/>
  <c r="X34" i="39"/>
  <c r="R97" i="39" s="1"/>
  <c r="Y34" i="39"/>
  <c r="Z34" i="39"/>
  <c r="AA34" i="39"/>
  <c r="AB34" i="39"/>
  <c r="AR34" i="39"/>
  <c r="BE34" i="39"/>
  <c r="BG34" i="39"/>
  <c r="BI34" i="39"/>
  <c r="BJ34" i="39"/>
  <c r="BJ25" i="39" s="1"/>
  <c r="BK34" i="39"/>
  <c r="W34" i="40"/>
  <c r="X34" i="40"/>
  <c r="R97" i="40"/>
  <c r="Y34" i="40"/>
  <c r="Z34" i="40"/>
  <c r="AA34" i="40"/>
  <c r="U97" i="40"/>
  <c r="AB34" i="40"/>
  <c r="AR34" i="40"/>
  <c r="AA97" i="40" s="1"/>
  <c r="AU34" i="40"/>
  <c r="BE34" i="40"/>
  <c r="AN97" i="40" s="1"/>
  <c r="BG34" i="40"/>
  <c r="BI34" i="40"/>
  <c r="BJ34" i="40"/>
  <c r="BK34" i="40"/>
  <c r="BK25" i="40" s="1"/>
  <c r="BK34" i="30"/>
  <c r="BK25" i="30" s="1"/>
  <c r="AC34" i="31"/>
  <c r="AU34" i="31"/>
  <c r="AB34" i="31"/>
  <c r="V97" i="31" s="1"/>
  <c r="BK34" i="32"/>
  <c r="BK34" i="33"/>
  <c r="BK34" i="34"/>
  <c r="BK34" i="21"/>
  <c r="BK25" i="21" s="1"/>
  <c r="BK34" i="22"/>
  <c r="BH34" i="22"/>
  <c r="BK34" i="23"/>
  <c r="BH34" i="23" s="1"/>
  <c r="BK34" i="24"/>
  <c r="BK34" i="25"/>
  <c r="BK34" i="26"/>
  <c r="BK25" i="26"/>
  <c r="BK34" i="27"/>
  <c r="BK34" i="28"/>
  <c r="BK34" i="29"/>
  <c r="BK34" i="19"/>
  <c r="AE15" i="37"/>
  <c r="AE29" i="37"/>
  <c r="AE30" i="37"/>
  <c r="Y93" i="37" s="1"/>
  <c r="AE33" i="37"/>
  <c r="AE48" i="37"/>
  <c r="Y100" i="37"/>
  <c r="AE53" i="37"/>
  <c r="Y105" i="37" s="1"/>
  <c r="AE62" i="37"/>
  <c r="Y114" i="37" s="1"/>
  <c r="AE64" i="37"/>
  <c r="AE65" i="37"/>
  <c r="V65" i="37" s="1"/>
  <c r="AE66" i="37"/>
  <c r="AE15" i="38"/>
  <c r="V15" i="38" s="1"/>
  <c r="AE48" i="38"/>
  <c r="AE15" i="39"/>
  <c r="AE64" i="39"/>
  <c r="V64" i="39" s="1"/>
  <c r="BL64" i="39" s="1"/>
  <c r="AE65" i="39"/>
  <c r="AE66" i="39"/>
  <c r="V66" i="39" s="1"/>
  <c r="AE28" i="39"/>
  <c r="Y91" i="39" s="1"/>
  <c r="AE29" i="39"/>
  <c r="Y92" i="39" s="1"/>
  <c r="AE30" i="39"/>
  <c r="AE33" i="39"/>
  <c r="Y96" i="39"/>
  <c r="AE47" i="39"/>
  <c r="AE48" i="39"/>
  <c r="Y100" i="39"/>
  <c r="AE62" i="39"/>
  <c r="AE15" i="40"/>
  <c r="V15" i="40" s="1"/>
  <c r="AE28" i="40"/>
  <c r="Y91" i="40" s="1"/>
  <c r="AE29" i="40"/>
  <c r="AE30" i="40"/>
  <c r="Y93" i="40"/>
  <c r="AE33" i="40"/>
  <c r="AE47" i="40"/>
  <c r="Y99" i="40" s="1"/>
  <c r="AE48" i="40"/>
  <c r="AE50" i="40"/>
  <c r="AE62" i="40"/>
  <c r="AE64" i="40"/>
  <c r="V64" i="40" s="1"/>
  <c r="AE65" i="40"/>
  <c r="V65" i="40"/>
  <c r="AE66" i="40"/>
  <c r="AE15" i="30"/>
  <c r="V15" i="30" s="1"/>
  <c r="AE48" i="30"/>
  <c r="AE49" i="31"/>
  <c r="AE60" i="31"/>
  <c r="AE61" i="31"/>
  <c r="AE64" i="31"/>
  <c r="AE56" i="31"/>
  <c r="AE15" i="32"/>
  <c r="AE48" i="32"/>
  <c r="AE15" i="33"/>
  <c r="AE48" i="33"/>
  <c r="Y100" i="33" s="1"/>
  <c r="AE15" i="34"/>
  <c r="AE48" i="34"/>
  <c r="AE15" i="21"/>
  <c r="V15" i="21" s="1"/>
  <c r="AE48" i="21"/>
  <c r="AE15" i="22"/>
  <c r="AE48" i="22"/>
  <c r="AE15" i="23"/>
  <c r="AE48" i="23"/>
  <c r="AE15" i="24"/>
  <c r="AE48" i="24"/>
  <c r="Y101" i="24" s="1"/>
  <c r="AE15" i="25"/>
  <c r="V15" i="25" s="1"/>
  <c r="AE18" i="25"/>
  <c r="AE48" i="25"/>
  <c r="AE15" i="26"/>
  <c r="AE18" i="26"/>
  <c r="AE48" i="26"/>
  <c r="AE11" i="27"/>
  <c r="Y78" i="27" s="1"/>
  <c r="AE48" i="27"/>
  <c r="AE15" i="28"/>
  <c r="AE48" i="28"/>
  <c r="AE15" i="29"/>
  <c r="AE48" i="29"/>
  <c r="AE48" i="19"/>
  <c r="C147" i="47"/>
  <c r="C132" i="47"/>
  <c r="C9" i="89" s="1"/>
  <c r="AC11" i="31"/>
  <c r="AC10" i="31" s="1"/>
  <c r="AC9" i="31" s="1"/>
  <c r="AC8" i="31" s="1"/>
  <c r="AC18" i="31"/>
  <c r="AB11" i="39"/>
  <c r="AB10" i="39" s="1"/>
  <c r="AB9" i="39" s="1"/>
  <c r="AB18" i="39"/>
  <c r="AB63" i="39"/>
  <c r="AB11" i="40"/>
  <c r="AB18" i="40"/>
  <c r="AB63" i="40"/>
  <c r="AB63" i="31"/>
  <c r="AB11" i="31"/>
  <c r="V78" i="31" s="1"/>
  <c r="AB18" i="31"/>
  <c r="C68" i="47"/>
  <c r="H28" i="39"/>
  <c r="G28" i="39" s="1"/>
  <c r="F28" i="39" s="1"/>
  <c r="E28" i="39" s="1"/>
  <c r="BH28" i="39"/>
  <c r="H28" i="40"/>
  <c r="F91" i="40" s="1"/>
  <c r="BH28" i="40"/>
  <c r="Y11" i="39"/>
  <c r="Y10" i="39" s="1"/>
  <c r="Y9" i="39" s="1"/>
  <c r="Y18" i="39"/>
  <c r="Y63" i="39"/>
  <c r="Y11" i="40"/>
  <c r="Y10" i="40"/>
  <c r="Y9" i="40" s="1"/>
  <c r="Y18" i="40"/>
  <c r="Y63" i="40"/>
  <c r="S115" i="40" s="1"/>
  <c r="C71" i="47"/>
  <c r="C70" i="47"/>
  <c r="C67" i="47"/>
  <c r="C65" i="47"/>
  <c r="C64" i="47"/>
  <c r="C63" i="47"/>
  <c r="C62" i="47"/>
  <c r="C60" i="47"/>
  <c r="C59" i="47"/>
  <c r="C58" i="47"/>
  <c r="C57" i="47"/>
  <c r="C55" i="47"/>
  <c r="X11" i="37"/>
  <c r="X10" i="37" s="1"/>
  <c r="X9" i="37" s="1"/>
  <c r="X18" i="37"/>
  <c r="X63" i="37"/>
  <c r="X11" i="39"/>
  <c r="X18" i="39"/>
  <c r="X63" i="39"/>
  <c r="X11" i="40"/>
  <c r="X10" i="40" s="1"/>
  <c r="X9" i="40" s="1"/>
  <c r="X18" i="40"/>
  <c r="X63" i="40"/>
  <c r="R115" i="40" s="1"/>
  <c r="W11" i="37"/>
  <c r="W18" i="37"/>
  <c r="W63" i="37"/>
  <c r="Q115" i="37" s="1"/>
  <c r="W11" i="39"/>
  <c r="W10" i="39"/>
  <c r="W9" i="39" s="1"/>
  <c r="W18" i="39"/>
  <c r="W63" i="39"/>
  <c r="W11" i="40"/>
  <c r="W18" i="40"/>
  <c r="W63" i="40"/>
  <c r="U10" i="37"/>
  <c r="U9" i="37" s="1"/>
  <c r="U18" i="37"/>
  <c r="U34" i="37"/>
  <c r="U63" i="37"/>
  <c r="U10" i="39"/>
  <c r="U9" i="39" s="1"/>
  <c r="U18" i="39"/>
  <c r="U34" i="39"/>
  <c r="U25" i="39" s="1"/>
  <c r="U63" i="39"/>
  <c r="U18" i="40"/>
  <c r="U34" i="40"/>
  <c r="U63" i="40"/>
  <c r="O115" i="40"/>
  <c r="O22" i="31"/>
  <c r="S10" i="37"/>
  <c r="S9" i="37" s="1"/>
  <c r="S18" i="37"/>
  <c r="S34" i="37"/>
  <c r="M97" i="37" s="1"/>
  <c r="S25" i="37"/>
  <c r="S63" i="37"/>
  <c r="S18" i="39"/>
  <c r="S34" i="39"/>
  <c r="S25" i="39" s="1"/>
  <c r="S63" i="39"/>
  <c r="M115" i="39" s="1"/>
  <c r="S10" i="40"/>
  <c r="S9" i="40" s="1"/>
  <c r="S18" i="40"/>
  <c r="S34" i="40"/>
  <c r="S25" i="40"/>
  <c r="S67" i="40" s="1"/>
  <c r="S63" i="40"/>
  <c r="H21" i="37"/>
  <c r="G21" i="37" s="1"/>
  <c r="F21" i="37" s="1"/>
  <c r="BH21" i="37"/>
  <c r="AQ83" i="37" s="1"/>
  <c r="H21" i="39"/>
  <c r="BH21" i="39"/>
  <c r="H21" i="40"/>
  <c r="G21" i="40"/>
  <c r="F21" i="40" s="1"/>
  <c r="BH21" i="40"/>
  <c r="R34" i="37"/>
  <c r="R63" i="37"/>
  <c r="R34" i="39"/>
  <c r="R63" i="39"/>
  <c r="L115" i="39" s="1"/>
  <c r="R34" i="40"/>
  <c r="R25" i="40" s="1"/>
  <c r="R63" i="40"/>
  <c r="L115" i="40" s="1"/>
  <c r="D137" i="46"/>
  <c r="D134" i="46"/>
  <c r="C148" i="46"/>
  <c r="C147" i="46"/>
  <c r="C146" i="46"/>
  <c r="C145" i="46"/>
  <c r="C144" i="46"/>
  <c r="C140" i="46"/>
  <c r="C139" i="46"/>
  <c r="C138" i="46"/>
  <c r="C137" i="46"/>
  <c r="C130" i="46"/>
  <c r="N18" i="37"/>
  <c r="N34" i="37"/>
  <c r="N25" i="37" s="1"/>
  <c r="N63" i="37"/>
  <c r="N18" i="39"/>
  <c r="N34" i="39"/>
  <c r="N63" i="39"/>
  <c r="N18" i="40"/>
  <c r="N34" i="40"/>
  <c r="N63" i="40"/>
  <c r="H15" i="25"/>
  <c r="H26" i="25"/>
  <c r="L18" i="25"/>
  <c r="L34" i="25"/>
  <c r="L25" i="25"/>
  <c r="L63" i="25"/>
  <c r="O15" i="25"/>
  <c r="BH15" i="25"/>
  <c r="M18" i="37"/>
  <c r="M34" i="37"/>
  <c r="M63" i="37"/>
  <c r="H115" i="37" s="1"/>
  <c r="M18" i="39"/>
  <c r="M34" i="39"/>
  <c r="M25" i="39" s="1"/>
  <c r="M63" i="39"/>
  <c r="H115" i="39" s="1"/>
  <c r="M18" i="40"/>
  <c r="M34" i="40"/>
  <c r="M25" i="40" s="1"/>
  <c r="M63" i="40"/>
  <c r="P11" i="37"/>
  <c r="P10" i="37" s="1"/>
  <c r="P34" i="37"/>
  <c r="P25" i="37" s="1"/>
  <c r="P63" i="37"/>
  <c r="P11" i="39"/>
  <c r="P10" i="39" s="1"/>
  <c r="P34" i="39"/>
  <c r="P63" i="39"/>
  <c r="P11" i="40"/>
  <c r="P10" i="40"/>
  <c r="P34" i="40"/>
  <c r="P25" i="40"/>
  <c r="P63" i="40"/>
  <c r="J115" i="40" s="1"/>
  <c r="O12" i="37"/>
  <c r="I18" i="37"/>
  <c r="I34" i="37"/>
  <c r="I63" i="37"/>
  <c r="D32" i="46"/>
  <c r="C48" i="46"/>
  <c r="C47" i="46"/>
  <c r="C46" i="46"/>
  <c r="C23" i="86" s="1"/>
  <c r="C45" i="46"/>
  <c r="C22" i="86" s="1"/>
  <c r="C44" i="46"/>
  <c r="C21" i="86" s="1"/>
  <c r="C43" i="46"/>
  <c r="C20" i="86" s="1"/>
  <c r="C42" i="46"/>
  <c r="C19" i="86" s="1"/>
  <c r="C41" i="46"/>
  <c r="C18" i="86" s="1"/>
  <c r="C40" i="46"/>
  <c r="C17" i="86" s="1"/>
  <c r="C39" i="46"/>
  <c r="C16" i="86" s="1"/>
  <c r="C38" i="46"/>
  <c r="C15" i="86" s="1"/>
  <c r="C37" i="46"/>
  <c r="C14" i="86" s="1"/>
  <c r="C36" i="46"/>
  <c r="C13" i="86" s="1"/>
  <c r="C35" i="46"/>
  <c r="C12" i="86" s="1"/>
  <c r="C34" i="46"/>
  <c r="C11" i="86" s="1"/>
  <c r="C33" i="46"/>
  <c r="C10" i="86" s="1"/>
  <c r="C32" i="46"/>
  <c r="C9" i="86" s="1"/>
  <c r="C31" i="46"/>
  <c r="C8" i="86" s="1"/>
  <c r="C30" i="46"/>
  <c r="H15" i="29"/>
  <c r="H26" i="29"/>
  <c r="H34" i="29"/>
  <c r="H15" i="37"/>
  <c r="J18" i="37"/>
  <c r="K18" i="37"/>
  <c r="H23" i="37"/>
  <c r="H26" i="37"/>
  <c r="F89" i="37" s="1"/>
  <c r="H29" i="37"/>
  <c r="G29" i="37" s="1"/>
  <c r="F29" i="37" s="1"/>
  <c r="E29" i="37" s="1"/>
  <c r="H30" i="37"/>
  <c r="H33" i="37"/>
  <c r="G33" i="37" s="1"/>
  <c r="F33" i="37" s="1"/>
  <c r="E33" i="37" s="1"/>
  <c r="H34" i="37"/>
  <c r="F97" i="37"/>
  <c r="H53" i="37"/>
  <c r="F105" i="37" s="1"/>
  <c r="H62" i="37"/>
  <c r="G62" i="37" s="1"/>
  <c r="F62" i="37" s="1"/>
  <c r="E62" i="37" s="1"/>
  <c r="BL62" i="37" s="1"/>
  <c r="BG62" i="37" s="1"/>
  <c r="H65" i="37"/>
  <c r="H66" i="37"/>
  <c r="G66" i="37" s="1"/>
  <c r="F66" i="37" s="1"/>
  <c r="E66" i="37" s="1"/>
  <c r="H15" i="38"/>
  <c r="H26" i="38"/>
  <c r="H15" i="39"/>
  <c r="J18" i="39"/>
  <c r="K18" i="39"/>
  <c r="H23" i="39"/>
  <c r="H26" i="39"/>
  <c r="H29" i="39"/>
  <c r="G29" i="39" s="1"/>
  <c r="H30" i="39"/>
  <c r="H33" i="39"/>
  <c r="F96" i="39" s="1"/>
  <c r="H34" i="39"/>
  <c r="F97" i="39" s="1"/>
  <c r="H47" i="39"/>
  <c r="H62" i="39"/>
  <c r="F114" i="39" s="1"/>
  <c r="H65" i="39"/>
  <c r="G65" i="39"/>
  <c r="F65" i="39" s="1"/>
  <c r="E65" i="39" s="1"/>
  <c r="H66" i="39"/>
  <c r="H63" i="39"/>
  <c r="H15" i="40"/>
  <c r="H23" i="40"/>
  <c r="G23" i="40" s="1"/>
  <c r="F23" i="40" s="1"/>
  <c r="H26" i="40"/>
  <c r="G26" i="40" s="1"/>
  <c r="F26" i="40" s="1"/>
  <c r="E26" i="40" s="1"/>
  <c r="H29" i="40"/>
  <c r="G29" i="40" s="1"/>
  <c r="F29" i="40" s="1"/>
  <c r="E29" i="40" s="1"/>
  <c r="H30" i="40"/>
  <c r="H33" i="40"/>
  <c r="G33" i="40" s="1"/>
  <c r="F33" i="40" s="1"/>
  <c r="E33" i="40" s="1"/>
  <c r="H47" i="40"/>
  <c r="H50" i="40"/>
  <c r="G50" i="40" s="1"/>
  <c r="F50" i="40"/>
  <c r="E50" i="40" s="1"/>
  <c r="H62" i="40"/>
  <c r="G62" i="40"/>
  <c r="F62" i="40" s="1"/>
  <c r="E62" i="40" s="1"/>
  <c r="BL62" i="40" s="1"/>
  <c r="BG62" i="40" s="1"/>
  <c r="V62" i="40" s="1"/>
  <c r="H65" i="40"/>
  <c r="H66" i="40"/>
  <c r="H15" i="30"/>
  <c r="H26" i="30"/>
  <c r="H15" i="32"/>
  <c r="H26" i="32"/>
  <c r="F89" i="32" s="1"/>
  <c r="H15" i="33"/>
  <c r="H26" i="33"/>
  <c r="H15" i="34"/>
  <c r="H26" i="34"/>
  <c r="F89" i="34" s="1"/>
  <c r="H15" i="21"/>
  <c r="BL15" i="21" s="1"/>
  <c r="L15" i="21" s="1"/>
  <c r="H18" i="21"/>
  <c r="H26" i="21"/>
  <c r="H15" i="22"/>
  <c r="H18" i="22"/>
  <c r="H26" i="22"/>
  <c r="H63" i="22"/>
  <c r="H15" i="23"/>
  <c r="H26" i="23"/>
  <c r="G26" i="23" s="1"/>
  <c r="H34" i="23"/>
  <c r="H15" i="24"/>
  <c r="H18" i="24"/>
  <c r="H26" i="24"/>
  <c r="H15" i="26"/>
  <c r="H18" i="26"/>
  <c r="H26" i="26"/>
  <c r="H34" i="26"/>
  <c r="H15" i="28"/>
  <c r="H18" i="28"/>
  <c r="H26" i="28"/>
  <c r="J15" i="88"/>
  <c r="K13" i="88"/>
  <c r="L13" i="88"/>
  <c r="M13" i="88"/>
  <c r="N13" i="88"/>
  <c r="O13" i="88"/>
  <c r="AE66" i="31"/>
  <c r="V66" i="31" s="1"/>
  <c r="G64" i="39"/>
  <c r="BI11" i="39"/>
  <c r="BI10" i="39"/>
  <c r="BI9" i="39" s="1"/>
  <c r="BI18" i="39"/>
  <c r="BI25" i="39"/>
  <c r="BJ11" i="39"/>
  <c r="BJ10" i="39"/>
  <c r="BJ9" i="39" s="1"/>
  <c r="BJ18" i="39"/>
  <c r="V65" i="39"/>
  <c r="G66" i="39"/>
  <c r="V64" i="37"/>
  <c r="G64" i="37"/>
  <c r="BI11" i="37"/>
  <c r="BI10" i="37" s="1"/>
  <c r="BI9" i="37" s="1"/>
  <c r="BI8" i="37" s="1"/>
  <c r="BI67" i="37" s="1"/>
  <c r="BI18" i="37"/>
  <c r="BI25" i="37"/>
  <c r="BJ11" i="37"/>
  <c r="BJ10" i="37" s="1"/>
  <c r="BJ9" i="37" s="1"/>
  <c r="BJ18" i="37"/>
  <c r="V66" i="37"/>
  <c r="S63" i="31"/>
  <c r="M115" i="31" s="1"/>
  <c r="AL11" i="31"/>
  <c r="AL10" i="31" s="1"/>
  <c r="AL9" i="31" s="1"/>
  <c r="AL18" i="31"/>
  <c r="AL63" i="31"/>
  <c r="AM11" i="31"/>
  <c r="AM10" i="31" s="1"/>
  <c r="AM9" i="31" s="1"/>
  <c r="AM18" i="31"/>
  <c r="AM63" i="31"/>
  <c r="AP11" i="31"/>
  <c r="AP10" i="31" s="1"/>
  <c r="AP9" i="31" s="1"/>
  <c r="AG11" i="31"/>
  <c r="AG10" i="31" s="1"/>
  <c r="AG9" i="31" s="1"/>
  <c r="AG63" i="31"/>
  <c r="AI11" i="31"/>
  <c r="AI10" i="31" s="1"/>
  <c r="AI9" i="31" s="1"/>
  <c r="AI18" i="31"/>
  <c r="AT11" i="31"/>
  <c r="AT10" i="31" s="1"/>
  <c r="AT9" i="31" s="1"/>
  <c r="AT18" i="31"/>
  <c r="AT34" i="31"/>
  <c r="AT63" i="31"/>
  <c r="AU11" i="31"/>
  <c r="AU10" i="31" s="1"/>
  <c r="AU9" i="31" s="1"/>
  <c r="AU18" i="31"/>
  <c r="AU63" i="31"/>
  <c r="AD115" i="31" s="1"/>
  <c r="BC11" i="31"/>
  <c r="AL78" i="31" s="1"/>
  <c r="BC18" i="31"/>
  <c r="BC63" i="31"/>
  <c r="AZ11" i="31"/>
  <c r="AY18" i="31"/>
  <c r="Q34" i="40"/>
  <c r="Q25" i="40"/>
  <c r="Q63" i="40"/>
  <c r="H20" i="40"/>
  <c r="BH20" i="40"/>
  <c r="BH18" i="40" s="1"/>
  <c r="T10" i="40"/>
  <c r="T9" i="40" s="1"/>
  <c r="T18" i="40"/>
  <c r="T34" i="40"/>
  <c r="T25" i="40" s="1"/>
  <c r="T63" i="40"/>
  <c r="N115" i="40"/>
  <c r="O23" i="40"/>
  <c r="BH23" i="40"/>
  <c r="AQ86" i="40" s="1"/>
  <c r="Z11" i="40"/>
  <c r="Z10" i="40"/>
  <c r="Z9" i="40" s="1"/>
  <c r="Z18" i="40"/>
  <c r="Z63" i="40"/>
  <c r="BH29" i="40"/>
  <c r="AA11" i="40"/>
  <c r="AA18" i="40"/>
  <c r="AA63" i="40"/>
  <c r="U115" i="40" s="1"/>
  <c r="BH30" i="40"/>
  <c r="AQ93" i="40" s="1"/>
  <c r="AD11" i="40"/>
  <c r="AD10" i="40" s="1"/>
  <c r="AD9" i="40" s="1"/>
  <c r="AD18" i="40"/>
  <c r="AD34" i="40"/>
  <c r="AD63" i="40"/>
  <c r="BH33" i="40"/>
  <c r="AR11" i="40"/>
  <c r="AR18" i="40"/>
  <c r="AR63" i="40"/>
  <c r="BH47" i="40"/>
  <c r="AQ99" i="40"/>
  <c r="AU11" i="40"/>
  <c r="AU18" i="40"/>
  <c r="AU63" i="40"/>
  <c r="AD115" i="40" s="1"/>
  <c r="BH50" i="40"/>
  <c r="AQ102" i="40" s="1"/>
  <c r="BE11" i="40"/>
  <c r="BE18" i="40"/>
  <c r="BE63" i="40"/>
  <c r="BG11" i="40"/>
  <c r="BG10" i="40"/>
  <c r="BG9" i="40" s="1"/>
  <c r="BG18" i="40"/>
  <c r="BG63" i="40"/>
  <c r="AP115" i="40" s="1"/>
  <c r="BH62" i="40"/>
  <c r="AQ114" i="40" s="1"/>
  <c r="BI11" i="40"/>
  <c r="BI10" i="40"/>
  <c r="BI9" i="40" s="1"/>
  <c r="BI18" i="40"/>
  <c r="G64" i="40"/>
  <c r="BJ11" i="40"/>
  <c r="BJ10" i="40"/>
  <c r="BJ9" i="40" s="1"/>
  <c r="BJ18" i="40"/>
  <c r="BJ25" i="40"/>
  <c r="G65" i="40"/>
  <c r="F65" i="40" s="1"/>
  <c r="E65" i="40" s="1"/>
  <c r="V66" i="40"/>
  <c r="J34" i="39"/>
  <c r="J25" i="39" s="1"/>
  <c r="J63" i="39"/>
  <c r="O13" i="39"/>
  <c r="K34" i="39"/>
  <c r="K25" i="39" s="1"/>
  <c r="K63" i="39"/>
  <c r="O14" i="39"/>
  <c r="Q34" i="39"/>
  <c r="Q25" i="39" s="1"/>
  <c r="Q63" i="39"/>
  <c r="K115" i="39" s="1"/>
  <c r="H20" i="39"/>
  <c r="BH20" i="39"/>
  <c r="AQ82" i="39" s="1"/>
  <c r="T10" i="39"/>
  <c r="T9" i="39" s="1"/>
  <c r="T18" i="39"/>
  <c r="T34" i="39"/>
  <c r="T63" i="39"/>
  <c r="O23" i="39"/>
  <c r="BH23" i="39"/>
  <c r="BE11" i="39"/>
  <c r="BE18" i="39"/>
  <c r="BE63" i="39"/>
  <c r="AN115" i="39"/>
  <c r="Z11" i="39"/>
  <c r="Z18" i="39"/>
  <c r="Z63" i="39"/>
  <c r="BH29" i="39"/>
  <c r="AA11" i="39"/>
  <c r="AA10" i="39" s="1"/>
  <c r="AA9" i="39" s="1"/>
  <c r="AA8" i="39" s="1"/>
  <c r="AA18" i="39"/>
  <c r="AA63" i="39"/>
  <c r="U115" i="39" s="1"/>
  <c r="BH30" i="39"/>
  <c r="AD11" i="39"/>
  <c r="AD18" i="39"/>
  <c r="AD34" i="39"/>
  <c r="AD63" i="39"/>
  <c r="G33" i="39"/>
  <c r="BH33" i="39"/>
  <c r="AR11" i="39"/>
  <c r="AR18" i="39"/>
  <c r="AR63" i="39"/>
  <c r="AA115" i="39" s="1"/>
  <c r="G47" i="39"/>
  <c r="F47" i="39" s="1"/>
  <c r="E47" i="39" s="1"/>
  <c r="BH47" i="39"/>
  <c r="BG11" i="39"/>
  <c r="BG10" i="39"/>
  <c r="BG9" i="39" s="1"/>
  <c r="BG8" i="39" s="1"/>
  <c r="BG18" i="39"/>
  <c r="BG63" i="39"/>
  <c r="AP115" i="39" s="1"/>
  <c r="G62" i="39"/>
  <c r="F62" i="39" s="1"/>
  <c r="E62" i="39" s="1"/>
  <c r="BH62" i="39"/>
  <c r="J34" i="37"/>
  <c r="J25" i="37" s="1"/>
  <c r="J63" i="37"/>
  <c r="O13" i="37"/>
  <c r="BL13" i="37"/>
  <c r="J13" i="37" s="1"/>
  <c r="K34" i="37"/>
  <c r="K25" i="37"/>
  <c r="K63" i="37"/>
  <c r="O14" i="37"/>
  <c r="BL14" i="37" s="1"/>
  <c r="K14" i="37" s="1"/>
  <c r="Q34" i="37"/>
  <c r="Q63" i="37"/>
  <c r="H20" i="37"/>
  <c r="BH20" i="37"/>
  <c r="T10" i="37"/>
  <c r="T9" i="37"/>
  <c r="T18" i="37"/>
  <c r="T34" i="37"/>
  <c r="T25" i="37" s="1"/>
  <c r="T63" i="37"/>
  <c r="N115" i="37" s="1"/>
  <c r="G23" i="37"/>
  <c r="F23" i="37"/>
  <c r="O23" i="37"/>
  <c r="BH23" i="37"/>
  <c r="BE11" i="37"/>
  <c r="BE10" i="37" s="1"/>
  <c r="BE9" i="37" s="1"/>
  <c r="BE18" i="37"/>
  <c r="BE63" i="37"/>
  <c r="AN115" i="37" s="1"/>
  <c r="Z11" i="37"/>
  <c r="Z18" i="37"/>
  <c r="Z63" i="37"/>
  <c r="T115" i="37" s="1"/>
  <c r="BH29" i="37"/>
  <c r="AA11" i="37"/>
  <c r="AA18" i="37"/>
  <c r="AA63" i="37"/>
  <c r="U115" i="37" s="1"/>
  <c r="BH30" i="37"/>
  <c r="AQ93" i="37" s="1"/>
  <c r="AD11" i="37"/>
  <c r="AD18" i="37"/>
  <c r="AD34" i="37"/>
  <c r="X97" i="37" s="1"/>
  <c r="AD63" i="37"/>
  <c r="BH33" i="37"/>
  <c r="AX11" i="37"/>
  <c r="AX18" i="37"/>
  <c r="AX63" i="37"/>
  <c r="AG115" i="37" s="1"/>
  <c r="G53" i="37"/>
  <c r="F53" i="37"/>
  <c r="E53" i="37" s="1"/>
  <c r="BL53" i="37" s="1"/>
  <c r="AX53" i="37" s="1"/>
  <c r="BH53" i="37"/>
  <c r="AQ105" i="37" s="1"/>
  <c r="BG11" i="37"/>
  <c r="BG18" i="37"/>
  <c r="BG63" i="37"/>
  <c r="AP115" i="37" s="1"/>
  <c r="BH62" i="37"/>
  <c r="AQ114" i="37" s="1"/>
  <c r="D18" i="37"/>
  <c r="D18" i="39"/>
  <c r="D18" i="40"/>
  <c r="D18" i="30"/>
  <c r="D18" i="31"/>
  <c r="D10" i="32"/>
  <c r="D9" i="32" s="1"/>
  <c r="D18" i="32"/>
  <c r="D18" i="33"/>
  <c r="D10" i="34"/>
  <c r="D9" i="34" s="1"/>
  <c r="D18" i="34"/>
  <c r="D18" i="22"/>
  <c r="D18" i="23"/>
  <c r="D18" i="26"/>
  <c r="D18" i="27"/>
  <c r="D18" i="28"/>
  <c r="D18" i="29"/>
  <c r="D18" i="19"/>
  <c r="D115" i="37"/>
  <c r="AQ80" i="37"/>
  <c r="AQ81" i="37"/>
  <c r="AQ84" i="37"/>
  <c r="AQ85" i="37"/>
  <c r="AQ86" i="37"/>
  <c r="AQ87" i="37"/>
  <c r="AQ89" i="37"/>
  <c r="AQ90" i="37"/>
  <c r="AQ91" i="37"/>
  <c r="AQ94" i="37"/>
  <c r="AQ95" i="37"/>
  <c r="AQ96" i="37"/>
  <c r="AQ98" i="37"/>
  <c r="AQ99" i="37"/>
  <c r="AQ100" i="37"/>
  <c r="AQ101" i="37"/>
  <c r="AQ102" i="37"/>
  <c r="AQ103" i="37"/>
  <c r="AQ104" i="37"/>
  <c r="AQ106" i="37"/>
  <c r="AQ107" i="37"/>
  <c r="AQ108" i="37"/>
  <c r="AQ109" i="37"/>
  <c r="AQ110" i="37"/>
  <c r="AQ111" i="37"/>
  <c r="AQ112" i="37"/>
  <c r="AQ113" i="37"/>
  <c r="M115" i="37"/>
  <c r="O115" i="37"/>
  <c r="R115" i="37"/>
  <c r="V115" i="37"/>
  <c r="W115" i="37"/>
  <c r="AB115" i="37"/>
  <c r="AC115" i="37"/>
  <c r="AD115" i="37"/>
  <c r="AE115" i="37"/>
  <c r="AI115" i="37"/>
  <c r="AJ115" i="37"/>
  <c r="D114" i="37"/>
  <c r="AP80" i="37"/>
  <c r="AP81" i="37"/>
  <c r="AP82" i="37"/>
  <c r="AP83" i="37"/>
  <c r="AP84" i="37"/>
  <c r="AP85" i="37"/>
  <c r="AP86" i="37"/>
  <c r="AP87" i="37"/>
  <c r="AP89" i="37"/>
  <c r="AP90" i="37"/>
  <c r="AP91" i="37"/>
  <c r="AP92" i="37"/>
  <c r="AP93" i="37"/>
  <c r="AP94" i="37"/>
  <c r="AP95" i="37"/>
  <c r="AP96" i="37"/>
  <c r="AP98" i="37"/>
  <c r="AP99" i="37"/>
  <c r="AP100" i="37"/>
  <c r="AP101" i="37"/>
  <c r="AP102" i="37"/>
  <c r="AP103" i="37"/>
  <c r="AP104" i="37"/>
  <c r="AP105" i="37"/>
  <c r="AP106" i="37"/>
  <c r="AP107" i="37"/>
  <c r="AP108" i="37"/>
  <c r="AP109" i="37"/>
  <c r="AP110" i="37"/>
  <c r="AP111" i="37"/>
  <c r="AP112" i="37"/>
  <c r="AP113" i="37"/>
  <c r="H114" i="37"/>
  <c r="I114" i="37"/>
  <c r="J114" i="37"/>
  <c r="K114" i="37"/>
  <c r="L114" i="37"/>
  <c r="M114" i="37"/>
  <c r="N114" i="37"/>
  <c r="O114" i="37"/>
  <c r="Q114" i="37"/>
  <c r="R114" i="37"/>
  <c r="S114" i="37"/>
  <c r="T114" i="37"/>
  <c r="U114" i="37"/>
  <c r="V114" i="37"/>
  <c r="W114" i="37"/>
  <c r="X114" i="37"/>
  <c r="Z114" i="37"/>
  <c r="AA114" i="37"/>
  <c r="AB114" i="37"/>
  <c r="AC114" i="37"/>
  <c r="AD114" i="37"/>
  <c r="AE114" i="37"/>
  <c r="AF114" i="37"/>
  <c r="AG114" i="37"/>
  <c r="AH114" i="37"/>
  <c r="AI114" i="37"/>
  <c r="AJ114" i="37"/>
  <c r="AK114" i="37"/>
  <c r="AL114" i="37"/>
  <c r="AM114" i="37"/>
  <c r="AN114" i="37"/>
  <c r="AO114" i="37"/>
  <c r="D113" i="37"/>
  <c r="AO80" i="37"/>
  <c r="AO81" i="37"/>
  <c r="AO82" i="37"/>
  <c r="AO83" i="37"/>
  <c r="AO84" i="37"/>
  <c r="AO85" i="37"/>
  <c r="AO86" i="37"/>
  <c r="AO87" i="37"/>
  <c r="AO89" i="37"/>
  <c r="AO90" i="37"/>
  <c r="AO91" i="37"/>
  <c r="AO92" i="37"/>
  <c r="AO93" i="37"/>
  <c r="AO94" i="37"/>
  <c r="AO95" i="37"/>
  <c r="AO96" i="37"/>
  <c r="AO97" i="37"/>
  <c r="AO98" i="37"/>
  <c r="AO99" i="37"/>
  <c r="AO100" i="37"/>
  <c r="AO101" i="37"/>
  <c r="AO102" i="37"/>
  <c r="AO103" i="37"/>
  <c r="AO104" i="37"/>
  <c r="AO105" i="37"/>
  <c r="AO106" i="37"/>
  <c r="AO107" i="37"/>
  <c r="AO108" i="37"/>
  <c r="AO109" i="37"/>
  <c r="AO110" i="37"/>
  <c r="AO111" i="37"/>
  <c r="AO112" i="37"/>
  <c r="F113" i="37"/>
  <c r="H113" i="37"/>
  <c r="I113" i="37"/>
  <c r="J113" i="37"/>
  <c r="K113" i="37"/>
  <c r="L113" i="37"/>
  <c r="M113" i="37"/>
  <c r="N113" i="37"/>
  <c r="O113" i="37"/>
  <c r="Q113" i="37"/>
  <c r="R113" i="37"/>
  <c r="S113" i="37"/>
  <c r="T113" i="37"/>
  <c r="U113" i="37"/>
  <c r="V113" i="37"/>
  <c r="W113" i="37"/>
  <c r="X113" i="37"/>
  <c r="Y113" i="37"/>
  <c r="Z113" i="37"/>
  <c r="AA113" i="37"/>
  <c r="AB113" i="37"/>
  <c r="AC113" i="37"/>
  <c r="AD113" i="37"/>
  <c r="AE113" i="37"/>
  <c r="AF113" i="37"/>
  <c r="AG113" i="37"/>
  <c r="AH113" i="37"/>
  <c r="AI113" i="37"/>
  <c r="AJ113" i="37"/>
  <c r="AK113" i="37"/>
  <c r="AL113" i="37"/>
  <c r="AM113" i="37"/>
  <c r="AN113" i="37"/>
  <c r="D112" i="37"/>
  <c r="AN78" i="37"/>
  <c r="AN80" i="37"/>
  <c r="AN81" i="37"/>
  <c r="AN82" i="37"/>
  <c r="AN83" i="37"/>
  <c r="AN84" i="37"/>
  <c r="AN85" i="37"/>
  <c r="AN86" i="37"/>
  <c r="AN87" i="37"/>
  <c r="AN89" i="37"/>
  <c r="AN90" i="37"/>
  <c r="AN91" i="37"/>
  <c r="AN92" i="37"/>
  <c r="AN93" i="37"/>
  <c r="AN94" i="37"/>
  <c r="AN95" i="37"/>
  <c r="AN96" i="37"/>
  <c r="AN97" i="37"/>
  <c r="AN98" i="37"/>
  <c r="AN99" i="37"/>
  <c r="AN100" i="37"/>
  <c r="AN101" i="37"/>
  <c r="AN102" i="37"/>
  <c r="AN103" i="37"/>
  <c r="AN104" i="37"/>
  <c r="AN105" i="37"/>
  <c r="AN106" i="37"/>
  <c r="AN107" i="37"/>
  <c r="AN108" i="37"/>
  <c r="AN109" i="37"/>
  <c r="AN110" i="37"/>
  <c r="AN111" i="37"/>
  <c r="F112" i="37"/>
  <c r="H112" i="37"/>
  <c r="I112" i="37"/>
  <c r="J112" i="37"/>
  <c r="K112" i="37"/>
  <c r="L112" i="37"/>
  <c r="M112" i="37"/>
  <c r="N112" i="37"/>
  <c r="O112" i="37"/>
  <c r="Q112" i="37"/>
  <c r="R112" i="37"/>
  <c r="S112" i="37"/>
  <c r="T112" i="37"/>
  <c r="U112" i="37"/>
  <c r="V112" i="37"/>
  <c r="W112" i="37"/>
  <c r="X112" i="37"/>
  <c r="Z112" i="37"/>
  <c r="AA112" i="37"/>
  <c r="AB112" i="37"/>
  <c r="AC112" i="37"/>
  <c r="AD112" i="37"/>
  <c r="AE112" i="37"/>
  <c r="AF112" i="37"/>
  <c r="AG112" i="37"/>
  <c r="AH112" i="37"/>
  <c r="AI112" i="37"/>
  <c r="AJ112" i="37"/>
  <c r="AK112" i="37"/>
  <c r="AL112" i="37"/>
  <c r="AM112" i="37"/>
  <c r="D111" i="37"/>
  <c r="AM78" i="37"/>
  <c r="AM80" i="37"/>
  <c r="AM81" i="37"/>
  <c r="AM82" i="37"/>
  <c r="AM83" i="37"/>
  <c r="AM84" i="37"/>
  <c r="AM85" i="37"/>
  <c r="AM86" i="37"/>
  <c r="AM87" i="37"/>
  <c r="AM89" i="37"/>
  <c r="AM90" i="37"/>
  <c r="AM91" i="37"/>
  <c r="AM92" i="37"/>
  <c r="AM93" i="37"/>
  <c r="AM94" i="37"/>
  <c r="AM95" i="37"/>
  <c r="AM96" i="37"/>
  <c r="AM97" i="37"/>
  <c r="AM98" i="37"/>
  <c r="AM99" i="37"/>
  <c r="AM100" i="37"/>
  <c r="AM101" i="37"/>
  <c r="AM102" i="37"/>
  <c r="AM103" i="37"/>
  <c r="AM104" i="37"/>
  <c r="AM105" i="37"/>
  <c r="AM106" i="37"/>
  <c r="AM107" i="37"/>
  <c r="AM108" i="37"/>
  <c r="AM109" i="37"/>
  <c r="AM110" i="37"/>
  <c r="F111" i="37"/>
  <c r="H111" i="37"/>
  <c r="I111" i="37"/>
  <c r="J111" i="37"/>
  <c r="K111" i="37"/>
  <c r="L111" i="37"/>
  <c r="M111" i="37"/>
  <c r="N111" i="37"/>
  <c r="O111" i="37"/>
  <c r="Q111" i="37"/>
  <c r="R111" i="37"/>
  <c r="S111" i="37"/>
  <c r="T111" i="37"/>
  <c r="U111" i="37"/>
  <c r="V111" i="37"/>
  <c r="W111" i="37"/>
  <c r="X111" i="37"/>
  <c r="Y111" i="37"/>
  <c r="Z111" i="37"/>
  <c r="AA111" i="37"/>
  <c r="AB111" i="37"/>
  <c r="AC111" i="37"/>
  <c r="AD111" i="37"/>
  <c r="AE111" i="37"/>
  <c r="AF111" i="37"/>
  <c r="AG111" i="37"/>
  <c r="AH111" i="37"/>
  <c r="AI111" i="37"/>
  <c r="AJ111" i="37"/>
  <c r="AK111" i="37"/>
  <c r="AL111" i="37"/>
  <c r="D110" i="37"/>
  <c r="AL80" i="37"/>
  <c r="AL81" i="37"/>
  <c r="AL82" i="37"/>
  <c r="AL83" i="37"/>
  <c r="AL84" i="37"/>
  <c r="AL85" i="37"/>
  <c r="AL86" i="37"/>
  <c r="AL87" i="37"/>
  <c r="AL89" i="37"/>
  <c r="AL90" i="37"/>
  <c r="AL91" i="37"/>
  <c r="AL92" i="37"/>
  <c r="AL93" i="37"/>
  <c r="AL94" i="37"/>
  <c r="AL95" i="37"/>
  <c r="AL96" i="37"/>
  <c r="AL98" i="37"/>
  <c r="AL99" i="37"/>
  <c r="AL100" i="37"/>
  <c r="AL101" i="37"/>
  <c r="AL102" i="37"/>
  <c r="AL103" i="37"/>
  <c r="AL104" i="37"/>
  <c r="AL105" i="37"/>
  <c r="AL106" i="37"/>
  <c r="AL107" i="37"/>
  <c r="AL108" i="37"/>
  <c r="AL109" i="37"/>
  <c r="H110" i="37"/>
  <c r="I110" i="37"/>
  <c r="J110" i="37"/>
  <c r="K110" i="37"/>
  <c r="L110" i="37"/>
  <c r="M110" i="37"/>
  <c r="N110" i="37"/>
  <c r="O110" i="37"/>
  <c r="Q110" i="37"/>
  <c r="R110" i="37"/>
  <c r="S110" i="37"/>
  <c r="T110" i="37"/>
  <c r="U110" i="37"/>
  <c r="V110" i="37"/>
  <c r="W110" i="37"/>
  <c r="X110" i="37"/>
  <c r="Y110" i="37"/>
  <c r="Z110" i="37"/>
  <c r="AA110" i="37"/>
  <c r="AB110" i="37"/>
  <c r="AC110" i="37"/>
  <c r="AD110" i="37"/>
  <c r="AE110" i="37"/>
  <c r="AF110" i="37"/>
  <c r="AG110" i="37"/>
  <c r="AH110" i="37"/>
  <c r="AI110" i="37"/>
  <c r="AJ110" i="37"/>
  <c r="AK110" i="37"/>
  <c r="D109" i="37"/>
  <c r="AK80" i="37"/>
  <c r="AK81" i="37"/>
  <c r="AK82" i="37"/>
  <c r="AK83" i="37"/>
  <c r="AK84" i="37"/>
  <c r="AK85" i="37"/>
  <c r="AK86" i="37"/>
  <c r="AK87" i="37"/>
  <c r="AK89" i="37"/>
  <c r="AK90" i="37"/>
  <c r="AK91" i="37"/>
  <c r="AK92" i="37"/>
  <c r="AK93" i="37"/>
  <c r="AK94" i="37"/>
  <c r="AK95" i="37"/>
  <c r="AK96" i="37"/>
  <c r="AK97" i="37"/>
  <c r="AK98" i="37"/>
  <c r="AK99" i="37"/>
  <c r="AK100" i="37"/>
  <c r="AK101" i="37"/>
  <c r="AK102" i="37"/>
  <c r="AK103" i="37"/>
  <c r="AK104" i="37"/>
  <c r="AK105" i="37"/>
  <c r="AK106" i="37"/>
  <c r="AK107" i="37"/>
  <c r="AK108" i="37"/>
  <c r="AK115" i="37"/>
  <c r="F109" i="37"/>
  <c r="H109" i="37"/>
  <c r="I109" i="37"/>
  <c r="J109" i="37"/>
  <c r="K109" i="37"/>
  <c r="L109" i="37"/>
  <c r="M109" i="37"/>
  <c r="N109" i="37"/>
  <c r="O109" i="37"/>
  <c r="Q109" i="37"/>
  <c r="R109" i="37"/>
  <c r="S109" i="37"/>
  <c r="T109" i="37"/>
  <c r="U109" i="37"/>
  <c r="V109" i="37"/>
  <c r="W109" i="37"/>
  <c r="X109" i="37"/>
  <c r="Y109" i="37"/>
  <c r="Z109" i="37"/>
  <c r="AA109" i="37"/>
  <c r="AB109" i="37"/>
  <c r="AC109" i="37"/>
  <c r="AD109" i="37"/>
  <c r="AE109" i="37"/>
  <c r="AF109" i="37"/>
  <c r="AG109" i="37"/>
  <c r="AH109" i="37"/>
  <c r="AI109" i="37"/>
  <c r="AJ109" i="37"/>
  <c r="D108" i="37"/>
  <c r="AJ80" i="37"/>
  <c r="AJ81" i="37"/>
  <c r="AJ82" i="37"/>
  <c r="AJ83" i="37"/>
  <c r="AJ84" i="37"/>
  <c r="AJ85" i="37"/>
  <c r="AJ86" i="37"/>
  <c r="AJ87" i="37"/>
  <c r="AJ89" i="37"/>
  <c r="AJ90" i="37"/>
  <c r="AJ91" i="37"/>
  <c r="AJ92" i="37"/>
  <c r="AJ93" i="37"/>
  <c r="AJ94" i="37"/>
  <c r="AJ95" i="37"/>
  <c r="AJ96" i="37"/>
  <c r="AJ97" i="37"/>
  <c r="AJ98" i="37"/>
  <c r="AJ99" i="37"/>
  <c r="AJ100" i="37"/>
  <c r="AJ101" i="37"/>
  <c r="AJ102" i="37"/>
  <c r="AJ103" i="37"/>
  <c r="AJ104" i="37"/>
  <c r="AJ105" i="37"/>
  <c r="AJ106" i="37"/>
  <c r="AJ107" i="37"/>
  <c r="F108" i="37"/>
  <c r="H108" i="37"/>
  <c r="I108" i="37"/>
  <c r="J108" i="37"/>
  <c r="K108" i="37"/>
  <c r="L108" i="37"/>
  <c r="M108" i="37"/>
  <c r="N108" i="37"/>
  <c r="O108" i="37"/>
  <c r="Q108" i="37"/>
  <c r="R108" i="37"/>
  <c r="S108" i="37"/>
  <c r="T108" i="37"/>
  <c r="U108" i="37"/>
  <c r="V108" i="37"/>
  <c r="W108" i="37"/>
  <c r="X108" i="37"/>
  <c r="Y108" i="37"/>
  <c r="Z108" i="37"/>
  <c r="AA108" i="37"/>
  <c r="AB108" i="37"/>
  <c r="AC108" i="37"/>
  <c r="AD108" i="37"/>
  <c r="AE108" i="37"/>
  <c r="AF108" i="37"/>
  <c r="AG108" i="37"/>
  <c r="AH108" i="37"/>
  <c r="AI108" i="37"/>
  <c r="D107" i="37"/>
  <c r="AI80" i="37"/>
  <c r="AI81" i="37"/>
  <c r="AI82" i="37"/>
  <c r="AI83" i="37"/>
  <c r="AI84" i="37"/>
  <c r="AI85" i="37"/>
  <c r="AI86" i="37"/>
  <c r="AI87" i="37"/>
  <c r="AI89" i="37"/>
  <c r="AI90" i="37"/>
  <c r="AI91" i="37"/>
  <c r="AI92" i="37"/>
  <c r="AI93" i="37"/>
  <c r="AI94" i="37"/>
  <c r="AI95" i="37"/>
  <c r="AI96" i="37"/>
  <c r="AI98" i="37"/>
  <c r="AI99" i="37"/>
  <c r="AI100" i="37"/>
  <c r="AI101" i="37"/>
  <c r="AI102" i="37"/>
  <c r="AI103" i="37"/>
  <c r="AI104" i="37"/>
  <c r="AI105" i="37"/>
  <c r="AI106" i="37"/>
  <c r="F107" i="37"/>
  <c r="H107" i="37"/>
  <c r="I107" i="37"/>
  <c r="J107" i="37"/>
  <c r="K107" i="37"/>
  <c r="L107" i="37"/>
  <c r="M107" i="37"/>
  <c r="N107" i="37"/>
  <c r="O107" i="37"/>
  <c r="Q107" i="37"/>
  <c r="R107" i="37"/>
  <c r="S107" i="37"/>
  <c r="T107" i="37"/>
  <c r="U107" i="37"/>
  <c r="V107" i="37"/>
  <c r="W107" i="37"/>
  <c r="X107" i="37"/>
  <c r="Z107" i="37"/>
  <c r="AA107" i="37"/>
  <c r="AB107" i="37"/>
  <c r="AC107" i="37"/>
  <c r="AD107" i="37"/>
  <c r="AE107" i="37"/>
  <c r="AF107" i="37"/>
  <c r="AG107" i="37"/>
  <c r="AH107" i="37"/>
  <c r="D106" i="37"/>
  <c r="AH80" i="37"/>
  <c r="AH81" i="37"/>
  <c r="AH82" i="37"/>
  <c r="AH83" i="37"/>
  <c r="AH84" i="37"/>
  <c r="AH85" i="37"/>
  <c r="AH86" i="37"/>
  <c r="AH87" i="37"/>
  <c r="AH89" i="37"/>
  <c r="AH90" i="37"/>
  <c r="AH91" i="37"/>
  <c r="AH92" i="37"/>
  <c r="AH93" i="37"/>
  <c r="AH94" i="37"/>
  <c r="AH95" i="37"/>
  <c r="AH96" i="37"/>
  <c r="AH97" i="37"/>
  <c r="AH98" i="37"/>
  <c r="AH99" i="37"/>
  <c r="AH100" i="37"/>
  <c r="AH101" i="37"/>
  <c r="AH102" i="37"/>
  <c r="AH103" i="37"/>
  <c r="AH104" i="37"/>
  <c r="AH105" i="37"/>
  <c r="F106" i="37"/>
  <c r="H106" i="37"/>
  <c r="I106" i="37"/>
  <c r="J106" i="37"/>
  <c r="K106" i="37"/>
  <c r="L106" i="37"/>
  <c r="M106" i="37"/>
  <c r="N106" i="37"/>
  <c r="O106" i="37"/>
  <c r="Q106" i="37"/>
  <c r="R106" i="37"/>
  <c r="S106" i="37"/>
  <c r="T106" i="37"/>
  <c r="U106" i="37"/>
  <c r="V106" i="37"/>
  <c r="W106" i="37"/>
  <c r="X106" i="37"/>
  <c r="Y106" i="37"/>
  <c r="Z106" i="37"/>
  <c r="AA106" i="37"/>
  <c r="AB106" i="37"/>
  <c r="AC106" i="37"/>
  <c r="AD106" i="37"/>
  <c r="AE106" i="37"/>
  <c r="AF106" i="37"/>
  <c r="AG106" i="37"/>
  <c r="D105" i="37"/>
  <c r="AG80" i="37"/>
  <c r="AG81" i="37"/>
  <c r="AG82" i="37"/>
  <c r="AG83" i="37"/>
  <c r="AG84" i="37"/>
  <c r="AG85" i="37"/>
  <c r="AG86" i="37"/>
  <c r="AG87" i="37"/>
  <c r="AG89" i="37"/>
  <c r="AG90" i="37"/>
  <c r="AG91" i="37"/>
  <c r="AG92" i="37"/>
  <c r="AG93" i="37"/>
  <c r="AG94" i="37"/>
  <c r="AG95" i="37"/>
  <c r="AG96" i="37"/>
  <c r="AG98" i="37"/>
  <c r="AG99" i="37"/>
  <c r="AG100" i="37"/>
  <c r="AG101" i="37"/>
  <c r="AG102" i="37"/>
  <c r="AG103" i="37"/>
  <c r="AG104" i="37"/>
  <c r="H105" i="37"/>
  <c r="I105" i="37"/>
  <c r="J105" i="37"/>
  <c r="K105" i="37"/>
  <c r="L105" i="37"/>
  <c r="M105" i="37"/>
  <c r="N105" i="37"/>
  <c r="O105" i="37"/>
  <c r="Q105" i="37"/>
  <c r="R105" i="37"/>
  <c r="S105" i="37"/>
  <c r="T105" i="37"/>
  <c r="U105" i="37"/>
  <c r="V105" i="37"/>
  <c r="W105" i="37"/>
  <c r="X105" i="37"/>
  <c r="Z105" i="37"/>
  <c r="AA105" i="37"/>
  <c r="AB105" i="37"/>
  <c r="AC105" i="37"/>
  <c r="AD105" i="37"/>
  <c r="AE105" i="37"/>
  <c r="AF105" i="37"/>
  <c r="D104" i="37"/>
  <c r="AF78" i="37"/>
  <c r="AF80" i="37"/>
  <c r="AF81" i="37"/>
  <c r="AF82" i="37"/>
  <c r="AF83" i="37"/>
  <c r="AF84" i="37"/>
  <c r="AF85" i="37"/>
  <c r="AF86" i="37"/>
  <c r="AF87" i="37"/>
  <c r="AF89" i="37"/>
  <c r="AF90" i="37"/>
  <c r="AF91" i="37"/>
  <c r="AF92" i="37"/>
  <c r="AF93" i="37"/>
  <c r="AF94" i="37"/>
  <c r="AF95" i="37"/>
  <c r="AF96" i="37"/>
  <c r="AF97" i="37"/>
  <c r="AF98" i="37"/>
  <c r="AF99" i="37"/>
  <c r="AF100" i="37"/>
  <c r="AF101" i="37"/>
  <c r="AF102" i="37"/>
  <c r="AF103" i="37"/>
  <c r="F104" i="37"/>
  <c r="H104" i="37"/>
  <c r="I104" i="37"/>
  <c r="J104" i="37"/>
  <c r="K104" i="37"/>
  <c r="L104" i="37"/>
  <c r="M104" i="37"/>
  <c r="N104" i="37"/>
  <c r="O104" i="37"/>
  <c r="Q104" i="37"/>
  <c r="R104" i="37"/>
  <c r="S104" i="37"/>
  <c r="T104" i="37"/>
  <c r="U104" i="37"/>
  <c r="V104" i="37"/>
  <c r="W104" i="37"/>
  <c r="X104" i="37"/>
  <c r="Y104" i="37"/>
  <c r="Z104" i="37"/>
  <c r="AA104" i="37"/>
  <c r="AB104" i="37"/>
  <c r="AC104" i="37"/>
  <c r="AD104" i="37"/>
  <c r="AE104" i="37"/>
  <c r="D103" i="37"/>
  <c r="AE80" i="37"/>
  <c r="AE81" i="37"/>
  <c r="AE82" i="37"/>
  <c r="AE83" i="37"/>
  <c r="AE84" i="37"/>
  <c r="AE85" i="37"/>
  <c r="AE86" i="37"/>
  <c r="AE87" i="37"/>
  <c r="AE89" i="37"/>
  <c r="AE90" i="37"/>
  <c r="AE91" i="37"/>
  <c r="AE92" i="37"/>
  <c r="AE93" i="37"/>
  <c r="AE94" i="37"/>
  <c r="AE95" i="37"/>
  <c r="AE96" i="37"/>
  <c r="AE97" i="37"/>
  <c r="AE98" i="37"/>
  <c r="AE99" i="37"/>
  <c r="AE100" i="37"/>
  <c r="AE101" i="37"/>
  <c r="AE102" i="37"/>
  <c r="F103" i="37"/>
  <c r="H103" i="37"/>
  <c r="I103" i="37"/>
  <c r="J103" i="37"/>
  <c r="K103" i="37"/>
  <c r="L103" i="37"/>
  <c r="M103" i="37"/>
  <c r="N103" i="37"/>
  <c r="O103" i="37"/>
  <c r="Q103" i="37"/>
  <c r="R103" i="37"/>
  <c r="S103" i="37"/>
  <c r="T103" i="37"/>
  <c r="U103" i="37"/>
  <c r="V103" i="37"/>
  <c r="W103" i="37"/>
  <c r="X103" i="37"/>
  <c r="Y103" i="37"/>
  <c r="Z103" i="37"/>
  <c r="AA103" i="37"/>
  <c r="AB103" i="37"/>
  <c r="AC103" i="37"/>
  <c r="AD103" i="37"/>
  <c r="D102" i="37"/>
  <c r="AD80" i="37"/>
  <c r="AD81" i="37"/>
  <c r="AD82" i="37"/>
  <c r="AD83" i="37"/>
  <c r="AD84" i="37"/>
  <c r="AD85" i="37"/>
  <c r="AD86" i="37"/>
  <c r="AD87" i="37"/>
  <c r="AD89" i="37"/>
  <c r="AD90" i="37"/>
  <c r="AD91" i="37"/>
  <c r="AD92" i="37"/>
  <c r="AD93" i="37"/>
  <c r="AD94" i="37"/>
  <c r="AD95" i="37"/>
  <c r="AD96" i="37"/>
  <c r="AD97" i="37"/>
  <c r="AD98" i="37"/>
  <c r="AD99" i="37"/>
  <c r="AD100" i="37"/>
  <c r="AD101" i="37"/>
  <c r="H102" i="37"/>
  <c r="I102" i="37"/>
  <c r="J102" i="37"/>
  <c r="K102" i="37"/>
  <c r="L102" i="37"/>
  <c r="M102" i="37"/>
  <c r="N102" i="37"/>
  <c r="O102" i="37"/>
  <c r="Q102" i="37"/>
  <c r="R102" i="37"/>
  <c r="S102" i="37"/>
  <c r="T102" i="37"/>
  <c r="U102" i="37"/>
  <c r="V102" i="37"/>
  <c r="W102" i="37"/>
  <c r="X102" i="37"/>
  <c r="Y102" i="37"/>
  <c r="Z102" i="37"/>
  <c r="AA102" i="37"/>
  <c r="AB102" i="37"/>
  <c r="AC102" i="37"/>
  <c r="AC80" i="37"/>
  <c r="AC81" i="37"/>
  <c r="AC82" i="37"/>
  <c r="AC83" i="37"/>
  <c r="AC84" i="37"/>
  <c r="AC85" i="37"/>
  <c r="AC86" i="37"/>
  <c r="AC87" i="37"/>
  <c r="AC89" i="37"/>
  <c r="AC90" i="37"/>
  <c r="AC91" i="37"/>
  <c r="AC92" i="37"/>
  <c r="AC93" i="37"/>
  <c r="AC94" i="37"/>
  <c r="AC95" i="37"/>
  <c r="AC96" i="37"/>
  <c r="AC97" i="37"/>
  <c r="AC98" i="37"/>
  <c r="AC99" i="37"/>
  <c r="AC100" i="37"/>
  <c r="F101" i="37"/>
  <c r="H101" i="37"/>
  <c r="I101" i="37"/>
  <c r="J101" i="37"/>
  <c r="K101" i="37"/>
  <c r="L101" i="37"/>
  <c r="M101" i="37"/>
  <c r="N101" i="37"/>
  <c r="O101" i="37"/>
  <c r="Q101" i="37"/>
  <c r="R101" i="37"/>
  <c r="S101" i="37"/>
  <c r="T101" i="37"/>
  <c r="U101" i="37"/>
  <c r="V101" i="37"/>
  <c r="W101" i="37"/>
  <c r="X101" i="37"/>
  <c r="Z101" i="37"/>
  <c r="AA101" i="37"/>
  <c r="AB101" i="37"/>
  <c r="D100" i="37"/>
  <c r="AB80" i="37"/>
  <c r="AB81" i="37"/>
  <c r="AB82" i="37"/>
  <c r="AB83" i="37"/>
  <c r="AB84" i="37"/>
  <c r="AB85" i="37"/>
  <c r="AB86" i="37"/>
  <c r="AB87" i="37"/>
  <c r="AB89" i="37"/>
  <c r="AB90" i="37"/>
  <c r="AB91" i="37"/>
  <c r="AB92" i="37"/>
  <c r="AB93" i="37"/>
  <c r="AB94" i="37"/>
  <c r="AB95" i="37"/>
  <c r="AB96" i="37"/>
  <c r="AB98" i="37"/>
  <c r="AB99" i="37"/>
  <c r="F100" i="37"/>
  <c r="H100" i="37"/>
  <c r="I100" i="37"/>
  <c r="J100" i="37"/>
  <c r="K100" i="37"/>
  <c r="L100" i="37"/>
  <c r="M100" i="37"/>
  <c r="N100" i="37"/>
  <c r="O100" i="37"/>
  <c r="Q100" i="37"/>
  <c r="R100" i="37"/>
  <c r="S100" i="37"/>
  <c r="T100" i="37"/>
  <c r="U100" i="37"/>
  <c r="V100" i="37"/>
  <c r="W100" i="37"/>
  <c r="X100" i="37"/>
  <c r="Z100" i="37"/>
  <c r="AA100" i="37"/>
  <c r="D99" i="37"/>
  <c r="AA80" i="37"/>
  <c r="AA81" i="37"/>
  <c r="AA82" i="37"/>
  <c r="AA83" i="37"/>
  <c r="AA84" i="37"/>
  <c r="AA85" i="37"/>
  <c r="AA86" i="37"/>
  <c r="AA87" i="37"/>
  <c r="AA89" i="37"/>
  <c r="AA90" i="37"/>
  <c r="AA91" i="37"/>
  <c r="AA92" i="37"/>
  <c r="AA93" i="37"/>
  <c r="AA94" i="37"/>
  <c r="AA95" i="37"/>
  <c r="AA96" i="37"/>
  <c r="AA97" i="37"/>
  <c r="AA98" i="37"/>
  <c r="F99" i="37"/>
  <c r="H99" i="37"/>
  <c r="I99" i="37"/>
  <c r="J99" i="37"/>
  <c r="K99" i="37"/>
  <c r="L99" i="37"/>
  <c r="M99" i="37"/>
  <c r="N99" i="37"/>
  <c r="O99" i="37"/>
  <c r="Q99" i="37"/>
  <c r="R99" i="37"/>
  <c r="S99" i="37"/>
  <c r="T99" i="37"/>
  <c r="U99" i="37"/>
  <c r="V99" i="37"/>
  <c r="W99" i="37"/>
  <c r="X99" i="37"/>
  <c r="Z99" i="37"/>
  <c r="D98" i="37"/>
  <c r="Z78" i="37"/>
  <c r="Z80" i="37"/>
  <c r="Z81" i="37"/>
  <c r="Z82" i="37"/>
  <c r="Z83" i="37"/>
  <c r="Z84" i="37"/>
  <c r="Z85" i="37"/>
  <c r="Z86" i="37"/>
  <c r="Z87" i="37"/>
  <c r="Z89" i="37"/>
  <c r="Z90" i="37"/>
  <c r="Z91" i="37"/>
  <c r="Z92" i="37"/>
  <c r="Z93" i="37"/>
  <c r="Z94" i="37"/>
  <c r="Z95" i="37"/>
  <c r="Z96" i="37"/>
  <c r="F98" i="37"/>
  <c r="H98" i="37"/>
  <c r="I98" i="37"/>
  <c r="I88" i="37" s="1"/>
  <c r="J98" i="37"/>
  <c r="K98" i="37"/>
  <c r="L98" i="37"/>
  <c r="M98" i="37"/>
  <c r="N98" i="37"/>
  <c r="O98" i="37"/>
  <c r="Q98" i="37"/>
  <c r="R98" i="37"/>
  <c r="S98" i="37"/>
  <c r="T98" i="37"/>
  <c r="U98" i="37"/>
  <c r="V98" i="37"/>
  <c r="W98" i="37"/>
  <c r="X98" i="37"/>
  <c r="Y98" i="37"/>
  <c r="D97" i="37"/>
  <c r="Y80" i="37"/>
  <c r="Y82" i="37"/>
  <c r="Y86" i="37"/>
  <c r="Y89" i="37"/>
  <c r="Y90" i="37"/>
  <c r="Y91" i="37"/>
  <c r="Y92" i="37"/>
  <c r="Y94" i="37"/>
  <c r="Y95" i="37"/>
  <c r="Y96" i="37"/>
  <c r="I97" i="37"/>
  <c r="J97" i="37"/>
  <c r="Q97" i="37"/>
  <c r="V97" i="37"/>
  <c r="D96" i="37"/>
  <c r="X80" i="37"/>
  <c r="X81" i="37"/>
  <c r="X82" i="37"/>
  <c r="X83" i="37"/>
  <c r="X84" i="37"/>
  <c r="X85" i="37"/>
  <c r="X86" i="37"/>
  <c r="X87" i="37"/>
  <c r="X89" i="37"/>
  <c r="X90" i="37"/>
  <c r="X91" i="37"/>
  <c r="X92" i="37"/>
  <c r="X93" i="37"/>
  <c r="X94" i="37"/>
  <c r="X95" i="37"/>
  <c r="F96" i="37"/>
  <c r="H96" i="37"/>
  <c r="I96" i="37"/>
  <c r="J96" i="37"/>
  <c r="K96" i="37"/>
  <c r="L96" i="37"/>
  <c r="M96" i="37"/>
  <c r="N96" i="37"/>
  <c r="O96" i="37"/>
  <c r="Q96" i="37"/>
  <c r="R96" i="37"/>
  <c r="S96" i="37"/>
  <c r="T96" i="37"/>
  <c r="U96" i="37"/>
  <c r="V96" i="37"/>
  <c r="W96" i="37"/>
  <c r="D95" i="37"/>
  <c r="W78" i="37"/>
  <c r="W80" i="37"/>
  <c r="W81" i="37"/>
  <c r="W82" i="37"/>
  <c r="W83" i="37"/>
  <c r="W84" i="37"/>
  <c r="W85" i="37"/>
  <c r="W86" i="37"/>
  <c r="W87" i="37"/>
  <c r="W89" i="37"/>
  <c r="W90" i="37"/>
  <c r="W91" i="37"/>
  <c r="W92" i="37"/>
  <c r="W93" i="37"/>
  <c r="W94" i="37"/>
  <c r="F95" i="37"/>
  <c r="H95" i="37"/>
  <c r="I95" i="37"/>
  <c r="J95" i="37"/>
  <c r="K95" i="37"/>
  <c r="L95" i="37"/>
  <c r="M95" i="37"/>
  <c r="N95" i="37"/>
  <c r="O95" i="37"/>
  <c r="Q95" i="37"/>
  <c r="R95" i="37"/>
  <c r="S95" i="37"/>
  <c r="T95" i="37"/>
  <c r="U95" i="37"/>
  <c r="V95" i="37"/>
  <c r="D94" i="37"/>
  <c r="V78" i="37"/>
  <c r="V80" i="37"/>
  <c r="V81" i="37"/>
  <c r="V82" i="37"/>
  <c r="V83" i="37"/>
  <c r="V84" i="37"/>
  <c r="V85" i="37"/>
  <c r="V86" i="37"/>
  <c r="V87" i="37"/>
  <c r="V89" i="37"/>
  <c r="V90" i="37"/>
  <c r="V91" i="37"/>
  <c r="V92" i="37"/>
  <c r="V93" i="37"/>
  <c r="F94" i="37"/>
  <c r="H94" i="37"/>
  <c r="I94" i="37"/>
  <c r="J94" i="37"/>
  <c r="K94" i="37"/>
  <c r="L94" i="37"/>
  <c r="M94" i="37"/>
  <c r="N94" i="37"/>
  <c r="O94" i="37"/>
  <c r="Q94" i="37"/>
  <c r="R94" i="37"/>
  <c r="S94" i="37"/>
  <c r="T94" i="37"/>
  <c r="U94" i="37"/>
  <c r="D93" i="37"/>
  <c r="U80" i="37"/>
  <c r="U81" i="37"/>
  <c r="U82" i="37"/>
  <c r="U83" i="37"/>
  <c r="U84" i="37"/>
  <c r="U85" i="37"/>
  <c r="U86" i="37"/>
  <c r="U87" i="37"/>
  <c r="U89" i="37"/>
  <c r="U90" i="37"/>
  <c r="U91" i="37"/>
  <c r="U92" i="37"/>
  <c r="H93" i="37"/>
  <c r="I93" i="37"/>
  <c r="J93" i="37"/>
  <c r="K93" i="37"/>
  <c r="L93" i="37"/>
  <c r="M93" i="37"/>
  <c r="N93" i="37"/>
  <c r="O93" i="37"/>
  <c r="Q93" i="37"/>
  <c r="R93" i="37"/>
  <c r="S93" i="37"/>
  <c r="T93" i="37"/>
  <c r="D92" i="37"/>
  <c r="T80" i="37"/>
  <c r="T81" i="37"/>
  <c r="T82" i="37"/>
  <c r="T83" i="37"/>
  <c r="T84" i="37"/>
  <c r="T85" i="37"/>
  <c r="T86" i="37"/>
  <c r="T87" i="37"/>
  <c r="T89" i="37"/>
  <c r="T90" i="37"/>
  <c r="T91" i="37"/>
  <c r="F92" i="37"/>
  <c r="H92" i="37"/>
  <c r="I92" i="37"/>
  <c r="J92" i="37"/>
  <c r="K92" i="37"/>
  <c r="L92" i="37"/>
  <c r="M92" i="37"/>
  <c r="N92" i="37"/>
  <c r="O92" i="37"/>
  <c r="Q92" i="37"/>
  <c r="R92" i="37"/>
  <c r="S92" i="37"/>
  <c r="D91" i="37"/>
  <c r="S78" i="37"/>
  <c r="S80" i="37"/>
  <c r="S81" i="37"/>
  <c r="S82" i="37"/>
  <c r="S83" i="37"/>
  <c r="S84" i="37"/>
  <c r="S85" i="37"/>
  <c r="S86" i="37"/>
  <c r="S87" i="37"/>
  <c r="S89" i="37"/>
  <c r="S90" i="37"/>
  <c r="F91" i="37"/>
  <c r="H91" i="37"/>
  <c r="I91" i="37"/>
  <c r="J91" i="37"/>
  <c r="K91" i="37"/>
  <c r="L91" i="37"/>
  <c r="M91" i="37"/>
  <c r="N91" i="37"/>
  <c r="O91" i="37"/>
  <c r="Q91" i="37"/>
  <c r="R91" i="37"/>
  <c r="D90" i="37"/>
  <c r="R78" i="37"/>
  <c r="R80" i="37"/>
  <c r="R81" i="37"/>
  <c r="R82" i="37"/>
  <c r="R83" i="37"/>
  <c r="R84" i="37"/>
  <c r="R85" i="37"/>
  <c r="R86" i="37"/>
  <c r="R87" i="37"/>
  <c r="R89" i="37"/>
  <c r="F90" i="37"/>
  <c r="H90" i="37"/>
  <c r="I90" i="37"/>
  <c r="J90" i="37"/>
  <c r="K90" i="37"/>
  <c r="L90" i="37"/>
  <c r="M90" i="37"/>
  <c r="N90" i="37"/>
  <c r="O90" i="37"/>
  <c r="Q90" i="37"/>
  <c r="D89" i="37"/>
  <c r="Q80" i="37"/>
  <c r="Q81" i="37"/>
  <c r="Q82" i="37"/>
  <c r="Q83" i="37"/>
  <c r="Q84" i="37"/>
  <c r="Q85" i="37"/>
  <c r="Q86" i="37"/>
  <c r="Q87" i="37"/>
  <c r="H89" i="37"/>
  <c r="I89" i="37"/>
  <c r="J89" i="37"/>
  <c r="K89" i="37"/>
  <c r="L89" i="37"/>
  <c r="M89" i="37"/>
  <c r="N89" i="37"/>
  <c r="O89" i="37"/>
  <c r="D87" i="37"/>
  <c r="O78" i="37"/>
  <c r="O80" i="37"/>
  <c r="O81" i="37"/>
  <c r="O82" i="37"/>
  <c r="O83" i="37"/>
  <c r="O84" i="37"/>
  <c r="O85" i="37"/>
  <c r="O86" i="37"/>
  <c r="F87" i="37"/>
  <c r="H87" i="37"/>
  <c r="I87" i="37"/>
  <c r="J87" i="37"/>
  <c r="K87" i="37"/>
  <c r="L87" i="37"/>
  <c r="M87" i="37"/>
  <c r="N87" i="37"/>
  <c r="D86" i="37"/>
  <c r="N78" i="37"/>
  <c r="N80" i="37"/>
  <c r="N81" i="37"/>
  <c r="N82" i="37"/>
  <c r="N83" i="37"/>
  <c r="N84" i="37"/>
  <c r="N85" i="37"/>
  <c r="F86" i="37"/>
  <c r="H86" i="37"/>
  <c r="I86" i="37"/>
  <c r="J86" i="37"/>
  <c r="K86" i="37"/>
  <c r="L86" i="37"/>
  <c r="M86" i="37"/>
  <c r="D85" i="37"/>
  <c r="M78" i="37"/>
  <c r="M80" i="37"/>
  <c r="M81" i="37"/>
  <c r="M82" i="37"/>
  <c r="M83" i="37"/>
  <c r="M84" i="37"/>
  <c r="F85" i="37"/>
  <c r="H85" i="37"/>
  <c r="I85" i="37"/>
  <c r="J85" i="37"/>
  <c r="K85" i="37"/>
  <c r="L85" i="37"/>
  <c r="D84" i="37"/>
  <c r="R11" i="37"/>
  <c r="L80" i="37"/>
  <c r="L81" i="37"/>
  <c r="L82" i="37"/>
  <c r="L83" i="37"/>
  <c r="F84" i="37"/>
  <c r="H84" i="37"/>
  <c r="I84" i="37"/>
  <c r="J84" i="37"/>
  <c r="K84" i="37"/>
  <c r="D83" i="37"/>
  <c r="Q11" i="37"/>
  <c r="K80" i="37"/>
  <c r="K81" i="37"/>
  <c r="K82" i="37"/>
  <c r="F83" i="37"/>
  <c r="H83" i="37"/>
  <c r="I83" i="37"/>
  <c r="J83" i="37"/>
  <c r="D82" i="37"/>
  <c r="J78" i="37"/>
  <c r="J80" i="37"/>
  <c r="J81" i="37"/>
  <c r="H82" i="37"/>
  <c r="I82" i="37"/>
  <c r="D81" i="37"/>
  <c r="I78" i="37"/>
  <c r="I80" i="37"/>
  <c r="F81" i="37"/>
  <c r="H81" i="37"/>
  <c r="D80" i="37"/>
  <c r="H78" i="37"/>
  <c r="F80" i="37"/>
  <c r="D79" i="37"/>
  <c r="G78" i="37"/>
  <c r="G80" i="37"/>
  <c r="G81" i="37"/>
  <c r="G82" i="37"/>
  <c r="G83" i="37"/>
  <c r="G84" i="37"/>
  <c r="G85" i="37"/>
  <c r="G86" i="37"/>
  <c r="G87" i="37"/>
  <c r="G89" i="37"/>
  <c r="G90" i="37"/>
  <c r="G91" i="37"/>
  <c r="G92" i="37"/>
  <c r="G93" i="37"/>
  <c r="G94" i="37"/>
  <c r="G95" i="37"/>
  <c r="G96" i="37"/>
  <c r="G98" i="37"/>
  <c r="G99" i="37"/>
  <c r="G100" i="37"/>
  <c r="G101" i="37"/>
  <c r="G102" i="37"/>
  <c r="G103" i="37"/>
  <c r="G104" i="37"/>
  <c r="G105" i="37"/>
  <c r="G106" i="37"/>
  <c r="G107" i="37"/>
  <c r="G108" i="37"/>
  <c r="G109" i="37"/>
  <c r="G110" i="37"/>
  <c r="G111" i="37"/>
  <c r="G112" i="37"/>
  <c r="G113" i="37"/>
  <c r="G114" i="37"/>
  <c r="G115" i="37"/>
  <c r="H79" i="37"/>
  <c r="I79" i="37"/>
  <c r="J79" i="37"/>
  <c r="K79" i="37"/>
  <c r="L79" i="37"/>
  <c r="M79" i="37"/>
  <c r="N79" i="37"/>
  <c r="O79" i="37"/>
  <c r="Q79" i="37"/>
  <c r="R79" i="37"/>
  <c r="S79" i="37"/>
  <c r="T79" i="37"/>
  <c r="U79" i="37"/>
  <c r="V79" i="37"/>
  <c r="W79" i="37"/>
  <c r="X79" i="37"/>
  <c r="Z79" i="37"/>
  <c r="AA79" i="37"/>
  <c r="AB79" i="37"/>
  <c r="AC79" i="37"/>
  <c r="AD79" i="37"/>
  <c r="AE79" i="37"/>
  <c r="AF79" i="37"/>
  <c r="AG79" i="37"/>
  <c r="AH79" i="37"/>
  <c r="AI79" i="37"/>
  <c r="AJ79" i="37"/>
  <c r="AK79" i="37"/>
  <c r="AL79" i="37"/>
  <c r="AM79" i="37"/>
  <c r="AN79" i="37"/>
  <c r="AO79" i="37"/>
  <c r="AP79" i="37"/>
  <c r="AQ79" i="37"/>
  <c r="L18" i="37"/>
  <c r="L34" i="37"/>
  <c r="L25" i="37" s="1"/>
  <c r="L63" i="37"/>
  <c r="O15" i="37"/>
  <c r="V15" i="37"/>
  <c r="BH15" i="37"/>
  <c r="BK11" i="37"/>
  <c r="BK10" i="37" s="1"/>
  <c r="BK9" i="37" s="1"/>
  <c r="BK8" i="37" s="1"/>
  <c r="BK18" i="37"/>
  <c r="O34" i="37"/>
  <c r="O25" i="37" s="1"/>
  <c r="O63" i="37"/>
  <c r="G17" i="37"/>
  <c r="F22" i="37"/>
  <c r="E27" i="37"/>
  <c r="BD59" i="37"/>
  <c r="V59" i="37" s="1"/>
  <c r="BA56" i="37"/>
  <c r="V56" i="37" s="1"/>
  <c r="AP45" i="37"/>
  <c r="AE45" i="37" s="1"/>
  <c r="V45" i="37" s="1"/>
  <c r="AM42" i="37"/>
  <c r="AH37" i="37"/>
  <c r="AE37" i="37"/>
  <c r="V37" i="37" s="1"/>
  <c r="BH35" i="37"/>
  <c r="AF35" i="37"/>
  <c r="AP34" i="37"/>
  <c r="AP25" i="37" s="1"/>
  <c r="AH34" i="37"/>
  <c r="AH25" i="37" s="1"/>
  <c r="O16" i="37"/>
  <c r="N10" i="37"/>
  <c r="AQ80" i="38"/>
  <c r="AQ81" i="38"/>
  <c r="AQ82" i="38"/>
  <c r="AQ84" i="38"/>
  <c r="AQ85" i="38"/>
  <c r="AQ86" i="38"/>
  <c r="AQ87" i="38"/>
  <c r="AQ89" i="38"/>
  <c r="AQ90" i="38"/>
  <c r="AQ91" i="38"/>
  <c r="AQ94" i="38"/>
  <c r="AQ95" i="38"/>
  <c r="AQ96" i="38"/>
  <c r="AQ98" i="38"/>
  <c r="AQ100" i="38"/>
  <c r="AQ101" i="38"/>
  <c r="AQ103" i="38"/>
  <c r="AQ104" i="38"/>
  <c r="AQ105" i="38"/>
  <c r="AQ106" i="38"/>
  <c r="AQ107" i="38"/>
  <c r="AQ108" i="38"/>
  <c r="AQ109" i="38"/>
  <c r="AQ110" i="38"/>
  <c r="AQ111" i="38"/>
  <c r="AQ112" i="38"/>
  <c r="AQ113" i="38"/>
  <c r="H115" i="38"/>
  <c r="I115" i="38"/>
  <c r="J115" i="38"/>
  <c r="K115" i="38"/>
  <c r="L115" i="38"/>
  <c r="O115" i="38"/>
  <c r="Q115" i="38"/>
  <c r="R115" i="38"/>
  <c r="U115" i="38"/>
  <c r="V115" i="38"/>
  <c r="W115" i="38"/>
  <c r="Z115" i="38"/>
  <c r="AA115" i="38"/>
  <c r="AB115" i="38"/>
  <c r="AC115" i="38"/>
  <c r="AE115" i="38"/>
  <c r="AF115" i="38"/>
  <c r="AG115" i="38"/>
  <c r="AH115" i="38"/>
  <c r="AI115" i="38"/>
  <c r="AJ115" i="38"/>
  <c r="AL115" i="38"/>
  <c r="AM115" i="38"/>
  <c r="AO115" i="38"/>
  <c r="AP115" i="38"/>
  <c r="D114" i="38"/>
  <c r="AP80" i="38"/>
  <c r="AP81" i="38"/>
  <c r="AP82" i="38"/>
  <c r="AP83" i="38"/>
  <c r="AP84" i="38"/>
  <c r="AP85" i="38"/>
  <c r="AP86" i="38"/>
  <c r="AP87" i="38"/>
  <c r="AP89" i="38"/>
  <c r="AP90" i="38"/>
  <c r="AP91" i="38"/>
  <c r="AP92" i="38"/>
  <c r="AP93" i="38"/>
  <c r="AP94" i="38"/>
  <c r="AP95" i="38"/>
  <c r="AP96" i="38"/>
  <c r="AP98" i="38"/>
  <c r="AP99" i="38"/>
  <c r="AP100" i="38"/>
  <c r="AP101" i="38"/>
  <c r="AP102" i="38"/>
  <c r="AP103" i="38"/>
  <c r="AP104" i="38"/>
  <c r="AP105" i="38"/>
  <c r="AP106" i="38"/>
  <c r="AP107" i="38"/>
  <c r="AP108" i="38"/>
  <c r="AP109" i="38"/>
  <c r="AP110" i="38"/>
  <c r="AP111" i="38"/>
  <c r="AP112" i="38"/>
  <c r="AP113" i="38"/>
  <c r="H114" i="38"/>
  <c r="I114" i="38"/>
  <c r="J114" i="38"/>
  <c r="K114" i="38"/>
  <c r="L114" i="38"/>
  <c r="M114" i="38"/>
  <c r="N114" i="38"/>
  <c r="O114" i="38"/>
  <c r="Q114" i="38"/>
  <c r="R114" i="38"/>
  <c r="S114" i="38"/>
  <c r="T114" i="38"/>
  <c r="U114" i="38"/>
  <c r="V114" i="38"/>
  <c r="W114" i="38"/>
  <c r="X114" i="38"/>
  <c r="Z114" i="38"/>
  <c r="AA114" i="38"/>
  <c r="AB114" i="38"/>
  <c r="AC114" i="38"/>
  <c r="AD114" i="38"/>
  <c r="AE114" i="38"/>
  <c r="AF114" i="38"/>
  <c r="AG114" i="38"/>
  <c r="AH114" i="38"/>
  <c r="AI114" i="38"/>
  <c r="AJ114" i="38"/>
  <c r="AK114" i="38"/>
  <c r="AL114" i="38"/>
  <c r="AM114" i="38"/>
  <c r="AN114" i="38"/>
  <c r="AO114" i="38"/>
  <c r="D113" i="38"/>
  <c r="AO78" i="38"/>
  <c r="AO80" i="38"/>
  <c r="AO81" i="38"/>
  <c r="AO82" i="38"/>
  <c r="AO83" i="38"/>
  <c r="AO84" i="38"/>
  <c r="AO85" i="38"/>
  <c r="AO86" i="38"/>
  <c r="AO87" i="38"/>
  <c r="AO89" i="38"/>
  <c r="AO90" i="38"/>
  <c r="AO91" i="38"/>
  <c r="AO92" i="38"/>
  <c r="AO93" i="38"/>
  <c r="AO94" i="38"/>
  <c r="AO95" i="38"/>
  <c r="AO96" i="38"/>
  <c r="AO97" i="38"/>
  <c r="AO98" i="38"/>
  <c r="AO99" i="38"/>
  <c r="AO100" i="38"/>
  <c r="AO101" i="38"/>
  <c r="AO102" i="38"/>
  <c r="AO103" i="38"/>
  <c r="AO104" i="38"/>
  <c r="AO105" i="38"/>
  <c r="AO106" i="38"/>
  <c r="AO107" i="38"/>
  <c r="AO108" i="38"/>
  <c r="AO109" i="38"/>
  <c r="AO110" i="38"/>
  <c r="AO111" i="38"/>
  <c r="AO112" i="38"/>
  <c r="F113" i="38"/>
  <c r="H113" i="38"/>
  <c r="I113" i="38"/>
  <c r="J113" i="38"/>
  <c r="K113" i="38"/>
  <c r="L113" i="38"/>
  <c r="M113" i="38"/>
  <c r="N113" i="38"/>
  <c r="O113" i="38"/>
  <c r="Q113" i="38"/>
  <c r="R113" i="38"/>
  <c r="S113" i="38"/>
  <c r="T113" i="38"/>
  <c r="U113" i="38"/>
  <c r="V113" i="38"/>
  <c r="W113" i="38"/>
  <c r="X113" i="38"/>
  <c r="Y113" i="38"/>
  <c r="Z113" i="38"/>
  <c r="AA113" i="38"/>
  <c r="AB113" i="38"/>
  <c r="AC113" i="38"/>
  <c r="AD113" i="38"/>
  <c r="AE113" i="38"/>
  <c r="AF113" i="38"/>
  <c r="AG113" i="38"/>
  <c r="AH113" i="38"/>
  <c r="AI113" i="38"/>
  <c r="AJ113" i="38"/>
  <c r="AK113" i="38"/>
  <c r="AL113" i="38"/>
  <c r="AM113" i="38"/>
  <c r="AN113" i="38"/>
  <c r="D112" i="38"/>
  <c r="AN80" i="38"/>
  <c r="AN81" i="38"/>
  <c r="AN82" i="38"/>
  <c r="AN83" i="38"/>
  <c r="AN84" i="38"/>
  <c r="AN85" i="38"/>
  <c r="AN86" i="38"/>
  <c r="AN87" i="38"/>
  <c r="AN89" i="38"/>
  <c r="AN90" i="38"/>
  <c r="AN91" i="38"/>
  <c r="AN92" i="38"/>
  <c r="AN93" i="38"/>
  <c r="AN94" i="38"/>
  <c r="AN95" i="38"/>
  <c r="AN96" i="38"/>
  <c r="AN97" i="38"/>
  <c r="AN98" i="38"/>
  <c r="AN99" i="38"/>
  <c r="AN100" i="38"/>
  <c r="AN101" i="38"/>
  <c r="AN102" i="38"/>
  <c r="AN103" i="38"/>
  <c r="AN104" i="38"/>
  <c r="AN105" i="38"/>
  <c r="AN106" i="38"/>
  <c r="AN107" i="38"/>
  <c r="AN108" i="38"/>
  <c r="AN109" i="38"/>
  <c r="AN110" i="38"/>
  <c r="AN111" i="38"/>
  <c r="F112" i="38"/>
  <c r="H112" i="38"/>
  <c r="I112" i="38"/>
  <c r="J112" i="38"/>
  <c r="K112" i="38"/>
  <c r="L112" i="38"/>
  <c r="M112" i="38"/>
  <c r="N112" i="38"/>
  <c r="O112" i="38"/>
  <c r="Q112" i="38"/>
  <c r="R112" i="38"/>
  <c r="S112" i="38"/>
  <c r="T112" i="38"/>
  <c r="U112" i="38"/>
  <c r="V112" i="38"/>
  <c r="W112" i="38"/>
  <c r="X112" i="38"/>
  <c r="Y112" i="38"/>
  <c r="Z112" i="38"/>
  <c r="AA112" i="38"/>
  <c r="AB112" i="38"/>
  <c r="AC112" i="38"/>
  <c r="AD112" i="38"/>
  <c r="AE112" i="38"/>
  <c r="AF112" i="38"/>
  <c r="AG112" i="38"/>
  <c r="AH112" i="38"/>
  <c r="AI112" i="38"/>
  <c r="AJ112" i="38"/>
  <c r="AK112" i="38"/>
  <c r="AL112" i="38"/>
  <c r="AM112" i="38"/>
  <c r="D111" i="38"/>
  <c r="AM78" i="38"/>
  <c r="AM80" i="38"/>
  <c r="AM81" i="38"/>
  <c r="AM82" i="38"/>
  <c r="AM83" i="38"/>
  <c r="AM84" i="38"/>
  <c r="AM85" i="38"/>
  <c r="AM86" i="38"/>
  <c r="AM87" i="38"/>
  <c r="AM89" i="38"/>
  <c r="AM90" i="38"/>
  <c r="AM91" i="38"/>
  <c r="AM92" i="38"/>
  <c r="AM93" i="38"/>
  <c r="AM94" i="38"/>
  <c r="AM95" i="38"/>
  <c r="AM96" i="38"/>
  <c r="AM97" i="38"/>
  <c r="AM98" i="38"/>
  <c r="AM99" i="38"/>
  <c r="AM100" i="38"/>
  <c r="AM101" i="38"/>
  <c r="AM102" i="38"/>
  <c r="AM103" i="38"/>
  <c r="AM104" i="38"/>
  <c r="AM105" i="38"/>
  <c r="AM106" i="38"/>
  <c r="AM107" i="38"/>
  <c r="AM108" i="38"/>
  <c r="AM109" i="38"/>
  <c r="AM110" i="38"/>
  <c r="F111" i="38"/>
  <c r="H111" i="38"/>
  <c r="I111" i="38"/>
  <c r="J111" i="38"/>
  <c r="K111" i="38"/>
  <c r="L111" i="38"/>
  <c r="M111" i="38"/>
  <c r="N111" i="38"/>
  <c r="O111" i="38"/>
  <c r="Q111" i="38"/>
  <c r="R111" i="38"/>
  <c r="S111" i="38"/>
  <c r="T111" i="38"/>
  <c r="U111" i="38"/>
  <c r="V111" i="38"/>
  <c r="W111" i="38"/>
  <c r="X111" i="38"/>
  <c r="Y111" i="38"/>
  <c r="Z111" i="38"/>
  <c r="AA111" i="38"/>
  <c r="AB111" i="38"/>
  <c r="AC111" i="38"/>
  <c r="AD111" i="38"/>
  <c r="AE111" i="38"/>
  <c r="AF111" i="38"/>
  <c r="AG111" i="38"/>
  <c r="AH111" i="38"/>
  <c r="AI111" i="38"/>
  <c r="AJ111" i="38"/>
  <c r="AK111" i="38"/>
  <c r="AL111" i="38"/>
  <c r="D110" i="38"/>
  <c r="AL78" i="38"/>
  <c r="AL80" i="38"/>
  <c r="AL81" i="38"/>
  <c r="AL82" i="38"/>
  <c r="AL83" i="38"/>
  <c r="AL84" i="38"/>
  <c r="AL85" i="38"/>
  <c r="AL86" i="38"/>
  <c r="AL87" i="38"/>
  <c r="AL89" i="38"/>
  <c r="AL90" i="38"/>
  <c r="AL91" i="38"/>
  <c r="AL92" i="38"/>
  <c r="AL93" i="38"/>
  <c r="AL94" i="38"/>
  <c r="AL95" i="38"/>
  <c r="AL96" i="38"/>
  <c r="AL98" i="38"/>
  <c r="AL99" i="38"/>
  <c r="AL100" i="38"/>
  <c r="AL101" i="38"/>
  <c r="AL102" i="38"/>
  <c r="AL103" i="38"/>
  <c r="AL104" i="38"/>
  <c r="AL105" i="38"/>
  <c r="AL106" i="38"/>
  <c r="AL107" i="38"/>
  <c r="AL108" i="38"/>
  <c r="AL109" i="38"/>
  <c r="F110" i="38"/>
  <c r="H110" i="38"/>
  <c r="I110" i="38"/>
  <c r="J110" i="38"/>
  <c r="K110" i="38"/>
  <c r="L110" i="38"/>
  <c r="M110" i="38"/>
  <c r="N110" i="38"/>
  <c r="O110" i="38"/>
  <c r="Q110" i="38"/>
  <c r="R110" i="38"/>
  <c r="S110" i="38"/>
  <c r="T110" i="38"/>
  <c r="U110" i="38"/>
  <c r="V110" i="38"/>
  <c r="W110" i="38"/>
  <c r="X110" i="38"/>
  <c r="Y110" i="38"/>
  <c r="Z110" i="38"/>
  <c r="AA110" i="38"/>
  <c r="AB110" i="38"/>
  <c r="AC110" i="38"/>
  <c r="AD110" i="38"/>
  <c r="AE110" i="38"/>
  <c r="AF110" i="38"/>
  <c r="AG110" i="38"/>
  <c r="AH110" i="38"/>
  <c r="AI110" i="38"/>
  <c r="AJ110" i="38"/>
  <c r="AK110" i="38"/>
  <c r="D109" i="38"/>
  <c r="AK80" i="38"/>
  <c r="AK81" i="38"/>
  <c r="AK82" i="38"/>
  <c r="AK83" i="38"/>
  <c r="AK84" i="38"/>
  <c r="AK85" i="38"/>
  <c r="AK86" i="38"/>
  <c r="AK87" i="38"/>
  <c r="AK89" i="38"/>
  <c r="AK90" i="38"/>
  <c r="AK91" i="38"/>
  <c r="AK92" i="38"/>
  <c r="AK93" i="38"/>
  <c r="AK94" i="38"/>
  <c r="AK95" i="38"/>
  <c r="AK96" i="38"/>
  <c r="AK97" i="38"/>
  <c r="AK98" i="38"/>
  <c r="AK99" i="38"/>
  <c r="AK100" i="38"/>
  <c r="AK101" i="38"/>
  <c r="AK102" i="38"/>
  <c r="AK103" i="38"/>
  <c r="AK104" i="38"/>
  <c r="AK105" i="38"/>
  <c r="AK106" i="38"/>
  <c r="AK107" i="38"/>
  <c r="AK108" i="38"/>
  <c r="F109" i="38"/>
  <c r="H109" i="38"/>
  <c r="I109" i="38"/>
  <c r="J109" i="38"/>
  <c r="K109" i="38"/>
  <c r="L109" i="38"/>
  <c r="M109" i="38"/>
  <c r="N109" i="38"/>
  <c r="O109" i="38"/>
  <c r="Q109" i="38"/>
  <c r="R109" i="38"/>
  <c r="S109" i="38"/>
  <c r="T109" i="38"/>
  <c r="U109" i="38"/>
  <c r="V109" i="38"/>
  <c r="W109" i="38"/>
  <c r="X109" i="38"/>
  <c r="Y109" i="38"/>
  <c r="Z109" i="38"/>
  <c r="AA109" i="38"/>
  <c r="AB109" i="38"/>
  <c r="AC109" i="38"/>
  <c r="AD109" i="38"/>
  <c r="AE109" i="38"/>
  <c r="AF109" i="38"/>
  <c r="AG109" i="38"/>
  <c r="AH109" i="38"/>
  <c r="AI109" i="38"/>
  <c r="AJ109" i="38"/>
  <c r="D108" i="38"/>
  <c r="AJ78" i="38"/>
  <c r="AJ80" i="38"/>
  <c r="AJ81" i="38"/>
  <c r="AJ82" i="38"/>
  <c r="AJ83" i="38"/>
  <c r="AJ84" i="38"/>
  <c r="AJ85" i="38"/>
  <c r="AJ86" i="38"/>
  <c r="AJ87" i="38"/>
  <c r="AJ89" i="38"/>
  <c r="AJ90" i="38"/>
  <c r="AJ91" i="38"/>
  <c r="AJ92" i="38"/>
  <c r="AJ93" i="38"/>
  <c r="AJ94" i="38"/>
  <c r="AJ95" i="38"/>
  <c r="AJ96" i="38"/>
  <c r="AJ98" i="38"/>
  <c r="AJ99" i="38"/>
  <c r="AJ100" i="38"/>
  <c r="AJ101" i="38"/>
  <c r="AJ102" i="38"/>
  <c r="AJ103" i="38"/>
  <c r="AJ104" i="38"/>
  <c r="AJ105" i="38"/>
  <c r="AJ106" i="38"/>
  <c r="AJ107" i="38"/>
  <c r="F108" i="38"/>
  <c r="H108" i="38"/>
  <c r="I108" i="38"/>
  <c r="J108" i="38"/>
  <c r="K108" i="38"/>
  <c r="L108" i="38"/>
  <c r="M108" i="38"/>
  <c r="N108" i="38"/>
  <c r="O108" i="38"/>
  <c r="Q108" i="38"/>
  <c r="R108" i="38"/>
  <c r="S108" i="38"/>
  <c r="T108" i="38"/>
  <c r="U108" i="38"/>
  <c r="V108" i="38"/>
  <c r="W108" i="38"/>
  <c r="X108" i="38"/>
  <c r="Y108" i="38"/>
  <c r="Z108" i="38"/>
  <c r="AA108" i="38"/>
  <c r="AB108" i="38"/>
  <c r="AC108" i="38"/>
  <c r="AD108" i="38"/>
  <c r="AE108" i="38"/>
  <c r="AF108" i="38"/>
  <c r="AG108" i="38"/>
  <c r="AH108" i="38"/>
  <c r="AI108" i="38"/>
  <c r="D107" i="38"/>
  <c r="AI78" i="38"/>
  <c r="AI80" i="38"/>
  <c r="AI81" i="38"/>
  <c r="AI82" i="38"/>
  <c r="AI83" i="38"/>
  <c r="AI84" i="38"/>
  <c r="AI85" i="38"/>
  <c r="AI86" i="38"/>
  <c r="AI87" i="38"/>
  <c r="AI89" i="38"/>
  <c r="AI90" i="38"/>
  <c r="AI91" i="38"/>
  <c r="AI92" i="38"/>
  <c r="AI93" i="38"/>
  <c r="AI94" i="38"/>
  <c r="AI95" i="38"/>
  <c r="AI96" i="38"/>
  <c r="AI98" i="38"/>
  <c r="AI99" i="38"/>
  <c r="AI100" i="38"/>
  <c r="AI101" i="38"/>
  <c r="AI102" i="38"/>
  <c r="AI103" i="38"/>
  <c r="AI104" i="38"/>
  <c r="AI105" i="38"/>
  <c r="AI106" i="38"/>
  <c r="F107" i="38"/>
  <c r="H107" i="38"/>
  <c r="I107" i="38"/>
  <c r="J107" i="38"/>
  <c r="K107" i="38"/>
  <c r="L107" i="38"/>
  <c r="M107" i="38"/>
  <c r="N107" i="38"/>
  <c r="O107" i="38"/>
  <c r="Q107" i="38"/>
  <c r="R107" i="38"/>
  <c r="S107" i="38"/>
  <c r="T107" i="38"/>
  <c r="U107" i="38"/>
  <c r="V107" i="38"/>
  <c r="W107" i="38"/>
  <c r="X107" i="38"/>
  <c r="Y107" i="38"/>
  <c r="Z107" i="38"/>
  <c r="AA107" i="38"/>
  <c r="AB107" i="38"/>
  <c r="AC107" i="38"/>
  <c r="AD107" i="38"/>
  <c r="AE107" i="38"/>
  <c r="AF107" i="38"/>
  <c r="AG107" i="38"/>
  <c r="AH107" i="38"/>
  <c r="D106" i="38"/>
  <c r="AH78" i="38"/>
  <c r="AH80" i="38"/>
  <c r="AH81" i="38"/>
  <c r="AH82" i="38"/>
  <c r="AH83" i="38"/>
  <c r="AH84" i="38"/>
  <c r="AH85" i="38"/>
  <c r="AH86" i="38"/>
  <c r="AH87" i="38"/>
  <c r="AH89" i="38"/>
  <c r="AH90" i="38"/>
  <c r="AH91" i="38"/>
  <c r="AH92" i="38"/>
  <c r="AH93" i="38"/>
  <c r="AH94" i="38"/>
  <c r="AH95" i="38"/>
  <c r="AH96" i="38"/>
  <c r="AH98" i="38"/>
  <c r="AH99" i="38"/>
  <c r="AH100" i="38"/>
  <c r="AH101" i="38"/>
  <c r="AH102" i="38"/>
  <c r="AH103" i="38"/>
  <c r="AH104" i="38"/>
  <c r="AH105" i="38"/>
  <c r="F106" i="38"/>
  <c r="H106" i="38"/>
  <c r="I106" i="38"/>
  <c r="J106" i="38"/>
  <c r="K106" i="38"/>
  <c r="L106" i="38"/>
  <c r="M106" i="38"/>
  <c r="N106" i="38"/>
  <c r="O106" i="38"/>
  <c r="Q106" i="38"/>
  <c r="R106" i="38"/>
  <c r="S106" i="38"/>
  <c r="T106" i="38"/>
  <c r="U106" i="38"/>
  <c r="V106" i="38"/>
  <c r="W106" i="38"/>
  <c r="X106" i="38"/>
  <c r="Y106" i="38"/>
  <c r="Z106" i="38"/>
  <c r="AA106" i="38"/>
  <c r="AB106" i="38"/>
  <c r="AC106" i="38"/>
  <c r="AD106" i="38"/>
  <c r="AE106" i="38"/>
  <c r="AF106" i="38"/>
  <c r="AG106" i="38"/>
  <c r="D105" i="38"/>
  <c r="AG80" i="38"/>
  <c r="AG81" i="38"/>
  <c r="AG82" i="38"/>
  <c r="AG83" i="38"/>
  <c r="AG84" i="38"/>
  <c r="AG85" i="38"/>
  <c r="AG86" i="38"/>
  <c r="AG87" i="38"/>
  <c r="AG89" i="38"/>
  <c r="AG90" i="38"/>
  <c r="AG91" i="38"/>
  <c r="AG92" i="38"/>
  <c r="AG93" i="38"/>
  <c r="AG94" i="38"/>
  <c r="AG95" i="38"/>
  <c r="AG96" i="38"/>
  <c r="AG98" i="38"/>
  <c r="AG99" i="38"/>
  <c r="AG100" i="38"/>
  <c r="AG101" i="38"/>
  <c r="AG102" i="38"/>
  <c r="AG103" i="38"/>
  <c r="AG104" i="38"/>
  <c r="H105" i="38"/>
  <c r="I105" i="38"/>
  <c r="J105" i="38"/>
  <c r="K105" i="38"/>
  <c r="L105" i="38"/>
  <c r="M105" i="38"/>
  <c r="N105" i="38"/>
  <c r="O105" i="38"/>
  <c r="Q105" i="38"/>
  <c r="R105" i="38"/>
  <c r="S105" i="38"/>
  <c r="T105" i="38"/>
  <c r="U105" i="38"/>
  <c r="V105" i="38"/>
  <c r="W105" i="38"/>
  <c r="X105" i="38"/>
  <c r="Y105" i="38"/>
  <c r="Z105" i="38"/>
  <c r="AA105" i="38"/>
  <c r="AB105" i="38"/>
  <c r="AC105" i="38"/>
  <c r="AD105" i="38"/>
  <c r="AE105" i="38"/>
  <c r="AF105" i="38"/>
  <c r="D104" i="38"/>
  <c r="AF78" i="38"/>
  <c r="AF80" i="38"/>
  <c r="AF81" i="38"/>
  <c r="AF82" i="38"/>
  <c r="AF83" i="38"/>
  <c r="AF84" i="38"/>
  <c r="AF85" i="38"/>
  <c r="AF86" i="38"/>
  <c r="AF87" i="38"/>
  <c r="AF89" i="38"/>
  <c r="AF90" i="38"/>
  <c r="AF91" i="38"/>
  <c r="AF92" i="38"/>
  <c r="AF93" i="38"/>
  <c r="AF94" i="38"/>
  <c r="AF95" i="38"/>
  <c r="AF96" i="38"/>
  <c r="AF98" i="38"/>
  <c r="AF99" i="38"/>
  <c r="AF100" i="38"/>
  <c r="AF101" i="38"/>
  <c r="AF102" i="38"/>
  <c r="AF103" i="38"/>
  <c r="F104" i="38"/>
  <c r="H104" i="38"/>
  <c r="I104" i="38"/>
  <c r="J104" i="38"/>
  <c r="K104" i="38"/>
  <c r="L104" i="38"/>
  <c r="M104" i="38"/>
  <c r="N104" i="38"/>
  <c r="O104" i="38"/>
  <c r="Q104" i="38"/>
  <c r="R104" i="38"/>
  <c r="S104" i="38"/>
  <c r="T104" i="38"/>
  <c r="U104" i="38"/>
  <c r="V104" i="38"/>
  <c r="W104" i="38"/>
  <c r="X104" i="38"/>
  <c r="Y104" i="38"/>
  <c r="Z104" i="38"/>
  <c r="AA104" i="38"/>
  <c r="AB104" i="38"/>
  <c r="AC104" i="38"/>
  <c r="AD104" i="38"/>
  <c r="AE104" i="38"/>
  <c r="D103" i="38"/>
  <c r="AE78" i="38"/>
  <c r="AE80" i="38"/>
  <c r="AE81" i="38"/>
  <c r="AE82" i="38"/>
  <c r="AE83" i="38"/>
  <c r="AE84" i="38"/>
  <c r="AE85" i="38"/>
  <c r="AE86" i="38"/>
  <c r="AE87" i="38"/>
  <c r="AE89" i="38"/>
  <c r="AE90" i="38"/>
  <c r="AE91" i="38"/>
  <c r="AE92" i="38"/>
  <c r="AE93" i="38"/>
  <c r="AE94" i="38"/>
  <c r="AE95" i="38"/>
  <c r="AE96" i="38"/>
  <c r="AE97" i="38"/>
  <c r="AE98" i="38"/>
  <c r="AE99" i="38"/>
  <c r="AE100" i="38"/>
  <c r="AE101" i="38"/>
  <c r="AE102" i="38"/>
  <c r="F103" i="38"/>
  <c r="H103" i="38"/>
  <c r="I103" i="38"/>
  <c r="J103" i="38"/>
  <c r="K103" i="38"/>
  <c r="L103" i="38"/>
  <c r="M103" i="38"/>
  <c r="N103" i="38"/>
  <c r="O103" i="38"/>
  <c r="Q103" i="38"/>
  <c r="R103" i="38"/>
  <c r="S103" i="38"/>
  <c r="T103" i="38"/>
  <c r="U103" i="38"/>
  <c r="V103" i="38"/>
  <c r="W103" i="38"/>
  <c r="X103" i="38"/>
  <c r="Y103" i="38"/>
  <c r="Z103" i="38"/>
  <c r="AA103" i="38"/>
  <c r="AB103" i="38"/>
  <c r="AC103" i="38"/>
  <c r="AD103" i="38"/>
  <c r="D102" i="38"/>
  <c r="AD80" i="38"/>
  <c r="AD81" i="38"/>
  <c r="AD82" i="38"/>
  <c r="AD83" i="38"/>
  <c r="AD84" i="38"/>
  <c r="AD85" i="38"/>
  <c r="AD86" i="38"/>
  <c r="AD87" i="38"/>
  <c r="AD89" i="38"/>
  <c r="AD90" i="38"/>
  <c r="AD91" i="38"/>
  <c r="AD92" i="38"/>
  <c r="AD93" i="38"/>
  <c r="AD94" i="38"/>
  <c r="AD95" i="38"/>
  <c r="AD96" i="38"/>
  <c r="AD97" i="38"/>
  <c r="AD98" i="38"/>
  <c r="AD99" i="38"/>
  <c r="AD100" i="38"/>
  <c r="AD101" i="38"/>
  <c r="H102" i="38"/>
  <c r="I102" i="38"/>
  <c r="J102" i="38"/>
  <c r="K102" i="38"/>
  <c r="L102" i="38"/>
  <c r="M102" i="38"/>
  <c r="N102" i="38"/>
  <c r="O102" i="38"/>
  <c r="Q102" i="38"/>
  <c r="R102" i="38"/>
  <c r="S102" i="38"/>
  <c r="T102" i="38"/>
  <c r="U102" i="38"/>
  <c r="V102" i="38"/>
  <c r="W102" i="38"/>
  <c r="X102" i="38"/>
  <c r="Z102" i="38"/>
  <c r="AA102" i="38"/>
  <c r="AB102" i="38"/>
  <c r="AC102" i="38"/>
  <c r="D101" i="38"/>
  <c r="AC78" i="38"/>
  <c r="AC80" i="38"/>
  <c r="AC81" i="38"/>
  <c r="AC82" i="38"/>
  <c r="AC83" i="38"/>
  <c r="AC84" i="38"/>
  <c r="AC85" i="38"/>
  <c r="AC86" i="38"/>
  <c r="AC87" i="38"/>
  <c r="AC89" i="38"/>
  <c r="AC90" i="38"/>
  <c r="AC91" i="38"/>
  <c r="AC92" i="38"/>
  <c r="AC93" i="38"/>
  <c r="AC94" i="38"/>
  <c r="AC95" i="38"/>
  <c r="AC96" i="38"/>
  <c r="AC97" i="38"/>
  <c r="AC98" i="38"/>
  <c r="AC99" i="38"/>
  <c r="AC100" i="38"/>
  <c r="F101" i="38"/>
  <c r="H101" i="38"/>
  <c r="I101" i="38"/>
  <c r="J101" i="38"/>
  <c r="K101" i="38"/>
  <c r="L101" i="38"/>
  <c r="M101" i="38"/>
  <c r="N101" i="38"/>
  <c r="O101" i="38"/>
  <c r="Q101" i="38"/>
  <c r="R101" i="38"/>
  <c r="S101" i="38"/>
  <c r="T101" i="38"/>
  <c r="U101" i="38"/>
  <c r="V101" i="38"/>
  <c r="W101" i="38"/>
  <c r="X101" i="38"/>
  <c r="Y101" i="38"/>
  <c r="Z101" i="38"/>
  <c r="AA101" i="38"/>
  <c r="AB101" i="38"/>
  <c r="D100" i="38"/>
  <c r="AB80" i="38"/>
  <c r="AB81" i="38"/>
  <c r="AB82" i="38"/>
  <c r="AB83" i="38"/>
  <c r="AB84" i="38"/>
  <c r="AB85" i="38"/>
  <c r="AB86" i="38"/>
  <c r="AB87" i="38"/>
  <c r="AB89" i="38"/>
  <c r="AB90" i="38"/>
  <c r="AB91" i="38"/>
  <c r="AB92" i="38"/>
  <c r="AB93" i="38"/>
  <c r="AB94" i="38"/>
  <c r="AB95" i="38"/>
  <c r="AB96" i="38"/>
  <c r="AB97" i="38"/>
  <c r="AB98" i="38"/>
  <c r="AB99" i="38"/>
  <c r="F100" i="38"/>
  <c r="H100" i="38"/>
  <c r="I100" i="38"/>
  <c r="J100" i="38"/>
  <c r="K100" i="38"/>
  <c r="L100" i="38"/>
  <c r="M100" i="38"/>
  <c r="N100" i="38"/>
  <c r="E100" i="38"/>
  <c r="O100" i="38"/>
  <c r="Q100" i="38"/>
  <c r="R100" i="38"/>
  <c r="S100" i="38"/>
  <c r="T100" i="38"/>
  <c r="U100" i="38"/>
  <c r="V100" i="38"/>
  <c r="W100" i="38"/>
  <c r="X100" i="38"/>
  <c r="Y100" i="38"/>
  <c r="Z100" i="38"/>
  <c r="AA100" i="38"/>
  <c r="D99" i="38"/>
  <c r="AA80" i="38"/>
  <c r="AA81" i="38"/>
  <c r="AA82" i="38"/>
  <c r="AA83" i="38"/>
  <c r="AA84" i="38"/>
  <c r="AA85" i="38"/>
  <c r="AA86" i="38"/>
  <c r="AA87" i="38"/>
  <c r="AA89" i="38"/>
  <c r="AA90" i="38"/>
  <c r="AA91" i="38"/>
  <c r="AA92" i="38"/>
  <c r="AA93" i="38"/>
  <c r="AA94" i="38"/>
  <c r="AA95" i="38"/>
  <c r="AA96" i="38"/>
  <c r="AA98" i="38"/>
  <c r="F99" i="38"/>
  <c r="H99" i="38"/>
  <c r="I99" i="38"/>
  <c r="J99" i="38"/>
  <c r="K99" i="38"/>
  <c r="L99" i="38"/>
  <c r="M99" i="38"/>
  <c r="N99" i="38"/>
  <c r="O99" i="38"/>
  <c r="Q99" i="38"/>
  <c r="R99" i="38"/>
  <c r="S99" i="38"/>
  <c r="T99" i="38"/>
  <c r="U99" i="38"/>
  <c r="V99" i="38"/>
  <c r="W99" i="38"/>
  <c r="X99" i="38"/>
  <c r="Z99" i="38"/>
  <c r="D98" i="38"/>
  <c r="Z78" i="38"/>
  <c r="Z80" i="38"/>
  <c r="Z81" i="38"/>
  <c r="Z82" i="38"/>
  <c r="Z83" i="38"/>
  <c r="Z84" i="38"/>
  <c r="Z85" i="38"/>
  <c r="Z86" i="38"/>
  <c r="Z87" i="38"/>
  <c r="Z89" i="38"/>
  <c r="Z90" i="38"/>
  <c r="Z91" i="38"/>
  <c r="Z92" i="38"/>
  <c r="Z93" i="38"/>
  <c r="Z94" i="38"/>
  <c r="Z95" i="38"/>
  <c r="Z96" i="38"/>
  <c r="Z97" i="38"/>
  <c r="F98" i="38"/>
  <c r="H98" i="38"/>
  <c r="I98" i="38"/>
  <c r="J98" i="38"/>
  <c r="K98" i="38"/>
  <c r="L98" i="38"/>
  <c r="M98" i="38"/>
  <c r="N98" i="38"/>
  <c r="O98" i="38"/>
  <c r="E98" i="38" s="1"/>
  <c r="Q98" i="38"/>
  <c r="R98" i="38"/>
  <c r="S98" i="38"/>
  <c r="T98" i="38"/>
  <c r="U98" i="38"/>
  <c r="V98" i="38"/>
  <c r="W98" i="38"/>
  <c r="X98" i="38"/>
  <c r="Y98" i="38"/>
  <c r="D97" i="38"/>
  <c r="Y80" i="38"/>
  <c r="Y81" i="38"/>
  <c r="Y83" i="38"/>
  <c r="Y87" i="38"/>
  <c r="Y89" i="38"/>
  <c r="Y90" i="38"/>
  <c r="Y91" i="38"/>
  <c r="Y93" i="38"/>
  <c r="Y94" i="38"/>
  <c r="Y95" i="38"/>
  <c r="H97" i="38"/>
  <c r="M97" i="38"/>
  <c r="O97" i="38"/>
  <c r="R97" i="38"/>
  <c r="S97" i="38"/>
  <c r="T97" i="38"/>
  <c r="V97" i="38"/>
  <c r="X97" i="38"/>
  <c r="D96" i="38"/>
  <c r="X80" i="38"/>
  <c r="X81" i="38"/>
  <c r="X82" i="38"/>
  <c r="X83" i="38"/>
  <c r="X84" i="38"/>
  <c r="X85" i="38"/>
  <c r="X86" i="38"/>
  <c r="X87" i="38"/>
  <c r="X89" i="38"/>
  <c r="X90" i="38"/>
  <c r="X91" i="38"/>
  <c r="X92" i="38"/>
  <c r="X93" i="38"/>
  <c r="X94" i="38"/>
  <c r="X95" i="38"/>
  <c r="H96" i="38"/>
  <c r="I96" i="38"/>
  <c r="J96" i="38"/>
  <c r="K96" i="38"/>
  <c r="L96" i="38"/>
  <c r="M96" i="38"/>
  <c r="N96" i="38"/>
  <c r="O96" i="38"/>
  <c r="Q96" i="38"/>
  <c r="R96" i="38"/>
  <c r="S96" i="38"/>
  <c r="T96" i="38"/>
  <c r="U96" i="38"/>
  <c r="V96" i="38"/>
  <c r="W96" i="38"/>
  <c r="D95" i="38"/>
  <c r="W80" i="38"/>
  <c r="W81" i="38"/>
  <c r="W82" i="38"/>
  <c r="W83" i="38"/>
  <c r="W84" i="38"/>
  <c r="W85" i="38"/>
  <c r="W86" i="38"/>
  <c r="W87" i="38"/>
  <c r="W89" i="38"/>
  <c r="W90" i="38"/>
  <c r="W91" i="38"/>
  <c r="W92" i="38"/>
  <c r="W93" i="38"/>
  <c r="W94" i="38"/>
  <c r="F95" i="38"/>
  <c r="H95" i="38"/>
  <c r="I95" i="38"/>
  <c r="J95" i="38"/>
  <c r="K95" i="38"/>
  <c r="L95" i="38"/>
  <c r="M95" i="38"/>
  <c r="N95" i="38"/>
  <c r="O95" i="38"/>
  <c r="Q95" i="38"/>
  <c r="R95" i="38"/>
  <c r="S95" i="38"/>
  <c r="T95" i="38"/>
  <c r="U95" i="38"/>
  <c r="V95" i="38"/>
  <c r="D94" i="38"/>
  <c r="V80" i="38"/>
  <c r="V81" i="38"/>
  <c r="V82" i="38"/>
  <c r="V83" i="38"/>
  <c r="V84" i="38"/>
  <c r="V85" i="38"/>
  <c r="V86" i="38"/>
  <c r="V87" i="38"/>
  <c r="V89" i="38"/>
  <c r="V90" i="38"/>
  <c r="V91" i="38"/>
  <c r="V92" i="38"/>
  <c r="V93" i="38"/>
  <c r="F94" i="38"/>
  <c r="H94" i="38"/>
  <c r="I94" i="38"/>
  <c r="J94" i="38"/>
  <c r="K94" i="38"/>
  <c r="L94" i="38"/>
  <c r="M94" i="38"/>
  <c r="N94" i="38"/>
  <c r="O94" i="38"/>
  <c r="Q94" i="38"/>
  <c r="R94" i="38"/>
  <c r="S94" i="38"/>
  <c r="T94" i="38"/>
  <c r="U94" i="38"/>
  <c r="D93" i="38"/>
  <c r="U78" i="38"/>
  <c r="U80" i="38"/>
  <c r="U81" i="38"/>
  <c r="U82" i="38"/>
  <c r="U83" i="38"/>
  <c r="U84" i="38"/>
  <c r="U85" i="38"/>
  <c r="U86" i="38"/>
  <c r="U87" i="38"/>
  <c r="P87" i="38" s="1"/>
  <c r="U89" i="38"/>
  <c r="U90" i="38"/>
  <c r="U91" i="38"/>
  <c r="U92" i="38"/>
  <c r="F93" i="38"/>
  <c r="H93" i="38"/>
  <c r="I93" i="38"/>
  <c r="J93" i="38"/>
  <c r="K93" i="38"/>
  <c r="L93" i="38"/>
  <c r="M93" i="38"/>
  <c r="N93" i="38"/>
  <c r="O93" i="38"/>
  <c r="Q93" i="38"/>
  <c r="R93" i="38"/>
  <c r="S93" i="38"/>
  <c r="T93" i="38"/>
  <c r="D92" i="38"/>
  <c r="T78" i="38"/>
  <c r="T80" i="38"/>
  <c r="T81" i="38"/>
  <c r="T82" i="38"/>
  <c r="T83" i="38"/>
  <c r="T84" i="38"/>
  <c r="T85" i="38"/>
  <c r="T86" i="38"/>
  <c r="T87" i="38"/>
  <c r="T89" i="38"/>
  <c r="T90" i="38"/>
  <c r="T91" i="38"/>
  <c r="F92" i="38"/>
  <c r="H92" i="38"/>
  <c r="I92" i="38"/>
  <c r="J92" i="38"/>
  <c r="K92" i="38"/>
  <c r="L92" i="38"/>
  <c r="M92" i="38"/>
  <c r="N92" i="38"/>
  <c r="O92" i="38"/>
  <c r="Q92" i="38"/>
  <c r="R92" i="38"/>
  <c r="S92" i="38"/>
  <c r="D91" i="38"/>
  <c r="S80" i="38"/>
  <c r="S81" i="38"/>
  <c r="S82" i="38"/>
  <c r="S83" i="38"/>
  <c r="S84" i="38"/>
  <c r="S85" i="38"/>
  <c r="S86" i="38"/>
  <c r="S87" i="38"/>
  <c r="S89" i="38"/>
  <c r="S90" i="38"/>
  <c r="F91" i="38"/>
  <c r="H91" i="38"/>
  <c r="I91" i="38"/>
  <c r="J91" i="38"/>
  <c r="K91" i="38"/>
  <c r="L91" i="38"/>
  <c r="M91" i="38"/>
  <c r="N91" i="38"/>
  <c r="O91" i="38"/>
  <c r="Q91" i="38"/>
  <c r="R91" i="38"/>
  <c r="D90" i="38"/>
  <c r="R78" i="38"/>
  <c r="R80" i="38"/>
  <c r="R81" i="38"/>
  <c r="R82" i="38"/>
  <c r="R83" i="38"/>
  <c r="R84" i="38"/>
  <c r="R85" i="38"/>
  <c r="R86" i="38"/>
  <c r="R87" i="38"/>
  <c r="R89" i="38"/>
  <c r="F90" i="38"/>
  <c r="H90" i="38"/>
  <c r="I90" i="38"/>
  <c r="J90" i="38"/>
  <c r="K90" i="38"/>
  <c r="L90" i="38"/>
  <c r="M90" i="38"/>
  <c r="N90" i="38"/>
  <c r="O90" i="38"/>
  <c r="Q90" i="38"/>
  <c r="D89" i="38"/>
  <c r="Q78" i="38"/>
  <c r="Q80" i="38"/>
  <c r="Q81" i="38"/>
  <c r="Q82" i="38"/>
  <c r="Q83" i="38"/>
  <c r="Q84" i="38"/>
  <c r="Q85" i="38"/>
  <c r="Q86" i="38"/>
  <c r="Q87" i="38"/>
  <c r="H89" i="38"/>
  <c r="I89" i="38"/>
  <c r="J89" i="38"/>
  <c r="K89" i="38"/>
  <c r="L89" i="38"/>
  <c r="M89" i="38"/>
  <c r="N89" i="38"/>
  <c r="O89" i="38"/>
  <c r="D87" i="38"/>
  <c r="O78" i="38"/>
  <c r="O80" i="38"/>
  <c r="O81" i="38"/>
  <c r="O82" i="38"/>
  <c r="O83" i="38"/>
  <c r="O84" i="38"/>
  <c r="O85" i="38"/>
  <c r="O86" i="38"/>
  <c r="F87" i="38"/>
  <c r="H87" i="38"/>
  <c r="I87" i="38"/>
  <c r="J87" i="38"/>
  <c r="K87" i="38"/>
  <c r="L87" i="38"/>
  <c r="M87" i="38"/>
  <c r="N87" i="38"/>
  <c r="D86" i="38"/>
  <c r="N78" i="38"/>
  <c r="N80" i="38"/>
  <c r="N81" i="38"/>
  <c r="N82" i="38"/>
  <c r="N83" i="38"/>
  <c r="N84" i="38"/>
  <c r="N85" i="38"/>
  <c r="F86" i="38"/>
  <c r="H86" i="38"/>
  <c r="I86" i="38"/>
  <c r="J86" i="38"/>
  <c r="K86" i="38"/>
  <c r="L86" i="38"/>
  <c r="M86" i="38"/>
  <c r="D85" i="38"/>
  <c r="M78" i="38"/>
  <c r="M80" i="38"/>
  <c r="M81" i="38"/>
  <c r="M82" i="38"/>
  <c r="M83" i="38"/>
  <c r="M84" i="38"/>
  <c r="F85" i="38"/>
  <c r="H85" i="38"/>
  <c r="I85" i="38"/>
  <c r="J85" i="38"/>
  <c r="K85" i="38"/>
  <c r="L85" i="38"/>
  <c r="D84" i="38"/>
  <c r="R11" i="38"/>
  <c r="L80" i="38"/>
  <c r="L81" i="38"/>
  <c r="L82" i="38"/>
  <c r="L83" i="38"/>
  <c r="F84" i="38"/>
  <c r="H84" i="38"/>
  <c r="I84" i="38"/>
  <c r="J84" i="38"/>
  <c r="K84" i="38"/>
  <c r="D83" i="38"/>
  <c r="Q11" i="38"/>
  <c r="K80" i="38"/>
  <c r="K81" i="38"/>
  <c r="K82" i="38"/>
  <c r="F83" i="38"/>
  <c r="H83" i="38"/>
  <c r="I83" i="38"/>
  <c r="J83" i="38"/>
  <c r="D82" i="38"/>
  <c r="J80" i="38"/>
  <c r="J81" i="38"/>
  <c r="H82" i="38"/>
  <c r="I82" i="38"/>
  <c r="D81" i="38"/>
  <c r="I78" i="38"/>
  <c r="I80" i="38"/>
  <c r="F81" i="38"/>
  <c r="H81" i="38"/>
  <c r="D80" i="38"/>
  <c r="H78" i="38"/>
  <c r="F80" i="38"/>
  <c r="D79" i="38"/>
  <c r="G78" i="38"/>
  <c r="G80" i="38"/>
  <c r="G81" i="38"/>
  <c r="G82" i="38"/>
  <c r="G83" i="38"/>
  <c r="G84" i="38"/>
  <c r="G85" i="38"/>
  <c r="G86" i="38"/>
  <c r="G87" i="38"/>
  <c r="G89" i="38"/>
  <c r="G90" i="38"/>
  <c r="G91" i="38"/>
  <c r="G92" i="38"/>
  <c r="G93" i="38"/>
  <c r="G94" i="38"/>
  <c r="G95" i="38"/>
  <c r="G96" i="38"/>
  <c r="G97" i="38"/>
  <c r="G98" i="38"/>
  <c r="G99" i="38"/>
  <c r="G100" i="38"/>
  <c r="G101" i="38"/>
  <c r="G102" i="38"/>
  <c r="G103" i="38"/>
  <c r="G104" i="38"/>
  <c r="G105" i="38"/>
  <c r="G106" i="38"/>
  <c r="G107" i="38"/>
  <c r="G108" i="38"/>
  <c r="G109" i="38"/>
  <c r="G110" i="38"/>
  <c r="G111" i="38"/>
  <c r="G112" i="38"/>
  <c r="G113" i="38"/>
  <c r="G114" i="38"/>
  <c r="G115" i="38"/>
  <c r="H79" i="38"/>
  <c r="I79" i="38"/>
  <c r="J79" i="38"/>
  <c r="K79" i="38"/>
  <c r="L79" i="38"/>
  <c r="M79" i="38"/>
  <c r="N79" i="38"/>
  <c r="O79" i="38"/>
  <c r="Q79" i="38"/>
  <c r="R79" i="38"/>
  <c r="S79" i="38"/>
  <c r="T79" i="38"/>
  <c r="U79" i="38"/>
  <c r="V79" i="38"/>
  <c r="W79" i="38"/>
  <c r="X79" i="38"/>
  <c r="Z79" i="38"/>
  <c r="AA79" i="38"/>
  <c r="AB79" i="38"/>
  <c r="AC79" i="38"/>
  <c r="AD79" i="38"/>
  <c r="AE79" i="38"/>
  <c r="AF79" i="38"/>
  <c r="AG79" i="38"/>
  <c r="AH79" i="38"/>
  <c r="AI79" i="38"/>
  <c r="AJ79" i="38"/>
  <c r="AK79" i="38"/>
  <c r="AL79" i="38"/>
  <c r="AM79" i="38"/>
  <c r="AN79" i="38"/>
  <c r="AO79" i="38"/>
  <c r="AP79" i="38"/>
  <c r="AQ79" i="38"/>
  <c r="L18" i="38"/>
  <c r="L34" i="38"/>
  <c r="L25" i="38" s="1"/>
  <c r="L63" i="38"/>
  <c r="O15" i="38"/>
  <c r="BH15" i="38"/>
  <c r="BK11" i="38"/>
  <c r="BK10" i="38"/>
  <c r="BK9" i="38"/>
  <c r="BK8" i="38" s="1"/>
  <c r="BK18" i="38"/>
  <c r="BH18" i="38"/>
  <c r="O34" i="38"/>
  <c r="O25" i="38"/>
  <c r="O63" i="38"/>
  <c r="G17" i="38"/>
  <c r="F22" i="38"/>
  <c r="E27" i="38"/>
  <c r="AV51" i="38"/>
  <c r="AP45" i="38"/>
  <c r="AN43" i="38"/>
  <c r="AE43" i="38" s="1"/>
  <c r="V43" i="38" s="1"/>
  <c r="AH37" i="38"/>
  <c r="AH34" i="38" s="1"/>
  <c r="AH25" i="38" s="1"/>
  <c r="BH35" i="38"/>
  <c r="D25" i="38"/>
  <c r="O16" i="38"/>
  <c r="K14" i="38"/>
  <c r="N10" i="38"/>
  <c r="AQ80" i="39"/>
  <c r="AQ81" i="39"/>
  <c r="AQ84" i="39"/>
  <c r="AQ85" i="39"/>
  <c r="AQ86" i="39"/>
  <c r="AQ87" i="39"/>
  <c r="AQ89" i="39"/>
  <c r="AQ90" i="39"/>
  <c r="AQ91" i="39"/>
  <c r="AQ92" i="39"/>
  <c r="AQ93" i="39"/>
  <c r="AQ94" i="39"/>
  <c r="AQ95" i="39"/>
  <c r="AQ96" i="39"/>
  <c r="AQ98" i="39"/>
  <c r="AQ99" i="39"/>
  <c r="AQ100" i="39"/>
  <c r="AQ101" i="39"/>
  <c r="AQ102" i="39"/>
  <c r="AQ103" i="39"/>
  <c r="AQ104" i="39"/>
  <c r="AQ105" i="39"/>
  <c r="AQ106" i="39"/>
  <c r="AQ107" i="39"/>
  <c r="AQ108" i="39"/>
  <c r="AQ109" i="39"/>
  <c r="AQ110" i="39"/>
  <c r="AQ111" i="39"/>
  <c r="AQ112" i="39"/>
  <c r="AQ113" i="39"/>
  <c r="AQ114" i="39"/>
  <c r="I115" i="39"/>
  <c r="O115" i="39"/>
  <c r="Q115" i="39"/>
  <c r="R115" i="39"/>
  <c r="S115" i="39"/>
  <c r="T115" i="39"/>
  <c r="X115" i="39"/>
  <c r="Z115" i="39"/>
  <c r="AB115" i="39"/>
  <c r="AC115" i="39"/>
  <c r="AF115" i="39"/>
  <c r="AH115" i="39"/>
  <c r="AI115" i="39"/>
  <c r="AJ115" i="39"/>
  <c r="AL115" i="39"/>
  <c r="AM115" i="39"/>
  <c r="AO115" i="39"/>
  <c r="D114" i="39"/>
  <c r="AP78" i="39"/>
  <c r="AP80" i="39"/>
  <c r="AP81" i="39"/>
  <c r="AP82" i="39"/>
  <c r="AP83" i="39"/>
  <c r="AP84" i="39"/>
  <c r="AP85" i="39"/>
  <c r="AP86" i="39"/>
  <c r="AP87" i="39"/>
  <c r="AP89" i="39"/>
  <c r="AP90" i="39"/>
  <c r="AP91" i="39"/>
  <c r="AP92" i="39"/>
  <c r="AP93" i="39"/>
  <c r="AP94" i="39"/>
  <c r="AP95" i="39"/>
  <c r="AP96" i="39"/>
  <c r="AP97" i="39"/>
  <c r="AP98" i="39"/>
  <c r="AP99" i="39"/>
  <c r="AP100" i="39"/>
  <c r="AP101" i="39"/>
  <c r="AP102" i="39"/>
  <c r="AP103" i="39"/>
  <c r="AP104" i="39"/>
  <c r="AP105" i="39"/>
  <c r="AP106" i="39"/>
  <c r="AP107" i="39"/>
  <c r="AP108" i="39"/>
  <c r="AP109" i="39"/>
  <c r="AP110" i="39"/>
  <c r="AP111" i="39"/>
  <c r="AP112" i="39"/>
  <c r="AP113" i="39"/>
  <c r="H114" i="39"/>
  <c r="I114" i="39"/>
  <c r="J114" i="39"/>
  <c r="K114" i="39"/>
  <c r="L114" i="39"/>
  <c r="M114" i="39"/>
  <c r="N114" i="39"/>
  <c r="O114" i="39"/>
  <c r="Q114" i="39"/>
  <c r="R114" i="39"/>
  <c r="S114" i="39"/>
  <c r="T114" i="39"/>
  <c r="U114" i="39"/>
  <c r="V114" i="39"/>
  <c r="W114" i="39"/>
  <c r="X114" i="39"/>
  <c r="Y114" i="39"/>
  <c r="Z114" i="39"/>
  <c r="AA114" i="39"/>
  <c r="AB114" i="39"/>
  <c r="AC114" i="39"/>
  <c r="AD114" i="39"/>
  <c r="AE114" i="39"/>
  <c r="AF114" i="39"/>
  <c r="AG114" i="39"/>
  <c r="AH114" i="39"/>
  <c r="AI114" i="39"/>
  <c r="AJ114" i="39"/>
  <c r="AK114" i="39"/>
  <c r="AL114" i="39"/>
  <c r="AM114" i="39"/>
  <c r="AN114" i="39"/>
  <c r="AO114" i="39"/>
  <c r="D113" i="39"/>
  <c r="AO78" i="39"/>
  <c r="AO80" i="39"/>
  <c r="AO81" i="39"/>
  <c r="AO82" i="39"/>
  <c r="AO83" i="39"/>
  <c r="AO84" i="39"/>
  <c r="AO85" i="39"/>
  <c r="AO86" i="39"/>
  <c r="AO87" i="39"/>
  <c r="AO89" i="39"/>
  <c r="AO90" i="39"/>
  <c r="AO91" i="39"/>
  <c r="AO92" i="39"/>
  <c r="AO93" i="39"/>
  <c r="AO94" i="39"/>
  <c r="AO95" i="39"/>
  <c r="AO96" i="39"/>
  <c r="AO97" i="39"/>
  <c r="AO98" i="39"/>
  <c r="AO99" i="39"/>
  <c r="AO100" i="39"/>
  <c r="AO101" i="39"/>
  <c r="AO102" i="39"/>
  <c r="AO103" i="39"/>
  <c r="AO104" i="39"/>
  <c r="AO105" i="39"/>
  <c r="AO106" i="39"/>
  <c r="AO107" i="39"/>
  <c r="AO108" i="39"/>
  <c r="AO109" i="39"/>
  <c r="AO110" i="39"/>
  <c r="AO111" i="39"/>
  <c r="AO112" i="39"/>
  <c r="F113" i="39"/>
  <c r="H113" i="39"/>
  <c r="I113" i="39"/>
  <c r="J113" i="39"/>
  <c r="K113" i="39"/>
  <c r="L113" i="39"/>
  <c r="M113" i="39"/>
  <c r="N113" i="39"/>
  <c r="O113" i="39"/>
  <c r="Q113" i="39"/>
  <c r="R113" i="39"/>
  <c r="S113" i="39"/>
  <c r="T113" i="39"/>
  <c r="U113" i="39"/>
  <c r="V113" i="39"/>
  <c r="W113" i="39"/>
  <c r="X113" i="39"/>
  <c r="Y113" i="39"/>
  <c r="Z113" i="39"/>
  <c r="AA113" i="39"/>
  <c r="AB113" i="39"/>
  <c r="AC113" i="39"/>
  <c r="AD113" i="39"/>
  <c r="AE113" i="39"/>
  <c r="AF113" i="39"/>
  <c r="AG113" i="39"/>
  <c r="AH113" i="39"/>
  <c r="AI113" i="39"/>
  <c r="AJ113" i="39"/>
  <c r="AK113" i="39"/>
  <c r="AL113" i="39"/>
  <c r="AM113" i="39"/>
  <c r="AN113" i="39"/>
  <c r="D112" i="39"/>
  <c r="AN80" i="39"/>
  <c r="AN81" i="39"/>
  <c r="AN82" i="39"/>
  <c r="AN83" i="39"/>
  <c r="AN84" i="39"/>
  <c r="AN85" i="39"/>
  <c r="AN86" i="39"/>
  <c r="AN87" i="39"/>
  <c r="AN89" i="39"/>
  <c r="AN90" i="39"/>
  <c r="AN91" i="39"/>
  <c r="AN92" i="39"/>
  <c r="AN93" i="39"/>
  <c r="AN94" i="39"/>
  <c r="AN95" i="39"/>
  <c r="AN96" i="39"/>
  <c r="AN97" i="39"/>
  <c r="AN98" i="39"/>
  <c r="AN99" i="39"/>
  <c r="AN100" i="39"/>
  <c r="AN101" i="39"/>
  <c r="AN102" i="39"/>
  <c r="AN103" i="39"/>
  <c r="AN104" i="39"/>
  <c r="AN105" i="39"/>
  <c r="AN106" i="39"/>
  <c r="AN107" i="39"/>
  <c r="AN108" i="39"/>
  <c r="AN109" i="39"/>
  <c r="AN110" i="39"/>
  <c r="AN111" i="39"/>
  <c r="F112" i="39"/>
  <c r="H112" i="39"/>
  <c r="I112" i="39"/>
  <c r="J112" i="39"/>
  <c r="K112" i="39"/>
  <c r="L112" i="39"/>
  <c r="M112" i="39"/>
  <c r="N112" i="39"/>
  <c r="O112" i="39"/>
  <c r="Q112" i="39"/>
  <c r="R112" i="39"/>
  <c r="S112" i="39"/>
  <c r="T112" i="39"/>
  <c r="U112" i="39"/>
  <c r="V112" i="39"/>
  <c r="W112" i="39"/>
  <c r="X112" i="39"/>
  <c r="Z112" i="39"/>
  <c r="AA112" i="39"/>
  <c r="AB112" i="39"/>
  <c r="AC112" i="39"/>
  <c r="AD112" i="39"/>
  <c r="AE112" i="39"/>
  <c r="AF112" i="39"/>
  <c r="AG112" i="39"/>
  <c r="AH112" i="39"/>
  <c r="AI112" i="39"/>
  <c r="AJ112" i="39"/>
  <c r="AK112" i="39"/>
  <c r="AL112" i="39"/>
  <c r="AM112" i="39"/>
  <c r="D111" i="39"/>
  <c r="AM80" i="39"/>
  <c r="AM81" i="39"/>
  <c r="AM82" i="39"/>
  <c r="AM83" i="39"/>
  <c r="AM84" i="39"/>
  <c r="AM85" i="39"/>
  <c r="AM86" i="39"/>
  <c r="AM87" i="39"/>
  <c r="AM89" i="39"/>
  <c r="AM90" i="39"/>
  <c r="AM91" i="39"/>
  <c r="AM92" i="39"/>
  <c r="AM93" i="39"/>
  <c r="AM94" i="39"/>
  <c r="AM95" i="39"/>
  <c r="AM96" i="39"/>
  <c r="AM98" i="39"/>
  <c r="AM99" i="39"/>
  <c r="AM100" i="39"/>
  <c r="AM101" i="39"/>
  <c r="AM102" i="39"/>
  <c r="AM103" i="39"/>
  <c r="AM104" i="39"/>
  <c r="AM105" i="39"/>
  <c r="AM106" i="39"/>
  <c r="AM107" i="39"/>
  <c r="AM108" i="39"/>
  <c r="AM109" i="39"/>
  <c r="AM110" i="39"/>
  <c r="F111" i="39"/>
  <c r="H111" i="39"/>
  <c r="I111" i="39"/>
  <c r="J111" i="39"/>
  <c r="K111" i="39"/>
  <c r="L111" i="39"/>
  <c r="M111" i="39"/>
  <c r="N111" i="39"/>
  <c r="O111" i="39"/>
  <c r="Q111" i="39"/>
  <c r="R111" i="39"/>
  <c r="S111" i="39"/>
  <c r="T111" i="39"/>
  <c r="U111" i="39"/>
  <c r="V111" i="39"/>
  <c r="W111" i="39"/>
  <c r="X111" i="39"/>
  <c r="Y111" i="39"/>
  <c r="Z111" i="39"/>
  <c r="AA111" i="39"/>
  <c r="AB111" i="39"/>
  <c r="AC111" i="39"/>
  <c r="AD111" i="39"/>
  <c r="AE111" i="39"/>
  <c r="AF111" i="39"/>
  <c r="AG111" i="39"/>
  <c r="AH111" i="39"/>
  <c r="AI111" i="39"/>
  <c r="AJ111" i="39"/>
  <c r="AK111" i="39"/>
  <c r="AL111" i="39"/>
  <c r="D110" i="39"/>
  <c r="AL80" i="39"/>
  <c r="AL81" i="39"/>
  <c r="AL82" i="39"/>
  <c r="AL83" i="39"/>
  <c r="AL84" i="39"/>
  <c r="AL85" i="39"/>
  <c r="AL86" i="39"/>
  <c r="AL87" i="39"/>
  <c r="AL89" i="39"/>
  <c r="AL90" i="39"/>
  <c r="AL91" i="39"/>
  <c r="AL92" i="39"/>
  <c r="AL93" i="39"/>
  <c r="AL94" i="39"/>
  <c r="AL95" i="39"/>
  <c r="AL96" i="39"/>
  <c r="AL97" i="39"/>
  <c r="AL98" i="39"/>
  <c r="AL99" i="39"/>
  <c r="AL100" i="39"/>
  <c r="AL101" i="39"/>
  <c r="AL102" i="39"/>
  <c r="AL103" i="39"/>
  <c r="AL104" i="39"/>
  <c r="AL105" i="39"/>
  <c r="AL106" i="39"/>
  <c r="AL107" i="39"/>
  <c r="AL108" i="39"/>
  <c r="AL109" i="39"/>
  <c r="F110" i="39"/>
  <c r="H110" i="39"/>
  <c r="I110" i="39"/>
  <c r="J110" i="39"/>
  <c r="K110" i="39"/>
  <c r="L110" i="39"/>
  <c r="M110" i="39"/>
  <c r="N110" i="39"/>
  <c r="O110" i="39"/>
  <c r="Q110" i="39"/>
  <c r="R110" i="39"/>
  <c r="S110" i="39"/>
  <c r="T110" i="39"/>
  <c r="U110" i="39"/>
  <c r="V110" i="39"/>
  <c r="W110" i="39"/>
  <c r="X110" i="39"/>
  <c r="Y110" i="39"/>
  <c r="Z110" i="39"/>
  <c r="AA110" i="39"/>
  <c r="AB110" i="39"/>
  <c r="AC110" i="39"/>
  <c r="AD110" i="39"/>
  <c r="AE110" i="39"/>
  <c r="AF110" i="39"/>
  <c r="AG110" i="39"/>
  <c r="AH110" i="39"/>
  <c r="AI110" i="39"/>
  <c r="AJ110" i="39"/>
  <c r="AK110" i="39"/>
  <c r="D109" i="39"/>
  <c r="AK80" i="39"/>
  <c r="AK81" i="39"/>
  <c r="AK82" i="39"/>
  <c r="AK83" i="39"/>
  <c r="AK84" i="39"/>
  <c r="AK85" i="39"/>
  <c r="AK86" i="39"/>
  <c r="AK87" i="39"/>
  <c r="AK89" i="39"/>
  <c r="AK90" i="39"/>
  <c r="AK91" i="39"/>
  <c r="AK92" i="39"/>
  <c r="AK93" i="39"/>
  <c r="AK94" i="39"/>
  <c r="AK95" i="39"/>
  <c r="AK96" i="39"/>
  <c r="AK97" i="39"/>
  <c r="AK98" i="39"/>
  <c r="AK99" i="39"/>
  <c r="AK100" i="39"/>
  <c r="AK101" i="39"/>
  <c r="AK102" i="39"/>
  <c r="AK103" i="39"/>
  <c r="AK104" i="39"/>
  <c r="AK105" i="39"/>
  <c r="AK106" i="39"/>
  <c r="AK107" i="39"/>
  <c r="AK108" i="39"/>
  <c r="F109" i="39"/>
  <c r="H109" i="39"/>
  <c r="I109" i="39"/>
  <c r="J109" i="39"/>
  <c r="K109" i="39"/>
  <c r="L109" i="39"/>
  <c r="M109" i="39"/>
  <c r="N109" i="39"/>
  <c r="O109" i="39"/>
  <c r="Q109" i="39"/>
  <c r="R109" i="39"/>
  <c r="S109" i="39"/>
  <c r="T109" i="39"/>
  <c r="U109" i="39"/>
  <c r="V109" i="39"/>
  <c r="W109" i="39"/>
  <c r="X109" i="39"/>
  <c r="Y109" i="39"/>
  <c r="Z109" i="39"/>
  <c r="AA109" i="39"/>
  <c r="AB109" i="39"/>
  <c r="AC109" i="39"/>
  <c r="AD109" i="39"/>
  <c r="AE109" i="39"/>
  <c r="AF109" i="39"/>
  <c r="AG109" i="39"/>
  <c r="AH109" i="39"/>
  <c r="AI109" i="39"/>
  <c r="AJ109" i="39"/>
  <c r="D108" i="39"/>
  <c r="AJ80" i="39"/>
  <c r="AJ81" i="39"/>
  <c r="AJ82" i="39"/>
  <c r="AJ83" i="39"/>
  <c r="AJ84" i="39"/>
  <c r="AJ85" i="39"/>
  <c r="AJ86" i="39"/>
  <c r="AJ87" i="39"/>
  <c r="AJ89" i="39"/>
  <c r="AJ90" i="39"/>
  <c r="AJ91" i="39"/>
  <c r="AJ92" i="39"/>
  <c r="AJ93" i="39"/>
  <c r="AJ94" i="39"/>
  <c r="AJ95" i="39"/>
  <c r="AJ96" i="39"/>
  <c r="AJ98" i="39"/>
  <c r="AJ99" i="39"/>
  <c r="AJ100" i="39"/>
  <c r="AJ101" i="39"/>
  <c r="AJ102" i="39"/>
  <c r="AJ103" i="39"/>
  <c r="AJ104" i="39"/>
  <c r="AJ105" i="39"/>
  <c r="AJ106" i="39"/>
  <c r="AJ107" i="39"/>
  <c r="F108" i="39"/>
  <c r="H108" i="39"/>
  <c r="I108" i="39"/>
  <c r="J108" i="39"/>
  <c r="K108" i="39"/>
  <c r="L108" i="39"/>
  <c r="M108" i="39"/>
  <c r="N108" i="39"/>
  <c r="O108" i="39"/>
  <c r="Q108" i="39"/>
  <c r="R108" i="39"/>
  <c r="S108" i="39"/>
  <c r="T108" i="39"/>
  <c r="U108" i="39"/>
  <c r="V108" i="39"/>
  <c r="W108" i="39"/>
  <c r="X108" i="39"/>
  <c r="Y108" i="39"/>
  <c r="Z108" i="39"/>
  <c r="AA108" i="39"/>
  <c r="AB108" i="39"/>
  <c r="AC108" i="39"/>
  <c r="AD108" i="39"/>
  <c r="AE108" i="39"/>
  <c r="AF108" i="39"/>
  <c r="AG108" i="39"/>
  <c r="AH108" i="39"/>
  <c r="AI108" i="39"/>
  <c r="D107" i="39"/>
  <c r="AI78" i="39"/>
  <c r="AI80" i="39"/>
  <c r="AI81" i="39"/>
  <c r="AI82" i="39"/>
  <c r="AI83" i="39"/>
  <c r="AI84" i="39"/>
  <c r="AI85" i="39"/>
  <c r="AI86" i="39"/>
  <c r="AI87" i="39"/>
  <c r="AI89" i="39"/>
  <c r="AI90" i="39"/>
  <c r="AI91" i="39"/>
  <c r="AI92" i="39"/>
  <c r="AI93" i="39"/>
  <c r="AI94" i="39"/>
  <c r="AI95" i="39"/>
  <c r="AI96" i="39"/>
  <c r="AI97" i="39"/>
  <c r="AI98" i="39"/>
  <c r="AI99" i="39"/>
  <c r="AI100" i="39"/>
  <c r="AI101" i="39"/>
  <c r="AI102" i="39"/>
  <c r="AI103" i="39"/>
  <c r="AI104" i="39"/>
  <c r="AI105" i="39"/>
  <c r="AI106" i="39"/>
  <c r="F107" i="39"/>
  <c r="H107" i="39"/>
  <c r="I107" i="39"/>
  <c r="J107" i="39"/>
  <c r="K107" i="39"/>
  <c r="L107" i="39"/>
  <c r="M107" i="39"/>
  <c r="N107" i="39"/>
  <c r="O107" i="39"/>
  <c r="Q107" i="39"/>
  <c r="R107" i="39"/>
  <c r="S107" i="39"/>
  <c r="T107" i="39"/>
  <c r="U107" i="39"/>
  <c r="V107" i="39"/>
  <c r="W107" i="39"/>
  <c r="X107" i="39"/>
  <c r="Z107" i="39"/>
  <c r="AA107" i="39"/>
  <c r="AB107" i="39"/>
  <c r="AC107" i="39"/>
  <c r="AD107" i="39"/>
  <c r="AE107" i="39"/>
  <c r="AF107" i="39"/>
  <c r="AG107" i="39"/>
  <c r="AH107" i="39"/>
  <c r="D106" i="39"/>
  <c r="AH80" i="39"/>
  <c r="AH81" i="39"/>
  <c r="AH82" i="39"/>
  <c r="AH83" i="39"/>
  <c r="AH84" i="39"/>
  <c r="AH85" i="39"/>
  <c r="AH86" i="39"/>
  <c r="AH87" i="39"/>
  <c r="AH89" i="39"/>
  <c r="AH90" i="39"/>
  <c r="AH91" i="39"/>
  <c r="AH92" i="39"/>
  <c r="AH93" i="39"/>
  <c r="AH94" i="39"/>
  <c r="AH95" i="39"/>
  <c r="AH96" i="39"/>
  <c r="AH98" i="39"/>
  <c r="AH99" i="39"/>
  <c r="AH100" i="39"/>
  <c r="AH101" i="39"/>
  <c r="AH102" i="39"/>
  <c r="AH103" i="39"/>
  <c r="AH104" i="39"/>
  <c r="AH105" i="39"/>
  <c r="F106" i="39"/>
  <c r="H106" i="39"/>
  <c r="I106" i="39"/>
  <c r="J106" i="39"/>
  <c r="K106" i="39"/>
  <c r="L106" i="39"/>
  <c r="M106" i="39"/>
  <c r="N106" i="39"/>
  <c r="O106" i="39"/>
  <c r="Q106" i="39"/>
  <c r="R106" i="39"/>
  <c r="S106" i="39"/>
  <c r="T106" i="39"/>
  <c r="U106" i="39"/>
  <c r="V106" i="39"/>
  <c r="W106" i="39"/>
  <c r="X106" i="39"/>
  <c r="Y106" i="39"/>
  <c r="Z106" i="39"/>
  <c r="AA106" i="39"/>
  <c r="AB106" i="39"/>
  <c r="AC106" i="39"/>
  <c r="AD106" i="39"/>
  <c r="AE106" i="39"/>
  <c r="AF106" i="39"/>
  <c r="AG106" i="39"/>
  <c r="D105" i="39"/>
  <c r="AG78" i="39"/>
  <c r="AG80" i="39"/>
  <c r="AG81" i="39"/>
  <c r="AG82" i="39"/>
  <c r="AG83" i="39"/>
  <c r="AG84" i="39"/>
  <c r="AG85" i="39"/>
  <c r="AG86" i="39"/>
  <c r="AG87" i="39"/>
  <c r="AG89" i="39"/>
  <c r="AG90" i="39"/>
  <c r="AG91" i="39"/>
  <c r="AG92" i="39"/>
  <c r="AG93" i="39"/>
  <c r="AG94" i="39"/>
  <c r="AG95" i="39"/>
  <c r="AG96" i="39"/>
  <c r="AG97" i="39"/>
  <c r="AG98" i="39"/>
  <c r="AG99" i="39"/>
  <c r="AG100" i="39"/>
  <c r="AG101" i="39"/>
  <c r="AG102" i="39"/>
  <c r="AG103" i="39"/>
  <c r="AG104" i="39"/>
  <c r="F105" i="39"/>
  <c r="H105" i="39"/>
  <c r="I105" i="39"/>
  <c r="J105" i="39"/>
  <c r="K105" i="39"/>
  <c r="L105" i="39"/>
  <c r="M105" i="39"/>
  <c r="N105" i="39"/>
  <c r="O105" i="39"/>
  <c r="Q105" i="39"/>
  <c r="R105" i="39"/>
  <c r="S105" i="39"/>
  <c r="T105" i="39"/>
  <c r="U105" i="39"/>
  <c r="V105" i="39"/>
  <c r="W105" i="39"/>
  <c r="X105" i="39"/>
  <c r="Z105" i="39"/>
  <c r="AA105" i="39"/>
  <c r="AB105" i="39"/>
  <c r="AC105" i="39"/>
  <c r="AD105" i="39"/>
  <c r="AE105" i="39"/>
  <c r="AF105" i="39"/>
  <c r="D104" i="39"/>
  <c r="AF78" i="39"/>
  <c r="AF80" i="39"/>
  <c r="AF81" i="39"/>
  <c r="AF82" i="39"/>
  <c r="AF83" i="39"/>
  <c r="AF84" i="39"/>
  <c r="AF85" i="39"/>
  <c r="AF86" i="39"/>
  <c r="AF87" i="39"/>
  <c r="AF89" i="39"/>
  <c r="AF90" i="39"/>
  <c r="AF91" i="39"/>
  <c r="AF92" i="39"/>
  <c r="AF93" i="39"/>
  <c r="AF94" i="39"/>
  <c r="AF95" i="39"/>
  <c r="AF96" i="39"/>
  <c r="AF97" i="39"/>
  <c r="AF98" i="39"/>
  <c r="AF99" i="39"/>
  <c r="AF100" i="39"/>
  <c r="AF101" i="39"/>
  <c r="AF102" i="39"/>
  <c r="AF103" i="39"/>
  <c r="F104" i="39"/>
  <c r="H104" i="39"/>
  <c r="I104" i="39"/>
  <c r="J104" i="39"/>
  <c r="K104" i="39"/>
  <c r="L104" i="39"/>
  <c r="M104" i="39"/>
  <c r="N104" i="39"/>
  <c r="O104" i="39"/>
  <c r="Q104" i="39"/>
  <c r="R104" i="39"/>
  <c r="S104" i="39"/>
  <c r="T104" i="39"/>
  <c r="U104" i="39"/>
  <c r="V104" i="39"/>
  <c r="W104" i="39"/>
  <c r="X104" i="39"/>
  <c r="Y104" i="39"/>
  <c r="Z104" i="39"/>
  <c r="AA104" i="39"/>
  <c r="AB104" i="39"/>
  <c r="AC104" i="39"/>
  <c r="AD104" i="39"/>
  <c r="AE104" i="39"/>
  <c r="D103" i="39"/>
  <c r="AE80" i="39"/>
  <c r="AE81" i="39"/>
  <c r="AE82" i="39"/>
  <c r="AE83" i="39"/>
  <c r="AE84" i="39"/>
  <c r="AE85" i="39"/>
  <c r="AE86" i="39"/>
  <c r="AE87" i="39"/>
  <c r="AE89" i="39"/>
  <c r="AE90" i="39"/>
  <c r="AE91" i="39"/>
  <c r="AE92" i="39"/>
  <c r="AE93" i="39"/>
  <c r="AE94" i="39"/>
  <c r="AE95" i="39"/>
  <c r="AE96" i="39"/>
  <c r="AE97" i="39"/>
  <c r="AE98" i="39"/>
  <c r="AE99" i="39"/>
  <c r="AE100" i="39"/>
  <c r="AE101" i="39"/>
  <c r="AE102" i="39"/>
  <c r="F103" i="39"/>
  <c r="H103" i="39"/>
  <c r="I103" i="39"/>
  <c r="J103" i="39"/>
  <c r="K103" i="39"/>
  <c r="L103" i="39"/>
  <c r="M103" i="39"/>
  <c r="N103" i="39"/>
  <c r="O103" i="39"/>
  <c r="Q103" i="39"/>
  <c r="R103" i="39"/>
  <c r="S103" i="39"/>
  <c r="T103" i="39"/>
  <c r="U103" i="39"/>
  <c r="V103" i="39"/>
  <c r="W103" i="39"/>
  <c r="X103" i="39"/>
  <c r="Y103" i="39"/>
  <c r="Z103" i="39"/>
  <c r="AA103" i="39"/>
  <c r="AB103" i="39"/>
  <c r="AC103" i="39"/>
  <c r="AD103" i="39"/>
  <c r="D102" i="39"/>
  <c r="AD80" i="39"/>
  <c r="AD81" i="39"/>
  <c r="AD82" i="39"/>
  <c r="AD83" i="39"/>
  <c r="AD84" i="39"/>
  <c r="AD85" i="39"/>
  <c r="AD86" i="39"/>
  <c r="AD87" i="39"/>
  <c r="AD89" i="39"/>
  <c r="AD90" i="39"/>
  <c r="AD91" i="39"/>
  <c r="AD92" i="39"/>
  <c r="AD93" i="39"/>
  <c r="AD94" i="39"/>
  <c r="AD95" i="39"/>
  <c r="AD96" i="39"/>
  <c r="AD97" i="39"/>
  <c r="AD98" i="39"/>
  <c r="AD99" i="39"/>
  <c r="AD100" i="39"/>
  <c r="AD101" i="39"/>
  <c r="H102" i="39"/>
  <c r="I102" i="39"/>
  <c r="J102" i="39"/>
  <c r="K102" i="39"/>
  <c r="L102" i="39"/>
  <c r="M102" i="39"/>
  <c r="N102" i="39"/>
  <c r="O102" i="39"/>
  <c r="Q102" i="39"/>
  <c r="R102" i="39"/>
  <c r="S102" i="39"/>
  <c r="T102" i="39"/>
  <c r="U102" i="39"/>
  <c r="V102" i="39"/>
  <c r="W102" i="39"/>
  <c r="X102" i="39"/>
  <c r="Z102" i="39"/>
  <c r="AA102" i="39"/>
  <c r="AB102" i="39"/>
  <c r="AC102" i="39"/>
  <c r="AC80" i="39"/>
  <c r="AC81" i="39"/>
  <c r="AC82" i="39"/>
  <c r="AC83" i="39"/>
  <c r="AC84" i="39"/>
  <c r="AC85" i="39"/>
  <c r="AC86" i="39"/>
  <c r="AC87" i="39"/>
  <c r="AC89" i="39"/>
  <c r="AC90" i="39"/>
  <c r="AC91" i="39"/>
  <c r="AC92" i="39"/>
  <c r="AC93" i="39"/>
  <c r="AC94" i="39"/>
  <c r="AC95" i="39"/>
  <c r="AC96" i="39"/>
  <c r="AC98" i="39"/>
  <c r="AC99" i="39"/>
  <c r="AC100" i="39"/>
  <c r="F101" i="39"/>
  <c r="H101" i="39"/>
  <c r="E101" i="39" s="1"/>
  <c r="I101" i="39"/>
  <c r="J101" i="39"/>
  <c r="K101" i="39"/>
  <c r="L101" i="39"/>
  <c r="M101" i="39"/>
  <c r="N101" i="39"/>
  <c r="O101" i="39"/>
  <c r="Q101" i="39"/>
  <c r="R101" i="39"/>
  <c r="S101" i="39"/>
  <c r="T101" i="39"/>
  <c r="U101" i="39"/>
  <c r="V101" i="39"/>
  <c r="W101" i="39"/>
  <c r="X101" i="39"/>
  <c r="Z101" i="39"/>
  <c r="AA101" i="39"/>
  <c r="AB101" i="39"/>
  <c r="D100" i="39"/>
  <c r="AB80" i="39"/>
  <c r="AB81" i="39"/>
  <c r="AB82" i="39"/>
  <c r="AB83" i="39"/>
  <c r="AB84" i="39"/>
  <c r="AB85" i="39"/>
  <c r="AB86" i="39"/>
  <c r="AB87" i="39"/>
  <c r="AB89" i="39"/>
  <c r="AB90" i="39"/>
  <c r="AB91" i="39"/>
  <c r="AB92" i="39"/>
  <c r="AB93" i="39"/>
  <c r="AB94" i="39"/>
  <c r="AB95" i="39"/>
  <c r="AB96" i="39"/>
  <c r="AB97" i="39"/>
  <c r="AB98" i="39"/>
  <c r="AB99" i="39"/>
  <c r="F100" i="39"/>
  <c r="H100" i="39"/>
  <c r="I100" i="39"/>
  <c r="J100" i="39"/>
  <c r="K100" i="39"/>
  <c r="L100" i="39"/>
  <c r="M100" i="39"/>
  <c r="N100" i="39"/>
  <c r="O100" i="39"/>
  <c r="Q100" i="39"/>
  <c r="R100" i="39"/>
  <c r="S100" i="39"/>
  <c r="T100" i="39"/>
  <c r="U100" i="39"/>
  <c r="V100" i="39"/>
  <c r="W100" i="39"/>
  <c r="X100" i="39"/>
  <c r="Z100" i="39"/>
  <c r="AA100" i="39"/>
  <c r="D99" i="39"/>
  <c r="AA80" i="39"/>
  <c r="AA81" i="39"/>
  <c r="AA82" i="39"/>
  <c r="AA83" i="39"/>
  <c r="AA84" i="39"/>
  <c r="AA85" i="39"/>
  <c r="AA86" i="39"/>
  <c r="AA87" i="39"/>
  <c r="AA89" i="39"/>
  <c r="AA90" i="39"/>
  <c r="AA91" i="39"/>
  <c r="AA92" i="39"/>
  <c r="AA93" i="39"/>
  <c r="AA94" i="39"/>
  <c r="AA95" i="39"/>
  <c r="AA96" i="39"/>
  <c r="AA97" i="39"/>
  <c r="AA98" i="39"/>
  <c r="F99" i="39"/>
  <c r="H99" i="39"/>
  <c r="I99" i="39"/>
  <c r="J99" i="39"/>
  <c r="K99" i="39"/>
  <c r="L99" i="39"/>
  <c r="M99" i="39"/>
  <c r="N99" i="39"/>
  <c r="O99" i="39"/>
  <c r="Q99" i="39"/>
  <c r="R99" i="39"/>
  <c r="S99" i="39"/>
  <c r="T99" i="39"/>
  <c r="U99" i="39"/>
  <c r="V99" i="39"/>
  <c r="W99" i="39"/>
  <c r="X99" i="39"/>
  <c r="Y99" i="39"/>
  <c r="Z99" i="39"/>
  <c r="D98" i="39"/>
  <c r="Z80" i="39"/>
  <c r="Z81" i="39"/>
  <c r="Z82" i="39"/>
  <c r="Z83" i="39"/>
  <c r="Z84" i="39"/>
  <c r="Z85" i="39"/>
  <c r="Z86" i="39"/>
  <c r="Z87" i="39"/>
  <c r="P87" i="39" s="1"/>
  <c r="Z89" i="39"/>
  <c r="Z90" i="39"/>
  <c r="Z91" i="39"/>
  <c r="Z92" i="39"/>
  <c r="Z93" i="39"/>
  <c r="Z94" i="39"/>
  <c r="Z95" i="39"/>
  <c r="Z96" i="39"/>
  <c r="F98" i="39"/>
  <c r="H98" i="39"/>
  <c r="I98" i="39"/>
  <c r="J98" i="39"/>
  <c r="K98" i="39"/>
  <c r="L98" i="39"/>
  <c r="M98" i="39"/>
  <c r="N98" i="39"/>
  <c r="O98" i="39"/>
  <c r="Q98" i="39"/>
  <c r="R98" i="39"/>
  <c r="S98" i="39"/>
  <c r="T98" i="39"/>
  <c r="U98" i="39"/>
  <c r="V98" i="39"/>
  <c r="W98" i="39"/>
  <c r="X98" i="39"/>
  <c r="Y98" i="39"/>
  <c r="Y81" i="39"/>
  <c r="Y83" i="39"/>
  <c r="Y84" i="39"/>
  <c r="Y87" i="39"/>
  <c r="Y89" i="39"/>
  <c r="Y90" i="39"/>
  <c r="Y93" i="39"/>
  <c r="Y94" i="39"/>
  <c r="Y95" i="39"/>
  <c r="H97" i="39"/>
  <c r="K97" i="39"/>
  <c r="Q97" i="39"/>
  <c r="T97" i="39"/>
  <c r="U97" i="39"/>
  <c r="V97" i="39"/>
  <c r="W97" i="39"/>
  <c r="X97" i="39"/>
  <c r="D96" i="39"/>
  <c r="X80" i="39"/>
  <c r="X81" i="39"/>
  <c r="X82" i="39"/>
  <c r="X83" i="39"/>
  <c r="X84" i="39"/>
  <c r="X85" i="39"/>
  <c r="X86" i="39"/>
  <c r="X87" i="39"/>
  <c r="X89" i="39"/>
  <c r="X90" i="39"/>
  <c r="X91" i="39"/>
  <c r="X92" i="39"/>
  <c r="X93" i="39"/>
  <c r="X94" i="39"/>
  <c r="X95" i="39"/>
  <c r="H96" i="39"/>
  <c r="I96" i="39"/>
  <c r="J96" i="39"/>
  <c r="K96" i="39"/>
  <c r="L96" i="39"/>
  <c r="M96" i="39"/>
  <c r="N96" i="39"/>
  <c r="O96" i="39"/>
  <c r="Q96" i="39"/>
  <c r="R96" i="39"/>
  <c r="S96" i="39"/>
  <c r="T96" i="39"/>
  <c r="U96" i="39"/>
  <c r="V96" i="39"/>
  <c r="W96" i="39"/>
  <c r="D95" i="39"/>
  <c r="W80" i="39"/>
  <c r="W81" i="39"/>
  <c r="W82" i="39"/>
  <c r="W83" i="39"/>
  <c r="W84" i="39"/>
  <c r="W85" i="39"/>
  <c r="W86" i="39"/>
  <c r="W87" i="39"/>
  <c r="W89" i="39"/>
  <c r="W90" i="39"/>
  <c r="W91" i="39"/>
  <c r="W92" i="39"/>
  <c r="W93" i="39"/>
  <c r="W94" i="39"/>
  <c r="F95" i="39"/>
  <c r="H95" i="39"/>
  <c r="I95" i="39"/>
  <c r="J95" i="39"/>
  <c r="K95" i="39"/>
  <c r="L95" i="39"/>
  <c r="M95" i="39"/>
  <c r="N95" i="39"/>
  <c r="O95" i="39"/>
  <c r="Q95" i="39"/>
  <c r="R95" i="39"/>
  <c r="S95" i="39"/>
  <c r="T95" i="39"/>
  <c r="U95" i="39"/>
  <c r="V95" i="39"/>
  <c r="D94" i="39"/>
  <c r="V78" i="39"/>
  <c r="V80" i="39"/>
  <c r="V81" i="39"/>
  <c r="V82" i="39"/>
  <c r="V83" i="39"/>
  <c r="V84" i="39"/>
  <c r="V85" i="39"/>
  <c r="V86" i="39"/>
  <c r="V87" i="39"/>
  <c r="V89" i="39"/>
  <c r="V90" i="39"/>
  <c r="V91" i="39"/>
  <c r="V92" i="39"/>
  <c r="V93" i="39"/>
  <c r="F94" i="39"/>
  <c r="H94" i="39"/>
  <c r="I94" i="39"/>
  <c r="J94" i="39"/>
  <c r="K94" i="39"/>
  <c r="L94" i="39"/>
  <c r="M94" i="39"/>
  <c r="N94" i="39"/>
  <c r="O94" i="39"/>
  <c r="Q94" i="39"/>
  <c r="R94" i="39"/>
  <c r="S94" i="39"/>
  <c r="T94" i="39"/>
  <c r="U94" i="39"/>
  <c r="D93" i="39"/>
  <c r="U80" i="39"/>
  <c r="U81" i="39"/>
  <c r="U82" i="39"/>
  <c r="U83" i="39"/>
  <c r="U84" i="39"/>
  <c r="U85" i="39"/>
  <c r="U86" i="39"/>
  <c r="U87" i="39"/>
  <c r="U89" i="39"/>
  <c r="U90" i="39"/>
  <c r="U91" i="39"/>
  <c r="U92" i="39"/>
  <c r="H93" i="39"/>
  <c r="I93" i="39"/>
  <c r="J93" i="39"/>
  <c r="K93" i="39"/>
  <c r="L93" i="39"/>
  <c r="M93" i="39"/>
  <c r="N93" i="39"/>
  <c r="O93" i="39"/>
  <c r="Q93" i="39"/>
  <c r="R93" i="39"/>
  <c r="S93" i="39"/>
  <c r="T93" i="39"/>
  <c r="D92" i="39"/>
  <c r="T80" i="39"/>
  <c r="T81" i="39"/>
  <c r="T82" i="39"/>
  <c r="T83" i="39"/>
  <c r="T84" i="39"/>
  <c r="T85" i="39"/>
  <c r="T86" i="39"/>
  <c r="T87" i="39"/>
  <c r="T89" i="39"/>
  <c r="T90" i="39"/>
  <c r="T91" i="39"/>
  <c r="H92" i="39"/>
  <c r="I92" i="39"/>
  <c r="J92" i="39"/>
  <c r="K92" i="39"/>
  <c r="L92" i="39"/>
  <c r="M92" i="39"/>
  <c r="N92" i="39"/>
  <c r="O92" i="39"/>
  <c r="Q92" i="39"/>
  <c r="R92" i="39"/>
  <c r="S92" i="39"/>
  <c r="D91" i="39"/>
  <c r="S80" i="39"/>
  <c r="S81" i="39"/>
  <c r="S82" i="39"/>
  <c r="S83" i="39"/>
  <c r="S84" i="39"/>
  <c r="S85" i="39"/>
  <c r="S86" i="39"/>
  <c r="S87" i="39"/>
  <c r="S89" i="39"/>
  <c r="S90" i="39"/>
  <c r="F91" i="39"/>
  <c r="H91" i="39"/>
  <c r="I91" i="39"/>
  <c r="J91" i="39"/>
  <c r="K91" i="39"/>
  <c r="L91" i="39"/>
  <c r="M91" i="39"/>
  <c r="N91" i="39"/>
  <c r="O91" i="39"/>
  <c r="Q91" i="39"/>
  <c r="R91" i="39"/>
  <c r="D90" i="39"/>
  <c r="R80" i="39"/>
  <c r="R81" i="39"/>
  <c r="R82" i="39"/>
  <c r="R83" i="39"/>
  <c r="R84" i="39"/>
  <c r="R85" i="39"/>
  <c r="R86" i="39"/>
  <c r="R87" i="39"/>
  <c r="R89" i="39"/>
  <c r="F90" i="39"/>
  <c r="H90" i="39"/>
  <c r="I90" i="39"/>
  <c r="J90" i="39"/>
  <c r="K90" i="39"/>
  <c r="L90" i="39"/>
  <c r="M90" i="39"/>
  <c r="N90" i="39"/>
  <c r="O90" i="39"/>
  <c r="Q90" i="39"/>
  <c r="D89" i="39"/>
  <c r="Q78" i="39"/>
  <c r="Q80" i="39"/>
  <c r="Q81" i="39"/>
  <c r="Q82" i="39"/>
  <c r="Q83" i="39"/>
  <c r="Q84" i="39"/>
  <c r="Q85" i="39"/>
  <c r="Q86" i="39"/>
  <c r="Q87" i="39"/>
  <c r="F89" i="39"/>
  <c r="H89" i="39"/>
  <c r="I89" i="39"/>
  <c r="J89" i="39"/>
  <c r="K89" i="39"/>
  <c r="L89" i="39"/>
  <c r="M89" i="39"/>
  <c r="N89" i="39"/>
  <c r="O89" i="39"/>
  <c r="D87" i="39"/>
  <c r="O78" i="39"/>
  <c r="O80" i="39"/>
  <c r="O81" i="39"/>
  <c r="O82" i="39"/>
  <c r="O83" i="39"/>
  <c r="O84" i="39"/>
  <c r="O85" i="39"/>
  <c r="O86" i="39"/>
  <c r="F87" i="39"/>
  <c r="H87" i="39"/>
  <c r="I87" i="39"/>
  <c r="J87" i="39"/>
  <c r="K87" i="39"/>
  <c r="L87" i="39"/>
  <c r="M87" i="39"/>
  <c r="N87" i="39"/>
  <c r="D86" i="39"/>
  <c r="N78" i="39"/>
  <c r="N80" i="39"/>
  <c r="N81" i="39"/>
  <c r="N82" i="39"/>
  <c r="N83" i="39"/>
  <c r="N84" i="39"/>
  <c r="N85" i="39"/>
  <c r="H86" i="39"/>
  <c r="I86" i="39"/>
  <c r="J86" i="39"/>
  <c r="K86" i="39"/>
  <c r="L86" i="39"/>
  <c r="M86" i="39"/>
  <c r="D85" i="39"/>
  <c r="M78" i="39"/>
  <c r="M80" i="39"/>
  <c r="M81" i="39"/>
  <c r="M82" i="39"/>
  <c r="M83" i="39"/>
  <c r="M84" i="39"/>
  <c r="F85" i="39"/>
  <c r="H85" i="39"/>
  <c r="I85" i="39"/>
  <c r="J85" i="39"/>
  <c r="K85" i="39"/>
  <c r="L85" i="39"/>
  <c r="D84" i="39"/>
  <c r="R11" i="39"/>
  <c r="L80" i="39"/>
  <c r="L81" i="39"/>
  <c r="L82" i="39"/>
  <c r="L83" i="39"/>
  <c r="F84" i="39"/>
  <c r="H84" i="39"/>
  <c r="I84" i="39"/>
  <c r="J84" i="39"/>
  <c r="K84" i="39"/>
  <c r="D83" i="39"/>
  <c r="Q11" i="39"/>
  <c r="Q10" i="39" s="1"/>
  <c r="Q9" i="39" s="1"/>
  <c r="K80" i="39"/>
  <c r="K81" i="39"/>
  <c r="K82" i="39"/>
  <c r="H83" i="39"/>
  <c r="I83" i="39"/>
  <c r="J83" i="39"/>
  <c r="D82" i="39"/>
  <c r="J78" i="39"/>
  <c r="J80" i="39"/>
  <c r="J81" i="39"/>
  <c r="H82" i="39"/>
  <c r="I82" i="39"/>
  <c r="D81" i="39"/>
  <c r="I78" i="39"/>
  <c r="I80" i="39"/>
  <c r="F81" i="39"/>
  <c r="H81" i="39"/>
  <c r="D80" i="39"/>
  <c r="H78" i="39"/>
  <c r="F80" i="39"/>
  <c r="D79" i="39"/>
  <c r="G78" i="39"/>
  <c r="G80" i="39"/>
  <c r="G81" i="39"/>
  <c r="G82" i="39"/>
  <c r="G83" i="39"/>
  <c r="G84" i="39"/>
  <c r="G85" i="39"/>
  <c r="G86" i="39"/>
  <c r="G87" i="39"/>
  <c r="G89" i="39"/>
  <c r="G90" i="39"/>
  <c r="G91" i="39"/>
  <c r="G92" i="39"/>
  <c r="G93" i="39"/>
  <c r="G94" i="39"/>
  <c r="G95" i="39"/>
  <c r="G96" i="39"/>
  <c r="G97" i="39"/>
  <c r="G98" i="39"/>
  <c r="G99" i="39"/>
  <c r="G100" i="39"/>
  <c r="G101" i="39"/>
  <c r="G102" i="39"/>
  <c r="G103" i="39"/>
  <c r="G104" i="39"/>
  <c r="G105" i="39"/>
  <c r="G106" i="39"/>
  <c r="G107" i="39"/>
  <c r="G108" i="39"/>
  <c r="G109" i="39"/>
  <c r="G110" i="39"/>
  <c r="G111" i="39"/>
  <c r="G112" i="39"/>
  <c r="G113" i="39"/>
  <c r="G114" i="39"/>
  <c r="H79" i="39"/>
  <c r="I79" i="39"/>
  <c r="J79" i="39"/>
  <c r="K79" i="39"/>
  <c r="L79" i="39"/>
  <c r="M79" i="39"/>
  <c r="N79" i="39"/>
  <c r="O79" i="39"/>
  <c r="Q79" i="39"/>
  <c r="R79" i="39"/>
  <c r="S79" i="39"/>
  <c r="T79" i="39"/>
  <c r="U79" i="39"/>
  <c r="V79" i="39"/>
  <c r="W79" i="39"/>
  <c r="X79" i="39"/>
  <c r="Z79" i="39"/>
  <c r="AA79" i="39"/>
  <c r="AB79" i="39"/>
  <c r="AC79" i="39"/>
  <c r="AD79" i="39"/>
  <c r="AE79" i="39"/>
  <c r="AF79" i="39"/>
  <c r="AG79" i="39"/>
  <c r="AH79" i="39"/>
  <c r="AI79" i="39"/>
  <c r="AJ79" i="39"/>
  <c r="AK79" i="39"/>
  <c r="AL79" i="39"/>
  <c r="AM79" i="39"/>
  <c r="AN79" i="39"/>
  <c r="AO79" i="39"/>
  <c r="AP79" i="39"/>
  <c r="AQ79" i="39"/>
  <c r="L18" i="39"/>
  <c r="L34" i="39"/>
  <c r="L25" i="39" s="1"/>
  <c r="L63" i="39"/>
  <c r="O15" i="39"/>
  <c r="V15" i="39"/>
  <c r="BH15" i="39"/>
  <c r="BK11" i="39"/>
  <c r="BK10" i="39"/>
  <c r="BK9" i="39" s="1"/>
  <c r="BK8" i="39" s="1"/>
  <c r="BK18" i="39"/>
  <c r="O34" i="39"/>
  <c r="O25" i="39"/>
  <c r="O63" i="39"/>
  <c r="G17" i="39"/>
  <c r="G26" i="39"/>
  <c r="F26" i="39"/>
  <c r="E26" i="39" s="1"/>
  <c r="G34" i="39"/>
  <c r="F22" i="39"/>
  <c r="E27" i="39"/>
  <c r="BF61" i="39"/>
  <c r="BC58" i="39"/>
  <c r="BB57" i="39"/>
  <c r="BA56" i="39"/>
  <c r="BA25" i="39" s="1"/>
  <c r="AP45" i="39"/>
  <c r="AP34" i="39" s="1"/>
  <c r="AP25" i="39" s="1"/>
  <c r="AO44" i="39"/>
  <c r="AE44" i="39" s="1"/>
  <c r="V44" i="39" s="1"/>
  <c r="AH37" i="39"/>
  <c r="AH34" i="39" s="1"/>
  <c r="AH25" i="39" s="1"/>
  <c r="BH35" i="39"/>
  <c r="AF35" i="39"/>
  <c r="AE35" i="39" s="1"/>
  <c r="V35" i="39" s="1"/>
  <c r="X27" i="39"/>
  <c r="O16" i="39"/>
  <c r="N10" i="39"/>
  <c r="AQ78" i="40"/>
  <c r="AQ80" i="40"/>
  <c r="AQ81" i="40"/>
  <c r="AQ82" i="40"/>
  <c r="AQ83" i="40"/>
  <c r="AQ84" i="40"/>
  <c r="AQ85" i="40"/>
  <c r="AQ87" i="40"/>
  <c r="AQ89" i="40"/>
  <c r="AQ90" i="40"/>
  <c r="AQ91" i="40"/>
  <c r="AQ92" i="40"/>
  <c r="AQ94" i="40"/>
  <c r="AQ95" i="40"/>
  <c r="AQ98" i="40"/>
  <c r="AQ100" i="40"/>
  <c r="AQ101" i="40"/>
  <c r="AQ103" i="40"/>
  <c r="AQ104" i="40"/>
  <c r="AQ105" i="40"/>
  <c r="AQ106" i="40"/>
  <c r="AQ107" i="40"/>
  <c r="AQ108" i="40"/>
  <c r="AQ109" i="40"/>
  <c r="AQ110" i="40"/>
  <c r="AQ111" i="40"/>
  <c r="AQ112" i="40"/>
  <c r="AQ113" i="40"/>
  <c r="H115" i="40"/>
  <c r="I115" i="40"/>
  <c r="Q115" i="40"/>
  <c r="T115" i="40"/>
  <c r="V115" i="40"/>
  <c r="W115" i="40"/>
  <c r="X115" i="40"/>
  <c r="AA115" i="40"/>
  <c r="AB115" i="40"/>
  <c r="AC115" i="40"/>
  <c r="AE115" i="40"/>
  <c r="AG115" i="40"/>
  <c r="AH115" i="40"/>
  <c r="AI115" i="40"/>
  <c r="AL115" i="40"/>
  <c r="AM115" i="40"/>
  <c r="AO115" i="40"/>
  <c r="D114" i="40"/>
  <c r="AP78" i="40"/>
  <c r="AP80" i="40"/>
  <c r="AP81" i="40"/>
  <c r="AP82" i="40"/>
  <c r="AP83" i="40"/>
  <c r="AP84" i="40"/>
  <c r="AP85" i="40"/>
  <c r="AP86" i="40"/>
  <c r="AP87" i="40"/>
  <c r="AP89" i="40"/>
  <c r="AP90" i="40"/>
  <c r="AP91" i="40"/>
  <c r="AP92" i="40"/>
  <c r="AP93" i="40"/>
  <c r="AP94" i="40"/>
  <c r="AP95" i="40"/>
  <c r="AP96" i="40"/>
  <c r="AP97" i="40"/>
  <c r="AP98" i="40"/>
  <c r="AP99" i="40"/>
  <c r="AP100" i="40"/>
  <c r="AP101" i="40"/>
  <c r="AP102" i="40"/>
  <c r="AP103" i="40"/>
  <c r="AP104" i="40"/>
  <c r="AP105" i="40"/>
  <c r="AP106" i="40"/>
  <c r="AP107" i="40"/>
  <c r="AP108" i="40"/>
  <c r="AP109" i="40"/>
  <c r="AP110" i="40"/>
  <c r="AP111" i="40"/>
  <c r="AP112" i="40"/>
  <c r="AP113" i="40"/>
  <c r="F114" i="40"/>
  <c r="H114" i="40"/>
  <c r="I114" i="40"/>
  <c r="J114" i="40"/>
  <c r="K114" i="40"/>
  <c r="L114" i="40"/>
  <c r="M114" i="40"/>
  <c r="N114" i="40"/>
  <c r="O114" i="40"/>
  <c r="Q114" i="40"/>
  <c r="R114" i="40"/>
  <c r="S114" i="40"/>
  <c r="T114" i="40"/>
  <c r="U114" i="40"/>
  <c r="V114" i="40"/>
  <c r="W114" i="40"/>
  <c r="X114" i="40"/>
  <c r="Y114" i="40"/>
  <c r="Z114" i="40"/>
  <c r="AA114" i="40"/>
  <c r="AB114" i="40"/>
  <c r="AC114" i="40"/>
  <c r="AD114" i="40"/>
  <c r="AE114" i="40"/>
  <c r="AF114" i="40"/>
  <c r="AG114" i="40"/>
  <c r="AH114" i="40"/>
  <c r="AI114" i="40"/>
  <c r="AJ114" i="40"/>
  <c r="AK114" i="40"/>
  <c r="AL114" i="40"/>
  <c r="AM114" i="40"/>
  <c r="AN114" i="40"/>
  <c r="AO114" i="40"/>
  <c r="D113" i="40"/>
  <c r="AO78" i="40"/>
  <c r="AO80" i="40"/>
  <c r="AO81" i="40"/>
  <c r="AO82" i="40"/>
  <c r="AO83" i="40"/>
  <c r="AO84" i="40"/>
  <c r="AO85" i="40"/>
  <c r="AO86" i="40"/>
  <c r="AO87" i="40"/>
  <c r="AO89" i="40"/>
  <c r="AO90" i="40"/>
  <c r="AO91" i="40"/>
  <c r="AO92" i="40"/>
  <c r="AO93" i="40"/>
  <c r="AO94" i="40"/>
  <c r="AO95" i="40"/>
  <c r="AO96" i="40"/>
  <c r="AO98" i="40"/>
  <c r="AO99" i="40"/>
  <c r="AO100" i="40"/>
  <c r="AO101" i="40"/>
  <c r="AO102" i="40"/>
  <c r="AO103" i="40"/>
  <c r="AO104" i="40"/>
  <c r="AO105" i="40"/>
  <c r="AO106" i="40"/>
  <c r="AO107" i="40"/>
  <c r="AO108" i="40"/>
  <c r="AO109" i="40"/>
  <c r="AO110" i="40"/>
  <c r="AO111" i="40"/>
  <c r="AO112" i="40"/>
  <c r="F113" i="40"/>
  <c r="H113" i="40"/>
  <c r="I113" i="40"/>
  <c r="J113" i="40"/>
  <c r="K113" i="40"/>
  <c r="L113" i="40"/>
  <c r="M113" i="40"/>
  <c r="N113" i="40"/>
  <c r="O113" i="40"/>
  <c r="Q113" i="40"/>
  <c r="R113" i="40"/>
  <c r="S113" i="40"/>
  <c r="T113" i="40"/>
  <c r="U113" i="40"/>
  <c r="V113" i="40"/>
  <c r="W113" i="40"/>
  <c r="X113" i="40"/>
  <c r="Y113" i="40"/>
  <c r="Z113" i="40"/>
  <c r="AA113" i="40"/>
  <c r="AB113" i="40"/>
  <c r="AC113" i="40"/>
  <c r="AD113" i="40"/>
  <c r="AE113" i="40"/>
  <c r="AF113" i="40"/>
  <c r="AG113" i="40"/>
  <c r="AH113" i="40"/>
  <c r="AI113" i="40"/>
  <c r="AJ113" i="40"/>
  <c r="AK113" i="40"/>
  <c r="AL113" i="40"/>
  <c r="AM113" i="40"/>
  <c r="AN113" i="40"/>
  <c r="D112" i="40"/>
  <c r="AN80" i="40"/>
  <c r="AN81" i="40"/>
  <c r="AN82" i="40"/>
  <c r="AN83" i="40"/>
  <c r="AN84" i="40"/>
  <c r="AN85" i="40"/>
  <c r="AN86" i="40"/>
  <c r="AN87" i="40"/>
  <c r="AN89" i="40"/>
  <c r="AN90" i="40"/>
  <c r="AN91" i="40"/>
  <c r="AN92" i="40"/>
  <c r="AN93" i="40"/>
  <c r="AN94" i="40"/>
  <c r="AN95" i="40"/>
  <c r="AN96" i="40"/>
  <c r="AN98" i="40"/>
  <c r="AN99" i="40"/>
  <c r="AN100" i="40"/>
  <c r="AN101" i="40"/>
  <c r="AN102" i="40"/>
  <c r="AN103" i="40"/>
  <c r="AN104" i="40"/>
  <c r="AN105" i="40"/>
  <c r="AN106" i="40"/>
  <c r="AN107" i="40"/>
  <c r="AN108" i="40"/>
  <c r="AN109" i="40"/>
  <c r="AN110" i="40"/>
  <c r="AN111" i="40"/>
  <c r="F112" i="40"/>
  <c r="H112" i="40"/>
  <c r="I112" i="40"/>
  <c r="J112" i="40"/>
  <c r="K112" i="40"/>
  <c r="L112" i="40"/>
  <c r="M112" i="40"/>
  <c r="N112" i="40"/>
  <c r="O112" i="40"/>
  <c r="Q112" i="40"/>
  <c r="R112" i="40"/>
  <c r="S112" i="40"/>
  <c r="T112" i="40"/>
  <c r="U112" i="40"/>
  <c r="V112" i="40"/>
  <c r="W112" i="40"/>
  <c r="X112" i="40"/>
  <c r="Y112" i="40"/>
  <c r="Z112" i="40"/>
  <c r="AA112" i="40"/>
  <c r="AB112" i="40"/>
  <c r="AC112" i="40"/>
  <c r="AD112" i="40"/>
  <c r="AE112" i="40"/>
  <c r="AF112" i="40"/>
  <c r="AG112" i="40"/>
  <c r="AH112" i="40"/>
  <c r="AI112" i="40"/>
  <c r="AJ112" i="40"/>
  <c r="AK112" i="40"/>
  <c r="AL112" i="40"/>
  <c r="AM112" i="40"/>
  <c r="D111" i="40"/>
  <c r="AM80" i="40"/>
  <c r="AM81" i="40"/>
  <c r="AM82" i="40"/>
  <c r="AM83" i="40"/>
  <c r="AM84" i="40"/>
  <c r="AM85" i="40"/>
  <c r="AM86" i="40"/>
  <c r="AM87" i="40"/>
  <c r="AM89" i="40"/>
  <c r="AM90" i="40"/>
  <c r="AM91" i="40"/>
  <c r="AM92" i="40"/>
  <c r="AM93" i="40"/>
  <c r="AM94" i="40"/>
  <c r="AM95" i="40"/>
  <c r="AM96" i="40"/>
  <c r="AM98" i="40"/>
  <c r="AM99" i="40"/>
  <c r="AM100" i="40"/>
  <c r="AM101" i="40"/>
  <c r="AM102" i="40"/>
  <c r="AM103" i="40"/>
  <c r="AM104" i="40"/>
  <c r="AM105" i="40"/>
  <c r="AM106" i="40"/>
  <c r="AM107" i="40"/>
  <c r="AM108" i="40"/>
  <c r="AM109" i="40"/>
  <c r="AM110" i="40"/>
  <c r="F111" i="40"/>
  <c r="H111" i="40"/>
  <c r="I111" i="40"/>
  <c r="J111" i="40"/>
  <c r="K111" i="40"/>
  <c r="L111" i="40"/>
  <c r="M111" i="40"/>
  <c r="N111" i="40"/>
  <c r="O111" i="40"/>
  <c r="Q111" i="40"/>
  <c r="R111" i="40"/>
  <c r="S111" i="40"/>
  <c r="T111" i="40"/>
  <c r="U111" i="40"/>
  <c r="V111" i="40"/>
  <c r="W111" i="40"/>
  <c r="X111" i="40"/>
  <c r="Y111" i="40"/>
  <c r="Z111" i="40"/>
  <c r="AA111" i="40"/>
  <c r="AB111" i="40"/>
  <c r="AC111" i="40"/>
  <c r="AD111" i="40"/>
  <c r="AE111" i="40"/>
  <c r="AF111" i="40"/>
  <c r="AG111" i="40"/>
  <c r="AH111" i="40"/>
  <c r="AI111" i="40"/>
  <c r="AJ111" i="40"/>
  <c r="AK111" i="40"/>
  <c r="AL111" i="40"/>
  <c r="D110" i="40"/>
  <c r="AL80" i="40"/>
  <c r="AL81" i="40"/>
  <c r="AL82" i="40"/>
  <c r="AL83" i="40"/>
  <c r="AL84" i="40"/>
  <c r="AL85" i="40"/>
  <c r="AL86" i="40"/>
  <c r="AL87" i="40"/>
  <c r="AL89" i="40"/>
  <c r="AL90" i="40"/>
  <c r="AL91" i="40"/>
  <c r="AL92" i="40"/>
  <c r="AL93" i="40"/>
  <c r="AL94" i="40"/>
  <c r="AL95" i="40"/>
  <c r="AL96" i="40"/>
  <c r="AL97" i="40"/>
  <c r="AL98" i="40"/>
  <c r="AL99" i="40"/>
  <c r="AL100" i="40"/>
  <c r="AL101" i="40"/>
  <c r="AL102" i="40"/>
  <c r="AL103" i="40"/>
  <c r="AL104" i="40"/>
  <c r="AL105" i="40"/>
  <c r="AL106" i="40"/>
  <c r="AL107" i="40"/>
  <c r="AL108" i="40"/>
  <c r="AL109" i="40"/>
  <c r="F110" i="40"/>
  <c r="H110" i="40"/>
  <c r="I110" i="40"/>
  <c r="J110" i="40"/>
  <c r="K110" i="40"/>
  <c r="L110" i="40"/>
  <c r="M110" i="40"/>
  <c r="N110" i="40"/>
  <c r="O110" i="40"/>
  <c r="Q110" i="40"/>
  <c r="R110" i="40"/>
  <c r="S110" i="40"/>
  <c r="T110" i="40"/>
  <c r="U110" i="40"/>
  <c r="V110" i="40"/>
  <c r="W110" i="40"/>
  <c r="X110" i="40"/>
  <c r="Z110" i="40"/>
  <c r="AA110" i="40"/>
  <c r="AB110" i="40"/>
  <c r="AC110" i="40"/>
  <c r="AD110" i="40"/>
  <c r="AE110" i="40"/>
  <c r="AF110" i="40"/>
  <c r="AG110" i="40"/>
  <c r="AH110" i="40"/>
  <c r="AI110" i="40"/>
  <c r="AJ110" i="40"/>
  <c r="AK110" i="40"/>
  <c r="D109" i="40"/>
  <c r="AK80" i="40"/>
  <c r="AK81" i="40"/>
  <c r="AK82" i="40"/>
  <c r="AK83" i="40"/>
  <c r="AK84" i="40"/>
  <c r="AK85" i="40"/>
  <c r="AK86" i="40"/>
  <c r="AK87" i="40"/>
  <c r="AK89" i="40"/>
  <c r="AK90" i="40"/>
  <c r="AK91" i="40"/>
  <c r="AK92" i="40"/>
  <c r="AK93" i="40"/>
  <c r="AK94" i="40"/>
  <c r="AK95" i="40"/>
  <c r="AK96" i="40"/>
  <c r="AK98" i="40"/>
  <c r="AK99" i="40"/>
  <c r="AK100" i="40"/>
  <c r="AK101" i="40"/>
  <c r="AK102" i="40"/>
  <c r="AK103" i="40"/>
  <c r="AK104" i="40"/>
  <c r="AK105" i="40"/>
  <c r="AK106" i="40"/>
  <c r="AK107" i="40"/>
  <c r="AK108" i="40"/>
  <c r="AK115" i="40"/>
  <c r="F109" i="40"/>
  <c r="H109" i="40"/>
  <c r="I109" i="40"/>
  <c r="J109" i="40"/>
  <c r="K109" i="40"/>
  <c r="L109" i="40"/>
  <c r="M109" i="40"/>
  <c r="N109" i="40"/>
  <c r="O109" i="40"/>
  <c r="Q109" i="40"/>
  <c r="R109" i="40"/>
  <c r="S109" i="40"/>
  <c r="T109" i="40"/>
  <c r="U109" i="40"/>
  <c r="V109" i="40"/>
  <c r="W109" i="40"/>
  <c r="X109" i="40"/>
  <c r="Y109" i="40"/>
  <c r="Z109" i="40"/>
  <c r="AA109" i="40"/>
  <c r="AB109" i="40"/>
  <c r="AC109" i="40"/>
  <c r="AD109" i="40"/>
  <c r="AE109" i="40"/>
  <c r="AF109" i="40"/>
  <c r="AG109" i="40"/>
  <c r="AH109" i="40"/>
  <c r="AI109" i="40"/>
  <c r="AJ109" i="40"/>
  <c r="D108" i="40"/>
  <c r="AJ80" i="40"/>
  <c r="AJ81" i="40"/>
  <c r="AJ82" i="40"/>
  <c r="AJ83" i="40"/>
  <c r="AJ84" i="40"/>
  <c r="AJ85" i="40"/>
  <c r="AJ86" i="40"/>
  <c r="AJ87" i="40"/>
  <c r="AJ89" i="40"/>
  <c r="AJ90" i="40"/>
  <c r="AJ91" i="40"/>
  <c r="AJ92" i="40"/>
  <c r="AJ93" i="40"/>
  <c r="AJ94" i="40"/>
  <c r="AJ95" i="40"/>
  <c r="AJ96" i="40"/>
  <c r="AJ97" i="40"/>
  <c r="AJ98" i="40"/>
  <c r="AJ99" i="40"/>
  <c r="AJ100" i="40"/>
  <c r="AJ101" i="40"/>
  <c r="AJ102" i="40"/>
  <c r="AJ103" i="40"/>
  <c r="AJ104" i="40"/>
  <c r="AJ105" i="40"/>
  <c r="AJ106" i="40"/>
  <c r="AJ107" i="40"/>
  <c r="F108" i="40"/>
  <c r="H108" i="40"/>
  <c r="I108" i="40"/>
  <c r="J108" i="40"/>
  <c r="K108" i="40"/>
  <c r="L108" i="40"/>
  <c r="M108" i="40"/>
  <c r="N108" i="40"/>
  <c r="O108" i="40"/>
  <c r="Q108" i="40"/>
  <c r="R108" i="40"/>
  <c r="S108" i="40"/>
  <c r="T108" i="40"/>
  <c r="U108" i="40"/>
  <c r="V108" i="40"/>
  <c r="W108" i="40"/>
  <c r="X108" i="40"/>
  <c r="Y108" i="40"/>
  <c r="Z108" i="40"/>
  <c r="AA108" i="40"/>
  <c r="AB108" i="40"/>
  <c r="AC108" i="40"/>
  <c r="AD108" i="40"/>
  <c r="AE108" i="40"/>
  <c r="AF108" i="40"/>
  <c r="AG108" i="40"/>
  <c r="AH108" i="40"/>
  <c r="AI108" i="40"/>
  <c r="D107" i="40"/>
  <c r="AI80" i="40"/>
  <c r="AI81" i="40"/>
  <c r="AI82" i="40"/>
  <c r="AI83" i="40"/>
  <c r="AI84" i="40"/>
  <c r="AI85" i="40"/>
  <c r="AI86" i="40"/>
  <c r="AI87" i="40"/>
  <c r="AI89" i="40"/>
  <c r="AI90" i="40"/>
  <c r="AI91" i="40"/>
  <c r="AI92" i="40"/>
  <c r="AI93" i="40"/>
  <c r="AI94" i="40"/>
  <c r="AI95" i="40"/>
  <c r="AI96" i="40"/>
  <c r="AI97" i="40"/>
  <c r="AI98" i="40"/>
  <c r="AI99" i="40"/>
  <c r="AI100" i="40"/>
  <c r="AI101" i="40"/>
  <c r="AI102" i="40"/>
  <c r="AI103" i="40"/>
  <c r="AI104" i="40"/>
  <c r="AI105" i="40"/>
  <c r="AI106" i="40"/>
  <c r="F107" i="40"/>
  <c r="H107" i="40"/>
  <c r="I107" i="40"/>
  <c r="J107" i="40"/>
  <c r="K107" i="40"/>
  <c r="L107" i="40"/>
  <c r="M107" i="40"/>
  <c r="N107" i="40"/>
  <c r="O107" i="40"/>
  <c r="Q107" i="40"/>
  <c r="R107" i="40"/>
  <c r="S107" i="40"/>
  <c r="T107" i="40"/>
  <c r="U107" i="40"/>
  <c r="V107" i="40"/>
  <c r="W107" i="40"/>
  <c r="X107" i="40"/>
  <c r="Y107" i="40"/>
  <c r="Z107" i="40"/>
  <c r="AA107" i="40"/>
  <c r="AB107" i="40"/>
  <c r="AC107" i="40"/>
  <c r="AD107" i="40"/>
  <c r="AE107" i="40"/>
  <c r="AF107" i="40"/>
  <c r="AG107" i="40"/>
  <c r="AH107" i="40"/>
  <c r="D106" i="40"/>
  <c r="AH80" i="40"/>
  <c r="AH81" i="40"/>
  <c r="AH82" i="40"/>
  <c r="AH83" i="40"/>
  <c r="AH84" i="40"/>
  <c r="AH85" i="40"/>
  <c r="AH86" i="40"/>
  <c r="AH87" i="40"/>
  <c r="AH89" i="40"/>
  <c r="AH90" i="40"/>
  <c r="AH91" i="40"/>
  <c r="AH92" i="40"/>
  <c r="AH93" i="40"/>
  <c r="AH94" i="40"/>
  <c r="AH95" i="40"/>
  <c r="AH96" i="40"/>
  <c r="AH98" i="40"/>
  <c r="AH99" i="40"/>
  <c r="AH100" i="40"/>
  <c r="AH101" i="40"/>
  <c r="AH102" i="40"/>
  <c r="AH103" i="40"/>
  <c r="AH104" i="40"/>
  <c r="AH105" i="40"/>
  <c r="F106" i="40"/>
  <c r="H106" i="40"/>
  <c r="I106" i="40"/>
  <c r="J106" i="40"/>
  <c r="K106" i="40"/>
  <c r="L106" i="40"/>
  <c r="M106" i="40"/>
  <c r="N106" i="40"/>
  <c r="O106" i="40"/>
  <c r="Q106" i="40"/>
  <c r="R106" i="40"/>
  <c r="S106" i="40"/>
  <c r="T106" i="40"/>
  <c r="U106" i="40"/>
  <c r="V106" i="40"/>
  <c r="W106" i="40"/>
  <c r="X106" i="40"/>
  <c r="Y106" i="40"/>
  <c r="Z106" i="40"/>
  <c r="AA106" i="40"/>
  <c r="AB106" i="40"/>
  <c r="AC106" i="40"/>
  <c r="AD106" i="40"/>
  <c r="AE106" i="40"/>
  <c r="AF106" i="40"/>
  <c r="AG106" i="40"/>
  <c r="D105" i="40"/>
  <c r="AG78" i="40"/>
  <c r="AG80" i="40"/>
  <c r="AG81" i="40"/>
  <c r="AG82" i="40"/>
  <c r="AG83" i="40"/>
  <c r="AG84" i="40"/>
  <c r="AG85" i="40"/>
  <c r="AG86" i="40"/>
  <c r="AG87" i="40"/>
  <c r="AG89" i="40"/>
  <c r="AG90" i="40"/>
  <c r="AG91" i="40"/>
  <c r="AG92" i="40"/>
  <c r="AG93" i="40"/>
  <c r="AG94" i="40"/>
  <c r="AG95" i="40"/>
  <c r="AG96" i="40"/>
  <c r="AG98" i="40"/>
  <c r="AG99" i="40"/>
  <c r="AG100" i="40"/>
  <c r="AG101" i="40"/>
  <c r="AG102" i="40"/>
  <c r="AG103" i="40"/>
  <c r="AG104" i="40"/>
  <c r="F105" i="40"/>
  <c r="H105" i="40"/>
  <c r="I105" i="40"/>
  <c r="J105" i="40"/>
  <c r="K105" i="40"/>
  <c r="L105" i="40"/>
  <c r="M105" i="40"/>
  <c r="N105" i="40"/>
  <c r="O105" i="40"/>
  <c r="Q105" i="40"/>
  <c r="R105" i="40"/>
  <c r="S105" i="40"/>
  <c r="T105" i="40"/>
  <c r="U105" i="40"/>
  <c r="V105" i="40"/>
  <c r="W105" i="40"/>
  <c r="X105" i="40"/>
  <c r="Z105" i="40"/>
  <c r="AA105" i="40"/>
  <c r="AB105" i="40"/>
  <c r="AC105" i="40"/>
  <c r="AD105" i="40"/>
  <c r="AE105" i="40"/>
  <c r="AF105" i="40"/>
  <c r="D104" i="40"/>
  <c r="AF78" i="40"/>
  <c r="AF80" i="40"/>
  <c r="AF81" i="40"/>
  <c r="AF82" i="40"/>
  <c r="AF83" i="40"/>
  <c r="AF84" i="40"/>
  <c r="AF85" i="40"/>
  <c r="AF86" i="40"/>
  <c r="AF87" i="40"/>
  <c r="AF89" i="40"/>
  <c r="AF90" i="40"/>
  <c r="AF91" i="40"/>
  <c r="AF92" i="40"/>
  <c r="AF93" i="40"/>
  <c r="AF94" i="40"/>
  <c r="AF95" i="40"/>
  <c r="AF96" i="40"/>
  <c r="AF97" i="40"/>
  <c r="AF98" i="40"/>
  <c r="AF99" i="40"/>
  <c r="AF100" i="40"/>
  <c r="AF101" i="40"/>
  <c r="AF102" i="40"/>
  <c r="AF103" i="40"/>
  <c r="F104" i="40"/>
  <c r="H104" i="40"/>
  <c r="I104" i="40"/>
  <c r="J104" i="40"/>
  <c r="K104" i="40"/>
  <c r="L104" i="40"/>
  <c r="M104" i="40"/>
  <c r="N104" i="40"/>
  <c r="O104" i="40"/>
  <c r="Q104" i="40"/>
  <c r="R104" i="40"/>
  <c r="S104" i="40"/>
  <c r="T104" i="40"/>
  <c r="U104" i="40"/>
  <c r="V104" i="40"/>
  <c r="W104" i="40"/>
  <c r="X104" i="40"/>
  <c r="Y104" i="40"/>
  <c r="Z104" i="40"/>
  <c r="AA104" i="40"/>
  <c r="AB104" i="40"/>
  <c r="AC104" i="40"/>
  <c r="AD104" i="40"/>
  <c r="AE104" i="40"/>
  <c r="D103" i="40"/>
  <c r="AE80" i="40"/>
  <c r="AE81" i="40"/>
  <c r="AE82" i="40"/>
  <c r="AE83" i="40"/>
  <c r="AE84" i="40"/>
  <c r="AE85" i="40"/>
  <c r="AE86" i="40"/>
  <c r="AE87" i="40"/>
  <c r="AE89" i="40"/>
  <c r="AE90" i="40"/>
  <c r="AE91" i="40"/>
  <c r="AE92" i="40"/>
  <c r="AE93" i="40"/>
  <c r="AE94" i="40"/>
  <c r="AE95" i="40"/>
  <c r="AE96" i="40"/>
  <c r="AE97" i="40"/>
  <c r="AE98" i="40"/>
  <c r="AE99" i="40"/>
  <c r="AE100" i="40"/>
  <c r="AE101" i="40"/>
  <c r="AE102" i="40"/>
  <c r="F103" i="40"/>
  <c r="H103" i="40"/>
  <c r="I103" i="40"/>
  <c r="J103" i="40"/>
  <c r="K103" i="40"/>
  <c r="L103" i="40"/>
  <c r="M103" i="40"/>
  <c r="N103" i="40"/>
  <c r="O103" i="40"/>
  <c r="Q103" i="40"/>
  <c r="R103" i="40"/>
  <c r="S103" i="40"/>
  <c r="T103" i="40"/>
  <c r="U103" i="40"/>
  <c r="V103" i="40"/>
  <c r="W103" i="40"/>
  <c r="X103" i="40"/>
  <c r="Y103" i="40"/>
  <c r="Z103" i="40"/>
  <c r="AA103" i="40"/>
  <c r="AB103" i="40"/>
  <c r="AC103" i="40"/>
  <c r="AD103" i="40"/>
  <c r="D102" i="40"/>
  <c r="AD80" i="40"/>
  <c r="AD81" i="40"/>
  <c r="P81" i="40" s="1"/>
  <c r="AR81" i="40" s="1"/>
  <c r="AD82" i="40"/>
  <c r="AD83" i="40"/>
  <c r="AD84" i="40"/>
  <c r="AD85" i="40"/>
  <c r="AD86" i="40"/>
  <c r="AD87" i="40"/>
  <c r="AD89" i="40"/>
  <c r="AD90" i="40"/>
  <c r="AD91" i="40"/>
  <c r="AD92" i="40"/>
  <c r="AD93" i="40"/>
  <c r="AD94" i="40"/>
  <c r="AD95" i="40"/>
  <c r="AD96" i="40"/>
  <c r="AD97" i="40"/>
  <c r="AD98" i="40"/>
  <c r="AD99" i="40"/>
  <c r="AD100" i="40"/>
  <c r="AD101" i="40"/>
  <c r="F102" i="40"/>
  <c r="H102" i="40"/>
  <c r="I102" i="40"/>
  <c r="J102" i="40"/>
  <c r="K102" i="40"/>
  <c r="L102" i="40"/>
  <c r="M102" i="40"/>
  <c r="N102" i="40"/>
  <c r="O102" i="40"/>
  <c r="Q102" i="40"/>
  <c r="R102" i="40"/>
  <c r="S102" i="40"/>
  <c r="T102" i="40"/>
  <c r="U102" i="40"/>
  <c r="V102" i="40"/>
  <c r="W102" i="40"/>
  <c r="X102" i="40"/>
  <c r="Z102" i="40"/>
  <c r="AA102" i="40"/>
  <c r="AB102" i="40"/>
  <c r="AC102" i="40"/>
  <c r="D101" i="40"/>
  <c r="AC80" i="40"/>
  <c r="AC81" i="40"/>
  <c r="AC82" i="40"/>
  <c r="AC83" i="40"/>
  <c r="AC84" i="40"/>
  <c r="AC85" i="40"/>
  <c r="AC86" i="40"/>
  <c r="AC87" i="40"/>
  <c r="AC89" i="40"/>
  <c r="AC90" i="40"/>
  <c r="AC91" i="40"/>
  <c r="AC92" i="40"/>
  <c r="AC93" i="40"/>
  <c r="AC94" i="40"/>
  <c r="AC95" i="40"/>
  <c r="AC96" i="40"/>
  <c r="AC98" i="40"/>
  <c r="AC99" i="40"/>
  <c r="AC100" i="40"/>
  <c r="F101" i="40"/>
  <c r="H101" i="40"/>
  <c r="I101" i="40"/>
  <c r="J101" i="40"/>
  <c r="K101" i="40"/>
  <c r="L101" i="40"/>
  <c r="M101" i="40"/>
  <c r="N101" i="40"/>
  <c r="O101" i="40"/>
  <c r="Q101" i="40"/>
  <c r="R101" i="40"/>
  <c r="S101" i="40"/>
  <c r="T101" i="40"/>
  <c r="U101" i="40"/>
  <c r="V101" i="40"/>
  <c r="W101" i="40"/>
  <c r="X101" i="40"/>
  <c r="Y101" i="40"/>
  <c r="Z101" i="40"/>
  <c r="AA101" i="40"/>
  <c r="AB101" i="40"/>
  <c r="D100" i="40"/>
  <c r="AB80" i="40"/>
  <c r="AB81" i="40"/>
  <c r="AB82" i="40"/>
  <c r="AB83" i="40"/>
  <c r="AB84" i="40"/>
  <c r="AB85" i="40"/>
  <c r="AB86" i="40"/>
  <c r="AB87" i="40"/>
  <c r="AB89" i="40"/>
  <c r="AB90" i="40"/>
  <c r="AB91" i="40"/>
  <c r="AB92" i="40"/>
  <c r="AB93" i="40"/>
  <c r="AB94" i="40"/>
  <c r="AB95" i="40"/>
  <c r="AB96" i="40"/>
  <c r="AB97" i="40"/>
  <c r="AB98" i="40"/>
  <c r="AB99" i="40"/>
  <c r="F100" i="40"/>
  <c r="H100" i="40"/>
  <c r="I100" i="40"/>
  <c r="J100" i="40"/>
  <c r="K100" i="40"/>
  <c r="L100" i="40"/>
  <c r="M100" i="40"/>
  <c r="N100" i="40"/>
  <c r="O100" i="40"/>
  <c r="Q100" i="40"/>
  <c r="R100" i="40"/>
  <c r="S100" i="40"/>
  <c r="T100" i="40"/>
  <c r="U100" i="40"/>
  <c r="V100" i="40"/>
  <c r="W100" i="40"/>
  <c r="X100" i="40"/>
  <c r="Y100" i="40"/>
  <c r="Z100" i="40"/>
  <c r="AA100" i="40"/>
  <c r="D99" i="40"/>
  <c r="AA80" i="40"/>
  <c r="AA81" i="40"/>
  <c r="AA82" i="40"/>
  <c r="AA83" i="40"/>
  <c r="AA84" i="40"/>
  <c r="AA85" i="40"/>
  <c r="AA86" i="40"/>
  <c r="AA87" i="40"/>
  <c r="AA89" i="40"/>
  <c r="AA90" i="40"/>
  <c r="AA91" i="40"/>
  <c r="AA92" i="40"/>
  <c r="AA93" i="40"/>
  <c r="AA94" i="40"/>
  <c r="AA95" i="40"/>
  <c r="AA96" i="40"/>
  <c r="AA98" i="40"/>
  <c r="H99" i="40"/>
  <c r="I99" i="40"/>
  <c r="J99" i="40"/>
  <c r="K99" i="40"/>
  <c r="L99" i="40"/>
  <c r="M99" i="40"/>
  <c r="N99" i="40"/>
  <c r="O99" i="40"/>
  <c r="Q99" i="40"/>
  <c r="R99" i="40"/>
  <c r="S99" i="40"/>
  <c r="T99" i="40"/>
  <c r="U99" i="40"/>
  <c r="V99" i="40"/>
  <c r="W99" i="40"/>
  <c r="X99" i="40"/>
  <c r="Z99" i="40"/>
  <c r="D98" i="40"/>
  <c r="Z80" i="40"/>
  <c r="Z81" i="40"/>
  <c r="Z82" i="40"/>
  <c r="Z83" i="40"/>
  <c r="Z84" i="40"/>
  <c r="Z85" i="40"/>
  <c r="Z86" i="40"/>
  <c r="Z87" i="40"/>
  <c r="Z89" i="40"/>
  <c r="Z90" i="40"/>
  <c r="Z91" i="40"/>
  <c r="Z92" i="40"/>
  <c r="Z93" i="40"/>
  <c r="Z94" i="40"/>
  <c r="Z95" i="40"/>
  <c r="Z96" i="40"/>
  <c r="Z97" i="40"/>
  <c r="F98" i="40"/>
  <c r="H98" i="40"/>
  <c r="I98" i="40"/>
  <c r="J98" i="40"/>
  <c r="K98" i="40"/>
  <c r="L98" i="40"/>
  <c r="M98" i="40"/>
  <c r="E98" i="40" s="1"/>
  <c r="N98" i="40"/>
  <c r="O98" i="40"/>
  <c r="Q98" i="40"/>
  <c r="R98" i="40"/>
  <c r="S98" i="40"/>
  <c r="T98" i="40"/>
  <c r="U98" i="40"/>
  <c r="V98" i="40"/>
  <c r="W98" i="40"/>
  <c r="X98" i="40"/>
  <c r="Y98" i="40"/>
  <c r="Y81" i="40"/>
  <c r="Y82" i="40"/>
  <c r="Y84" i="40"/>
  <c r="Y86" i="40"/>
  <c r="Y87" i="40"/>
  <c r="Y89" i="40"/>
  <c r="Y90" i="40"/>
  <c r="Y92" i="40"/>
  <c r="Y94" i="40"/>
  <c r="Y95" i="40"/>
  <c r="Y96" i="40"/>
  <c r="H97" i="40"/>
  <c r="J97" i="40"/>
  <c r="K97" i="40"/>
  <c r="L97" i="40"/>
  <c r="M97" i="40"/>
  <c r="N97" i="40"/>
  <c r="Q97" i="40"/>
  <c r="T97" i="40"/>
  <c r="V97" i="40"/>
  <c r="W97" i="40"/>
  <c r="D96" i="40"/>
  <c r="X78" i="40"/>
  <c r="X80" i="40"/>
  <c r="X81" i="40"/>
  <c r="X82" i="40"/>
  <c r="X83" i="40"/>
  <c r="X84" i="40"/>
  <c r="X85" i="40"/>
  <c r="X86" i="40"/>
  <c r="X87" i="40"/>
  <c r="X89" i="40"/>
  <c r="X90" i="40"/>
  <c r="X91" i="40"/>
  <c r="X92" i="40"/>
  <c r="X93" i="40"/>
  <c r="X94" i="40"/>
  <c r="X95" i="40"/>
  <c r="F96" i="40"/>
  <c r="H96" i="40"/>
  <c r="I96" i="40"/>
  <c r="J96" i="40"/>
  <c r="K96" i="40"/>
  <c r="L96" i="40"/>
  <c r="M96" i="40"/>
  <c r="N96" i="40"/>
  <c r="O96" i="40"/>
  <c r="Q96" i="40"/>
  <c r="R96" i="40"/>
  <c r="S96" i="40"/>
  <c r="T96" i="40"/>
  <c r="U96" i="40"/>
  <c r="V96" i="40"/>
  <c r="W96" i="40"/>
  <c r="D95" i="40"/>
  <c r="W80" i="40"/>
  <c r="W81" i="40"/>
  <c r="W82" i="40"/>
  <c r="W83" i="40"/>
  <c r="W84" i="40"/>
  <c r="W85" i="40"/>
  <c r="W86" i="40"/>
  <c r="W87" i="40"/>
  <c r="W89" i="40"/>
  <c r="W90" i="40"/>
  <c r="W91" i="40"/>
  <c r="W92" i="40"/>
  <c r="W93" i="40"/>
  <c r="W94" i="40"/>
  <c r="F95" i="40"/>
  <c r="H95" i="40"/>
  <c r="I95" i="40"/>
  <c r="J95" i="40"/>
  <c r="K95" i="40"/>
  <c r="L95" i="40"/>
  <c r="M95" i="40"/>
  <c r="N95" i="40"/>
  <c r="O95" i="40"/>
  <c r="Q95" i="40"/>
  <c r="R95" i="40"/>
  <c r="S95" i="40"/>
  <c r="T95" i="40"/>
  <c r="U95" i="40"/>
  <c r="V95" i="40"/>
  <c r="D94" i="40"/>
  <c r="V80" i="40"/>
  <c r="V81" i="40"/>
  <c r="V82" i="40"/>
  <c r="V83" i="40"/>
  <c r="V84" i="40"/>
  <c r="V85" i="40"/>
  <c r="V86" i="40"/>
  <c r="V87" i="40"/>
  <c r="V89" i="40"/>
  <c r="V90" i="40"/>
  <c r="V91" i="40"/>
  <c r="V92" i="40"/>
  <c r="V93" i="40"/>
  <c r="F94" i="40"/>
  <c r="H94" i="40"/>
  <c r="I94" i="40"/>
  <c r="J94" i="40"/>
  <c r="K94" i="40"/>
  <c r="L94" i="40"/>
  <c r="M94" i="40"/>
  <c r="N94" i="40"/>
  <c r="O94" i="40"/>
  <c r="Q94" i="40"/>
  <c r="R94" i="40"/>
  <c r="S94" i="40"/>
  <c r="T94" i="40"/>
  <c r="U94" i="40"/>
  <c r="D93" i="40"/>
  <c r="U80" i="40"/>
  <c r="U81" i="40"/>
  <c r="U82" i="40"/>
  <c r="U83" i="40"/>
  <c r="U84" i="40"/>
  <c r="U85" i="40"/>
  <c r="U86" i="40"/>
  <c r="U87" i="40"/>
  <c r="U89" i="40"/>
  <c r="U90" i="40"/>
  <c r="U91" i="40"/>
  <c r="U92" i="40"/>
  <c r="F93" i="40"/>
  <c r="H93" i="40"/>
  <c r="I93" i="40"/>
  <c r="J93" i="40"/>
  <c r="K93" i="40"/>
  <c r="L93" i="40"/>
  <c r="M93" i="40"/>
  <c r="N93" i="40"/>
  <c r="O93" i="40"/>
  <c r="Q93" i="40"/>
  <c r="R93" i="40"/>
  <c r="S93" i="40"/>
  <c r="T93" i="40"/>
  <c r="D92" i="40"/>
  <c r="T78" i="40"/>
  <c r="T80" i="40"/>
  <c r="T81" i="40"/>
  <c r="T82" i="40"/>
  <c r="T83" i="40"/>
  <c r="T84" i="40"/>
  <c r="T85" i="40"/>
  <c r="T86" i="40"/>
  <c r="T87" i="40"/>
  <c r="T89" i="40"/>
  <c r="T90" i="40"/>
  <c r="T91" i="40"/>
  <c r="F92" i="40"/>
  <c r="H92" i="40"/>
  <c r="I92" i="40"/>
  <c r="J92" i="40"/>
  <c r="K92" i="40"/>
  <c r="L92" i="40"/>
  <c r="M92" i="40"/>
  <c r="N92" i="40"/>
  <c r="O92" i="40"/>
  <c r="Q92" i="40"/>
  <c r="R92" i="40"/>
  <c r="S92" i="40"/>
  <c r="D91" i="40"/>
  <c r="S80" i="40"/>
  <c r="S81" i="40"/>
  <c r="S82" i="40"/>
  <c r="S83" i="40"/>
  <c r="S84" i="40"/>
  <c r="S85" i="40"/>
  <c r="S86" i="40"/>
  <c r="S87" i="40"/>
  <c r="S89" i="40"/>
  <c r="S90" i="40"/>
  <c r="H91" i="40"/>
  <c r="I91" i="40"/>
  <c r="J91" i="40"/>
  <c r="K91" i="40"/>
  <c r="L91" i="40"/>
  <c r="M91" i="40"/>
  <c r="N91" i="40"/>
  <c r="O91" i="40"/>
  <c r="Q91" i="40"/>
  <c r="R91" i="40"/>
  <c r="D90" i="40"/>
  <c r="R78" i="40"/>
  <c r="R80" i="40"/>
  <c r="R81" i="40"/>
  <c r="R82" i="40"/>
  <c r="R83" i="40"/>
  <c r="R84" i="40"/>
  <c r="R85" i="40"/>
  <c r="R86" i="40"/>
  <c r="R87" i="40"/>
  <c r="R89" i="40"/>
  <c r="F90" i="40"/>
  <c r="H90" i="40"/>
  <c r="I90" i="40"/>
  <c r="J90" i="40"/>
  <c r="K90" i="40"/>
  <c r="L90" i="40"/>
  <c r="M90" i="40"/>
  <c r="N90" i="40"/>
  <c r="O90" i="40"/>
  <c r="Q90" i="40"/>
  <c r="D89" i="40"/>
  <c r="Q80" i="40"/>
  <c r="Q81" i="40"/>
  <c r="Q82" i="40"/>
  <c r="Q83" i="40"/>
  <c r="Q84" i="40"/>
  <c r="Q85" i="40"/>
  <c r="Q86" i="40"/>
  <c r="Q87" i="40"/>
  <c r="F89" i="40"/>
  <c r="H89" i="40"/>
  <c r="I89" i="40"/>
  <c r="J89" i="40"/>
  <c r="K89" i="40"/>
  <c r="L89" i="40"/>
  <c r="M89" i="40"/>
  <c r="N89" i="40"/>
  <c r="O89" i="40"/>
  <c r="D87" i="40"/>
  <c r="O80" i="40"/>
  <c r="O81" i="40"/>
  <c r="O82" i="40"/>
  <c r="O83" i="40"/>
  <c r="O84" i="40"/>
  <c r="O85" i="40"/>
  <c r="O86" i="40"/>
  <c r="F87" i="40"/>
  <c r="H87" i="40"/>
  <c r="I87" i="40"/>
  <c r="J87" i="40"/>
  <c r="K87" i="40"/>
  <c r="L87" i="40"/>
  <c r="M87" i="40"/>
  <c r="N87" i="40"/>
  <c r="D86" i="40"/>
  <c r="N78" i="40"/>
  <c r="N80" i="40"/>
  <c r="N81" i="40"/>
  <c r="N82" i="40"/>
  <c r="N83" i="40"/>
  <c r="N84" i="40"/>
  <c r="N85" i="40"/>
  <c r="F86" i="40"/>
  <c r="H86" i="40"/>
  <c r="I86" i="40"/>
  <c r="J86" i="40"/>
  <c r="K86" i="40"/>
  <c r="L86" i="40"/>
  <c r="M86" i="40"/>
  <c r="D85" i="40"/>
  <c r="M78" i="40"/>
  <c r="M80" i="40"/>
  <c r="M81" i="40"/>
  <c r="M82" i="40"/>
  <c r="M83" i="40"/>
  <c r="M84" i="40"/>
  <c r="F85" i="40"/>
  <c r="H85" i="40"/>
  <c r="I85" i="40"/>
  <c r="J85" i="40"/>
  <c r="K85" i="40"/>
  <c r="L85" i="40"/>
  <c r="D84" i="40"/>
  <c r="R11" i="40"/>
  <c r="L80" i="40"/>
  <c r="L81" i="40"/>
  <c r="L82" i="40"/>
  <c r="L83" i="40"/>
  <c r="F84" i="40"/>
  <c r="H84" i="40"/>
  <c r="I84" i="40"/>
  <c r="J84" i="40"/>
  <c r="K84" i="40"/>
  <c r="D83" i="40"/>
  <c r="Q11" i="40"/>
  <c r="K80" i="40"/>
  <c r="K81" i="40"/>
  <c r="K82" i="40"/>
  <c r="F83" i="40"/>
  <c r="H83" i="40"/>
  <c r="I83" i="40"/>
  <c r="J83" i="40"/>
  <c r="D82" i="40"/>
  <c r="J78" i="40"/>
  <c r="J80" i="40"/>
  <c r="J81" i="40"/>
  <c r="H82" i="40"/>
  <c r="I82" i="40"/>
  <c r="D81" i="40"/>
  <c r="I78" i="40"/>
  <c r="I80" i="40"/>
  <c r="F81" i="40"/>
  <c r="H81" i="40"/>
  <c r="D80" i="40"/>
  <c r="H78" i="40"/>
  <c r="F80" i="40"/>
  <c r="D79" i="40"/>
  <c r="G78" i="40"/>
  <c r="G80" i="40"/>
  <c r="G81" i="40"/>
  <c r="G82" i="40"/>
  <c r="G83" i="40"/>
  <c r="G84" i="40"/>
  <c r="G85" i="40"/>
  <c r="G86" i="40"/>
  <c r="G87" i="40"/>
  <c r="G89" i="40"/>
  <c r="G90" i="40"/>
  <c r="G91" i="40"/>
  <c r="G92" i="40"/>
  <c r="G93" i="40"/>
  <c r="G94" i="40"/>
  <c r="G95" i="40"/>
  <c r="G96" i="40"/>
  <c r="G97" i="40"/>
  <c r="G98" i="40"/>
  <c r="G99" i="40"/>
  <c r="G100" i="40"/>
  <c r="G101" i="40"/>
  <c r="G102" i="40"/>
  <c r="G103" i="40"/>
  <c r="G104" i="40"/>
  <c r="G105" i="40"/>
  <c r="G106" i="40"/>
  <c r="G107" i="40"/>
  <c r="G108" i="40"/>
  <c r="G109" i="40"/>
  <c r="G110" i="40"/>
  <c r="G111" i="40"/>
  <c r="G112" i="40"/>
  <c r="G113" i="40"/>
  <c r="G114" i="40"/>
  <c r="H79" i="40"/>
  <c r="I79" i="40"/>
  <c r="J79" i="40"/>
  <c r="K79" i="40"/>
  <c r="L79" i="40"/>
  <c r="M79" i="40"/>
  <c r="N79" i="40"/>
  <c r="O79" i="40"/>
  <c r="Q79" i="40"/>
  <c r="R79" i="40"/>
  <c r="S79" i="40"/>
  <c r="T79" i="40"/>
  <c r="U79" i="40"/>
  <c r="V79" i="40"/>
  <c r="W79" i="40"/>
  <c r="X79" i="40"/>
  <c r="Z79" i="40"/>
  <c r="AA79" i="40"/>
  <c r="AB79" i="40"/>
  <c r="AC79" i="40"/>
  <c r="AD79" i="40"/>
  <c r="AE79" i="40"/>
  <c r="AF79" i="40"/>
  <c r="AG79" i="40"/>
  <c r="AH79" i="40"/>
  <c r="AI79" i="40"/>
  <c r="AJ79" i="40"/>
  <c r="AK79" i="40"/>
  <c r="AL79" i="40"/>
  <c r="AM79" i="40"/>
  <c r="AN79" i="40"/>
  <c r="AO79" i="40"/>
  <c r="AP79" i="40"/>
  <c r="AQ79" i="40"/>
  <c r="L18" i="40"/>
  <c r="L34" i="40"/>
  <c r="L25" i="40" s="1"/>
  <c r="L63" i="40"/>
  <c r="O15" i="40"/>
  <c r="BH15" i="40"/>
  <c r="BH10" i="40" s="1"/>
  <c r="BH9" i="40" s="1"/>
  <c r="BH8" i="40" s="1"/>
  <c r="BK11" i="40"/>
  <c r="BK10" i="40"/>
  <c r="BK9" i="40" s="1"/>
  <c r="BK18" i="40"/>
  <c r="P9" i="40"/>
  <c r="O34" i="40"/>
  <c r="O25" i="40"/>
  <c r="O63" i="40"/>
  <c r="G17" i="40"/>
  <c r="F22" i="40"/>
  <c r="E27" i="40"/>
  <c r="BA56" i="40"/>
  <c r="BA25" i="40" s="1"/>
  <c r="AQ46" i="40"/>
  <c r="V46" i="40" s="1"/>
  <c r="AP45" i="40"/>
  <c r="AO44" i="40"/>
  <c r="AN43" i="40"/>
  <c r="AE43" i="40" s="1"/>
  <c r="V43" i="40" s="1"/>
  <c r="AG36" i="40"/>
  <c r="AE36" i="40" s="1"/>
  <c r="V36" i="40" s="1"/>
  <c r="BH35" i="40"/>
  <c r="AF35" i="40"/>
  <c r="AF34" i="40" s="1"/>
  <c r="AF25" i="40" s="1"/>
  <c r="X27" i="40"/>
  <c r="W26" i="40"/>
  <c r="O16" i="40"/>
  <c r="N10" i="40"/>
  <c r="D115" i="30"/>
  <c r="AQ80" i="30"/>
  <c r="AQ81" i="30"/>
  <c r="AQ82" i="30"/>
  <c r="AQ83" i="30"/>
  <c r="AQ84" i="30"/>
  <c r="AQ85" i="30"/>
  <c r="AQ87" i="30"/>
  <c r="AQ89" i="30"/>
  <c r="AQ90" i="30"/>
  <c r="AQ91" i="30"/>
  <c r="AQ92" i="30"/>
  <c r="AQ94" i="30"/>
  <c r="AQ95" i="30"/>
  <c r="AQ98" i="30"/>
  <c r="AQ99" i="30"/>
  <c r="AQ100" i="30"/>
  <c r="AQ101" i="30"/>
  <c r="AQ102" i="30"/>
  <c r="AQ103" i="30"/>
  <c r="AQ104" i="30"/>
  <c r="AQ105" i="30"/>
  <c r="AQ106" i="30"/>
  <c r="AQ107" i="30"/>
  <c r="AQ108" i="30"/>
  <c r="AQ109" i="30"/>
  <c r="AQ110" i="30"/>
  <c r="AQ111" i="30"/>
  <c r="AQ112" i="30"/>
  <c r="AQ113" i="30"/>
  <c r="H115" i="30"/>
  <c r="I115" i="30"/>
  <c r="K115" i="30"/>
  <c r="L115" i="30"/>
  <c r="Q115" i="30"/>
  <c r="T115" i="30"/>
  <c r="X115" i="30"/>
  <c r="Z115" i="30"/>
  <c r="AA115" i="30"/>
  <c r="AB115" i="30"/>
  <c r="AC115" i="30"/>
  <c r="AF115" i="30"/>
  <c r="AG115" i="30"/>
  <c r="AH115" i="30"/>
  <c r="AI115" i="30"/>
  <c r="AJ115" i="30"/>
  <c r="AM115" i="30"/>
  <c r="AO115" i="30"/>
  <c r="D114" i="30"/>
  <c r="AP80" i="30"/>
  <c r="AP81" i="30"/>
  <c r="AP82" i="30"/>
  <c r="AP83" i="30"/>
  <c r="AP84" i="30"/>
  <c r="AP85" i="30"/>
  <c r="AP86" i="30"/>
  <c r="AP77" i="30" s="1"/>
  <c r="AP116" i="30" s="1"/>
  <c r="AS114" i="30" s="1"/>
  <c r="AP117" i="30" s="1"/>
  <c r="AP87" i="30"/>
  <c r="AP89" i="30"/>
  <c r="AP90" i="30"/>
  <c r="AP91" i="30"/>
  <c r="AP92" i="30"/>
  <c r="AP93" i="30"/>
  <c r="AP94" i="30"/>
  <c r="AP95" i="30"/>
  <c r="AP96" i="30"/>
  <c r="AP97" i="30"/>
  <c r="AP98" i="30"/>
  <c r="AP99" i="30"/>
  <c r="AP100" i="30"/>
  <c r="AP101" i="30"/>
  <c r="AP102" i="30"/>
  <c r="AP103" i="30"/>
  <c r="AP104" i="30"/>
  <c r="AP105" i="30"/>
  <c r="AP106" i="30"/>
  <c r="AP107" i="30"/>
  <c r="AP108" i="30"/>
  <c r="AP109" i="30"/>
  <c r="AP110" i="30"/>
  <c r="AP111" i="30"/>
  <c r="AP112" i="30"/>
  <c r="AP113" i="30"/>
  <c r="H114" i="30"/>
  <c r="I114" i="30"/>
  <c r="J114" i="30"/>
  <c r="K114" i="30"/>
  <c r="L114" i="30"/>
  <c r="M114" i="30"/>
  <c r="N114" i="30"/>
  <c r="O114" i="30"/>
  <c r="Q114" i="30"/>
  <c r="R114" i="30"/>
  <c r="S114" i="30"/>
  <c r="T114" i="30"/>
  <c r="U114" i="30"/>
  <c r="V114" i="30"/>
  <c r="W114" i="30"/>
  <c r="X114" i="30"/>
  <c r="Z114" i="30"/>
  <c r="AA114" i="30"/>
  <c r="AB114" i="30"/>
  <c r="AC114" i="30"/>
  <c r="AD114" i="30"/>
  <c r="AE114" i="30"/>
  <c r="AF114" i="30"/>
  <c r="AG114" i="30"/>
  <c r="AH114" i="30"/>
  <c r="AI114" i="30"/>
  <c r="AJ114" i="30"/>
  <c r="AK114" i="30"/>
  <c r="AL114" i="30"/>
  <c r="AM114" i="30"/>
  <c r="AN114" i="30"/>
  <c r="AO114" i="30"/>
  <c r="D113" i="30"/>
  <c r="AO80" i="30"/>
  <c r="AO81" i="30"/>
  <c r="AO82" i="30"/>
  <c r="AO83" i="30"/>
  <c r="AO84" i="30"/>
  <c r="AO85" i="30"/>
  <c r="AO86" i="30"/>
  <c r="AO87" i="30"/>
  <c r="AO89" i="30"/>
  <c r="AO90" i="30"/>
  <c r="AO91" i="30"/>
  <c r="AO92" i="30"/>
  <c r="AO93" i="30"/>
  <c r="AO94" i="30"/>
  <c r="AO95" i="30"/>
  <c r="AO96" i="30"/>
  <c r="AO98" i="30"/>
  <c r="AO99" i="30"/>
  <c r="AO100" i="30"/>
  <c r="AO101" i="30"/>
  <c r="AO102" i="30"/>
  <c r="AO103" i="30"/>
  <c r="AO104" i="30"/>
  <c r="AO105" i="30"/>
  <c r="AO106" i="30"/>
  <c r="AO107" i="30"/>
  <c r="AO108" i="30"/>
  <c r="AO109" i="30"/>
  <c r="AO110" i="30"/>
  <c r="AO111" i="30"/>
  <c r="AO112" i="30"/>
  <c r="F113" i="30"/>
  <c r="H113" i="30"/>
  <c r="I113" i="30"/>
  <c r="J113" i="30"/>
  <c r="K113" i="30"/>
  <c r="L113" i="30"/>
  <c r="M113" i="30"/>
  <c r="N113" i="30"/>
  <c r="O113" i="30"/>
  <c r="Q113" i="30"/>
  <c r="R113" i="30"/>
  <c r="S113" i="30"/>
  <c r="T113" i="30"/>
  <c r="U113" i="30"/>
  <c r="V113" i="30"/>
  <c r="W113" i="30"/>
  <c r="X113" i="30"/>
  <c r="Y113" i="30"/>
  <c r="Z113" i="30"/>
  <c r="AA113" i="30"/>
  <c r="AB113" i="30"/>
  <c r="AC113" i="30"/>
  <c r="AD113" i="30"/>
  <c r="AE113" i="30"/>
  <c r="AF113" i="30"/>
  <c r="AG113" i="30"/>
  <c r="AH113" i="30"/>
  <c r="AI113" i="30"/>
  <c r="AJ113" i="30"/>
  <c r="AK113" i="30"/>
  <c r="AL113" i="30"/>
  <c r="AM113" i="30"/>
  <c r="AN113" i="30"/>
  <c r="D112" i="30"/>
  <c r="AN78" i="30"/>
  <c r="AN80" i="30"/>
  <c r="AN81" i="30"/>
  <c r="AN82" i="30"/>
  <c r="AN83" i="30"/>
  <c r="AN84" i="30"/>
  <c r="AN85" i="30"/>
  <c r="AN86" i="30"/>
  <c r="AN87" i="30"/>
  <c r="AN89" i="30"/>
  <c r="AN90" i="30"/>
  <c r="AN91" i="30"/>
  <c r="AN92" i="30"/>
  <c r="AN93" i="30"/>
  <c r="AN94" i="30"/>
  <c r="AN95" i="30"/>
  <c r="AN96" i="30"/>
  <c r="AN97" i="30"/>
  <c r="AN98" i="30"/>
  <c r="AN99" i="30"/>
  <c r="AN100" i="30"/>
  <c r="AN101" i="30"/>
  <c r="AN102" i="30"/>
  <c r="AN103" i="30"/>
  <c r="AN104" i="30"/>
  <c r="AN105" i="30"/>
  <c r="AN106" i="30"/>
  <c r="AN107" i="30"/>
  <c r="AN108" i="30"/>
  <c r="AN109" i="30"/>
  <c r="AN110" i="30"/>
  <c r="AN111" i="30"/>
  <c r="F112" i="30"/>
  <c r="H112" i="30"/>
  <c r="I112" i="30"/>
  <c r="J112" i="30"/>
  <c r="K112" i="30"/>
  <c r="L112" i="30"/>
  <c r="M112" i="30"/>
  <c r="N112" i="30"/>
  <c r="O112" i="30"/>
  <c r="Q112" i="30"/>
  <c r="R112" i="30"/>
  <c r="S112" i="30"/>
  <c r="T112" i="30"/>
  <c r="U112" i="30"/>
  <c r="V112" i="30"/>
  <c r="W112" i="30"/>
  <c r="X112" i="30"/>
  <c r="Y112" i="30"/>
  <c r="Z112" i="30"/>
  <c r="AA112" i="30"/>
  <c r="AB112" i="30"/>
  <c r="AC112" i="30"/>
  <c r="AD112" i="30"/>
  <c r="AE112" i="30"/>
  <c r="AF112" i="30"/>
  <c r="AG112" i="30"/>
  <c r="AH112" i="30"/>
  <c r="AI112" i="30"/>
  <c r="AJ112" i="30"/>
  <c r="AK112" i="30"/>
  <c r="AL112" i="30"/>
  <c r="AM112" i="30"/>
  <c r="D111" i="30"/>
  <c r="AM80" i="30"/>
  <c r="AM81" i="30"/>
  <c r="AM82" i="30"/>
  <c r="AM83" i="30"/>
  <c r="AM84" i="30"/>
  <c r="AM85" i="30"/>
  <c r="AM86" i="30"/>
  <c r="AM87" i="30"/>
  <c r="AM89" i="30"/>
  <c r="AM90" i="30"/>
  <c r="AM91" i="30"/>
  <c r="AM92" i="30"/>
  <c r="AM93" i="30"/>
  <c r="AM94" i="30"/>
  <c r="AM95" i="30"/>
  <c r="AM96" i="30"/>
  <c r="AM97" i="30"/>
  <c r="AM98" i="30"/>
  <c r="AM99" i="30"/>
  <c r="AM100" i="30"/>
  <c r="AM101" i="30"/>
  <c r="AM102" i="30"/>
  <c r="AM103" i="30"/>
  <c r="AM104" i="30"/>
  <c r="AM105" i="30"/>
  <c r="AM106" i="30"/>
  <c r="AM107" i="30"/>
  <c r="AM108" i="30"/>
  <c r="AM109" i="30"/>
  <c r="AM110" i="30"/>
  <c r="F111" i="30"/>
  <c r="H111" i="30"/>
  <c r="I111" i="30"/>
  <c r="J111" i="30"/>
  <c r="K111" i="30"/>
  <c r="L111" i="30"/>
  <c r="M111" i="30"/>
  <c r="N111" i="30"/>
  <c r="O111" i="30"/>
  <c r="Q111" i="30"/>
  <c r="R111" i="30"/>
  <c r="S111" i="30"/>
  <c r="T111" i="30"/>
  <c r="U111" i="30"/>
  <c r="V111" i="30"/>
  <c r="W111" i="30"/>
  <c r="X111" i="30"/>
  <c r="Z111" i="30"/>
  <c r="AA111" i="30"/>
  <c r="AB111" i="30"/>
  <c r="AC111" i="30"/>
  <c r="AD111" i="30"/>
  <c r="AE111" i="30"/>
  <c r="AF111" i="30"/>
  <c r="AG111" i="30"/>
  <c r="AH111" i="30"/>
  <c r="AI111" i="30"/>
  <c r="AJ111" i="30"/>
  <c r="AK111" i="30"/>
  <c r="AL111" i="30"/>
  <c r="D110" i="30"/>
  <c r="AL80" i="30"/>
  <c r="AL81" i="30"/>
  <c r="AL82" i="30"/>
  <c r="AL83" i="30"/>
  <c r="AL84" i="30"/>
  <c r="AL85" i="30"/>
  <c r="AL86" i="30"/>
  <c r="AL87" i="30"/>
  <c r="AL89" i="30"/>
  <c r="AL90" i="30"/>
  <c r="AL91" i="30"/>
  <c r="AL92" i="30"/>
  <c r="AL93" i="30"/>
  <c r="AL94" i="30"/>
  <c r="AL95" i="30"/>
  <c r="AL96" i="30"/>
  <c r="AL98" i="30"/>
  <c r="AL99" i="30"/>
  <c r="AL100" i="30"/>
  <c r="AL101" i="30"/>
  <c r="AL102" i="30"/>
  <c r="AL103" i="30"/>
  <c r="AL104" i="30"/>
  <c r="AL105" i="30"/>
  <c r="AL106" i="30"/>
  <c r="AL107" i="30"/>
  <c r="AL108" i="30"/>
  <c r="AL109" i="30"/>
  <c r="F110" i="30"/>
  <c r="H110" i="30"/>
  <c r="I110" i="30"/>
  <c r="J110" i="30"/>
  <c r="K110" i="30"/>
  <c r="L110" i="30"/>
  <c r="M110" i="30"/>
  <c r="N110" i="30"/>
  <c r="O110" i="30"/>
  <c r="Q110" i="30"/>
  <c r="R110" i="30"/>
  <c r="S110" i="30"/>
  <c r="T110" i="30"/>
  <c r="U110" i="30"/>
  <c r="V110" i="30"/>
  <c r="W110" i="30"/>
  <c r="X110" i="30"/>
  <c r="Y110" i="30"/>
  <c r="Z110" i="30"/>
  <c r="AA110" i="30"/>
  <c r="AB110" i="30"/>
  <c r="AC110" i="30"/>
  <c r="AD110" i="30"/>
  <c r="AE110" i="30"/>
  <c r="AF110" i="30"/>
  <c r="AG110" i="30"/>
  <c r="AH110" i="30"/>
  <c r="AI110" i="30"/>
  <c r="AJ110" i="30"/>
  <c r="AK110" i="30"/>
  <c r="D109" i="30"/>
  <c r="AK80" i="30"/>
  <c r="AK81" i="30"/>
  <c r="AK82" i="30"/>
  <c r="AK83" i="30"/>
  <c r="AK84" i="30"/>
  <c r="AK85" i="30"/>
  <c r="AK86" i="30"/>
  <c r="AK87" i="30"/>
  <c r="AK89" i="30"/>
  <c r="AK90" i="30"/>
  <c r="AK91" i="30"/>
  <c r="AK92" i="30"/>
  <c r="AK93" i="30"/>
  <c r="AK94" i="30"/>
  <c r="AK95" i="30"/>
  <c r="AK96" i="30"/>
  <c r="AK97" i="30"/>
  <c r="AK98" i="30"/>
  <c r="AK99" i="30"/>
  <c r="AK100" i="30"/>
  <c r="AK101" i="30"/>
  <c r="AK102" i="30"/>
  <c r="AK103" i="30"/>
  <c r="AK104" i="30"/>
  <c r="AK105" i="30"/>
  <c r="AK106" i="30"/>
  <c r="AK107" i="30"/>
  <c r="AK108" i="30"/>
  <c r="F109" i="30"/>
  <c r="H109" i="30"/>
  <c r="I109" i="30"/>
  <c r="J109" i="30"/>
  <c r="K109" i="30"/>
  <c r="L109" i="30"/>
  <c r="M109" i="30"/>
  <c r="N109" i="30"/>
  <c r="O109" i="30"/>
  <c r="Q109" i="30"/>
  <c r="R109" i="30"/>
  <c r="S109" i="30"/>
  <c r="T109" i="30"/>
  <c r="U109" i="30"/>
  <c r="V109" i="30"/>
  <c r="W109" i="30"/>
  <c r="X109" i="30"/>
  <c r="Y109" i="30"/>
  <c r="Z109" i="30"/>
  <c r="AA109" i="30"/>
  <c r="AB109" i="30"/>
  <c r="AC109" i="30"/>
  <c r="AD109" i="30"/>
  <c r="AE109" i="30"/>
  <c r="AF109" i="30"/>
  <c r="AG109" i="30"/>
  <c r="AH109" i="30"/>
  <c r="AI109" i="30"/>
  <c r="AJ109" i="30"/>
  <c r="D108" i="30"/>
  <c r="AJ78" i="30"/>
  <c r="AJ80" i="30"/>
  <c r="AJ81" i="30"/>
  <c r="AJ82" i="30"/>
  <c r="AJ83" i="30"/>
  <c r="AJ84" i="30"/>
  <c r="AJ85" i="30"/>
  <c r="AJ86" i="30"/>
  <c r="AJ87" i="30"/>
  <c r="AJ89" i="30"/>
  <c r="AJ90" i="30"/>
  <c r="AJ91" i="30"/>
  <c r="AJ92" i="30"/>
  <c r="AJ93" i="30"/>
  <c r="AJ94" i="30"/>
  <c r="AJ95" i="30"/>
  <c r="AJ96" i="30"/>
  <c r="AJ97" i="30"/>
  <c r="AJ98" i="30"/>
  <c r="AJ99" i="30"/>
  <c r="AJ100" i="30"/>
  <c r="AJ101" i="30"/>
  <c r="AJ102" i="30"/>
  <c r="AJ103" i="30"/>
  <c r="AJ104" i="30"/>
  <c r="AJ105" i="30"/>
  <c r="AJ106" i="30"/>
  <c r="AJ107" i="30"/>
  <c r="F108" i="30"/>
  <c r="H108" i="30"/>
  <c r="I108" i="30"/>
  <c r="J108" i="30"/>
  <c r="K108" i="30"/>
  <c r="L108" i="30"/>
  <c r="M108" i="30"/>
  <c r="N108" i="30"/>
  <c r="O108" i="30"/>
  <c r="Q108" i="30"/>
  <c r="R108" i="30"/>
  <c r="S108" i="30"/>
  <c r="T108" i="30"/>
  <c r="U108" i="30"/>
  <c r="V108" i="30"/>
  <c r="W108" i="30"/>
  <c r="X108" i="30"/>
  <c r="Y108" i="30"/>
  <c r="Z108" i="30"/>
  <c r="AA108" i="30"/>
  <c r="AB108" i="30"/>
  <c r="AC108" i="30"/>
  <c r="AD108" i="30"/>
  <c r="AE108" i="30"/>
  <c r="AF108" i="30"/>
  <c r="AG108" i="30"/>
  <c r="AH108" i="30"/>
  <c r="AI108" i="30"/>
  <c r="D107" i="30"/>
  <c r="AI80" i="30"/>
  <c r="AI81" i="30"/>
  <c r="AI82" i="30"/>
  <c r="AI83" i="30"/>
  <c r="AI84" i="30"/>
  <c r="AI85" i="30"/>
  <c r="AI86" i="30"/>
  <c r="AI87" i="30"/>
  <c r="AI89" i="30"/>
  <c r="AI90" i="30"/>
  <c r="AI91" i="30"/>
  <c r="AI92" i="30"/>
  <c r="AI93" i="30"/>
  <c r="AI94" i="30"/>
  <c r="AI95" i="30"/>
  <c r="AI96" i="30"/>
  <c r="AI98" i="30"/>
  <c r="AI99" i="30"/>
  <c r="AI100" i="30"/>
  <c r="AI101" i="30"/>
  <c r="AI102" i="30"/>
  <c r="AI103" i="30"/>
  <c r="AI104" i="30"/>
  <c r="AI105" i="30"/>
  <c r="AI106" i="30"/>
  <c r="F107" i="30"/>
  <c r="H107" i="30"/>
  <c r="I107" i="30"/>
  <c r="J107" i="30"/>
  <c r="K107" i="30"/>
  <c r="L107" i="30"/>
  <c r="M107" i="30"/>
  <c r="N107" i="30"/>
  <c r="O107" i="30"/>
  <c r="Q107" i="30"/>
  <c r="R107" i="30"/>
  <c r="S107" i="30"/>
  <c r="T107" i="30"/>
  <c r="U107" i="30"/>
  <c r="V107" i="30"/>
  <c r="W107" i="30"/>
  <c r="X107" i="30"/>
  <c r="Y107" i="30"/>
  <c r="Z107" i="30"/>
  <c r="AA107" i="30"/>
  <c r="AB107" i="30"/>
  <c r="AC107" i="30"/>
  <c r="AD107" i="30"/>
  <c r="AE107" i="30"/>
  <c r="AF107" i="30"/>
  <c r="AG107" i="30"/>
  <c r="AH107" i="30"/>
  <c r="D106" i="30"/>
  <c r="AH78" i="30"/>
  <c r="AH80" i="30"/>
  <c r="AH81" i="30"/>
  <c r="AH82" i="30"/>
  <c r="AH83" i="30"/>
  <c r="AH84" i="30"/>
  <c r="AH85" i="30"/>
  <c r="AH86" i="30"/>
  <c r="AH87" i="30"/>
  <c r="AH89" i="30"/>
  <c r="AH90" i="30"/>
  <c r="AH91" i="30"/>
  <c r="AH92" i="30"/>
  <c r="AH93" i="30"/>
  <c r="AH94" i="30"/>
  <c r="AH95" i="30"/>
  <c r="AH96" i="30"/>
  <c r="AH98" i="30"/>
  <c r="AH99" i="30"/>
  <c r="AH100" i="30"/>
  <c r="AH101" i="30"/>
  <c r="AH102" i="30"/>
  <c r="AH103" i="30"/>
  <c r="AH104" i="30"/>
  <c r="AH105" i="30"/>
  <c r="F106" i="30"/>
  <c r="H106" i="30"/>
  <c r="I106" i="30"/>
  <c r="J106" i="30"/>
  <c r="K106" i="30"/>
  <c r="L106" i="30"/>
  <c r="M106" i="30"/>
  <c r="N106" i="30"/>
  <c r="O106" i="30"/>
  <c r="Q106" i="30"/>
  <c r="R106" i="30"/>
  <c r="S106" i="30"/>
  <c r="T106" i="30"/>
  <c r="U106" i="30"/>
  <c r="V106" i="30"/>
  <c r="W106" i="30"/>
  <c r="X106" i="30"/>
  <c r="Y106" i="30"/>
  <c r="Z106" i="30"/>
  <c r="AA106" i="30"/>
  <c r="AB106" i="30"/>
  <c r="AC106" i="30"/>
  <c r="AD106" i="30"/>
  <c r="AE106" i="30"/>
  <c r="AF106" i="30"/>
  <c r="AG106" i="30"/>
  <c r="D105" i="30"/>
  <c r="AG80" i="30"/>
  <c r="AG81" i="30"/>
  <c r="AG82" i="30"/>
  <c r="AG83" i="30"/>
  <c r="AG84" i="30"/>
  <c r="AG85" i="30"/>
  <c r="AG86" i="30"/>
  <c r="AG87" i="30"/>
  <c r="AG89" i="30"/>
  <c r="AG90" i="30"/>
  <c r="AG91" i="30"/>
  <c r="AG92" i="30"/>
  <c r="AG93" i="30"/>
  <c r="AG94" i="30"/>
  <c r="AG95" i="30"/>
  <c r="AG96" i="30"/>
  <c r="AG98" i="30"/>
  <c r="AG99" i="30"/>
  <c r="AG100" i="30"/>
  <c r="AG101" i="30"/>
  <c r="AG102" i="30"/>
  <c r="AG103" i="30"/>
  <c r="AG104" i="30"/>
  <c r="H105" i="30"/>
  <c r="I105" i="30"/>
  <c r="J105" i="30"/>
  <c r="K105" i="30"/>
  <c r="L105" i="30"/>
  <c r="M105" i="30"/>
  <c r="N105" i="30"/>
  <c r="O105" i="30"/>
  <c r="Q105" i="30"/>
  <c r="R105" i="30"/>
  <c r="S105" i="30"/>
  <c r="T105" i="30"/>
  <c r="U105" i="30"/>
  <c r="V105" i="30"/>
  <c r="W105" i="30"/>
  <c r="X105" i="30"/>
  <c r="Y105" i="30"/>
  <c r="Z105" i="30"/>
  <c r="AA105" i="30"/>
  <c r="AB105" i="30"/>
  <c r="AC105" i="30"/>
  <c r="AD105" i="30"/>
  <c r="AE105" i="30"/>
  <c r="AF105" i="30"/>
  <c r="D104" i="30"/>
  <c r="AF80" i="30"/>
  <c r="AF81" i="30"/>
  <c r="AF82" i="30"/>
  <c r="AF83" i="30"/>
  <c r="AF84" i="30"/>
  <c r="AF85" i="30"/>
  <c r="AF86" i="30"/>
  <c r="AF87" i="30"/>
  <c r="AF89" i="30"/>
  <c r="AF90" i="30"/>
  <c r="AF91" i="30"/>
  <c r="AF92" i="30"/>
  <c r="AF93" i="30"/>
  <c r="AF94" i="30"/>
  <c r="AF95" i="30"/>
  <c r="AF96" i="30"/>
  <c r="AF97" i="30"/>
  <c r="AF98" i="30"/>
  <c r="AF99" i="30"/>
  <c r="AF100" i="30"/>
  <c r="AF101" i="30"/>
  <c r="AF102" i="30"/>
  <c r="AF103" i="30"/>
  <c r="F104" i="30"/>
  <c r="H104" i="30"/>
  <c r="I104" i="30"/>
  <c r="J104" i="30"/>
  <c r="K104" i="30"/>
  <c r="L104" i="30"/>
  <c r="M104" i="30"/>
  <c r="N104" i="30"/>
  <c r="O104" i="30"/>
  <c r="Q104" i="30"/>
  <c r="R104" i="30"/>
  <c r="S104" i="30"/>
  <c r="T104" i="30"/>
  <c r="U104" i="30"/>
  <c r="V104" i="30"/>
  <c r="W104" i="30"/>
  <c r="X104" i="30"/>
  <c r="Z104" i="30"/>
  <c r="AA104" i="30"/>
  <c r="AB104" i="30"/>
  <c r="AC104" i="30"/>
  <c r="AD104" i="30"/>
  <c r="AE104" i="30"/>
  <c r="D103" i="30"/>
  <c r="AE80" i="30"/>
  <c r="AE81" i="30"/>
  <c r="AE82" i="30"/>
  <c r="AE83" i="30"/>
  <c r="AE84" i="30"/>
  <c r="AE85" i="30"/>
  <c r="AE86" i="30"/>
  <c r="AE87" i="30"/>
  <c r="AE89" i="30"/>
  <c r="AE90" i="30"/>
  <c r="AE91" i="30"/>
  <c r="AE92" i="30"/>
  <c r="AE93" i="30"/>
  <c r="AE94" i="30"/>
  <c r="AE95" i="30"/>
  <c r="AE96" i="30"/>
  <c r="AE98" i="30"/>
  <c r="AE99" i="30"/>
  <c r="AE100" i="30"/>
  <c r="AE101" i="30"/>
  <c r="AE102" i="30"/>
  <c r="F103" i="30"/>
  <c r="H103" i="30"/>
  <c r="I103" i="30"/>
  <c r="J103" i="30"/>
  <c r="K103" i="30"/>
  <c r="L103" i="30"/>
  <c r="M103" i="30"/>
  <c r="N103" i="30"/>
  <c r="O103" i="30"/>
  <c r="Q103" i="30"/>
  <c r="R103" i="30"/>
  <c r="S103" i="30"/>
  <c r="T103" i="30"/>
  <c r="U103" i="30"/>
  <c r="V103" i="30"/>
  <c r="W103" i="30"/>
  <c r="X103" i="30"/>
  <c r="Y103" i="30"/>
  <c r="Z103" i="30"/>
  <c r="AA103" i="30"/>
  <c r="AB103" i="30"/>
  <c r="AC103" i="30"/>
  <c r="AD103" i="30"/>
  <c r="D102" i="30"/>
  <c r="AD78" i="30"/>
  <c r="AD80" i="30"/>
  <c r="AD81" i="30"/>
  <c r="AD82" i="30"/>
  <c r="AD83" i="30"/>
  <c r="AD84" i="30"/>
  <c r="AD85" i="30"/>
  <c r="AD86" i="30"/>
  <c r="AD87" i="30"/>
  <c r="AD89" i="30"/>
  <c r="AD90" i="30"/>
  <c r="AD91" i="30"/>
  <c r="AD92" i="30"/>
  <c r="AD93" i="30"/>
  <c r="AD94" i="30"/>
  <c r="AD95" i="30"/>
  <c r="AD96" i="30"/>
  <c r="AD98" i="30"/>
  <c r="AD99" i="30"/>
  <c r="AD100" i="30"/>
  <c r="AD101" i="30"/>
  <c r="F102" i="30"/>
  <c r="H102" i="30"/>
  <c r="I102" i="30"/>
  <c r="J102" i="30"/>
  <c r="K102" i="30"/>
  <c r="L102" i="30"/>
  <c r="M102" i="30"/>
  <c r="N102" i="30"/>
  <c r="O102" i="30"/>
  <c r="Q102" i="30"/>
  <c r="R102" i="30"/>
  <c r="S102" i="30"/>
  <c r="T102" i="30"/>
  <c r="U102" i="30"/>
  <c r="V102" i="30"/>
  <c r="W102" i="30"/>
  <c r="X102" i="30"/>
  <c r="Y102" i="30"/>
  <c r="Z102" i="30"/>
  <c r="AA102" i="30"/>
  <c r="AB102" i="30"/>
  <c r="AC102" i="30"/>
  <c r="D101" i="30"/>
  <c r="AC80" i="30"/>
  <c r="AC81" i="30"/>
  <c r="AC82" i="30"/>
  <c r="AC83" i="30"/>
  <c r="AC84" i="30"/>
  <c r="AC85" i="30"/>
  <c r="AC86" i="30"/>
  <c r="AC87" i="30"/>
  <c r="AC89" i="30"/>
  <c r="AC90" i="30"/>
  <c r="AC91" i="30"/>
  <c r="AC92" i="30"/>
  <c r="AC93" i="30"/>
  <c r="AC94" i="30"/>
  <c r="AC95" i="30"/>
  <c r="AC96" i="30"/>
  <c r="AC97" i="30"/>
  <c r="AC98" i="30"/>
  <c r="AC99" i="30"/>
  <c r="AC100" i="30"/>
  <c r="F101" i="30"/>
  <c r="H101" i="30"/>
  <c r="I101" i="30"/>
  <c r="J101" i="30"/>
  <c r="K101" i="30"/>
  <c r="L101" i="30"/>
  <c r="M101" i="30"/>
  <c r="N101" i="30"/>
  <c r="O101" i="30"/>
  <c r="Q101" i="30"/>
  <c r="R101" i="30"/>
  <c r="S101" i="30"/>
  <c r="T101" i="30"/>
  <c r="U101" i="30"/>
  <c r="V101" i="30"/>
  <c r="W101" i="30"/>
  <c r="X101" i="30"/>
  <c r="Y101" i="30"/>
  <c r="Z101" i="30"/>
  <c r="AA101" i="30"/>
  <c r="AB101" i="30"/>
  <c r="D100" i="30"/>
  <c r="AB78" i="30"/>
  <c r="AB80" i="30"/>
  <c r="AB81" i="30"/>
  <c r="AB82" i="30"/>
  <c r="AB83" i="30"/>
  <c r="AB84" i="30"/>
  <c r="AB85" i="30"/>
  <c r="AB86" i="30"/>
  <c r="AB87" i="30"/>
  <c r="AB89" i="30"/>
  <c r="AB90" i="30"/>
  <c r="AB91" i="30"/>
  <c r="AB92" i="30"/>
  <c r="AB93" i="30"/>
  <c r="AB94" i="30"/>
  <c r="AB95" i="30"/>
  <c r="AB96" i="30"/>
  <c r="AB97" i="30"/>
  <c r="AB98" i="30"/>
  <c r="AB99" i="30"/>
  <c r="F100" i="30"/>
  <c r="H100" i="30"/>
  <c r="I100" i="30"/>
  <c r="J100" i="30"/>
  <c r="K100" i="30"/>
  <c r="L100" i="30"/>
  <c r="M100" i="30"/>
  <c r="N100" i="30"/>
  <c r="O100" i="30"/>
  <c r="Q100" i="30"/>
  <c r="R100" i="30"/>
  <c r="S100" i="30"/>
  <c r="T100" i="30"/>
  <c r="U100" i="30"/>
  <c r="V100" i="30"/>
  <c r="W100" i="30"/>
  <c r="X100" i="30"/>
  <c r="Y100" i="30"/>
  <c r="Z100" i="30"/>
  <c r="AA100" i="30"/>
  <c r="D99" i="30"/>
  <c r="AA78" i="30"/>
  <c r="AA80" i="30"/>
  <c r="AA81" i="30"/>
  <c r="AA82" i="30"/>
  <c r="AA83" i="30"/>
  <c r="AA84" i="30"/>
  <c r="AA85" i="30"/>
  <c r="AA86" i="30"/>
  <c r="AA87" i="30"/>
  <c r="AA89" i="30"/>
  <c r="AA90" i="30"/>
  <c r="AA91" i="30"/>
  <c r="AA92" i="30"/>
  <c r="AA93" i="30"/>
  <c r="AA94" i="30"/>
  <c r="AA95" i="30"/>
  <c r="AA96" i="30"/>
  <c r="AA98" i="30"/>
  <c r="F99" i="30"/>
  <c r="H99" i="30"/>
  <c r="I99" i="30"/>
  <c r="J99" i="30"/>
  <c r="K99" i="30"/>
  <c r="L99" i="30"/>
  <c r="M99" i="30"/>
  <c r="N99" i="30"/>
  <c r="O99" i="30"/>
  <c r="Q99" i="30"/>
  <c r="R99" i="30"/>
  <c r="S99" i="30"/>
  <c r="T99" i="30"/>
  <c r="U99" i="30"/>
  <c r="V99" i="30"/>
  <c r="W99" i="30"/>
  <c r="X99" i="30"/>
  <c r="Y99" i="30"/>
  <c r="Z99" i="30"/>
  <c r="D98" i="30"/>
  <c r="Z78" i="30"/>
  <c r="Z80" i="30"/>
  <c r="Z81" i="30"/>
  <c r="Z82" i="30"/>
  <c r="Z83" i="30"/>
  <c r="Z84" i="30"/>
  <c r="Z85" i="30"/>
  <c r="Z86" i="30"/>
  <c r="Z87" i="30"/>
  <c r="Z89" i="30"/>
  <c r="Z90" i="30"/>
  <c r="Z91" i="30"/>
  <c r="Z92" i="30"/>
  <c r="Z93" i="30"/>
  <c r="Z94" i="30"/>
  <c r="Z95" i="30"/>
  <c r="Z96" i="30"/>
  <c r="F98" i="30"/>
  <c r="H98" i="30"/>
  <c r="I98" i="30"/>
  <c r="J98" i="30"/>
  <c r="K98" i="30"/>
  <c r="L98" i="30"/>
  <c r="M98" i="30"/>
  <c r="N98" i="30"/>
  <c r="O98" i="30"/>
  <c r="Q98" i="30"/>
  <c r="R98" i="30"/>
  <c r="S98" i="30"/>
  <c r="T98" i="30"/>
  <c r="U98" i="30"/>
  <c r="V98" i="30"/>
  <c r="W98" i="30"/>
  <c r="X98" i="30"/>
  <c r="Y98" i="30"/>
  <c r="Y81" i="30"/>
  <c r="Y82" i="30"/>
  <c r="Y84" i="30"/>
  <c r="Y86" i="30"/>
  <c r="Y89" i="30"/>
  <c r="Y90" i="30"/>
  <c r="Y91" i="30"/>
  <c r="Y93" i="30"/>
  <c r="I97" i="30"/>
  <c r="K97" i="30"/>
  <c r="M97" i="30"/>
  <c r="O97" i="30"/>
  <c r="R97" i="30"/>
  <c r="S97" i="30"/>
  <c r="T97" i="30"/>
  <c r="X97" i="30"/>
  <c r="D96" i="30"/>
  <c r="X78" i="30"/>
  <c r="X80" i="30"/>
  <c r="X81" i="30"/>
  <c r="X82" i="30"/>
  <c r="X83" i="30"/>
  <c r="X84" i="30"/>
  <c r="X85" i="30"/>
  <c r="X86" i="30"/>
  <c r="X87" i="30"/>
  <c r="X89" i="30"/>
  <c r="X90" i="30"/>
  <c r="X91" i="30"/>
  <c r="X92" i="30"/>
  <c r="X93" i="30"/>
  <c r="X94" i="30"/>
  <c r="X95" i="30"/>
  <c r="F96" i="30"/>
  <c r="H96" i="30"/>
  <c r="I96" i="30"/>
  <c r="J96" i="30"/>
  <c r="K96" i="30"/>
  <c r="L96" i="30"/>
  <c r="M96" i="30"/>
  <c r="N96" i="30"/>
  <c r="O96" i="30"/>
  <c r="Q96" i="30"/>
  <c r="R96" i="30"/>
  <c r="S96" i="30"/>
  <c r="T96" i="30"/>
  <c r="U96" i="30"/>
  <c r="V96" i="30"/>
  <c r="W96" i="30"/>
  <c r="W78" i="30"/>
  <c r="W80" i="30"/>
  <c r="W81" i="30"/>
  <c r="W82" i="30"/>
  <c r="W83" i="30"/>
  <c r="W84" i="30"/>
  <c r="W85" i="30"/>
  <c r="W86" i="30"/>
  <c r="P86" i="30" s="1"/>
  <c r="W87" i="30"/>
  <c r="W89" i="30"/>
  <c r="W90" i="30"/>
  <c r="W91" i="30"/>
  <c r="W92" i="30"/>
  <c r="W93" i="30"/>
  <c r="W94" i="30"/>
  <c r="F95" i="30"/>
  <c r="H95" i="30"/>
  <c r="I95" i="30"/>
  <c r="J95" i="30"/>
  <c r="K95" i="30"/>
  <c r="L95" i="30"/>
  <c r="M95" i="30"/>
  <c r="N95" i="30"/>
  <c r="O95" i="30"/>
  <c r="Q95" i="30"/>
  <c r="R95" i="30"/>
  <c r="S95" i="30"/>
  <c r="T95" i="30"/>
  <c r="U95" i="30"/>
  <c r="V95" i="30"/>
  <c r="D94" i="30"/>
  <c r="V80" i="30"/>
  <c r="V81" i="30"/>
  <c r="V82" i="30"/>
  <c r="V83" i="30"/>
  <c r="V84" i="30"/>
  <c r="V85" i="30"/>
  <c r="V86" i="30"/>
  <c r="V87" i="30"/>
  <c r="V89" i="30"/>
  <c r="V90" i="30"/>
  <c r="V91" i="30"/>
  <c r="V92" i="30"/>
  <c r="V93" i="30"/>
  <c r="F94" i="30"/>
  <c r="H94" i="30"/>
  <c r="I94" i="30"/>
  <c r="J94" i="30"/>
  <c r="K94" i="30"/>
  <c r="L94" i="30"/>
  <c r="M94" i="30"/>
  <c r="N94" i="30"/>
  <c r="O94" i="30"/>
  <c r="Q94" i="30"/>
  <c r="R94" i="30"/>
  <c r="S94" i="30"/>
  <c r="T94" i="30"/>
  <c r="U94" i="30"/>
  <c r="D93" i="30"/>
  <c r="U80" i="30"/>
  <c r="U81" i="30"/>
  <c r="U82" i="30"/>
  <c r="U83" i="30"/>
  <c r="U84" i="30"/>
  <c r="U85" i="30"/>
  <c r="U86" i="30"/>
  <c r="U87" i="30"/>
  <c r="U89" i="30"/>
  <c r="U90" i="30"/>
  <c r="U91" i="30"/>
  <c r="U92" i="30"/>
  <c r="H93" i="30"/>
  <c r="I93" i="30"/>
  <c r="J93" i="30"/>
  <c r="K93" i="30"/>
  <c r="L93" i="30"/>
  <c r="M93" i="30"/>
  <c r="N93" i="30"/>
  <c r="O93" i="30"/>
  <c r="Q93" i="30"/>
  <c r="R93" i="30"/>
  <c r="S93" i="30"/>
  <c r="T93" i="30"/>
  <c r="D92" i="30"/>
  <c r="T80" i="30"/>
  <c r="T81" i="30"/>
  <c r="T82" i="30"/>
  <c r="T83" i="30"/>
  <c r="T84" i="30"/>
  <c r="T85" i="30"/>
  <c r="T86" i="30"/>
  <c r="T87" i="30"/>
  <c r="T89" i="30"/>
  <c r="T90" i="30"/>
  <c r="T91" i="30"/>
  <c r="F92" i="30"/>
  <c r="H92" i="30"/>
  <c r="I92" i="30"/>
  <c r="J92" i="30"/>
  <c r="K92" i="30"/>
  <c r="L92" i="30"/>
  <c r="M92" i="30"/>
  <c r="N92" i="30"/>
  <c r="O92" i="30"/>
  <c r="Q92" i="30"/>
  <c r="R92" i="30"/>
  <c r="S92" i="30"/>
  <c r="D91" i="30"/>
  <c r="S80" i="30"/>
  <c r="S81" i="30"/>
  <c r="S82" i="30"/>
  <c r="S83" i="30"/>
  <c r="S84" i="30"/>
  <c r="S85" i="30"/>
  <c r="S86" i="30"/>
  <c r="S87" i="30"/>
  <c r="S89" i="30"/>
  <c r="S90" i="30"/>
  <c r="F91" i="30"/>
  <c r="H91" i="30"/>
  <c r="I91" i="30"/>
  <c r="J91" i="30"/>
  <c r="K91" i="30"/>
  <c r="L91" i="30"/>
  <c r="M91" i="30"/>
  <c r="N91" i="30"/>
  <c r="O91" i="30"/>
  <c r="Q91" i="30"/>
  <c r="R91" i="30"/>
  <c r="D90" i="30"/>
  <c r="R78" i="30"/>
  <c r="R80" i="30"/>
  <c r="R81" i="30"/>
  <c r="R82" i="30"/>
  <c r="R83" i="30"/>
  <c r="R84" i="30"/>
  <c r="R85" i="30"/>
  <c r="R86" i="30"/>
  <c r="R87" i="30"/>
  <c r="R89" i="30"/>
  <c r="F90" i="30"/>
  <c r="H90" i="30"/>
  <c r="I90" i="30"/>
  <c r="J90" i="30"/>
  <c r="K90" i="30"/>
  <c r="L90" i="30"/>
  <c r="M90" i="30"/>
  <c r="N90" i="30"/>
  <c r="O90" i="30"/>
  <c r="Q90" i="30"/>
  <c r="D89" i="30"/>
  <c r="Q80" i="30"/>
  <c r="Q81" i="30"/>
  <c r="Q82" i="30"/>
  <c r="Q83" i="30"/>
  <c r="Q84" i="30"/>
  <c r="Q85" i="30"/>
  <c r="Q86" i="30"/>
  <c r="Q87" i="30"/>
  <c r="H89" i="30"/>
  <c r="I89" i="30"/>
  <c r="J89" i="30"/>
  <c r="K89" i="30"/>
  <c r="L89" i="30"/>
  <c r="M89" i="30"/>
  <c r="N89" i="30"/>
  <c r="O89" i="30"/>
  <c r="D87" i="30"/>
  <c r="O78" i="30"/>
  <c r="O80" i="30"/>
  <c r="O81" i="30"/>
  <c r="O82" i="30"/>
  <c r="O83" i="30"/>
  <c r="O84" i="30"/>
  <c r="O85" i="30"/>
  <c r="O86" i="30"/>
  <c r="O77" i="30" s="1"/>
  <c r="F87" i="30"/>
  <c r="H87" i="30"/>
  <c r="I87" i="30"/>
  <c r="J87" i="30"/>
  <c r="K87" i="30"/>
  <c r="L87" i="30"/>
  <c r="M87" i="30"/>
  <c r="N87" i="30"/>
  <c r="D86" i="30"/>
  <c r="N78" i="30"/>
  <c r="N80" i="30"/>
  <c r="N81" i="30"/>
  <c r="N82" i="30"/>
  <c r="N83" i="30"/>
  <c r="N84" i="30"/>
  <c r="N85" i="30"/>
  <c r="H86" i="30"/>
  <c r="I86" i="30"/>
  <c r="J86" i="30"/>
  <c r="K86" i="30"/>
  <c r="L86" i="30"/>
  <c r="M86" i="30"/>
  <c r="M78" i="30"/>
  <c r="M80" i="30"/>
  <c r="M81" i="30"/>
  <c r="M82" i="30"/>
  <c r="M83" i="30"/>
  <c r="M84" i="30"/>
  <c r="F85" i="30"/>
  <c r="H85" i="30"/>
  <c r="I85" i="30"/>
  <c r="J85" i="30"/>
  <c r="K85" i="30"/>
  <c r="L85" i="30"/>
  <c r="D84" i="30"/>
  <c r="R11" i="30"/>
  <c r="L78" i="30" s="1"/>
  <c r="L80" i="30"/>
  <c r="L81" i="30"/>
  <c r="L82" i="30"/>
  <c r="L83" i="30"/>
  <c r="F84" i="30"/>
  <c r="H84" i="30"/>
  <c r="I84" i="30"/>
  <c r="J84" i="30"/>
  <c r="K84" i="30"/>
  <c r="D83" i="30"/>
  <c r="Q11" i="30"/>
  <c r="O11" i="30" s="1"/>
  <c r="K80" i="30"/>
  <c r="K81" i="30"/>
  <c r="K82" i="30"/>
  <c r="H83" i="30"/>
  <c r="I83" i="30"/>
  <c r="J83" i="30"/>
  <c r="D82" i="30"/>
  <c r="J78" i="30"/>
  <c r="J80" i="30"/>
  <c r="J81" i="30"/>
  <c r="F82" i="30"/>
  <c r="H82" i="30"/>
  <c r="I82" i="30"/>
  <c r="D81" i="30"/>
  <c r="I78" i="30"/>
  <c r="I80" i="30"/>
  <c r="F81" i="30"/>
  <c r="H81" i="30"/>
  <c r="D80" i="30"/>
  <c r="H78" i="30"/>
  <c r="F80" i="30"/>
  <c r="D79" i="30"/>
  <c r="G78" i="30"/>
  <c r="G80" i="30"/>
  <c r="G81" i="30"/>
  <c r="G82" i="30"/>
  <c r="G83" i="30"/>
  <c r="G84" i="30"/>
  <c r="G85" i="30"/>
  <c r="G86" i="30"/>
  <c r="G87" i="30"/>
  <c r="G89" i="30"/>
  <c r="G90" i="30"/>
  <c r="G91" i="30"/>
  <c r="G92" i="30"/>
  <c r="G93" i="30"/>
  <c r="G94" i="30"/>
  <c r="G95" i="30"/>
  <c r="G96" i="30"/>
  <c r="G98" i="30"/>
  <c r="G99" i="30"/>
  <c r="G100" i="30"/>
  <c r="G101" i="30"/>
  <c r="G102" i="30"/>
  <c r="G103" i="30"/>
  <c r="G104" i="30"/>
  <c r="G105" i="30"/>
  <c r="G106" i="30"/>
  <c r="G107" i="30"/>
  <c r="G108" i="30"/>
  <c r="G109" i="30"/>
  <c r="G110" i="30"/>
  <c r="G111" i="30"/>
  <c r="G112" i="30"/>
  <c r="G113" i="30"/>
  <c r="G114" i="30"/>
  <c r="H79" i="30"/>
  <c r="I79" i="30"/>
  <c r="J79" i="30"/>
  <c r="K79" i="30"/>
  <c r="L79" i="30"/>
  <c r="M79" i="30"/>
  <c r="N79" i="30"/>
  <c r="O79" i="30"/>
  <c r="Q79" i="30"/>
  <c r="R79" i="30"/>
  <c r="S79" i="30"/>
  <c r="T79" i="30"/>
  <c r="U79" i="30"/>
  <c r="V79" i="30"/>
  <c r="W79" i="30"/>
  <c r="X79" i="30"/>
  <c r="Z79" i="30"/>
  <c r="AA79" i="30"/>
  <c r="AB79" i="30"/>
  <c r="AC79" i="30"/>
  <c r="AD79" i="30"/>
  <c r="AE79" i="30"/>
  <c r="AF79" i="30"/>
  <c r="AG79" i="30"/>
  <c r="AH79" i="30"/>
  <c r="AI79" i="30"/>
  <c r="AJ79" i="30"/>
  <c r="AK79" i="30"/>
  <c r="AL79" i="30"/>
  <c r="AM79" i="30"/>
  <c r="AN79" i="30"/>
  <c r="AO79" i="30"/>
  <c r="AP79" i="30"/>
  <c r="AQ79" i="30"/>
  <c r="L18" i="30"/>
  <c r="L34" i="30"/>
  <c r="L25" i="30" s="1"/>
  <c r="L67" i="30" s="1"/>
  <c r="BM15" i="30" s="1"/>
  <c r="BN15" i="30" s="1"/>
  <c r="L68" i="30" s="1"/>
  <c r="L63" i="30"/>
  <c r="O15" i="30"/>
  <c r="BH15" i="30"/>
  <c r="BK11" i="30"/>
  <c r="BK10" i="30"/>
  <c r="BK9" i="30"/>
  <c r="BK18" i="30"/>
  <c r="R10" i="30"/>
  <c r="O34" i="30"/>
  <c r="O25" i="30"/>
  <c r="O63" i="30"/>
  <c r="G17" i="30"/>
  <c r="F22" i="30"/>
  <c r="E27" i="30"/>
  <c r="AQ46" i="30"/>
  <c r="V46" i="30" s="1"/>
  <c r="AN43" i="30"/>
  <c r="AN34" i="30" s="1"/>
  <c r="AN25" i="30" s="1"/>
  <c r="AN7" i="30" s="1"/>
  <c r="AG36" i="30"/>
  <c r="AG34" i="30" s="1"/>
  <c r="AG25" i="30" s="1"/>
  <c r="BH35" i="30"/>
  <c r="AF35" i="30"/>
  <c r="AF34" i="30" s="1"/>
  <c r="AF25" i="30" s="1"/>
  <c r="O16" i="30"/>
  <c r="N10" i="30"/>
  <c r="BH12" i="31"/>
  <c r="BH11" i="31"/>
  <c r="BH13" i="31"/>
  <c r="BH14" i="31"/>
  <c r="BH16" i="31"/>
  <c r="AQ80" i="31" s="1"/>
  <c r="BH17" i="31"/>
  <c r="AQ81" i="31" s="1"/>
  <c r="BH20" i="31"/>
  <c r="AQ82" i="31" s="1"/>
  <c r="BH21" i="31"/>
  <c r="AQ83" i="31" s="1"/>
  <c r="BH19" i="31"/>
  <c r="BH22" i="31"/>
  <c r="AQ85" i="31" s="1"/>
  <c r="BH23" i="31"/>
  <c r="AQ86" i="31"/>
  <c r="BH24" i="31"/>
  <c r="AQ87" i="31" s="1"/>
  <c r="BH26" i="31"/>
  <c r="BH27" i="31"/>
  <c r="AQ90" i="31" s="1"/>
  <c r="BH28" i="31"/>
  <c r="AQ91" i="31" s="1"/>
  <c r="BH29" i="31"/>
  <c r="AQ92" i="31" s="1"/>
  <c r="BH30" i="31"/>
  <c r="AQ93" i="31"/>
  <c r="BH31" i="31"/>
  <c r="AQ94" i="31"/>
  <c r="BH32" i="31"/>
  <c r="AQ95" i="31"/>
  <c r="BH33" i="31"/>
  <c r="AQ96" i="31" s="1"/>
  <c r="BI34" i="31"/>
  <c r="BI25" i="31" s="1"/>
  <c r="BJ34" i="31"/>
  <c r="BJ25" i="31" s="1"/>
  <c r="BK34" i="31"/>
  <c r="BK25" i="31" s="1"/>
  <c r="BH46" i="31"/>
  <c r="AQ98" i="31"/>
  <c r="BH47" i="31"/>
  <c r="AQ99" i="31" s="1"/>
  <c r="BH48" i="31"/>
  <c r="AQ100" i="31"/>
  <c r="BH49" i="31"/>
  <c r="AQ101" i="31" s="1"/>
  <c r="BH50" i="31"/>
  <c r="AQ102" i="31"/>
  <c r="BH51" i="31"/>
  <c r="AQ103" i="31" s="1"/>
  <c r="BH52" i="31"/>
  <c r="AQ104" i="31"/>
  <c r="BH53" i="31"/>
  <c r="AQ105" i="31"/>
  <c r="BH54" i="31"/>
  <c r="AQ106" i="31"/>
  <c r="BH55" i="31"/>
  <c r="AQ107" i="31" s="1"/>
  <c r="BH56" i="31"/>
  <c r="AQ108" i="31" s="1"/>
  <c r="BH57" i="31"/>
  <c r="AQ109" i="31" s="1"/>
  <c r="BH58" i="31"/>
  <c r="AQ110" i="31" s="1"/>
  <c r="BH59" i="31"/>
  <c r="AQ111" i="31" s="1"/>
  <c r="BH60" i="31"/>
  <c r="AQ112" i="31" s="1"/>
  <c r="BH61" i="31"/>
  <c r="AQ113" i="31"/>
  <c r="BH62" i="31"/>
  <c r="AQ114" i="31" s="1"/>
  <c r="H64" i="31"/>
  <c r="F20" i="86" s="1"/>
  <c r="H65" i="31"/>
  <c r="G65" i="31"/>
  <c r="F65" i="31" s="1"/>
  <c r="E65" i="31" s="1"/>
  <c r="H66" i="31"/>
  <c r="G66" i="31" s="1"/>
  <c r="F66" i="31" s="1"/>
  <c r="E66" i="31" s="1"/>
  <c r="M63" i="31"/>
  <c r="N63" i="31"/>
  <c r="P63" i="31"/>
  <c r="Q63" i="31"/>
  <c r="R63" i="31"/>
  <c r="T63" i="31"/>
  <c r="N115" i="31"/>
  <c r="U63" i="31"/>
  <c r="O115" i="31"/>
  <c r="W63" i="31"/>
  <c r="Q115" i="31" s="1"/>
  <c r="X63" i="31"/>
  <c r="R115" i="31" s="1"/>
  <c r="Y63" i="31"/>
  <c r="Z63" i="31"/>
  <c r="AA63" i="31"/>
  <c r="V115" i="31"/>
  <c r="AC63" i="31"/>
  <c r="W115" i="31"/>
  <c r="AD63" i="31"/>
  <c r="X115" i="31" s="1"/>
  <c r="AE65" i="31"/>
  <c r="V65" i="31" s="1"/>
  <c r="AQ63" i="31"/>
  <c r="Z115" i="31" s="1"/>
  <c r="AR63" i="31"/>
  <c r="AA115" i="31"/>
  <c r="AS63" i="31"/>
  <c r="AB115" i="31"/>
  <c r="AV63" i="31"/>
  <c r="AW63" i="31"/>
  <c r="AF115" i="31" s="1"/>
  <c r="AX63" i="31"/>
  <c r="AY63" i="31"/>
  <c r="AH115" i="31" s="1"/>
  <c r="AZ63" i="31"/>
  <c r="BA63" i="31"/>
  <c r="BD63" i="31"/>
  <c r="AM115" i="31" s="1"/>
  <c r="BE63" i="31"/>
  <c r="AN115" i="31"/>
  <c r="BF63" i="31"/>
  <c r="BG63" i="31"/>
  <c r="D114" i="31"/>
  <c r="BG11" i="31"/>
  <c r="AP80" i="31"/>
  <c r="AP81" i="31"/>
  <c r="AP82" i="31"/>
  <c r="AP83" i="31"/>
  <c r="AP84" i="31"/>
  <c r="AP85" i="31"/>
  <c r="AP86" i="31"/>
  <c r="AP87" i="31"/>
  <c r="AP89" i="31"/>
  <c r="AP90" i="31"/>
  <c r="AP91" i="31"/>
  <c r="AP92" i="31"/>
  <c r="AP93" i="31"/>
  <c r="AP94" i="31"/>
  <c r="AP95" i="31"/>
  <c r="AP96" i="31"/>
  <c r="BG34" i="31"/>
  <c r="AP97" i="31" s="1"/>
  <c r="AP98" i="31"/>
  <c r="AP99" i="31"/>
  <c r="AP100" i="31"/>
  <c r="AP101" i="31"/>
  <c r="AP102" i="31"/>
  <c r="AP103" i="31"/>
  <c r="AP104" i="31"/>
  <c r="AP105" i="31"/>
  <c r="AP106" i="31"/>
  <c r="AP107" i="31"/>
  <c r="AP108" i="31"/>
  <c r="AP109" i="31"/>
  <c r="AP110" i="31"/>
  <c r="AP111" i="31"/>
  <c r="AP112" i="31"/>
  <c r="AP113" i="31"/>
  <c r="H62" i="31"/>
  <c r="G62" i="31" s="1"/>
  <c r="H114" i="31"/>
  <c r="I114" i="31"/>
  <c r="J114" i="31"/>
  <c r="K114" i="31"/>
  <c r="L114" i="31"/>
  <c r="M114" i="31"/>
  <c r="N114" i="31"/>
  <c r="O114" i="31"/>
  <c r="Q114" i="31"/>
  <c r="R114" i="31"/>
  <c r="S114" i="31"/>
  <c r="T114" i="31"/>
  <c r="U114" i="31"/>
  <c r="V114" i="31"/>
  <c r="W114" i="31"/>
  <c r="X114" i="31"/>
  <c r="AE62" i="31"/>
  <c r="Y114" i="31"/>
  <c r="Z114" i="31"/>
  <c r="AA114" i="31"/>
  <c r="AB114" i="31"/>
  <c r="AC114" i="31"/>
  <c r="AD114" i="31"/>
  <c r="AE114" i="31"/>
  <c r="AF114" i="31"/>
  <c r="AG114" i="31"/>
  <c r="AH114" i="31"/>
  <c r="AI114" i="31"/>
  <c r="AJ114" i="31"/>
  <c r="AK114" i="31"/>
  <c r="AL114" i="31"/>
  <c r="AM114" i="31"/>
  <c r="AN114" i="31"/>
  <c r="AO114" i="31"/>
  <c r="D113" i="31"/>
  <c r="BF11" i="31"/>
  <c r="AO80" i="31"/>
  <c r="AO81" i="31"/>
  <c r="AO82" i="31"/>
  <c r="AO83" i="31"/>
  <c r="AO84" i="31"/>
  <c r="AO85" i="31"/>
  <c r="AO86" i="31"/>
  <c r="AO87" i="31"/>
  <c r="AO89" i="31"/>
  <c r="AO90" i="31"/>
  <c r="AO91" i="31"/>
  <c r="AO92" i="31"/>
  <c r="AO93" i="31"/>
  <c r="AO94" i="31"/>
  <c r="AO95" i="31"/>
  <c r="AO96" i="31"/>
  <c r="BF34" i="31"/>
  <c r="AO98" i="31"/>
  <c r="AO99" i="31"/>
  <c r="AO100" i="31"/>
  <c r="AO101" i="31"/>
  <c r="AO102" i="31"/>
  <c r="AO103" i="31"/>
  <c r="AO104" i="31"/>
  <c r="AO105" i="31"/>
  <c r="AO106" i="31"/>
  <c r="AO107" i="31"/>
  <c r="AO108" i="31"/>
  <c r="AO109" i="31"/>
  <c r="AO110" i="31"/>
  <c r="AO111" i="31"/>
  <c r="AO112" i="31"/>
  <c r="H61" i="31"/>
  <c r="E20" i="86" s="1"/>
  <c r="D20" i="86" s="1"/>
  <c r="H113" i="31"/>
  <c r="I113" i="31"/>
  <c r="J113" i="31"/>
  <c r="K113" i="31"/>
  <c r="L113" i="31"/>
  <c r="M113" i="31"/>
  <c r="N113" i="31"/>
  <c r="O113" i="31"/>
  <c r="Q113" i="31"/>
  <c r="R113" i="31"/>
  <c r="S113" i="31"/>
  <c r="T113" i="31"/>
  <c r="U113" i="31"/>
  <c r="V113" i="31"/>
  <c r="W113" i="31"/>
  <c r="X113" i="31"/>
  <c r="Y113" i="31"/>
  <c r="Z113" i="31"/>
  <c r="AA113" i="31"/>
  <c r="AB113" i="31"/>
  <c r="AC113" i="31"/>
  <c r="AD113" i="31"/>
  <c r="AE113" i="31"/>
  <c r="AF113" i="31"/>
  <c r="AG113" i="31"/>
  <c r="AH113" i="31"/>
  <c r="AI113" i="31"/>
  <c r="AJ113" i="31"/>
  <c r="AK113" i="31"/>
  <c r="AL113" i="31"/>
  <c r="AM113" i="31"/>
  <c r="AN113" i="31"/>
  <c r="D112" i="31"/>
  <c r="BE11" i="31"/>
  <c r="AN80" i="31"/>
  <c r="AN81" i="31"/>
  <c r="AN82" i="31"/>
  <c r="AN83" i="31"/>
  <c r="AN84" i="31"/>
  <c r="AN85" i="31"/>
  <c r="AN86" i="31"/>
  <c r="AN87" i="31"/>
  <c r="AN89" i="31"/>
  <c r="AN90" i="31"/>
  <c r="AN91" i="31"/>
  <c r="AN92" i="31"/>
  <c r="AN93" i="31"/>
  <c r="AN94" i="31"/>
  <c r="AN95" i="31"/>
  <c r="AN96" i="31"/>
  <c r="BE34" i="31"/>
  <c r="AN98" i="31"/>
  <c r="AN99" i="31"/>
  <c r="AN100" i="31"/>
  <c r="AN101" i="31"/>
  <c r="AN102" i="31"/>
  <c r="AN103" i="31"/>
  <c r="AN104" i="31"/>
  <c r="AN105" i="31"/>
  <c r="AN106" i="31"/>
  <c r="AN107" i="31"/>
  <c r="AN108" i="31"/>
  <c r="AN109" i="31"/>
  <c r="AN110" i="31"/>
  <c r="AN111" i="31"/>
  <c r="H60" i="31"/>
  <c r="H112" i="31"/>
  <c r="I112" i="31"/>
  <c r="J112" i="31"/>
  <c r="K112" i="31"/>
  <c r="L112" i="31"/>
  <c r="M112" i="31"/>
  <c r="N112" i="31"/>
  <c r="O112" i="31"/>
  <c r="Q112" i="31"/>
  <c r="R112" i="31"/>
  <c r="S112" i="31"/>
  <c r="T112" i="31"/>
  <c r="U112" i="31"/>
  <c r="V112" i="31"/>
  <c r="W112" i="31"/>
  <c r="X112" i="31"/>
  <c r="Z112" i="31"/>
  <c r="AA112" i="31"/>
  <c r="AB112" i="31"/>
  <c r="AC112" i="31"/>
  <c r="AD112" i="31"/>
  <c r="AE112" i="31"/>
  <c r="AF112" i="31"/>
  <c r="AG112" i="31"/>
  <c r="AH112" i="31"/>
  <c r="AI112" i="31"/>
  <c r="AJ112" i="31"/>
  <c r="AK112" i="31"/>
  <c r="AL112" i="31"/>
  <c r="AM112" i="31"/>
  <c r="D111" i="31"/>
  <c r="BD11" i="31"/>
  <c r="AM78" i="31"/>
  <c r="AM80" i="31"/>
  <c r="AM81" i="31"/>
  <c r="AM82" i="31"/>
  <c r="AM83" i="31"/>
  <c r="AM84" i="31"/>
  <c r="AM85" i="31"/>
  <c r="AM86" i="31"/>
  <c r="AM87" i="31"/>
  <c r="AM89" i="31"/>
  <c r="AM90" i="31"/>
  <c r="AM91" i="31"/>
  <c r="AM92" i="31"/>
  <c r="AM93" i="31"/>
  <c r="AM94" i="31"/>
  <c r="AM95" i="31"/>
  <c r="AM96" i="31"/>
  <c r="BD34" i="31"/>
  <c r="AM97" i="31"/>
  <c r="AM98" i="31"/>
  <c r="AM99" i="31"/>
  <c r="AM100" i="31"/>
  <c r="AM101" i="31"/>
  <c r="AM102" i="31"/>
  <c r="AM103" i="31"/>
  <c r="AM104" i="31"/>
  <c r="AM105" i="31"/>
  <c r="AM106" i="31"/>
  <c r="AM107" i="31"/>
  <c r="AM108" i="31"/>
  <c r="AM109" i="31"/>
  <c r="AM110" i="31"/>
  <c r="H59" i="31"/>
  <c r="G59" i="31" s="1"/>
  <c r="H111" i="31"/>
  <c r="I111" i="31"/>
  <c r="J111" i="31"/>
  <c r="K111" i="31"/>
  <c r="L111" i="31"/>
  <c r="M111" i="31"/>
  <c r="N111" i="31"/>
  <c r="O111" i="31"/>
  <c r="Q111" i="31"/>
  <c r="R111" i="31"/>
  <c r="S111" i="31"/>
  <c r="T111" i="31"/>
  <c r="U111" i="31"/>
  <c r="V111" i="31"/>
  <c r="W111" i="31"/>
  <c r="X111" i="31"/>
  <c r="AE59" i="31"/>
  <c r="Y111" i="31" s="1"/>
  <c r="Z111" i="31"/>
  <c r="AA111" i="31"/>
  <c r="AB111" i="31"/>
  <c r="AC111" i="31"/>
  <c r="AD111" i="31"/>
  <c r="AE111" i="31"/>
  <c r="AF111" i="31"/>
  <c r="AG111" i="31"/>
  <c r="AH111" i="31"/>
  <c r="AI111" i="31"/>
  <c r="AJ111" i="31"/>
  <c r="AK111" i="31"/>
  <c r="AL111" i="31"/>
  <c r="D110" i="31"/>
  <c r="AL80" i="31"/>
  <c r="AL81" i="31"/>
  <c r="AL82" i="31"/>
  <c r="AL83" i="31"/>
  <c r="AL84" i="31"/>
  <c r="AL85" i="31"/>
  <c r="AL86" i="31"/>
  <c r="AL87" i="31"/>
  <c r="AL89" i="31"/>
  <c r="AL90" i="31"/>
  <c r="AL91" i="31"/>
  <c r="AL92" i="31"/>
  <c r="AL93" i="31"/>
  <c r="AL94" i="31"/>
  <c r="AL95" i="31"/>
  <c r="AL96" i="31"/>
  <c r="BC34" i="31"/>
  <c r="AL98" i="31"/>
  <c r="AL99" i="31"/>
  <c r="AL100" i="31"/>
  <c r="AL101" i="31"/>
  <c r="AL102" i="31"/>
  <c r="AL103" i="31"/>
  <c r="AL104" i="31"/>
  <c r="AL105" i="31"/>
  <c r="AL106" i="31"/>
  <c r="AL107" i="31"/>
  <c r="AL108" i="31"/>
  <c r="AL109" i="31"/>
  <c r="H58" i="31"/>
  <c r="F110" i="31"/>
  <c r="H110" i="31"/>
  <c r="I110" i="31"/>
  <c r="J110" i="31"/>
  <c r="K110" i="31"/>
  <c r="L110" i="31"/>
  <c r="M110" i="31"/>
  <c r="N110" i="31"/>
  <c r="O110" i="31"/>
  <c r="Q110" i="31"/>
  <c r="R110" i="31"/>
  <c r="S110" i="31"/>
  <c r="T110" i="31"/>
  <c r="U110" i="31"/>
  <c r="V110" i="31"/>
  <c r="W110" i="31"/>
  <c r="X110" i="31"/>
  <c r="AE58" i="31"/>
  <c r="Y110" i="31"/>
  <c r="Z110" i="31"/>
  <c r="AA110" i="31"/>
  <c r="AB110" i="31"/>
  <c r="AC110" i="31"/>
  <c r="AD110" i="31"/>
  <c r="AE110" i="31"/>
  <c r="AF110" i="31"/>
  <c r="AG110" i="31"/>
  <c r="AH110" i="31"/>
  <c r="AI110" i="31"/>
  <c r="AJ110" i="31"/>
  <c r="AK110" i="31"/>
  <c r="D109" i="31"/>
  <c r="BB11" i="31"/>
  <c r="AK80" i="31"/>
  <c r="AK81" i="31"/>
  <c r="AK82" i="31"/>
  <c r="AK83" i="31"/>
  <c r="AK84" i="31"/>
  <c r="AK85" i="31"/>
  <c r="AK86" i="31"/>
  <c r="AK87" i="31"/>
  <c r="AK89" i="31"/>
  <c r="AK90" i="31"/>
  <c r="AK91" i="31"/>
  <c r="AK92" i="31"/>
  <c r="AK93" i="31"/>
  <c r="AK94" i="31"/>
  <c r="AK95" i="31"/>
  <c r="AK96" i="31"/>
  <c r="BB34" i="31"/>
  <c r="AK98" i="31"/>
  <c r="AK99" i="31"/>
  <c r="AK100" i="31"/>
  <c r="AK101" i="31"/>
  <c r="AK102" i="31"/>
  <c r="AK103" i="31"/>
  <c r="AK104" i="31"/>
  <c r="AK105" i="31"/>
  <c r="AK106" i="31"/>
  <c r="AK107" i="31"/>
  <c r="AK108" i="31"/>
  <c r="BB63" i="31"/>
  <c r="AK115" i="31"/>
  <c r="H57" i="31"/>
  <c r="F109" i="31"/>
  <c r="H109" i="31"/>
  <c r="I109" i="31"/>
  <c r="J109" i="31"/>
  <c r="K109" i="31"/>
  <c r="L109" i="31"/>
  <c r="M109" i="31"/>
  <c r="N109" i="31"/>
  <c r="O109" i="31"/>
  <c r="Q109" i="31"/>
  <c r="R109" i="31"/>
  <c r="S109" i="31"/>
  <c r="T109" i="31"/>
  <c r="U109" i="31"/>
  <c r="V109" i="31"/>
  <c r="W109" i="31"/>
  <c r="X109" i="31"/>
  <c r="AE57" i="31"/>
  <c r="Z109" i="31"/>
  <c r="AA109" i="31"/>
  <c r="AB109" i="31"/>
  <c r="AC109" i="31"/>
  <c r="AD109" i="31"/>
  <c r="AE109" i="31"/>
  <c r="AF109" i="31"/>
  <c r="AG109" i="31"/>
  <c r="AH109" i="31"/>
  <c r="AI109" i="31"/>
  <c r="AJ109" i="31"/>
  <c r="D108" i="31"/>
  <c r="BA11" i="31"/>
  <c r="AJ78" i="31"/>
  <c r="AJ80" i="31"/>
  <c r="AJ81" i="31"/>
  <c r="AJ82" i="31"/>
  <c r="AJ83" i="31"/>
  <c r="AJ84" i="31"/>
  <c r="AJ85" i="31"/>
  <c r="AJ86" i="31"/>
  <c r="AJ87" i="31"/>
  <c r="AJ89" i="31"/>
  <c r="AJ90" i="31"/>
  <c r="AJ91" i="31"/>
  <c r="AJ92" i="31"/>
  <c r="AJ93" i="31"/>
  <c r="AJ94" i="31"/>
  <c r="AJ95" i="31"/>
  <c r="AJ96" i="31"/>
  <c r="BA34" i="31"/>
  <c r="AJ98" i="31"/>
  <c r="AJ99" i="31"/>
  <c r="AJ100" i="31"/>
  <c r="AJ101" i="31"/>
  <c r="AJ102" i="31"/>
  <c r="AJ103" i="31"/>
  <c r="AJ104" i="31"/>
  <c r="AJ105" i="31"/>
  <c r="AJ106" i="31"/>
  <c r="AJ107" i="31"/>
  <c r="H56" i="31"/>
  <c r="H108" i="31"/>
  <c r="I108" i="31"/>
  <c r="J108" i="31"/>
  <c r="K108" i="31"/>
  <c r="L108" i="31"/>
  <c r="M108" i="31"/>
  <c r="N108" i="31"/>
  <c r="O108" i="31"/>
  <c r="Q108" i="31"/>
  <c r="R108" i="31"/>
  <c r="S108" i="31"/>
  <c r="T108" i="31"/>
  <c r="U108" i="31"/>
  <c r="V108" i="31"/>
  <c r="W108" i="31"/>
  <c r="X108" i="31"/>
  <c r="Y108" i="31"/>
  <c r="Z108" i="31"/>
  <c r="AA108" i="31"/>
  <c r="AB108" i="31"/>
  <c r="AC108" i="31"/>
  <c r="AD108" i="31"/>
  <c r="AE108" i="31"/>
  <c r="AF108" i="31"/>
  <c r="AG108" i="31"/>
  <c r="AH108" i="31"/>
  <c r="AI108" i="31"/>
  <c r="D107" i="31"/>
  <c r="AI80" i="31"/>
  <c r="AI81" i="31"/>
  <c r="AI82" i="31"/>
  <c r="AI83" i="31"/>
  <c r="AI84" i="31"/>
  <c r="AI85" i="31"/>
  <c r="AI86" i="31"/>
  <c r="AI87" i="31"/>
  <c r="AI89" i="31"/>
  <c r="AI90" i="31"/>
  <c r="AI91" i="31"/>
  <c r="AI92" i="31"/>
  <c r="AI93" i="31"/>
  <c r="AI94" i="31"/>
  <c r="AI95" i="31"/>
  <c r="AI96" i="31"/>
  <c r="AZ34" i="31"/>
  <c r="AI97" i="31" s="1"/>
  <c r="AI98" i="31"/>
  <c r="AI99" i="31"/>
  <c r="AI100" i="31"/>
  <c r="AI101" i="31"/>
  <c r="AI102" i="31"/>
  <c r="AI103" i="31"/>
  <c r="AI104" i="31"/>
  <c r="AI105" i="31"/>
  <c r="AI106" i="31"/>
  <c r="H55" i="31"/>
  <c r="G55" i="31" s="1"/>
  <c r="F55" i="31" s="1"/>
  <c r="E55" i="31" s="1"/>
  <c r="H107" i="31"/>
  <c r="I107" i="31"/>
  <c r="J107" i="31"/>
  <c r="K107" i="31"/>
  <c r="L107" i="31"/>
  <c r="M107" i="31"/>
  <c r="N107" i="31"/>
  <c r="O107" i="31"/>
  <c r="Q107" i="31"/>
  <c r="R107" i="31"/>
  <c r="S107" i="31"/>
  <c r="T107" i="31"/>
  <c r="U107" i="31"/>
  <c r="V107" i="31"/>
  <c r="W107" i="31"/>
  <c r="X107" i="31"/>
  <c r="AE55" i="31"/>
  <c r="Z107" i="31"/>
  <c r="AA107" i="31"/>
  <c r="AB107" i="31"/>
  <c r="AC107" i="31"/>
  <c r="AD107" i="31"/>
  <c r="AE107" i="31"/>
  <c r="AF107" i="31"/>
  <c r="AG107" i="31"/>
  <c r="AH107" i="31"/>
  <c r="D106" i="31"/>
  <c r="AY11" i="31"/>
  <c r="AH80" i="31"/>
  <c r="AH81" i="31"/>
  <c r="AH82" i="31"/>
  <c r="AH83" i="31"/>
  <c r="AH84" i="31"/>
  <c r="AH85" i="31"/>
  <c r="AH86" i="31"/>
  <c r="AH87" i="31"/>
  <c r="AH89" i="31"/>
  <c r="AH90" i="31"/>
  <c r="AH91" i="31"/>
  <c r="AH92" i="31"/>
  <c r="AH93" i="31"/>
  <c r="AH94" i="31"/>
  <c r="AH95" i="31"/>
  <c r="AH96" i="31"/>
  <c r="AY34" i="31"/>
  <c r="AH98" i="31"/>
  <c r="AH99" i="31"/>
  <c r="AH100" i="31"/>
  <c r="AH101" i="31"/>
  <c r="AH102" i="31"/>
  <c r="AH103" i="31"/>
  <c r="AH104" i="31"/>
  <c r="AH105" i="31"/>
  <c r="H54" i="31"/>
  <c r="G54" i="31" s="1"/>
  <c r="F54" i="31" s="1"/>
  <c r="E54" i="31" s="1"/>
  <c r="BL54" i="31" s="1"/>
  <c r="H106" i="31"/>
  <c r="I106" i="31"/>
  <c r="J106" i="31"/>
  <c r="K106" i="31"/>
  <c r="L106" i="31"/>
  <c r="M106" i="31"/>
  <c r="N106" i="31"/>
  <c r="O106" i="31"/>
  <c r="Q106" i="31"/>
  <c r="R106" i="31"/>
  <c r="S106" i="31"/>
  <c r="T106" i="31"/>
  <c r="U106" i="31"/>
  <c r="V106" i="31"/>
  <c r="W106" i="31"/>
  <c r="X106" i="31"/>
  <c r="AE54" i="31"/>
  <c r="Y106" i="31" s="1"/>
  <c r="Z106" i="31"/>
  <c r="AA106" i="31"/>
  <c r="AB106" i="31"/>
  <c r="AC106" i="31"/>
  <c r="AD106" i="31"/>
  <c r="AE106" i="31"/>
  <c r="AF106" i="31"/>
  <c r="AG106" i="31"/>
  <c r="D105" i="31"/>
  <c r="AX11" i="31"/>
  <c r="AG80" i="31"/>
  <c r="AG81" i="31"/>
  <c r="AG82" i="31"/>
  <c r="AG83" i="31"/>
  <c r="AG84" i="31"/>
  <c r="AG85" i="31"/>
  <c r="AG86" i="31"/>
  <c r="AG87" i="31"/>
  <c r="AG89" i="31"/>
  <c r="AG90" i="31"/>
  <c r="AG91" i="31"/>
  <c r="AG92" i="31"/>
  <c r="AG93" i="31"/>
  <c r="AG94" i="31"/>
  <c r="AG95" i="31"/>
  <c r="AG96" i="31"/>
  <c r="AX34" i="31"/>
  <c r="AG97" i="31" s="1"/>
  <c r="AG98" i="31"/>
  <c r="AG99" i="31"/>
  <c r="AG100" i="31"/>
  <c r="AG101" i="31"/>
  <c r="AG102" i="31"/>
  <c r="AG103" i="31"/>
  <c r="AG104" i="31"/>
  <c r="H53" i="31"/>
  <c r="F105" i="31" s="1"/>
  <c r="H105" i="31"/>
  <c r="I105" i="31"/>
  <c r="J105" i="31"/>
  <c r="K105" i="31"/>
  <c r="L105" i="31"/>
  <c r="M105" i="31"/>
  <c r="N105" i="31"/>
  <c r="O105" i="31"/>
  <c r="Q105" i="31"/>
  <c r="R105" i="31"/>
  <c r="S105" i="31"/>
  <c r="T105" i="31"/>
  <c r="U105" i="31"/>
  <c r="V105" i="31"/>
  <c r="W105" i="31"/>
  <c r="X105" i="31"/>
  <c r="AE53" i="31"/>
  <c r="Y105" i="31" s="1"/>
  <c r="Z105" i="31"/>
  <c r="AA105" i="31"/>
  <c r="AB105" i="31"/>
  <c r="AC105" i="31"/>
  <c r="AD105" i="31"/>
  <c r="AE105" i="31"/>
  <c r="AF105" i="31"/>
  <c r="D104" i="31"/>
  <c r="AW11" i="31"/>
  <c r="AF78" i="31"/>
  <c r="AF80" i="31"/>
  <c r="AF81" i="31"/>
  <c r="AF82" i="31"/>
  <c r="AF83" i="31"/>
  <c r="AF84" i="31"/>
  <c r="AF85" i="31"/>
  <c r="AF86" i="31"/>
  <c r="AF87" i="31"/>
  <c r="AF89" i="31"/>
  <c r="AF90" i="31"/>
  <c r="AF91" i="31"/>
  <c r="AF92" i="31"/>
  <c r="AF93" i="31"/>
  <c r="AF94" i="31"/>
  <c r="AF95" i="31"/>
  <c r="AF96" i="31"/>
  <c r="AW34" i="31"/>
  <c r="AF98" i="31"/>
  <c r="AF99" i="31"/>
  <c r="AF100" i="31"/>
  <c r="AF101" i="31"/>
  <c r="AF102" i="31"/>
  <c r="AF103" i="31"/>
  <c r="H52" i="31"/>
  <c r="G52" i="31" s="1"/>
  <c r="F52" i="31" s="1"/>
  <c r="E52" i="31" s="1"/>
  <c r="H104" i="31"/>
  <c r="I104" i="31"/>
  <c r="J104" i="31"/>
  <c r="K104" i="31"/>
  <c r="L104" i="31"/>
  <c r="M104" i="31"/>
  <c r="N104" i="31"/>
  <c r="O104" i="31"/>
  <c r="Q104" i="31"/>
  <c r="R104" i="31"/>
  <c r="S104" i="31"/>
  <c r="T104" i="31"/>
  <c r="U104" i="31"/>
  <c r="V104" i="31"/>
  <c r="W104" i="31"/>
  <c r="X104" i="31"/>
  <c r="AE52" i="31"/>
  <c r="Y104" i="31"/>
  <c r="Z104" i="31"/>
  <c r="AA104" i="31"/>
  <c r="AB104" i="31"/>
  <c r="AC104" i="31"/>
  <c r="AD104" i="31"/>
  <c r="AE104" i="31"/>
  <c r="D103" i="31"/>
  <c r="AV11" i="31"/>
  <c r="AE80" i="31"/>
  <c r="AE81" i="31"/>
  <c r="AE82" i="31"/>
  <c r="AE83" i="31"/>
  <c r="AE84" i="31"/>
  <c r="AE85" i="31"/>
  <c r="AE86" i="31"/>
  <c r="AE87" i="31"/>
  <c r="AE89" i="31"/>
  <c r="AE90" i="31"/>
  <c r="AE91" i="31"/>
  <c r="AE92" i="31"/>
  <c r="AE93" i="31"/>
  <c r="AE94" i="31"/>
  <c r="AE95" i="31"/>
  <c r="AE96" i="31"/>
  <c r="AV34" i="31"/>
  <c r="AE97" i="31" s="1"/>
  <c r="AE98" i="31"/>
  <c r="AE99" i="31"/>
  <c r="AE100" i="31"/>
  <c r="AE101" i="31"/>
  <c r="AE102" i="31"/>
  <c r="H51" i="31"/>
  <c r="H103" i="31"/>
  <c r="I103" i="31"/>
  <c r="J103" i="31"/>
  <c r="K103" i="31"/>
  <c r="L103" i="31"/>
  <c r="M103" i="31"/>
  <c r="N103" i="31"/>
  <c r="O103" i="31"/>
  <c r="Q103" i="31"/>
  <c r="R103" i="31"/>
  <c r="S103" i="31"/>
  <c r="T103" i="31"/>
  <c r="U103" i="31"/>
  <c r="V103" i="31"/>
  <c r="W103" i="31"/>
  <c r="X103" i="31"/>
  <c r="AE51" i="31"/>
  <c r="Z103" i="31"/>
  <c r="AA103" i="31"/>
  <c r="AB103" i="31"/>
  <c r="AC103" i="31"/>
  <c r="AD103" i="31"/>
  <c r="D102" i="31"/>
  <c r="AD78" i="31"/>
  <c r="AD80" i="31"/>
  <c r="AD81" i="31"/>
  <c r="AD82" i="31"/>
  <c r="AD83" i="31"/>
  <c r="AD84" i="31"/>
  <c r="AD85" i="31"/>
  <c r="AD86" i="31"/>
  <c r="AD87" i="31"/>
  <c r="AD89" i="31"/>
  <c r="AD90" i="31"/>
  <c r="AD91" i="31"/>
  <c r="AD92" i="31"/>
  <c r="AD93" i="31"/>
  <c r="AD94" i="31"/>
  <c r="AD95" i="31"/>
  <c r="AD96" i="31"/>
  <c r="AD98" i="31"/>
  <c r="AD99" i="31"/>
  <c r="AD100" i="31"/>
  <c r="AD101" i="31"/>
  <c r="H50" i="31"/>
  <c r="H102" i="31"/>
  <c r="I102" i="31"/>
  <c r="J102" i="31"/>
  <c r="K102" i="31"/>
  <c r="L102" i="31"/>
  <c r="M102" i="31"/>
  <c r="N102" i="31"/>
  <c r="O102" i="31"/>
  <c r="Q102" i="31"/>
  <c r="R102" i="31"/>
  <c r="S102" i="31"/>
  <c r="T102" i="31"/>
  <c r="U102" i="31"/>
  <c r="V102" i="31"/>
  <c r="W102" i="31"/>
  <c r="X102" i="31"/>
  <c r="AE50" i="31"/>
  <c r="Y102" i="31" s="1"/>
  <c r="Z102" i="31"/>
  <c r="AA102" i="31"/>
  <c r="AB102" i="31"/>
  <c r="AC102" i="31"/>
  <c r="D101" i="31"/>
  <c r="AC80" i="31"/>
  <c r="AC81" i="31"/>
  <c r="AC82" i="31"/>
  <c r="AC83" i="31"/>
  <c r="AC84" i="31"/>
  <c r="AC85" i="31"/>
  <c r="AC86" i="31"/>
  <c r="AC87" i="31"/>
  <c r="AC89" i="31"/>
  <c r="AC90" i="31"/>
  <c r="AC91" i="31"/>
  <c r="AC92" i="31"/>
  <c r="AC93" i="31"/>
  <c r="AC94" i="31"/>
  <c r="AC95" i="31"/>
  <c r="AC96" i="31"/>
  <c r="AC97" i="31"/>
  <c r="AC98" i="31"/>
  <c r="AC99" i="31"/>
  <c r="AC100" i="31"/>
  <c r="H49" i="31"/>
  <c r="F101" i="31" s="1"/>
  <c r="H101" i="31"/>
  <c r="I101" i="31"/>
  <c r="J101" i="31"/>
  <c r="K101" i="31"/>
  <c r="L101" i="31"/>
  <c r="M101" i="31"/>
  <c r="N101" i="31"/>
  <c r="O101" i="31"/>
  <c r="Q101" i="31"/>
  <c r="R101" i="31"/>
  <c r="S101" i="31"/>
  <c r="T101" i="31"/>
  <c r="U101" i="31"/>
  <c r="V101" i="31"/>
  <c r="W101" i="31"/>
  <c r="X101" i="31"/>
  <c r="Y101" i="31"/>
  <c r="Z101" i="31"/>
  <c r="AA101" i="31"/>
  <c r="AB101" i="31"/>
  <c r="D100" i="31"/>
  <c r="AS11" i="31"/>
  <c r="AB80" i="31"/>
  <c r="AB81" i="31"/>
  <c r="AB82" i="31"/>
  <c r="AB83" i="31"/>
  <c r="AB84" i="31"/>
  <c r="AB85" i="31"/>
  <c r="AB86" i="31"/>
  <c r="AB87" i="31"/>
  <c r="AB89" i="31"/>
  <c r="AB90" i="31"/>
  <c r="AB91" i="31"/>
  <c r="AB92" i="31"/>
  <c r="AB93" i="31"/>
  <c r="AB94" i="31"/>
  <c r="AB95" i="31"/>
  <c r="AB96" i="31"/>
  <c r="AS34" i="31"/>
  <c r="AB97" i="31" s="1"/>
  <c r="AB98" i="31"/>
  <c r="AB99" i="31"/>
  <c r="H48" i="31"/>
  <c r="H100" i="31"/>
  <c r="I100" i="31"/>
  <c r="J100" i="31"/>
  <c r="K100" i="31"/>
  <c r="L100" i="31"/>
  <c r="M100" i="31"/>
  <c r="N100" i="31"/>
  <c r="O100" i="31"/>
  <c r="Q100" i="31"/>
  <c r="R100" i="31"/>
  <c r="S100" i="31"/>
  <c r="T100" i="31"/>
  <c r="U100" i="31"/>
  <c r="V100" i="31"/>
  <c r="W100" i="31"/>
  <c r="X100" i="31"/>
  <c r="AE48" i="31"/>
  <c r="Z100" i="31"/>
  <c r="AA100" i="31"/>
  <c r="D99" i="31"/>
  <c r="AR11" i="31"/>
  <c r="AR10" i="31" s="1"/>
  <c r="AR9" i="31" s="1"/>
  <c r="AR8" i="31" s="1"/>
  <c r="AA80" i="31"/>
  <c r="AA81" i="31"/>
  <c r="AA82" i="31"/>
  <c r="AA83" i="31"/>
  <c r="AA84" i="31"/>
  <c r="AA85" i="31"/>
  <c r="AA86" i="31"/>
  <c r="AA87" i="31"/>
  <c r="AA89" i="31"/>
  <c r="AA90" i="31"/>
  <c r="AA91" i="31"/>
  <c r="AA92" i="31"/>
  <c r="AA93" i="31"/>
  <c r="AA94" i="31"/>
  <c r="AA95" i="31"/>
  <c r="AA96" i="31"/>
  <c r="AR34" i="31"/>
  <c r="AA97" i="31"/>
  <c r="AA98" i="31"/>
  <c r="H47" i="31"/>
  <c r="H99" i="31"/>
  <c r="I99" i="31"/>
  <c r="J99" i="31"/>
  <c r="K99" i="31"/>
  <c r="L99" i="31"/>
  <c r="M99" i="31"/>
  <c r="N99" i="31"/>
  <c r="O99" i="31"/>
  <c r="Q99" i="31"/>
  <c r="R99" i="31"/>
  <c r="S99" i="31"/>
  <c r="T99" i="31"/>
  <c r="U99" i="31"/>
  <c r="V99" i="31"/>
  <c r="W99" i="31"/>
  <c r="X99" i="31"/>
  <c r="AE47" i="31"/>
  <c r="Y99" i="31"/>
  <c r="Z99" i="31"/>
  <c r="D98" i="31"/>
  <c r="AQ11" i="31"/>
  <c r="Z80" i="31"/>
  <c r="Z81" i="31"/>
  <c r="Z82" i="31"/>
  <c r="Z83" i="31"/>
  <c r="Z84" i="31"/>
  <c r="Z85" i="31"/>
  <c r="Z86" i="31"/>
  <c r="Z87" i="31"/>
  <c r="Z89" i="31"/>
  <c r="Z90" i="31"/>
  <c r="Z91" i="31"/>
  <c r="Z92" i="31"/>
  <c r="Z93" i="31"/>
  <c r="Z94" i="31"/>
  <c r="Z95" i="31"/>
  <c r="Z96" i="31"/>
  <c r="AQ34" i="31"/>
  <c r="Z97" i="31" s="1"/>
  <c r="H46" i="31"/>
  <c r="H98" i="31"/>
  <c r="I98" i="31"/>
  <c r="J98" i="31"/>
  <c r="K98" i="31"/>
  <c r="L98" i="31"/>
  <c r="M98" i="31"/>
  <c r="N98" i="31"/>
  <c r="O98" i="31"/>
  <c r="Q98" i="31"/>
  <c r="R98" i="31"/>
  <c r="S98" i="31"/>
  <c r="T98" i="31"/>
  <c r="U98" i="31"/>
  <c r="V98" i="31"/>
  <c r="W98" i="31"/>
  <c r="W116" i="31" s="1"/>
  <c r="X98" i="31"/>
  <c r="AE46" i="31"/>
  <c r="Y98" i="31"/>
  <c r="AE14" i="31"/>
  <c r="V14" i="31" s="1"/>
  <c r="Y81" i="31"/>
  <c r="AE20" i="31"/>
  <c r="Y82" i="31"/>
  <c r="Y84" i="31"/>
  <c r="AE23" i="31"/>
  <c r="Y86" i="31" s="1"/>
  <c r="AE24" i="31"/>
  <c r="AE26" i="31"/>
  <c r="AE27" i="31"/>
  <c r="Y90" i="31" s="1"/>
  <c r="AE28" i="31"/>
  <c r="Y91" i="31" s="1"/>
  <c r="AE29" i="31"/>
  <c r="Y92" i="31" s="1"/>
  <c r="AE30" i="31"/>
  <c r="Y93" i="31" s="1"/>
  <c r="AE31" i="31"/>
  <c r="Y94" i="31" s="1"/>
  <c r="AE32" i="31"/>
  <c r="AE33" i="31"/>
  <c r="Y96" i="31" s="1"/>
  <c r="H35" i="31"/>
  <c r="H36" i="31"/>
  <c r="G36" i="31" s="1"/>
  <c r="F36" i="31" s="1"/>
  <c r="E36" i="31" s="1"/>
  <c r="H37" i="31"/>
  <c r="G37" i="31" s="1"/>
  <c r="F37" i="31" s="1"/>
  <c r="E37" i="31" s="1"/>
  <c r="H38" i="31"/>
  <c r="G38" i="31" s="1"/>
  <c r="H39" i="31"/>
  <c r="G39" i="31"/>
  <c r="F39" i="31" s="1"/>
  <c r="E39" i="31" s="1"/>
  <c r="BL39" i="31" s="1"/>
  <c r="H40" i="31"/>
  <c r="G40" i="31" s="1"/>
  <c r="F40" i="31" s="1"/>
  <c r="E40" i="31" s="1"/>
  <c r="H41" i="31"/>
  <c r="G41" i="31"/>
  <c r="F41" i="31" s="1"/>
  <c r="E41" i="31" s="1"/>
  <c r="H42" i="31"/>
  <c r="G42" i="31" s="1"/>
  <c r="F42" i="31" s="1"/>
  <c r="E42" i="31" s="1"/>
  <c r="H43" i="31"/>
  <c r="G43" i="31" s="1"/>
  <c r="F43" i="31" s="1"/>
  <c r="E43" i="31" s="1"/>
  <c r="H44" i="31"/>
  <c r="G44" i="31" s="1"/>
  <c r="F44" i="31" s="1"/>
  <c r="E44" i="31" s="1"/>
  <c r="H45" i="31"/>
  <c r="G45" i="31" s="1"/>
  <c r="M34" i="31"/>
  <c r="N34" i="31"/>
  <c r="P34" i="31"/>
  <c r="P25" i="31" s="1"/>
  <c r="Q34" i="31"/>
  <c r="R34" i="31"/>
  <c r="S34" i="31"/>
  <c r="T34" i="31"/>
  <c r="N97" i="31" s="1"/>
  <c r="U34" i="31"/>
  <c r="O97" i="31"/>
  <c r="W34" i="31"/>
  <c r="Q97" i="31"/>
  <c r="X34" i="31"/>
  <c r="R97" i="31" s="1"/>
  <c r="Y34" i="31"/>
  <c r="S97" i="31" s="1"/>
  <c r="Z34" i="31"/>
  <c r="T97" i="31"/>
  <c r="AA34" i="31"/>
  <c r="U97" i="31"/>
  <c r="W97" i="31"/>
  <c r="AD34" i="31"/>
  <c r="X97" i="31" s="1"/>
  <c r="D96" i="31"/>
  <c r="AD11" i="31"/>
  <c r="AD10" i="31" s="1"/>
  <c r="AD9" i="31" s="1"/>
  <c r="X80" i="31"/>
  <c r="X81" i="31"/>
  <c r="X82" i="31"/>
  <c r="X83" i="31"/>
  <c r="X84" i="31"/>
  <c r="X85" i="31"/>
  <c r="X86" i="31"/>
  <c r="X87" i="31"/>
  <c r="X89" i="31"/>
  <c r="X90" i="31"/>
  <c r="X91" i="31"/>
  <c r="X92" i="31"/>
  <c r="X93" i="31"/>
  <c r="X94" i="31"/>
  <c r="X95" i="31"/>
  <c r="H33" i="31"/>
  <c r="H96" i="31"/>
  <c r="I96" i="31"/>
  <c r="J96" i="31"/>
  <c r="K96" i="31"/>
  <c r="L96" i="31"/>
  <c r="M96" i="31"/>
  <c r="N96" i="31"/>
  <c r="O96" i="31"/>
  <c r="Q96" i="31"/>
  <c r="R96" i="31"/>
  <c r="S96" i="31"/>
  <c r="T96" i="31"/>
  <c r="U96" i="31"/>
  <c r="V96" i="31"/>
  <c r="W96" i="31"/>
  <c r="D95" i="31"/>
  <c r="W78" i="31"/>
  <c r="W80" i="31"/>
  <c r="W81" i="31"/>
  <c r="W82" i="31"/>
  <c r="W83" i="31"/>
  <c r="W84" i="31"/>
  <c r="W85" i="31"/>
  <c r="W86" i="31"/>
  <c r="W87" i="31"/>
  <c r="W89" i="31"/>
  <c r="W90" i="31"/>
  <c r="W91" i="31"/>
  <c r="W92" i="31"/>
  <c r="W93" i="31"/>
  <c r="W94" i="31"/>
  <c r="H32" i="31"/>
  <c r="G32" i="31" s="1"/>
  <c r="F32" i="31" s="1"/>
  <c r="E32" i="31" s="1"/>
  <c r="H95" i="31"/>
  <c r="I95" i="31"/>
  <c r="J95" i="31"/>
  <c r="K95" i="31"/>
  <c r="L95" i="31"/>
  <c r="M95" i="31"/>
  <c r="N95" i="31"/>
  <c r="O95" i="31"/>
  <c r="Q95" i="31"/>
  <c r="R95" i="31"/>
  <c r="S95" i="31"/>
  <c r="T95" i="31"/>
  <c r="U95" i="31"/>
  <c r="V95" i="31"/>
  <c r="D94" i="31"/>
  <c r="V80" i="31"/>
  <c r="V81" i="31"/>
  <c r="V82" i="31"/>
  <c r="V83" i="31"/>
  <c r="V84" i="31"/>
  <c r="V85" i="31"/>
  <c r="V86" i="31"/>
  <c r="V87" i="31"/>
  <c r="V89" i="31"/>
  <c r="V90" i="31"/>
  <c r="V91" i="31"/>
  <c r="V92" i="31"/>
  <c r="V93" i="31"/>
  <c r="H31" i="31"/>
  <c r="F94" i="31"/>
  <c r="H94" i="31"/>
  <c r="I94" i="31"/>
  <c r="J94" i="31"/>
  <c r="K94" i="31"/>
  <c r="L94" i="31"/>
  <c r="M94" i="31"/>
  <c r="N94" i="31"/>
  <c r="O94" i="31"/>
  <c r="Q94" i="31"/>
  <c r="R94" i="31"/>
  <c r="S94" i="31"/>
  <c r="T94" i="31"/>
  <c r="U94" i="31"/>
  <c r="D93" i="31"/>
  <c r="AA11" i="31"/>
  <c r="AA10" i="31" s="1"/>
  <c r="U78" i="31"/>
  <c r="U80" i="31"/>
  <c r="U81" i="31"/>
  <c r="U82" i="31"/>
  <c r="U83" i="31"/>
  <c r="U84" i="31"/>
  <c r="U85" i="31"/>
  <c r="U86" i="31"/>
  <c r="U87" i="31"/>
  <c r="U89" i="31"/>
  <c r="U90" i="31"/>
  <c r="U91" i="31"/>
  <c r="U92" i="31"/>
  <c r="H30" i="31"/>
  <c r="F93" i="31" s="1"/>
  <c r="H93" i="31"/>
  <c r="I93" i="31"/>
  <c r="J93" i="31"/>
  <c r="K93" i="31"/>
  <c r="L93" i="31"/>
  <c r="M93" i="31"/>
  <c r="N93" i="31"/>
  <c r="O93" i="31"/>
  <c r="Q93" i="31"/>
  <c r="R93" i="31"/>
  <c r="S93" i="31"/>
  <c r="T93" i="31"/>
  <c r="D92" i="31"/>
  <c r="Z11" i="31"/>
  <c r="Z10" i="31"/>
  <c r="Z9" i="31" s="1"/>
  <c r="T80" i="31"/>
  <c r="T81" i="31"/>
  <c r="T82" i="31"/>
  <c r="T83" i="31"/>
  <c r="T84" i="31"/>
  <c r="T85" i="31"/>
  <c r="T86" i="31"/>
  <c r="T87" i="31"/>
  <c r="T89" i="31"/>
  <c r="T90" i="31"/>
  <c r="T91" i="31"/>
  <c r="H29" i="31"/>
  <c r="H92" i="31"/>
  <c r="I92" i="31"/>
  <c r="J92" i="31"/>
  <c r="K92" i="31"/>
  <c r="L92" i="31"/>
  <c r="M92" i="31"/>
  <c r="N92" i="31"/>
  <c r="O92" i="31"/>
  <c r="Q92" i="31"/>
  <c r="R92" i="31"/>
  <c r="S92" i="31"/>
  <c r="D91" i="31"/>
  <c r="Y11" i="31"/>
  <c r="S80" i="31"/>
  <c r="S81" i="31"/>
  <c r="S82" i="31"/>
  <c r="S83" i="31"/>
  <c r="S84" i="31"/>
  <c r="S85" i="31"/>
  <c r="S86" i="31"/>
  <c r="S87" i="31"/>
  <c r="S89" i="31"/>
  <c r="S90" i="31"/>
  <c r="H28" i="31"/>
  <c r="H91" i="31"/>
  <c r="I91" i="31"/>
  <c r="J91" i="31"/>
  <c r="K91" i="31"/>
  <c r="L91" i="31"/>
  <c r="M91" i="31"/>
  <c r="N91" i="31"/>
  <c r="O91" i="31"/>
  <c r="Q91" i="31"/>
  <c r="R91" i="31"/>
  <c r="D90" i="31"/>
  <c r="X11" i="31"/>
  <c r="R80" i="31"/>
  <c r="R81" i="31"/>
  <c r="R82" i="31"/>
  <c r="R83" i="31"/>
  <c r="R84" i="31"/>
  <c r="R85" i="31"/>
  <c r="R86" i="31"/>
  <c r="R87" i="31"/>
  <c r="R89" i="31"/>
  <c r="H27" i="31"/>
  <c r="F90" i="31" s="1"/>
  <c r="H90" i="31"/>
  <c r="I90" i="31"/>
  <c r="J90" i="31"/>
  <c r="K90" i="31"/>
  <c r="L90" i="31"/>
  <c r="M90" i="31"/>
  <c r="N90" i="31"/>
  <c r="O90" i="31"/>
  <c r="Q90" i="31"/>
  <c r="D89" i="31"/>
  <c r="W11" i="31"/>
  <c r="Q78" i="31" s="1"/>
  <c r="Q80" i="31"/>
  <c r="Q81" i="31"/>
  <c r="Q82" i="31"/>
  <c r="Q83" i="31"/>
  <c r="Q84" i="31"/>
  <c r="Q85" i="31"/>
  <c r="Q86" i="31"/>
  <c r="Q87" i="31"/>
  <c r="H26" i="31"/>
  <c r="H89" i="31"/>
  <c r="I89" i="31"/>
  <c r="J89" i="31"/>
  <c r="K89" i="31"/>
  <c r="L89" i="31"/>
  <c r="M89" i="31"/>
  <c r="N89" i="31"/>
  <c r="O89" i="31"/>
  <c r="D87" i="31"/>
  <c r="U11" i="31"/>
  <c r="O80" i="31"/>
  <c r="O81" i="31"/>
  <c r="O82" i="31"/>
  <c r="O83" i="31"/>
  <c r="O84" i="31"/>
  <c r="O85" i="31"/>
  <c r="O86" i="31"/>
  <c r="H24" i="31"/>
  <c r="F87" i="31"/>
  <c r="H87" i="31"/>
  <c r="I87" i="31"/>
  <c r="J87" i="31"/>
  <c r="K87" i="31"/>
  <c r="L87" i="31"/>
  <c r="M87" i="31"/>
  <c r="N87" i="31"/>
  <c r="D86" i="31"/>
  <c r="T11" i="31"/>
  <c r="T10" i="31" s="1"/>
  <c r="T9" i="31" s="1"/>
  <c r="N80" i="31"/>
  <c r="N81" i="31"/>
  <c r="N82" i="31"/>
  <c r="N83" i="31"/>
  <c r="N84" i="31"/>
  <c r="N85" i="31"/>
  <c r="H23" i="31"/>
  <c r="F86" i="31" s="1"/>
  <c r="H86" i="31"/>
  <c r="I86" i="31"/>
  <c r="J86" i="31"/>
  <c r="K86" i="31"/>
  <c r="L86" i="31"/>
  <c r="M86" i="31"/>
  <c r="D85" i="31"/>
  <c r="S11" i="31"/>
  <c r="M80" i="31"/>
  <c r="M81" i="31"/>
  <c r="M82" i="31"/>
  <c r="M83" i="31"/>
  <c r="M84" i="31"/>
  <c r="H22" i="31"/>
  <c r="F85" i="31" s="1"/>
  <c r="H85" i="31"/>
  <c r="I85" i="31"/>
  <c r="J85" i="31"/>
  <c r="K85" i="31"/>
  <c r="L85" i="31"/>
  <c r="D84" i="31"/>
  <c r="R11" i="31"/>
  <c r="L80" i="31"/>
  <c r="L81" i="31"/>
  <c r="L82" i="31"/>
  <c r="L83" i="31"/>
  <c r="H19" i="31"/>
  <c r="F84" i="31"/>
  <c r="H84" i="31"/>
  <c r="I84" i="31"/>
  <c r="J84" i="31"/>
  <c r="K84" i="31"/>
  <c r="D83" i="31"/>
  <c r="Q11" i="31"/>
  <c r="K80" i="31"/>
  <c r="K81" i="31"/>
  <c r="K82" i="31"/>
  <c r="H21" i="31"/>
  <c r="H83" i="31"/>
  <c r="I83" i="31"/>
  <c r="J83" i="31"/>
  <c r="D82" i="31"/>
  <c r="P11" i="31"/>
  <c r="P10" i="31" s="1"/>
  <c r="J80" i="31"/>
  <c r="J81" i="31"/>
  <c r="H20" i="31"/>
  <c r="G20" i="31" s="1"/>
  <c r="F20" i="31" s="1"/>
  <c r="F82" i="31"/>
  <c r="H82" i="31"/>
  <c r="I82" i="31"/>
  <c r="D81" i="31"/>
  <c r="N11" i="31"/>
  <c r="I78" i="31" s="1"/>
  <c r="I80" i="31"/>
  <c r="H17" i="31"/>
  <c r="H81" i="31"/>
  <c r="D80" i="31"/>
  <c r="M11" i="31"/>
  <c r="H78" i="31" s="1"/>
  <c r="H16" i="31"/>
  <c r="F80" i="31" s="1"/>
  <c r="D79" i="31"/>
  <c r="G78" i="31"/>
  <c r="G80" i="31"/>
  <c r="G81" i="31"/>
  <c r="G82" i="31"/>
  <c r="G83" i="31"/>
  <c r="G84" i="31"/>
  <c r="G85" i="31"/>
  <c r="G86" i="31"/>
  <c r="G87" i="31"/>
  <c r="G89" i="31"/>
  <c r="G90" i="31"/>
  <c r="G91" i="31"/>
  <c r="G92" i="31"/>
  <c r="G93" i="31"/>
  <c r="G94" i="31"/>
  <c r="G95" i="31"/>
  <c r="G96" i="31"/>
  <c r="I34" i="31"/>
  <c r="G98" i="31"/>
  <c r="G99" i="31"/>
  <c r="G100" i="31"/>
  <c r="G101" i="31"/>
  <c r="G102" i="31"/>
  <c r="G103" i="31"/>
  <c r="G104" i="31"/>
  <c r="G105" i="31"/>
  <c r="G106" i="31"/>
  <c r="G107" i="31"/>
  <c r="G108" i="31"/>
  <c r="G109" i="31"/>
  <c r="G110" i="31"/>
  <c r="G111" i="31"/>
  <c r="G112" i="31"/>
  <c r="G113" i="31"/>
  <c r="G114" i="31"/>
  <c r="I63" i="31"/>
  <c r="H79" i="31"/>
  <c r="I79" i="31"/>
  <c r="J79" i="31"/>
  <c r="K79" i="31"/>
  <c r="L79" i="31"/>
  <c r="M79" i="31"/>
  <c r="N79" i="31"/>
  <c r="O79" i="31"/>
  <c r="Q79" i="31"/>
  <c r="R79" i="31"/>
  <c r="S79" i="31"/>
  <c r="T79" i="31"/>
  <c r="U79" i="31"/>
  <c r="V79" i="31"/>
  <c r="W79" i="31"/>
  <c r="X79" i="31"/>
  <c r="Z79" i="31"/>
  <c r="AA79" i="31"/>
  <c r="AB79" i="31"/>
  <c r="AC79" i="31"/>
  <c r="AD79" i="31"/>
  <c r="AE79" i="31"/>
  <c r="AF79" i="31"/>
  <c r="AG79" i="31"/>
  <c r="AH79" i="31"/>
  <c r="AI79" i="31"/>
  <c r="AJ79" i="31"/>
  <c r="AK79" i="31"/>
  <c r="AL79" i="31"/>
  <c r="AM79" i="31"/>
  <c r="AN79" i="31"/>
  <c r="AO79" i="31"/>
  <c r="AP79" i="31"/>
  <c r="BJ11" i="31"/>
  <c r="BJ10" i="31"/>
  <c r="BJ9" i="31" s="1"/>
  <c r="BJ18" i="31"/>
  <c r="BI11" i="31"/>
  <c r="BI10" i="31" s="1"/>
  <c r="BI9" i="31" s="1"/>
  <c r="BI18" i="31"/>
  <c r="BG18" i="31"/>
  <c r="BF18" i="31"/>
  <c r="BE18" i="31"/>
  <c r="BD10" i="31"/>
  <c r="BD9" i="31" s="1"/>
  <c r="BD8" i="31" s="1"/>
  <c r="BD67" i="31" s="1"/>
  <c r="D19" i="78" s="1"/>
  <c r="BD18" i="31"/>
  <c r="G58" i="31"/>
  <c r="F58" i="31"/>
  <c r="E58" i="31" s="1"/>
  <c r="BL58" i="31" s="1"/>
  <c r="BB18" i="31"/>
  <c r="G57" i="31"/>
  <c r="F57" i="31"/>
  <c r="E57" i="31" s="1"/>
  <c r="BL57" i="31" s="1"/>
  <c r="BA10" i="31"/>
  <c r="BA9" i="31" s="1"/>
  <c r="BA18" i="31"/>
  <c r="AZ18" i="31"/>
  <c r="AX18" i="31"/>
  <c r="G53" i="31"/>
  <c r="F53" i="31" s="1"/>
  <c r="E53" i="31" s="1"/>
  <c r="AW10" i="31"/>
  <c r="AW9" i="31" s="1"/>
  <c r="AW18" i="31"/>
  <c r="AV18" i="31"/>
  <c r="AS18" i="31"/>
  <c r="AR18" i="31"/>
  <c r="AQ18" i="31"/>
  <c r="AP18" i="31"/>
  <c r="AP63" i="31"/>
  <c r="F45" i="31"/>
  <c r="E45" i="31" s="1"/>
  <c r="BH45" i="31"/>
  <c r="AO11" i="31"/>
  <c r="AO10" i="31" s="1"/>
  <c r="AO9" i="31" s="1"/>
  <c r="AO8" i="31" s="1"/>
  <c r="AO18" i="31"/>
  <c r="AO63" i="31"/>
  <c r="BH44" i="31"/>
  <c r="AN11" i="31"/>
  <c r="AN10" i="31" s="1"/>
  <c r="AN9" i="31" s="1"/>
  <c r="AN18" i="31"/>
  <c r="AN63" i="31"/>
  <c r="BH43" i="31"/>
  <c r="BH42" i="31"/>
  <c r="BH41" i="31"/>
  <c r="AK11" i="31"/>
  <c r="AK10" i="31" s="1"/>
  <c r="AK9" i="31" s="1"/>
  <c r="AK18" i="31"/>
  <c r="AK63" i="31"/>
  <c r="BH40" i="31"/>
  <c r="AJ11" i="31"/>
  <c r="AJ10" i="31"/>
  <c r="AJ9" i="31" s="1"/>
  <c r="AJ18" i="31"/>
  <c r="AJ63" i="31"/>
  <c r="BH39" i="31"/>
  <c r="AI63" i="31"/>
  <c r="F38" i="31"/>
  <c r="E38" i="31" s="1"/>
  <c r="BH38" i="31"/>
  <c r="AH11" i="31"/>
  <c r="AH10" i="31"/>
  <c r="AH9" i="31" s="1"/>
  <c r="AH18" i="31"/>
  <c r="AH63" i="31"/>
  <c r="S20" i="89" s="1"/>
  <c r="BH37" i="31"/>
  <c r="AG18" i="31"/>
  <c r="BH36" i="31"/>
  <c r="AF11" i="31"/>
  <c r="AF10" i="31" s="1"/>
  <c r="AF9" i="31" s="1"/>
  <c r="AF18" i="31"/>
  <c r="AF63" i="31"/>
  <c r="AD18" i="31"/>
  <c r="BL32" i="31"/>
  <c r="G31" i="31"/>
  <c r="F31" i="31" s="1"/>
  <c r="E31" i="31" s="1"/>
  <c r="AA9" i="31"/>
  <c r="AA18" i="31"/>
  <c r="Z18" i="31"/>
  <c r="Y18" i="31"/>
  <c r="X18" i="31"/>
  <c r="G27" i="31"/>
  <c r="F27" i="31" s="1"/>
  <c r="W18" i="31"/>
  <c r="U18" i="31"/>
  <c r="U25" i="31"/>
  <c r="G24" i="31"/>
  <c r="F24" i="31" s="1"/>
  <c r="O24" i="31"/>
  <c r="T18" i="31"/>
  <c r="T25" i="31"/>
  <c r="O23" i="31"/>
  <c r="S18" i="31"/>
  <c r="G22" i="31"/>
  <c r="G19" i="31"/>
  <c r="F19" i="31" s="1"/>
  <c r="N18" i="31"/>
  <c r="O17" i="31"/>
  <c r="M18" i="31"/>
  <c r="L18" i="31"/>
  <c r="L34" i="31"/>
  <c r="L25" i="31"/>
  <c r="L63" i="31"/>
  <c r="H15" i="31"/>
  <c r="O15" i="31"/>
  <c r="AE15" i="31"/>
  <c r="V15" i="31" s="1"/>
  <c r="BH15" i="31"/>
  <c r="K18" i="31"/>
  <c r="K34" i="31"/>
  <c r="K25" i="31"/>
  <c r="K63" i="31"/>
  <c r="O14" i="31"/>
  <c r="J18" i="31"/>
  <c r="J34" i="31"/>
  <c r="J25" i="31" s="1"/>
  <c r="J63" i="31"/>
  <c r="O13" i="31"/>
  <c r="I18" i="31"/>
  <c r="O12" i="31"/>
  <c r="L11" i="31"/>
  <c r="BK11" i="31"/>
  <c r="BK10" i="31" s="1"/>
  <c r="BK9" i="31" s="1"/>
  <c r="BK18" i="31"/>
  <c r="O34" i="31"/>
  <c r="O25" i="31" s="1"/>
  <c r="O63" i="31"/>
  <c r="G17" i="31"/>
  <c r="BH35" i="31"/>
  <c r="O16" i="31"/>
  <c r="N10" i="31"/>
  <c r="AQ78" i="32"/>
  <c r="AQ80" i="32"/>
  <c r="AQ81" i="32"/>
  <c r="AQ82" i="32"/>
  <c r="AQ83" i="32"/>
  <c r="AQ84" i="32"/>
  <c r="AQ85" i="32"/>
  <c r="AQ86" i="32"/>
  <c r="AQ87" i="32"/>
  <c r="AQ89" i="32"/>
  <c r="AQ90" i="32"/>
  <c r="AQ91" i="32"/>
  <c r="AQ92" i="32"/>
  <c r="AQ93" i="32"/>
  <c r="AQ94" i="32"/>
  <c r="AQ95" i="32"/>
  <c r="AQ98" i="32"/>
  <c r="AQ99" i="32"/>
  <c r="AQ100" i="32"/>
  <c r="AQ101" i="32"/>
  <c r="AQ102" i="32"/>
  <c r="AQ103" i="32"/>
  <c r="AQ104" i="32"/>
  <c r="AQ105" i="32"/>
  <c r="AQ106" i="32"/>
  <c r="AQ107" i="32"/>
  <c r="AQ108" i="32"/>
  <c r="AQ109" i="32"/>
  <c r="AQ110" i="32"/>
  <c r="AQ111" i="32"/>
  <c r="AQ112" i="32"/>
  <c r="AQ113" i="32"/>
  <c r="H115" i="32"/>
  <c r="I115" i="32"/>
  <c r="K115" i="32"/>
  <c r="L115" i="32"/>
  <c r="Q115" i="32"/>
  <c r="R115" i="32"/>
  <c r="S115" i="32"/>
  <c r="T115" i="32"/>
  <c r="U115" i="32"/>
  <c r="V115" i="32"/>
  <c r="W115" i="32"/>
  <c r="X115" i="32"/>
  <c r="AB115" i="32"/>
  <c r="AC115" i="32"/>
  <c r="AD115" i="32"/>
  <c r="AF115" i="32"/>
  <c r="AH115" i="32"/>
  <c r="AI115" i="32"/>
  <c r="AJ115" i="32"/>
  <c r="AL115" i="32"/>
  <c r="AM115" i="32"/>
  <c r="AN115" i="32"/>
  <c r="AO115" i="32"/>
  <c r="AP115" i="32"/>
  <c r="D114" i="32"/>
  <c r="AP78" i="32"/>
  <c r="AP80" i="32"/>
  <c r="AP81" i="32"/>
  <c r="AP82" i="32"/>
  <c r="AP83" i="32"/>
  <c r="AP84" i="32"/>
  <c r="AP85" i="32"/>
  <c r="AP86" i="32"/>
  <c r="AP87" i="32"/>
  <c r="AP89" i="32"/>
  <c r="AP90" i="32"/>
  <c r="AP91" i="32"/>
  <c r="AP92" i="32"/>
  <c r="AP93" i="32"/>
  <c r="AP94" i="32"/>
  <c r="AP95" i="32"/>
  <c r="AP96" i="32"/>
  <c r="AP97" i="32"/>
  <c r="AP98" i="32"/>
  <c r="AP99" i="32"/>
  <c r="AP100" i="32"/>
  <c r="AP101" i="32"/>
  <c r="AP102" i="32"/>
  <c r="AP103" i="32"/>
  <c r="AP104" i="32"/>
  <c r="AP105" i="32"/>
  <c r="AP106" i="32"/>
  <c r="AP107" i="32"/>
  <c r="AP108" i="32"/>
  <c r="AP109" i="32"/>
  <c r="AP110" i="32"/>
  <c r="AP111" i="32"/>
  <c r="AP112" i="32"/>
  <c r="AP113" i="32"/>
  <c r="F114" i="32"/>
  <c r="H114" i="32"/>
  <c r="I114" i="32"/>
  <c r="J114" i="32"/>
  <c r="K114" i="32"/>
  <c r="L114" i="32"/>
  <c r="M114" i="32"/>
  <c r="N114" i="32"/>
  <c r="O114" i="32"/>
  <c r="Q114" i="32"/>
  <c r="R114" i="32"/>
  <c r="S114" i="32"/>
  <c r="T114" i="32"/>
  <c r="U114" i="32"/>
  <c r="V114" i="32"/>
  <c r="W114" i="32"/>
  <c r="X114" i="32"/>
  <c r="Y114" i="32"/>
  <c r="Z114" i="32"/>
  <c r="AA114" i="32"/>
  <c r="AB114" i="32"/>
  <c r="AC114" i="32"/>
  <c r="AD114" i="32"/>
  <c r="AE114" i="32"/>
  <c r="AF114" i="32"/>
  <c r="AG114" i="32"/>
  <c r="AH114" i="32"/>
  <c r="AI114" i="32"/>
  <c r="AJ114" i="32"/>
  <c r="AK114" i="32"/>
  <c r="AL114" i="32"/>
  <c r="AM114" i="32"/>
  <c r="AN114" i="32"/>
  <c r="AO114" i="32"/>
  <c r="D113" i="32"/>
  <c r="AO78" i="32"/>
  <c r="AO80" i="32"/>
  <c r="AO81" i="32"/>
  <c r="AO82" i="32"/>
  <c r="AO83" i="32"/>
  <c r="AO84" i="32"/>
  <c r="AO85" i="32"/>
  <c r="AO86" i="32"/>
  <c r="AO87" i="32"/>
  <c r="AO89" i="32"/>
  <c r="AO90" i="32"/>
  <c r="AO91" i="32"/>
  <c r="AO92" i="32"/>
  <c r="AO93" i="32"/>
  <c r="AO94" i="32"/>
  <c r="AO95" i="32"/>
  <c r="AO96" i="32"/>
  <c r="AO98" i="32"/>
  <c r="AO99" i="32"/>
  <c r="AO100" i="32"/>
  <c r="AO101" i="32"/>
  <c r="AO102" i="32"/>
  <c r="AO103" i="32"/>
  <c r="AO104" i="32"/>
  <c r="AO105" i="32"/>
  <c r="AO106" i="32"/>
  <c r="AO107" i="32"/>
  <c r="AO108" i="32"/>
  <c r="AO109" i="32"/>
  <c r="AO110" i="32"/>
  <c r="AO111" i="32"/>
  <c r="AO112" i="32"/>
  <c r="F113" i="32"/>
  <c r="H113" i="32"/>
  <c r="I113" i="32"/>
  <c r="J113" i="32"/>
  <c r="K113" i="32"/>
  <c r="L113" i="32"/>
  <c r="M113" i="32"/>
  <c r="N113" i="32"/>
  <c r="O113" i="32"/>
  <c r="Q113" i="32"/>
  <c r="R113" i="32"/>
  <c r="S113" i="32"/>
  <c r="T113" i="32"/>
  <c r="U113" i="32"/>
  <c r="V113" i="32"/>
  <c r="W113" i="32"/>
  <c r="X113" i="32"/>
  <c r="Z113" i="32"/>
  <c r="AA113" i="32"/>
  <c r="AB113" i="32"/>
  <c r="AC113" i="32"/>
  <c r="AD113" i="32"/>
  <c r="AE113" i="32"/>
  <c r="AF113" i="32"/>
  <c r="AG113" i="32"/>
  <c r="AH113" i="32"/>
  <c r="AI113" i="32"/>
  <c r="AJ113" i="32"/>
  <c r="AK113" i="32"/>
  <c r="AL113" i="32"/>
  <c r="AM113" i="32"/>
  <c r="AN113" i="32"/>
  <c r="D112" i="32"/>
  <c r="AN78" i="32"/>
  <c r="AN80" i="32"/>
  <c r="AN81" i="32"/>
  <c r="AN82" i="32"/>
  <c r="AN83" i="32"/>
  <c r="AN84" i="32"/>
  <c r="AN85" i="32"/>
  <c r="AN86" i="32"/>
  <c r="AN87" i="32"/>
  <c r="AN89" i="32"/>
  <c r="AN90" i="32"/>
  <c r="AN91" i="32"/>
  <c r="AN92" i="32"/>
  <c r="AN93" i="32"/>
  <c r="AN94" i="32"/>
  <c r="AN95" i="32"/>
  <c r="AN96" i="32"/>
  <c r="AN98" i="32"/>
  <c r="AN99" i="32"/>
  <c r="AN100" i="32"/>
  <c r="AN101" i="32"/>
  <c r="AN102" i="32"/>
  <c r="AN103" i="32"/>
  <c r="AN104" i="32"/>
  <c r="AN105" i="32"/>
  <c r="AN106" i="32"/>
  <c r="AN107" i="32"/>
  <c r="AN108" i="32"/>
  <c r="AN109" i="32"/>
  <c r="AN110" i="32"/>
  <c r="AN111" i="32"/>
  <c r="F112" i="32"/>
  <c r="H112" i="32"/>
  <c r="I112" i="32"/>
  <c r="J112" i="32"/>
  <c r="K112" i="32"/>
  <c r="L112" i="32"/>
  <c r="M112" i="32"/>
  <c r="N112" i="32"/>
  <c r="O112" i="32"/>
  <c r="Q112" i="32"/>
  <c r="R112" i="32"/>
  <c r="S112" i="32"/>
  <c r="T112" i="32"/>
  <c r="U112" i="32"/>
  <c r="V112" i="32"/>
  <c r="W112" i="32"/>
  <c r="X112" i="32"/>
  <c r="Z112" i="32"/>
  <c r="AA112" i="32"/>
  <c r="AB112" i="32"/>
  <c r="AC112" i="32"/>
  <c r="AD112" i="32"/>
  <c r="AE112" i="32"/>
  <c r="AF112" i="32"/>
  <c r="AG112" i="32"/>
  <c r="AH112" i="32"/>
  <c r="AI112" i="32"/>
  <c r="AJ112" i="32"/>
  <c r="AK112" i="32"/>
  <c r="AL112" i="32"/>
  <c r="AM112" i="32"/>
  <c r="D111" i="32"/>
  <c r="AM78" i="32"/>
  <c r="AM80" i="32"/>
  <c r="AM81" i="32"/>
  <c r="AM82" i="32"/>
  <c r="AM83" i="32"/>
  <c r="AM84" i="32"/>
  <c r="AM85" i="32"/>
  <c r="AM86" i="32"/>
  <c r="AM87" i="32"/>
  <c r="AM89" i="32"/>
  <c r="AM90" i="32"/>
  <c r="AM91" i="32"/>
  <c r="AM92" i="32"/>
  <c r="AM93" i="32"/>
  <c r="AM94" i="32"/>
  <c r="AM95" i="32"/>
  <c r="AM96" i="32"/>
  <c r="AM98" i="32"/>
  <c r="AM99" i="32"/>
  <c r="AM100" i="32"/>
  <c r="AM101" i="32"/>
  <c r="AM102" i="32"/>
  <c r="AM103" i="32"/>
  <c r="AM104" i="32"/>
  <c r="AM105" i="32"/>
  <c r="AM106" i="32"/>
  <c r="AM107" i="32"/>
  <c r="AM108" i="32"/>
  <c r="AM109" i="32"/>
  <c r="AM110" i="32"/>
  <c r="F111" i="32"/>
  <c r="H111" i="32"/>
  <c r="I111" i="32"/>
  <c r="J111" i="32"/>
  <c r="K111" i="32"/>
  <c r="L111" i="32"/>
  <c r="M111" i="32"/>
  <c r="N111" i="32"/>
  <c r="O111" i="32"/>
  <c r="Q111" i="32"/>
  <c r="R111" i="32"/>
  <c r="S111" i="32"/>
  <c r="T111" i="32"/>
  <c r="U111" i="32"/>
  <c r="V111" i="32"/>
  <c r="W111" i="32"/>
  <c r="X111" i="32"/>
  <c r="Y111" i="32"/>
  <c r="Z111" i="32"/>
  <c r="AA111" i="32"/>
  <c r="AB111" i="32"/>
  <c r="AC111" i="32"/>
  <c r="AD111" i="32"/>
  <c r="AE111" i="32"/>
  <c r="AF111" i="32"/>
  <c r="AG111" i="32"/>
  <c r="AH111" i="32"/>
  <c r="AI111" i="32"/>
  <c r="AJ111" i="32"/>
  <c r="AK111" i="32"/>
  <c r="AL111" i="32"/>
  <c r="D110" i="32"/>
  <c r="AL80" i="32"/>
  <c r="AL81" i="32"/>
  <c r="AL82" i="32"/>
  <c r="AL83" i="32"/>
  <c r="AL84" i="32"/>
  <c r="AL85" i="32"/>
  <c r="AL86" i="32"/>
  <c r="AL87" i="32"/>
  <c r="AL89" i="32"/>
  <c r="AL90" i="32"/>
  <c r="AL91" i="32"/>
  <c r="AL92" i="32"/>
  <c r="AL93" i="32"/>
  <c r="AL94" i="32"/>
  <c r="AL95" i="32"/>
  <c r="AL96" i="32"/>
  <c r="AL97" i="32"/>
  <c r="AL98" i="32"/>
  <c r="AL99" i="32"/>
  <c r="AL100" i="32"/>
  <c r="AL101" i="32"/>
  <c r="AL102" i="32"/>
  <c r="AL103" i="32"/>
  <c r="AL104" i="32"/>
  <c r="AL105" i="32"/>
  <c r="AL106" i="32"/>
  <c r="AL107" i="32"/>
  <c r="AL108" i="32"/>
  <c r="AL109" i="32"/>
  <c r="F110" i="32"/>
  <c r="H110" i="32"/>
  <c r="I110" i="32"/>
  <c r="J110" i="32"/>
  <c r="K110" i="32"/>
  <c r="L110" i="32"/>
  <c r="M110" i="32"/>
  <c r="N110" i="32"/>
  <c r="O110" i="32"/>
  <c r="Q110" i="32"/>
  <c r="R110" i="32"/>
  <c r="S110" i="32"/>
  <c r="T110" i="32"/>
  <c r="U110" i="32"/>
  <c r="V110" i="32"/>
  <c r="W110" i="32"/>
  <c r="X110" i="32"/>
  <c r="Y110" i="32"/>
  <c r="Z110" i="32"/>
  <c r="AA110" i="32"/>
  <c r="AB110" i="32"/>
  <c r="AC110" i="32"/>
  <c r="AD110" i="32"/>
  <c r="AE110" i="32"/>
  <c r="AF110" i="32"/>
  <c r="AG110" i="32"/>
  <c r="AH110" i="32"/>
  <c r="AI110" i="32"/>
  <c r="AJ110" i="32"/>
  <c r="AK110" i="32"/>
  <c r="D109" i="32"/>
  <c r="AK80" i="32"/>
  <c r="AK81" i="32"/>
  <c r="AK82" i="32"/>
  <c r="AK83" i="32"/>
  <c r="AK84" i="32"/>
  <c r="AK85" i="32"/>
  <c r="AK86" i="32"/>
  <c r="AK87" i="32"/>
  <c r="AK89" i="32"/>
  <c r="AK90" i="32"/>
  <c r="AK91" i="32"/>
  <c r="AK92" i="32"/>
  <c r="AK93" i="32"/>
  <c r="AK94" i="32"/>
  <c r="AK95" i="32"/>
  <c r="AK96" i="32"/>
  <c r="AK97" i="32"/>
  <c r="AK98" i="32"/>
  <c r="AK99" i="32"/>
  <c r="AK100" i="32"/>
  <c r="AK101" i="32"/>
  <c r="AK102" i="32"/>
  <c r="AK103" i="32"/>
  <c r="AK104" i="32"/>
  <c r="AK105" i="32"/>
  <c r="AK106" i="32"/>
  <c r="AK107" i="32"/>
  <c r="AK108" i="32"/>
  <c r="F109" i="32"/>
  <c r="H109" i="32"/>
  <c r="I109" i="32"/>
  <c r="J109" i="32"/>
  <c r="K109" i="32"/>
  <c r="L109" i="32"/>
  <c r="M109" i="32"/>
  <c r="N109" i="32"/>
  <c r="O109" i="32"/>
  <c r="Q109" i="32"/>
  <c r="R109" i="32"/>
  <c r="S109" i="32"/>
  <c r="T109" i="32"/>
  <c r="U109" i="32"/>
  <c r="V109" i="32"/>
  <c r="W109" i="32"/>
  <c r="X109" i="32"/>
  <c r="Y109" i="32"/>
  <c r="Z109" i="32"/>
  <c r="AA109" i="32"/>
  <c r="AB109" i="32"/>
  <c r="AC109" i="32"/>
  <c r="AD109" i="32"/>
  <c r="AE109" i="32"/>
  <c r="AF109" i="32"/>
  <c r="AG109" i="32"/>
  <c r="AH109" i="32"/>
  <c r="AI109" i="32"/>
  <c r="AJ109" i="32"/>
  <c r="D108" i="32"/>
  <c r="AJ78" i="32"/>
  <c r="AJ80" i="32"/>
  <c r="AJ81" i="32"/>
  <c r="AJ82" i="32"/>
  <c r="AJ83" i="32"/>
  <c r="AJ84" i="32"/>
  <c r="AJ85" i="32"/>
  <c r="AJ86" i="32"/>
  <c r="AJ87" i="32"/>
  <c r="AJ89" i="32"/>
  <c r="AJ90" i="32"/>
  <c r="AJ91" i="32"/>
  <c r="AJ92" i="32"/>
  <c r="AJ93" i="32"/>
  <c r="AJ94" i="32"/>
  <c r="AJ95" i="32"/>
  <c r="AJ96" i="32"/>
  <c r="AJ97" i="32"/>
  <c r="AJ98" i="32"/>
  <c r="AJ99" i="32"/>
  <c r="AJ100" i="32"/>
  <c r="AJ101" i="32"/>
  <c r="AJ102" i="32"/>
  <c r="AJ103" i="32"/>
  <c r="AJ104" i="32"/>
  <c r="AJ105" i="32"/>
  <c r="AJ106" i="32"/>
  <c r="AJ107" i="32"/>
  <c r="F108" i="32"/>
  <c r="H108" i="32"/>
  <c r="I108" i="32"/>
  <c r="J108" i="32"/>
  <c r="K108" i="32"/>
  <c r="L108" i="32"/>
  <c r="M108" i="32"/>
  <c r="N108" i="32"/>
  <c r="O108" i="32"/>
  <c r="Q108" i="32"/>
  <c r="R108" i="32"/>
  <c r="S108" i="32"/>
  <c r="T108" i="32"/>
  <c r="U108" i="32"/>
  <c r="V108" i="32"/>
  <c r="W108" i="32"/>
  <c r="X108" i="32"/>
  <c r="Y108" i="32"/>
  <c r="Z108" i="32"/>
  <c r="AA108" i="32"/>
  <c r="AB108" i="32"/>
  <c r="AC108" i="32"/>
  <c r="AD108" i="32"/>
  <c r="AE108" i="32"/>
  <c r="AF108" i="32"/>
  <c r="AG108" i="32"/>
  <c r="AH108" i="32"/>
  <c r="AI108" i="32"/>
  <c r="D107" i="32"/>
  <c r="AI80" i="32"/>
  <c r="AI81" i="32"/>
  <c r="AI82" i="32"/>
  <c r="AI83" i="32"/>
  <c r="AI84" i="32"/>
  <c r="AI85" i="32"/>
  <c r="AI86" i="32"/>
  <c r="AI87" i="32"/>
  <c r="AI89" i="32"/>
  <c r="AI90" i="32"/>
  <c r="AI91" i="32"/>
  <c r="AI92" i="32"/>
  <c r="AI93" i="32"/>
  <c r="AI94" i="32"/>
  <c r="AI95" i="32"/>
  <c r="AI96" i="32"/>
  <c r="AI98" i="32"/>
  <c r="AI99" i="32"/>
  <c r="AI100" i="32"/>
  <c r="AI101" i="32"/>
  <c r="AI102" i="32"/>
  <c r="AI103" i="32"/>
  <c r="AI104" i="32"/>
  <c r="AI105" i="32"/>
  <c r="AI106" i="32"/>
  <c r="F107" i="32"/>
  <c r="H107" i="32"/>
  <c r="I107" i="32"/>
  <c r="J107" i="32"/>
  <c r="K107" i="32"/>
  <c r="L107" i="32"/>
  <c r="M107" i="32"/>
  <c r="N107" i="32"/>
  <c r="O107" i="32"/>
  <c r="Q107" i="32"/>
  <c r="R107" i="32"/>
  <c r="S107" i="32"/>
  <c r="T107" i="32"/>
  <c r="U107" i="32"/>
  <c r="V107" i="32"/>
  <c r="W107" i="32"/>
  <c r="X107" i="32"/>
  <c r="Y107" i="32"/>
  <c r="Z107" i="32"/>
  <c r="AA107" i="32"/>
  <c r="AB107" i="32"/>
  <c r="AC107" i="32"/>
  <c r="AD107" i="32"/>
  <c r="AE107" i="32"/>
  <c r="AF107" i="32"/>
  <c r="AG107" i="32"/>
  <c r="AH107" i="32"/>
  <c r="D106" i="32"/>
  <c r="AH78" i="32"/>
  <c r="AH80" i="32"/>
  <c r="AH81" i="32"/>
  <c r="AH82" i="32"/>
  <c r="AH83" i="32"/>
  <c r="AH84" i="32"/>
  <c r="AH85" i="32"/>
  <c r="AH86" i="32"/>
  <c r="AH87" i="32"/>
  <c r="AH89" i="32"/>
  <c r="AH90" i="32"/>
  <c r="AH91" i="32"/>
  <c r="AH92" i="32"/>
  <c r="AH93" i="32"/>
  <c r="AH94" i="32"/>
  <c r="AH95" i="32"/>
  <c r="AH96" i="32"/>
  <c r="AH98" i="32"/>
  <c r="AH99" i="32"/>
  <c r="AH100" i="32"/>
  <c r="AH101" i="32"/>
  <c r="AH102" i="32"/>
  <c r="AH103" i="32"/>
  <c r="AH104" i="32"/>
  <c r="AH105" i="32"/>
  <c r="F106" i="32"/>
  <c r="H106" i="32"/>
  <c r="I106" i="32"/>
  <c r="J106" i="32"/>
  <c r="K106" i="32"/>
  <c r="L106" i="32"/>
  <c r="M106" i="32"/>
  <c r="N106" i="32"/>
  <c r="O106" i="32"/>
  <c r="Q106" i="32"/>
  <c r="R106" i="32"/>
  <c r="S106" i="32"/>
  <c r="T106" i="32"/>
  <c r="U106" i="32"/>
  <c r="V106" i="32"/>
  <c r="W106" i="32"/>
  <c r="X106" i="32"/>
  <c r="Y106" i="32"/>
  <c r="Z106" i="32"/>
  <c r="AA106" i="32"/>
  <c r="AB106" i="32"/>
  <c r="AC106" i="32"/>
  <c r="AD106" i="32"/>
  <c r="AE106" i="32"/>
  <c r="AF106" i="32"/>
  <c r="AG106" i="32"/>
  <c r="D105" i="32"/>
  <c r="AG78" i="32"/>
  <c r="AG80" i="32"/>
  <c r="AG81" i="32"/>
  <c r="AG82" i="32"/>
  <c r="AG83" i="32"/>
  <c r="AG84" i="32"/>
  <c r="AG85" i="32"/>
  <c r="AG86" i="32"/>
  <c r="AG87" i="32"/>
  <c r="AG89" i="32"/>
  <c r="AG90" i="32"/>
  <c r="AG91" i="32"/>
  <c r="AG92" i="32"/>
  <c r="AG93" i="32"/>
  <c r="AG94" i="32"/>
  <c r="AG95" i="32"/>
  <c r="AG96" i="32"/>
  <c r="AG97" i="32"/>
  <c r="AG98" i="32"/>
  <c r="AG99" i="32"/>
  <c r="AG100" i="32"/>
  <c r="AG101" i="32"/>
  <c r="AG102" i="32"/>
  <c r="AG103" i="32"/>
  <c r="AG104" i="32"/>
  <c r="H105" i="32"/>
  <c r="I105" i="32"/>
  <c r="J105" i="32"/>
  <c r="K105" i="32"/>
  <c r="L105" i="32"/>
  <c r="M105" i="32"/>
  <c r="N105" i="32"/>
  <c r="O105" i="32"/>
  <c r="Q105" i="32"/>
  <c r="R105" i="32"/>
  <c r="S105" i="32"/>
  <c r="T105" i="32"/>
  <c r="U105" i="32"/>
  <c r="V105" i="32"/>
  <c r="W105" i="32"/>
  <c r="X105" i="32"/>
  <c r="Z105" i="32"/>
  <c r="AA105" i="32"/>
  <c r="AB105" i="32"/>
  <c r="AC105" i="32"/>
  <c r="AD105" i="32"/>
  <c r="AE105" i="32"/>
  <c r="AF105" i="32"/>
  <c r="D104" i="32"/>
  <c r="AF78" i="32"/>
  <c r="AF80" i="32"/>
  <c r="AF81" i="32"/>
  <c r="AF82" i="32"/>
  <c r="AF83" i="32"/>
  <c r="AF84" i="32"/>
  <c r="AF85" i="32"/>
  <c r="AF86" i="32"/>
  <c r="AF87" i="32"/>
  <c r="AF89" i="32"/>
  <c r="AF90" i="32"/>
  <c r="AF91" i="32"/>
  <c r="AF92" i="32"/>
  <c r="AF93" i="32"/>
  <c r="AF94" i="32"/>
  <c r="AF95" i="32"/>
  <c r="AF96" i="32"/>
  <c r="AF98" i="32"/>
  <c r="AF99" i="32"/>
  <c r="AF100" i="32"/>
  <c r="AF101" i="32"/>
  <c r="AF102" i="32"/>
  <c r="AF103" i="32"/>
  <c r="F104" i="32"/>
  <c r="H104" i="32"/>
  <c r="I104" i="32"/>
  <c r="J104" i="32"/>
  <c r="K104" i="32"/>
  <c r="L104" i="32"/>
  <c r="M104" i="32"/>
  <c r="N104" i="32"/>
  <c r="O104" i="32"/>
  <c r="Q104" i="32"/>
  <c r="R104" i="32"/>
  <c r="S104" i="32"/>
  <c r="T104" i="32"/>
  <c r="U104" i="32"/>
  <c r="V104" i="32"/>
  <c r="W104" i="32"/>
  <c r="X104" i="32"/>
  <c r="Y104" i="32"/>
  <c r="Z104" i="32"/>
  <c r="AA104" i="32"/>
  <c r="AB104" i="32"/>
  <c r="AC104" i="32"/>
  <c r="AD104" i="32"/>
  <c r="AE104" i="32"/>
  <c r="D103" i="32"/>
  <c r="AE78" i="32"/>
  <c r="AE80" i="32"/>
  <c r="AE81" i="32"/>
  <c r="AE82" i="32"/>
  <c r="AE83" i="32"/>
  <c r="AE84" i="32"/>
  <c r="AE85" i="32"/>
  <c r="AE86" i="32"/>
  <c r="AE87" i="32"/>
  <c r="AE89" i="32"/>
  <c r="AE90" i="32"/>
  <c r="AE91" i="32"/>
  <c r="AE92" i="32"/>
  <c r="AE93" i="32"/>
  <c r="AE94" i="32"/>
  <c r="AE95" i="32"/>
  <c r="AE96" i="32"/>
  <c r="AE97" i="32"/>
  <c r="AE98" i="32"/>
  <c r="AE99" i="32"/>
  <c r="AE100" i="32"/>
  <c r="AE101" i="32"/>
  <c r="AE102" i="32"/>
  <c r="F103" i="32"/>
  <c r="H103" i="32"/>
  <c r="I103" i="32"/>
  <c r="J103" i="32"/>
  <c r="K103" i="32"/>
  <c r="L103" i="32"/>
  <c r="M103" i="32"/>
  <c r="N103" i="32"/>
  <c r="O103" i="32"/>
  <c r="E103" i="32" s="1"/>
  <c r="Q103" i="32"/>
  <c r="R103" i="32"/>
  <c r="S103" i="32"/>
  <c r="T103" i="32"/>
  <c r="U103" i="32"/>
  <c r="V103" i="32"/>
  <c r="W103" i="32"/>
  <c r="X103" i="32"/>
  <c r="Y103" i="32"/>
  <c r="Z103" i="32"/>
  <c r="AA103" i="32"/>
  <c r="AB103" i="32"/>
  <c r="AC103" i="32"/>
  <c r="AD103" i="32"/>
  <c r="AD116" i="32" s="1"/>
  <c r="D102" i="32"/>
  <c r="AD78" i="32"/>
  <c r="AD80" i="32"/>
  <c r="AD81" i="32"/>
  <c r="AD82" i="32"/>
  <c r="AD83" i="32"/>
  <c r="AD84" i="32"/>
  <c r="AD85" i="32"/>
  <c r="AD86" i="32"/>
  <c r="AD87" i="32"/>
  <c r="AD89" i="32"/>
  <c r="AD90" i="32"/>
  <c r="AD91" i="32"/>
  <c r="AD92" i="32"/>
  <c r="AD93" i="32"/>
  <c r="AD94" i="32"/>
  <c r="AD95" i="32"/>
  <c r="AD96" i="32"/>
  <c r="AD98" i="32"/>
  <c r="AD99" i="32"/>
  <c r="AD100" i="32"/>
  <c r="AD101" i="32"/>
  <c r="F102" i="32"/>
  <c r="H102" i="32"/>
  <c r="I102" i="32"/>
  <c r="J102" i="32"/>
  <c r="K102" i="32"/>
  <c r="L102" i="32"/>
  <c r="M102" i="32"/>
  <c r="N102" i="32"/>
  <c r="O102" i="32"/>
  <c r="Q102" i="32"/>
  <c r="R102" i="32"/>
  <c r="S102" i="32"/>
  <c r="T102" i="32"/>
  <c r="U102" i="32"/>
  <c r="V102" i="32"/>
  <c r="W102" i="32"/>
  <c r="X102" i="32"/>
  <c r="Z102" i="32"/>
  <c r="AA102" i="32"/>
  <c r="AB102" i="32"/>
  <c r="AC102" i="32"/>
  <c r="D101" i="32"/>
  <c r="AC78" i="32"/>
  <c r="AC80" i="32"/>
  <c r="AC81" i="32"/>
  <c r="AC82" i="32"/>
  <c r="AC83" i="32"/>
  <c r="AC84" i="32"/>
  <c r="AC85" i="32"/>
  <c r="AC86" i="32"/>
  <c r="AC87" i="32"/>
  <c r="AC89" i="32"/>
  <c r="AC90" i="32"/>
  <c r="AC91" i="32"/>
  <c r="AC92" i="32"/>
  <c r="AC93" i="32"/>
  <c r="AC94" i="32"/>
  <c r="AC95" i="32"/>
  <c r="AC96" i="32"/>
  <c r="AC97" i="32"/>
  <c r="AC98" i="32"/>
  <c r="AC99" i="32"/>
  <c r="AC100" i="32"/>
  <c r="F101" i="32"/>
  <c r="H101" i="32"/>
  <c r="I101" i="32"/>
  <c r="J101" i="32"/>
  <c r="K101" i="32"/>
  <c r="L101" i="32"/>
  <c r="M101" i="32"/>
  <c r="N101" i="32"/>
  <c r="O101" i="32"/>
  <c r="Q101" i="32"/>
  <c r="R101" i="32"/>
  <c r="S101" i="32"/>
  <c r="T101" i="32"/>
  <c r="U101" i="32"/>
  <c r="V101" i="32"/>
  <c r="W101" i="32"/>
  <c r="X101" i="32"/>
  <c r="Y101" i="32"/>
  <c r="Z101" i="32"/>
  <c r="AA101" i="32"/>
  <c r="AB101" i="32"/>
  <c r="D100" i="32"/>
  <c r="AB80" i="32"/>
  <c r="AB81" i="32"/>
  <c r="AB82" i="32"/>
  <c r="AB83" i="32"/>
  <c r="AB84" i="32"/>
  <c r="AB85" i="32"/>
  <c r="AB86" i="32"/>
  <c r="AB87" i="32"/>
  <c r="AB89" i="32"/>
  <c r="AB90" i="32"/>
  <c r="AB91" i="32"/>
  <c r="AB92" i="32"/>
  <c r="AB93" i="32"/>
  <c r="AB94" i="32"/>
  <c r="AB95" i="32"/>
  <c r="AB96" i="32"/>
  <c r="AB98" i="32"/>
  <c r="AB99" i="32"/>
  <c r="F100" i="32"/>
  <c r="H100" i="32"/>
  <c r="I100" i="32"/>
  <c r="J100" i="32"/>
  <c r="K100" i="32"/>
  <c r="L100" i="32"/>
  <c r="M100" i="32"/>
  <c r="N100" i="32"/>
  <c r="O100" i="32"/>
  <c r="Q100" i="32"/>
  <c r="R100" i="32"/>
  <c r="S100" i="32"/>
  <c r="T100" i="32"/>
  <c r="U100" i="32"/>
  <c r="V100" i="32"/>
  <c r="W100" i="32"/>
  <c r="X100" i="32"/>
  <c r="Y100" i="32"/>
  <c r="Z100" i="32"/>
  <c r="AA100" i="32"/>
  <c r="D99" i="32"/>
  <c r="AA78" i="32"/>
  <c r="AA80" i="32"/>
  <c r="AA81" i="32"/>
  <c r="AA82" i="32"/>
  <c r="AA83" i="32"/>
  <c r="AA84" i="32"/>
  <c r="AA85" i="32"/>
  <c r="AA86" i="32"/>
  <c r="AA87" i="32"/>
  <c r="AA89" i="32"/>
  <c r="AA90" i="32"/>
  <c r="AA91" i="32"/>
  <c r="AA92" i="32"/>
  <c r="AA93" i="32"/>
  <c r="AA94" i="32"/>
  <c r="AA95" i="32"/>
  <c r="AA96" i="32"/>
  <c r="AA97" i="32"/>
  <c r="AA98" i="32"/>
  <c r="H99" i="32"/>
  <c r="I99" i="32"/>
  <c r="J99" i="32"/>
  <c r="K99" i="32"/>
  <c r="L99" i="32"/>
  <c r="M99" i="32"/>
  <c r="N99" i="32"/>
  <c r="O99" i="32"/>
  <c r="Q99" i="32"/>
  <c r="R99" i="32"/>
  <c r="S99" i="32"/>
  <c r="T99" i="32"/>
  <c r="U99" i="32"/>
  <c r="V99" i="32"/>
  <c r="W99" i="32"/>
  <c r="X99" i="32"/>
  <c r="Y99" i="32"/>
  <c r="Z99" i="32"/>
  <c r="D98" i="32"/>
  <c r="Z78" i="32"/>
  <c r="Z80" i="32"/>
  <c r="Z81" i="32"/>
  <c r="Z82" i="32"/>
  <c r="Z83" i="32"/>
  <c r="Z84" i="32"/>
  <c r="Z85" i="32"/>
  <c r="Z86" i="32"/>
  <c r="Z87" i="32"/>
  <c r="Z89" i="32"/>
  <c r="Z90" i="32"/>
  <c r="Z91" i="32"/>
  <c r="Z92" i="32"/>
  <c r="Z93" i="32"/>
  <c r="Z94" i="32"/>
  <c r="Z95" i="32"/>
  <c r="Z96" i="32"/>
  <c r="Z97" i="32"/>
  <c r="F98" i="32"/>
  <c r="H98" i="32"/>
  <c r="I98" i="32"/>
  <c r="J98" i="32"/>
  <c r="K98" i="32"/>
  <c r="L98" i="32"/>
  <c r="M98" i="32"/>
  <c r="N98" i="32"/>
  <c r="O98" i="32"/>
  <c r="Q98" i="32"/>
  <c r="R98" i="32"/>
  <c r="S98" i="32"/>
  <c r="T98" i="32"/>
  <c r="U98" i="32"/>
  <c r="V98" i="32"/>
  <c r="W98" i="32"/>
  <c r="X98" i="32"/>
  <c r="Y98" i="32"/>
  <c r="Y83" i="32"/>
  <c r="Y84" i="32"/>
  <c r="Y85" i="32"/>
  <c r="Y86" i="32"/>
  <c r="Y89" i="32"/>
  <c r="Y90" i="32"/>
  <c r="Y91" i="32"/>
  <c r="Y93" i="32"/>
  <c r="Y94" i="32"/>
  <c r="Y95" i="32"/>
  <c r="Y96" i="32"/>
  <c r="I97" i="32"/>
  <c r="J97" i="32"/>
  <c r="L97" i="32"/>
  <c r="N97" i="32"/>
  <c r="O97" i="32"/>
  <c r="Q97" i="32"/>
  <c r="R97" i="32"/>
  <c r="T97" i="32"/>
  <c r="X97" i="32"/>
  <c r="D96" i="32"/>
  <c r="X78" i="32"/>
  <c r="X80" i="32"/>
  <c r="X81" i="32"/>
  <c r="X82" i="32"/>
  <c r="X83" i="32"/>
  <c r="X84" i="32"/>
  <c r="X85" i="32"/>
  <c r="X86" i="32"/>
  <c r="X87" i="32"/>
  <c r="X89" i="32"/>
  <c r="X90" i="32"/>
  <c r="X91" i="32"/>
  <c r="X92" i="32"/>
  <c r="X93" i="32"/>
  <c r="X94" i="32"/>
  <c r="X95" i="32"/>
  <c r="F96" i="32"/>
  <c r="H96" i="32"/>
  <c r="I96" i="32"/>
  <c r="J96" i="32"/>
  <c r="K96" i="32"/>
  <c r="L96" i="32"/>
  <c r="M96" i="32"/>
  <c r="N96" i="32"/>
  <c r="O96" i="32"/>
  <c r="Q96" i="32"/>
  <c r="R96" i="32"/>
  <c r="S96" i="32"/>
  <c r="T96" i="32"/>
  <c r="U96" i="32"/>
  <c r="V96" i="32"/>
  <c r="W96" i="32"/>
  <c r="D95" i="32"/>
  <c r="W78" i="32"/>
  <c r="W80" i="32"/>
  <c r="W81" i="32"/>
  <c r="W82" i="32"/>
  <c r="W83" i="32"/>
  <c r="W84" i="32"/>
  <c r="W85" i="32"/>
  <c r="W86" i="32"/>
  <c r="W87" i="32"/>
  <c r="W89" i="32"/>
  <c r="W90" i="32"/>
  <c r="W91" i="32"/>
  <c r="W92" i="32"/>
  <c r="W93" i="32"/>
  <c r="W94" i="32"/>
  <c r="F95" i="32"/>
  <c r="H95" i="32"/>
  <c r="I95" i="32"/>
  <c r="J95" i="32"/>
  <c r="K95" i="32"/>
  <c r="L95" i="32"/>
  <c r="M95" i="32"/>
  <c r="N95" i="32"/>
  <c r="O95" i="32"/>
  <c r="Q95" i="32"/>
  <c r="R95" i="32"/>
  <c r="S95" i="32"/>
  <c r="T95" i="32"/>
  <c r="U95" i="32"/>
  <c r="V95" i="32"/>
  <c r="D94" i="32"/>
  <c r="V80" i="32"/>
  <c r="V81" i="32"/>
  <c r="V82" i="32"/>
  <c r="V83" i="32"/>
  <c r="V84" i="32"/>
  <c r="V85" i="32"/>
  <c r="V86" i="32"/>
  <c r="V87" i="32"/>
  <c r="V89" i="32"/>
  <c r="V90" i="32"/>
  <c r="V91" i="32"/>
  <c r="V92" i="32"/>
  <c r="V93" i="32"/>
  <c r="F94" i="32"/>
  <c r="H94" i="32"/>
  <c r="I94" i="32"/>
  <c r="J94" i="32"/>
  <c r="K94" i="32"/>
  <c r="L94" i="32"/>
  <c r="M94" i="32"/>
  <c r="N94" i="32"/>
  <c r="O94" i="32"/>
  <c r="Q94" i="32"/>
  <c r="R94" i="32"/>
  <c r="S94" i="32"/>
  <c r="T94" i="32"/>
  <c r="U94" i="32"/>
  <c r="D93" i="32"/>
  <c r="U80" i="32"/>
  <c r="U81" i="32"/>
  <c r="U82" i="32"/>
  <c r="U83" i="32"/>
  <c r="U84" i="32"/>
  <c r="U85" i="32"/>
  <c r="U86" i="32"/>
  <c r="U87" i="32"/>
  <c r="U89" i="32"/>
  <c r="U90" i="32"/>
  <c r="U91" i="32"/>
  <c r="U92" i="32"/>
  <c r="F93" i="32"/>
  <c r="H93" i="32"/>
  <c r="I93" i="32"/>
  <c r="J93" i="32"/>
  <c r="K93" i="32"/>
  <c r="L93" i="32"/>
  <c r="M93" i="32"/>
  <c r="N93" i="32"/>
  <c r="O93" i="32"/>
  <c r="Q93" i="32"/>
  <c r="R93" i="32"/>
  <c r="S93" i="32"/>
  <c r="T93" i="32"/>
  <c r="D92" i="32"/>
  <c r="T80" i="32"/>
  <c r="T81" i="32"/>
  <c r="T82" i="32"/>
  <c r="T83" i="32"/>
  <c r="T84" i="32"/>
  <c r="T85" i="32"/>
  <c r="T86" i="32"/>
  <c r="T87" i="32"/>
  <c r="T89" i="32"/>
  <c r="T90" i="32"/>
  <c r="T91" i="32"/>
  <c r="H92" i="32"/>
  <c r="I92" i="32"/>
  <c r="J92" i="32"/>
  <c r="K92" i="32"/>
  <c r="L92" i="32"/>
  <c r="M92" i="32"/>
  <c r="N92" i="32"/>
  <c r="O92" i="32"/>
  <c r="Q92" i="32"/>
  <c r="R92" i="32"/>
  <c r="S92" i="32"/>
  <c r="D91" i="32"/>
  <c r="S80" i="32"/>
  <c r="S81" i="32"/>
  <c r="S82" i="32"/>
  <c r="S83" i="32"/>
  <c r="S84" i="32"/>
  <c r="S85" i="32"/>
  <c r="S86" i="32"/>
  <c r="S87" i="32"/>
  <c r="S89" i="32"/>
  <c r="S90" i="32"/>
  <c r="H91" i="32"/>
  <c r="I91" i="32"/>
  <c r="J91" i="32"/>
  <c r="K91" i="32"/>
  <c r="L91" i="32"/>
  <c r="M91" i="32"/>
  <c r="N91" i="32"/>
  <c r="O91" i="32"/>
  <c r="Q91" i="32"/>
  <c r="R91" i="32"/>
  <c r="D90" i="32"/>
  <c r="R80" i="32"/>
  <c r="R81" i="32"/>
  <c r="R82" i="32"/>
  <c r="R83" i="32"/>
  <c r="R84" i="32"/>
  <c r="R85" i="32"/>
  <c r="R86" i="32"/>
  <c r="R87" i="32"/>
  <c r="R89" i="32"/>
  <c r="F90" i="32"/>
  <c r="H90" i="32"/>
  <c r="I90" i="32"/>
  <c r="J90" i="32"/>
  <c r="K90" i="32"/>
  <c r="L90" i="32"/>
  <c r="M90" i="32"/>
  <c r="N90" i="32"/>
  <c r="O90" i="32"/>
  <c r="Q90" i="32"/>
  <c r="D89" i="32"/>
  <c r="Q80" i="32"/>
  <c r="Q81" i="32"/>
  <c r="Q82" i="32"/>
  <c r="Q83" i="32"/>
  <c r="Q84" i="32"/>
  <c r="Q85" i="32"/>
  <c r="Q86" i="32"/>
  <c r="Q87" i="32"/>
  <c r="H89" i="32"/>
  <c r="I89" i="32"/>
  <c r="J89" i="32"/>
  <c r="K89" i="32"/>
  <c r="L89" i="32"/>
  <c r="M89" i="32"/>
  <c r="N89" i="32"/>
  <c r="O89" i="32"/>
  <c r="D87" i="32"/>
  <c r="O80" i="32"/>
  <c r="O81" i="32"/>
  <c r="O82" i="32"/>
  <c r="O83" i="32"/>
  <c r="O84" i="32"/>
  <c r="O85" i="32"/>
  <c r="O86" i="32"/>
  <c r="F87" i="32"/>
  <c r="H87" i="32"/>
  <c r="I87" i="32"/>
  <c r="J87" i="32"/>
  <c r="K87" i="32"/>
  <c r="L87" i="32"/>
  <c r="M87" i="32"/>
  <c r="N87" i="32"/>
  <c r="D86" i="32"/>
  <c r="N78" i="32"/>
  <c r="N80" i="32"/>
  <c r="N81" i="32"/>
  <c r="N82" i="32"/>
  <c r="N83" i="32"/>
  <c r="N84" i="32"/>
  <c r="N85" i="32"/>
  <c r="H86" i="32"/>
  <c r="I86" i="32"/>
  <c r="J86" i="32"/>
  <c r="K86" i="32"/>
  <c r="L86" i="32"/>
  <c r="M86" i="32"/>
  <c r="D85" i="32"/>
  <c r="M78" i="32"/>
  <c r="M80" i="32"/>
  <c r="M81" i="32"/>
  <c r="M82" i="32"/>
  <c r="M83" i="32"/>
  <c r="M84" i="32"/>
  <c r="F85" i="32"/>
  <c r="H85" i="32"/>
  <c r="I85" i="32"/>
  <c r="J85" i="32"/>
  <c r="K85" i="32"/>
  <c r="L85" i="32"/>
  <c r="D84" i="32"/>
  <c r="R11" i="32"/>
  <c r="R10" i="32" s="1"/>
  <c r="L80" i="32"/>
  <c r="L81" i="32"/>
  <c r="L82" i="32"/>
  <c r="L83" i="32"/>
  <c r="F84" i="32"/>
  <c r="H84" i="32"/>
  <c r="I84" i="32"/>
  <c r="J84" i="32"/>
  <c r="K84" i="32"/>
  <c r="D83" i="32"/>
  <c r="Q11" i="32"/>
  <c r="K80" i="32"/>
  <c r="K81" i="32"/>
  <c r="K82" i="32"/>
  <c r="F83" i="32"/>
  <c r="H83" i="32"/>
  <c r="I83" i="32"/>
  <c r="J83" i="32"/>
  <c r="D82" i="32"/>
  <c r="J78" i="32"/>
  <c r="J80" i="32"/>
  <c r="J81" i="32"/>
  <c r="H82" i="32"/>
  <c r="I82" i="32"/>
  <c r="D81" i="32"/>
  <c r="I78" i="32"/>
  <c r="I80" i="32"/>
  <c r="F81" i="32"/>
  <c r="H81" i="32"/>
  <c r="D80" i="32"/>
  <c r="H78" i="32"/>
  <c r="F80" i="32"/>
  <c r="D79" i="32"/>
  <c r="G78" i="32"/>
  <c r="G80" i="32"/>
  <c r="G81" i="32"/>
  <c r="G82" i="32"/>
  <c r="G83" i="32"/>
  <c r="G84" i="32"/>
  <c r="G85" i="32"/>
  <c r="G86" i="32"/>
  <c r="G87" i="32"/>
  <c r="G89" i="32"/>
  <c r="G90" i="32"/>
  <c r="G91" i="32"/>
  <c r="G92" i="32"/>
  <c r="G93" i="32"/>
  <c r="G94" i="32"/>
  <c r="G95" i="32"/>
  <c r="G96" i="32"/>
  <c r="G97" i="32"/>
  <c r="G98" i="32"/>
  <c r="G99" i="32"/>
  <c r="G100" i="32"/>
  <c r="G101" i="32"/>
  <c r="G102" i="32"/>
  <c r="G103" i="32"/>
  <c r="G104" i="32"/>
  <c r="G105" i="32"/>
  <c r="G106" i="32"/>
  <c r="G107" i="32"/>
  <c r="G108" i="32"/>
  <c r="G109" i="32"/>
  <c r="G110" i="32"/>
  <c r="G111" i="32"/>
  <c r="G112" i="32"/>
  <c r="G113" i="32"/>
  <c r="G114" i="32"/>
  <c r="G115" i="32"/>
  <c r="H79" i="32"/>
  <c r="I79" i="32"/>
  <c r="J79" i="32"/>
  <c r="K79" i="32"/>
  <c r="L79" i="32"/>
  <c r="M79" i="32"/>
  <c r="N79" i="32"/>
  <c r="O79" i="32"/>
  <c r="Q79" i="32"/>
  <c r="R79" i="32"/>
  <c r="S79" i="32"/>
  <c r="T79" i="32"/>
  <c r="U79" i="32"/>
  <c r="V79" i="32"/>
  <c r="W79" i="32"/>
  <c r="X79" i="32"/>
  <c r="Z79" i="32"/>
  <c r="AA79" i="32"/>
  <c r="AB79" i="32"/>
  <c r="AC79" i="32"/>
  <c r="AD79" i="32"/>
  <c r="AE79" i="32"/>
  <c r="AF79" i="32"/>
  <c r="AG79" i="32"/>
  <c r="AH79" i="32"/>
  <c r="AI79" i="32"/>
  <c r="AJ79" i="32"/>
  <c r="AK79" i="32"/>
  <c r="AL79" i="32"/>
  <c r="AM79" i="32"/>
  <c r="AN79" i="32"/>
  <c r="AO79" i="32"/>
  <c r="AP79" i="32"/>
  <c r="D78" i="32"/>
  <c r="AQ79" i="32"/>
  <c r="L18" i="32"/>
  <c r="L34" i="32"/>
  <c r="L25" i="32" s="1"/>
  <c r="L63" i="32"/>
  <c r="O15" i="32"/>
  <c r="BL15" i="32" s="1"/>
  <c r="L15" i="32" s="1"/>
  <c r="V15" i="32"/>
  <c r="BH15" i="32"/>
  <c r="BH10" i="32" s="1"/>
  <c r="BK11" i="32"/>
  <c r="BK10" i="32" s="1"/>
  <c r="BK9" i="32" s="1"/>
  <c r="BK18" i="32"/>
  <c r="BK25" i="32"/>
  <c r="BH9" i="32"/>
  <c r="BH8" i="32" s="1"/>
  <c r="O34" i="32"/>
  <c r="O25" i="32" s="1"/>
  <c r="O63" i="32"/>
  <c r="G17" i="32"/>
  <c r="G26" i="32"/>
  <c r="F26" i="32" s="1"/>
  <c r="E26" i="32" s="1"/>
  <c r="F22" i="32"/>
  <c r="E27" i="32"/>
  <c r="BC58" i="32"/>
  <c r="V58" i="32" s="1"/>
  <c r="AS48" i="32"/>
  <c r="AP45" i="32"/>
  <c r="AE45" i="32" s="1"/>
  <c r="V45" i="32" s="1"/>
  <c r="AN43" i="32"/>
  <c r="AE43" i="32" s="1"/>
  <c r="V43" i="32" s="1"/>
  <c r="AE38" i="32"/>
  <c r="V38" i="32" s="1"/>
  <c r="BH35" i="32"/>
  <c r="O16" i="32"/>
  <c r="N10" i="32"/>
  <c r="AQ80" i="33"/>
  <c r="AQ81" i="33"/>
  <c r="AQ83" i="33"/>
  <c r="AQ84" i="33"/>
  <c r="AQ85" i="33"/>
  <c r="AQ87" i="33"/>
  <c r="AQ89" i="33"/>
  <c r="AQ90" i="33"/>
  <c r="AQ91" i="33"/>
  <c r="AQ92" i="33"/>
  <c r="AQ94" i="33"/>
  <c r="AQ95" i="33"/>
  <c r="AQ98" i="33"/>
  <c r="AQ99" i="33"/>
  <c r="AQ100" i="33"/>
  <c r="AQ101" i="33"/>
  <c r="AQ102" i="33"/>
  <c r="AQ104" i="33"/>
  <c r="AQ105" i="33"/>
  <c r="AQ106" i="33"/>
  <c r="AQ107" i="33"/>
  <c r="AQ108" i="33"/>
  <c r="AQ109" i="33"/>
  <c r="AQ110" i="33"/>
  <c r="AQ111" i="33"/>
  <c r="AQ112" i="33"/>
  <c r="AQ113" i="33"/>
  <c r="H115" i="33"/>
  <c r="I115" i="33"/>
  <c r="K115" i="33"/>
  <c r="O115" i="33"/>
  <c r="Q115" i="33"/>
  <c r="R115" i="33"/>
  <c r="S115" i="33"/>
  <c r="T115" i="33"/>
  <c r="U115" i="33"/>
  <c r="V115" i="33"/>
  <c r="W115" i="33"/>
  <c r="X115" i="33"/>
  <c r="Z115" i="33"/>
  <c r="AB115" i="33"/>
  <c r="AC115" i="33"/>
  <c r="AD115" i="33"/>
  <c r="AH115" i="33"/>
  <c r="AI115" i="33"/>
  <c r="AJ115" i="33"/>
  <c r="AL115" i="33"/>
  <c r="AM115" i="33"/>
  <c r="AN115" i="33"/>
  <c r="AO115" i="33"/>
  <c r="AP115" i="33"/>
  <c r="D114" i="33"/>
  <c r="AP80" i="33"/>
  <c r="AP81" i="33"/>
  <c r="AP82" i="33"/>
  <c r="AP83" i="33"/>
  <c r="AP84" i="33"/>
  <c r="AP85" i="33"/>
  <c r="AP86" i="33"/>
  <c r="AP87" i="33"/>
  <c r="AP89" i="33"/>
  <c r="AP90" i="33"/>
  <c r="AP91" i="33"/>
  <c r="AP92" i="33"/>
  <c r="AP93" i="33"/>
  <c r="AP94" i="33"/>
  <c r="AP95" i="33"/>
  <c r="AP96" i="33"/>
  <c r="AP98" i="33"/>
  <c r="AP99" i="33"/>
  <c r="AP100" i="33"/>
  <c r="AP101" i="33"/>
  <c r="AP102" i="33"/>
  <c r="AP103" i="33"/>
  <c r="AP104" i="33"/>
  <c r="AP105" i="33"/>
  <c r="AP106" i="33"/>
  <c r="AP107" i="33"/>
  <c r="AP108" i="33"/>
  <c r="AP109" i="33"/>
  <c r="AP110" i="33"/>
  <c r="AP111" i="33"/>
  <c r="AP112" i="33"/>
  <c r="AP113" i="33"/>
  <c r="F114" i="33"/>
  <c r="H114" i="33"/>
  <c r="I114" i="33"/>
  <c r="J114" i="33"/>
  <c r="K114" i="33"/>
  <c r="L114" i="33"/>
  <c r="M114" i="33"/>
  <c r="N114" i="33"/>
  <c r="O114" i="33"/>
  <c r="Q114" i="33"/>
  <c r="R114" i="33"/>
  <c r="S114" i="33"/>
  <c r="T114" i="33"/>
  <c r="U114" i="33"/>
  <c r="V114" i="33"/>
  <c r="W114" i="33"/>
  <c r="X114" i="33"/>
  <c r="Y114" i="33"/>
  <c r="Z114" i="33"/>
  <c r="AA114" i="33"/>
  <c r="AB114" i="33"/>
  <c r="AC114" i="33"/>
  <c r="AD114" i="33"/>
  <c r="AE114" i="33"/>
  <c r="AF114" i="33"/>
  <c r="AG114" i="33"/>
  <c r="AH114" i="33"/>
  <c r="AI114" i="33"/>
  <c r="AJ114" i="33"/>
  <c r="AK114" i="33"/>
  <c r="AL114" i="33"/>
  <c r="AM114" i="33"/>
  <c r="AN114" i="33"/>
  <c r="AO114" i="33"/>
  <c r="D113" i="33"/>
  <c r="AO78" i="33"/>
  <c r="AO80" i="33"/>
  <c r="AO81" i="33"/>
  <c r="AO82" i="33"/>
  <c r="AO83" i="33"/>
  <c r="AO84" i="33"/>
  <c r="AO85" i="33"/>
  <c r="AO86" i="33"/>
  <c r="AO87" i="33"/>
  <c r="AO89" i="33"/>
  <c r="AO90" i="33"/>
  <c r="AO91" i="33"/>
  <c r="AO92" i="33"/>
  <c r="AO93" i="33"/>
  <c r="AO94" i="33"/>
  <c r="AO95" i="33"/>
  <c r="AO96" i="33"/>
  <c r="AO98" i="33"/>
  <c r="AO99" i="33"/>
  <c r="AO100" i="33"/>
  <c r="AO101" i="33"/>
  <c r="AO102" i="33"/>
  <c r="AO103" i="33"/>
  <c r="AO104" i="33"/>
  <c r="AO105" i="33"/>
  <c r="AO106" i="33"/>
  <c r="AO107" i="33"/>
  <c r="AO108" i="33"/>
  <c r="AO109" i="33"/>
  <c r="AO110" i="33"/>
  <c r="AO111" i="33"/>
  <c r="AO112" i="33"/>
  <c r="F113" i="33"/>
  <c r="H113" i="33"/>
  <c r="I113" i="33"/>
  <c r="J113" i="33"/>
  <c r="K113" i="33"/>
  <c r="L113" i="33"/>
  <c r="M113" i="33"/>
  <c r="N113" i="33"/>
  <c r="O113" i="33"/>
  <c r="Q113" i="33"/>
  <c r="R113" i="33"/>
  <c r="S113" i="33"/>
  <c r="T113" i="33"/>
  <c r="U113" i="33"/>
  <c r="V113" i="33"/>
  <c r="W113" i="33"/>
  <c r="X113" i="33"/>
  <c r="Y113" i="33"/>
  <c r="Z113" i="33"/>
  <c r="AA113" i="33"/>
  <c r="AB113" i="33"/>
  <c r="AC113" i="33"/>
  <c r="AD113" i="33"/>
  <c r="AE113" i="33"/>
  <c r="AF113" i="33"/>
  <c r="AG113" i="33"/>
  <c r="AH113" i="33"/>
  <c r="AI113" i="33"/>
  <c r="AJ113" i="33"/>
  <c r="AK113" i="33"/>
  <c r="AL113" i="33"/>
  <c r="AM113" i="33"/>
  <c r="AN113" i="33"/>
  <c r="D112" i="33"/>
  <c r="AN80" i="33"/>
  <c r="AN81" i="33"/>
  <c r="AN82" i="33"/>
  <c r="AN83" i="33"/>
  <c r="AN84" i="33"/>
  <c r="AN85" i="33"/>
  <c r="AN86" i="33"/>
  <c r="AN87" i="33"/>
  <c r="AN89" i="33"/>
  <c r="AN90" i="33"/>
  <c r="AN91" i="33"/>
  <c r="AN92" i="33"/>
  <c r="AN93" i="33"/>
  <c r="AN94" i="33"/>
  <c r="AN95" i="33"/>
  <c r="AN96" i="33"/>
  <c r="AN98" i="33"/>
  <c r="AN99" i="33"/>
  <c r="AN100" i="33"/>
  <c r="AN101" i="33"/>
  <c r="AN102" i="33"/>
  <c r="AN103" i="33"/>
  <c r="AN104" i="33"/>
  <c r="AN105" i="33"/>
  <c r="AN106" i="33"/>
  <c r="AN107" i="33"/>
  <c r="AN108" i="33"/>
  <c r="AN109" i="33"/>
  <c r="AN110" i="33"/>
  <c r="AN111" i="33"/>
  <c r="F112" i="33"/>
  <c r="H112" i="33"/>
  <c r="I112" i="33"/>
  <c r="J112" i="33"/>
  <c r="K112" i="33"/>
  <c r="L112" i="33"/>
  <c r="M112" i="33"/>
  <c r="N112" i="33"/>
  <c r="O112" i="33"/>
  <c r="Q112" i="33"/>
  <c r="R112" i="33"/>
  <c r="S112" i="33"/>
  <c r="T112" i="33"/>
  <c r="U112" i="33"/>
  <c r="V112" i="33"/>
  <c r="W112" i="33"/>
  <c r="X112" i="33"/>
  <c r="Z112" i="33"/>
  <c r="AA112" i="33"/>
  <c r="AB112" i="33"/>
  <c r="AC112" i="33"/>
  <c r="AD112" i="33"/>
  <c r="AE112" i="33"/>
  <c r="AF112" i="33"/>
  <c r="AG112" i="33"/>
  <c r="AH112" i="33"/>
  <c r="AI112" i="33"/>
  <c r="AJ112" i="33"/>
  <c r="AK112" i="33"/>
  <c r="AL112" i="33"/>
  <c r="AM112" i="33"/>
  <c r="D111" i="33"/>
  <c r="AM78" i="33"/>
  <c r="AM80" i="33"/>
  <c r="AM81" i="33"/>
  <c r="AM82" i="33"/>
  <c r="AM83" i="33"/>
  <c r="AM84" i="33"/>
  <c r="AM85" i="33"/>
  <c r="AM86" i="33"/>
  <c r="AM87" i="33"/>
  <c r="AM89" i="33"/>
  <c r="AM90" i="33"/>
  <c r="AM91" i="33"/>
  <c r="AM92" i="33"/>
  <c r="AM93" i="33"/>
  <c r="AM94" i="33"/>
  <c r="AM95" i="33"/>
  <c r="AM96" i="33"/>
  <c r="AM97" i="33"/>
  <c r="AM98" i="33"/>
  <c r="AM99" i="33"/>
  <c r="AM100" i="33"/>
  <c r="AM101" i="33"/>
  <c r="AM102" i="33"/>
  <c r="AM103" i="33"/>
  <c r="AM104" i="33"/>
  <c r="AM105" i="33"/>
  <c r="AM106" i="33"/>
  <c r="AM107" i="33"/>
  <c r="AM108" i="33"/>
  <c r="AM109" i="33"/>
  <c r="AM110" i="33"/>
  <c r="F111" i="33"/>
  <c r="H111" i="33"/>
  <c r="I111" i="33"/>
  <c r="J111" i="33"/>
  <c r="K111" i="33"/>
  <c r="L111" i="33"/>
  <c r="M111" i="33"/>
  <c r="N111" i="33"/>
  <c r="O111" i="33"/>
  <c r="Q111" i="33"/>
  <c r="R111" i="33"/>
  <c r="S111" i="33"/>
  <c r="T111" i="33"/>
  <c r="U111" i="33"/>
  <c r="V111" i="33"/>
  <c r="W111" i="33"/>
  <c r="X111" i="33"/>
  <c r="Y111" i="33"/>
  <c r="Z111" i="33"/>
  <c r="AA111" i="33"/>
  <c r="AB111" i="33"/>
  <c r="AC111" i="33"/>
  <c r="AD111" i="33"/>
  <c r="AE111" i="33"/>
  <c r="AF111" i="33"/>
  <c r="AG111" i="33"/>
  <c r="AH111" i="33"/>
  <c r="AI111" i="33"/>
  <c r="AJ111" i="33"/>
  <c r="AK111" i="33"/>
  <c r="AL111" i="33"/>
  <c r="D110" i="33"/>
  <c r="AL80" i="33"/>
  <c r="AL81" i="33"/>
  <c r="AL82" i="33"/>
  <c r="AL83" i="33"/>
  <c r="AL84" i="33"/>
  <c r="AL85" i="33"/>
  <c r="AL86" i="33"/>
  <c r="AL87" i="33"/>
  <c r="AL89" i="33"/>
  <c r="AL90" i="33"/>
  <c r="AL91" i="33"/>
  <c r="AL92" i="33"/>
  <c r="AL93" i="33"/>
  <c r="AL94" i="33"/>
  <c r="AL95" i="33"/>
  <c r="AL96" i="33"/>
  <c r="AL97" i="33"/>
  <c r="AL98" i="33"/>
  <c r="AL99" i="33"/>
  <c r="AL100" i="33"/>
  <c r="AL101" i="33"/>
  <c r="AL102" i="33"/>
  <c r="AL103" i="33"/>
  <c r="AL104" i="33"/>
  <c r="AL105" i="33"/>
  <c r="AL106" i="33"/>
  <c r="AL107" i="33"/>
  <c r="AL108" i="33"/>
  <c r="AL109" i="33"/>
  <c r="F110" i="33"/>
  <c r="H110" i="33"/>
  <c r="I110" i="33"/>
  <c r="J110" i="33"/>
  <c r="K110" i="33"/>
  <c r="L110" i="33"/>
  <c r="M110" i="33"/>
  <c r="N110" i="33"/>
  <c r="O110" i="33"/>
  <c r="Q110" i="33"/>
  <c r="R110" i="33"/>
  <c r="S110" i="33"/>
  <c r="T110" i="33"/>
  <c r="U110" i="33"/>
  <c r="V110" i="33"/>
  <c r="W110" i="33"/>
  <c r="X110" i="33"/>
  <c r="Y110" i="33"/>
  <c r="Z110" i="33"/>
  <c r="AA110" i="33"/>
  <c r="AB110" i="33"/>
  <c r="AC110" i="33"/>
  <c r="AD110" i="33"/>
  <c r="AE110" i="33"/>
  <c r="AF110" i="33"/>
  <c r="AG110" i="33"/>
  <c r="AH110" i="33"/>
  <c r="AI110" i="33"/>
  <c r="AJ110" i="33"/>
  <c r="AK110" i="33"/>
  <c r="D109" i="33"/>
  <c r="AK78" i="33"/>
  <c r="AK80" i="33"/>
  <c r="AK81" i="33"/>
  <c r="AK82" i="33"/>
  <c r="AK83" i="33"/>
  <c r="AK84" i="33"/>
  <c r="AK85" i="33"/>
  <c r="AK86" i="33"/>
  <c r="AK87" i="33"/>
  <c r="AK89" i="33"/>
  <c r="AK90" i="33"/>
  <c r="AK91" i="33"/>
  <c r="AK92" i="33"/>
  <c r="AK93" i="33"/>
  <c r="AK94" i="33"/>
  <c r="AK95" i="33"/>
  <c r="AK96" i="33"/>
  <c r="AK97" i="33"/>
  <c r="AK98" i="33"/>
  <c r="AK99" i="33"/>
  <c r="AK100" i="33"/>
  <c r="AK101" i="33"/>
  <c r="AK102" i="33"/>
  <c r="AK103" i="33"/>
  <c r="AK104" i="33"/>
  <c r="AK105" i="33"/>
  <c r="AK106" i="33"/>
  <c r="AK107" i="33"/>
  <c r="AK108" i="33"/>
  <c r="AK115" i="33"/>
  <c r="F109" i="33"/>
  <c r="H109" i="33"/>
  <c r="I109" i="33"/>
  <c r="J109" i="33"/>
  <c r="K109" i="33"/>
  <c r="L109" i="33"/>
  <c r="M109" i="33"/>
  <c r="N109" i="33"/>
  <c r="O109" i="33"/>
  <c r="Q109" i="33"/>
  <c r="R109" i="33"/>
  <c r="S109" i="33"/>
  <c r="T109" i="33"/>
  <c r="U109" i="33"/>
  <c r="V109" i="33"/>
  <c r="W109" i="33"/>
  <c r="X109" i="33"/>
  <c r="Y109" i="33"/>
  <c r="Z109" i="33"/>
  <c r="AA109" i="33"/>
  <c r="AB109" i="33"/>
  <c r="AC109" i="33"/>
  <c r="AD109" i="33"/>
  <c r="AE109" i="33"/>
  <c r="AF109" i="33"/>
  <c r="AG109" i="33"/>
  <c r="AH109" i="33"/>
  <c r="AI109" i="33"/>
  <c r="AJ109" i="33"/>
  <c r="D108" i="33"/>
  <c r="AJ78" i="33"/>
  <c r="AJ80" i="33"/>
  <c r="AJ81" i="33"/>
  <c r="AJ82" i="33"/>
  <c r="AJ83" i="33"/>
  <c r="AJ84" i="33"/>
  <c r="AJ85" i="33"/>
  <c r="AJ86" i="33"/>
  <c r="AJ87" i="33"/>
  <c r="AJ89" i="33"/>
  <c r="AJ90" i="33"/>
  <c r="AJ91" i="33"/>
  <c r="AJ92" i="33"/>
  <c r="AJ93" i="33"/>
  <c r="AJ94" i="33"/>
  <c r="AJ95" i="33"/>
  <c r="AJ96" i="33"/>
  <c r="AJ97" i="33"/>
  <c r="AJ98" i="33"/>
  <c r="AJ99" i="33"/>
  <c r="AJ100" i="33"/>
  <c r="AJ101" i="33"/>
  <c r="AJ102" i="33"/>
  <c r="AJ103" i="33"/>
  <c r="AJ104" i="33"/>
  <c r="AJ105" i="33"/>
  <c r="AJ106" i="33"/>
  <c r="AJ107" i="33"/>
  <c r="F108" i="33"/>
  <c r="H108" i="33"/>
  <c r="I108" i="33"/>
  <c r="J108" i="33"/>
  <c r="K108" i="33"/>
  <c r="L108" i="33"/>
  <c r="M108" i="33"/>
  <c r="N108" i="33"/>
  <c r="O108" i="33"/>
  <c r="Q108" i="33"/>
  <c r="R108" i="33"/>
  <c r="S108" i="33"/>
  <c r="T108" i="33"/>
  <c r="U108" i="33"/>
  <c r="V108" i="33"/>
  <c r="W108" i="33"/>
  <c r="X108" i="33"/>
  <c r="Y108" i="33"/>
  <c r="Z108" i="33"/>
  <c r="AA108" i="33"/>
  <c r="AB108" i="33"/>
  <c r="AC108" i="33"/>
  <c r="AD108" i="33"/>
  <c r="AE108" i="33"/>
  <c r="AF108" i="33"/>
  <c r="AG108" i="33"/>
  <c r="AH108" i="33"/>
  <c r="AI108" i="33"/>
  <c r="D107" i="33"/>
  <c r="AI80" i="33"/>
  <c r="AI81" i="33"/>
  <c r="AI82" i="33"/>
  <c r="AI83" i="33"/>
  <c r="AI84" i="33"/>
  <c r="AI85" i="33"/>
  <c r="AI86" i="33"/>
  <c r="AI87" i="33"/>
  <c r="AI89" i="33"/>
  <c r="AI90" i="33"/>
  <c r="AI91" i="33"/>
  <c r="AI92" i="33"/>
  <c r="AI93" i="33"/>
  <c r="AI94" i="33"/>
  <c r="AI95" i="33"/>
  <c r="AI96" i="33"/>
  <c r="AI97" i="33"/>
  <c r="AI98" i="33"/>
  <c r="AI99" i="33"/>
  <c r="AI100" i="33"/>
  <c r="AI101" i="33"/>
  <c r="AI102" i="33"/>
  <c r="AI103" i="33"/>
  <c r="AI104" i="33"/>
  <c r="AI105" i="33"/>
  <c r="AI106" i="33"/>
  <c r="F107" i="33"/>
  <c r="H107" i="33"/>
  <c r="I107" i="33"/>
  <c r="J107" i="33"/>
  <c r="K107" i="33"/>
  <c r="L107" i="33"/>
  <c r="M107" i="33"/>
  <c r="N107" i="33"/>
  <c r="O107" i="33"/>
  <c r="Q107" i="33"/>
  <c r="R107" i="33"/>
  <c r="S107" i="33"/>
  <c r="T107" i="33"/>
  <c r="U107" i="33"/>
  <c r="V107" i="33"/>
  <c r="W107" i="33"/>
  <c r="X107" i="33"/>
  <c r="Y107" i="33"/>
  <c r="Z107" i="33"/>
  <c r="AA107" i="33"/>
  <c r="AB107" i="33"/>
  <c r="AC107" i="33"/>
  <c r="AD107" i="33"/>
  <c r="AE107" i="33"/>
  <c r="AF107" i="33"/>
  <c r="AG107" i="33"/>
  <c r="AH107" i="33"/>
  <c r="D106" i="33"/>
  <c r="AH78" i="33"/>
  <c r="AH80" i="33"/>
  <c r="AH81" i="33"/>
  <c r="AH82" i="33"/>
  <c r="AH83" i="33"/>
  <c r="AH84" i="33"/>
  <c r="AH85" i="33"/>
  <c r="AH86" i="33"/>
  <c r="AH87" i="33"/>
  <c r="AH89" i="33"/>
  <c r="AH90" i="33"/>
  <c r="AH91" i="33"/>
  <c r="AH92" i="33"/>
  <c r="AH93" i="33"/>
  <c r="AH94" i="33"/>
  <c r="AH95" i="33"/>
  <c r="AH96" i="33"/>
  <c r="AH97" i="33"/>
  <c r="AH98" i="33"/>
  <c r="AH99" i="33"/>
  <c r="AH100" i="33"/>
  <c r="AH101" i="33"/>
  <c r="AH102" i="33"/>
  <c r="AH103" i="33"/>
  <c r="AH104" i="33"/>
  <c r="AH105" i="33"/>
  <c r="F106" i="33"/>
  <c r="H106" i="33"/>
  <c r="I106" i="33"/>
  <c r="J106" i="33"/>
  <c r="K106" i="33"/>
  <c r="L106" i="33"/>
  <c r="M106" i="33"/>
  <c r="N106" i="33"/>
  <c r="O106" i="33"/>
  <c r="Q106" i="33"/>
  <c r="R106" i="33"/>
  <c r="S106" i="33"/>
  <c r="T106" i="33"/>
  <c r="U106" i="33"/>
  <c r="V106" i="33"/>
  <c r="W106" i="33"/>
  <c r="X106" i="33"/>
  <c r="Y106" i="33"/>
  <c r="Z106" i="33"/>
  <c r="AA106" i="33"/>
  <c r="AB106" i="33"/>
  <c r="AC106" i="33"/>
  <c r="AD106" i="33"/>
  <c r="AE106" i="33"/>
  <c r="AF106" i="33"/>
  <c r="AG106" i="33"/>
  <c r="D105" i="33"/>
  <c r="AG78" i="33"/>
  <c r="AG80" i="33"/>
  <c r="AG81" i="33"/>
  <c r="AG82" i="33"/>
  <c r="AG83" i="33"/>
  <c r="AG84" i="33"/>
  <c r="AG85" i="33"/>
  <c r="AG86" i="33"/>
  <c r="AG87" i="33"/>
  <c r="AG89" i="33"/>
  <c r="AG90" i="33"/>
  <c r="AG91" i="33"/>
  <c r="AG92" i="33"/>
  <c r="AG93" i="33"/>
  <c r="AG94" i="33"/>
  <c r="AG95" i="33"/>
  <c r="AG96" i="33"/>
  <c r="AG97" i="33"/>
  <c r="AG98" i="33"/>
  <c r="AG99" i="33"/>
  <c r="AG100" i="33"/>
  <c r="AG101" i="33"/>
  <c r="AG102" i="33"/>
  <c r="AG103" i="33"/>
  <c r="AG104" i="33"/>
  <c r="F105" i="33"/>
  <c r="H105" i="33"/>
  <c r="I105" i="33"/>
  <c r="J105" i="33"/>
  <c r="K105" i="33"/>
  <c r="L105" i="33"/>
  <c r="M105" i="33"/>
  <c r="N105" i="33"/>
  <c r="O105" i="33"/>
  <c r="Q105" i="33"/>
  <c r="R105" i="33"/>
  <c r="S105" i="33"/>
  <c r="T105" i="33"/>
  <c r="U105" i="33"/>
  <c r="V105" i="33"/>
  <c r="W105" i="33"/>
  <c r="X105" i="33"/>
  <c r="Z105" i="33"/>
  <c r="AA105" i="33"/>
  <c r="AB105" i="33"/>
  <c r="AC105" i="33"/>
  <c r="AD105" i="33"/>
  <c r="AE105" i="33"/>
  <c r="AF105" i="33"/>
  <c r="D104" i="33"/>
  <c r="AF78" i="33"/>
  <c r="AF80" i="33"/>
  <c r="AF81" i="33"/>
  <c r="AF82" i="33"/>
  <c r="AF83" i="33"/>
  <c r="AF84" i="33"/>
  <c r="AF85" i="33"/>
  <c r="AF86" i="33"/>
  <c r="AF87" i="33"/>
  <c r="AF89" i="33"/>
  <c r="AF90" i="33"/>
  <c r="AF91" i="33"/>
  <c r="AF92" i="33"/>
  <c r="AF93" i="33"/>
  <c r="AF94" i="33"/>
  <c r="AF95" i="33"/>
  <c r="AF96" i="33"/>
  <c r="AF97" i="33"/>
  <c r="AF98" i="33"/>
  <c r="AF99" i="33"/>
  <c r="AF100" i="33"/>
  <c r="AF101" i="33"/>
  <c r="AF102" i="33"/>
  <c r="AF103" i="33"/>
  <c r="F104" i="33"/>
  <c r="H104" i="33"/>
  <c r="I104" i="33"/>
  <c r="J104" i="33"/>
  <c r="K104" i="33"/>
  <c r="L104" i="33"/>
  <c r="M104" i="33"/>
  <c r="N104" i="33"/>
  <c r="O104" i="33"/>
  <c r="Q104" i="33"/>
  <c r="R104" i="33"/>
  <c r="S104" i="33"/>
  <c r="T104" i="33"/>
  <c r="U104" i="33"/>
  <c r="V104" i="33"/>
  <c r="W104" i="33"/>
  <c r="X104" i="33"/>
  <c r="Y104" i="33"/>
  <c r="Z104" i="33"/>
  <c r="AA104" i="33"/>
  <c r="AB104" i="33"/>
  <c r="AC104" i="33"/>
  <c r="AD104" i="33"/>
  <c r="AE104" i="33"/>
  <c r="D103" i="33"/>
  <c r="AE78" i="33"/>
  <c r="AE80" i="33"/>
  <c r="AE81" i="33"/>
  <c r="AE82" i="33"/>
  <c r="AE83" i="33"/>
  <c r="AE84" i="33"/>
  <c r="AE85" i="33"/>
  <c r="AE86" i="33"/>
  <c r="AE87" i="33"/>
  <c r="AE89" i="33"/>
  <c r="AE90" i="33"/>
  <c r="AE91" i="33"/>
  <c r="AE92" i="33"/>
  <c r="AE93" i="33"/>
  <c r="AE94" i="33"/>
  <c r="AE95" i="33"/>
  <c r="AE96" i="33"/>
  <c r="AE97" i="33"/>
  <c r="AE98" i="33"/>
  <c r="AE99" i="33"/>
  <c r="AE100" i="33"/>
  <c r="AE101" i="33"/>
  <c r="AE102" i="33"/>
  <c r="F103" i="33"/>
  <c r="H103" i="33"/>
  <c r="I103" i="33"/>
  <c r="J103" i="33"/>
  <c r="K103" i="33"/>
  <c r="L103" i="33"/>
  <c r="M103" i="33"/>
  <c r="N103" i="33"/>
  <c r="O103" i="33"/>
  <c r="Q103" i="33"/>
  <c r="R103" i="33"/>
  <c r="S103" i="33"/>
  <c r="T103" i="33"/>
  <c r="U103" i="33"/>
  <c r="V103" i="33"/>
  <c r="W103" i="33"/>
  <c r="X103" i="33"/>
  <c r="Y103" i="33"/>
  <c r="Z103" i="33"/>
  <c r="AA103" i="33"/>
  <c r="AB103" i="33"/>
  <c r="AC103" i="33"/>
  <c r="AD103" i="33"/>
  <c r="D102" i="33"/>
  <c r="AD80" i="33"/>
  <c r="AD81" i="33"/>
  <c r="AD82" i="33"/>
  <c r="AD83" i="33"/>
  <c r="AD84" i="33"/>
  <c r="AD85" i="33"/>
  <c r="AD86" i="33"/>
  <c r="AD87" i="33"/>
  <c r="AD89" i="33"/>
  <c r="AD90" i="33"/>
  <c r="AD91" i="33"/>
  <c r="AD92" i="33"/>
  <c r="AD93" i="33"/>
  <c r="AD94" i="33"/>
  <c r="AD95" i="33"/>
  <c r="AD96" i="33"/>
  <c r="AD98" i="33"/>
  <c r="AD99" i="33"/>
  <c r="AD100" i="33"/>
  <c r="AD101" i="33"/>
  <c r="F102" i="33"/>
  <c r="H102" i="33"/>
  <c r="I102" i="33"/>
  <c r="J102" i="33"/>
  <c r="K102" i="33"/>
  <c r="L102" i="33"/>
  <c r="M102" i="33"/>
  <c r="N102" i="33"/>
  <c r="O102" i="33"/>
  <c r="Q102" i="33"/>
  <c r="R102" i="33"/>
  <c r="S102" i="33"/>
  <c r="T102" i="33"/>
  <c r="U102" i="33"/>
  <c r="V102" i="33"/>
  <c r="W102" i="33"/>
  <c r="X102" i="33"/>
  <c r="Y102" i="33"/>
  <c r="Z102" i="33"/>
  <c r="AA102" i="33"/>
  <c r="AB102" i="33"/>
  <c r="AC102" i="33"/>
  <c r="D101" i="33"/>
  <c r="AC80" i="33"/>
  <c r="AC81" i="33"/>
  <c r="AC82" i="33"/>
  <c r="AC83" i="33"/>
  <c r="AC84" i="33"/>
  <c r="AC85" i="33"/>
  <c r="AC86" i="33"/>
  <c r="AC87" i="33"/>
  <c r="AC89" i="33"/>
  <c r="AC90" i="33"/>
  <c r="AC91" i="33"/>
  <c r="AC92" i="33"/>
  <c r="AC93" i="33"/>
  <c r="AC94" i="33"/>
  <c r="AC95" i="33"/>
  <c r="AC96" i="33"/>
  <c r="AC98" i="33"/>
  <c r="AC99" i="33"/>
  <c r="AC100" i="33"/>
  <c r="F101" i="33"/>
  <c r="H101" i="33"/>
  <c r="I101" i="33"/>
  <c r="J101" i="33"/>
  <c r="K101" i="33"/>
  <c r="L101" i="33"/>
  <c r="M101" i="33"/>
  <c r="N101" i="33"/>
  <c r="O101" i="33"/>
  <c r="Q101" i="33"/>
  <c r="R101" i="33"/>
  <c r="S101" i="33"/>
  <c r="T101" i="33"/>
  <c r="U101" i="33"/>
  <c r="V101" i="33"/>
  <c r="W101" i="33"/>
  <c r="X101" i="33"/>
  <c r="Y101" i="33"/>
  <c r="Z101" i="33"/>
  <c r="AA101" i="33"/>
  <c r="AB101" i="33"/>
  <c r="D100" i="33"/>
  <c r="AB78" i="33"/>
  <c r="AB80" i="33"/>
  <c r="AB81" i="33"/>
  <c r="AB82" i="33"/>
  <c r="AB83" i="33"/>
  <c r="AB84" i="33"/>
  <c r="AB85" i="33"/>
  <c r="AB86" i="33"/>
  <c r="AB87" i="33"/>
  <c r="AB89" i="33"/>
  <c r="AB90" i="33"/>
  <c r="AB91" i="33"/>
  <c r="AB92" i="33"/>
  <c r="AB93" i="33"/>
  <c r="AB94" i="33"/>
  <c r="AB95" i="33"/>
  <c r="AB96" i="33"/>
  <c r="AB97" i="33"/>
  <c r="AB98" i="33"/>
  <c r="AB99" i="33"/>
  <c r="F100" i="33"/>
  <c r="H100" i="33"/>
  <c r="I100" i="33"/>
  <c r="J100" i="33"/>
  <c r="K100" i="33"/>
  <c r="L100" i="33"/>
  <c r="M100" i="33"/>
  <c r="N100" i="33"/>
  <c r="O100" i="33"/>
  <c r="Q100" i="33"/>
  <c r="R100" i="33"/>
  <c r="S100" i="33"/>
  <c r="T100" i="33"/>
  <c r="U100" i="33"/>
  <c r="V100" i="33"/>
  <c r="W100" i="33"/>
  <c r="X100" i="33"/>
  <c r="Z100" i="33"/>
  <c r="AA100" i="33"/>
  <c r="D99" i="33"/>
  <c r="AA78" i="33"/>
  <c r="AA80" i="33"/>
  <c r="AA81" i="33"/>
  <c r="AA82" i="33"/>
  <c r="AA83" i="33"/>
  <c r="AA84" i="33"/>
  <c r="AA85" i="33"/>
  <c r="AA86" i="33"/>
  <c r="AA87" i="33"/>
  <c r="AA89" i="33"/>
  <c r="AA90" i="33"/>
  <c r="AA91" i="33"/>
  <c r="AA92" i="33"/>
  <c r="AA93" i="33"/>
  <c r="AA94" i="33"/>
  <c r="AA95" i="33"/>
  <c r="AA96" i="33"/>
  <c r="AA97" i="33"/>
  <c r="AA98" i="33"/>
  <c r="F99" i="33"/>
  <c r="H99" i="33"/>
  <c r="I99" i="33"/>
  <c r="J99" i="33"/>
  <c r="K99" i="33"/>
  <c r="L99" i="33"/>
  <c r="M99" i="33"/>
  <c r="N99" i="33"/>
  <c r="O99" i="33"/>
  <c r="Q99" i="33"/>
  <c r="R99" i="33"/>
  <c r="S99" i="33"/>
  <c r="T99" i="33"/>
  <c r="U99" i="33"/>
  <c r="V99" i="33"/>
  <c r="W99" i="33"/>
  <c r="X99" i="33"/>
  <c r="Y99" i="33"/>
  <c r="Z99" i="33"/>
  <c r="D98" i="33"/>
  <c r="Z78" i="33"/>
  <c r="Z80" i="33"/>
  <c r="Z81" i="33"/>
  <c r="Z82" i="33"/>
  <c r="Z83" i="33"/>
  <c r="Z84" i="33"/>
  <c r="Z85" i="33"/>
  <c r="Z86" i="33"/>
  <c r="Z87" i="33"/>
  <c r="Z89" i="33"/>
  <c r="Z90" i="33"/>
  <c r="Z91" i="33"/>
  <c r="Z92" i="33"/>
  <c r="Z93" i="33"/>
  <c r="Z94" i="33"/>
  <c r="Z95" i="33"/>
  <c r="Z96" i="33"/>
  <c r="F98" i="33"/>
  <c r="H98" i="33"/>
  <c r="I98" i="33"/>
  <c r="J98" i="33"/>
  <c r="K98" i="33"/>
  <c r="K88" i="33" s="1"/>
  <c r="L98" i="33"/>
  <c r="M98" i="33"/>
  <c r="N98" i="33"/>
  <c r="O98" i="33"/>
  <c r="Q98" i="33"/>
  <c r="R98" i="33"/>
  <c r="S98" i="33"/>
  <c r="T98" i="33"/>
  <c r="U98" i="33"/>
  <c r="V98" i="33"/>
  <c r="W98" i="33"/>
  <c r="X98" i="33"/>
  <c r="Y98" i="33"/>
  <c r="Y81" i="33"/>
  <c r="Y83" i="33"/>
  <c r="P83" i="33" s="1"/>
  <c r="AR83" i="33" s="1"/>
  <c r="Y84" i="33"/>
  <c r="Y87" i="33"/>
  <c r="P87" i="33" s="1"/>
  <c r="AR87" i="33" s="1"/>
  <c r="Y89" i="33"/>
  <c r="Y90" i="33"/>
  <c r="Y91" i="33"/>
  <c r="Y92" i="33"/>
  <c r="Y93" i="33"/>
  <c r="Y95" i="33"/>
  <c r="Y96" i="33"/>
  <c r="H97" i="33"/>
  <c r="I97" i="33"/>
  <c r="J97" i="33"/>
  <c r="K97" i="33"/>
  <c r="L97" i="33"/>
  <c r="M97" i="33"/>
  <c r="O97" i="33"/>
  <c r="Q97" i="33"/>
  <c r="T97" i="33"/>
  <c r="U97" i="33"/>
  <c r="V97" i="33"/>
  <c r="D96" i="33"/>
  <c r="X78" i="33"/>
  <c r="X80" i="33"/>
  <c r="X81" i="33"/>
  <c r="X82" i="33"/>
  <c r="X83" i="33"/>
  <c r="X84" i="33"/>
  <c r="X85" i="33"/>
  <c r="X86" i="33"/>
  <c r="X87" i="33"/>
  <c r="X89" i="33"/>
  <c r="X90" i="33"/>
  <c r="X91" i="33"/>
  <c r="X92" i="33"/>
  <c r="X93" i="33"/>
  <c r="X94" i="33"/>
  <c r="X95" i="33"/>
  <c r="F96" i="33"/>
  <c r="H96" i="33"/>
  <c r="I96" i="33"/>
  <c r="J96" i="33"/>
  <c r="K96" i="33"/>
  <c r="L96" i="33"/>
  <c r="M96" i="33"/>
  <c r="N96" i="33"/>
  <c r="O96" i="33"/>
  <c r="Q96" i="33"/>
  <c r="R96" i="33"/>
  <c r="S96" i="33"/>
  <c r="T96" i="33"/>
  <c r="U96" i="33"/>
  <c r="V96" i="33"/>
  <c r="W96" i="33"/>
  <c r="D95" i="33"/>
  <c r="W80" i="33"/>
  <c r="W81" i="33"/>
  <c r="W82" i="33"/>
  <c r="W83" i="33"/>
  <c r="W84" i="33"/>
  <c r="W85" i="33"/>
  <c r="W86" i="33"/>
  <c r="W87" i="33"/>
  <c r="W89" i="33"/>
  <c r="W90" i="33"/>
  <c r="W91" i="33"/>
  <c r="W92" i="33"/>
  <c r="W93" i="33"/>
  <c r="W94" i="33"/>
  <c r="F95" i="33"/>
  <c r="H95" i="33"/>
  <c r="I95" i="33"/>
  <c r="J95" i="33"/>
  <c r="K95" i="33"/>
  <c r="L95" i="33"/>
  <c r="M95" i="33"/>
  <c r="N95" i="33"/>
  <c r="O95" i="33"/>
  <c r="Q95" i="33"/>
  <c r="R95" i="33"/>
  <c r="S95" i="33"/>
  <c r="T95" i="33"/>
  <c r="U95" i="33"/>
  <c r="V95" i="33"/>
  <c r="D94" i="33"/>
  <c r="V78" i="33"/>
  <c r="V80" i="33"/>
  <c r="V81" i="33"/>
  <c r="V82" i="33"/>
  <c r="V83" i="33"/>
  <c r="V84" i="33"/>
  <c r="V85" i="33"/>
  <c r="V86" i="33"/>
  <c r="V87" i="33"/>
  <c r="V89" i="33"/>
  <c r="V90" i="33"/>
  <c r="V91" i="33"/>
  <c r="V92" i="33"/>
  <c r="V93" i="33"/>
  <c r="F94" i="33"/>
  <c r="H94" i="33"/>
  <c r="I94" i="33"/>
  <c r="J94" i="33"/>
  <c r="K94" i="33"/>
  <c r="L94" i="33"/>
  <c r="M94" i="33"/>
  <c r="N94" i="33"/>
  <c r="O94" i="33"/>
  <c r="Q94" i="33"/>
  <c r="R94" i="33"/>
  <c r="S94" i="33"/>
  <c r="T94" i="33"/>
  <c r="U94" i="33"/>
  <c r="D93" i="33"/>
  <c r="U78" i="33"/>
  <c r="U80" i="33"/>
  <c r="U81" i="33"/>
  <c r="U82" i="33"/>
  <c r="U83" i="33"/>
  <c r="U84" i="33"/>
  <c r="U85" i="33"/>
  <c r="U86" i="33"/>
  <c r="U87" i="33"/>
  <c r="U89" i="33"/>
  <c r="U90" i="33"/>
  <c r="U91" i="33"/>
  <c r="U92" i="33"/>
  <c r="F93" i="33"/>
  <c r="H93" i="33"/>
  <c r="I93" i="33"/>
  <c r="J93" i="33"/>
  <c r="K93" i="33"/>
  <c r="L93" i="33"/>
  <c r="M93" i="33"/>
  <c r="N93" i="33"/>
  <c r="O93" i="33"/>
  <c r="Q93" i="33"/>
  <c r="R93" i="33"/>
  <c r="S93" i="33"/>
  <c r="T93" i="33"/>
  <c r="D92" i="33"/>
  <c r="T80" i="33"/>
  <c r="T81" i="33"/>
  <c r="T82" i="33"/>
  <c r="T83" i="33"/>
  <c r="T84" i="33"/>
  <c r="T85" i="33"/>
  <c r="T86" i="33"/>
  <c r="T87" i="33"/>
  <c r="T89" i="33"/>
  <c r="T90" i="33"/>
  <c r="T91" i="33"/>
  <c r="F92" i="33"/>
  <c r="H92" i="33"/>
  <c r="I92" i="33"/>
  <c r="J92" i="33"/>
  <c r="K92" i="33"/>
  <c r="L92" i="33"/>
  <c r="M92" i="33"/>
  <c r="N92" i="33"/>
  <c r="O92" i="33"/>
  <c r="Q92" i="33"/>
  <c r="R92" i="33"/>
  <c r="S92" i="33"/>
  <c r="D91" i="33"/>
  <c r="S78" i="33"/>
  <c r="S80" i="33"/>
  <c r="S81" i="33"/>
  <c r="S82" i="33"/>
  <c r="S83" i="33"/>
  <c r="S84" i="33"/>
  <c r="S85" i="33"/>
  <c r="S86" i="33"/>
  <c r="S87" i="33"/>
  <c r="S89" i="33"/>
  <c r="S90" i="33"/>
  <c r="F91" i="33"/>
  <c r="H91" i="33"/>
  <c r="I91" i="33"/>
  <c r="J91" i="33"/>
  <c r="K91" i="33"/>
  <c r="L91" i="33"/>
  <c r="M91" i="33"/>
  <c r="N91" i="33"/>
  <c r="O91" i="33"/>
  <c r="Q91" i="33"/>
  <c r="R91" i="33"/>
  <c r="D90" i="33"/>
  <c r="R78" i="33"/>
  <c r="R80" i="33"/>
  <c r="R81" i="33"/>
  <c r="R82" i="33"/>
  <c r="R83" i="33"/>
  <c r="R84" i="33"/>
  <c r="R85" i="33"/>
  <c r="R86" i="33"/>
  <c r="R87" i="33"/>
  <c r="R89" i="33"/>
  <c r="F90" i="33"/>
  <c r="H90" i="33"/>
  <c r="I90" i="33"/>
  <c r="J90" i="33"/>
  <c r="K90" i="33"/>
  <c r="L90" i="33"/>
  <c r="M90" i="33"/>
  <c r="N90" i="33"/>
  <c r="O90" i="33"/>
  <c r="Q90" i="33"/>
  <c r="D89" i="33"/>
  <c r="Q80" i="33"/>
  <c r="Q81" i="33"/>
  <c r="Q82" i="33"/>
  <c r="Q83" i="33"/>
  <c r="Q84" i="33"/>
  <c r="Q85" i="33"/>
  <c r="Q86" i="33"/>
  <c r="Q87" i="33"/>
  <c r="F89" i="33"/>
  <c r="H89" i="33"/>
  <c r="I89" i="33"/>
  <c r="J89" i="33"/>
  <c r="K89" i="33"/>
  <c r="L89" i="33"/>
  <c r="M89" i="33"/>
  <c r="N89" i="33"/>
  <c r="O89" i="33"/>
  <c r="D87" i="33"/>
  <c r="O80" i="33"/>
  <c r="O81" i="33"/>
  <c r="O82" i="33"/>
  <c r="O83" i="33"/>
  <c r="O84" i="33"/>
  <c r="O85" i="33"/>
  <c r="O86" i="33"/>
  <c r="F87" i="33"/>
  <c r="H87" i="33"/>
  <c r="I87" i="33"/>
  <c r="J87" i="33"/>
  <c r="K87" i="33"/>
  <c r="L87" i="33"/>
  <c r="M87" i="33"/>
  <c r="N87" i="33"/>
  <c r="D86" i="33"/>
  <c r="N78" i="33"/>
  <c r="N80" i="33"/>
  <c r="N81" i="33"/>
  <c r="N82" i="33"/>
  <c r="N83" i="33"/>
  <c r="N84" i="33"/>
  <c r="N85" i="33"/>
  <c r="H86" i="33"/>
  <c r="I86" i="33"/>
  <c r="J86" i="33"/>
  <c r="K86" i="33"/>
  <c r="L86" i="33"/>
  <c r="M86" i="33"/>
  <c r="D85" i="33"/>
  <c r="M78" i="33"/>
  <c r="M80" i="33"/>
  <c r="M81" i="33"/>
  <c r="M82" i="33"/>
  <c r="M83" i="33"/>
  <c r="M84" i="33"/>
  <c r="F85" i="33"/>
  <c r="H85" i="33"/>
  <c r="I85" i="33"/>
  <c r="J85" i="33"/>
  <c r="K85" i="33"/>
  <c r="L85" i="33"/>
  <c r="D84" i="33"/>
  <c r="R11" i="33"/>
  <c r="L80" i="33"/>
  <c r="L81" i="33"/>
  <c r="L82" i="33"/>
  <c r="L83" i="33"/>
  <c r="F84" i="33"/>
  <c r="H84" i="33"/>
  <c r="I84" i="33"/>
  <c r="J84" i="33"/>
  <c r="K84" i="33"/>
  <c r="D83" i="33"/>
  <c r="Q11" i="33"/>
  <c r="K78" i="33"/>
  <c r="K80" i="33"/>
  <c r="K81" i="33"/>
  <c r="K82" i="33"/>
  <c r="F83" i="33"/>
  <c r="H83" i="33"/>
  <c r="I83" i="33"/>
  <c r="J83" i="33"/>
  <c r="D82" i="33"/>
  <c r="J80" i="33"/>
  <c r="J81" i="33"/>
  <c r="F82" i="33"/>
  <c r="H82" i="33"/>
  <c r="I82" i="33"/>
  <c r="D81" i="33"/>
  <c r="I78" i="33"/>
  <c r="I80" i="33"/>
  <c r="F81" i="33"/>
  <c r="H81" i="33"/>
  <c r="D80" i="33"/>
  <c r="H78" i="33"/>
  <c r="F80" i="33"/>
  <c r="D79" i="33"/>
  <c r="G78" i="33"/>
  <c r="G80" i="33"/>
  <c r="G81" i="33"/>
  <c r="G82" i="33"/>
  <c r="G83" i="33"/>
  <c r="G84" i="33"/>
  <c r="G85" i="33"/>
  <c r="G86" i="33"/>
  <c r="G87" i="33"/>
  <c r="G89" i="33"/>
  <c r="G90" i="33"/>
  <c r="G91" i="33"/>
  <c r="G92" i="33"/>
  <c r="G93" i="33"/>
  <c r="G94" i="33"/>
  <c r="G95" i="33"/>
  <c r="G96" i="33"/>
  <c r="G98" i="33"/>
  <c r="G99" i="33"/>
  <c r="G100" i="33"/>
  <c r="G101" i="33"/>
  <c r="G102" i="33"/>
  <c r="G103" i="33"/>
  <c r="G104" i="33"/>
  <c r="G105" i="33"/>
  <c r="G106" i="33"/>
  <c r="G107" i="33"/>
  <c r="G108" i="33"/>
  <c r="G109" i="33"/>
  <c r="G110" i="33"/>
  <c r="G111" i="33"/>
  <c r="G112" i="33"/>
  <c r="G113" i="33"/>
  <c r="G114" i="33"/>
  <c r="G115" i="33"/>
  <c r="H79" i="33"/>
  <c r="I79" i="33"/>
  <c r="J79" i="33"/>
  <c r="K79" i="33"/>
  <c r="L79" i="33"/>
  <c r="M79" i="33"/>
  <c r="N79" i="33"/>
  <c r="O79" i="33"/>
  <c r="Q79" i="33"/>
  <c r="R79" i="33"/>
  <c r="S79" i="33"/>
  <c r="T79" i="33"/>
  <c r="U79" i="33"/>
  <c r="V79" i="33"/>
  <c r="W79" i="33"/>
  <c r="X79" i="33"/>
  <c r="Z79" i="33"/>
  <c r="AA79" i="33"/>
  <c r="AB79" i="33"/>
  <c r="AC79" i="33"/>
  <c r="AD79" i="33"/>
  <c r="AE79" i="33"/>
  <c r="AF79" i="33"/>
  <c r="AG79" i="33"/>
  <c r="AH79" i="33"/>
  <c r="AI79" i="33"/>
  <c r="AJ79" i="33"/>
  <c r="AK79" i="33"/>
  <c r="AL79" i="33"/>
  <c r="AM79" i="33"/>
  <c r="AN79" i="33"/>
  <c r="AO79" i="33"/>
  <c r="AP79" i="33"/>
  <c r="AQ79" i="33"/>
  <c r="L18" i="33"/>
  <c r="L34" i="33"/>
  <c r="L25" i="33"/>
  <c r="L63" i="33"/>
  <c r="O15" i="33"/>
  <c r="V15" i="33"/>
  <c r="BH15" i="33"/>
  <c r="BK11" i="33"/>
  <c r="BK10" i="33" s="1"/>
  <c r="BK9" i="33" s="1"/>
  <c r="BK18" i="33"/>
  <c r="BK25" i="33"/>
  <c r="O34" i="33"/>
  <c r="O25" i="33" s="1"/>
  <c r="O63" i="33"/>
  <c r="G17" i="33"/>
  <c r="G26" i="33"/>
  <c r="F26" i="33"/>
  <c r="E26" i="33" s="1"/>
  <c r="G63" i="33"/>
  <c r="F22" i="33"/>
  <c r="E27" i="33"/>
  <c r="AW52" i="33"/>
  <c r="V52" i="33" s="1"/>
  <c r="AT49" i="33"/>
  <c r="V49" i="33" s="1"/>
  <c r="AS48" i="33"/>
  <c r="AQ46" i="33"/>
  <c r="V46" i="33" s="1"/>
  <c r="AP45" i="33"/>
  <c r="AE45" i="33" s="1"/>
  <c r="V45" i="33" s="1"/>
  <c r="AL41" i="33"/>
  <c r="AE41" i="33" s="1"/>
  <c r="V41" i="33" s="1"/>
  <c r="AI38" i="33"/>
  <c r="AI34" i="33" s="1"/>
  <c r="AI25" i="33" s="1"/>
  <c r="AI7" i="33" s="1"/>
  <c r="AG36" i="33"/>
  <c r="AE36" i="33" s="1"/>
  <c r="V36" i="33" s="1"/>
  <c r="BH35" i="33"/>
  <c r="AF35" i="33"/>
  <c r="AF34" i="33" s="1"/>
  <c r="AF25" i="33" s="1"/>
  <c r="Y28" i="33"/>
  <c r="V28" i="33" s="1"/>
  <c r="O16" i="33"/>
  <c r="K14" i="33"/>
  <c r="N10" i="33"/>
  <c r="AQ80" i="34"/>
  <c r="AQ81" i="34"/>
  <c r="AQ82" i="34"/>
  <c r="AQ83" i="34"/>
  <c r="AQ84" i="34"/>
  <c r="AQ85" i="34"/>
  <c r="AQ86" i="34"/>
  <c r="AQ87" i="34"/>
  <c r="AQ89" i="34"/>
  <c r="AQ90" i="34"/>
  <c r="AQ91" i="34"/>
  <c r="AQ93" i="34"/>
  <c r="AQ94" i="34"/>
  <c r="AQ95" i="34"/>
  <c r="AQ96" i="34"/>
  <c r="AQ98" i="34"/>
  <c r="AQ100" i="34"/>
  <c r="AQ102" i="34"/>
  <c r="AQ103" i="34"/>
  <c r="AQ104" i="34"/>
  <c r="AQ105" i="34"/>
  <c r="AQ106" i="34"/>
  <c r="AQ107" i="34"/>
  <c r="AQ108" i="34"/>
  <c r="AQ109" i="34"/>
  <c r="AQ110" i="34"/>
  <c r="AQ111" i="34"/>
  <c r="AQ112" i="34"/>
  <c r="AQ113" i="34"/>
  <c r="AQ114" i="34"/>
  <c r="H115" i="34"/>
  <c r="I115" i="34"/>
  <c r="J115" i="34"/>
  <c r="K115" i="34"/>
  <c r="L115" i="34"/>
  <c r="M115" i="34"/>
  <c r="N115" i="34"/>
  <c r="O115" i="34"/>
  <c r="Q115" i="34"/>
  <c r="R115" i="34"/>
  <c r="S115" i="34"/>
  <c r="U115" i="34"/>
  <c r="V115" i="34"/>
  <c r="W115" i="34"/>
  <c r="X115" i="34"/>
  <c r="Z115" i="34"/>
  <c r="AA115" i="34"/>
  <c r="AB115" i="34"/>
  <c r="AC115" i="34"/>
  <c r="AD115" i="34"/>
  <c r="AE115" i="34"/>
  <c r="AF115" i="34"/>
  <c r="AH115" i="34"/>
  <c r="AI115" i="34"/>
  <c r="AJ115" i="34"/>
  <c r="AL115" i="34"/>
  <c r="AM115" i="34"/>
  <c r="AN115" i="34"/>
  <c r="AO115" i="34"/>
  <c r="AP115" i="34"/>
  <c r="D114" i="34"/>
  <c r="AP78" i="34"/>
  <c r="AP80" i="34"/>
  <c r="AP81" i="34"/>
  <c r="AP82" i="34"/>
  <c r="AP83" i="34"/>
  <c r="AP84" i="34"/>
  <c r="AP85" i="34"/>
  <c r="AP86" i="34"/>
  <c r="AP87" i="34"/>
  <c r="AP89" i="34"/>
  <c r="AP90" i="34"/>
  <c r="AP91" i="34"/>
  <c r="AP93" i="34"/>
  <c r="AP94" i="34"/>
  <c r="AP95" i="34"/>
  <c r="AP96" i="34"/>
  <c r="AP97" i="34"/>
  <c r="AP98" i="34"/>
  <c r="AP99" i="34"/>
  <c r="AP100" i="34"/>
  <c r="AP101" i="34"/>
  <c r="AP102" i="34"/>
  <c r="AP103" i="34"/>
  <c r="AP104" i="34"/>
  <c r="AP105" i="34"/>
  <c r="AP106" i="34"/>
  <c r="AP107" i="34"/>
  <c r="AP108" i="34"/>
  <c r="AP109" i="34"/>
  <c r="AP110" i="34"/>
  <c r="AP111" i="34"/>
  <c r="AP112" i="34"/>
  <c r="AP113" i="34"/>
  <c r="H114" i="34"/>
  <c r="I114" i="34"/>
  <c r="J114" i="34"/>
  <c r="K114" i="34"/>
  <c r="L114" i="34"/>
  <c r="M114" i="34"/>
  <c r="N114" i="34"/>
  <c r="O114" i="34"/>
  <c r="Q114" i="34"/>
  <c r="R114" i="34"/>
  <c r="S114" i="34"/>
  <c r="U114" i="34"/>
  <c r="V114" i="34"/>
  <c r="W114" i="34"/>
  <c r="X114" i="34"/>
  <c r="Y114" i="34"/>
  <c r="Z114" i="34"/>
  <c r="AA114" i="34"/>
  <c r="AB114" i="34"/>
  <c r="AC114" i="34"/>
  <c r="AD114" i="34"/>
  <c r="AE114" i="34"/>
  <c r="AF114" i="34"/>
  <c r="AG114" i="34"/>
  <c r="AH114" i="34"/>
  <c r="AI114" i="34"/>
  <c r="AJ114" i="34"/>
  <c r="AK114" i="34"/>
  <c r="AL114" i="34"/>
  <c r="AM114" i="34"/>
  <c r="AN114" i="34"/>
  <c r="AO114" i="34"/>
  <c r="D113" i="34"/>
  <c r="AO78" i="34"/>
  <c r="AO80" i="34"/>
  <c r="AO81" i="34"/>
  <c r="AO82" i="34"/>
  <c r="AO83" i="34"/>
  <c r="AO84" i="34"/>
  <c r="AO85" i="34"/>
  <c r="AO86" i="34"/>
  <c r="AO87" i="34"/>
  <c r="AO89" i="34"/>
  <c r="AO90" i="34"/>
  <c r="AO91" i="34"/>
  <c r="AO93" i="34"/>
  <c r="AO94" i="34"/>
  <c r="AO95" i="34"/>
  <c r="AO96" i="34"/>
  <c r="AO97" i="34"/>
  <c r="AO98" i="34"/>
  <c r="AO99" i="34"/>
  <c r="AO100" i="34"/>
  <c r="AO101" i="34"/>
  <c r="AO102" i="34"/>
  <c r="AO103" i="34"/>
  <c r="AO104" i="34"/>
  <c r="AO105" i="34"/>
  <c r="AO106" i="34"/>
  <c r="AO107" i="34"/>
  <c r="AO108" i="34"/>
  <c r="AO109" i="34"/>
  <c r="AO110" i="34"/>
  <c r="AO111" i="34"/>
  <c r="AO112" i="34"/>
  <c r="F113" i="34"/>
  <c r="H113" i="34"/>
  <c r="I113" i="34"/>
  <c r="J113" i="34"/>
  <c r="K113" i="34"/>
  <c r="L113" i="34"/>
  <c r="M113" i="34"/>
  <c r="N113" i="34"/>
  <c r="O113" i="34"/>
  <c r="Q113" i="34"/>
  <c r="R113" i="34"/>
  <c r="S113" i="34"/>
  <c r="U113" i="34"/>
  <c r="V113" i="34"/>
  <c r="W113" i="34"/>
  <c r="X113" i="34"/>
  <c r="Z113" i="34"/>
  <c r="AA113" i="34"/>
  <c r="AB113" i="34"/>
  <c r="AC113" i="34"/>
  <c r="AD113" i="34"/>
  <c r="AE113" i="34"/>
  <c r="AF113" i="34"/>
  <c r="AG113" i="34"/>
  <c r="AH113" i="34"/>
  <c r="AI113" i="34"/>
  <c r="AJ113" i="34"/>
  <c r="AK113" i="34"/>
  <c r="AL113" i="34"/>
  <c r="AM113" i="34"/>
  <c r="AN113" i="34"/>
  <c r="D112" i="34"/>
  <c r="AN80" i="34"/>
  <c r="AN81" i="34"/>
  <c r="AN82" i="34"/>
  <c r="AN83" i="34"/>
  <c r="AN84" i="34"/>
  <c r="AN85" i="34"/>
  <c r="AN86" i="34"/>
  <c r="AN87" i="34"/>
  <c r="AN89" i="34"/>
  <c r="AN90" i="34"/>
  <c r="AN91" i="34"/>
  <c r="AN93" i="34"/>
  <c r="AN94" i="34"/>
  <c r="AN95" i="34"/>
  <c r="AN96" i="34"/>
  <c r="AN97" i="34"/>
  <c r="AN98" i="34"/>
  <c r="AN99" i="34"/>
  <c r="AN100" i="34"/>
  <c r="AN101" i="34"/>
  <c r="AN102" i="34"/>
  <c r="AN103" i="34"/>
  <c r="AN104" i="34"/>
  <c r="AN105" i="34"/>
  <c r="AN106" i="34"/>
  <c r="AN107" i="34"/>
  <c r="AN108" i="34"/>
  <c r="AN109" i="34"/>
  <c r="AN110" i="34"/>
  <c r="AN111" i="34"/>
  <c r="F112" i="34"/>
  <c r="H112" i="34"/>
  <c r="I112" i="34"/>
  <c r="J112" i="34"/>
  <c r="K112" i="34"/>
  <c r="L112" i="34"/>
  <c r="M112" i="34"/>
  <c r="N112" i="34"/>
  <c r="O112" i="34"/>
  <c r="Q112" i="34"/>
  <c r="R112" i="34"/>
  <c r="S112" i="34"/>
  <c r="U112" i="34"/>
  <c r="V112" i="34"/>
  <c r="W112" i="34"/>
  <c r="X112" i="34"/>
  <c r="Z112" i="34"/>
  <c r="AA112" i="34"/>
  <c r="AB112" i="34"/>
  <c r="AC112" i="34"/>
  <c r="AD112" i="34"/>
  <c r="AE112" i="34"/>
  <c r="AF112" i="34"/>
  <c r="AG112" i="34"/>
  <c r="AH112" i="34"/>
  <c r="AI112" i="34"/>
  <c r="AJ112" i="34"/>
  <c r="AK112" i="34"/>
  <c r="AL112" i="34"/>
  <c r="AM112" i="34"/>
  <c r="D111" i="34"/>
  <c r="AM80" i="34"/>
  <c r="AM81" i="34"/>
  <c r="AM82" i="34"/>
  <c r="AM83" i="34"/>
  <c r="AM84" i="34"/>
  <c r="AM85" i="34"/>
  <c r="AM86" i="34"/>
  <c r="AM87" i="34"/>
  <c r="AM89" i="34"/>
  <c r="AM90" i="34"/>
  <c r="AM91" i="34"/>
  <c r="AM93" i="34"/>
  <c r="AM94" i="34"/>
  <c r="AM95" i="34"/>
  <c r="AM96" i="34"/>
  <c r="AM98" i="34"/>
  <c r="AM99" i="34"/>
  <c r="AM100" i="34"/>
  <c r="AM101" i="34"/>
  <c r="AM102" i="34"/>
  <c r="AM103" i="34"/>
  <c r="AM104" i="34"/>
  <c r="AM105" i="34"/>
  <c r="AM106" i="34"/>
  <c r="AM107" i="34"/>
  <c r="AM108" i="34"/>
  <c r="AM109" i="34"/>
  <c r="AM110" i="34"/>
  <c r="F111" i="34"/>
  <c r="H111" i="34"/>
  <c r="I111" i="34"/>
  <c r="J111" i="34"/>
  <c r="K111" i="34"/>
  <c r="L111" i="34"/>
  <c r="M111" i="34"/>
  <c r="N111" i="34"/>
  <c r="O111" i="34"/>
  <c r="Q111" i="34"/>
  <c r="R111" i="34"/>
  <c r="S111" i="34"/>
  <c r="U111" i="34"/>
  <c r="V111" i="34"/>
  <c r="W111" i="34"/>
  <c r="X111" i="34"/>
  <c r="Y111" i="34"/>
  <c r="Z111" i="34"/>
  <c r="AA111" i="34"/>
  <c r="AB111" i="34"/>
  <c r="AC111" i="34"/>
  <c r="AD111" i="34"/>
  <c r="AE111" i="34"/>
  <c r="AF111" i="34"/>
  <c r="AG111" i="34"/>
  <c r="AH111" i="34"/>
  <c r="AI111" i="34"/>
  <c r="AJ111" i="34"/>
  <c r="AK111" i="34"/>
  <c r="AL111" i="34"/>
  <c r="D110" i="34"/>
  <c r="AL80" i="34"/>
  <c r="AL81" i="34"/>
  <c r="AL82" i="34"/>
  <c r="AL83" i="34"/>
  <c r="AL84" i="34"/>
  <c r="AL85" i="34"/>
  <c r="AL86" i="34"/>
  <c r="AL87" i="34"/>
  <c r="AL89" i="34"/>
  <c r="AL90" i="34"/>
  <c r="AL91" i="34"/>
  <c r="AL93" i="34"/>
  <c r="AL94" i="34"/>
  <c r="AL95" i="34"/>
  <c r="AL96" i="34"/>
  <c r="AL97" i="34"/>
  <c r="AL98" i="34"/>
  <c r="AL99" i="34"/>
  <c r="AL100" i="34"/>
  <c r="AL101" i="34"/>
  <c r="AL102" i="34"/>
  <c r="AL103" i="34"/>
  <c r="AL104" i="34"/>
  <c r="AL105" i="34"/>
  <c r="AL106" i="34"/>
  <c r="AL107" i="34"/>
  <c r="AL108" i="34"/>
  <c r="AL109" i="34"/>
  <c r="F110" i="34"/>
  <c r="H110" i="34"/>
  <c r="I110" i="34"/>
  <c r="J110" i="34"/>
  <c r="K110" i="34"/>
  <c r="L110" i="34"/>
  <c r="M110" i="34"/>
  <c r="N110" i="34"/>
  <c r="O110" i="34"/>
  <c r="Q110" i="34"/>
  <c r="R110" i="34"/>
  <c r="S110" i="34"/>
  <c r="U110" i="34"/>
  <c r="V110" i="34"/>
  <c r="W110" i="34"/>
  <c r="X110" i="34"/>
  <c r="Y110" i="34"/>
  <c r="Z110" i="34"/>
  <c r="AA110" i="34"/>
  <c r="AB110" i="34"/>
  <c r="AC110" i="34"/>
  <c r="AD110" i="34"/>
  <c r="AE110" i="34"/>
  <c r="AF110" i="34"/>
  <c r="AG110" i="34"/>
  <c r="AH110" i="34"/>
  <c r="AI110" i="34"/>
  <c r="AJ110" i="34"/>
  <c r="AK110" i="34"/>
  <c r="D109" i="34"/>
  <c r="AK80" i="34"/>
  <c r="AK81" i="34"/>
  <c r="AK82" i="34"/>
  <c r="AK83" i="34"/>
  <c r="AK84" i="34"/>
  <c r="AK85" i="34"/>
  <c r="AK86" i="34"/>
  <c r="AK87" i="34"/>
  <c r="AK89" i="34"/>
  <c r="AK90" i="34"/>
  <c r="AK91" i="34"/>
  <c r="AK93" i="34"/>
  <c r="AK94" i="34"/>
  <c r="AK95" i="34"/>
  <c r="AK96" i="34"/>
  <c r="AK97" i="34"/>
  <c r="AK98" i="34"/>
  <c r="AK99" i="34"/>
  <c r="AK100" i="34"/>
  <c r="AK101" i="34"/>
  <c r="AK102" i="34"/>
  <c r="AK103" i="34"/>
  <c r="AK104" i="34"/>
  <c r="AK105" i="34"/>
  <c r="AK106" i="34"/>
  <c r="AK107" i="34"/>
  <c r="AK108" i="34"/>
  <c r="AK115" i="34"/>
  <c r="F109" i="34"/>
  <c r="H109" i="34"/>
  <c r="I109" i="34"/>
  <c r="J109" i="34"/>
  <c r="K109" i="34"/>
  <c r="L109" i="34"/>
  <c r="M109" i="34"/>
  <c r="N109" i="34"/>
  <c r="O109" i="34"/>
  <c r="Q109" i="34"/>
  <c r="R109" i="34"/>
  <c r="S109" i="34"/>
  <c r="U109" i="34"/>
  <c r="V109" i="34"/>
  <c r="W109" i="34"/>
  <c r="X109" i="34"/>
  <c r="Y109" i="34"/>
  <c r="Z109" i="34"/>
  <c r="AA109" i="34"/>
  <c r="AB109" i="34"/>
  <c r="AC109" i="34"/>
  <c r="AD109" i="34"/>
  <c r="AE109" i="34"/>
  <c r="AF109" i="34"/>
  <c r="AG109" i="34"/>
  <c r="AH109" i="34"/>
  <c r="AI109" i="34"/>
  <c r="AJ109" i="34"/>
  <c r="D108" i="34"/>
  <c r="AJ80" i="34"/>
  <c r="AJ81" i="34"/>
  <c r="AJ82" i="34"/>
  <c r="AJ83" i="34"/>
  <c r="AJ84" i="34"/>
  <c r="AJ85" i="34"/>
  <c r="AJ86" i="34"/>
  <c r="AJ87" i="34"/>
  <c r="AJ89" i="34"/>
  <c r="AJ90" i="34"/>
  <c r="AJ91" i="34"/>
  <c r="AJ93" i="34"/>
  <c r="AJ94" i="34"/>
  <c r="AJ95" i="34"/>
  <c r="AJ96" i="34"/>
  <c r="AJ97" i="34"/>
  <c r="AJ98" i="34"/>
  <c r="AJ99" i="34"/>
  <c r="AJ100" i="34"/>
  <c r="AJ101" i="34"/>
  <c r="AJ102" i="34"/>
  <c r="AJ103" i="34"/>
  <c r="AJ104" i="34"/>
  <c r="AJ105" i="34"/>
  <c r="AJ106" i="34"/>
  <c r="AJ107" i="34"/>
  <c r="F108" i="34"/>
  <c r="H108" i="34"/>
  <c r="I108" i="34"/>
  <c r="J108" i="34"/>
  <c r="K108" i="34"/>
  <c r="L108" i="34"/>
  <c r="M108" i="34"/>
  <c r="N108" i="34"/>
  <c r="O108" i="34"/>
  <c r="Q108" i="34"/>
  <c r="R108" i="34"/>
  <c r="S108" i="34"/>
  <c r="U108" i="34"/>
  <c r="V108" i="34"/>
  <c r="W108" i="34"/>
  <c r="X108" i="34"/>
  <c r="Y108" i="34"/>
  <c r="Z108" i="34"/>
  <c r="AA108" i="34"/>
  <c r="AB108" i="34"/>
  <c r="AC108" i="34"/>
  <c r="AD108" i="34"/>
  <c r="AE108" i="34"/>
  <c r="AF108" i="34"/>
  <c r="AG108" i="34"/>
  <c r="AH108" i="34"/>
  <c r="AI108" i="34"/>
  <c r="D107" i="34"/>
  <c r="AI80" i="34"/>
  <c r="AI81" i="34"/>
  <c r="AI82" i="34"/>
  <c r="AI83" i="34"/>
  <c r="AI84" i="34"/>
  <c r="AI85" i="34"/>
  <c r="AI86" i="34"/>
  <c r="AI87" i="34"/>
  <c r="AI89" i="34"/>
  <c r="AI90" i="34"/>
  <c r="AI91" i="34"/>
  <c r="AI93" i="34"/>
  <c r="AI94" i="34"/>
  <c r="AI95" i="34"/>
  <c r="AI96" i="34"/>
  <c r="AI97" i="34"/>
  <c r="AI98" i="34"/>
  <c r="AI99" i="34"/>
  <c r="AI100" i="34"/>
  <c r="AI101" i="34"/>
  <c r="AI102" i="34"/>
  <c r="AI103" i="34"/>
  <c r="AI104" i="34"/>
  <c r="AI105" i="34"/>
  <c r="AI106" i="34"/>
  <c r="F107" i="34"/>
  <c r="H107" i="34"/>
  <c r="I107" i="34"/>
  <c r="J107" i="34"/>
  <c r="K107" i="34"/>
  <c r="L107" i="34"/>
  <c r="M107" i="34"/>
  <c r="N107" i="34"/>
  <c r="O107" i="34"/>
  <c r="Q107" i="34"/>
  <c r="R107" i="34"/>
  <c r="S107" i="34"/>
  <c r="U107" i="34"/>
  <c r="V107" i="34"/>
  <c r="W107" i="34"/>
  <c r="X107" i="34"/>
  <c r="Y107" i="34"/>
  <c r="Z107" i="34"/>
  <c r="AA107" i="34"/>
  <c r="AB107" i="34"/>
  <c r="AC107" i="34"/>
  <c r="AD107" i="34"/>
  <c r="AE107" i="34"/>
  <c r="AF107" i="34"/>
  <c r="AG107" i="34"/>
  <c r="AH107" i="34"/>
  <c r="D106" i="34"/>
  <c r="AH80" i="34"/>
  <c r="AH81" i="34"/>
  <c r="AH82" i="34"/>
  <c r="AH83" i="34"/>
  <c r="AH84" i="34"/>
  <c r="AH85" i="34"/>
  <c r="AH86" i="34"/>
  <c r="AH87" i="34"/>
  <c r="AH89" i="34"/>
  <c r="AH90" i="34"/>
  <c r="AH91" i="34"/>
  <c r="AH93" i="34"/>
  <c r="AH94" i="34"/>
  <c r="AH95" i="34"/>
  <c r="AH96" i="34"/>
  <c r="AH97" i="34"/>
  <c r="AH98" i="34"/>
  <c r="AH99" i="34"/>
  <c r="AH100" i="34"/>
  <c r="AH101" i="34"/>
  <c r="AH102" i="34"/>
  <c r="AH103" i="34"/>
  <c r="AH104" i="34"/>
  <c r="AH105" i="34"/>
  <c r="H106" i="34"/>
  <c r="I106" i="34"/>
  <c r="J106" i="34"/>
  <c r="K106" i="34"/>
  <c r="L106" i="34"/>
  <c r="M106" i="34"/>
  <c r="N106" i="34"/>
  <c r="O106" i="34"/>
  <c r="Q106" i="34"/>
  <c r="R106" i="34"/>
  <c r="S106" i="34"/>
  <c r="U106" i="34"/>
  <c r="V106" i="34"/>
  <c r="W106" i="34"/>
  <c r="X106" i="34"/>
  <c r="Y106" i="34"/>
  <c r="Z106" i="34"/>
  <c r="AA106" i="34"/>
  <c r="AB106" i="34"/>
  <c r="AC106" i="34"/>
  <c r="AD106" i="34"/>
  <c r="AE106" i="34"/>
  <c r="AF106" i="34"/>
  <c r="AG106" i="34"/>
  <c r="D105" i="34"/>
  <c r="AG78" i="34"/>
  <c r="AG80" i="34"/>
  <c r="AG81" i="34"/>
  <c r="AG82" i="34"/>
  <c r="AG83" i="34"/>
  <c r="AG84" i="34"/>
  <c r="AG85" i="34"/>
  <c r="AG86" i="34"/>
  <c r="AG87" i="34"/>
  <c r="AG89" i="34"/>
  <c r="AG90" i="34"/>
  <c r="AG91" i="34"/>
  <c r="AG93" i="34"/>
  <c r="AG94" i="34"/>
  <c r="AG95" i="34"/>
  <c r="AG96" i="34"/>
  <c r="AG97" i="34"/>
  <c r="AG98" i="34"/>
  <c r="AG99" i="34"/>
  <c r="AG100" i="34"/>
  <c r="AG101" i="34"/>
  <c r="AG102" i="34"/>
  <c r="AG103" i="34"/>
  <c r="AG104" i="34"/>
  <c r="F105" i="34"/>
  <c r="H105" i="34"/>
  <c r="I105" i="34"/>
  <c r="J105" i="34"/>
  <c r="K105" i="34"/>
  <c r="L105" i="34"/>
  <c r="M105" i="34"/>
  <c r="N105" i="34"/>
  <c r="O105" i="34"/>
  <c r="Q105" i="34"/>
  <c r="R105" i="34"/>
  <c r="S105" i="34"/>
  <c r="U105" i="34"/>
  <c r="V105" i="34"/>
  <c r="W105" i="34"/>
  <c r="X105" i="34"/>
  <c r="Z105" i="34"/>
  <c r="AA105" i="34"/>
  <c r="AB105" i="34"/>
  <c r="AC105" i="34"/>
  <c r="AD105" i="34"/>
  <c r="AE105" i="34"/>
  <c r="AF105" i="34"/>
  <c r="D104" i="34"/>
  <c r="AF80" i="34"/>
  <c r="AF81" i="34"/>
  <c r="AF82" i="34"/>
  <c r="AF83" i="34"/>
  <c r="AF84" i="34"/>
  <c r="AF85" i="34"/>
  <c r="AF86" i="34"/>
  <c r="AF87" i="34"/>
  <c r="AF89" i="34"/>
  <c r="AF90" i="34"/>
  <c r="AF91" i="34"/>
  <c r="AF93" i="34"/>
  <c r="AF94" i="34"/>
  <c r="AF95" i="34"/>
  <c r="AF96" i="34"/>
  <c r="AF97" i="34"/>
  <c r="AF98" i="34"/>
  <c r="AF99" i="34"/>
  <c r="AF100" i="34"/>
  <c r="AF101" i="34"/>
  <c r="AF102" i="34"/>
  <c r="AF103" i="34"/>
  <c r="F104" i="34"/>
  <c r="H104" i="34"/>
  <c r="I104" i="34"/>
  <c r="J104" i="34"/>
  <c r="K104" i="34"/>
  <c r="L104" i="34"/>
  <c r="M104" i="34"/>
  <c r="N104" i="34"/>
  <c r="O104" i="34"/>
  <c r="Q104" i="34"/>
  <c r="R104" i="34"/>
  <c r="S104" i="34"/>
  <c r="U104" i="34"/>
  <c r="V104" i="34"/>
  <c r="W104" i="34"/>
  <c r="X104" i="34"/>
  <c r="Y104" i="34"/>
  <c r="Z104" i="34"/>
  <c r="AA104" i="34"/>
  <c r="AB104" i="34"/>
  <c r="AC104" i="34"/>
  <c r="AD104" i="34"/>
  <c r="AE104" i="34"/>
  <c r="D103" i="34"/>
  <c r="AE80" i="34"/>
  <c r="AE81" i="34"/>
  <c r="AE82" i="34"/>
  <c r="AE83" i="34"/>
  <c r="AE84" i="34"/>
  <c r="AE85" i="34"/>
  <c r="AE86" i="34"/>
  <c r="AE87" i="34"/>
  <c r="AE89" i="34"/>
  <c r="AE90" i="34"/>
  <c r="AE91" i="34"/>
  <c r="AE93" i="34"/>
  <c r="AE94" i="34"/>
  <c r="AE95" i="34"/>
  <c r="AE96" i="34"/>
  <c r="AE97" i="34"/>
  <c r="AE98" i="34"/>
  <c r="AE99" i="34"/>
  <c r="AE100" i="34"/>
  <c r="AE101" i="34"/>
  <c r="AE102" i="34"/>
  <c r="F103" i="34"/>
  <c r="H103" i="34"/>
  <c r="I103" i="34"/>
  <c r="J103" i="34"/>
  <c r="K103" i="34"/>
  <c r="L103" i="34"/>
  <c r="M103" i="34"/>
  <c r="N103" i="34"/>
  <c r="O103" i="34"/>
  <c r="Q103" i="34"/>
  <c r="R103" i="34"/>
  <c r="S103" i="34"/>
  <c r="U103" i="34"/>
  <c r="V103" i="34"/>
  <c r="W103" i="34"/>
  <c r="X103" i="34"/>
  <c r="Y103" i="34"/>
  <c r="Z103" i="34"/>
  <c r="AA103" i="34"/>
  <c r="AB103" i="34"/>
  <c r="AC103" i="34"/>
  <c r="AD103" i="34"/>
  <c r="D102" i="34"/>
  <c r="AD80" i="34"/>
  <c r="AD81" i="34"/>
  <c r="AD82" i="34"/>
  <c r="AD83" i="34"/>
  <c r="AD84" i="34"/>
  <c r="AD85" i="34"/>
  <c r="AD86" i="34"/>
  <c r="AD87" i="34"/>
  <c r="AD89" i="34"/>
  <c r="AD90" i="34"/>
  <c r="AD91" i="34"/>
  <c r="AD93" i="34"/>
  <c r="AD94" i="34"/>
  <c r="AD95" i="34"/>
  <c r="AD96" i="34"/>
  <c r="AD97" i="34"/>
  <c r="AD98" i="34"/>
  <c r="AD99" i="34"/>
  <c r="AD100" i="34"/>
  <c r="AD101" i="34"/>
  <c r="F102" i="34"/>
  <c r="H102" i="34"/>
  <c r="I102" i="34"/>
  <c r="J102" i="34"/>
  <c r="K102" i="34"/>
  <c r="L102" i="34"/>
  <c r="M102" i="34"/>
  <c r="N102" i="34"/>
  <c r="O102" i="34"/>
  <c r="Q102" i="34"/>
  <c r="R102" i="34"/>
  <c r="S102" i="34"/>
  <c r="U102" i="34"/>
  <c r="V102" i="34"/>
  <c r="W102" i="34"/>
  <c r="X102" i="34"/>
  <c r="Y102" i="34"/>
  <c r="Z102" i="34"/>
  <c r="AA102" i="34"/>
  <c r="AB102" i="34"/>
  <c r="AC102" i="34"/>
  <c r="D101" i="34"/>
  <c r="AC78" i="34"/>
  <c r="AC80" i="34"/>
  <c r="AC81" i="34"/>
  <c r="AC82" i="34"/>
  <c r="AC83" i="34"/>
  <c r="AC84" i="34"/>
  <c r="AC85" i="34"/>
  <c r="AC86" i="34"/>
  <c r="AC87" i="34"/>
  <c r="AC89" i="34"/>
  <c r="AC90" i="34"/>
  <c r="AC91" i="34"/>
  <c r="AC93" i="34"/>
  <c r="AC94" i="34"/>
  <c r="AC95" i="34"/>
  <c r="AC96" i="34"/>
  <c r="AC97" i="34"/>
  <c r="AC98" i="34"/>
  <c r="AC99" i="34"/>
  <c r="AC100" i="34"/>
  <c r="H101" i="34"/>
  <c r="I101" i="34"/>
  <c r="J101" i="34"/>
  <c r="K101" i="34"/>
  <c r="L101" i="34"/>
  <c r="M101" i="34"/>
  <c r="N101" i="34"/>
  <c r="O101" i="34"/>
  <c r="Q101" i="34"/>
  <c r="R101" i="34"/>
  <c r="S101" i="34"/>
  <c r="U101" i="34"/>
  <c r="V101" i="34"/>
  <c r="W101" i="34"/>
  <c r="X101" i="34"/>
  <c r="Y101" i="34"/>
  <c r="Z101" i="34"/>
  <c r="AA101" i="34"/>
  <c r="AB101" i="34"/>
  <c r="D100" i="34"/>
  <c r="AB80" i="34"/>
  <c r="AB81" i="34"/>
  <c r="AB82" i="34"/>
  <c r="AB83" i="34"/>
  <c r="AB84" i="34"/>
  <c r="AB85" i="34"/>
  <c r="AB86" i="34"/>
  <c r="AB87" i="34"/>
  <c r="AB89" i="34"/>
  <c r="AB90" i="34"/>
  <c r="AB91" i="34"/>
  <c r="AB93" i="34"/>
  <c r="AB94" i="34"/>
  <c r="AB95" i="34"/>
  <c r="AB96" i="34"/>
  <c r="AB97" i="34"/>
  <c r="AB98" i="34"/>
  <c r="AB99" i="34"/>
  <c r="F100" i="34"/>
  <c r="H100" i="34"/>
  <c r="I100" i="34"/>
  <c r="J100" i="34"/>
  <c r="K100" i="34"/>
  <c r="L100" i="34"/>
  <c r="M100" i="34"/>
  <c r="N100" i="34"/>
  <c r="O100" i="34"/>
  <c r="Q100" i="34"/>
  <c r="R100" i="34"/>
  <c r="S100" i="34"/>
  <c r="U100" i="34"/>
  <c r="V100" i="34"/>
  <c r="W100" i="34"/>
  <c r="X100" i="34"/>
  <c r="Y100" i="34"/>
  <c r="Z100" i="34"/>
  <c r="AA100" i="34"/>
  <c r="D99" i="34"/>
  <c r="AA78" i="34"/>
  <c r="AA80" i="34"/>
  <c r="AA81" i="34"/>
  <c r="AA82" i="34"/>
  <c r="AA83" i="34"/>
  <c r="AA84" i="34"/>
  <c r="AA85" i="34"/>
  <c r="AA86" i="34"/>
  <c r="AA87" i="34"/>
  <c r="AA89" i="34"/>
  <c r="AA90" i="34"/>
  <c r="AA91" i="34"/>
  <c r="AA93" i="34"/>
  <c r="AA94" i="34"/>
  <c r="AA95" i="34"/>
  <c r="AA96" i="34"/>
  <c r="AA97" i="34"/>
  <c r="AA98" i="34"/>
  <c r="F99" i="34"/>
  <c r="H99" i="34"/>
  <c r="I99" i="34"/>
  <c r="J99" i="34"/>
  <c r="K99" i="34"/>
  <c r="L99" i="34"/>
  <c r="M99" i="34"/>
  <c r="N99" i="34"/>
  <c r="O99" i="34"/>
  <c r="Q99" i="34"/>
  <c r="R99" i="34"/>
  <c r="S99" i="34"/>
  <c r="U99" i="34"/>
  <c r="V99" i="34"/>
  <c r="W99" i="34"/>
  <c r="X99" i="34"/>
  <c r="Y99" i="34"/>
  <c r="Z99" i="34"/>
  <c r="D98" i="34"/>
  <c r="Z78" i="34"/>
  <c r="Z80" i="34"/>
  <c r="Z81" i="34"/>
  <c r="Z82" i="34"/>
  <c r="Z83" i="34"/>
  <c r="Z84" i="34"/>
  <c r="Z85" i="34"/>
  <c r="Z86" i="34"/>
  <c r="Z87" i="34"/>
  <c r="Z89" i="34"/>
  <c r="Z90" i="34"/>
  <c r="Z91" i="34"/>
  <c r="Z93" i="34"/>
  <c r="Z94" i="34"/>
  <c r="Z95" i="34"/>
  <c r="Z96" i="34"/>
  <c r="Z97" i="34"/>
  <c r="F98" i="34"/>
  <c r="H98" i="34"/>
  <c r="I98" i="34"/>
  <c r="J98" i="34"/>
  <c r="K98" i="34"/>
  <c r="L98" i="34"/>
  <c r="M98" i="34"/>
  <c r="N98" i="34"/>
  <c r="O98" i="34"/>
  <c r="Q98" i="34"/>
  <c r="R98" i="34"/>
  <c r="S98" i="34"/>
  <c r="U98" i="34"/>
  <c r="V98" i="34"/>
  <c r="W98" i="34"/>
  <c r="X98" i="34"/>
  <c r="Y98" i="34"/>
  <c r="Y82" i="34"/>
  <c r="Y83" i="34"/>
  <c r="Y84" i="34"/>
  <c r="Y86" i="34"/>
  <c r="Y87" i="34"/>
  <c r="Y89" i="34"/>
  <c r="Y90" i="34"/>
  <c r="Y91" i="34"/>
  <c r="Y93" i="34"/>
  <c r="Y94" i="34"/>
  <c r="Y95" i="34"/>
  <c r="Y96" i="34"/>
  <c r="H97" i="34"/>
  <c r="I97" i="34"/>
  <c r="J97" i="34"/>
  <c r="K97" i="34"/>
  <c r="L97" i="34"/>
  <c r="M97" i="34"/>
  <c r="N97" i="34"/>
  <c r="O97" i="34"/>
  <c r="Q97" i="34"/>
  <c r="S97" i="34"/>
  <c r="U97" i="34"/>
  <c r="V97" i="34"/>
  <c r="W97" i="34"/>
  <c r="X97" i="34"/>
  <c r="D96" i="34"/>
  <c r="X78" i="34"/>
  <c r="X80" i="34"/>
  <c r="X81" i="34"/>
  <c r="X82" i="34"/>
  <c r="X83" i="34"/>
  <c r="X84" i="34"/>
  <c r="X85" i="34"/>
  <c r="X86" i="34"/>
  <c r="X87" i="34"/>
  <c r="X89" i="34"/>
  <c r="X90" i="34"/>
  <c r="X91" i="34"/>
  <c r="X93" i="34"/>
  <c r="X94" i="34"/>
  <c r="X95" i="34"/>
  <c r="F96" i="34"/>
  <c r="H96" i="34"/>
  <c r="I96" i="34"/>
  <c r="J96" i="34"/>
  <c r="K96" i="34"/>
  <c r="L96" i="34"/>
  <c r="M96" i="34"/>
  <c r="N96" i="34"/>
  <c r="O96" i="34"/>
  <c r="Q96" i="34"/>
  <c r="R96" i="34"/>
  <c r="S96" i="34"/>
  <c r="U96" i="34"/>
  <c r="V96" i="34"/>
  <c r="W96" i="34"/>
  <c r="D95" i="34"/>
  <c r="W80" i="34"/>
  <c r="W81" i="34"/>
  <c r="W82" i="34"/>
  <c r="W83" i="34"/>
  <c r="W84" i="34"/>
  <c r="W85" i="34"/>
  <c r="W86" i="34"/>
  <c r="W87" i="34"/>
  <c r="W89" i="34"/>
  <c r="W90" i="34"/>
  <c r="W91" i="34"/>
  <c r="W93" i="34"/>
  <c r="W94" i="34"/>
  <c r="F95" i="34"/>
  <c r="H95" i="34"/>
  <c r="I95" i="34"/>
  <c r="J95" i="34"/>
  <c r="K95" i="34"/>
  <c r="L95" i="34"/>
  <c r="M95" i="34"/>
  <c r="N95" i="34"/>
  <c r="O95" i="34"/>
  <c r="Q95" i="34"/>
  <c r="R95" i="34"/>
  <c r="S95" i="34"/>
  <c r="U95" i="34"/>
  <c r="V95" i="34"/>
  <c r="D94" i="34"/>
  <c r="V78" i="34"/>
  <c r="V80" i="34"/>
  <c r="V81" i="34"/>
  <c r="V82" i="34"/>
  <c r="V83" i="34"/>
  <c r="V84" i="34"/>
  <c r="V85" i="34"/>
  <c r="V86" i="34"/>
  <c r="V87" i="34"/>
  <c r="V89" i="34"/>
  <c r="V90" i="34"/>
  <c r="V91" i="34"/>
  <c r="V93" i="34"/>
  <c r="F94" i="34"/>
  <c r="H94" i="34"/>
  <c r="I94" i="34"/>
  <c r="J94" i="34"/>
  <c r="K94" i="34"/>
  <c r="L94" i="34"/>
  <c r="M94" i="34"/>
  <c r="N94" i="34"/>
  <c r="O94" i="34"/>
  <c r="Q94" i="34"/>
  <c r="R94" i="34"/>
  <c r="S94" i="34"/>
  <c r="U94" i="34"/>
  <c r="D93" i="34"/>
  <c r="U80" i="34"/>
  <c r="U81" i="34"/>
  <c r="U82" i="34"/>
  <c r="U83" i="34"/>
  <c r="U84" i="34"/>
  <c r="U85" i="34"/>
  <c r="U86" i="34"/>
  <c r="U87" i="34"/>
  <c r="U89" i="34"/>
  <c r="U90" i="34"/>
  <c r="U91" i="34"/>
  <c r="F93" i="34"/>
  <c r="H93" i="34"/>
  <c r="I93" i="34"/>
  <c r="J93" i="34"/>
  <c r="K93" i="34"/>
  <c r="L93" i="34"/>
  <c r="M93" i="34"/>
  <c r="N93" i="34"/>
  <c r="O93" i="34"/>
  <c r="Q93" i="34"/>
  <c r="R93" i="34"/>
  <c r="S93" i="34"/>
  <c r="D91" i="34"/>
  <c r="S80" i="34"/>
  <c r="S81" i="34"/>
  <c r="S82" i="34"/>
  <c r="S83" i="34"/>
  <c r="S84" i="34"/>
  <c r="S85" i="34"/>
  <c r="S86" i="34"/>
  <c r="S87" i="34"/>
  <c r="S89" i="34"/>
  <c r="S90" i="34"/>
  <c r="F91" i="34"/>
  <c r="H91" i="34"/>
  <c r="I91" i="34"/>
  <c r="J91" i="34"/>
  <c r="K91" i="34"/>
  <c r="L91" i="34"/>
  <c r="M91" i="34"/>
  <c r="N91" i="34"/>
  <c r="O91" i="34"/>
  <c r="Q91" i="34"/>
  <c r="R91" i="34"/>
  <c r="D90" i="34"/>
  <c r="R78" i="34"/>
  <c r="R80" i="34"/>
  <c r="R81" i="34"/>
  <c r="R82" i="34"/>
  <c r="R83" i="34"/>
  <c r="R84" i="34"/>
  <c r="R85" i="34"/>
  <c r="R86" i="34"/>
  <c r="R87" i="34"/>
  <c r="R89" i="34"/>
  <c r="F90" i="34"/>
  <c r="H90" i="34"/>
  <c r="I90" i="34"/>
  <c r="J90" i="34"/>
  <c r="K90" i="34"/>
  <c r="L90" i="34"/>
  <c r="M90" i="34"/>
  <c r="N90" i="34"/>
  <c r="O90" i="34"/>
  <c r="Q90" i="34"/>
  <c r="D89" i="34"/>
  <c r="Q78" i="34"/>
  <c r="Q80" i="34"/>
  <c r="Q81" i="34"/>
  <c r="Q82" i="34"/>
  <c r="Q83" i="34"/>
  <c r="Q84" i="34"/>
  <c r="Q85" i="34"/>
  <c r="Q86" i="34"/>
  <c r="Q87" i="34"/>
  <c r="H89" i="34"/>
  <c r="I89" i="34"/>
  <c r="J89" i="34"/>
  <c r="K89" i="34"/>
  <c r="L89" i="34"/>
  <c r="M89" i="34"/>
  <c r="N89" i="34"/>
  <c r="O89" i="34"/>
  <c r="D87" i="34"/>
  <c r="O78" i="34"/>
  <c r="O80" i="34"/>
  <c r="O81" i="34"/>
  <c r="O82" i="34"/>
  <c r="O83" i="34"/>
  <c r="O84" i="34"/>
  <c r="O85" i="34"/>
  <c r="O86" i="34"/>
  <c r="F87" i="34"/>
  <c r="H87" i="34"/>
  <c r="I87" i="34"/>
  <c r="J87" i="34"/>
  <c r="K87" i="34"/>
  <c r="L87" i="34"/>
  <c r="M87" i="34"/>
  <c r="N87" i="34"/>
  <c r="D86" i="34"/>
  <c r="N78" i="34"/>
  <c r="N80" i="34"/>
  <c r="N81" i="34"/>
  <c r="N82" i="34"/>
  <c r="N83" i="34"/>
  <c r="N84" i="34"/>
  <c r="N85" i="34"/>
  <c r="F86" i="34"/>
  <c r="H86" i="34"/>
  <c r="I86" i="34"/>
  <c r="J86" i="34"/>
  <c r="K86" i="34"/>
  <c r="L86" i="34"/>
  <c r="M86" i="34"/>
  <c r="D85" i="34"/>
  <c r="M78" i="34"/>
  <c r="M80" i="34"/>
  <c r="M81" i="34"/>
  <c r="M82" i="34"/>
  <c r="M83" i="34"/>
  <c r="M84" i="34"/>
  <c r="F85" i="34"/>
  <c r="H85" i="34"/>
  <c r="I85" i="34"/>
  <c r="J85" i="34"/>
  <c r="K85" i="34"/>
  <c r="L85" i="34"/>
  <c r="D84" i="34"/>
  <c r="R11" i="34"/>
  <c r="L78" i="34" s="1"/>
  <c r="L80" i="34"/>
  <c r="L81" i="34"/>
  <c r="L82" i="34"/>
  <c r="L83" i="34"/>
  <c r="F84" i="34"/>
  <c r="H84" i="34"/>
  <c r="I84" i="34"/>
  <c r="J84" i="34"/>
  <c r="K84" i="34"/>
  <c r="D83" i="34"/>
  <c r="Q11" i="34"/>
  <c r="K80" i="34"/>
  <c r="K81" i="34"/>
  <c r="K82" i="34"/>
  <c r="F83" i="34"/>
  <c r="H83" i="34"/>
  <c r="I83" i="34"/>
  <c r="J83" i="34"/>
  <c r="D82" i="34"/>
  <c r="J78" i="34"/>
  <c r="J80" i="34"/>
  <c r="J81" i="34"/>
  <c r="H82" i="34"/>
  <c r="I82" i="34"/>
  <c r="D81" i="34"/>
  <c r="I78" i="34"/>
  <c r="I80" i="34"/>
  <c r="F81" i="34"/>
  <c r="H81" i="34"/>
  <c r="D80" i="34"/>
  <c r="H78" i="34"/>
  <c r="F80" i="34"/>
  <c r="D79" i="34"/>
  <c r="G78" i="34"/>
  <c r="G80" i="34"/>
  <c r="G81" i="34"/>
  <c r="G82" i="34"/>
  <c r="G83" i="34"/>
  <c r="G84" i="34"/>
  <c r="G85" i="34"/>
  <c r="G86" i="34"/>
  <c r="G87" i="34"/>
  <c r="G89" i="34"/>
  <c r="G90" i="34"/>
  <c r="G91" i="34"/>
  <c r="G92" i="34"/>
  <c r="G93" i="34"/>
  <c r="G94" i="34"/>
  <c r="G95" i="34"/>
  <c r="G96" i="34"/>
  <c r="G97" i="34"/>
  <c r="G98" i="34"/>
  <c r="G99" i="34"/>
  <c r="G100" i="34"/>
  <c r="G101" i="34"/>
  <c r="G102" i="34"/>
  <c r="G103" i="34"/>
  <c r="G104" i="34"/>
  <c r="G105" i="34"/>
  <c r="G106" i="34"/>
  <c r="G107" i="34"/>
  <c r="G108" i="34"/>
  <c r="G109" i="34"/>
  <c r="G110" i="34"/>
  <c r="G111" i="34"/>
  <c r="G112" i="34"/>
  <c r="G113" i="34"/>
  <c r="G114" i="34"/>
  <c r="G115" i="34"/>
  <c r="H79" i="34"/>
  <c r="I79" i="34"/>
  <c r="J79" i="34"/>
  <c r="K79" i="34"/>
  <c r="L79" i="34"/>
  <c r="M79" i="34"/>
  <c r="N79" i="34"/>
  <c r="O79" i="34"/>
  <c r="Q79" i="34"/>
  <c r="R79" i="34"/>
  <c r="S79" i="34"/>
  <c r="T79" i="34"/>
  <c r="U79" i="34"/>
  <c r="V79" i="34"/>
  <c r="W79" i="34"/>
  <c r="X79" i="34"/>
  <c r="Z79" i="34"/>
  <c r="AA79" i="34"/>
  <c r="AB79" i="34"/>
  <c r="AC79" i="34"/>
  <c r="AD79" i="34"/>
  <c r="AE79" i="34"/>
  <c r="AF79" i="34"/>
  <c r="AG79" i="34"/>
  <c r="AH79" i="34"/>
  <c r="AI79" i="34"/>
  <c r="AJ79" i="34"/>
  <c r="AK79" i="34"/>
  <c r="AL79" i="34"/>
  <c r="AM79" i="34"/>
  <c r="AN79" i="34"/>
  <c r="AO79" i="34"/>
  <c r="AP79" i="34"/>
  <c r="AQ79" i="34"/>
  <c r="L18" i="34"/>
  <c r="L34" i="34"/>
  <c r="L25" i="34"/>
  <c r="L63" i="34"/>
  <c r="O15" i="34"/>
  <c r="V15" i="34"/>
  <c r="BH15" i="34"/>
  <c r="BK11" i="34"/>
  <c r="BK10" i="34" s="1"/>
  <c r="BK9" i="34" s="1"/>
  <c r="BK18" i="34"/>
  <c r="BK25" i="34"/>
  <c r="BH18" i="34"/>
  <c r="P9" i="34"/>
  <c r="O34" i="34"/>
  <c r="O25" i="34"/>
  <c r="O63" i="34"/>
  <c r="G17" i="34"/>
  <c r="F22" i="34"/>
  <c r="E27" i="34"/>
  <c r="BC58" i="34"/>
  <c r="BC25" i="34" s="1"/>
  <c r="AW52" i="34"/>
  <c r="V52" i="34"/>
  <c r="AV51" i="34"/>
  <c r="V51" i="34" s="1"/>
  <c r="AP45" i="34"/>
  <c r="AP34" i="34" s="1"/>
  <c r="AP25" i="34" s="1"/>
  <c r="BH35" i="34"/>
  <c r="AF35" i="34"/>
  <c r="AF34" i="34" s="1"/>
  <c r="AF25" i="34" s="1"/>
  <c r="AC32" i="34"/>
  <c r="V32" i="34" s="1"/>
  <c r="AW25" i="34"/>
  <c r="AD25" i="34"/>
  <c r="O16" i="34"/>
  <c r="K14" i="34"/>
  <c r="N10" i="34"/>
  <c r="AQ81" i="21"/>
  <c r="AQ82" i="21"/>
  <c r="AQ84" i="21"/>
  <c r="AQ85" i="21"/>
  <c r="AQ86" i="21"/>
  <c r="AQ87" i="21"/>
  <c r="AQ88" i="21"/>
  <c r="AQ90" i="21"/>
  <c r="AQ91" i="21"/>
  <c r="AQ92" i="21"/>
  <c r="AQ94" i="21"/>
  <c r="AQ95" i="21"/>
  <c r="AQ96" i="21"/>
  <c r="AQ99" i="21"/>
  <c r="AQ100" i="21"/>
  <c r="AQ101" i="21"/>
  <c r="AQ103" i="21"/>
  <c r="AQ104" i="21"/>
  <c r="AQ105" i="21"/>
  <c r="AQ107" i="21"/>
  <c r="AQ108" i="21"/>
  <c r="AQ109" i="21"/>
  <c r="AQ110" i="21"/>
  <c r="AQ111" i="21"/>
  <c r="AQ112" i="21"/>
  <c r="AQ113" i="21"/>
  <c r="AQ114" i="21"/>
  <c r="AQ115" i="21"/>
  <c r="H116" i="21"/>
  <c r="I116" i="21"/>
  <c r="J116" i="21"/>
  <c r="K116" i="21"/>
  <c r="L116" i="21"/>
  <c r="M116" i="21"/>
  <c r="N116" i="21"/>
  <c r="O116" i="21"/>
  <c r="Q116" i="21"/>
  <c r="R116" i="21"/>
  <c r="S116" i="21"/>
  <c r="U116" i="21"/>
  <c r="X116" i="21"/>
  <c r="Z116" i="21"/>
  <c r="AB116" i="21"/>
  <c r="AC116" i="21"/>
  <c r="AF116" i="21"/>
  <c r="AG116" i="21"/>
  <c r="AH116" i="21"/>
  <c r="AI116" i="21"/>
  <c r="AJ116" i="21"/>
  <c r="AL116" i="21"/>
  <c r="AM116" i="21"/>
  <c r="AN116" i="21"/>
  <c r="AO116" i="21"/>
  <c r="AP116" i="21"/>
  <c r="D115" i="21"/>
  <c r="AP81" i="21"/>
  <c r="AP82" i="21"/>
  <c r="AP83" i="21"/>
  <c r="AP84" i="21"/>
  <c r="AP85" i="21"/>
  <c r="AP86" i="21"/>
  <c r="AP87" i="21"/>
  <c r="AP88" i="21"/>
  <c r="AP90" i="21"/>
  <c r="AP91" i="21"/>
  <c r="AP92" i="21"/>
  <c r="AP94" i="21"/>
  <c r="AP95" i="21"/>
  <c r="AP96" i="21"/>
  <c r="AP97" i="21"/>
  <c r="AP98" i="21"/>
  <c r="AP99" i="21"/>
  <c r="AP100" i="21"/>
  <c r="AP101" i="21"/>
  <c r="AP102" i="21"/>
  <c r="AP103" i="21"/>
  <c r="AP104" i="21"/>
  <c r="AP105" i="21"/>
  <c r="AP106" i="21"/>
  <c r="AP107" i="21"/>
  <c r="AP108" i="21"/>
  <c r="AP109" i="21"/>
  <c r="AP110" i="21"/>
  <c r="AP111" i="21"/>
  <c r="AP112" i="21"/>
  <c r="AP113" i="21"/>
  <c r="AP114" i="21"/>
  <c r="F115" i="21"/>
  <c r="H115" i="21"/>
  <c r="I115" i="21"/>
  <c r="J115" i="21"/>
  <c r="K115" i="21"/>
  <c r="L115" i="21"/>
  <c r="M115" i="21"/>
  <c r="N115" i="21"/>
  <c r="O115" i="21"/>
  <c r="Q115" i="21"/>
  <c r="R115" i="21"/>
  <c r="S115" i="21"/>
  <c r="U115" i="21"/>
  <c r="V115" i="21"/>
  <c r="W115" i="21"/>
  <c r="X115" i="21"/>
  <c r="Z115" i="21"/>
  <c r="AA115" i="21"/>
  <c r="AB115" i="21"/>
  <c r="AC115" i="21"/>
  <c r="AD115" i="21"/>
  <c r="AE115" i="21"/>
  <c r="AF115" i="21"/>
  <c r="AG115" i="21"/>
  <c r="AH115" i="21"/>
  <c r="AI115" i="21"/>
  <c r="AJ115" i="21"/>
  <c r="AK115" i="21"/>
  <c r="AL115" i="21"/>
  <c r="AM115" i="21"/>
  <c r="AN115" i="21"/>
  <c r="AO115" i="21"/>
  <c r="D114" i="21"/>
  <c r="AO79" i="21"/>
  <c r="AO81" i="21"/>
  <c r="AO82" i="21"/>
  <c r="AO83" i="21"/>
  <c r="AO84" i="21"/>
  <c r="AO85" i="21"/>
  <c r="AO86" i="21"/>
  <c r="AO87" i="21"/>
  <c r="AO88" i="21"/>
  <c r="AO90" i="21"/>
  <c r="AO91" i="21"/>
  <c r="AO92" i="21"/>
  <c r="AO94" i="21"/>
  <c r="AO95" i="21"/>
  <c r="AO96" i="21"/>
  <c r="AO97" i="21"/>
  <c r="AO99" i="21"/>
  <c r="AO100" i="21"/>
  <c r="AO101" i="21"/>
  <c r="AO102" i="21"/>
  <c r="AO103" i="21"/>
  <c r="AO104" i="21"/>
  <c r="AO105" i="21"/>
  <c r="AO106" i="21"/>
  <c r="AO107" i="21"/>
  <c r="AO108" i="21"/>
  <c r="AO109" i="21"/>
  <c r="AO110" i="21"/>
  <c r="AO111" i="21"/>
  <c r="AO112" i="21"/>
  <c r="AO113" i="21"/>
  <c r="F114" i="21"/>
  <c r="H114" i="21"/>
  <c r="I114" i="21"/>
  <c r="J114" i="21"/>
  <c r="K114" i="21"/>
  <c r="L114" i="21"/>
  <c r="M114" i="21"/>
  <c r="N114" i="21"/>
  <c r="O114" i="21"/>
  <c r="Q114" i="21"/>
  <c r="R114" i="21"/>
  <c r="S114" i="21"/>
  <c r="U114" i="21"/>
  <c r="V114" i="21"/>
  <c r="W114" i="21"/>
  <c r="X114" i="21"/>
  <c r="Y114" i="21"/>
  <c r="Z114" i="21"/>
  <c r="AA114" i="21"/>
  <c r="AB114" i="21"/>
  <c r="AC114" i="21"/>
  <c r="AD114" i="21"/>
  <c r="AE114" i="21"/>
  <c r="AF114" i="21"/>
  <c r="AG114" i="21"/>
  <c r="AH114" i="21"/>
  <c r="AI114" i="21"/>
  <c r="AJ114" i="21"/>
  <c r="AK114" i="21"/>
  <c r="AL114" i="21"/>
  <c r="AM114" i="21"/>
  <c r="AN114" i="21"/>
  <c r="D113" i="21"/>
  <c r="AN79" i="21"/>
  <c r="AN81" i="21"/>
  <c r="AN82" i="21"/>
  <c r="AN83" i="21"/>
  <c r="AN84" i="21"/>
  <c r="AN85" i="21"/>
  <c r="AN86" i="21"/>
  <c r="AN87" i="21"/>
  <c r="AN88" i="21"/>
  <c r="AN90" i="21"/>
  <c r="AN91" i="21"/>
  <c r="AN92" i="21"/>
  <c r="AN94" i="21"/>
  <c r="AN95" i="21"/>
  <c r="AN96" i="21"/>
  <c r="AN97" i="21"/>
  <c r="AN98" i="21"/>
  <c r="AN99" i="21"/>
  <c r="AN100" i="21"/>
  <c r="AN101" i="21"/>
  <c r="AN102" i="21"/>
  <c r="AN103" i="21"/>
  <c r="AN104" i="21"/>
  <c r="AN105" i="21"/>
  <c r="AN106" i="21"/>
  <c r="AN107" i="21"/>
  <c r="AN108" i="21"/>
  <c r="AN109" i="21"/>
  <c r="AN110" i="21"/>
  <c r="AN111" i="21"/>
  <c r="AN112" i="21"/>
  <c r="F113" i="21"/>
  <c r="H113" i="21"/>
  <c r="I113" i="21"/>
  <c r="J113" i="21"/>
  <c r="K113" i="21"/>
  <c r="L113" i="21"/>
  <c r="M113" i="21"/>
  <c r="E113" i="21" s="1"/>
  <c r="N113" i="21"/>
  <c r="O113" i="21"/>
  <c r="Q113" i="21"/>
  <c r="R113" i="21"/>
  <c r="S113" i="21"/>
  <c r="U113" i="21"/>
  <c r="V113" i="21"/>
  <c r="W113" i="21"/>
  <c r="X113" i="21"/>
  <c r="Y113" i="21"/>
  <c r="Z113" i="21"/>
  <c r="AA113" i="21"/>
  <c r="AB113" i="21"/>
  <c r="AC113" i="21"/>
  <c r="AD113" i="21"/>
  <c r="AE113" i="21"/>
  <c r="AF113" i="21"/>
  <c r="AG113" i="21"/>
  <c r="AH113" i="21"/>
  <c r="AI113" i="21"/>
  <c r="AJ113" i="21"/>
  <c r="AK113" i="21"/>
  <c r="AL113" i="21"/>
  <c r="AM113" i="21"/>
  <c r="D112" i="21"/>
  <c r="AM79" i="21"/>
  <c r="AM81" i="21"/>
  <c r="AM82" i="21"/>
  <c r="AM83" i="21"/>
  <c r="AM84" i="21"/>
  <c r="AM85" i="21"/>
  <c r="AM86" i="21"/>
  <c r="AM87" i="21"/>
  <c r="AM88" i="21"/>
  <c r="AM90" i="21"/>
  <c r="AM91" i="21"/>
  <c r="AM92" i="21"/>
  <c r="AM94" i="21"/>
  <c r="AM95" i="21"/>
  <c r="AM96" i="21"/>
  <c r="AM97" i="21"/>
  <c r="AM98" i="21"/>
  <c r="AM99" i="21"/>
  <c r="AM100" i="21"/>
  <c r="AM101" i="21"/>
  <c r="AM102" i="21"/>
  <c r="AM103" i="21"/>
  <c r="AM104" i="21"/>
  <c r="AM105" i="21"/>
  <c r="AM106" i="21"/>
  <c r="AM107" i="21"/>
  <c r="AM108" i="21"/>
  <c r="AM109" i="21"/>
  <c r="AM110" i="21"/>
  <c r="AM111" i="21"/>
  <c r="F112" i="21"/>
  <c r="H112" i="21"/>
  <c r="I112" i="21"/>
  <c r="J112" i="21"/>
  <c r="K112" i="21"/>
  <c r="L112" i="21"/>
  <c r="M112" i="21"/>
  <c r="N112" i="21"/>
  <c r="O112" i="21"/>
  <c r="Q112" i="21"/>
  <c r="R112" i="21"/>
  <c r="S112" i="21"/>
  <c r="U112" i="21"/>
  <c r="V112" i="21"/>
  <c r="W112" i="21"/>
  <c r="X112" i="21"/>
  <c r="Y112" i="21"/>
  <c r="Z112" i="21"/>
  <c r="AA112" i="21"/>
  <c r="AB112" i="21"/>
  <c r="AC112" i="21"/>
  <c r="AD112" i="21"/>
  <c r="AE112" i="21"/>
  <c r="AF112" i="21"/>
  <c r="AG112" i="21"/>
  <c r="AH112" i="21"/>
  <c r="AI112" i="21"/>
  <c r="AJ112" i="21"/>
  <c r="AK112" i="21"/>
  <c r="AL112" i="21"/>
  <c r="D111" i="21"/>
  <c r="AL81" i="21"/>
  <c r="AL82" i="21"/>
  <c r="AL83" i="21"/>
  <c r="AL84" i="21"/>
  <c r="AL85" i="21"/>
  <c r="AL86" i="21"/>
  <c r="AL87" i="21"/>
  <c r="AL88" i="21"/>
  <c r="AL90" i="21"/>
  <c r="AL91" i="21"/>
  <c r="AL92" i="21"/>
  <c r="AL94" i="21"/>
  <c r="AL95" i="21"/>
  <c r="AL96" i="21"/>
  <c r="AL97" i="21"/>
  <c r="AL98" i="21"/>
  <c r="AL99" i="21"/>
  <c r="AL100" i="21"/>
  <c r="AL101" i="21"/>
  <c r="AL102" i="21"/>
  <c r="AL103" i="21"/>
  <c r="AL104" i="21"/>
  <c r="AL105" i="21"/>
  <c r="AL106" i="21"/>
  <c r="AL107" i="21"/>
  <c r="AL108" i="21"/>
  <c r="AL109" i="21"/>
  <c r="AL110" i="21"/>
  <c r="F111" i="21"/>
  <c r="H111" i="21"/>
  <c r="I111" i="21"/>
  <c r="J111" i="21"/>
  <c r="K111" i="21"/>
  <c r="L111" i="21"/>
  <c r="M111" i="21"/>
  <c r="N111" i="21"/>
  <c r="O111" i="21"/>
  <c r="Q111" i="21"/>
  <c r="R111" i="21"/>
  <c r="S111" i="21"/>
  <c r="U111" i="21"/>
  <c r="V111" i="21"/>
  <c r="W111" i="21"/>
  <c r="X111" i="21"/>
  <c r="Y111" i="21"/>
  <c r="Z111" i="21"/>
  <c r="AA111" i="21"/>
  <c r="AB111" i="21"/>
  <c r="AC111" i="21"/>
  <c r="AD111" i="21"/>
  <c r="AE111" i="21"/>
  <c r="AF111" i="21"/>
  <c r="AG111" i="21"/>
  <c r="AH111" i="21"/>
  <c r="AI111" i="21"/>
  <c r="AJ111" i="21"/>
  <c r="AK111" i="21"/>
  <c r="D110" i="21"/>
  <c r="AK79" i="21"/>
  <c r="AK81" i="21"/>
  <c r="AK82" i="21"/>
  <c r="AK83" i="21"/>
  <c r="AK84" i="21"/>
  <c r="AK85" i="21"/>
  <c r="AK86" i="21"/>
  <c r="AK87" i="21"/>
  <c r="AK88" i="21"/>
  <c r="AK90" i="21"/>
  <c r="AK91" i="21"/>
  <c r="AK92" i="21"/>
  <c r="AK94" i="21"/>
  <c r="AK95" i="21"/>
  <c r="AK96" i="21"/>
  <c r="AK97" i="21"/>
  <c r="AK98" i="21"/>
  <c r="AK99" i="21"/>
  <c r="AK100" i="21"/>
  <c r="AK101" i="21"/>
  <c r="AK102" i="21"/>
  <c r="AK103" i="21"/>
  <c r="AK104" i="21"/>
  <c r="AK105" i="21"/>
  <c r="AK106" i="21"/>
  <c r="AK107" i="21"/>
  <c r="AK108" i="21"/>
  <c r="AK109" i="21"/>
  <c r="AK116" i="21"/>
  <c r="F110" i="21"/>
  <c r="H110" i="21"/>
  <c r="I110" i="21"/>
  <c r="J110" i="21"/>
  <c r="K110" i="21"/>
  <c r="L110" i="21"/>
  <c r="M110" i="21"/>
  <c r="N110" i="21"/>
  <c r="O110" i="21"/>
  <c r="Q110" i="21"/>
  <c r="R110" i="21"/>
  <c r="S110" i="21"/>
  <c r="U110" i="21"/>
  <c r="V110" i="21"/>
  <c r="W110" i="21"/>
  <c r="X110" i="21"/>
  <c r="Y110" i="21"/>
  <c r="Z110" i="21"/>
  <c r="AA110" i="21"/>
  <c r="AB110" i="21"/>
  <c r="AC110" i="21"/>
  <c r="AD110" i="21"/>
  <c r="AE110" i="21"/>
  <c r="AF110" i="21"/>
  <c r="AG110" i="21"/>
  <c r="AH110" i="21"/>
  <c r="AI110" i="21"/>
  <c r="AJ110" i="21"/>
  <c r="D109" i="21"/>
  <c r="AJ79" i="21"/>
  <c r="AJ81" i="21"/>
  <c r="AJ82" i="21"/>
  <c r="AJ83" i="21"/>
  <c r="AJ84" i="21"/>
  <c r="AJ85" i="21"/>
  <c r="AJ86" i="21"/>
  <c r="AJ87" i="21"/>
  <c r="AJ88" i="21"/>
  <c r="AJ90" i="21"/>
  <c r="AJ91" i="21"/>
  <c r="AJ92" i="21"/>
  <c r="AJ94" i="21"/>
  <c r="AJ95" i="21"/>
  <c r="AJ96" i="21"/>
  <c r="AJ97" i="21"/>
  <c r="AJ98" i="21"/>
  <c r="AJ99" i="21"/>
  <c r="AJ100" i="21"/>
  <c r="AJ101" i="21"/>
  <c r="AJ102" i="21"/>
  <c r="AJ103" i="21"/>
  <c r="AJ104" i="21"/>
  <c r="AJ105" i="21"/>
  <c r="AJ106" i="21"/>
  <c r="AJ107" i="21"/>
  <c r="AJ108" i="21"/>
  <c r="F109" i="21"/>
  <c r="H109" i="21"/>
  <c r="I109" i="21"/>
  <c r="J109" i="21"/>
  <c r="K109" i="21"/>
  <c r="L109" i="21"/>
  <c r="M109" i="21"/>
  <c r="N109" i="21"/>
  <c r="O109" i="21"/>
  <c r="Q109" i="21"/>
  <c r="R109" i="21"/>
  <c r="S109" i="21"/>
  <c r="U109" i="21"/>
  <c r="V109" i="21"/>
  <c r="W109" i="21"/>
  <c r="X109" i="21"/>
  <c r="Y109" i="21"/>
  <c r="Z109" i="21"/>
  <c r="AA109" i="21"/>
  <c r="AB109" i="21"/>
  <c r="AC109" i="21"/>
  <c r="AD109" i="21"/>
  <c r="AE109" i="21"/>
  <c r="AF109" i="21"/>
  <c r="AG109" i="21"/>
  <c r="AH109" i="21"/>
  <c r="AI109" i="21"/>
  <c r="D108" i="21"/>
  <c r="AI81" i="21"/>
  <c r="AI82" i="21"/>
  <c r="AI83" i="21"/>
  <c r="AI84" i="21"/>
  <c r="AI85" i="21"/>
  <c r="AI86" i="21"/>
  <c r="AI87" i="21"/>
  <c r="AI88" i="21"/>
  <c r="AI90" i="21"/>
  <c r="AI91" i="21"/>
  <c r="AI92" i="21"/>
  <c r="AI94" i="21"/>
  <c r="AI95" i="21"/>
  <c r="AI96" i="21"/>
  <c r="AI97" i="21"/>
  <c r="AI99" i="21"/>
  <c r="AI100" i="21"/>
  <c r="AI101" i="21"/>
  <c r="AI102" i="21"/>
  <c r="AI103" i="21"/>
  <c r="AI104" i="21"/>
  <c r="AI105" i="21"/>
  <c r="AI106" i="21"/>
  <c r="AI107" i="21"/>
  <c r="F108" i="21"/>
  <c r="H108" i="21"/>
  <c r="I108" i="21"/>
  <c r="J108" i="21"/>
  <c r="K108" i="21"/>
  <c r="L108" i="21"/>
  <c r="M108" i="21"/>
  <c r="N108" i="21"/>
  <c r="O108" i="21"/>
  <c r="Q108" i="21"/>
  <c r="R108" i="21"/>
  <c r="S108" i="21"/>
  <c r="U108" i="21"/>
  <c r="V108" i="21"/>
  <c r="W108" i="21"/>
  <c r="X108" i="21"/>
  <c r="Y108" i="21"/>
  <c r="Z108" i="21"/>
  <c r="AA108" i="21"/>
  <c r="AB108" i="21"/>
  <c r="AC108" i="21"/>
  <c r="AD108" i="21"/>
  <c r="AE108" i="21"/>
  <c r="AF108" i="21"/>
  <c r="AG108" i="21"/>
  <c r="AH108" i="21"/>
  <c r="D107" i="21"/>
  <c r="AH81" i="21"/>
  <c r="AH82" i="21"/>
  <c r="AH83" i="21"/>
  <c r="AH84" i="21"/>
  <c r="AH85" i="21"/>
  <c r="AH86" i="21"/>
  <c r="AH87" i="21"/>
  <c r="AH88" i="21"/>
  <c r="AH90" i="21"/>
  <c r="AH91" i="21"/>
  <c r="AH92" i="21"/>
  <c r="AH94" i="21"/>
  <c r="AH95" i="21"/>
  <c r="AH96" i="21"/>
  <c r="AH97" i="21"/>
  <c r="AH98" i="21"/>
  <c r="AH99" i="21"/>
  <c r="AH100" i="21"/>
  <c r="AH101" i="21"/>
  <c r="AH102" i="21"/>
  <c r="AH103" i="21"/>
  <c r="AH104" i="21"/>
  <c r="AH105" i="21"/>
  <c r="AH106" i="21"/>
  <c r="F107" i="21"/>
  <c r="H107" i="21"/>
  <c r="I107" i="21"/>
  <c r="J107" i="21"/>
  <c r="K107" i="21"/>
  <c r="L107" i="21"/>
  <c r="M107" i="21"/>
  <c r="N107" i="21"/>
  <c r="O107" i="21"/>
  <c r="Q107" i="21"/>
  <c r="R107" i="21"/>
  <c r="S107" i="21"/>
  <c r="U107" i="21"/>
  <c r="V107" i="21"/>
  <c r="W107" i="21"/>
  <c r="X107" i="21"/>
  <c r="Y107" i="21"/>
  <c r="Z107" i="21"/>
  <c r="AA107" i="21"/>
  <c r="AB107" i="21"/>
  <c r="AC107" i="21"/>
  <c r="AD107" i="21"/>
  <c r="AE107" i="21"/>
  <c r="AF107" i="21"/>
  <c r="AG107" i="21"/>
  <c r="D106" i="21"/>
  <c r="AG81" i="21"/>
  <c r="AG82" i="21"/>
  <c r="AG83" i="21"/>
  <c r="AG84" i="21"/>
  <c r="AG85" i="21"/>
  <c r="AG86" i="21"/>
  <c r="AG87" i="21"/>
  <c r="AG88" i="21"/>
  <c r="AG90" i="21"/>
  <c r="AG91" i="21"/>
  <c r="AG92" i="21"/>
  <c r="AG94" i="21"/>
  <c r="AG95" i="21"/>
  <c r="AG96" i="21"/>
  <c r="AG97" i="21"/>
  <c r="AG98" i="21"/>
  <c r="AG99" i="21"/>
  <c r="AG100" i="21"/>
  <c r="AG101" i="21"/>
  <c r="AG102" i="21"/>
  <c r="AG103" i="21"/>
  <c r="AG104" i="21"/>
  <c r="AG105" i="21"/>
  <c r="H106" i="21"/>
  <c r="I106" i="21"/>
  <c r="J106" i="21"/>
  <c r="K106" i="21"/>
  <c r="L106" i="21"/>
  <c r="M106" i="21"/>
  <c r="N106" i="21"/>
  <c r="O106" i="21"/>
  <c r="Q106" i="21"/>
  <c r="R106" i="21"/>
  <c r="S106" i="21"/>
  <c r="U106" i="21"/>
  <c r="V106" i="21"/>
  <c r="W106" i="21"/>
  <c r="X106" i="21"/>
  <c r="Y106" i="21"/>
  <c r="Z106" i="21"/>
  <c r="AA106" i="21"/>
  <c r="AB106" i="21"/>
  <c r="AC106" i="21"/>
  <c r="AD106" i="21"/>
  <c r="AE106" i="21"/>
  <c r="AF106" i="21"/>
  <c r="D105" i="21"/>
  <c r="AF81" i="21"/>
  <c r="AF82" i="21"/>
  <c r="AF83" i="21"/>
  <c r="AF84" i="21"/>
  <c r="AF85" i="21"/>
  <c r="AF86" i="21"/>
  <c r="AF87" i="21"/>
  <c r="AF88" i="21"/>
  <c r="AF90" i="21"/>
  <c r="AF91" i="21"/>
  <c r="AF92" i="21"/>
  <c r="AF94" i="21"/>
  <c r="AF95" i="21"/>
  <c r="AF96" i="21"/>
  <c r="AF97" i="21"/>
  <c r="AF98" i="21"/>
  <c r="AF99" i="21"/>
  <c r="AF100" i="21"/>
  <c r="AF101" i="21"/>
  <c r="AF102" i="21"/>
  <c r="AF103" i="21"/>
  <c r="AF104" i="21"/>
  <c r="F105" i="21"/>
  <c r="H105" i="21"/>
  <c r="I105" i="21"/>
  <c r="J105" i="21"/>
  <c r="K105" i="21"/>
  <c r="L105" i="21"/>
  <c r="M105" i="21"/>
  <c r="N105" i="21"/>
  <c r="O105" i="21"/>
  <c r="Q105" i="21"/>
  <c r="R105" i="21"/>
  <c r="S105" i="21"/>
  <c r="U105" i="21"/>
  <c r="V105" i="21"/>
  <c r="W105" i="21"/>
  <c r="X105" i="21"/>
  <c r="Y105" i="21"/>
  <c r="Z105" i="21"/>
  <c r="AA105" i="21"/>
  <c r="AB105" i="21"/>
  <c r="AC105" i="21"/>
  <c r="AD105" i="21"/>
  <c r="AE105" i="21"/>
  <c r="D104" i="21"/>
  <c r="AE81" i="21"/>
  <c r="AE82" i="21"/>
  <c r="AE83" i="21"/>
  <c r="AE84" i="21"/>
  <c r="AE85" i="21"/>
  <c r="AE86" i="21"/>
  <c r="AE87" i="21"/>
  <c r="AE88" i="21"/>
  <c r="AE90" i="21"/>
  <c r="AE91" i="21"/>
  <c r="AE92" i="21"/>
  <c r="AE94" i="21"/>
  <c r="AE95" i="21"/>
  <c r="AE96" i="21"/>
  <c r="AE97" i="21"/>
  <c r="AE98" i="21"/>
  <c r="AE99" i="21"/>
  <c r="AE100" i="21"/>
  <c r="AE101" i="21"/>
  <c r="AE102" i="21"/>
  <c r="AE103" i="21"/>
  <c r="F104" i="21"/>
  <c r="H104" i="21"/>
  <c r="I104" i="21"/>
  <c r="J104" i="21"/>
  <c r="K104" i="21"/>
  <c r="L104" i="21"/>
  <c r="M104" i="21"/>
  <c r="N104" i="21"/>
  <c r="O104" i="21"/>
  <c r="Q104" i="21"/>
  <c r="R104" i="21"/>
  <c r="S104" i="21"/>
  <c r="U104" i="21"/>
  <c r="V104" i="21"/>
  <c r="W104" i="21"/>
  <c r="X104" i="21"/>
  <c r="Z104" i="21"/>
  <c r="AA104" i="21"/>
  <c r="AB104" i="21"/>
  <c r="AC104" i="21"/>
  <c r="AD104" i="21"/>
  <c r="AD81" i="21"/>
  <c r="AD82" i="21"/>
  <c r="AD83" i="21"/>
  <c r="AD84" i="21"/>
  <c r="AD85" i="21"/>
  <c r="AD86" i="21"/>
  <c r="AD87" i="21"/>
  <c r="AD88" i="21"/>
  <c r="AD90" i="21"/>
  <c r="AD91" i="21"/>
  <c r="AD92" i="21"/>
  <c r="AD94" i="21"/>
  <c r="AD95" i="21"/>
  <c r="AD96" i="21"/>
  <c r="AD97" i="21"/>
  <c r="AD99" i="21"/>
  <c r="AD100" i="21"/>
  <c r="AD101" i="21"/>
  <c r="AD102" i="21"/>
  <c r="F103" i="21"/>
  <c r="H103" i="21"/>
  <c r="I103" i="21"/>
  <c r="J103" i="21"/>
  <c r="K103" i="21"/>
  <c r="L103" i="21"/>
  <c r="M103" i="21"/>
  <c r="N103" i="21"/>
  <c r="O103" i="21"/>
  <c r="Q103" i="21"/>
  <c r="R103" i="21"/>
  <c r="S103" i="21"/>
  <c r="U103" i="21"/>
  <c r="V103" i="21"/>
  <c r="W103" i="21"/>
  <c r="X103" i="21"/>
  <c r="Z103" i="21"/>
  <c r="AA103" i="21"/>
  <c r="AB103" i="21"/>
  <c r="AC103" i="21"/>
  <c r="D102" i="21"/>
  <c r="AC81" i="21"/>
  <c r="AC82" i="21"/>
  <c r="AC83" i="21"/>
  <c r="AC84" i="21"/>
  <c r="AC85" i="21"/>
  <c r="AC86" i="21"/>
  <c r="AC87" i="21"/>
  <c r="AC88" i="21"/>
  <c r="AC90" i="21"/>
  <c r="AC91" i="21"/>
  <c r="AC92" i="21"/>
  <c r="AC94" i="21"/>
  <c r="AC95" i="21"/>
  <c r="AC96" i="21"/>
  <c r="AC97" i="21"/>
  <c r="AC99" i="21"/>
  <c r="AC100" i="21"/>
  <c r="AC101" i="21"/>
  <c r="F102" i="21"/>
  <c r="H102" i="21"/>
  <c r="I102" i="21"/>
  <c r="J102" i="21"/>
  <c r="K102" i="21"/>
  <c r="L102" i="21"/>
  <c r="M102" i="21"/>
  <c r="N102" i="21"/>
  <c r="O102" i="21"/>
  <c r="Q102" i="21"/>
  <c r="R102" i="21"/>
  <c r="S102" i="21"/>
  <c r="U102" i="21"/>
  <c r="V102" i="21"/>
  <c r="W102" i="21"/>
  <c r="X102" i="21"/>
  <c r="Z102" i="21"/>
  <c r="AA102" i="21"/>
  <c r="AB102" i="21"/>
  <c r="D101" i="21"/>
  <c r="AB81" i="21"/>
  <c r="AB82" i="21"/>
  <c r="AB83" i="21"/>
  <c r="AB84" i="21"/>
  <c r="AB85" i="21"/>
  <c r="AB86" i="21"/>
  <c r="AB87" i="21"/>
  <c r="AB88" i="21"/>
  <c r="AB90" i="21"/>
  <c r="AB91" i="21"/>
  <c r="AB92" i="21"/>
  <c r="AB94" i="21"/>
  <c r="AB95" i="21"/>
  <c r="AB96" i="21"/>
  <c r="AB97" i="21"/>
  <c r="AB98" i="21"/>
  <c r="AB99" i="21"/>
  <c r="AB100" i="21"/>
  <c r="F101" i="21"/>
  <c r="H101" i="21"/>
  <c r="I101" i="21"/>
  <c r="J101" i="21"/>
  <c r="K101" i="21"/>
  <c r="L101" i="21"/>
  <c r="M101" i="21"/>
  <c r="N101" i="21"/>
  <c r="O101" i="21"/>
  <c r="Q101" i="21"/>
  <c r="R101" i="21"/>
  <c r="S101" i="21"/>
  <c r="U101" i="21"/>
  <c r="V101" i="21"/>
  <c r="W101" i="21"/>
  <c r="X101" i="21"/>
  <c r="Y101" i="21"/>
  <c r="Z101" i="21"/>
  <c r="AA101" i="21"/>
  <c r="D100" i="21"/>
  <c r="AA81" i="21"/>
  <c r="AA82" i="21"/>
  <c r="AA83" i="21"/>
  <c r="AA84" i="21"/>
  <c r="AA85" i="21"/>
  <c r="AA86" i="21"/>
  <c r="AA87" i="21"/>
  <c r="AA88" i="21"/>
  <c r="AA90" i="21"/>
  <c r="AA91" i="21"/>
  <c r="AA92" i="21"/>
  <c r="AA94" i="21"/>
  <c r="AA95" i="21"/>
  <c r="AA96" i="21"/>
  <c r="AA97" i="21"/>
  <c r="AA98" i="21"/>
  <c r="AA99" i="21"/>
  <c r="F100" i="21"/>
  <c r="E100" i="21" s="1"/>
  <c r="H100" i="21"/>
  <c r="I100" i="21"/>
  <c r="J100" i="21"/>
  <c r="K100" i="21"/>
  <c r="L100" i="21"/>
  <c r="M100" i="21"/>
  <c r="N100" i="21"/>
  <c r="O100" i="21"/>
  <c r="Q100" i="21"/>
  <c r="R100" i="21"/>
  <c r="S100" i="21"/>
  <c r="U100" i="21"/>
  <c r="V100" i="21"/>
  <c r="W100" i="21"/>
  <c r="X100" i="21"/>
  <c r="Y100" i="21"/>
  <c r="Z100" i="21"/>
  <c r="D99" i="21"/>
  <c r="Z81" i="21"/>
  <c r="Z82" i="21"/>
  <c r="Z83" i="21"/>
  <c r="Z84" i="21"/>
  <c r="Z85" i="21"/>
  <c r="Z86" i="21"/>
  <c r="Z87" i="21"/>
  <c r="Z88" i="21"/>
  <c r="Z90" i="21"/>
  <c r="Z91" i="21"/>
  <c r="Z92" i="21"/>
  <c r="Z94" i="21"/>
  <c r="Z95" i="21"/>
  <c r="Z96" i="21"/>
  <c r="Z97" i="21"/>
  <c r="F99" i="21"/>
  <c r="H99" i="21"/>
  <c r="I99" i="21"/>
  <c r="J99" i="21"/>
  <c r="K99" i="21"/>
  <c r="L99" i="21"/>
  <c r="M99" i="21"/>
  <c r="N99" i="21"/>
  <c r="O99" i="21"/>
  <c r="Q99" i="21"/>
  <c r="R99" i="21"/>
  <c r="S99" i="21"/>
  <c r="U99" i="21"/>
  <c r="V99" i="21"/>
  <c r="W99" i="21"/>
  <c r="X99" i="21"/>
  <c r="Y99" i="21"/>
  <c r="Y82" i="21"/>
  <c r="Y85" i="21"/>
  <c r="Y86" i="21"/>
  <c r="Y87" i="21"/>
  <c r="Y88" i="21"/>
  <c r="Y90" i="21"/>
  <c r="Y91" i="21"/>
  <c r="Y95" i="21"/>
  <c r="Y96" i="21"/>
  <c r="H98" i="21"/>
  <c r="I98" i="21"/>
  <c r="J98" i="21"/>
  <c r="K98" i="21"/>
  <c r="L98" i="21"/>
  <c r="M98" i="21"/>
  <c r="N98" i="21"/>
  <c r="O98" i="21"/>
  <c r="Q98" i="21"/>
  <c r="R98" i="21"/>
  <c r="D97" i="21"/>
  <c r="X81" i="21"/>
  <c r="X82" i="21"/>
  <c r="X83" i="21"/>
  <c r="X84" i="21"/>
  <c r="X85" i="21"/>
  <c r="X86" i="21"/>
  <c r="X87" i="21"/>
  <c r="X88" i="21"/>
  <c r="X90" i="21"/>
  <c r="X91" i="21"/>
  <c r="X92" i="21"/>
  <c r="X94" i="21"/>
  <c r="X95" i="21"/>
  <c r="X96" i="21"/>
  <c r="F97" i="21"/>
  <c r="H97" i="21"/>
  <c r="E97" i="21" s="1"/>
  <c r="AR97" i="21" s="1"/>
  <c r="I97" i="21"/>
  <c r="J97" i="21"/>
  <c r="K97" i="21"/>
  <c r="L97" i="21"/>
  <c r="M97" i="21"/>
  <c r="N97" i="21"/>
  <c r="O97" i="21"/>
  <c r="Q97" i="21"/>
  <c r="R97" i="21"/>
  <c r="S97" i="21"/>
  <c r="U97" i="21"/>
  <c r="V97" i="21"/>
  <c r="W97" i="21"/>
  <c r="D96" i="21"/>
  <c r="W81" i="21"/>
  <c r="W82" i="21"/>
  <c r="W83" i="21"/>
  <c r="W84" i="21"/>
  <c r="W85" i="21"/>
  <c r="W86" i="21"/>
  <c r="W87" i="21"/>
  <c r="W88" i="21"/>
  <c r="W90" i="21"/>
  <c r="W91" i="21"/>
  <c r="W92" i="21"/>
  <c r="W94" i="21"/>
  <c r="W95" i="21"/>
  <c r="F96" i="21"/>
  <c r="H96" i="21"/>
  <c r="I96" i="21"/>
  <c r="J96" i="21"/>
  <c r="K96" i="21"/>
  <c r="L96" i="21"/>
  <c r="M96" i="21"/>
  <c r="N96" i="21"/>
  <c r="O96" i="21"/>
  <c r="Q96" i="21"/>
  <c r="R96" i="21"/>
  <c r="S96" i="21"/>
  <c r="U96" i="21"/>
  <c r="V96" i="21"/>
  <c r="D95" i="21"/>
  <c r="V79" i="21"/>
  <c r="V81" i="21"/>
  <c r="V82" i="21"/>
  <c r="V83" i="21"/>
  <c r="V84" i="21"/>
  <c r="V85" i="21"/>
  <c r="V86" i="21"/>
  <c r="V87" i="21"/>
  <c r="V88" i="21"/>
  <c r="V90" i="21"/>
  <c r="V91" i="21"/>
  <c r="V92" i="21"/>
  <c r="V94" i="21"/>
  <c r="F95" i="21"/>
  <c r="H95" i="21"/>
  <c r="I95" i="21"/>
  <c r="J95" i="21"/>
  <c r="K95" i="21"/>
  <c r="L95" i="21"/>
  <c r="M95" i="21"/>
  <c r="N95" i="21"/>
  <c r="O95" i="21"/>
  <c r="Q95" i="21"/>
  <c r="R95" i="21"/>
  <c r="S95" i="21"/>
  <c r="U95" i="21"/>
  <c r="D94" i="21"/>
  <c r="U79" i="21"/>
  <c r="U81" i="21"/>
  <c r="U82" i="21"/>
  <c r="U83" i="21"/>
  <c r="U84" i="21"/>
  <c r="U85" i="21"/>
  <c r="U86" i="21"/>
  <c r="U87" i="21"/>
  <c r="U88" i="21"/>
  <c r="U90" i="21"/>
  <c r="U91" i="21"/>
  <c r="U92" i="21"/>
  <c r="F94" i="21"/>
  <c r="E94" i="21" s="1"/>
  <c r="AR94" i="21" s="1"/>
  <c r="H94" i="21"/>
  <c r="I94" i="21"/>
  <c r="J94" i="21"/>
  <c r="K94" i="21"/>
  <c r="L94" i="21"/>
  <c r="M94" i="21"/>
  <c r="N94" i="21"/>
  <c r="O94" i="21"/>
  <c r="Q94" i="21"/>
  <c r="R94" i="21"/>
  <c r="S94" i="21"/>
  <c r="D92" i="21"/>
  <c r="S81" i="21"/>
  <c r="S82" i="21"/>
  <c r="S83" i="21"/>
  <c r="S84" i="21"/>
  <c r="S85" i="21"/>
  <c r="S86" i="21"/>
  <c r="S87" i="21"/>
  <c r="S88" i="21"/>
  <c r="S90" i="21"/>
  <c r="S91" i="21"/>
  <c r="F92" i="21"/>
  <c r="H92" i="21"/>
  <c r="I92" i="21"/>
  <c r="J92" i="21"/>
  <c r="J89" i="21" s="1"/>
  <c r="K92" i="21"/>
  <c r="L92" i="21"/>
  <c r="M92" i="21"/>
  <c r="N92" i="21"/>
  <c r="O92" i="21"/>
  <c r="Q92" i="21"/>
  <c r="R92" i="21"/>
  <c r="D91" i="21"/>
  <c r="R81" i="21"/>
  <c r="R82" i="21"/>
  <c r="R83" i="21"/>
  <c r="R84" i="21"/>
  <c r="R85" i="21"/>
  <c r="R86" i="21"/>
  <c r="R87" i="21"/>
  <c r="R88" i="21"/>
  <c r="R90" i="21"/>
  <c r="F91" i="21"/>
  <c r="E91" i="21" s="1"/>
  <c r="AR91" i="21" s="1"/>
  <c r="H91" i="21"/>
  <c r="I91" i="21"/>
  <c r="J91" i="21"/>
  <c r="K91" i="21"/>
  <c r="L91" i="21"/>
  <c r="M91" i="21"/>
  <c r="N91" i="21"/>
  <c r="O91" i="21"/>
  <c r="Q91" i="21"/>
  <c r="D90" i="21"/>
  <c r="Q79" i="21"/>
  <c r="Q81" i="21"/>
  <c r="Q82" i="21"/>
  <c r="Q83" i="21"/>
  <c r="Q84" i="21"/>
  <c r="Q85" i="21"/>
  <c r="Q86" i="21"/>
  <c r="Q87" i="21"/>
  <c r="Q88" i="21"/>
  <c r="F90" i="21"/>
  <c r="E90" i="21" s="1"/>
  <c r="AR90" i="21" s="1"/>
  <c r="H90" i="21"/>
  <c r="I90" i="21"/>
  <c r="J90" i="21"/>
  <c r="K90" i="21"/>
  <c r="K89" i="21" s="1"/>
  <c r="L90" i="21"/>
  <c r="M90" i="21"/>
  <c r="N90" i="21"/>
  <c r="O90" i="21"/>
  <c r="D88" i="21"/>
  <c r="O79" i="21"/>
  <c r="O81" i="21"/>
  <c r="O82" i="21"/>
  <c r="O83" i="21"/>
  <c r="O84" i="21"/>
  <c r="O85" i="21"/>
  <c r="O86" i="21"/>
  <c r="O87" i="21"/>
  <c r="F88" i="21"/>
  <c r="H88" i="21"/>
  <c r="I88" i="21"/>
  <c r="J88" i="21"/>
  <c r="K88" i="21"/>
  <c r="L88" i="21"/>
  <c r="M88" i="21"/>
  <c r="N88" i="21"/>
  <c r="D87" i="21"/>
  <c r="N79" i="21"/>
  <c r="N81" i="21"/>
  <c r="N82" i="21"/>
  <c r="N83" i="21"/>
  <c r="N84" i="21"/>
  <c r="N85" i="21"/>
  <c r="N86" i="21"/>
  <c r="F87" i="21"/>
  <c r="H87" i="21"/>
  <c r="I87" i="21"/>
  <c r="J87" i="21"/>
  <c r="K87" i="21"/>
  <c r="L87" i="21"/>
  <c r="M87" i="21"/>
  <c r="D86" i="21"/>
  <c r="M79" i="21"/>
  <c r="M81" i="21"/>
  <c r="M82" i="21"/>
  <c r="M83" i="21"/>
  <c r="M84" i="21"/>
  <c r="M85" i="21"/>
  <c r="F86" i="21"/>
  <c r="H86" i="21"/>
  <c r="I86" i="21"/>
  <c r="J86" i="21"/>
  <c r="K86" i="21"/>
  <c r="L86" i="21"/>
  <c r="D85" i="21"/>
  <c r="R11" i="21"/>
  <c r="L81" i="21"/>
  <c r="L82" i="21"/>
  <c r="L83" i="21"/>
  <c r="L84" i="21"/>
  <c r="F85" i="21"/>
  <c r="H85" i="21"/>
  <c r="I85" i="21"/>
  <c r="J85" i="21"/>
  <c r="K85" i="21"/>
  <c r="D84" i="21"/>
  <c r="Q11" i="21"/>
  <c r="K79" i="21" s="1"/>
  <c r="K81" i="21"/>
  <c r="K82" i="21"/>
  <c r="K83" i="21"/>
  <c r="F84" i="21"/>
  <c r="H84" i="21"/>
  <c r="I84" i="21"/>
  <c r="J84" i="21"/>
  <c r="D83" i="21"/>
  <c r="J81" i="21"/>
  <c r="J82" i="21"/>
  <c r="F83" i="21"/>
  <c r="H83" i="21"/>
  <c r="I83" i="21"/>
  <c r="D82" i="21"/>
  <c r="I79" i="21"/>
  <c r="I81" i="21"/>
  <c r="F82" i="21"/>
  <c r="H82" i="21"/>
  <c r="D81" i="21"/>
  <c r="H79" i="21"/>
  <c r="F81" i="21"/>
  <c r="D80" i="21"/>
  <c r="G79" i="21"/>
  <c r="G81" i="21"/>
  <c r="G82" i="21"/>
  <c r="G83" i="21"/>
  <c r="G84" i="21"/>
  <c r="G85" i="21"/>
  <c r="G86" i="21"/>
  <c r="G87" i="21"/>
  <c r="G88" i="21"/>
  <c r="G90" i="21"/>
  <c r="G91" i="21"/>
  <c r="G92" i="21"/>
  <c r="G93" i="21"/>
  <c r="G94" i="21"/>
  <c r="G95" i="21"/>
  <c r="G96" i="21"/>
  <c r="G97" i="21"/>
  <c r="G98" i="21"/>
  <c r="G99" i="21"/>
  <c r="G100" i="21"/>
  <c r="G101" i="21"/>
  <c r="G102" i="21"/>
  <c r="G103" i="21"/>
  <c r="G104" i="21"/>
  <c r="G105" i="21"/>
  <c r="G106" i="21"/>
  <c r="G107" i="21"/>
  <c r="G108" i="21"/>
  <c r="G109" i="21"/>
  <c r="G110" i="21"/>
  <c r="G111" i="21"/>
  <c r="G112" i="21"/>
  <c r="G113" i="21"/>
  <c r="G114" i="21"/>
  <c r="G115" i="21"/>
  <c r="G116" i="21"/>
  <c r="H80" i="21"/>
  <c r="I80" i="21"/>
  <c r="J80" i="21"/>
  <c r="K80" i="21"/>
  <c r="L80" i="21"/>
  <c r="M80" i="21"/>
  <c r="E80" i="21" s="1"/>
  <c r="N80" i="21"/>
  <c r="O80" i="21"/>
  <c r="Q80" i="21"/>
  <c r="R80" i="21"/>
  <c r="S80" i="21"/>
  <c r="T80" i="21"/>
  <c r="U80" i="21"/>
  <c r="V80" i="21"/>
  <c r="W80" i="21"/>
  <c r="X80" i="21"/>
  <c r="Z80" i="21"/>
  <c r="AA80" i="21"/>
  <c r="AB80" i="21"/>
  <c r="AC80" i="21"/>
  <c r="AD80" i="21"/>
  <c r="AE80" i="21"/>
  <c r="AF80" i="21"/>
  <c r="AG80" i="21"/>
  <c r="AH80" i="21"/>
  <c r="AI80" i="21"/>
  <c r="AJ80" i="21"/>
  <c r="AK80" i="21"/>
  <c r="AL80" i="21"/>
  <c r="AM80" i="21"/>
  <c r="AN80" i="21"/>
  <c r="AO80" i="21"/>
  <c r="AP80" i="21"/>
  <c r="AQ80" i="21"/>
  <c r="L18" i="21"/>
  <c r="L34" i="21"/>
  <c r="L25" i="21"/>
  <c r="L63" i="21"/>
  <c r="O15" i="21"/>
  <c r="BH15" i="21"/>
  <c r="BK11" i="21"/>
  <c r="BK10" i="21" s="1"/>
  <c r="BK9" i="21" s="1"/>
  <c r="BK18" i="21"/>
  <c r="BH18" i="21"/>
  <c r="O34" i="21"/>
  <c r="O25" i="21" s="1"/>
  <c r="O63" i="21"/>
  <c r="G17" i="21"/>
  <c r="G26" i="21"/>
  <c r="F26" i="21" s="1"/>
  <c r="E26" i="21" s="1"/>
  <c r="F22" i="21"/>
  <c r="E27" i="21"/>
  <c r="AY54" i="21"/>
  <c r="V54" i="21" s="1"/>
  <c r="AR47" i="21"/>
  <c r="V47" i="21" s="1"/>
  <c r="AP45" i="21"/>
  <c r="AP34" i="21" s="1"/>
  <c r="AP25" i="21" s="1"/>
  <c r="AP7" i="21" s="1"/>
  <c r="AH37" i="21"/>
  <c r="AE37" i="21" s="1"/>
  <c r="V37" i="21" s="1"/>
  <c r="BH35" i="21"/>
  <c r="AF35" i="21"/>
  <c r="AE35" i="21" s="1"/>
  <c r="V35" i="21" s="1"/>
  <c r="O16" i="21"/>
  <c r="AQ80" i="22"/>
  <c r="AQ81" i="22"/>
  <c r="AQ82" i="22"/>
  <c r="AQ83" i="22"/>
  <c r="AQ84" i="22"/>
  <c r="AQ85" i="22"/>
  <c r="AQ86" i="22"/>
  <c r="AQ87" i="22"/>
  <c r="AQ89" i="22"/>
  <c r="AQ90" i="22"/>
  <c r="AQ91" i="22"/>
  <c r="AQ93" i="22"/>
  <c r="AQ94" i="22"/>
  <c r="AQ95" i="22"/>
  <c r="AQ96" i="22"/>
  <c r="AQ97" i="22"/>
  <c r="AQ98" i="22"/>
  <c r="AQ99" i="22"/>
  <c r="AQ100" i="22"/>
  <c r="AQ101" i="22"/>
  <c r="AQ102" i="22"/>
  <c r="AQ103" i="22"/>
  <c r="AQ104" i="22"/>
  <c r="AQ105" i="22"/>
  <c r="AQ106" i="22"/>
  <c r="AQ107" i="22"/>
  <c r="AQ108" i="22"/>
  <c r="AQ109" i="22"/>
  <c r="AQ110" i="22"/>
  <c r="AQ111" i="22"/>
  <c r="AQ112" i="22"/>
  <c r="AQ113" i="22"/>
  <c r="AQ114" i="22"/>
  <c r="F115" i="22"/>
  <c r="H115" i="22"/>
  <c r="I115" i="22"/>
  <c r="J115" i="22"/>
  <c r="K115" i="22"/>
  <c r="L115" i="22"/>
  <c r="M115" i="22"/>
  <c r="N115" i="22"/>
  <c r="O115" i="22"/>
  <c r="Q115" i="22"/>
  <c r="R115" i="22"/>
  <c r="S115" i="22"/>
  <c r="U115" i="22"/>
  <c r="V115" i="22"/>
  <c r="W115" i="22"/>
  <c r="Z115" i="22"/>
  <c r="AA115" i="22"/>
  <c r="AB115" i="22"/>
  <c r="AC115" i="22"/>
  <c r="AD115" i="22"/>
  <c r="AE115" i="22"/>
  <c r="AF115" i="22"/>
  <c r="AG115" i="22"/>
  <c r="AH115" i="22"/>
  <c r="AI115" i="22"/>
  <c r="AJ115" i="22"/>
  <c r="AL115" i="22"/>
  <c r="AM115" i="22"/>
  <c r="AN115" i="22"/>
  <c r="AO115" i="22"/>
  <c r="D114" i="22"/>
  <c r="AP78" i="22"/>
  <c r="AP80" i="22"/>
  <c r="AP81" i="22"/>
  <c r="AP82" i="22"/>
  <c r="AP83" i="22"/>
  <c r="AP84" i="22"/>
  <c r="AP85" i="22"/>
  <c r="AP86" i="22"/>
  <c r="AP87" i="22"/>
  <c r="AP89" i="22"/>
  <c r="AP90" i="22"/>
  <c r="AP91" i="22"/>
  <c r="AP93" i="22"/>
  <c r="AP94" i="22"/>
  <c r="AP95" i="22"/>
  <c r="AP96" i="22"/>
  <c r="AP97" i="22"/>
  <c r="AP98" i="22"/>
  <c r="AP99" i="22"/>
  <c r="AP100" i="22"/>
  <c r="AP101" i="22"/>
  <c r="AP102" i="22"/>
  <c r="AP103" i="22"/>
  <c r="AP104" i="22"/>
  <c r="AP105" i="22"/>
  <c r="AP106" i="22"/>
  <c r="AP107" i="22"/>
  <c r="AP108" i="22"/>
  <c r="AP109" i="22"/>
  <c r="AP110" i="22"/>
  <c r="AP111" i="22"/>
  <c r="AP112" i="22"/>
  <c r="AP113" i="22"/>
  <c r="F114" i="22"/>
  <c r="H114" i="22"/>
  <c r="I114" i="22"/>
  <c r="J114" i="22"/>
  <c r="K114" i="22"/>
  <c r="L114" i="22"/>
  <c r="M114" i="22"/>
  <c r="N114" i="22"/>
  <c r="O114" i="22"/>
  <c r="Q114" i="22"/>
  <c r="R114" i="22"/>
  <c r="S114" i="22"/>
  <c r="U114" i="22"/>
  <c r="V114" i="22"/>
  <c r="W114" i="22"/>
  <c r="X114" i="22"/>
  <c r="Z114" i="22"/>
  <c r="AA114" i="22"/>
  <c r="AB114" i="22"/>
  <c r="AC114" i="22"/>
  <c r="AD114" i="22"/>
  <c r="AE114" i="22"/>
  <c r="AF114" i="22"/>
  <c r="AG114" i="22"/>
  <c r="AH114" i="22"/>
  <c r="AI114" i="22"/>
  <c r="AJ114" i="22"/>
  <c r="AK114" i="22"/>
  <c r="AL114" i="22"/>
  <c r="AM114" i="22"/>
  <c r="AN114" i="22"/>
  <c r="AO114" i="22"/>
  <c r="D113" i="22"/>
  <c r="AO78" i="22"/>
  <c r="AO80" i="22"/>
  <c r="AO81" i="22"/>
  <c r="AO82" i="22"/>
  <c r="AO83" i="22"/>
  <c r="AO84" i="22"/>
  <c r="AO85" i="22"/>
  <c r="AO86" i="22"/>
  <c r="AO87" i="22"/>
  <c r="AO89" i="22"/>
  <c r="AO90" i="22"/>
  <c r="AO91" i="22"/>
  <c r="AO93" i="22"/>
  <c r="AO94" i="22"/>
  <c r="AO95" i="22"/>
  <c r="AO96" i="22"/>
  <c r="AO97" i="22"/>
  <c r="AO98" i="22"/>
  <c r="AO99" i="22"/>
  <c r="AO100" i="22"/>
  <c r="AO101" i="22"/>
  <c r="AO102" i="22"/>
  <c r="AO103" i="22"/>
  <c r="AO104" i="22"/>
  <c r="AO105" i="22"/>
  <c r="AO106" i="22"/>
  <c r="AO107" i="22"/>
  <c r="AO108" i="22"/>
  <c r="AO109" i="22"/>
  <c r="AO110" i="22"/>
  <c r="AO111" i="22"/>
  <c r="AO112" i="22"/>
  <c r="F113" i="22"/>
  <c r="H113" i="22"/>
  <c r="I113" i="22"/>
  <c r="J113" i="22"/>
  <c r="K113" i="22"/>
  <c r="L113" i="22"/>
  <c r="M113" i="22"/>
  <c r="N113" i="22"/>
  <c r="O113" i="22"/>
  <c r="Q113" i="22"/>
  <c r="R113" i="22"/>
  <c r="S113" i="22"/>
  <c r="U113" i="22"/>
  <c r="V113" i="22"/>
  <c r="W113" i="22"/>
  <c r="X113" i="22"/>
  <c r="Y113" i="22"/>
  <c r="Z113" i="22"/>
  <c r="AA113" i="22"/>
  <c r="AB113" i="22"/>
  <c r="AC113" i="22"/>
  <c r="AD113" i="22"/>
  <c r="AE113" i="22"/>
  <c r="AF113" i="22"/>
  <c r="AG113" i="22"/>
  <c r="AH113" i="22"/>
  <c r="AI113" i="22"/>
  <c r="AJ113" i="22"/>
  <c r="AK113" i="22"/>
  <c r="AL113" i="22"/>
  <c r="AM113" i="22"/>
  <c r="AN113" i="22"/>
  <c r="D112" i="22"/>
  <c r="AN78" i="22"/>
  <c r="AN80" i="22"/>
  <c r="AN81" i="22"/>
  <c r="AN82" i="22"/>
  <c r="AN83" i="22"/>
  <c r="AN84" i="22"/>
  <c r="AN85" i="22"/>
  <c r="AN86" i="22"/>
  <c r="AN87" i="22"/>
  <c r="AN89" i="22"/>
  <c r="AN90" i="22"/>
  <c r="AN91" i="22"/>
  <c r="AN93" i="22"/>
  <c r="AN94" i="22"/>
  <c r="AN95" i="22"/>
  <c r="AN96" i="22"/>
  <c r="AN97" i="22"/>
  <c r="AN98" i="22"/>
  <c r="AN99" i="22"/>
  <c r="AN100" i="22"/>
  <c r="AN101" i="22"/>
  <c r="AN102" i="22"/>
  <c r="AN103" i="22"/>
  <c r="AN104" i="22"/>
  <c r="AN105" i="22"/>
  <c r="AN106" i="22"/>
  <c r="AN107" i="22"/>
  <c r="AN108" i="22"/>
  <c r="AN109" i="22"/>
  <c r="AN110" i="22"/>
  <c r="AN111" i="22"/>
  <c r="F112" i="22"/>
  <c r="H112" i="22"/>
  <c r="I112" i="22"/>
  <c r="J112" i="22"/>
  <c r="K112" i="22"/>
  <c r="L112" i="22"/>
  <c r="M112" i="22"/>
  <c r="N112" i="22"/>
  <c r="O112" i="22"/>
  <c r="Q112" i="22"/>
  <c r="R112" i="22"/>
  <c r="S112" i="22"/>
  <c r="U112" i="22"/>
  <c r="V112" i="22"/>
  <c r="W112" i="22"/>
  <c r="X112" i="22"/>
  <c r="Y112" i="22"/>
  <c r="Z112" i="22"/>
  <c r="AA112" i="22"/>
  <c r="AB112" i="22"/>
  <c r="AC112" i="22"/>
  <c r="AD112" i="22"/>
  <c r="AE112" i="22"/>
  <c r="AF112" i="22"/>
  <c r="AG112" i="22"/>
  <c r="AH112" i="22"/>
  <c r="AI112" i="22"/>
  <c r="AJ112" i="22"/>
  <c r="AK112" i="22"/>
  <c r="AL112" i="22"/>
  <c r="AM112" i="22"/>
  <c r="D111" i="22"/>
  <c r="AM78" i="22"/>
  <c r="AM80" i="22"/>
  <c r="AM81" i="22"/>
  <c r="AM82" i="22"/>
  <c r="AM83" i="22"/>
  <c r="AM84" i="22"/>
  <c r="AM85" i="22"/>
  <c r="AM86" i="22"/>
  <c r="AM87" i="22"/>
  <c r="AM89" i="22"/>
  <c r="AM90" i="22"/>
  <c r="AM91" i="22"/>
  <c r="AM93" i="22"/>
  <c r="AM94" i="22"/>
  <c r="AM95" i="22"/>
  <c r="AM96" i="22"/>
  <c r="AM97" i="22"/>
  <c r="AM98" i="22"/>
  <c r="AM99" i="22"/>
  <c r="AM100" i="22"/>
  <c r="AM101" i="22"/>
  <c r="AM102" i="22"/>
  <c r="AM103" i="22"/>
  <c r="AM104" i="22"/>
  <c r="AM105" i="22"/>
  <c r="AM106" i="22"/>
  <c r="AM107" i="22"/>
  <c r="AM108" i="22"/>
  <c r="AM109" i="22"/>
  <c r="AM110" i="22"/>
  <c r="F111" i="22"/>
  <c r="H111" i="22"/>
  <c r="I111" i="22"/>
  <c r="J111" i="22"/>
  <c r="K111" i="22"/>
  <c r="L111" i="22"/>
  <c r="M111" i="22"/>
  <c r="N111" i="22"/>
  <c r="O111" i="22"/>
  <c r="Q111" i="22"/>
  <c r="R111" i="22"/>
  <c r="S111" i="22"/>
  <c r="U111" i="22"/>
  <c r="V111" i="22"/>
  <c r="W111" i="22"/>
  <c r="X111" i="22"/>
  <c r="Y111" i="22"/>
  <c r="Z111" i="22"/>
  <c r="AA111" i="22"/>
  <c r="AB111" i="22"/>
  <c r="AC111" i="22"/>
  <c r="AD111" i="22"/>
  <c r="AE111" i="22"/>
  <c r="AF111" i="22"/>
  <c r="AG111" i="22"/>
  <c r="AH111" i="22"/>
  <c r="AI111" i="22"/>
  <c r="AJ111" i="22"/>
  <c r="AK111" i="22"/>
  <c r="AL111" i="22"/>
  <c r="D110" i="22"/>
  <c r="AL78" i="22"/>
  <c r="AL80" i="22"/>
  <c r="AL81" i="22"/>
  <c r="AL82" i="22"/>
  <c r="AL83" i="22"/>
  <c r="AL84" i="22"/>
  <c r="AL85" i="22"/>
  <c r="AL86" i="22"/>
  <c r="AL87" i="22"/>
  <c r="AL89" i="22"/>
  <c r="AL90" i="22"/>
  <c r="AL91" i="22"/>
  <c r="AL93" i="22"/>
  <c r="AL94" i="22"/>
  <c r="AL95" i="22"/>
  <c r="AL96" i="22"/>
  <c r="AL97" i="22"/>
  <c r="AL98" i="22"/>
  <c r="AL99" i="22"/>
  <c r="AL100" i="22"/>
  <c r="AL101" i="22"/>
  <c r="AL102" i="22"/>
  <c r="AL103" i="22"/>
  <c r="AL104" i="22"/>
  <c r="AL105" i="22"/>
  <c r="AL106" i="22"/>
  <c r="AL107" i="22"/>
  <c r="AL108" i="22"/>
  <c r="AL109" i="22"/>
  <c r="F110" i="22"/>
  <c r="H110" i="22"/>
  <c r="I110" i="22"/>
  <c r="J110" i="22"/>
  <c r="K110" i="22"/>
  <c r="L110" i="22"/>
  <c r="M110" i="22"/>
  <c r="N110" i="22"/>
  <c r="O110" i="22"/>
  <c r="Q110" i="22"/>
  <c r="R110" i="22"/>
  <c r="S110" i="22"/>
  <c r="U110" i="22"/>
  <c r="V110" i="22"/>
  <c r="W110" i="22"/>
  <c r="X110" i="22"/>
  <c r="Y110" i="22"/>
  <c r="Z110" i="22"/>
  <c r="AA110" i="22"/>
  <c r="AB110" i="22"/>
  <c r="AC110" i="22"/>
  <c r="AD110" i="22"/>
  <c r="AE110" i="22"/>
  <c r="AF110" i="22"/>
  <c r="AG110" i="22"/>
  <c r="AH110" i="22"/>
  <c r="AI110" i="22"/>
  <c r="AJ110" i="22"/>
  <c r="AK110" i="22"/>
  <c r="D109" i="22"/>
  <c r="AK78" i="22"/>
  <c r="AK80" i="22"/>
  <c r="AK81" i="22"/>
  <c r="AK82" i="22"/>
  <c r="AK83" i="22"/>
  <c r="AK84" i="22"/>
  <c r="AK85" i="22"/>
  <c r="AK86" i="22"/>
  <c r="AK87" i="22"/>
  <c r="AK89" i="22"/>
  <c r="AK90" i="22"/>
  <c r="AK91" i="22"/>
  <c r="AK93" i="22"/>
  <c r="AK94" i="22"/>
  <c r="AK95" i="22"/>
  <c r="AK96" i="22"/>
  <c r="AK97" i="22"/>
  <c r="AK98" i="22"/>
  <c r="AK99" i="22"/>
  <c r="AK100" i="22"/>
  <c r="AK101" i="22"/>
  <c r="AK102" i="22"/>
  <c r="AK103" i="22"/>
  <c r="AK104" i="22"/>
  <c r="AK105" i="22"/>
  <c r="AK106" i="22"/>
  <c r="AK107" i="22"/>
  <c r="AK108" i="22"/>
  <c r="F109" i="22"/>
  <c r="H109" i="22"/>
  <c r="I109" i="22"/>
  <c r="J109" i="22"/>
  <c r="K109" i="22"/>
  <c r="L109" i="22"/>
  <c r="M109" i="22"/>
  <c r="N109" i="22"/>
  <c r="O109" i="22"/>
  <c r="Q109" i="22"/>
  <c r="R109" i="22"/>
  <c r="S109" i="22"/>
  <c r="U109" i="22"/>
  <c r="V109" i="22"/>
  <c r="W109" i="22"/>
  <c r="X109" i="22"/>
  <c r="Y109" i="22"/>
  <c r="Z109" i="22"/>
  <c r="AA109" i="22"/>
  <c r="AB109" i="22"/>
  <c r="AC109" i="22"/>
  <c r="AD109" i="22"/>
  <c r="AE109" i="22"/>
  <c r="AF109" i="22"/>
  <c r="AG109" i="22"/>
  <c r="AH109" i="22"/>
  <c r="AI109" i="22"/>
  <c r="AJ109" i="22"/>
  <c r="D108" i="22"/>
  <c r="AJ78" i="22"/>
  <c r="AJ80" i="22"/>
  <c r="AJ81" i="22"/>
  <c r="AJ82" i="22"/>
  <c r="AJ83" i="22"/>
  <c r="AJ84" i="22"/>
  <c r="AJ85" i="22"/>
  <c r="AJ86" i="22"/>
  <c r="AJ87" i="22"/>
  <c r="AJ89" i="22"/>
  <c r="AJ90" i="22"/>
  <c r="AJ91" i="22"/>
  <c r="AJ93" i="22"/>
  <c r="AJ94" i="22"/>
  <c r="AJ95" i="22"/>
  <c r="AJ96" i="22"/>
  <c r="AJ97" i="22"/>
  <c r="AJ98" i="22"/>
  <c r="AJ99" i="22"/>
  <c r="AJ100" i="22"/>
  <c r="AJ101" i="22"/>
  <c r="AJ102" i="22"/>
  <c r="AJ103" i="22"/>
  <c r="AJ104" i="22"/>
  <c r="AJ105" i="22"/>
  <c r="AJ106" i="22"/>
  <c r="AJ107" i="22"/>
  <c r="F108" i="22"/>
  <c r="H108" i="22"/>
  <c r="I108" i="22"/>
  <c r="J108" i="22"/>
  <c r="K108" i="22"/>
  <c r="L108" i="22"/>
  <c r="M108" i="22"/>
  <c r="N108" i="22"/>
  <c r="O108" i="22"/>
  <c r="Q108" i="22"/>
  <c r="R108" i="22"/>
  <c r="S108" i="22"/>
  <c r="U108" i="22"/>
  <c r="V108" i="22"/>
  <c r="W108" i="22"/>
  <c r="X108" i="22"/>
  <c r="Y108" i="22"/>
  <c r="Z108" i="22"/>
  <c r="AA108" i="22"/>
  <c r="AB108" i="22"/>
  <c r="AC108" i="22"/>
  <c r="AD108" i="22"/>
  <c r="AE108" i="22"/>
  <c r="AF108" i="22"/>
  <c r="AG108" i="22"/>
  <c r="AH108" i="22"/>
  <c r="AI108" i="22"/>
  <c r="D107" i="22"/>
  <c r="AI80" i="22"/>
  <c r="AI81" i="22"/>
  <c r="AI82" i="22"/>
  <c r="AI83" i="22"/>
  <c r="AI84" i="22"/>
  <c r="AI85" i="22"/>
  <c r="AI86" i="22"/>
  <c r="AI87" i="22"/>
  <c r="AI89" i="22"/>
  <c r="AI90" i="22"/>
  <c r="AI91" i="22"/>
  <c r="AI93" i="22"/>
  <c r="AI94" i="22"/>
  <c r="AI95" i="22"/>
  <c r="AI96" i="22"/>
  <c r="AI97" i="22"/>
  <c r="AI98" i="22"/>
  <c r="AI99" i="22"/>
  <c r="AI100" i="22"/>
  <c r="AI101" i="22"/>
  <c r="AI102" i="22"/>
  <c r="AI103" i="22"/>
  <c r="AI104" i="22"/>
  <c r="AI105" i="22"/>
  <c r="AI106" i="22"/>
  <c r="F107" i="22"/>
  <c r="H107" i="22"/>
  <c r="I107" i="22"/>
  <c r="J107" i="22"/>
  <c r="K107" i="22"/>
  <c r="L107" i="22"/>
  <c r="M107" i="22"/>
  <c r="N107" i="22"/>
  <c r="O107" i="22"/>
  <c r="Q107" i="22"/>
  <c r="R107" i="22"/>
  <c r="S107" i="22"/>
  <c r="U107" i="22"/>
  <c r="V107" i="22"/>
  <c r="W107" i="22"/>
  <c r="X107" i="22"/>
  <c r="Y107" i="22"/>
  <c r="Z107" i="22"/>
  <c r="AA107" i="22"/>
  <c r="AB107" i="22"/>
  <c r="AC107" i="22"/>
  <c r="AD107" i="22"/>
  <c r="AE107" i="22"/>
  <c r="AF107" i="22"/>
  <c r="AG107" i="22"/>
  <c r="AH107" i="22"/>
  <c r="D106" i="22"/>
  <c r="AH78" i="22"/>
  <c r="AH80" i="22"/>
  <c r="AH81" i="22"/>
  <c r="AH82" i="22"/>
  <c r="AH83" i="22"/>
  <c r="AH84" i="22"/>
  <c r="AH85" i="22"/>
  <c r="AH86" i="22"/>
  <c r="AH87" i="22"/>
  <c r="AH89" i="22"/>
  <c r="AH90" i="22"/>
  <c r="AH91" i="22"/>
  <c r="AH93" i="22"/>
  <c r="AH94" i="22"/>
  <c r="AH95" i="22"/>
  <c r="AH96" i="22"/>
  <c r="AH98" i="22"/>
  <c r="AH99" i="22"/>
  <c r="AH100" i="22"/>
  <c r="AH101" i="22"/>
  <c r="AH102" i="22"/>
  <c r="AH103" i="22"/>
  <c r="AH104" i="22"/>
  <c r="AH105" i="22"/>
  <c r="F106" i="22"/>
  <c r="H106" i="22"/>
  <c r="I106" i="22"/>
  <c r="J106" i="22"/>
  <c r="K106" i="22"/>
  <c r="L106" i="22"/>
  <c r="M106" i="22"/>
  <c r="N106" i="22"/>
  <c r="O106" i="22"/>
  <c r="Q106" i="22"/>
  <c r="R106" i="22"/>
  <c r="S106" i="22"/>
  <c r="U106" i="22"/>
  <c r="V106" i="22"/>
  <c r="W106" i="22"/>
  <c r="X106" i="22"/>
  <c r="Y106" i="22"/>
  <c r="Z106" i="22"/>
  <c r="AA106" i="22"/>
  <c r="AB106" i="22"/>
  <c r="AC106" i="22"/>
  <c r="AD106" i="22"/>
  <c r="AE106" i="22"/>
  <c r="AF106" i="22"/>
  <c r="AG106" i="22"/>
  <c r="D105" i="22"/>
  <c r="AG78" i="22"/>
  <c r="AG80" i="22"/>
  <c r="AG81" i="22"/>
  <c r="AG82" i="22"/>
  <c r="AG83" i="22"/>
  <c r="AG84" i="22"/>
  <c r="AG85" i="22"/>
  <c r="AG86" i="22"/>
  <c r="AG87" i="22"/>
  <c r="AG89" i="22"/>
  <c r="AG90" i="22"/>
  <c r="AG91" i="22"/>
  <c r="AG93" i="22"/>
  <c r="AG94" i="22"/>
  <c r="AG95" i="22"/>
  <c r="AG96" i="22"/>
  <c r="AG97" i="22"/>
  <c r="AG98" i="22"/>
  <c r="AG99" i="22"/>
  <c r="AG100" i="22"/>
  <c r="AG101" i="22"/>
  <c r="AG102" i="22"/>
  <c r="AG103" i="22"/>
  <c r="AG104" i="22"/>
  <c r="F105" i="22"/>
  <c r="H105" i="22"/>
  <c r="I105" i="22"/>
  <c r="J105" i="22"/>
  <c r="K105" i="22"/>
  <c r="L105" i="22"/>
  <c r="M105" i="22"/>
  <c r="N105" i="22"/>
  <c r="O105" i="22"/>
  <c r="Q105" i="22"/>
  <c r="R105" i="22"/>
  <c r="S105" i="22"/>
  <c r="U105" i="22"/>
  <c r="V105" i="22"/>
  <c r="W105" i="22"/>
  <c r="X105" i="22"/>
  <c r="Y105" i="22"/>
  <c r="Z105" i="22"/>
  <c r="AA105" i="22"/>
  <c r="AB105" i="22"/>
  <c r="AC105" i="22"/>
  <c r="AD105" i="22"/>
  <c r="AE105" i="22"/>
  <c r="AF105" i="22"/>
  <c r="D104" i="22"/>
  <c r="AF78" i="22"/>
  <c r="AF80" i="22"/>
  <c r="AF81" i="22"/>
  <c r="AF82" i="22"/>
  <c r="AF83" i="22"/>
  <c r="AF84" i="22"/>
  <c r="AF85" i="22"/>
  <c r="AF86" i="22"/>
  <c r="AF87" i="22"/>
  <c r="AF89" i="22"/>
  <c r="AF90" i="22"/>
  <c r="AF91" i="22"/>
  <c r="AF93" i="22"/>
  <c r="AF94" i="22"/>
  <c r="AF95" i="22"/>
  <c r="AF96" i="22"/>
  <c r="AF98" i="22"/>
  <c r="AF99" i="22"/>
  <c r="AF100" i="22"/>
  <c r="AF101" i="22"/>
  <c r="AF102" i="22"/>
  <c r="AF103" i="22"/>
  <c r="F104" i="22"/>
  <c r="H104" i="22"/>
  <c r="I104" i="22"/>
  <c r="J104" i="22"/>
  <c r="K104" i="22"/>
  <c r="L104" i="22"/>
  <c r="M104" i="22"/>
  <c r="N104" i="22"/>
  <c r="O104" i="22"/>
  <c r="Q104" i="22"/>
  <c r="R104" i="22"/>
  <c r="S104" i="22"/>
  <c r="U104" i="22"/>
  <c r="V104" i="22"/>
  <c r="W104" i="22"/>
  <c r="X104" i="22"/>
  <c r="Y104" i="22"/>
  <c r="Z104" i="22"/>
  <c r="AA104" i="22"/>
  <c r="AB104" i="22"/>
  <c r="AC104" i="22"/>
  <c r="AD104" i="22"/>
  <c r="AE104" i="22"/>
  <c r="D103" i="22"/>
  <c r="AE78" i="22"/>
  <c r="AE80" i="22"/>
  <c r="AE81" i="22"/>
  <c r="AE82" i="22"/>
  <c r="AE83" i="22"/>
  <c r="AE84" i="22"/>
  <c r="AE85" i="22"/>
  <c r="AE86" i="22"/>
  <c r="AE87" i="22"/>
  <c r="AE89" i="22"/>
  <c r="AE90" i="22"/>
  <c r="AE91" i="22"/>
  <c r="AE93" i="22"/>
  <c r="AE94" i="22"/>
  <c r="AE95" i="22"/>
  <c r="AE96" i="22"/>
  <c r="AE97" i="22"/>
  <c r="AE98" i="22"/>
  <c r="AE99" i="22"/>
  <c r="AE100" i="22"/>
  <c r="AE101" i="22"/>
  <c r="AE102" i="22"/>
  <c r="F103" i="22"/>
  <c r="H103" i="22"/>
  <c r="I103" i="22"/>
  <c r="J103" i="22"/>
  <c r="K103" i="22"/>
  <c r="L103" i="22"/>
  <c r="M103" i="22"/>
  <c r="N103" i="22"/>
  <c r="O103" i="22"/>
  <c r="Q103" i="22"/>
  <c r="R103" i="22"/>
  <c r="S103" i="22"/>
  <c r="U103" i="22"/>
  <c r="V103" i="22"/>
  <c r="W103" i="22"/>
  <c r="X103" i="22"/>
  <c r="Y103" i="22"/>
  <c r="Z103" i="22"/>
  <c r="AA103" i="22"/>
  <c r="AB103" i="22"/>
  <c r="AC103" i="22"/>
  <c r="AD103" i="22"/>
  <c r="D102" i="22"/>
  <c r="AD80" i="22"/>
  <c r="AD81" i="22"/>
  <c r="AD82" i="22"/>
  <c r="AD83" i="22"/>
  <c r="AD84" i="22"/>
  <c r="AD85" i="22"/>
  <c r="AD86" i="22"/>
  <c r="AD87" i="22"/>
  <c r="AD89" i="22"/>
  <c r="AD90" i="22"/>
  <c r="AD91" i="22"/>
  <c r="AD93" i="22"/>
  <c r="AD94" i="22"/>
  <c r="AD95" i="22"/>
  <c r="AD96" i="22"/>
  <c r="AD97" i="22"/>
  <c r="AD98" i="22"/>
  <c r="AD99" i="22"/>
  <c r="AD100" i="22"/>
  <c r="AD101" i="22"/>
  <c r="F102" i="22"/>
  <c r="H102" i="22"/>
  <c r="I102" i="22"/>
  <c r="J102" i="22"/>
  <c r="K102" i="22"/>
  <c r="L102" i="22"/>
  <c r="M102" i="22"/>
  <c r="N102" i="22"/>
  <c r="O102" i="22"/>
  <c r="Q102" i="22"/>
  <c r="R102" i="22"/>
  <c r="S102" i="22"/>
  <c r="U102" i="22"/>
  <c r="V102" i="22"/>
  <c r="W102" i="22"/>
  <c r="X102" i="22"/>
  <c r="Y102" i="22"/>
  <c r="Z102" i="22"/>
  <c r="AA102" i="22"/>
  <c r="AB102" i="22"/>
  <c r="AC102" i="22"/>
  <c r="D101" i="22"/>
  <c r="AC78" i="22"/>
  <c r="AC80" i="22"/>
  <c r="AC81" i="22"/>
  <c r="AC82" i="22"/>
  <c r="AC83" i="22"/>
  <c r="AC84" i="22"/>
  <c r="AC85" i="22"/>
  <c r="AC86" i="22"/>
  <c r="AC87" i="22"/>
  <c r="AC89" i="22"/>
  <c r="AC90" i="22"/>
  <c r="AC91" i="22"/>
  <c r="AC93" i="22"/>
  <c r="AC94" i="22"/>
  <c r="AC95" i="22"/>
  <c r="AC96" i="22"/>
  <c r="AC98" i="22"/>
  <c r="AC99" i="22"/>
  <c r="AC100" i="22"/>
  <c r="F101" i="22"/>
  <c r="H101" i="22"/>
  <c r="I101" i="22"/>
  <c r="J101" i="22"/>
  <c r="K101" i="22"/>
  <c r="L101" i="22"/>
  <c r="M101" i="22"/>
  <c r="N101" i="22"/>
  <c r="O101" i="22"/>
  <c r="Q101" i="22"/>
  <c r="R101" i="22"/>
  <c r="S101" i="22"/>
  <c r="U101" i="22"/>
  <c r="V101" i="22"/>
  <c r="W101" i="22"/>
  <c r="X101" i="22"/>
  <c r="Y101" i="22"/>
  <c r="Z101" i="22"/>
  <c r="AA101" i="22"/>
  <c r="AB101" i="22"/>
  <c r="D100" i="22"/>
  <c r="AB78" i="22"/>
  <c r="AB80" i="22"/>
  <c r="AB81" i="22"/>
  <c r="AB82" i="22"/>
  <c r="AB83" i="22"/>
  <c r="AB84" i="22"/>
  <c r="AB85" i="22"/>
  <c r="AB86" i="22"/>
  <c r="AB87" i="22"/>
  <c r="AB89" i="22"/>
  <c r="AB90" i="22"/>
  <c r="AB91" i="22"/>
  <c r="AB93" i="22"/>
  <c r="AB94" i="22"/>
  <c r="AB95" i="22"/>
  <c r="AB96" i="22"/>
  <c r="AB98" i="22"/>
  <c r="AB99" i="22"/>
  <c r="F100" i="22"/>
  <c r="H100" i="22"/>
  <c r="I100" i="22"/>
  <c r="J100" i="22"/>
  <c r="K100" i="22"/>
  <c r="L100" i="22"/>
  <c r="M100" i="22"/>
  <c r="N100" i="22"/>
  <c r="O100" i="22"/>
  <c r="Q100" i="22"/>
  <c r="R100" i="22"/>
  <c r="S100" i="22"/>
  <c r="U100" i="22"/>
  <c r="V100" i="22"/>
  <c r="W100" i="22"/>
  <c r="X100" i="22"/>
  <c r="Y100" i="22"/>
  <c r="Z100" i="22"/>
  <c r="AA100" i="22"/>
  <c r="D99" i="22"/>
  <c r="AA78" i="22"/>
  <c r="AA80" i="22"/>
  <c r="AA81" i="22"/>
  <c r="AA82" i="22"/>
  <c r="AA83" i="22"/>
  <c r="AA84" i="22"/>
  <c r="AA85" i="22"/>
  <c r="AA86" i="22"/>
  <c r="AA87" i="22"/>
  <c r="AA89" i="22"/>
  <c r="AA90" i="22"/>
  <c r="AA91" i="22"/>
  <c r="AA93" i="22"/>
  <c r="AA94" i="22"/>
  <c r="AA95" i="22"/>
  <c r="AA96" i="22"/>
  <c r="AA97" i="22"/>
  <c r="AA98" i="22"/>
  <c r="F99" i="22"/>
  <c r="H99" i="22"/>
  <c r="I99" i="22"/>
  <c r="J99" i="22"/>
  <c r="K99" i="22"/>
  <c r="L99" i="22"/>
  <c r="M99" i="22"/>
  <c r="N99" i="22"/>
  <c r="O99" i="22"/>
  <c r="Q99" i="22"/>
  <c r="R99" i="22"/>
  <c r="S99" i="22"/>
  <c r="U99" i="22"/>
  <c r="V99" i="22"/>
  <c r="W99" i="22"/>
  <c r="X99" i="22"/>
  <c r="Y99" i="22"/>
  <c r="Z99" i="22"/>
  <c r="D98" i="22"/>
  <c r="Z78" i="22"/>
  <c r="Z80" i="22"/>
  <c r="Z81" i="22"/>
  <c r="Z82" i="22"/>
  <c r="Z83" i="22"/>
  <c r="Z84" i="22"/>
  <c r="Z85" i="22"/>
  <c r="Z86" i="22"/>
  <c r="Z87" i="22"/>
  <c r="Z89" i="22"/>
  <c r="Z90" i="22"/>
  <c r="Z91" i="22"/>
  <c r="Z93" i="22"/>
  <c r="Z94" i="22"/>
  <c r="Z95" i="22"/>
  <c r="Z96" i="22"/>
  <c r="Z97" i="22"/>
  <c r="F98" i="22"/>
  <c r="H98" i="22"/>
  <c r="I98" i="22"/>
  <c r="J98" i="22"/>
  <c r="K98" i="22"/>
  <c r="L98" i="22"/>
  <c r="M98" i="22"/>
  <c r="N98" i="22"/>
  <c r="O98" i="22"/>
  <c r="Q98" i="22"/>
  <c r="R98" i="22"/>
  <c r="S98" i="22"/>
  <c r="U98" i="22"/>
  <c r="V98" i="22"/>
  <c r="W98" i="22"/>
  <c r="X98" i="22"/>
  <c r="Y98" i="22"/>
  <c r="Y80" i="22"/>
  <c r="Y81" i="22"/>
  <c r="Y83" i="22"/>
  <c r="Y84" i="22"/>
  <c r="Y86" i="22"/>
  <c r="Y89" i="22"/>
  <c r="Y90" i="22"/>
  <c r="Y91" i="22"/>
  <c r="Y93" i="22"/>
  <c r="Y94" i="22"/>
  <c r="Y95" i="22"/>
  <c r="Y96" i="22"/>
  <c r="H97" i="22"/>
  <c r="I97" i="22"/>
  <c r="J97" i="22"/>
  <c r="K97" i="22"/>
  <c r="L97" i="22"/>
  <c r="M97" i="22"/>
  <c r="N97" i="22"/>
  <c r="O97" i="22"/>
  <c r="Q97" i="22"/>
  <c r="R97" i="22"/>
  <c r="S97" i="22"/>
  <c r="U97" i="22"/>
  <c r="V97" i="22"/>
  <c r="X97" i="22"/>
  <c r="D96" i="22"/>
  <c r="X78" i="22"/>
  <c r="X80" i="22"/>
  <c r="X81" i="22"/>
  <c r="X82" i="22"/>
  <c r="X83" i="22"/>
  <c r="X84" i="22"/>
  <c r="X85" i="22"/>
  <c r="X86" i="22"/>
  <c r="X87" i="22"/>
  <c r="X89" i="22"/>
  <c r="X90" i="22"/>
  <c r="X91" i="22"/>
  <c r="X93" i="22"/>
  <c r="X94" i="22"/>
  <c r="X95" i="22"/>
  <c r="F96" i="22"/>
  <c r="H96" i="22"/>
  <c r="I96" i="22"/>
  <c r="J96" i="22"/>
  <c r="K96" i="22"/>
  <c r="L96" i="22"/>
  <c r="M96" i="22"/>
  <c r="N96" i="22"/>
  <c r="O96" i="22"/>
  <c r="Q96" i="22"/>
  <c r="R96" i="22"/>
  <c r="S96" i="22"/>
  <c r="U96" i="22"/>
  <c r="V96" i="22"/>
  <c r="W96" i="22"/>
  <c r="D95" i="22"/>
  <c r="W78" i="22"/>
  <c r="W80" i="22"/>
  <c r="W81" i="22"/>
  <c r="W82" i="22"/>
  <c r="W83" i="22"/>
  <c r="W84" i="22"/>
  <c r="W85" i="22"/>
  <c r="W86" i="22"/>
  <c r="W87" i="22"/>
  <c r="W89" i="22"/>
  <c r="W90" i="22"/>
  <c r="W91" i="22"/>
  <c r="W93" i="22"/>
  <c r="W94" i="22"/>
  <c r="F95" i="22"/>
  <c r="H95" i="22"/>
  <c r="I95" i="22"/>
  <c r="J95" i="22"/>
  <c r="K95" i="22"/>
  <c r="L95" i="22"/>
  <c r="M95" i="22"/>
  <c r="N95" i="22"/>
  <c r="O95" i="22"/>
  <c r="Q95" i="22"/>
  <c r="R95" i="22"/>
  <c r="S95" i="22"/>
  <c r="U95" i="22"/>
  <c r="V95" i="22"/>
  <c r="D94" i="22"/>
  <c r="V80" i="22"/>
  <c r="V81" i="22"/>
  <c r="V82" i="22"/>
  <c r="V83" i="22"/>
  <c r="V84" i="22"/>
  <c r="V85" i="22"/>
  <c r="V86" i="22"/>
  <c r="V87" i="22"/>
  <c r="V89" i="22"/>
  <c r="V90" i="22"/>
  <c r="V91" i="22"/>
  <c r="V93" i="22"/>
  <c r="F94" i="22"/>
  <c r="H94" i="22"/>
  <c r="I94" i="22"/>
  <c r="J94" i="22"/>
  <c r="K94" i="22"/>
  <c r="L94" i="22"/>
  <c r="M94" i="22"/>
  <c r="N94" i="22"/>
  <c r="O94" i="22"/>
  <c r="Q94" i="22"/>
  <c r="R94" i="22"/>
  <c r="S94" i="22"/>
  <c r="U94" i="22"/>
  <c r="D93" i="22"/>
  <c r="U80" i="22"/>
  <c r="U81" i="22"/>
  <c r="U82" i="22"/>
  <c r="U83" i="22"/>
  <c r="U84" i="22"/>
  <c r="U85" i="22"/>
  <c r="U86" i="22"/>
  <c r="U87" i="22"/>
  <c r="U89" i="22"/>
  <c r="U90" i="22"/>
  <c r="U91" i="22"/>
  <c r="F93" i="22"/>
  <c r="H93" i="22"/>
  <c r="I93" i="22"/>
  <c r="J93" i="22"/>
  <c r="K93" i="22"/>
  <c r="L93" i="22"/>
  <c r="M93" i="22"/>
  <c r="N93" i="22"/>
  <c r="O93" i="22"/>
  <c r="Q93" i="22"/>
  <c r="R93" i="22"/>
  <c r="S93" i="22"/>
  <c r="D91" i="22"/>
  <c r="S78" i="22"/>
  <c r="S80" i="22"/>
  <c r="S81" i="22"/>
  <c r="S82" i="22"/>
  <c r="S83" i="22"/>
  <c r="S84" i="22"/>
  <c r="S85" i="22"/>
  <c r="S86" i="22"/>
  <c r="S87" i="22"/>
  <c r="S89" i="22"/>
  <c r="S90" i="22"/>
  <c r="F91" i="22"/>
  <c r="H91" i="22"/>
  <c r="I91" i="22"/>
  <c r="J91" i="22"/>
  <c r="K91" i="22"/>
  <c r="L91" i="22"/>
  <c r="M91" i="22"/>
  <c r="N91" i="22"/>
  <c r="O91" i="22"/>
  <c r="Q91" i="22"/>
  <c r="R91" i="22"/>
  <c r="D90" i="22"/>
  <c r="R78" i="22"/>
  <c r="R80" i="22"/>
  <c r="R81" i="22"/>
  <c r="R82" i="22"/>
  <c r="R83" i="22"/>
  <c r="R84" i="22"/>
  <c r="R85" i="22"/>
  <c r="R86" i="22"/>
  <c r="R87" i="22"/>
  <c r="R89" i="22"/>
  <c r="F90" i="22"/>
  <c r="H90" i="22"/>
  <c r="I90" i="22"/>
  <c r="J90" i="22"/>
  <c r="K90" i="22"/>
  <c r="L90" i="22"/>
  <c r="M90" i="22"/>
  <c r="N90" i="22"/>
  <c r="O90" i="22"/>
  <c r="Q90" i="22"/>
  <c r="D89" i="22"/>
  <c r="Q78" i="22"/>
  <c r="Q80" i="22"/>
  <c r="Q81" i="22"/>
  <c r="Q82" i="22"/>
  <c r="Q83" i="22"/>
  <c r="Q84" i="22"/>
  <c r="Q85" i="22"/>
  <c r="Q86" i="22"/>
  <c r="Q87" i="22"/>
  <c r="F89" i="22"/>
  <c r="H89" i="22"/>
  <c r="I89" i="22"/>
  <c r="J89" i="22"/>
  <c r="K89" i="22"/>
  <c r="L89" i="22"/>
  <c r="M89" i="22"/>
  <c r="N89" i="22"/>
  <c r="O89" i="22"/>
  <c r="D87" i="22"/>
  <c r="O80" i="22"/>
  <c r="O81" i="22"/>
  <c r="O82" i="22"/>
  <c r="O83" i="22"/>
  <c r="O84" i="22"/>
  <c r="O85" i="22"/>
  <c r="O86" i="22"/>
  <c r="F87" i="22"/>
  <c r="H87" i="22"/>
  <c r="I87" i="22"/>
  <c r="J87" i="22"/>
  <c r="K87" i="22"/>
  <c r="L87" i="22"/>
  <c r="M87" i="22"/>
  <c r="N87" i="22"/>
  <c r="D86" i="22"/>
  <c r="N78" i="22"/>
  <c r="N80" i="22"/>
  <c r="N81" i="22"/>
  <c r="N82" i="22"/>
  <c r="N83" i="22"/>
  <c r="N84" i="22"/>
  <c r="N85" i="22"/>
  <c r="F86" i="22"/>
  <c r="H86" i="22"/>
  <c r="I86" i="22"/>
  <c r="J86" i="22"/>
  <c r="K86" i="22"/>
  <c r="L86" i="22"/>
  <c r="M86" i="22"/>
  <c r="D85" i="22"/>
  <c r="M78" i="22"/>
  <c r="M80" i="22"/>
  <c r="M81" i="22"/>
  <c r="M82" i="22"/>
  <c r="M83" i="22"/>
  <c r="M84" i="22"/>
  <c r="F85" i="22"/>
  <c r="H85" i="22"/>
  <c r="I85" i="22"/>
  <c r="J85" i="22"/>
  <c r="K85" i="22"/>
  <c r="L85" i="22"/>
  <c r="D84" i="22"/>
  <c r="R11" i="22"/>
  <c r="R10" i="22"/>
  <c r="R9" i="22" s="1"/>
  <c r="L80" i="22"/>
  <c r="L81" i="22"/>
  <c r="L82" i="22"/>
  <c r="L83" i="22"/>
  <c r="F84" i="22"/>
  <c r="H84" i="22"/>
  <c r="I84" i="22"/>
  <c r="J84" i="22"/>
  <c r="K84" i="22"/>
  <c r="D83" i="22"/>
  <c r="Q11" i="22"/>
  <c r="K80" i="22"/>
  <c r="K81" i="22"/>
  <c r="K82" i="22"/>
  <c r="F83" i="22"/>
  <c r="H83" i="22"/>
  <c r="I83" i="22"/>
  <c r="J83" i="22"/>
  <c r="D82" i="22"/>
  <c r="J78" i="22"/>
  <c r="J80" i="22"/>
  <c r="J81" i="22"/>
  <c r="F82" i="22"/>
  <c r="H82" i="22"/>
  <c r="I82" i="22"/>
  <c r="D81" i="22"/>
  <c r="I78" i="22"/>
  <c r="I80" i="22"/>
  <c r="F81" i="22"/>
  <c r="H81" i="22"/>
  <c r="D80" i="22"/>
  <c r="H78" i="22"/>
  <c r="F80" i="22"/>
  <c r="D79" i="22"/>
  <c r="G78" i="22"/>
  <c r="G80" i="22"/>
  <c r="G81" i="22"/>
  <c r="G82" i="22"/>
  <c r="G83" i="22"/>
  <c r="G84" i="22"/>
  <c r="G85" i="22"/>
  <c r="G86" i="22"/>
  <c r="G87" i="22"/>
  <c r="G89" i="22"/>
  <c r="G90" i="22"/>
  <c r="G91" i="22"/>
  <c r="G92" i="22"/>
  <c r="G93" i="22"/>
  <c r="G94" i="22"/>
  <c r="G95" i="22"/>
  <c r="G96" i="22"/>
  <c r="G97" i="22"/>
  <c r="G98" i="22"/>
  <c r="G99" i="22"/>
  <c r="G100" i="22"/>
  <c r="G101" i="22"/>
  <c r="G102" i="22"/>
  <c r="G103" i="22"/>
  <c r="G104" i="22"/>
  <c r="G105" i="22"/>
  <c r="G106" i="22"/>
  <c r="G107" i="22"/>
  <c r="G108" i="22"/>
  <c r="G109" i="22"/>
  <c r="G110" i="22"/>
  <c r="G111" i="22"/>
  <c r="G112" i="22"/>
  <c r="G113" i="22"/>
  <c r="G114" i="22"/>
  <c r="G115" i="22"/>
  <c r="H79" i="22"/>
  <c r="I79" i="22"/>
  <c r="J79" i="22"/>
  <c r="K79" i="22"/>
  <c r="L79" i="22"/>
  <c r="M79" i="22"/>
  <c r="N79" i="22"/>
  <c r="O79" i="22"/>
  <c r="Q79" i="22"/>
  <c r="R79" i="22"/>
  <c r="S79" i="22"/>
  <c r="T79" i="22"/>
  <c r="U79" i="22"/>
  <c r="V79" i="22"/>
  <c r="W79" i="22"/>
  <c r="X79" i="22"/>
  <c r="Z79" i="22"/>
  <c r="AA79" i="22"/>
  <c r="AB79" i="22"/>
  <c r="AC79" i="22"/>
  <c r="AD79" i="22"/>
  <c r="AE79" i="22"/>
  <c r="AF79" i="22"/>
  <c r="AG79" i="22"/>
  <c r="AH79" i="22"/>
  <c r="AI79" i="22"/>
  <c r="AJ79" i="22"/>
  <c r="AK79" i="22"/>
  <c r="AL79" i="22"/>
  <c r="AM79" i="22"/>
  <c r="AN79" i="22"/>
  <c r="AO79" i="22"/>
  <c r="AP79" i="22"/>
  <c r="AQ79" i="22"/>
  <c r="L18" i="22"/>
  <c r="L34" i="22"/>
  <c r="L25" i="22"/>
  <c r="L63" i="22"/>
  <c r="O15" i="22"/>
  <c r="V15" i="22"/>
  <c r="BH15" i="22"/>
  <c r="BK11" i="22"/>
  <c r="BK10" i="22" s="1"/>
  <c r="BK9" i="22" s="1"/>
  <c r="BK18" i="22"/>
  <c r="BK25" i="22"/>
  <c r="BH18" i="22"/>
  <c r="BH25" i="22"/>
  <c r="O34" i="22"/>
  <c r="O25" i="22" s="1"/>
  <c r="G17" i="22"/>
  <c r="G26" i="22"/>
  <c r="F22" i="22"/>
  <c r="E27" i="22"/>
  <c r="AW52" i="22"/>
  <c r="V52" i="22" s="1"/>
  <c r="AS48" i="22"/>
  <c r="V48" i="22" s="1"/>
  <c r="AQ46" i="22"/>
  <c r="V46" i="22"/>
  <c r="AP45" i="22"/>
  <c r="AP34" i="22" s="1"/>
  <c r="AP25" i="22" s="1"/>
  <c r="AE45" i="22"/>
  <c r="V45" i="22" s="1"/>
  <c r="AK40" i="22"/>
  <c r="AE40" i="22" s="1"/>
  <c r="V40" i="22" s="1"/>
  <c r="AI38" i="22"/>
  <c r="AE38" i="22" s="1"/>
  <c r="V38" i="22" s="1"/>
  <c r="BH35" i="22"/>
  <c r="AF35" i="22"/>
  <c r="AF34" i="22" s="1"/>
  <c r="AF25" i="22" s="1"/>
  <c r="AF7" i="22" s="1"/>
  <c r="W26" i="22"/>
  <c r="V26" i="22" s="1"/>
  <c r="AQ25" i="22"/>
  <c r="O16" i="22"/>
  <c r="K14" i="22"/>
  <c r="N10" i="22"/>
  <c r="AQ81" i="23"/>
  <c r="AQ82" i="23"/>
  <c r="AQ83" i="23"/>
  <c r="AQ85" i="23"/>
  <c r="AQ86" i="23"/>
  <c r="AQ87" i="23"/>
  <c r="AQ88" i="23"/>
  <c r="AQ90" i="23"/>
  <c r="AQ91" i="23"/>
  <c r="AQ92" i="23"/>
  <c r="AQ95" i="23"/>
  <c r="AQ96" i="23"/>
  <c r="AQ97" i="23"/>
  <c r="AQ99" i="23"/>
  <c r="AQ100" i="23"/>
  <c r="AQ101" i="23"/>
  <c r="AQ102" i="23"/>
  <c r="AQ103" i="23"/>
  <c r="AQ104" i="23"/>
  <c r="AQ105" i="23"/>
  <c r="AQ106" i="23"/>
  <c r="AQ107" i="23"/>
  <c r="AQ108" i="23"/>
  <c r="AQ109" i="23"/>
  <c r="AQ110" i="23"/>
  <c r="AQ111" i="23"/>
  <c r="AQ112" i="23"/>
  <c r="AQ113" i="23"/>
  <c r="AQ114" i="23"/>
  <c r="H116" i="23"/>
  <c r="I116" i="23"/>
  <c r="J116" i="23"/>
  <c r="K116" i="23"/>
  <c r="L116" i="23"/>
  <c r="N116" i="23"/>
  <c r="O116" i="23"/>
  <c r="Q116" i="23"/>
  <c r="R116" i="23"/>
  <c r="S116" i="23"/>
  <c r="U116" i="23"/>
  <c r="V116" i="23"/>
  <c r="W116" i="23"/>
  <c r="X116" i="23"/>
  <c r="Z116" i="23"/>
  <c r="AA116" i="23"/>
  <c r="AB116" i="23"/>
  <c r="AC116" i="23"/>
  <c r="AD116" i="23"/>
  <c r="AE116" i="23"/>
  <c r="AF116" i="23"/>
  <c r="AG116" i="23"/>
  <c r="AH116" i="23"/>
  <c r="AI116" i="23"/>
  <c r="AJ116" i="23"/>
  <c r="AL116" i="23"/>
  <c r="AM116" i="23"/>
  <c r="AN116" i="23"/>
  <c r="AO116" i="23"/>
  <c r="AP116" i="23"/>
  <c r="D115" i="23"/>
  <c r="AP81" i="23"/>
  <c r="AP82" i="23"/>
  <c r="AP83" i="23"/>
  <c r="AP84" i="23"/>
  <c r="AP85" i="23"/>
  <c r="AP86" i="23"/>
  <c r="AP87" i="23"/>
  <c r="AP88" i="23"/>
  <c r="AP90" i="23"/>
  <c r="AP91" i="23"/>
  <c r="AP92" i="23"/>
  <c r="AP94" i="23"/>
  <c r="AP95" i="23"/>
  <c r="AP96" i="23"/>
  <c r="AP97" i="23"/>
  <c r="AP98" i="23"/>
  <c r="AP99" i="23"/>
  <c r="AP100" i="23"/>
  <c r="AP101" i="23"/>
  <c r="AP102" i="23"/>
  <c r="AP103" i="23"/>
  <c r="AP104" i="23"/>
  <c r="AP105" i="23"/>
  <c r="AP106" i="23"/>
  <c r="AP107" i="23"/>
  <c r="AP108" i="23"/>
  <c r="AP109" i="23"/>
  <c r="AP110" i="23"/>
  <c r="AP111" i="23"/>
  <c r="AP112" i="23"/>
  <c r="AP113" i="23"/>
  <c r="AP114" i="23"/>
  <c r="F115" i="23"/>
  <c r="H115" i="23"/>
  <c r="I115" i="23"/>
  <c r="J115" i="23"/>
  <c r="K115" i="23"/>
  <c r="L115" i="23"/>
  <c r="M115" i="23"/>
  <c r="N115" i="23"/>
  <c r="O115" i="23"/>
  <c r="Q115" i="23"/>
  <c r="R115" i="23"/>
  <c r="S115" i="23"/>
  <c r="U115" i="23"/>
  <c r="V115" i="23"/>
  <c r="W115" i="23"/>
  <c r="X115" i="23"/>
  <c r="Z115" i="23"/>
  <c r="AA115" i="23"/>
  <c r="AB115" i="23"/>
  <c r="AC115" i="23"/>
  <c r="AD115" i="23"/>
  <c r="AE115" i="23"/>
  <c r="AF115" i="23"/>
  <c r="AG115" i="23"/>
  <c r="AH115" i="23"/>
  <c r="AI115" i="23"/>
  <c r="AJ115" i="23"/>
  <c r="AK115" i="23"/>
  <c r="AL115" i="23"/>
  <c r="AM115" i="23"/>
  <c r="AN115" i="23"/>
  <c r="AO115" i="23"/>
  <c r="D114" i="23"/>
  <c r="AO79" i="23"/>
  <c r="AO81" i="23"/>
  <c r="AO82" i="23"/>
  <c r="AO83" i="23"/>
  <c r="AO84" i="23"/>
  <c r="AO85" i="23"/>
  <c r="AO86" i="23"/>
  <c r="AO87" i="23"/>
  <c r="AO88" i="23"/>
  <c r="AO90" i="23"/>
  <c r="AO91" i="23"/>
  <c r="AO92" i="23"/>
  <c r="AO94" i="23"/>
  <c r="AO95" i="23"/>
  <c r="AO96" i="23"/>
  <c r="AO97" i="23"/>
  <c r="AO99" i="23"/>
  <c r="AO100" i="23"/>
  <c r="AO101" i="23"/>
  <c r="AO102" i="23"/>
  <c r="AO103" i="23"/>
  <c r="AO104" i="23"/>
  <c r="AO105" i="23"/>
  <c r="AO106" i="23"/>
  <c r="AO107" i="23"/>
  <c r="AO108" i="23"/>
  <c r="AO109" i="23"/>
  <c r="AO110" i="23"/>
  <c r="AO111" i="23"/>
  <c r="AO112" i="23"/>
  <c r="AO113" i="23"/>
  <c r="F114" i="23"/>
  <c r="H114" i="23"/>
  <c r="I114" i="23"/>
  <c r="J114" i="23"/>
  <c r="K114" i="23"/>
  <c r="L114" i="23"/>
  <c r="M114" i="23"/>
  <c r="N114" i="23"/>
  <c r="O114" i="23"/>
  <c r="Q114" i="23"/>
  <c r="R114" i="23"/>
  <c r="S114" i="23"/>
  <c r="U114" i="23"/>
  <c r="V114" i="23"/>
  <c r="W114" i="23"/>
  <c r="X114" i="23"/>
  <c r="Y114" i="23"/>
  <c r="Z114" i="23"/>
  <c r="AA114" i="23"/>
  <c r="AB114" i="23"/>
  <c r="AC114" i="23"/>
  <c r="AD114" i="23"/>
  <c r="AE114" i="23"/>
  <c r="AF114" i="23"/>
  <c r="AG114" i="23"/>
  <c r="AH114" i="23"/>
  <c r="AI114" i="23"/>
  <c r="AJ114" i="23"/>
  <c r="AK114" i="23"/>
  <c r="AL114" i="23"/>
  <c r="AM114" i="23"/>
  <c r="AN114" i="23"/>
  <c r="D113" i="23"/>
  <c r="AN79" i="23"/>
  <c r="AN81" i="23"/>
  <c r="AN82" i="23"/>
  <c r="AN83" i="23"/>
  <c r="AN84" i="23"/>
  <c r="AN85" i="23"/>
  <c r="AN86" i="23"/>
  <c r="AN87" i="23"/>
  <c r="AN88" i="23"/>
  <c r="AN90" i="23"/>
  <c r="AN91" i="23"/>
  <c r="AN92" i="23"/>
  <c r="AN94" i="23"/>
  <c r="AN95" i="23"/>
  <c r="AN96" i="23"/>
  <c r="AN97" i="23"/>
  <c r="AN98" i="23"/>
  <c r="AN99" i="23"/>
  <c r="AN100" i="23"/>
  <c r="AN101" i="23"/>
  <c r="AN102" i="23"/>
  <c r="AN103" i="23"/>
  <c r="AN104" i="23"/>
  <c r="AN105" i="23"/>
  <c r="AN106" i="23"/>
  <c r="AN107" i="23"/>
  <c r="AN108" i="23"/>
  <c r="AN109" i="23"/>
  <c r="AN110" i="23"/>
  <c r="AN111" i="23"/>
  <c r="AN112" i="23"/>
  <c r="F113" i="23"/>
  <c r="H113" i="23"/>
  <c r="I113" i="23"/>
  <c r="J113" i="23"/>
  <c r="K113" i="23"/>
  <c r="L113" i="23"/>
  <c r="M113" i="23"/>
  <c r="N113" i="23"/>
  <c r="O113" i="23"/>
  <c r="Q113" i="23"/>
  <c r="R113" i="23"/>
  <c r="S113" i="23"/>
  <c r="U113" i="23"/>
  <c r="V113" i="23"/>
  <c r="W113" i="23"/>
  <c r="X113" i="23"/>
  <c r="Z113" i="23"/>
  <c r="AA113" i="23"/>
  <c r="AB113" i="23"/>
  <c r="AC113" i="23"/>
  <c r="AD113" i="23"/>
  <c r="AE113" i="23"/>
  <c r="AF113" i="23"/>
  <c r="AG113" i="23"/>
  <c r="AH113" i="23"/>
  <c r="AI113" i="23"/>
  <c r="AJ113" i="23"/>
  <c r="AK113" i="23"/>
  <c r="AL113" i="23"/>
  <c r="AM113" i="23"/>
  <c r="D112" i="23"/>
  <c r="AM79" i="23"/>
  <c r="AM81" i="23"/>
  <c r="AM82" i="23"/>
  <c r="AM83" i="23"/>
  <c r="AM84" i="23"/>
  <c r="AM85" i="23"/>
  <c r="AM86" i="23"/>
  <c r="AM87" i="23"/>
  <c r="AM88" i="23"/>
  <c r="AM90" i="23"/>
  <c r="AM91" i="23"/>
  <c r="AM92" i="23"/>
  <c r="AM94" i="23"/>
  <c r="AM95" i="23"/>
  <c r="AM96" i="23"/>
  <c r="AM97" i="23"/>
  <c r="AM99" i="23"/>
  <c r="AM100" i="23"/>
  <c r="AM101" i="23"/>
  <c r="AM102" i="23"/>
  <c r="AM103" i="23"/>
  <c r="AM104" i="23"/>
  <c r="AM105" i="23"/>
  <c r="AM106" i="23"/>
  <c r="AM107" i="23"/>
  <c r="AM108" i="23"/>
  <c r="AM109" i="23"/>
  <c r="AM110" i="23"/>
  <c r="AM111" i="23"/>
  <c r="F112" i="23"/>
  <c r="E112" i="23" s="1"/>
  <c r="H112" i="23"/>
  <c r="I112" i="23"/>
  <c r="J112" i="23"/>
  <c r="K112" i="23"/>
  <c r="L112" i="23"/>
  <c r="M112" i="23"/>
  <c r="N112" i="23"/>
  <c r="O112" i="23"/>
  <c r="Q112" i="23"/>
  <c r="R112" i="23"/>
  <c r="S112" i="23"/>
  <c r="U112" i="23"/>
  <c r="V112" i="23"/>
  <c r="W112" i="23"/>
  <c r="X112" i="23"/>
  <c r="Y112" i="23"/>
  <c r="Z112" i="23"/>
  <c r="AA112" i="23"/>
  <c r="AB112" i="23"/>
  <c r="AC112" i="23"/>
  <c r="AD112" i="23"/>
  <c r="AE112" i="23"/>
  <c r="AF112" i="23"/>
  <c r="AG112" i="23"/>
  <c r="AH112" i="23"/>
  <c r="AI112" i="23"/>
  <c r="AJ112" i="23"/>
  <c r="AK112" i="23"/>
  <c r="AL112" i="23"/>
  <c r="D111" i="23"/>
  <c r="AL79" i="23"/>
  <c r="AL81" i="23"/>
  <c r="AL82" i="23"/>
  <c r="AL83" i="23"/>
  <c r="AL84" i="23"/>
  <c r="AL85" i="23"/>
  <c r="AL86" i="23"/>
  <c r="AL87" i="23"/>
  <c r="AL88" i="23"/>
  <c r="AL90" i="23"/>
  <c r="AL91" i="23"/>
  <c r="AL92" i="23"/>
  <c r="AL94" i="23"/>
  <c r="AL95" i="23"/>
  <c r="AL96" i="23"/>
  <c r="AL97" i="23"/>
  <c r="AL98" i="23"/>
  <c r="AL99" i="23"/>
  <c r="AL100" i="23"/>
  <c r="AL101" i="23"/>
  <c r="AL102" i="23"/>
  <c r="AL103" i="23"/>
  <c r="AL104" i="23"/>
  <c r="AL105" i="23"/>
  <c r="AL106" i="23"/>
  <c r="AL107" i="23"/>
  <c r="AL108" i="23"/>
  <c r="AL109" i="23"/>
  <c r="AL110" i="23"/>
  <c r="F111" i="23"/>
  <c r="H111" i="23"/>
  <c r="I111" i="23"/>
  <c r="J111" i="23"/>
  <c r="K111" i="23"/>
  <c r="L111" i="23"/>
  <c r="M111" i="23"/>
  <c r="N111" i="23"/>
  <c r="O111" i="23"/>
  <c r="Q111" i="23"/>
  <c r="R111" i="23"/>
  <c r="S111" i="23"/>
  <c r="U111" i="23"/>
  <c r="V111" i="23"/>
  <c r="W111" i="23"/>
  <c r="X111" i="23"/>
  <c r="Y111" i="23"/>
  <c r="Z111" i="23"/>
  <c r="AA111" i="23"/>
  <c r="AB111" i="23"/>
  <c r="AC111" i="23"/>
  <c r="AD111" i="23"/>
  <c r="AE111" i="23"/>
  <c r="AF111" i="23"/>
  <c r="AG111" i="23"/>
  <c r="AH111" i="23"/>
  <c r="AI111" i="23"/>
  <c r="AJ111" i="23"/>
  <c r="AK111" i="23"/>
  <c r="D110" i="23"/>
  <c r="AK79" i="23"/>
  <c r="AK81" i="23"/>
  <c r="AK82" i="23"/>
  <c r="AK83" i="23"/>
  <c r="AK84" i="23"/>
  <c r="AK85" i="23"/>
  <c r="AK86" i="23"/>
  <c r="AK87" i="23"/>
  <c r="AK88" i="23"/>
  <c r="AK90" i="23"/>
  <c r="AK91" i="23"/>
  <c r="AK92" i="23"/>
  <c r="AK94" i="23"/>
  <c r="AK95" i="23"/>
  <c r="AK96" i="23"/>
  <c r="AK97" i="23"/>
  <c r="AK98" i="23"/>
  <c r="AK99" i="23"/>
  <c r="AK100" i="23"/>
  <c r="AK101" i="23"/>
  <c r="AK102" i="23"/>
  <c r="AK103" i="23"/>
  <c r="AK104" i="23"/>
  <c r="AK105" i="23"/>
  <c r="AK106" i="23"/>
  <c r="AK107" i="23"/>
  <c r="AK108" i="23"/>
  <c r="AK109" i="23"/>
  <c r="AK116" i="23"/>
  <c r="F110" i="23"/>
  <c r="H110" i="23"/>
  <c r="I110" i="23"/>
  <c r="J110" i="23"/>
  <c r="K110" i="23"/>
  <c r="L110" i="23"/>
  <c r="M110" i="23"/>
  <c r="N110" i="23"/>
  <c r="O110" i="23"/>
  <c r="Q110" i="23"/>
  <c r="R110" i="23"/>
  <c r="S110" i="23"/>
  <c r="U110" i="23"/>
  <c r="V110" i="23"/>
  <c r="W110" i="23"/>
  <c r="X110" i="23"/>
  <c r="Y110" i="23"/>
  <c r="Z110" i="23"/>
  <c r="AA110" i="23"/>
  <c r="AB110" i="23"/>
  <c r="AC110" i="23"/>
  <c r="AD110" i="23"/>
  <c r="AE110" i="23"/>
  <c r="AF110" i="23"/>
  <c r="AG110" i="23"/>
  <c r="AH110" i="23"/>
  <c r="AI110" i="23"/>
  <c r="AJ110" i="23"/>
  <c r="D109" i="23"/>
  <c r="AJ79" i="23"/>
  <c r="AJ81" i="23"/>
  <c r="AJ82" i="23"/>
  <c r="AJ83" i="23"/>
  <c r="AJ84" i="23"/>
  <c r="AJ85" i="23"/>
  <c r="AJ86" i="23"/>
  <c r="AJ87" i="23"/>
  <c r="AJ88" i="23"/>
  <c r="AJ90" i="23"/>
  <c r="AJ91" i="23"/>
  <c r="AJ92" i="23"/>
  <c r="AJ94" i="23"/>
  <c r="AJ95" i="23"/>
  <c r="AJ96" i="23"/>
  <c r="AJ97" i="23"/>
  <c r="AJ98" i="23"/>
  <c r="AJ99" i="23"/>
  <c r="AJ100" i="23"/>
  <c r="AJ101" i="23"/>
  <c r="AJ102" i="23"/>
  <c r="AJ103" i="23"/>
  <c r="AJ104" i="23"/>
  <c r="AJ105" i="23"/>
  <c r="AJ106" i="23"/>
  <c r="AJ107" i="23"/>
  <c r="AJ108" i="23"/>
  <c r="F109" i="23"/>
  <c r="H109" i="23"/>
  <c r="I109" i="23"/>
  <c r="J109" i="23"/>
  <c r="K109" i="23"/>
  <c r="L109" i="23"/>
  <c r="M109" i="23"/>
  <c r="N109" i="23"/>
  <c r="O109" i="23"/>
  <c r="Q109" i="23"/>
  <c r="R109" i="23"/>
  <c r="S109" i="23"/>
  <c r="U109" i="23"/>
  <c r="V109" i="23"/>
  <c r="W109" i="23"/>
  <c r="X109" i="23"/>
  <c r="Y109" i="23"/>
  <c r="Z109" i="23"/>
  <c r="AA109" i="23"/>
  <c r="AB109" i="23"/>
  <c r="AC109" i="23"/>
  <c r="AD109" i="23"/>
  <c r="AE109" i="23"/>
  <c r="AF109" i="23"/>
  <c r="AG109" i="23"/>
  <c r="AH109" i="23"/>
  <c r="AI109" i="23"/>
  <c r="D108" i="23"/>
  <c r="AI81" i="23"/>
  <c r="AI82" i="23"/>
  <c r="AI83" i="23"/>
  <c r="AI84" i="23"/>
  <c r="AI85" i="23"/>
  <c r="AI86" i="23"/>
  <c r="AI87" i="23"/>
  <c r="AI88" i="23"/>
  <c r="AI90" i="23"/>
  <c r="AI91" i="23"/>
  <c r="AI92" i="23"/>
  <c r="AI94" i="23"/>
  <c r="AI95" i="23"/>
  <c r="AI96" i="23"/>
  <c r="AI97" i="23"/>
  <c r="AI98" i="23"/>
  <c r="AI99" i="23"/>
  <c r="AI100" i="23"/>
  <c r="AI101" i="23"/>
  <c r="AI102" i="23"/>
  <c r="AI103" i="23"/>
  <c r="AI104" i="23"/>
  <c r="AI105" i="23"/>
  <c r="AI106" i="23"/>
  <c r="AI107" i="23"/>
  <c r="F108" i="23"/>
  <c r="H108" i="23"/>
  <c r="I108" i="23"/>
  <c r="J108" i="23"/>
  <c r="K108" i="23"/>
  <c r="L108" i="23"/>
  <c r="M108" i="23"/>
  <c r="N108" i="23"/>
  <c r="O108" i="23"/>
  <c r="Q108" i="23"/>
  <c r="R108" i="23"/>
  <c r="S108" i="23"/>
  <c r="U108" i="23"/>
  <c r="V108" i="23"/>
  <c r="W108" i="23"/>
  <c r="X108" i="23"/>
  <c r="Y108" i="23"/>
  <c r="Z108" i="23"/>
  <c r="AA108" i="23"/>
  <c r="AB108" i="23"/>
  <c r="AC108" i="23"/>
  <c r="AD108" i="23"/>
  <c r="AE108" i="23"/>
  <c r="AF108" i="23"/>
  <c r="AG108" i="23"/>
  <c r="AH108" i="23"/>
  <c r="D107" i="23"/>
  <c r="AH79" i="23"/>
  <c r="AH81" i="23"/>
  <c r="AH82" i="23"/>
  <c r="AH83" i="23"/>
  <c r="AH84" i="23"/>
  <c r="AH85" i="23"/>
  <c r="AH86" i="23"/>
  <c r="AH87" i="23"/>
  <c r="AH88" i="23"/>
  <c r="AH90" i="23"/>
  <c r="AH91" i="23"/>
  <c r="AH92" i="23"/>
  <c r="AH94" i="23"/>
  <c r="AH95" i="23"/>
  <c r="AH96" i="23"/>
  <c r="AH97" i="23"/>
  <c r="AH98" i="23"/>
  <c r="AH99" i="23"/>
  <c r="AH100" i="23"/>
  <c r="AH101" i="23"/>
  <c r="AH102" i="23"/>
  <c r="AH103" i="23"/>
  <c r="AH104" i="23"/>
  <c r="AH105" i="23"/>
  <c r="AH106" i="23"/>
  <c r="F107" i="23"/>
  <c r="H107" i="23"/>
  <c r="I107" i="23"/>
  <c r="J107" i="23"/>
  <c r="K107" i="23"/>
  <c r="L107" i="23"/>
  <c r="M107" i="23"/>
  <c r="N107" i="23"/>
  <c r="O107" i="23"/>
  <c r="Q107" i="23"/>
  <c r="R107" i="23"/>
  <c r="S107" i="23"/>
  <c r="U107" i="23"/>
  <c r="V107" i="23"/>
  <c r="W107" i="23"/>
  <c r="X107" i="23"/>
  <c r="Y107" i="23"/>
  <c r="Z107" i="23"/>
  <c r="AA107" i="23"/>
  <c r="AB107" i="23"/>
  <c r="AC107" i="23"/>
  <c r="AD107" i="23"/>
  <c r="AE107" i="23"/>
  <c r="AF107" i="23"/>
  <c r="AG107" i="23"/>
  <c r="D106" i="23"/>
  <c r="AG79" i="23"/>
  <c r="AG81" i="23"/>
  <c r="AG82" i="23"/>
  <c r="AG83" i="23"/>
  <c r="AG84" i="23"/>
  <c r="AG85" i="23"/>
  <c r="AG86" i="23"/>
  <c r="AG87" i="23"/>
  <c r="AG88" i="23"/>
  <c r="AG90" i="23"/>
  <c r="AG91" i="23"/>
  <c r="AG92" i="23"/>
  <c r="AG94" i="23"/>
  <c r="AG95" i="23"/>
  <c r="AG96" i="23"/>
  <c r="AG97" i="23"/>
  <c r="AG98" i="23"/>
  <c r="AG99" i="23"/>
  <c r="AG100" i="23"/>
  <c r="AG101" i="23"/>
  <c r="AG102" i="23"/>
  <c r="AG103" i="23"/>
  <c r="AG104" i="23"/>
  <c r="AG105" i="23"/>
  <c r="F106" i="23"/>
  <c r="H106" i="23"/>
  <c r="I106" i="23"/>
  <c r="J106" i="23"/>
  <c r="K106" i="23"/>
  <c r="L106" i="23"/>
  <c r="M106" i="23"/>
  <c r="N106" i="23"/>
  <c r="O106" i="23"/>
  <c r="Q106" i="23"/>
  <c r="R106" i="23"/>
  <c r="S106" i="23"/>
  <c r="U106" i="23"/>
  <c r="V106" i="23"/>
  <c r="W106" i="23"/>
  <c r="X106" i="23"/>
  <c r="Y106" i="23"/>
  <c r="Z106" i="23"/>
  <c r="AA106" i="23"/>
  <c r="AB106" i="23"/>
  <c r="AC106" i="23"/>
  <c r="AD106" i="23"/>
  <c r="AE106" i="23"/>
  <c r="AF106" i="23"/>
  <c r="D105" i="23"/>
  <c r="AF79" i="23"/>
  <c r="AF81" i="23"/>
  <c r="AF82" i="23"/>
  <c r="AF83" i="23"/>
  <c r="AF84" i="23"/>
  <c r="AF85" i="23"/>
  <c r="AF86" i="23"/>
  <c r="AF87" i="23"/>
  <c r="AF88" i="23"/>
  <c r="AF90" i="23"/>
  <c r="AF91" i="23"/>
  <c r="AF92" i="23"/>
  <c r="AF94" i="23"/>
  <c r="AF95" i="23"/>
  <c r="AF96" i="23"/>
  <c r="AF97" i="23"/>
  <c r="AF98" i="23"/>
  <c r="AF99" i="23"/>
  <c r="AF100" i="23"/>
  <c r="AF101" i="23"/>
  <c r="AF102" i="23"/>
  <c r="AF103" i="23"/>
  <c r="AF104" i="23"/>
  <c r="F105" i="23"/>
  <c r="H105" i="23"/>
  <c r="I105" i="23"/>
  <c r="J105" i="23"/>
  <c r="K105" i="23"/>
  <c r="L105" i="23"/>
  <c r="M105" i="23"/>
  <c r="N105" i="23"/>
  <c r="O105" i="23"/>
  <c r="Q105" i="23"/>
  <c r="R105" i="23"/>
  <c r="S105" i="23"/>
  <c r="U105" i="23"/>
  <c r="V105" i="23"/>
  <c r="W105" i="23"/>
  <c r="X105" i="23"/>
  <c r="Y105" i="23"/>
  <c r="Z105" i="23"/>
  <c r="AA105" i="23"/>
  <c r="AB105" i="23"/>
  <c r="AC105" i="23"/>
  <c r="AD105" i="23"/>
  <c r="AE105" i="23"/>
  <c r="D104" i="23"/>
  <c r="AE81" i="23"/>
  <c r="AE82" i="23"/>
  <c r="AE83" i="23"/>
  <c r="AE84" i="23"/>
  <c r="AE85" i="23"/>
  <c r="AE86" i="23"/>
  <c r="AE87" i="23"/>
  <c r="AE88" i="23"/>
  <c r="AE90" i="23"/>
  <c r="AE91" i="23"/>
  <c r="AE92" i="23"/>
  <c r="AE94" i="23"/>
  <c r="AE95" i="23"/>
  <c r="AE96" i="23"/>
  <c r="AE97" i="23"/>
  <c r="AE98" i="23"/>
  <c r="AE99" i="23"/>
  <c r="AE100" i="23"/>
  <c r="AE101" i="23"/>
  <c r="AE102" i="23"/>
  <c r="AE103" i="23"/>
  <c r="F104" i="23"/>
  <c r="H104" i="23"/>
  <c r="E104" i="23" s="1"/>
  <c r="I104" i="23"/>
  <c r="J104" i="23"/>
  <c r="K104" i="23"/>
  <c r="L104" i="23"/>
  <c r="M104" i="23"/>
  <c r="N104" i="23"/>
  <c r="O104" i="23"/>
  <c r="Q104" i="23"/>
  <c r="R104" i="23"/>
  <c r="S104" i="23"/>
  <c r="U104" i="23"/>
  <c r="V104" i="23"/>
  <c r="W104" i="23"/>
  <c r="X104" i="23"/>
  <c r="Y104" i="23"/>
  <c r="Z104" i="23"/>
  <c r="AA104" i="23"/>
  <c r="AB104" i="23"/>
  <c r="AC104" i="23"/>
  <c r="AD104" i="23"/>
  <c r="AD79" i="23"/>
  <c r="AD81" i="23"/>
  <c r="AD82" i="23"/>
  <c r="AD83" i="23"/>
  <c r="AD84" i="23"/>
  <c r="AD85" i="23"/>
  <c r="AD86" i="23"/>
  <c r="AD87" i="23"/>
  <c r="AD88" i="23"/>
  <c r="AD90" i="23"/>
  <c r="AD91" i="23"/>
  <c r="AD92" i="23"/>
  <c r="AD94" i="23"/>
  <c r="AD95" i="23"/>
  <c r="AD96" i="23"/>
  <c r="AD97" i="23"/>
  <c r="AD98" i="23"/>
  <c r="AD99" i="23"/>
  <c r="AD100" i="23"/>
  <c r="AD101" i="23"/>
  <c r="AD102" i="23"/>
  <c r="F103" i="23"/>
  <c r="H103" i="23"/>
  <c r="I103" i="23"/>
  <c r="J103" i="23"/>
  <c r="K103" i="23"/>
  <c r="L103" i="23"/>
  <c r="M103" i="23"/>
  <c r="N103" i="23"/>
  <c r="O103" i="23"/>
  <c r="Q103" i="23"/>
  <c r="R103" i="23"/>
  <c r="S103" i="23"/>
  <c r="U103" i="23"/>
  <c r="V103" i="23"/>
  <c r="W103" i="23"/>
  <c r="X103" i="23"/>
  <c r="Y103" i="23"/>
  <c r="Z103" i="23"/>
  <c r="AA103" i="23"/>
  <c r="AB103" i="23"/>
  <c r="AC103" i="23"/>
  <c r="D102" i="23"/>
  <c r="AC79" i="23"/>
  <c r="AC81" i="23"/>
  <c r="AC82" i="23"/>
  <c r="AC83" i="23"/>
  <c r="AC84" i="23"/>
  <c r="AC85" i="23"/>
  <c r="AC86" i="23"/>
  <c r="AC87" i="23"/>
  <c r="AC88" i="23"/>
  <c r="AC90" i="23"/>
  <c r="AC91" i="23"/>
  <c r="AC92" i="23"/>
  <c r="AC94" i="23"/>
  <c r="AC95" i="23"/>
  <c r="AC96" i="23"/>
  <c r="AC97" i="23"/>
  <c r="AC99" i="23"/>
  <c r="AC100" i="23"/>
  <c r="AC101" i="23"/>
  <c r="H102" i="23"/>
  <c r="I102" i="23"/>
  <c r="J102" i="23"/>
  <c r="K102" i="23"/>
  <c r="L102" i="23"/>
  <c r="M102" i="23"/>
  <c r="N102" i="23"/>
  <c r="O102" i="23"/>
  <c r="Q102" i="23"/>
  <c r="R102" i="23"/>
  <c r="S102" i="23"/>
  <c r="U102" i="23"/>
  <c r="V102" i="23"/>
  <c r="W102" i="23"/>
  <c r="X102" i="23"/>
  <c r="Z102" i="23"/>
  <c r="AA102" i="23"/>
  <c r="AB102" i="23"/>
  <c r="D101" i="23"/>
  <c r="AB79" i="23"/>
  <c r="AB81" i="23"/>
  <c r="AB78" i="23" s="1"/>
  <c r="AB82" i="23"/>
  <c r="AB83" i="23"/>
  <c r="AB84" i="23"/>
  <c r="AB85" i="23"/>
  <c r="AB86" i="23"/>
  <c r="AB87" i="23"/>
  <c r="AB88" i="23"/>
  <c r="AB90" i="23"/>
  <c r="AB91" i="23"/>
  <c r="AB92" i="23"/>
  <c r="AB94" i="23"/>
  <c r="AB95" i="23"/>
  <c r="AB96" i="23"/>
  <c r="AB97" i="23"/>
  <c r="AB98" i="23"/>
  <c r="AB99" i="23"/>
  <c r="AB100" i="23"/>
  <c r="F101" i="23"/>
  <c r="H101" i="23"/>
  <c r="I101" i="23"/>
  <c r="J101" i="23"/>
  <c r="K101" i="23"/>
  <c r="L101" i="23"/>
  <c r="M101" i="23"/>
  <c r="N101" i="23"/>
  <c r="O101" i="23"/>
  <c r="Q101" i="23"/>
  <c r="R101" i="23"/>
  <c r="S101" i="23"/>
  <c r="U101" i="23"/>
  <c r="V101" i="23"/>
  <c r="W101" i="23"/>
  <c r="X101" i="23"/>
  <c r="Z101" i="23"/>
  <c r="AA101" i="23"/>
  <c r="D100" i="23"/>
  <c r="AA79" i="23"/>
  <c r="AA81" i="23"/>
  <c r="AA82" i="23"/>
  <c r="AA83" i="23"/>
  <c r="AA84" i="23"/>
  <c r="AA85" i="23"/>
  <c r="AA86" i="23"/>
  <c r="AA87" i="23"/>
  <c r="AA88" i="23"/>
  <c r="AA90" i="23"/>
  <c r="AA91" i="23"/>
  <c r="AA92" i="23"/>
  <c r="AA94" i="23"/>
  <c r="AA95" i="23"/>
  <c r="AA96" i="23"/>
  <c r="AA97" i="23"/>
  <c r="AA98" i="23"/>
  <c r="AA99" i="23"/>
  <c r="F100" i="23"/>
  <c r="H100" i="23"/>
  <c r="I100" i="23"/>
  <c r="J100" i="23"/>
  <c r="K100" i="23"/>
  <c r="L100" i="23"/>
  <c r="M100" i="23"/>
  <c r="N100" i="23"/>
  <c r="O100" i="23"/>
  <c r="Q100" i="23"/>
  <c r="R100" i="23"/>
  <c r="S100" i="23"/>
  <c r="U100" i="23"/>
  <c r="V100" i="23"/>
  <c r="W100" i="23"/>
  <c r="X100" i="23"/>
  <c r="Z100" i="23"/>
  <c r="D99" i="23"/>
  <c r="Z81" i="23"/>
  <c r="Z82" i="23"/>
  <c r="Z83" i="23"/>
  <c r="Z84" i="23"/>
  <c r="Z85" i="23"/>
  <c r="Z86" i="23"/>
  <c r="Z87" i="23"/>
  <c r="Z88" i="23"/>
  <c r="Z90" i="23"/>
  <c r="Z91" i="23"/>
  <c r="Z92" i="23"/>
  <c r="Z94" i="23"/>
  <c r="Z95" i="23"/>
  <c r="Z96" i="23"/>
  <c r="Z97" i="23"/>
  <c r="Z98" i="23"/>
  <c r="F99" i="23"/>
  <c r="H99" i="23"/>
  <c r="I99" i="23"/>
  <c r="J99" i="23"/>
  <c r="K99" i="23"/>
  <c r="L99" i="23"/>
  <c r="M99" i="23"/>
  <c r="N99" i="23"/>
  <c r="O99" i="23"/>
  <c r="Q99" i="23"/>
  <c r="R99" i="23"/>
  <c r="S99" i="23"/>
  <c r="U99" i="23"/>
  <c r="V99" i="23"/>
  <c r="W99" i="23"/>
  <c r="X99" i="23"/>
  <c r="Y99" i="23"/>
  <c r="Y82" i="23"/>
  <c r="Y83" i="23"/>
  <c r="Y84" i="23"/>
  <c r="Y86" i="23"/>
  <c r="Y88" i="23"/>
  <c r="Y90" i="23"/>
  <c r="Y91" i="23"/>
  <c r="Y95" i="23"/>
  <c r="Y96" i="23"/>
  <c r="F98" i="23"/>
  <c r="H98" i="23"/>
  <c r="I98" i="23"/>
  <c r="J98" i="23"/>
  <c r="K98" i="23"/>
  <c r="L98" i="23"/>
  <c r="M98" i="23"/>
  <c r="N98" i="23"/>
  <c r="O98" i="23"/>
  <c r="Q98" i="23"/>
  <c r="R98" i="23"/>
  <c r="S98" i="23"/>
  <c r="U98" i="23"/>
  <c r="V98" i="23"/>
  <c r="W98" i="23"/>
  <c r="X98" i="23"/>
  <c r="D97" i="23"/>
  <c r="X79" i="23"/>
  <c r="X81" i="23"/>
  <c r="X82" i="23"/>
  <c r="X83" i="23"/>
  <c r="X84" i="23"/>
  <c r="X85" i="23"/>
  <c r="X86" i="23"/>
  <c r="X87" i="23"/>
  <c r="X88" i="23"/>
  <c r="X90" i="23"/>
  <c r="X91" i="23"/>
  <c r="X92" i="23"/>
  <c r="X94" i="23"/>
  <c r="X95" i="23"/>
  <c r="X96" i="23"/>
  <c r="F97" i="23"/>
  <c r="H97" i="23"/>
  <c r="I97" i="23"/>
  <c r="J97" i="23"/>
  <c r="K97" i="23"/>
  <c r="L97" i="23"/>
  <c r="M97" i="23"/>
  <c r="N97" i="23"/>
  <c r="O97" i="23"/>
  <c r="Q97" i="23"/>
  <c r="R97" i="23"/>
  <c r="S97" i="23"/>
  <c r="U97" i="23"/>
  <c r="V97" i="23"/>
  <c r="W97" i="23"/>
  <c r="D96" i="23"/>
  <c r="W81" i="23"/>
  <c r="W82" i="23"/>
  <c r="W83" i="23"/>
  <c r="W84" i="23"/>
  <c r="W85" i="23"/>
  <c r="W86" i="23"/>
  <c r="W87" i="23"/>
  <c r="W88" i="23"/>
  <c r="W90" i="23"/>
  <c r="W91" i="23"/>
  <c r="W92" i="23"/>
  <c r="W94" i="23"/>
  <c r="W95" i="23"/>
  <c r="F96" i="23"/>
  <c r="H96" i="23"/>
  <c r="I96" i="23"/>
  <c r="J96" i="23"/>
  <c r="K96" i="23"/>
  <c r="L96" i="23"/>
  <c r="M96" i="23"/>
  <c r="N96" i="23"/>
  <c r="O96" i="23"/>
  <c r="Q96" i="23"/>
  <c r="R96" i="23"/>
  <c r="S96" i="23"/>
  <c r="U96" i="23"/>
  <c r="V96" i="23"/>
  <c r="D95" i="23"/>
  <c r="V79" i="23"/>
  <c r="V81" i="23"/>
  <c r="V82" i="23"/>
  <c r="V83" i="23"/>
  <c r="V84" i="23"/>
  <c r="V85" i="23"/>
  <c r="V86" i="23"/>
  <c r="V87" i="23"/>
  <c r="V88" i="23"/>
  <c r="V90" i="23"/>
  <c r="V91" i="23"/>
  <c r="V92" i="23"/>
  <c r="V94" i="23"/>
  <c r="F95" i="23"/>
  <c r="H95" i="23"/>
  <c r="I95" i="23"/>
  <c r="J95" i="23"/>
  <c r="K95" i="23"/>
  <c r="L95" i="23"/>
  <c r="M95" i="23"/>
  <c r="N95" i="23"/>
  <c r="O95" i="23"/>
  <c r="Q95" i="23"/>
  <c r="R95" i="23"/>
  <c r="S95" i="23"/>
  <c r="U95" i="23"/>
  <c r="D94" i="23"/>
  <c r="U79" i="23"/>
  <c r="U81" i="23"/>
  <c r="U82" i="23"/>
  <c r="U83" i="23"/>
  <c r="U84" i="23"/>
  <c r="U85" i="23"/>
  <c r="U86" i="23"/>
  <c r="U87" i="23"/>
  <c r="U88" i="23"/>
  <c r="U90" i="23"/>
  <c r="U91" i="23"/>
  <c r="U92" i="23"/>
  <c r="F94" i="23"/>
  <c r="H94" i="23"/>
  <c r="I94" i="23"/>
  <c r="J94" i="23"/>
  <c r="K94" i="23"/>
  <c r="L94" i="23"/>
  <c r="M94" i="23"/>
  <c r="N94" i="23"/>
  <c r="O94" i="23"/>
  <c r="Q94" i="23"/>
  <c r="R94" i="23"/>
  <c r="S94" i="23"/>
  <c r="D92" i="23"/>
  <c r="S79" i="23"/>
  <c r="S81" i="23"/>
  <c r="S82" i="23"/>
  <c r="S83" i="23"/>
  <c r="S84" i="23"/>
  <c r="S85" i="23"/>
  <c r="S86" i="23"/>
  <c r="S87" i="23"/>
  <c r="S88" i="23"/>
  <c r="S90" i="23"/>
  <c r="S91" i="23"/>
  <c r="F92" i="23"/>
  <c r="H92" i="23"/>
  <c r="I92" i="23"/>
  <c r="J92" i="23"/>
  <c r="K92" i="23"/>
  <c r="L92" i="23"/>
  <c r="M92" i="23"/>
  <c r="N92" i="23"/>
  <c r="O92" i="23"/>
  <c r="Q92" i="23"/>
  <c r="R92" i="23"/>
  <c r="D91" i="23"/>
  <c r="R79" i="23"/>
  <c r="R81" i="23"/>
  <c r="R82" i="23"/>
  <c r="R83" i="23"/>
  <c r="R84" i="23"/>
  <c r="R85" i="23"/>
  <c r="R86" i="23"/>
  <c r="R87" i="23"/>
  <c r="R88" i="23"/>
  <c r="R90" i="23"/>
  <c r="F91" i="23"/>
  <c r="H91" i="23"/>
  <c r="I91" i="23"/>
  <c r="J91" i="23"/>
  <c r="K91" i="23"/>
  <c r="L91" i="23"/>
  <c r="M91" i="23"/>
  <c r="N91" i="23"/>
  <c r="O91" i="23"/>
  <c r="Q91" i="23"/>
  <c r="D90" i="23"/>
  <c r="Q81" i="23"/>
  <c r="Q82" i="23"/>
  <c r="Q83" i="23"/>
  <c r="Q84" i="23"/>
  <c r="Q85" i="23"/>
  <c r="Q86" i="23"/>
  <c r="Q87" i="23"/>
  <c r="Q88" i="23"/>
  <c r="F90" i="23"/>
  <c r="H90" i="23"/>
  <c r="I90" i="23"/>
  <c r="J90" i="23"/>
  <c r="K90" i="23"/>
  <c r="L90" i="23"/>
  <c r="M90" i="23"/>
  <c r="N90" i="23"/>
  <c r="O90" i="23"/>
  <c r="O89" i="23" s="1"/>
  <c r="D88" i="23"/>
  <c r="O79" i="23"/>
  <c r="O81" i="23"/>
  <c r="O82" i="23"/>
  <c r="O83" i="23"/>
  <c r="O84" i="23"/>
  <c r="O85" i="23"/>
  <c r="O86" i="23"/>
  <c r="O87" i="23"/>
  <c r="F88" i="23"/>
  <c r="H88" i="23"/>
  <c r="I88" i="23"/>
  <c r="J88" i="23"/>
  <c r="K88" i="23"/>
  <c r="L88" i="23"/>
  <c r="M88" i="23"/>
  <c r="N88" i="23"/>
  <c r="D87" i="23"/>
  <c r="N79" i="23"/>
  <c r="N81" i="23"/>
  <c r="N82" i="23"/>
  <c r="N83" i="23"/>
  <c r="N84" i="23"/>
  <c r="N85" i="23"/>
  <c r="N86" i="23"/>
  <c r="F87" i="23"/>
  <c r="H87" i="23"/>
  <c r="I87" i="23"/>
  <c r="J87" i="23"/>
  <c r="K87" i="23"/>
  <c r="L87" i="23"/>
  <c r="M87" i="23"/>
  <c r="D86" i="23"/>
  <c r="M79" i="23"/>
  <c r="M81" i="23"/>
  <c r="M82" i="23"/>
  <c r="M83" i="23"/>
  <c r="M84" i="23"/>
  <c r="M85" i="23"/>
  <c r="F86" i="23"/>
  <c r="H86" i="23"/>
  <c r="I86" i="23"/>
  <c r="J86" i="23"/>
  <c r="K86" i="23"/>
  <c r="L86" i="23"/>
  <c r="D85" i="23"/>
  <c r="R11" i="23"/>
  <c r="L81" i="23"/>
  <c r="L82" i="23"/>
  <c r="L83" i="23"/>
  <c r="L84" i="23"/>
  <c r="F85" i="23"/>
  <c r="H85" i="23"/>
  <c r="I85" i="23"/>
  <c r="J85" i="23"/>
  <c r="K85" i="23"/>
  <c r="D84" i="23"/>
  <c r="Q11" i="23"/>
  <c r="K81" i="23"/>
  <c r="K82" i="23"/>
  <c r="K83" i="23"/>
  <c r="F84" i="23"/>
  <c r="H84" i="23"/>
  <c r="I84" i="23"/>
  <c r="J84" i="23"/>
  <c r="D83" i="23"/>
  <c r="J79" i="23"/>
  <c r="J81" i="23"/>
  <c r="J82" i="23"/>
  <c r="F83" i="23"/>
  <c r="H83" i="23"/>
  <c r="I83" i="23"/>
  <c r="D82" i="23"/>
  <c r="I79" i="23"/>
  <c r="I81" i="23"/>
  <c r="F82" i="23"/>
  <c r="H82" i="23"/>
  <c r="D81" i="23"/>
  <c r="H79" i="23"/>
  <c r="F81" i="23"/>
  <c r="D80" i="23"/>
  <c r="G79" i="23"/>
  <c r="G81" i="23"/>
  <c r="G82" i="23"/>
  <c r="G83" i="23"/>
  <c r="G84" i="23"/>
  <c r="G85" i="23"/>
  <c r="G86" i="23"/>
  <c r="G87" i="23"/>
  <c r="G88" i="23"/>
  <c r="G90" i="23"/>
  <c r="G91" i="23"/>
  <c r="G92" i="23"/>
  <c r="G93" i="23"/>
  <c r="G94" i="23"/>
  <c r="G95" i="23"/>
  <c r="G96" i="23"/>
  <c r="G97" i="23"/>
  <c r="G98" i="23"/>
  <c r="G99" i="23"/>
  <c r="G100" i="23"/>
  <c r="G101" i="23"/>
  <c r="G102" i="23"/>
  <c r="G103" i="23"/>
  <c r="G104" i="23"/>
  <c r="G105" i="23"/>
  <c r="G106" i="23"/>
  <c r="G107" i="23"/>
  <c r="G108" i="23"/>
  <c r="G109" i="23"/>
  <c r="G110" i="23"/>
  <c r="G111" i="23"/>
  <c r="G112" i="23"/>
  <c r="G113" i="23"/>
  <c r="G114" i="23"/>
  <c r="G115" i="23"/>
  <c r="G116" i="23"/>
  <c r="H80" i="23"/>
  <c r="I80" i="23"/>
  <c r="J80" i="23"/>
  <c r="K80" i="23"/>
  <c r="L80" i="23"/>
  <c r="M80" i="23"/>
  <c r="N80" i="23"/>
  <c r="O80" i="23"/>
  <c r="Q80" i="23"/>
  <c r="R80" i="23"/>
  <c r="S80" i="23"/>
  <c r="T80" i="23"/>
  <c r="U80" i="23"/>
  <c r="V80" i="23"/>
  <c r="W80" i="23"/>
  <c r="X80" i="23"/>
  <c r="Y80" i="23"/>
  <c r="Z80" i="23"/>
  <c r="AA80" i="23"/>
  <c r="AB80" i="23"/>
  <c r="AC80" i="23"/>
  <c r="AD80" i="23"/>
  <c r="AE80" i="23"/>
  <c r="AF80" i="23"/>
  <c r="AG80" i="23"/>
  <c r="AH80" i="23"/>
  <c r="AI80" i="23"/>
  <c r="AJ80" i="23"/>
  <c r="AK80" i="23"/>
  <c r="AL80" i="23"/>
  <c r="AM80" i="23"/>
  <c r="AN80" i="23"/>
  <c r="AO80" i="23"/>
  <c r="AP80" i="23"/>
  <c r="AQ80" i="23"/>
  <c r="L18" i="23"/>
  <c r="L34" i="23"/>
  <c r="L25" i="23"/>
  <c r="L63" i="23"/>
  <c r="O15" i="23"/>
  <c r="V15" i="23"/>
  <c r="BL15" i="23" s="1"/>
  <c r="L15" i="23" s="1"/>
  <c r="BH15" i="23"/>
  <c r="BK11" i="23"/>
  <c r="BK10" i="23" s="1"/>
  <c r="BK9" i="23" s="1"/>
  <c r="BK8" i="23" s="1"/>
  <c r="BK18" i="23"/>
  <c r="BK25" i="23"/>
  <c r="BH18" i="23"/>
  <c r="P9" i="23"/>
  <c r="O34" i="23"/>
  <c r="O25" i="23"/>
  <c r="O63" i="23"/>
  <c r="G17" i="23"/>
  <c r="G34" i="23"/>
  <c r="F22" i="23"/>
  <c r="F34" i="23"/>
  <c r="E27" i="23"/>
  <c r="AG36" i="23"/>
  <c r="AG34" i="23" s="1"/>
  <c r="AG25" i="23" s="1"/>
  <c r="BH35" i="23"/>
  <c r="AF35" i="23"/>
  <c r="AE35" i="23" s="1"/>
  <c r="V35" i="23" s="1"/>
  <c r="W26" i="23"/>
  <c r="O16" i="23"/>
  <c r="K14" i="23"/>
  <c r="H14" i="23" s="1"/>
  <c r="G14" i="23" s="1"/>
  <c r="F14" i="23" s="1"/>
  <c r="E14" i="23" s="1"/>
  <c r="N10" i="23"/>
  <c r="AQ81" i="24"/>
  <c r="AQ82" i="24"/>
  <c r="AQ83" i="24"/>
  <c r="AQ84" i="24"/>
  <c r="AQ85" i="24"/>
  <c r="AQ86" i="24"/>
  <c r="AQ87" i="24"/>
  <c r="AQ88" i="24"/>
  <c r="AQ90" i="24"/>
  <c r="AQ91" i="24"/>
  <c r="AQ92" i="24"/>
  <c r="AQ95" i="24"/>
  <c r="AQ96" i="24"/>
  <c r="AQ97" i="24"/>
  <c r="AQ99" i="24"/>
  <c r="AQ100" i="24"/>
  <c r="AQ101" i="24"/>
  <c r="AQ102" i="24"/>
  <c r="AQ103" i="24"/>
  <c r="AQ104" i="24"/>
  <c r="AQ105" i="24"/>
  <c r="AQ106" i="24"/>
  <c r="AQ107" i="24"/>
  <c r="AQ108" i="24"/>
  <c r="AQ109" i="24"/>
  <c r="AQ110" i="24"/>
  <c r="AQ111" i="24"/>
  <c r="AQ112" i="24"/>
  <c r="AQ113" i="24"/>
  <c r="AQ114" i="24"/>
  <c r="H116" i="24"/>
  <c r="I116" i="24"/>
  <c r="J116" i="24"/>
  <c r="K116" i="24"/>
  <c r="L116" i="24"/>
  <c r="M116" i="24"/>
  <c r="N116" i="24"/>
  <c r="O116" i="24"/>
  <c r="Q116" i="24"/>
  <c r="R116" i="24"/>
  <c r="S116" i="24"/>
  <c r="U116" i="24"/>
  <c r="W116" i="24"/>
  <c r="X116" i="24"/>
  <c r="Z116" i="24"/>
  <c r="AA116" i="24"/>
  <c r="AB116" i="24"/>
  <c r="AE116" i="24"/>
  <c r="AF116" i="24"/>
  <c r="AG116" i="24"/>
  <c r="AH116" i="24"/>
  <c r="AI116" i="24"/>
  <c r="AJ116" i="24"/>
  <c r="AL116" i="24"/>
  <c r="AM116" i="24"/>
  <c r="AN116" i="24"/>
  <c r="AO116" i="24"/>
  <c r="AP116" i="24"/>
  <c r="D115" i="24"/>
  <c r="AP79" i="24"/>
  <c r="AP81" i="24"/>
  <c r="AP82" i="24"/>
  <c r="AP83" i="24"/>
  <c r="AP84" i="24"/>
  <c r="AP85" i="24"/>
  <c r="AP86" i="24"/>
  <c r="AP87" i="24"/>
  <c r="AP88" i="24"/>
  <c r="AP90" i="24"/>
  <c r="AP91" i="24"/>
  <c r="AP92" i="24"/>
  <c r="AP94" i="24"/>
  <c r="AP95" i="24"/>
  <c r="AP96" i="24"/>
  <c r="AP97" i="24"/>
  <c r="AP98" i="24"/>
  <c r="AP99" i="24"/>
  <c r="AP100" i="24"/>
  <c r="AP101" i="24"/>
  <c r="AP102" i="24"/>
  <c r="AP103" i="24"/>
  <c r="AP104" i="24"/>
  <c r="AP105" i="24"/>
  <c r="AP106" i="24"/>
  <c r="AP107" i="24"/>
  <c r="AP108" i="24"/>
  <c r="AP109" i="24"/>
  <c r="AP110" i="24"/>
  <c r="AP111" i="24"/>
  <c r="AP112" i="24"/>
  <c r="AP113" i="24"/>
  <c r="AP114" i="24"/>
  <c r="F115" i="24"/>
  <c r="H115" i="24"/>
  <c r="I115" i="24"/>
  <c r="J115" i="24"/>
  <c r="K115" i="24"/>
  <c r="L115" i="24"/>
  <c r="M115" i="24"/>
  <c r="N115" i="24"/>
  <c r="O115" i="24"/>
  <c r="Q115" i="24"/>
  <c r="R115" i="24"/>
  <c r="S115" i="24"/>
  <c r="U115" i="24"/>
  <c r="V115" i="24"/>
  <c r="W115" i="24"/>
  <c r="X115" i="24"/>
  <c r="Y115" i="24"/>
  <c r="Z115" i="24"/>
  <c r="AA115" i="24"/>
  <c r="AB115" i="24"/>
  <c r="AC115" i="24"/>
  <c r="AD115" i="24"/>
  <c r="AE115" i="24"/>
  <c r="AF115" i="24"/>
  <c r="AG115" i="24"/>
  <c r="AH115" i="24"/>
  <c r="AI115" i="24"/>
  <c r="AJ115" i="24"/>
  <c r="AK115" i="24"/>
  <c r="AL115" i="24"/>
  <c r="AM115" i="24"/>
  <c r="AN115" i="24"/>
  <c r="AO115" i="24"/>
  <c r="D114" i="24"/>
  <c r="AO79" i="24"/>
  <c r="AO81" i="24"/>
  <c r="AO82" i="24"/>
  <c r="AO83" i="24"/>
  <c r="AO84" i="24"/>
  <c r="AO85" i="24"/>
  <c r="AO86" i="24"/>
  <c r="AO87" i="24"/>
  <c r="AO88" i="24"/>
  <c r="AO90" i="24"/>
  <c r="AO91" i="24"/>
  <c r="AO92" i="24"/>
  <c r="AO94" i="24"/>
  <c r="AO95" i="24"/>
  <c r="AO96" i="24"/>
  <c r="AO97" i="24"/>
  <c r="AO98" i="24"/>
  <c r="AO99" i="24"/>
  <c r="AO100" i="24"/>
  <c r="AO101" i="24"/>
  <c r="AO102" i="24"/>
  <c r="AO103" i="24"/>
  <c r="AO104" i="24"/>
  <c r="AO105" i="24"/>
  <c r="AO106" i="24"/>
  <c r="AO107" i="24"/>
  <c r="AO108" i="24"/>
  <c r="AO109" i="24"/>
  <c r="AO110" i="24"/>
  <c r="AO111" i="24"/>
  <c r="AO112" i="24"/>
  <c r="AO113" i="24"/>
  <c r="F114" i="24"/>
  <c r="H114" i="24"/>
  <c r="I114" i="24"/>
  <c r="J114" i="24"/>
  <c r="K114" i="24"/>
  <c r="L114" i="24"/>
  <c r="M114" i="24"/>
  <c r="N114" i="24"/>
  <c r="O114" i="24"/>
  <c r="Q114" i="24"/>
  <c r="R114" i="24"/>
  <c r="S114" i="24"/>
  <c r="U114" i="24"/>
  <c r="V114" i="24"/>
  <c r="W114" i="24"/>
  <c r="X114" i="24"/>
  <c r="Y114" i="24"/>
  <c r="Z114" i="24"/>
  <c r="AA114" i="24"/>
  <c r="AB114" i="24"/>
  <c r="AC114" i="24"/>
  <c r="AD114" i="24"/>
  <c r="AE114" i="24"/>
  <c r="AF114" i="24"/>
  <c r="AG114" i="24"/>
  <c r="AH114" i="24"/>
  <c r="AI114" i="24"/>
  <c r="AJ114" i="24"/>
  <c r="AK114" i="24"/>
  <c r="AL114" i="24"/>
  <c r="AM114" i="24"/>
  <c r="AN114" i="24"/>
  <c r="D113" i="24"/>
  <c r="AN79" i="24"/>
  <c r="AN81" i="24"/>
  <c r="AN82" i="24"/>
  <c r="AN83" i="24"/>
  <c r="AN84" i="24"/>
  <c r="AN85" i="24"/>
  <c r="AN86" i="24"/>
  <c r="AN87" i="24"/>
  <c r="AN88" i="24"/>
  <c r="AN90" i="24"/>
  <c r="AN91" i="24"/>
  <c r="AN92" i="24"/>
  <c r="AN94" i="24"/>
  <c r="AN95" i="24"/>
  <c r="AN96" i="24"/>
  <c r="AN97" i="24"/>
  <c r="AN98" i="24"/>
  <c r="AN99" i="24"/>
  <c r="AN100" i="24"/>
  <c r="AN101" i="24"/>
  <c r="AN102" i="24"/>
  <c r="AN103" i="24"/>
  <c r="AN104" i="24"/>
  <c r="AN105" i="24"/>
  <c r="AN106" i="24"/>
  <c r="AN107" i="24"/>
  <c r="AN108" i="24"/>
  <c r="AN109" i="24"/>
  <c r="AN110" i="24"/>
  <c r="AN111" i="24"/>
  <c r="AN112" i="24"/>
  <c r="F113" i="24"/>
  <c r="H113" i="24"/>
  <c r="I113" i="24"/>
  <c r="J113" i="24"/>
  <c r="K113" i="24"/>
  <c r="L113" i="24"/>
  <c r="M113" i="24"/>
  <c r="N113" i="24"/>
  <c r="O113" i="24"/>
  <c r="Q113" i="24"/>
  <c r="R113" i="24"/>
  <c r="S113" i="24"/>
  <c r="U113" i="24"/>
  <c r="V113" i="24"/>
  <c r="W113" i="24"/>
  <c r="X113" i="24"/>
  <c r="Z113" i="24"/>
  <c r="AA113" i="24"/>
  <c r="AB113" i="24"/>
  <c r="AC113" i="24"/>
  <c r="AD113" i="24"/>
  <c r="AE113" i="24"/>
  <c r="AF113" i="24"/>
  <c r="AG113" i="24"/>
  <c r="AH113" i="24"/>
  <c r="AI113" i="24"/>
  <c r="AJ113" i="24"/>
  <c r="AK113" i="24"/>
  <c r="AL113" i="24"/>
  <c r="AM113" i="24"/>
  <c r="D112" i="24"/>
  <c r="AM79" i="24"/>
  <c r="AM81" i="24"/>
  <c r="AM82" i="24"/>
  <c r="AM83" i="24"/>
  <c r="AM84" i="24"/>
  <c r="AM85" i="24"/>
  <c r="AM86" i="24"/>
  <c r="AM87" i="24"/>
  <c r="AM88" i="24"/>
  <c r="AM90" i="24"/>
  <c r="AM91" i="24"/>
  <c r="AM92" i="24"/>
  <c r="AM94" i="24"/>
  <c r="AM95" i="24"/>
  <c r="AM96" i="24"/>
  <c r="AM97" i="24"/>
  <c r="AM98" i="24"/>
  <c r="AM99" i="24"/>
  <c r="AM100" i="24"/>
  <c r="AM101" i="24"/>
  <c r="AM102" i="24"/>
  <c r="AM103" i="24"/>
  <c r="AM104" i="24"/>
  <c r="AM105" i="24"/>
  <c r="AM106" i="24"/>
  <c r="AM107" i="24"/>
  <c r="AM108" i="24"/>
  <c r="AM109" i="24"/>
  <c r="AM110" i="24"/>
  <c r="AM111" i="24"/>
  <c r="F112" i="24"/>
  <c r="H112" i="24"/>
  <c r="I112" i="24"/>
  <c r="J112" i="24"/>
  <c r="K112" i="24"/>
  <c r="L112" i="24"/>
  <c r="M112" i="24"/>
  <c r="N112" i="24"/>
  <c r="O112" i="24"/>
  <c r="Q112" i="24"/>
  <c r="R112" i="24"/>
  <c r="S112" i="24"/>
  <c r="U112" i="24"/>
  <c r="V112" i="24"/>
  <c r="W112" i="24"/>
  <c r="X112" i="24"/>
  <c r="Y112" i="24"/>
  <c r="Z112" i="24"/>
  <c r="AA112" i="24"/>
  <c r="AB112" i="24"/>
  <c r="AC112" i="24"/>
  <c r="AD112" i="24"/>
  <c r="AE112" i="24"/>
  <c r="AF112" i="24"/>
  <c r="AG112" i="24"/>
  <c r="AH112" i="24"/>
  <c r="AI112" i="24"/>
  <c r="AJ112" i="24"/>
  <c r="AK112" i="24"/>
  <c r="AL112" i="24"/>
  <c r="D111" i="24"/>
  <c r="AL79" i="24"/>
  <c r="AL81" i="24"/>
  <c r="AL82" i="24"/>
  <c r="AL83" i="24"/>
  <c r="AL84" i="24"/>
  <c r="AL85" i="24"/>
  <c r="AL86" i="24"/>
  <c r="AL87" i="24"/>
  <c r="AL88" i="24"/>
  <c r="AL90" i="24"/>
  <c r="AL91" i="24"/>
  <c r="AL92" i="24"/>
  <c r="AL94" i="24"/>
  <c r="AL95" i="24"/>
  <c r="AL96" i="24"/>
  <c r="AL97" i="24"/>
  <c r="AL98" i="24"/>
  <c r="AL99" i="24"/>
  <c r="AL100" i="24"/>
  <c r="AL101" i="24"/>
  <c r="AL102" i="24"/>
  <c r="AL103" i="24"/>
  <c r="AL104" i="24"/>
  <c r="AL105" i="24"/>
  <c r="AL106" i="24"/>
  <c r="AL107" i="24"/>
  <c r="AL108" i="24"/>
  <c r="AL109" i="24"/>
  <c r="AL110" i="24"/>
  <c r="F111" i="24"/>
  <c r="H111" i="24"/>
  <c r="I111" i="24"/>
  <c r="J111" i="24"/>
  <c r="K111" i="24"/>
  <c r="L111" i="24"/>
  <c r="M111" i="24"/>
  <c r="N111" i="24"/>
  <c r="O111" i="24"/>
  <c r="Q111" i="24"/>
  <c r="R111" i="24"/>
  <c r="S111" i="24"/>
  <c r="U111" i="24"/>
  <c r="V111" i="24"/>
  <c r="W111" i="24"/>
  <c r="X111" i="24"/>
  <c r="Y111" i="24"/>
  <c r="Z111" i="24"/>
  <c r="AA111" i="24"/>
  <c r="AB111" i="24"/>
  <c r="AC111" i="24"/>
  <c r="AD111" i="24"/>
  <c r="AE111" i="24"/>
  <c r="AF111" i="24"/>
  <c r="AG111" i="24"/>
  <c r="AH111" i="24"/>
  <c r="AI111" i="24"/>
  <c r="AJ111" i="24"/>
  <c r="AK111" i="24"/>
  <c r="D110" i="24"/>
  <c r="AK79" i="24"/>
  <c r="AK81" i="24"/>
  <c r="AK82" i="24"/>
  <c r="AK83" i="24"/>
  <c r="AK84" i="24"/>
  <c r="AK85" i="24"/>
  <c r="AK86" i="24"/>
  <c r="AK87" i="24"/>
  <c r="AK88" i="24"/>
  <c r="AK90" i="24"/>
  <c r="AK91" i="24"/>
  <c r="AK92" i="24"/>
  <c r="AK94" i="24"/>
  <c r="AK95" i="24"/>
  <c r="AK96" i="24"/>
  <c r="AK97" i="24"/>
  <c r="AK98" i="24"/>
  <c r="AK99" i="24"/>
  <c r="AK100" i="24"/>
  <c r="AK101" i="24"/>
  <c r="AK102" i="24"/>
  <c r="AK103" i="24"/>
  <c r="AK104" i="24"/>
  <c r="AK105" i="24"/>
  <c r="AK106" i="24"/>
  <c r="AK107" i="24"/>
  <c r="AK108" i="24"/>
  <c r="AK109" i="24"/>
  <c r="AK116" i="24"/>
  <c r="F110" i="24"/>
  <c r="H110" i="24"/>
  <c r="I110" i="24"/>
  <c r="J110" i="24"/>
  <c r="K110" i="24"/>
  <c r="L110" i="24"/>
  <c r="M110" i="24"/>
  <c r="N110" i="24"/>
  <c r="O110" i="24"/>
  <c r="Q110" i="24"/>
  <c r="R110" i="24"/>
  <c r="S110" i="24"/>
  <c r="U110" i="24"/>
  <c r="V110" i="24"/>
  <c r="W110" i="24"/>
  <c r="X110" i="24"/>
  <c r="Y110" i="24"/>
  <c r="Z110" i="24"/>
  <c r="AA110" i="24"/>
  <c r="AB110" i="24"/>
  <c r="AC110" i="24"/>
  <c r="AD110" i="24"/>
  <c r="AE110" i="24"/>
  <c r="AF110" i="24"/>
  <c r="AG110" i="24"/>
  <c r="AH110" i="24"/>
  <c r="AI110" i="24"/>
  <c r="AJ110" i="24"/>
  <c r="D109" i="24"/>
  <c r="AJ79" i="24"/>
  <c r="AJ81" i="24"/>
  <c r="AJ82" i="24"/>
  <c r="AJ83" i="24"/>
  <c r="AJ84" i="24"/>
  <c r="AJ85" i="24"/>
  <c r="AJ86" i="24"/>
  <c r="AJ87" i="24"/>
  <c r="AJ88" i="24"/>
  <c r="AJ90" i="24"/>
  <c r="AJ91" i="24"/>
  <c r="AJ92" i="24"/>
  <c r="AJ94" i="24"/>
  <c r="AJ95" i="24"/>
  <c r="AJ96" i="24"/>
  <c r="AJ97" i="24"/>
  <c r="AJ98" i="24"/>
  <c r="AJ99" i="24"/>
  <c r="AJ100" i="24"/>
  <c r="AJ101" i="24"/>
  <c r="AJ102" i="24"/>
  <c r="AJ103" i="24"/>
  <c r="AJ104" i="24"/>
  <c r="AJ105" i="24"/>
  <c r="AJ106" i="24"/>
  <c r="AJ107" i="24"/>
  <c r="AJ108" i="24"/>
  <c r="F109" i="24"/>
  <c r="H109" i="24"/>
  <c r="I109" i="24"/>
  <c r="J109" i="24"/>
  <c r="K109" i="24"/>
  <c r="L109" i="24"/>
  <c r="M109" i="24"/>
  <c r="N109" i="24"/>
  <c r="O109" i="24"/>
  <c r="Q109" i="24"/>
  <c r="R109" i="24"/>
  <c r="S109" i="24"/>
  <c r="U109" i="24"/>
  <c r="V109" i="24"/>
  <c r="W109" i="24"/>
  <c r="X109" i="24"/>
  <c r="Y109" i="24"/>
  <c r="Z109" i="24"/>
  <c r="AA109" i="24"/>
  <c r="AB109" i="24"/>
  <c r="AC109" i="24"/>
  <c r="AD109" i="24"/>
  <c r="AE109" i="24"/>
  <c r="AF109" i="24"/>
  <c r="AG109" i="24"/>
  <c r="AH109" i="24"/>
  <c r="AI109" i="24"/>
  <c r="D108" i="24"/>
  <c r="AI79" i="24"/>
  <c r="AI81" i="24"/>
  <c r="AI82" i="24"/>
  <c r="AI83" i="24"/>
  <c r="AI84" i="24"/>
  <c r="AI85" i="24"/>
  <c r="AI86" i="24"/>
  <c r="AI87" i="24"/>
  <c r="AI88" i="24"/>
  <c r="AI90" i="24"/>
  <c r="AI91" i="24"/>
  <c r="AI92" i="24"/>
  <c r="AI94" i="24"/>
  <c r="AI95" i="24"/>
  <c r="AI96" i="24"/>
  <c r="AI97" i="24"/>
  <c r="AI98" i="24"/>
  <c r="AI99" i="24"/>
  <c r="AI100" i="24"/>
  <c r="AI101" i="24"/>
  <c r="AI102" i="24"/>
  <c r="AI103" i="24"/>
  <c r="AI104" i="24"/>
  <c r="AI105" i="24"/>
  <c r="AI106" i="24"/>
  <c r="AI107" i="24"/>
  <c r="F108" i="24"/>
  <c r="H108" i="24"/>
  <c r="I108" i="24"/>
  <c r="J108" i="24"/>
  <c r="K108" i="24"/>
  <c r="L108" i="24"/>
  <c r="M108" i="24"/>
  <c r="N108" i="24"/>
  <c r="O108" i="24"/>
  <c r="Q108" i="24"/>
  <c r="R108" i="24"/>
  <c r="S108" i="24"/>
  <c r="U108" i="24"/>
  <c r="V108" i="24"/>
  <c r="W108" i="24"/>
  <c r="X108" i="24"/>
  <c r="Y108" i="24"/>
  <c r="Z108" i="24"/>
  <c r="AA108" i="24"/>
  <c r="AB108" i="24"/>
  <c r="AC108" i="24"/>
  <c r="AD108" i="24"/>
  <c r="AE108" i="24"/>
  <c r="AF108" i="24"/>
  <c r="AG108" i="24"/>
  <c r="AH108" i="24"/>
  <c r="D107" i="24"/>
  <c r="AH79" i="24"/>
  <c r="AH81" i="24"/>
  <c r="AH82" i="24"/>
  <c r="AH83" i="24"/>
  <c r="AH84" i="24"/>
  <c r="AH85" i="24"/>
  <c r="AH86" i="24"/>
  <c r="AH87" i="24"/>
  <c r="AH88" i="24"/>
  <c r="AH90" i="24"/>
  <c r="AH91" i="24"/>
  <c r="AH92" i="24"/>
  <c r="AH94" i="24"/>
  <c r="AH95" i="24"/>
  <c r="AH96" i="24"/>
  <c r="AH97" i="24"/>
  <c r="AH98" i="24"/>
  <c r="AH99" i="24"/>
  <c r="AH100" i="24"/>
  <c r="AH101" i="24"/>
  <c r="AH102" i="24"/>
  <c r="AH103" i="24"/>
  <c r="AH104" i="24"/>
  <c r="AH105" i="24"/>
  <c r="AH106" i="24"/>
  <c r="F107" i="24"/>
  <c r="E107" i="24" s="1"/>
  <c r="H107" i="24"/>
  <c r="I107" i="24"/>
  <c r="J107" i="24"/>
  <c r="K107" i="24"/>
  <c r="L107" i="24"/>
  <c r="M107" i="24"/>
  <c r="N107" i="24"/>
  <c r="O107" i="24"/>
  <c r="Q107" i="24"/>
  <c r="R107" i="24"/>
  <c r="S107" i="24"/>
  <c r="U107" i="24"/>
  <c r="V107" i="24"/>
  <c r="W107" i="24"/>
  <c r="X107" i="24"/>
  <c r="Y107" i="24"/>
  <c r="Z107" i="24"/>
  <c r="AA107" i="24"/>
  <c r="AB107" i="24"/>
  <c r="AC107" i="24"/>
  <c r="AD107" i="24"/>
  <c r="AE107" i="24"/>
  <c r="AF107" i="24"/>
  <c r="AG107" i="24"/>
  <c r="D106" i="24"/>
  <c r="AG79" i="24"/>
  <c r="AG81" i="24"/>
  <c r="AG82" i="24"/>
  <c r="AG83" i="24"/>
  <c r="AG84" i="24"/>
  <c r="AG85" i="24"/>
  <c r="AG86" i="24"/>
  <c r="AG87" i="24"/>
  <c r="AG88" i="24"/>
  <c r="AG90" i="24"/>
  <c r="AG91" i="24"/>
  <c r="AG92" i="24"/>
  <c r="AG94" i="24"/>
  <c r="AG95" i="24"/>
  <c r="AG96" i="24"/>
  <c r="AG97" i="24"/>
  <c r="AG98" i="24"/>
  <c r="AG99" i="24"/>
  <c r="AG100" i="24"/>
  <c r="AG101" i="24"/>
  <c r="AG102" i="24"/>
  <c r="AG103" i="24"/>
  <c r="AG104" i="24"/>
  <c r="AG105" i="24"/>
  <c r="F106" i="24"/>
  <c r="H106" i="24"/>
  <c r="I106" i="24"/>
  <c r="J106" i="24"/>
  <c r="K106" i="24"/>
  <c r="L106" i="24"/>
  <c r="M106" i="24"/>
  <c r="N106" i="24"/>
  <c r="O106" i="24"/>
  <c r="Q106" i="24"/>
  <c r="R106" i="24"/>
  <c r="S106" i="24"/>
  <c r="U106" i="24"/>
  <c r="V106" i="24"/>
  <c r="W106" i="24"/>
  <c r="X106" i="24"/>
  <c r="Y106" i="24"/>
  <c r="Z106" i="24"/>
  <c r="AA106" i="24"/>
  <c r="AB106" i="24"/>
  <c r="AC106" i="24"/>
  <c r="AD106" i="24"/>
  <c r="AE106" i="24"/>
  <c r="AF106" i="24"/>
  <c r="D105" i="24"/>
  <c r="AF79" i="24"/>
  <c r="AF81" i="24"/>
  <c r="AF82" i="24"/>
  <c r="AF83" i="24"/>
  <c r="AF84" i="24"/>
  <c r="AF85" i="24"/>
  <c r="AF86" i="24"/>
  <c r="AF87" i="24"/>
  <c r="AF88" i="24"/>
  <c r="AF90" i="24"/>
  <c r="AF91" i="24"/>
  <c r="AF92" i="24"/>
  <c r="AF94" i="24"/>
  <c r="AF95" i="24"/>
  <c r="AF96" i="24"/>
  <c r="AF97" i="24"/>
  <c r="AF98" i="24"/>
  <c r="AF99" i="24"/>
  <c r="AF100" i="24"/>
  <c r="AF101" i="24"/>
  <c r="AF102" i="24"/>
  <c r="AF103" i="24"/>
  <c r="AF104" i="24"/>
  <c r="F105" i="24"/>
  <c r="H105" i="24"/>
  <c r="I105" i="24"/>
  <c r="J105" i="24"/>
  <c r="K105" i="24"/>
  <c r="L105" i="24"/>
  <c r="M105" i="24"/>
  <c r="N105" i="24"/>
  <c r="O105" i="24"/>
  <c r="Q105" i="24"/>
  <c r="R105" i="24"/>
  <c r="S105" i="24"/>
  <c r="U105" i="24"/>
  <c r="V105" i="24"/>
  <c r="W105" i="24"/>
  <c r="X105" i="24"/>
  <c r="Y105" i="24"/>
  <c r="Z105" i="24"/>
  <c r="AA105" i="24"/>
  <c r="AB105" i="24"/>
  <c r="AC105" i="24"/>
  <c r="AD105" i="24"/>
  <c r="AE105" i="24"/>
  <c r="D104" i="24"/>
  <c r="AE79" i="24"/>
  <c r="AE81" i="24"/>
  <c r="AE82" i="24"/>
  <c r="AE83" i="24"/>
  <c r="AE84" i="24"/>
  <c r="AE85" i="24"/>
  <c r="AE86" i="24"/>
  <c r="AE87" i="24"/>
  <c r="AE88" i="24"/>
  <c r="AE90" i="24"/>
  <c r="AE91" i="24"/>
  <c r="AE92" i="24"/>
  <c r="AE94" i="24"/>
  <c r="AE95" i="24"/>
  <c r="AE96" i="24"/>
  <c r="AE97" i="24"/>
  <c r="AE98" i="24"/>
  <c r="AE99" i="24"/>
  <c r="AE100" i="24"/>
  <c r="AE101" i="24"/>
  <c r="AE102" i="24"/>
  <c r="AE103" i="24"/>
  <c r="F104" i="24"/>
  <c r="H104" i="24"/>
  <c r="I104" i="24"/>
  <c r="E104" i="24" s="1"/>
  <c r="J104" i="24"/>
  <c r="K104" i="24"/>
  <c r="L104" i="24"/>
  <c r="M104" i="24"/>
  <c r="N104" i="24"/>
  <c r="O104" i="24"/>
  <c r="Q104" i="24"/>
  <c r="R104" i="24"/>
  <c r="S104" i="24"/>
  <c r="U104" i="24"/>
  <c r="V104" i="24"/>
  <c r="W104" i="24"/>
  <c r="X104" i="24"/>
  <c r="Y104" i="24"/>
  <c r="Z104" i="24"/>
  <c r="AA104" i="24"/>
  <c r="AB104" i="24"/>
  <c r="AC104" i="24"/>
  <c r="AD104" i="24"/>
  <c r="D103" i="24"/>
  <c r="AD79" i="24"/>
  <c r="AD81" i="24"/>
  <c r="AD82" i="24"/>
  <c r="AD83" i="24"/>
  <c r="AD84" i="24"/>
  <c r="AD85" i="24"/>
  <c r="AD86" i="24"/>
  <c r="AD87" i="24"/>
  <c r="AD88" i="24"/>
  <c r="AD90" i="24"/>
  <c r="AD91" i="24"/>
  <c r="AD92" i="24"/>
  <c r="AD94" i="24"/>
  <c r="AD95" i="24"/>
  <c r="AD96" i="24"/>
  <c r="AD97" i="24"/>
  <c r="AD99" i="24"/>
  <c r="AD100" i="24"/>
  <c r="AD101" i="24"/>
  <c r="AD102" i="24"/>
  <c r="F103" i="24"/>
  <c r="H103" i="24"/>
  <c r="I103" i="24"/>
  <c r="J103" i="24"/>
  <c r="K103" i="24"/>
  <c r="L103" i="24"/>
  <c r="M103" i="24"/>
  <c r="N103" i="24"/>
  <c r="O103" i="24"/>
  <c r="Q103" i="24"/>
  <c r="R103" i="24"/>
  <c r="S103" i="24"/>
  <c r="U103" i="24"/>
  <c r="V103" i="24"/>
  <c r="W103" i="24"/>
  <c r="X103" i="24"/>
  <c r="Z103" i="24"/>
  <c r="AA103" i="24"/>
  <c r="AB103" i="24"/>
  <c r="AC103" i="24"/>
  <c r="D102" i="24"/>
  <c r="AC81" i="24"/>
  <c r="AC82" i="24"/>
  <c r="AC83" i="24"/>
  <c r="AC84" i="24"/>
  <c r="AC85" i="24"/>
  <c r="AC86" i="24"/>
  <c r="AC87" i="24"/>
  <c r="AC88" i="24"/>
  <c r="AC90" i="24"/>
  <c r="AC91" i="24"/>
  <c r="AC92" i="24"/>
  <c r="AC94" i="24"/>
  <c r="AC95" i="24"/>
  <c r="AC96" i="24"/>
  <c r="AC97" i="24"/>
  <c r="AC98" i="24"/>
  <c r="AC99" i="24"/>
  <c r="AC100" i="24"/>
  <c r="AC101" i="24"/>
  <c r="F102" i="24"/>
  <c r="H102" i="24"/>
  <c r="I102" i="24"/>
  <c r="J102" i="24"/>
  <c r="K102" i="24"/>
  <c r="L102" i="24"/>
  <c r="M102" i="24"/>
  <c r="N102" i="24"/>
  <c r="O102" i="24"/>
  <c r="Q102" i="24"/>
  <c r="R102" i="24"/>
  <c r="S102" i="24"/>
  <c r="U102" i="24"/>
  <c r="V102" i="24"/>
  <c r="W102" i="24"/>
  <c r="X102" i="24"/>
  <c r="Z102" i="24"/>
  <c r="AA102" i="24"/>
  <c r="AB102" i="24"/>
  <c r="D101" i="24"/>
  <c r="AB79" i="24"/>
  <c r="AB81" i="24"/>
  <c r="AB82" i="24"/>
  <c r="AB83" i="24"/>
  <c r="AB84" i="24"/>
  <c r="AB85" i="24"/>
  <c r="AB86" i="24"/>
  <c r="AB87" i="24"/>
  <c r="AB88" i="24"/>
  <c r="AB90" i="24"/>
  <c r="AB91" i="24"/>
  <c r="AB92" i="24"/>
  <c r="AB94" i="24"/>
  <c r="AB95" i="24"/>
  <c r="AB96" i="24"/>
  <c r="AB97" i="24"/>
  <c r="AB98" i="24"/>
  <c r="AB99" i="24"/>
  <c r="AB100" i="24"/>
  <c r="F101" i="24"/>
  <c r="H101" i="24"/>
  <c r="I101" i="24"/>
  <c r="J101" i="24"/>
  <c r="K101" i="24"/>
  <c r="L101" i="24"/>
  <c r="M101" i="24"/>
  <c r="N101" i="24"/>
  <c r="O101" i="24"/>
  <c r="Q101" i="24"/>
  <c r="R101" i="24"/>
  <c r="S101" i="24"/>
  <c r="U101" i="24"/>
  <c r="V101" i="24"/>
  <c r="W101" i="24"/>
  <c r="X101" i="24"/>
  <c r="Z101" i="24"/>
  <c r="AA101" i="24"/>
  <c r="D100" i="24"/>
  <c r="AA79" i="24"/>
  <c r="AA81" i="24"/>
  <c r="AA82" i="24"/>
  <c r="AA83" i="24"/>
  <c r="AA84" i="24"/>
  <c r="AA85" i="24"/>
  <c r="AA86" i="24"/>
  <c r="AA87" i="24"/>
  <c r="AA88" i="24"/>
  <c r="AA90" i="24"/>
  <c r="AA91" i="24"/>
  <c r="AA92" i="24"/>
  <c r="AA94" i="24"/>
  <c r="AA95" i="24"/>
  <c r="AA96" i="24"/>
  <c r="AA97" i="24"/>
  <c r="AA98" i="24"/>
  <c r="AA99" i="24"/>
  <c r="F100" i="24"/>
  <c r="H100" i="24"/>
  <c r="I100" i="24"/>
  <c r="J100" i="24"/>
  <c r="K100" i="24"/>
  <c r="L100" i="24"/>
  <c r="M100" i="24"/>
  <c r="N100" i="24"/>
  <c r="O100" i="24"/>
  <c r="Q100" i="24"/>
  <c r="R100" i="24"/>
  <c r="S100" i="24"/>
  <c r="U100" i="24"/>
  <c r="V100" i="24"/>
  <c r="W100" i="24"/>
  <c r="X100" i="24"/>
  <c r="Y100" i="24"/>
  <c r="Z100" i="24"/>
  <c r="D99" i="24"/>
  <c r="Z81" i="24"/>
  <c r="Z82" i="24"/>
  <c r="Z83" i="24"/>
  <c r="Z84" i="24"/>
  <c r="Z85" i="24"/>
  <c r="Z86" i="24"/>
  <c r="Z87" i="24"/>
  <c r="Z88" i="24"/>
  <c r="Z90" i="24"/>
  <c r="Z91" i="24"/>
  <c r="Z92" i="24"/>
  <c r="Z94" i="24"/>
  <c r="Z95" i="24"/>
  <c r="Z96" i="24"/>
  <c r="Z97" i="24"/>
  <c r="F99" i="24"/>
  <c r="H99" i="24"/>
  <c r="I99" i="24"/>
  <c r="J99" i="24"/>
  <c r="K99" i="24"/>
  <c r="L99" i="24"/>
  <c r="M99" i="24"/>
  <c r="N99" i="24"/>
  <c r="O99" i="24"/>
  <c r="Q99" i="24"/>
  <c r="R99" i="24"/>
  <c r="S99" i="24"/>
  <c r="U99" i="24"/>
  <c r="V99" i="24"/>
  <c r="W99" i="24"/>
  <c r="X99" i="24"/>
  <c r="Y99" i="24"/>
  <c r="Y82" i="24"/>
  <c r="Y83" i="24"/>
  <c r="Y84" i="24"/>
  <c r="Y87" i="24"/>
  <c r="Y88" i="24"/>
  <c r="Y90" i="24"/>
  <c r="Y91" i="24"/>
  <c r="Y92" i="24"/>
  <c r="Y94" i="24"/>
  <c r="Y95" i="24"/>
  <c r="Y97" i="24"/>
  <c r="H98" i="24"/>
  <c r="I98" i="24"/>
  <c r="J98" i="24"/>
  <c r="K98" i="24"/>
  <c r="L98" i="24"/>
  <c r="N98" i="24"/>
  <c r="O98" i="24"/>
  <c r="Q98" i="24"/>
  <c r="S98" i="24"/>
  <c r="U98" i="24"/>
  <c r="W98" i="24"/>
  <c r="X98" i="24"/>
  <c r="D97" i="24"/>
  <c r="X79" i="24"/>
  <c r="X81" i="24"/>
  <c r="X82" i="24"/>
  <c r="X83" i="24"/>
  <c r="X84" i="24"/>
  <c r="X85" i="24"/>
  <c r="X86" i="24"/>
  <c r="X87" i="24"/>
  <c r="X88" i="24"/>
  <c r="X90" i="24"/>
  <c r="X91" i="24"/>
  <c r="X92" i="24"/>
  <c r="X94" i="24"/>
  <c r="X95" i="24"/>
  <c r="X96" i="24"/>
  <c r="F97" i="24"/>
  <c r="H97" i="24"/>
  <c r="I97" i="24"/>
  <c r="J97" i="24"/>
  <c r="K97" i="24"/>
  <c r="L97" i="24"/>
  <c r="M97" i="24"/>
  <c r="N97" i="24"/>
  <c r="O97" i="24"/>
  <c r="Q97" i="24"/>
  <c r="R97" i="24"/>
  <c r="S97" i="24"/>
  <c r="U97" i="24"/>
  <c r="V97" i="24"/>
  <c r="W97" i="24"/>
  <c r="D96" i="24"/>
  <c r="W79" i="24"/>
  <c r="W81" i="24"/>
  <c r="W82" i="24"/>
  <c r="W83" i="24"/>
  <c r="W84" i="24"/>
  <c r="W85" i="24"/>
  <c r="W86" i="24"/>
  <c r="W87" i="24"/>
  <c r="W88" i="24"/>
  <c r="W90" i="24"/>
  <c r="W91" i="24"/>
  <c r="W92" i="24"/>
  <c r="W94" i="24"/>
  <c r="W95" i="24"/>
  <c r="F96" i="24"/>
  <c r="H96" i="24"/>
  <c r="I96" i="24"/>
  <c r="J96" i="24"/>
  <c r="K96" i="24"/>
  <c r="L96" i="24"/>
  <c r="M96" i="24"/>
  <c r="N96" i="24"/>
  <c r="O96" i="24"/>
  <c r="Q96" i="24"/>
  <c r="R96" i="24"/>
  <c r="S96" i="24"/>
  <c r="U96" i="24"/>
  <c r="V96" i="24"/>
  <c r="D95" i="24"/>
  <c r="V81" i="24"/>
  <c r="V82" i="24"/>
  <c r="V83" i="24"/>
  <c r="V84" i="24"/>
  <c r="V85" i="24"/>
  <c r="V86" i="24"/>
  <c r="V87" i="24"/>
  <c r="V88" i="24"/>
  <c r="V90" i="24"/>
  <c r="V91" i="24"/>
  <c r="V92" i="24"/>
  <c r="V94" i="24"/>
  <c r="F95" i="24"/>
  <c r="H95" i="24"/>
  <c r="I95" i="24"/>
  <c r="J95" i="24"/>
  <c r="K95" i="24"/>
  <c r="L95" i="24"/>
  <c r="M95" i="24"/>
  <c r="N95" i="24"/>
  <c r="O95" i="24"/>
  <c r="Q95" i="24"/>
  <c r="R95" i="24"/>
  <c r="S95" i="24"/>
  <c r="U95" i="24"/>
  <c r="D94" i="24"/>
  <c r="U79" i="24"/>
  <c r="U81" i="24"/>
  <c r="U82" i="24"/>
  <c r="U83" i="24"/>
  <c r="U84" i="24"/>
  <c r="P84" i="24" s="1"/>
  <c r="U85" i="24"/>
  <c r="U86" i="24"/>
  <c r="U87" i="24"/>
  <c r="U88" i="24"/>
  <c r="U90" i="24"/>
  <c r="U91" i="24"/>
  <c r="U92" i="24"/>
  <c r="F94" i="24"/>
  <c r="H94" i="24"/>
  <c r="I94" i="24"/>
  <c r="J94" i="24"/>
  <c r="K94" i="24"/>
  <c r="L94" i="24"/>
  <c r="M94" i="24"/>
  <c r="N94" i="24"/>
  <c r="O94" i="24"/>
  <c r="Q94" i="24"/>
  <c r="R94" i="24"/>
  <c r="S94" i="24"/>
  <c r="D92" i="24"/>
  <c r="S79" i="24"/>
  <c r="S81" i="24"/>
  <c r="S82" i="24"/>
  <c r="S83" i="24"/>
  <c r="S84" i="24"/>
  <c r="S85" i="24"/>
  <c r="S86" i="24"/>
  <c r="S87" i="24"/>
  <c r="S88" i="24"/>
  <c r="S90" i="24"/>
  <c r="S91" i="24"/>
  <c r="F92" i="24"/>
  <c r="H92" i="24"/>
  <c r="I92" i="24"/>
  <c r="J92" i="24"/>
  <c r="K92" i="24"/>
  <c r="L92" i="24"/>
  <c r="M92" i="24"/>
  <c r="N92" i="24"/>
  <c r="O92" i="24"/>
  <c r="Q92" i="24"/>
  <c r="R92" i="24"/>
  <c r="D91" i="24"/>
  <c r="R79" i="24"/>
  <c r="R81" i="24"/>
  <c r="R82" i="24"/>
  <c r="R83" i="24"/>
  <c r="R84" i="24"/>
  <c r="R85" i="24"/>
  <c r="R86" i="24"/>
  <c r="R87" i="24"/>
  <c r="R88" i="24"/>
  <c r="R90" i="24"/>
  <c r="F91" i="24"/>
  <c r="H91" i="24"/>
  <c r="I91" i="24"/>
  <c r="J91" i="24"/>
  <c r="K91" i="24"/>
  <c r="L91" i="24"/>
  <c r="M91" i="24"/>
  <c r="N91" i="24"/>
  <c r="O91" i="24"/>
  <c r="Q91" i="24"/>
  <c r="D90" i="24"/>
  <c r="Q79" i="24"/>
  <c r="Q81" i="24"/>
  <c r="Q82" i="24"/>
  <c r="Q83" i="24"/>
  <c r="Q84" i="24"/>
  <c r="Q85" i="24"/>
  <c r="Q86" i="24"/>
  <c r="Q87" i="24"/>
  <c r="Q88" i="24"/>
  <c r="F90" i="24"/>
  <c r="H90" i="24"/>
  <c r="I90" i="24"/>
  <c r="J90" i="24"/>
  <c r="K90" i="24"/>
  <c r="L90" i="24"/>
  <c r="M90" i="24"/>
  <c r="N90" i="24"/>
  <c r="O90" i="24"/>
  <c r="D88" i="24"/>
  <c r="O79" i="24"/>
  <c r="O81" i="24"/>
  <c r="O82" i="24"/>
  <c r="O83" i="24"/>
  <c r="O84" i="24"/>
  <c r="O85" i="24"/>
  <c r="O86" i="24"/>
  <c r="O87" i="24"/>
  <c r="F88" i="24"/>
  <c r="H88" i="24"/>
  <c r="I88" i="24"/>
  <c r="J88" i="24"/>
  <c r="K88" i="24"/>
  <c r="L88" i="24"/>
  <c r="M88" i="24"/>
  <c r="N88" i="24"/>
  <c r="D87" i="24"/>
  <c r="N79" i="24"/>
  <c r="N81" i="24"/>
  <c r="N82" i="24"/>
  <c r="N83" i="24"/>
  <c r="N84" i="24"/>
  <c r="N85" i="24"/>
  <c r="N86" i="24"/>
  <c r="F87" i="24"/>
  <c r="H87" i="24"/>
  <c r="I87" i="24"/>
  <c r="J87" i="24"/>
  <c r="K87" i="24"/>
  <c r="L87" i="24"/>
  <c r="M87" i="24"/>
  <c r="D86" i="24"/>
  <c r="M81" i="24"/>
  <c r="M82" i="24"/>
  <c r="M83" i="24"/>
  <c r="M84" i="24"/>
  <c r="M85" i="24"/>
  <c r="F86" i="24"/>
  <c r="H86" i="24"/>
  <c r="I86" i="24"/>
  <c r="J86" i="24"/>
  <c r="K86" i="24"/>
  <c r="L86" i="24"/>
  <c r="D85" i="24"/>
  <c r="R11" i="24"/>
  <c r="L81" i="24"/>
  <c r="L82" i="24"/>
  <c r="L83" i="24"/>
  <c r="L84" i="24"/>
  <c r="F85" i="24"/>
  <c r="H85" i="24"/>
  <c r="I85" i="24"/>
  <c r="J85" i="24"/>
  <c r="K85" i="24"/>
  <c r="D84" i="24"/>
  <c r="Q11" i="24"/>
  <c r="K79" i="24" s="1"/>
  <c r="K81" i="24"/>
  <c r="K82" i="24"/>
  <c r="K83" i="24"/>
  <c r="F84" i="24"/>
  <c r="H84" i="24"/>
  <c r="I84" i="24"/>
  <c r="J84" i="24"/>
  <c r="D83" i="24"/>
  <c r="J79" i="24"/>
  <c r="J81" i="24"/>
  <c r="J82" i="24"/>
  <c r="F83" i="24"/>
  <c r="H83" i="24"/>
  <c r="I83" i="24"/>
  <c r="D82" i="24"/>
  <c r="I79" i="24"/>
  <c r="I81" i="24"/>
  <c r="F82" i="24"/>
  <c r="H82" i="24"/>
  <c r="D81" i="24"/>
  <c r="H79" i="24"/>
  <c r="F81" i="24"/>
  <c r="D80" i="24"/>
  <c r="G79" i="24"/>
  <c r="G81" i="24"/>
  <c r="G82" i="24"/>
  <c r="G83" i="24"/>
  <c r="G84" i="24"/>
  <c r="G85" i="24"/>
  <c r="G86" i="24"/>
  <c r="G87" i="24"/>
  <c r="G88" i="24"/>
  <c r="G90" i="24"/>
  <c r="G91" i="24"/>
  <c r="G92" i="24"/>
  <c r="G93" i="24"/>
  <c r="G94" i="24"/>
  <c r="G95" i="24"/>
  <c r="G96" i="24"/>
  <c r="G97" i="24"/>
  <c r="G98" i="24"/>
  <c r="G99" i="24"/>
  <c r="G100" i="24"/>
  <c r="G101" i="24"/>
  <c r="G102" i="24"/>
  <c r="G103" i="24"/>
  <c r="G104" i="24"/>
  <c r="G105" i="24"/>
  <c r="G106" i="24"/>
  <c r="G107" i="24"/>
  <c r="G108" i="24"/>
  <c r="G109" i="24"/>
  <c r="G110" i="24"/>
  <c r="G111" i="24"/>
  <c r="G112" i="24"/>
  <c r="G113" i="24"/>
  <c r="G114" i="24"/>
  <c r="G115" i="24"/>
  <c r="G116" i="24"/>
  <c r="H80" i="24"/>
  <c r="I80" i="24"/>
  <c r="J80" i="24"/>
  <c r="K80" i="24"/>
  <c r="L80" i="24"/>
  <c r="M80" i="24"/>
  <c r="N80" i="24"/>
  <c r="O80" i="24"/>
  <c r="Q80" i="24"/>
  <c r="R80" i="24"/>
  <c r="S80" i="24"/>
  <c r="T80" i="24"/>
  <c r="U80" i="24"/>
  <c r="V80" i="24"/>
  <c r="W80" i="24"/>
  <c r="X80" i="24"/>
  <c r="Z80" i="24"/>
  <c r="AA80" i="24"/>
  <c r="AB80" i="24"/>
  <c r="AC80" i="24"/>
  <c r="AD80" i="24"/>
  <c r="AE80" i="24"/>
  <c r="AF80" i="24"/>
  <c r="AG80" i="24"/>
  <c r="AH80" i="24"/>
  <c r="AI80" i="24"/>
  <c r="AJ80" i="24"/>
  <c r="AK80" i="24"/>
  <c r="AL80" i="24"/>
  <c r="AM80" i="24"/>
  <c r="AN80" i="24"/>
  <c r="AO80" i="24"/>
  <c r="AP80" i="24"/>
  <c r="AQ80" i="24"/>
  <c r="L18" i="24"/>
  <c r="G18" i="24"/>
  <c r="F18" i="24" s="1"/>
  <c r="L34" i="24"/>
  <c r="L25" i="24"/>
  <c r="L63" i="24"/>
  <c r="O15" i="24"/>
  <c r="V15" i="24"/>
  <c r="BH15" i="24"/>
  <c r="BK11" i="24"/>
  <c r="BK10" i="24" s="1"/>
  <c r="BK9" i="24" s="1"/>
  <c r="BK18" i="24"/>
  <c r="BK25" i="24"/>
  <c r="BH18" i="24"/>
  <c r="P9" i="24"/>
  <c r="O34" i="24"/>
  <c r="O25" i="24" s="1"/>
  <c r="O63" i="24"/>
  <c r="G17" i="24"/>
  <c r="F22" i="24"/>
  <c r="E27" i="24"/>
  <c r="AH37" i="24"/>
  <c r="AH34" i="24" s="1"/>
  <c r="AH25" i="24" s="1"/>
  <c r="AH7" i="24" s="1"/>
  <c r="BH35" i="24"/>
  <c r="AF35" i="24"/>
  <c r="AE35" i="24" s="1"/>
  <c r="V35" i="24" s="1"/>
  <c r="W26" i="24"/>
  <c r="W25" i="24" s="1"/>
  <c r="O16" i="24"/>
  <c r="K14" i="24"/>
  <c r="K11" i="24" s="1"/>
  <c r="K10" i="24" s="1"/>
  <c r="K9" i="24" s="1"/>
  <c r="K8" i="24" s="1"/>
  <c r="K7" i="24" s="1"/>
  <c r="N10" i="24"/>
  <c r="AQ80" i="25"/>
  <c r="AQ81" i="25"/>
  <c r="AQ82" i="25"/>
  <c r="AQ83" i="25"/>
  <c r="AQ84" i="25"/>
  <c r="AQ85" i="25"/>
  <c r="AQ86" i="25"/>
  <c r="AQ87" i="25"/>
  <c r="AQ89" i="25"/>
  <c r="AQ90" i="25"/>
  <c r="AQ91" i="25"/>
  <c r="AQ93" i="25"/>
  <c r="AQ94" i="25"/>
  <c r="AQ95" i="25"/>
  <c r="AQ96" i="25"/>
  <c r="AQ98" i="25"/>
  <c r="AQ99" i="25"/>
  <c r="AQ100" i="25"/>
  <c r="AQ101" i="25"/>
  <c r="AQ102" i="25"/>
  <c r="AQ103" i="25"/>
  <c r="AQ104" i="25"/>
  <c r="AQ105" i="25"/>
  <c r="AQ107" i="25"/>
  <c r="AQ108" i="25"/>
  <c r="AQ109" i="25"/>
  <c r="AQ110" i="25"/>
  <c r="AQ111" i="25"/>
  <c r="AQ112" i="25"/>
  <c r="AQ113" i="25"/>
  <c r="AQ114" i="25"/>
  <c r="H115" i="25"/>
  <c r="I115" i="25"/>
  <c r="K115" i="25"/>
  <c r="N115" i="25"/>
  <c r="O115" i="25"/>
  <c r="Q115" i="25"/>
  <c r="S115" i="25"/>
  <c r="U115" i="25"/>
  <c r="V115" i="25"/>
  <c r="P115" i="25" s="1"/>
  <c r="W115" i="25"/>
  <c r="X115" i="25"/>
  <c r="Z115" i="25"/>
  <c r="AA115" i="25"/>
  <c r="AB115" i="25"/>
  <c r="AC115" i="25"/>
  <c r="AD115" i="25"/>
  <c r="AF115" i="25"/>
  <c r="AG115" i="25"/>
  <c r="AH115" i="25"/>
  <c r="AI115" i="25"/>
  <c r="AJ115" i="25"/>
  <c r="AL115" i="25"/>
  <c r="AM115" i="25"/>
  <c r="AN115" i="25"/>
  <c r="AO115" i="25"/>
  <c r="AP115" i="25"/>
  <c r="D114" i="25"/>
  <c r="AP78" i="25"/>
  <c r="AP80" i="25"/>
  <c r="AP81" i="25"/>
  <c r="AP82" i="25"/>
  <c r="AP83" i="25"/>
  <c r="AP84" i="25"/>
  <c r="AP85" i="25"/>
  <c r="AP86" i="25"/>
  <c r="AP87" i="25"/>
  <c r="AP89" i="25"/>
  <c r="AP90" i="25"/>
  <c r="AP91" i="25"/>
  <c r="AP93" i="25"/>
  <c r="AP94" i="25"/>
  <c r="AP95" i="25"/>
  <c r="AP96" i="25"/>
  <c r="AP97" i="25"/>
  <c r="AP98" i="25"/>
  <c r="AP99" i="25"/>
  <c r="AP100" i="25"/>
  <c r="AP101" i="25"/>
  <c r="AP102" i="25"/>
  <c r="AP103" i="25"/>
  <c r="AP104" i="25"/>
  <c r="AP105" i="25"/>
  <c r="AP106" i="25"/>
  <c r="AP107" i="25"/>
  <c r="AP108" i="25"/>
  <c r="AP109" i="25"/>
  <c r="AP110" i="25"/>
  <c r="AP111" i="25"/>
  <c r="AP112" i="25"/>
  <c r="AP113" i="25"/>
  <c r="F114" i="25"/>
  <c r="H114" i="25"/>
  <c r="I114" i="25"/>
  <c r="J114" i="25"/>
  <c r="K114" i="25"/>
  <c r="L114" i="25"/>
  <c r="M114" i="25"/>
  <c r="N114" i="25"/>
  <c r="O114" i="25"/>
  <c r="Q114" i="25"/>
  <c r="R114" i="25"/>
  <c r="S114" i="25"/>
  <c r="U114" i="25"/>
  <c r="V114" i="25"/>
  <c r="W114" i="25"/>
  <c r="X114" i="25"/>
  <c r="Y114" i="25"/>
  <c r="Z114" i="25"/>
  <c r="AA114" i="25"/>
  <c r="AB114" i="25"/>
  <c r="AC114" i="25"/>
  <c r="AD114" i="25"/>
  <c r="AE114" i="25"/>
  <c r="AF114" i="25"/>
  <c r="AG114" i="25"/>
  <c r="AH114" i="25"/>
  <c r="AI114" i="25"/>
  <c r="AJ114" i="25"/>
  <c r="AK114" i="25"/>
  <c r="AL114" i="25"/>
  <c r="AM114" i="25"/>
  <c r="AN114" i="25"/>
  <c r="AO114" i="25"/>
  <c r="D113" i="25"/>
  <c r="AO78" i="25"/>
  <c r="AO80" i="25"/>
  <c r="AO81" i="25"/>
  <c r="AO82" i="25"/>
  <c r="AO83" i="25"/>
  <c r="AO84" i="25"/>
  <c r="AO85" i="25"/>
  <c r="AO86" i="25"/>
  <c r="AO87" i="25"/>
  <c r="AO89" i="25"/>
  <c r="AO90" i="25"/>
  <c r="AO91" i="25"/>
  <c r="AO93" i="25"/>
  <c r="AO94" i="25"/>
  <c r="AO95" i="25"/>
  <c r="AO96" i="25"/>
  <c r="AO98" i="25"/>
  <c r="AO99" i="25"/>
  <c r="AO100" i="25"/>
  <c r="AO101" i="25"/>
  <c r="AO102" i="25"/>
  <c r="AO103" i="25"/>
  <c r="AO104" i="25"/>
  <c r="AO105" i="25"/>
  <c r="AO106" i="25"/>
  <c r="AO107" i="25"/>
  <c r="AO108" i="25"/>
  <c r="AO109" i="25"/>
  <c r="AO110" i="25"/>
  <c r="AO111" i="25"/>
  <c r="AO112" i="25"/>
  <c r="F113" i="25"/>
  <c r="H113" i="25"/>
  <c r="I113" i="25"/>
  <c r="J113" i="25"/>
  <c r="K113" i="25"/>
  <c r="L113" i="25"/>
  <c r="M113" i="25"/>
  <c r="N113" i="25"/>
  <c r="O113" i="25"/>
  <c r="Q113" i="25"/>
  <c r="R113" i="25"/>
  <c r="S113" i="25"/>
  <c r="U113" i="25"/>
  <c r="V113" i="25"/>
  <c r="W113" i="25"/>
  <c r="X113" i="25"/>
  <c r="Y113" i="25"/>
  <c r="Z113" i="25"/>
  <c r="AA113" i="25"/>
  <c r="AB113" i="25"/>
  <c r="AC113" i="25"/>
  <c r="AD113" i="25"/>
  <c r="AE113" i="25"/>
  <c r="AF113" i="25"/>
  <c r="AG113" i="25"/>
  <c r="AH113" i="25"/>
  <c r="AI113" i="25"/>
  <c r="AJ113" i="25"/>
  <c r="AK113" i="25"/>
  <c r="AL113" i="25"/>
  <c r="AM113" i="25"/>
  <c r="AN113" i="25"/>
  <c r="D112" i="25"/>
  <c r="AN80" i="25"/>
  <c r="AN81" i="25"/>
  <c r="AN82" i="25"/>
  <c r="AN83" i="25"/>
  <c r="AN84" i="25"/>
  <c r="AN85" i="25"/>
  <c r="AN86" i="25"/>
  <c r="AN87" i="25"/>
  <c r="AN89" i="25"/>
  <c r="AN90" i="25"/>
  <c r="AN91" i="25"/>
  <c r="AN93" i="25"/>
  <c r="AN94" i="25"/>
  <c r="AN95" i="25"/>
  <c r="AN96" i="25"/>
  <c r="AN97" i="25"/>
  <c r="AN98" i="25"/>
  <c r="AN99" i="25"/>
  <c r="AN100" i="25"/>
  <c r="AN101" i="25"/>
  <c r="AN102" i="25"/>
  <c r="AN103" i="25"/>
  <c r="AN104" i="25"/>
  <c r="AN105" i="25"/>
  <c r="AN106" i="25"/>
  <c r="AN107" i="25"/>
  <c r="AN108" i="25"/>
  <c r="AN109" i="25"/>
  <c r="AN110" i="25"/>
  <c r="AN111" i="25"/>
  <c r="F112" i="25"/>
  <c r="H112" i="25"/>
  <c r="I112" i="25"/>
  <c r="J112" i="25"/>
  <c r="K112" i="25"/>
  <c r="L112" i="25"/>
  <c r="M112" i="25"/>
  <c r="M88" i="25" s="1"/>
  <c r="N112" i="25"/>
  <c r="O112" i="25"/>
  <c r="Q112" i="25"/>
  <c r="R112" i="25"/>
  <c r="S112" i="25"/>
  <c r="U112" i="25"/>
  <c r="V112" i="25"/>
  <c r="W112" i="25"/>
  <c r="X112" i="25"/>
  <c r="Z112" i="25"/>
  <c r="AA112" i="25"/>
  <c r="AB112" i="25"/>
  <c r="AC112" i="25"/>
  <c r="AD112" i="25"/>
  <c r="AE112" i="25"/>
  <c r="AF112" i="25"/>
  <c r="AG112" i="25"/>
  <c r="AH112" i="25"/>
  <c r="AI112" i="25"/>
  <c r="AJ112" i="25"/>
  <c r="AK112" i="25"/>
  <c r="AL112" i="25"/>
  <c r="AM112" i="25"/>
  <c r="D111" i="25"/>
  <c r="AM78" i="25"/>
  <c r="AM80" i="25"/>
  <c r="AM81" i="25"/>
  <c r="AM82" i="25"/>
  <c r="AM83" i="25"/>
  <c r="AM84" i="25"/>
  <c r="AM85" i="25"/>
  <c r="AM86" i="25"/>
  <c r="AM87" i="25"/>
  <c r="AM89" i="25"/>
  <c r="AM90" i="25"/>
  <c r="AM91" i="25"/>
  <c r="AM93" i="25"/>
  <c r="AM94" i="25"/>
  <c r="AM95" i="25"/>
  <c r="AM96" i="25"/>
  <c r="AM98" i="25"/>
  <c r="AM99" i="25"/>
  <c r="AM100" i="25"/>
  <c r="AM101" i="25"/>
  <c r="AM102" i="25"/>
  <c r="AM103" i="25"/>
  <c r="AM104" i="25"/>
  <c r="AM105" i="25"/>
  <c r="AM106" i="25"/>
  <c r="AM107" i="25"/>
  <c r="AM108" i="25"/>
  <c r="AM109" i="25"/>
  <c r="AM110" i="25"/>
  <c r="F111" i="25"/>
  <c r="H111" i="25"/>
  <c r="I111" i="25"/>
  <c r="J111" i="25"/>
  <c r="K111" i="25"/>
  <c r="L111" i="25"/>
  <c r="M111" i="25"/>
  <c r="N111" i="25"/>
  <c r="O111" i="25"/>
  <c r="Q111" i="25"/>
  <c r="R111" i="25"/>
  <c r="S111" i="25"/>
  <c r="U111" i="25"/>
  <c r="V111" i="25"/>
  <c r="W111" i="25"/>
  <c r="X111" i="25"/>
  <c r="Y111" i="25"/>
  <c r="Z111" i="25"/>
  <c r="AA111" i="25"/>
  <c r="AB111" i="25"/>
  <c r="AC111" i="25"/>
  <c r="AD111" i="25"/>
  <c r="AE111" i="25"/>
  <c r="AF111" i="25"/>
  <c r="AG111" i="25"/>
  <c r="AH111" i="25"/>
  <c r="AI111" i="25"/>
  <c r="AJ111" i="25"/>
  <c r="AK111" i="25"/>
  <c r="AL111" i="25"/>
  <c r="D110" i="25"/>
  <c r="AL80" i="25"/>
  <c r="AL81" i="25"/>
  <c r="AL82" i="25"/>
  <c r="AL83" i="25"/>
  <c r="AL84" i="25"/>
  <c r="AL85" i="25"/>
  <c r="AL86" i="25"/>
  <c r="AL87" i="25"/>
  <c r="AL89" i="25"/>
  <c r="AL90" i="25"/>
  <c r="AL91" i="25"/>
  <c r="AL93" i="25"/>
  <c r="AL94" i="25"/>
  <c r="AL95" i="25"/>
  <c r="AL96" i="25"/>
  <c r="AL97" i="25"/>
  <c r="AL98" i="25"/>
  <c r="AL99" i="25"/>
  <c r="AL100" i="25"/>
  <c r="AL101" i="25"/>
  <c r="AL102" i="25"/>
  <c r="AL103" i="25"/>
  <c r="AL104" i="25"/>
  <c r="AL105" i="25"/>
  <c r="AL106" i="25"/>
  <c r="AL107" i="25"/>
  <c r="AL108" i="25"/>
  <c r="AL109" i="25"/>
  <c r="F110" i="25"/>
  <c r="H110" i="25"/>
  <c r="I110" i="25"/>
  <c r="J110" i="25"/>
  <c r="K110" i="25"/>
  <c r="L110" i="25"/>
  <c r="M110" i="25"/>
  <c r="N110" i="25"/>
  <c r="O110" i="25"/>
  <c r="Q110" i="25"/>
  <c r="R110" i="25"/>
  <c r="S110" i="25"/>
  <c r="U110" i="25"/>
  <c r="V110" i="25"/>
  <c r="W110" i="25"/>
  <c r="X110" i="25"/>
  <c r="Y110" i="25"/>
  <c r="Z110" i="25"/>
  <c r="AA110" i="25"/>
  <c r="AB110" i="25"/>
  <c r="AC110" i="25"/>
  <c r="AD110" i="25"/>
  <c r="AE110" i="25"/>
  <c r="AF110" i="25"/>
  <c r="AG110" i="25"/>
  <c r="AH110" i="25"/>
  <c r="AI110" i="25"/>
  <c r="AJ110" i="25"/>
  <c r="AK110" i="25"/>
  <c r="D109" i="25"/>
  <c r="AK80" i="25"/>
  <c r="AK81" i="25"/>
  <c r="AK82" i="25"/>
  <c r="AK83" i="25"/>
  <c r="AK84" i="25"/>
  <c r="AK85" i="25"/>
  <c r="AK86" i="25"/>
  <c r="AK87" i="25"/>
  <c r="AK89" i="25"/>
  <c r="AK90" i="25"/>
  <c r="AK91" i="25"/>
  <c r="AK93" i="25"/>
  <c r="AK94" i="25"/>
  <c r="AK95" i="25"/>
  <c r="AK96" i="25"/>
  <c r="AK98" i="25"/>
  <c r="AK99" i="25"/>
  <c r="AK100" i="25"/>
  <c r="AK101" i="25"/>
  <c r="AK102" i="25"/>
  <c r="AK103" i="25"/>
  <c r="AK104" i="25"/>
  <c r="AK105" i="25"/>
  <c r="AK106" i="25"/>
  <c r="AK107" i="25"/>
  <c r="AK108" i="25"/>
  <c r="AK115" i="25"/>
  <c r="F109" i="25"/>
  <c r="H109" i="25"/>
  <c r="I109" i="25"/>
  <c r="J109" i="25"/>
  <c r="K109" i="25"/>
  <c r="L109" i="25"/>
  <c r="M109" i="25"/>
  <c r="N109" i="25"/>
  <c r="O109" i="25"/>
  <c r="Q109" i="25"/>
  <c r="R109" i="25"/>
  <c r="S109" i="25"/>
  <c r="U109" i="25"/>
  <c r="V109" i="25"/>
  <c r="W109" i="25"/>
  <c r="X109" i="25"/>
  <c r="Y109" i="25"/>
  <c r="Z109" i="25"/>
  <c r="AA109" i="25"/>
  <c r="AB109" i="25"/>
  <c r="AC109" i="25"/>
  <c r="AD109" i="25"/>
  <c r="AE109" i="25"/>
  <c r="AF109" i="25"/>
  <c r="AG109" i="25"/>
  <c r="AH109" i="25"/>
  <c r="AI109" i="25"/>
  <c r="AJ109" i="25"/>
  <c r="D108" i="25"/>
  <c r="AJ78" i="25"/>
  <c r="AJ80" i="25"/>
  <c r="AJ81" i="25"/>
  <c r="AJ82" i="25"/>
  <c r="AJ83" i="25"/>
  <c r="AJ84" i="25"/>
  <c r="AJ85" i="25"/>
  <c r="AJ86" i="25"/>
  <c r="AJ87" i="25"/>
  <c r="AJ89" i="25"/>
  <c r="AJ90" i="25"/>
  <c r="AJ91" i="25"/>
  <c r="AJ93" i="25"/>
  <c r="AJ94" i="25"/>
  <c r="AJ95" i="25"/>
  <c r="AJ96" i="25"/>
  <c r="AJ98" i="25"/>
  <c r="AJ99" i="25"/>
  <c r="AJ100" i="25"/>
  <c r="AJ101" i="25"/>
  <c r="AJ102" i="25"/>
  <c r="AJ103" i="25"/>
  <c r="AJ104" i="25"/>
  <c r="AJ105" i="25"/>
  <c r="AJ106" i="25"/>
  <c r="AJ107" i="25"/>
  <c r="F108" i="25"/>
  <c r="H108" i="25"/>
  <c r="I108" i="25"/>
  <c r="J108" i="25"/>
  <c r="K108" i="25"/>
  <c r="L108" i="25"/>
  <c r="M108" i="25"/>
  <c r="N108" i="25"/>
  <c r="O108" i="25"/>
  <c r="Q108" i="25"/>
  <c r="R108" i="25"/>
  <c r="S108" i="25"/>
  <c r="U108" i="25"/>
  <c r="V108" i="25"/>
  <c r="W108" i="25"/>
  <c r="X108" i="25"/>
  <c r="Y108" i="25"/>
  <c r="Z108" i="25"/>
  <c r="AA108" i="25"/>
  <c r="AB108" i="25"/>
  <c r="AC108" i="25"/>
  <c r="AD108" i="25"/>
  <c r="AE108" i="25"/>
  <c r="AF108" i="25"/>
  <c r="AG108" i="25"/>
  <c r="AH108" i="25"/>
  <c r="AI108" i="25"/>
  <c r="D107" i="25"/>
  <c r="AI80" i="25"/>
  <c r="AI81" i="25"/>
  <c r="AI82" i="25"/>
  <c r="AI83" i="25"/>
  <c r="AI84" i="25"/>
  <c r="AI85" i="25"/>
  <c r="AI86" i="25"/>
  <c r="AI87" i="25"/>
  <c r="AI89" i="25"/>
  <c r="AI90" i="25"/>
  <c r="AI91" i="25"/>
  <c r="AI93" i="25"/>
  <c r="AI94" i="25"/>
  <c r="AI95" i="25"/>
  <c r="AI96" i="25"/>
  <c r="AI97" i="25"/>
  <c r="AI98" i="25"/>
  <c r="AI99" i="25"/>
  <c r="AI100" i="25"/>
  <c r="AI101" i="25"/>
  <c r="AI102" i="25"/>
  <c r="AI103" i="25"/>
  <c r="AI104" i="25"/>
  <c r="AI105" i="25"/>
  <c r="AI106" i="25"/>
  <c r="F107" i="25"/>
  <c r="H107" i="25"/>
  <c r="I107" i="25"/>
  <c r="J107" i="25"/>
  <c r="K107" i="25"/>
  <c r="L107" i="25"/>
  <c r="M107" i="25"/>
  <c r="N107" i="25"/>
  <c r="O107" i="25"/>
  <c r="Q107" i="25"/>
  <c r="R107" i="25"/>
  <c r="S107" i="25"/>
  <c r="U107" i="25"/>
  <c r="V107" i="25"/>
  <c r="W107" i="25"/>
  <c r="X107" i="25"/>
  <c r="Y107" i="25"/>
  <c r="Z107" i="25"/>
  <c r="AA107" i="25"/>
  <c r="AB107" i="25"/>
  <c r="AC107" i="25"/>
  <c r="AD107" i="25"/>
  <c r="AE107" i="25"/>
  <c r="AF107" i="25"/>
  <c r="AG107" i="25"/>
  <c r="AH107" i="25"/>
  <c r="D106" i="25"/>
  <c r="AH78" i="25"/>
  <c r="AH80" i="25"/>
  <c r="AH81" i="25"/>
  <c r="AH82" i="25"/>
  <c r="AH83" i="25"/>
  <c r="AH84" i="25"/>
  <c r="AH85" i="25"/>
  <c r="AH86" i="25"/>
  <c r="AH87" i="25"/>
  <c r="AH89" i="25"/>
  <c r="AH90" i="25"/>
  <c r="AH91" i="25"/>
  <c r="AH93" i="25"/>
  <c r="AH94" i="25"/>
  <c r="AH95" i="25"/>
  <c r="AH96" i="25"/>
  <c r="AH97" i="25"/>
  <c r="AH98" i="25"/>
  <c r="AH99" i="25"/>
  <c r="AH100" i="25"/>
  <c r="AH101" i="25"/>
  <c r="AH102" i="25"/>
  <c r="AH103" i="25"/>
  <c r="AH104" i="25"/>
  <c r="AH105" i="25"/>
  <c r="F106" i="25"/>
  <c r="H106" i="25"/>
  <c r="I106" i="25"/>
  <c r="J106" i="25"/>
  <c r="K106" i="25"/>
  <c r="L106" i="25"/>
  <c r="M106" i="25"/>
  <c r="N106" i="25"/>
  <c r="O106" i="25"/>
  <c r="Q106" i="25"/>
  <c r="R106" i="25"/>
  <c r="S106" i="25"/>
  <c r="U106" i="25"/>
  <c r="V106" i="25"/>
  <c r="W106" i="25"/>
  <c r="X106" i="25"/>
  <c r="Y106" i="25"/>
  <c r="Z106" i="25"/>
  <c r="AA106" i="25"/>
  <c r="AB106" i="25"/>
  <c r="AC106" i="25"/>
  <c r="AD106" i="25"/>
  <c r="AE106" i="25"/>
  <c r="AF106" i="25"/>
  <c r="AG106" i="25"/>
  <c r="D105" i="25"/>
  <c r="AG78" i="25"/>
  <c r="AG80" i="25"/>
  <c r="AG81" i="25"/>
  <c r="AG82" i="25"/>
  <c r="AG83" i="25"/>
  <c r="AG84" i="25"/>
  <c r="AG85" i="25"/>
  <c r="AG86" i="25"/>
  <c r="AG87" i="25"/>
  <c r="AG89" i="25"/>
  <c r="AG90" i="25"/>
  <c r="AG91" i="25"/>
  <c r="AG93" i="25"/>
  <c r="AG94" i="25"/>
  <c r="AG95" i="25"/>
  <c r="AG96" i="25"/>
  <c r="AG97" i="25"/>
  <c r="AG98" i="25"/>
  <c r="AG99" i="25"/>
  <c r="AG100" i="25"/>
  <c r="AG101" i="25"/>
  <c r="AG102" i="25"/>
  <c r="AG103" i="25"/>
  <c r="AG104" i="25"/>
  <c r="F105" i="25"/>
  <c r="H105" i="25"/>
  <c r="I105" i="25"/>
  <c r="J105" i="25"/>
  <c r="K105" i="25"/>
  <c r="L105" i="25"/>
  <c r="M105" i="25"/>
  <c r="N105" i="25"/>
  <c r="O105" i="25"/>
  <c r="Q105" i="25"/>
  <c r="R105" i="25"/>
  <c r="S105" i="25"/>
  <c r="U105" i="25"/>
  <c r="V105" i="25"/>
  <c r="W105" i="25"/>
  <c r="X105" i="25"/>
  <c r="Y105" i="25"/>
  <c r="Z105" i="25"/>
  <c r="AA105" i="25"/>
  <c r="AB105" i="25"/>
  <c r="AC105" i="25"/>
  <c r="AD105" i="25"/>
  <c r="AE105" i="25"/>
  <c r="AF105" i="25"/>
  <c r="D104" i="25"/>
  <c r="AF78" i="25"/>
  <c r="AF80" i="25"/>
  <c r="AF81" i="25"/>
  <c r="AF82" i="25"/>
  <c r="AF83" i="25"/>
  <c r="AF84" i="25"/>
  <c r="AF85" i="25"/>
  <c r="AF86" i="25"/>
  <c r="AF87" i="25"/>
  <c r="AF89" i="25"/>
  <c r="AF90" i="25"/>
  <c r="AF91" i="25"/>
  <c r="AF93" i="25"/>
  <c r="AF94" i="25"/>
  <c r="AF95" i="25"/>
  <c r="AF96" i="25"/>
  <c r="AF97" i="25"/>
  <c r="AF98" i="25"/>
  <c r="AF99" i="25"/>
  <c r="AF100" i="25"/>
  <c r="AF101" i="25"/>
  <c r="AF102" i="25"/>
  <c r="AF103" i="25"/>
  <c r="F104" i="25"/>
  <c r="H104" i="25"/>
  <c r="I104" i="25"/>
  <c r="J104" i="25"/>
  <c r="K104" i="25"/>
  <c r="L104" i="25"/>
  <c r="M104" i="25"/>
  <c r="N104" i="25"/>
  <c r="O104" i="25"/>
  <c r="Q104" i="25"/>
  <c r="R104" i="25"/>
  <c r="S104" i="25"/>
  <c r="U104" i="25"/>
  <c r="V104" i="25"/>
  <c r="W104" i="25"/>
  <c r="X104" i="25"/>
  <c r="Y104" i="25"/>
  <c r="Z104" i="25"/>
  <c r="AA104" i="25"/>
  <c r="AB104" i="25"/>
  <c r="AC104" i="25"/>
  <c r="AD104" i="25"/>
  <c r="AE104" i="25"/>
  <c r="D103" i="25"/>
  <c r="AE78" i="25"/>
  <c r="AE80" i="25"/>
  <c r="AE81" i="25"/>
  <c r="AE82" i="25"/>
  <c r="AE83" i="25"/>
  <c r="AE84" i="25"/>
  <c r="AE85" i="25"/>
  <c r="AE86" i="25"/>
  <c r="AE87" i="25"/>
  <c r="AE89" i="25"/>
  <c r="AE90" i="25"/>
  <c r="AE91" i="25"/>
  <c r="AE93" i="25"/>
  <c r="AE94" i="25"/>
  <c r="AE95" i="25"/>
  <c r="AE96" i="25"/>
  <c r="AE97" i="25"/>
  <c r="AE98" i="25"/>
  <c r="AE99" i="25"/>
  <c r="AE100" i="25"/>
  <c r="AE101" i="25"/>
  <c r="AE102" i="25"/>
  <c r="F103" i="25"/>
  <c r="H103" i="25"/>
  <c r="I103" i="25"/>
  <c r="J103" i="25"/>
  <c r="K103" i="25"/>
  <c r="L103" i="25"/>
  <c r="M103" i="25"/>
  <c r="N103" i="25"/>
  <c r="O103" i="25"/>
  <c r="Q103" i="25"/>
  <c r="R103" i="25"/>
  <c r="S103" i="25"/>
  <c r="U103" i="25"/>
  <c r="V103" i="25"/>
  <c r="W103" i="25"/>
  <c r="X103" i="25"/>
  <c r="Y103" i="25"/>
  <c r="Z103" i="25"/>
  <c r="AA103" i="25"/>
  <c r="AB103" i="25"/>
  <c r="AC103" i="25"/>
  <c r="AD103" i="25"/>
  <c r="AD80" i="25"/>
  <c r="AD81" i="25"/>
  <c r="AD82" i="25"/>
  <c r="AD83" i="25"/>
  <c r="AD84" i="25"/>
  <c r="AD85" i="25"/>
  <c r="AD86" i="25"/>
  <c r="AD87" i="25"/>
  <c r="AD89" i="25"/>
  <c r="AD90" i="25"/>
  <c r="AD91" i="25"/>
  <c r="AD93" i="25"/>
  <c r="AD94" i="25"/>
  <c r="AD95" i="25"/>
  <c r="AD96" i="25"/>
  <c r="AD98" i="25"/>
  <c r="AD99" i="25"/>
  <c r="AD100" i="25"/>
  <c r="AD101" i="25"/>
  <c r="F102" i="25"/>
  <c r="H102" i="25"/>
  <c r="I102" i="25"/>
  <c r="J102" i="25"/>
  <c r="K102" i="25"/>
  <c r="L102" i="25"/>
  <c r="M102" i="25"/>
  <c r="N102" i="25"/>
  <c r="O102" i="25"/>
  <c r="Q102" i="25"/>
  <c r="R102" i="25"/>
  <c r="S102" i="25"/>
  <c r="U102" i="25"/>
  <c r="V102" i="25"/>
  <c r="W102" i="25"/>
  <c r="X102" i="25"/>
  <c r="Y102" i="25"/>
  <c r="Z102" i="25"/>
  <c r="AA102" i="25"/>
  <c r="AB102" i="25"/>
  <c r="AC102" i="25"/>
  <c r="D101" i="25"/>
  <c r="AC80" i="25"/>
  <c r="AC81" i="25"/>
  <c r="AC82" i="25"/>
  <c r="AC83" i="25"/>
  <c r="AC84" i="25"/>
  <c r="AC85" i="25"/>
  <c r="AC86" i="25"/>
  <c r="AC87" i="25"/>
  <c r="AC89" i="25"/>
  <c r="AC90" i="25"/>
  <c r="AC91" i="25"/>
  <c r="AC93" i="25"/>
  <c r="AC94" i="25"/>
  <c r="AC95" i="25"/>
  <c r="AC96" i="25"/>
  <c r="AC97" i="25"/>
  <c r="AC98" i="25"/>
  <c r="AC99" i="25"/>
  <c r="AC100" i="25"/>
  <c r="F101" i="25"/>
  <c r="H101" i="25"/>
  <c r="I101" i="25"/>
  <c r="J101" i="25"/>
  <c r="K101" i="25"/>
  <c r="L101" i="25"/>
  <c r="M101" i="25"/>
  <c r="N101" i="25"/>
  <c r="O101" i="25"/>
  <c r="Q101" i="25"/>
  <c r="R101" i="25"/>
  <c r="S101" i="25"/>
  <c r="U101" i="25"/>
  <c r="V101" i="25"/>
  <c r="W101" i="25"/>
  <c r="X101" i="25"/>
  <c r="Z101" i="25"/>
  <c r="AA101" i="25"/>
  <c r="AB101" i="25"/>
  <c r="D100" i="25"/>
  <c r="AB80" i="25"/>
  <c r="AB81" i="25"/>
  <c r="AB82" i="25"/>
  <c r="AB83" i="25"/>
  <c r="AB84" i="25"/>
  <c r="AB85" i="25"/>
  <c r="AB86" i="25"/>
  <c r="AB87" i="25"/>
  <c r="AB89" i="25"/>
  <c r="AB90" i="25"/>
  <c r="AB91" i="25"/>
  <c r="AB93" i="25"/>
  <c r="AB94" i="25"/>
  <c r="AB95" i="25"/>
  <c r="AB96" i="25"/>
  <c r="AB98" i="25"/>
  <c r="AB99" i="25"/>
  <c r="F100" i="25"/>
  <c r="H100" i="25"/>
  <c r="I100" i="25"/>
  <c r="J100" i="25"/>
  <c r="K100" i="25"/>
  <c r="L100" i="25"/>
  <c r="M100" i="25"/>
  <c r="N100" i="25"/>
  <c r="O100" i="25"/>
  <c r="Q100" i="25"/>
  <c r="R100" i="25"/>
  <c r="S100" i="25"/>
  <c r="U100" i="25"/>
  <c r="V100" i="25"/>
  <c r="W100" i="25"/>
  <c r="X100" i="25"/>
  <c r="Z100" i="25"/>
  <c r="AA100" i="25"/>
  <c r="D99" i="25"/>
  <c r="AA78" i="25"/>
  <c r="AA80" i="25"/>
  <c r="AA81" i="25"/>
  <c r="AA82" i="25"/>
  <c r="AA83" i="25"/>
  <c r="AA84" i="25"/>
  <c r="AA85" i="25"/>
  <c r="AA86" i="25"/>
  <c r="AA87" i="25"/>
  <c r="AA89" i="25"/>
  <c r="AA90" i="25"/>
  <c r="AA91" i="25"/>
  <c r="AA93" i="25"/>
  <c r="AA94" i="25"/>
  <c r="AA95" i="25"/>
  <c r="AA96" i="25"/>
  <c r="AA97" i="25"/>
  <c r="AA98" i="25"/>
  <c r="F99" i="25"/>
  <c r="H99" i="25"/>
  <c r="I99" i="25"/>
  <c r="J99" i="25"/>
  <c r="K99" i="25"/>
  <c r="L99" i="25"/>
  <c r="M99" i="25"/>
  <c r="N99" i="25"/>
  <c r="O99" i="25"/>
  <c r="Q99" i="25"/>
  <c r="R99" i="25"/>
  <c r="S99" i="25"/>
  <c r="U99" i="25"/>
  <c r="V99" i="25"/>
  <c r="W99" i="25"/>
  <c r="X99" i="25"/>
  <c r="Y99" i="25"/>
  <c r="Z99" i="25"/>
  <c r="D98" i="25"/>
  <c r="Z78" i="25"/>
  <c r="Z80" i="25"/>
  <c r="Z81" i="25"/>
  <c r="Z82" i="25"/>
  <c r="Z83" i="25"/>
  <c r="Z84" i="25"/>
  <c r="Z85" i="25"/>
  <c r="Z86" i="25"/>
  <c r="Z87" i="25"/>
  <c r="Z89" i="25"/>
  <c r="Z90" i="25"/>
  <c r="Z91" i="25"/>
  <c r="Z93" i="25"/>
  <c r="Z94" i="25"/>
  <c r="Z95" i="25"/>
  <c r="Z96" i="25"/>
  <c r="Z97" i="25"/>
  <c r="F98" i="25"/>
  <c r="H98" i="25"/>
  <c r="I98" i="25"/>
  <c r="J98" i="25"/>
  <c r="K98" i="25"/>
  <c r="L98" i="25"/>
  <c r="M98" i="25"/>
  <c r="N98" i="25"/>
  <c r="O98" i="25"/>
  <c r="Q98" i="25"/>
  <c r="R98" i="25"/>
  <c r="S98" i="25"/>
  <c r="U98" i="25"/>
  <c r="V98" i="25"/>
  <c r="W98" i="25"/>
  <c r="X98" i="25"/>
  <c r="Y98" i="25"/>
  <c r="Y80" i="25"/>
  <c r="Y81" i="25"/>
  <c r="Y82" i="25"/>
  <c r="Y83" i="25"/>
  <c r="Y84" i="25"/>
  <c r="Y86" i="25"/>
  <c r="Y89" i="25"/>
  <c r="Y90" i="25"/>
  <c r="Y91" i="25"/>
  <c r="Y93" i="25"/>
  <c r="Y94" i="25"/>
  <c r="Y95" i="25"/>
  <c r="Y96" i="25"/>
  <c r="H97" i="25"/>
  <c r="I97" i="25"/>
  <c r="J97" i="25"/>
  <c r="K97" i="25"/>
  <c r="L97" i="25"/>
  <c r="M97" i="25"/>
  <c r="N97" i="25"/>
  <c r="O97" i="25"/>
  <c r="Q97" i="25"/>
  <c r="R97" i="25"/>
  <c r="S97" i="25"/>
  <c r="U97" i="25"/>
  <c r="V97" i="25"/>
  <c r="W97" i="25"/>
  <c r="D96" i="25"/>
  <c r="X78" i="25"/>
  <c r="X80" i="25"/>
  <c r="X81" i="25"/>
  <c r="X82" i="25"/>
  <c r="X83" i="25"/>
  <c r="X84" i="25"/>
  <c r="X85" i="25"/>
  <c r="X86" i="25"/>
  <c r="X87" i="25"/>
  <c r="X89" i="25"/>
  <c r="X90" i="25"/>
  <c r="X91" i="25"/>
  <c r="X93" i="25"/>
  <c r="X94" i="25"/>
  <c r="X95" i="25"/>
  <c r="H96" i="25"/>
  <c r="I96" i="25"/>
  <c r="J96" i="25"/>
  <c r="K96" i="25"/>
  <c r="L96" i="25"/>
  <c r="M96" i="25"/>
  <c r="N96" i="25"/>
  <c r="O96" i="25"/>
  <c r="Q96" i="25"/>
  <c r="R96" i="25"/>
  <c r="S96" i="25"/>
  <c r="U96" i="25"/>
  <c r="V96" i="25"/>
  <c r="W96" i="25"/>
  <c r="D95" i="25"/>
  <c r="W78" i="25"/>
  <c r="W80" i="25"/>
  <c r="W81" i="25"/>
  <c r="W82" i="25"/>
  <c r="W83" i="25"/>
  <c r="W84" i="25"/>
  <c r="W85" i="25"/>
  <c r="W86" i="25"/>
  <c r="W87" i="25"/>
  <c r="W89" i="25"/>
  <c r="W90" i="25"/>
  <c r="W91" i="25"/>
  <c r="W93" i="25"/>
  <c r="W94" i="25"/>
  <c r="F95" i="25"/>
  <c r="H95" i="25"/>
  <c r="I95" i="25"/>
  <c r="J95" i="25"/>
  <c r="K95" i="25"/>
  <c r="L95" i="25"/>
  <c r="M95" i="25"/>
  <c r="N95" i="25"/>
  <c r="O95" i="25"/>
  <c r="Q95" i="25"/>
  <c r="R95" i="25"/>
  <c r="S95" i="25"/>
  <c r="U95" i="25"/>
  <c r="V95" i="25"/>
  <c r="D94" i="25"/>
  <c r="V80" i="25"/>
  <c r="V81" i="25"/>
  <c r="V82" i="25"/>
  <c r="V83" i="25"/>
  <c r="V84" i="25"/>
  <c r="V85" i="25"/>
  <c r="V86" i="25"/>
  <c r="V87" i="25"/>
  <c r="V89" i="25"/>
  <c r="V90" i="25"/>
  <c r="V91" i="25"/>
  <c r="V93" i="25"/>
  <c r="F94" i="25"/>
  <c r="H94" i="25"/>
  <c r="I94" i="25"/>
  <c r="J94" i="25"/>
  <c r="K94" i="25"/>
  <c r="L94" i="25"/>
  <c r="M94" i="25"/>
  <c r="N94" i="25"/>
  <c r="O94" i="25"/>
  <c r="Q94" i="25"/>
  <c r="R94" i="25"/>
  <c r="S94" i="25"/>
  <c r="U94" i="25"/>
  <c r="D93" i="25"/>
  <c r="U78" i="25"/>
  <c r="U80" i="25"/>
  <c r="U81" i="25"/>
  <c r="U82" i="25"/>
  <c r="U83" i="25"/>
  <c r="U84" i="25"/>
  <c r="U85" i="25"/>
  <c r="U86" i="25"/>
  <c r="U87" i="25"/>
  <c r="U89" i="25"/>
  <c r="U90" i="25"/>
  <c r="U91" i="25"/>
  <c r="F93" i="25"/>
  <c r="H93" i="25"/>
  <c r="I93" i="25"/>
  <c r="J93" i="25"/>
  <c r="K93" i="25"/>
  <c r="L93" i="25"/>
  <c r="M93" i="25"/>
  <c r="N93" i="25"/>
  <c r="O93" i="25"/>
  <c r="Q93" i="25"/>
  <c r="R93" i="25"/>
  <c r="S93" i="25"/>
  <c r="D91" i="25"/>
  <c r="S78" i="25"/>
  <c r="S80" i="25"/>
  <c r="S81" i="25"/>
  <c r="S82" i="25"/>
  <c r="S83" i="25"/>
  <c r="S84" i="25"/>
  <c r="S85" i="25"/>
  <c r="S86" i="25"/>
  <c r="S87" i="25"/>
  <c r="S89" i="25"/>
  <c r="S90" i="25"/>
  <c r="F91" i="25"/>
  <c r="H91" i="25"/>
  <c r="I91" i="25"/>
  <c r="J91" i="25"/>
  <c r="K91" i="25"/>
  <c r="L91" i="25"/>
  <c r="M91" i="25"/>
  <c r="N91" i="25"/>
  <c r="O91" i="25"/>
  <c r="Q91" i="25"/>
  <c r="R91" i="25"/>
  <c r="D90" i="25"/>
  <c r="R80" i="25"/>
  <c r="R81" i="25"/>
  <c r="R82" i="25"/>
  <c r="R83" i="25"/>
  <c r="R84" i="25"/>
  <c r="R85" i="25"/>
  <c r="R86" i="25"/>
  <c r="R87" i="25"/>
  <c r="R89" i="25"/>
  <c r="F90" i="25"/>
  <c r="H90" i="25"/>
  <c r="I90" i="25"/>
  <c r="J90" i="25"/>
  <c r="K90" i="25"/>
  <c r="L90" i="25"/>
  <c r="M90" i="25"/>
  <c r="N90" i="25"/>
  <c r="O90" i="25"/>
  <c r="Q90" i="25"/>
  <c r="D89" i="25"/>
  <c r="Q78" i="25"/>
  <c r="Q80" i="25"/>
  <c r="Q81" i="25"/>
  <c r="Q82" i="25"/>
  <c r="Q83" i="25"/>
  <c r="Q84" i="25"/>
  <c r="Q85" i="25"/>
  <c r="Q86" i="25"/>
  <c r="Q87" i="25"/>
  <c r="F89" i="25"/>
  <c r="H89" i="25"/>
  <c r="I89" i="25"/>
  <c r="J89" i="25"/>
  <c r="K89" i="25"/>
  <c r="L89" i="25"/>
  <c r="M89" i="25"/>
  <c r="N89" i="25"/>
  <c r="O89" i="25"/>
  <c r="D87" i="25"/>
  <c r="O80" i="25"/>
  <c r="O81" i="25"/>
  <c r="O82" i="25"/>
  <c r="O83" i="25"/>
  <c r="O84" i="25"/>
  <c r="O85" i="25"/>
  <c r="O86" i="25"/>
  <c r="F87" i="25"/>
  <c r="H87" i="25"/>
  <c r="I87" i="25"/>
  <c r="J87" i="25"/>
  <c r="K87" i="25"/>
  <c r="L87" i="25"/>
  <c r="M87" i="25"/>
  <c r="N87" i="25"/>
  <c r="D86" i="25"/>
  <c r="N78" i="25"/>
  <c r="N80" i="25"/>
  <c r="N81" i="25"/>
  <c r="N82" i="25"/>
  <c r="N83" i="25"/>
  <c r="N84" i="25"/>
  <c r="N85" i="25"/>
  <c r="F86" i="25"/>
  <c r="H86" i="25"/>
  <c r="I86" i="25"/>
  <c r="J86" i="25"/>
  <c r="K86" i="25"/>
  <c r="L86" i="25"/>
  <c r="M86" i="25"/>
  <c r="D85" i="25"/>
  <c r="M80" i="25"/>
  <c r="M81" i="25"/>
  <c r="M82" i="25"/>
  <c r="M83" i="25"/>
  <c r="M84" i="25"/>
  <c r="F85" i="25"/>
  <c r="H85" i="25"/>
  <c r="I85" i="25"/>
  <c r="J85" i="25"/>
  <c r="K85" i="25"/>
  <c r="L85" i="25"/>
  <c r="D84" i="25"/>
  <c r="R11" i="25"/>
  <c r="L80" i="25"/>
  <c r="L81" i="25"/>
  <c r="L82" i="25"/>
  <c r="L83" i="25"/>
  <c r="F84" i="25"/>
  <c r="H84" i="25"/>
  <c r="I84" i="25"/>
  <c r="J84" i="25"/>
  <c r="K84" i="25"/>
  <c r="D83" i="25"/>
  <c r="Q11" i="25"/>
  <c r="K78" i="25"/>
  <c r="K80" i="25"/>
  <c r="K81" i="25"/>
  <c r="K82" i="25"/>
  <c r="F83" i="25"/>
  <c r="H83" i="25"/>
  <c r="I83" i="25"/>
  <c r="J83" i="25"/>
  <c r="D82" i="25"/>
  <c r="J80" i="25"/>
  <c r="J81" i="25"/>
  <c r="F82" i="25"/>
  <c r="H82" i="25"/>
  <c r="I82" i="25"/>
  <c r="D81" i="25"/>
  <c r="I78" i="25"/>
  <c r="I80" i="25"/>
  <c r="F81" i="25"/>
  <c r="H81" i="25"/>
  <c r="D80" i="25"/>
  <c r="H78" i="25"/>
  <c r="F80" i="25"/>
  <c r="D79" i="25"/>
  <c r="G78" i="25"/>
  <c r="G80" i="25"/>
  <c r="G81" i="25"/>
  <c r="G82" i="25"/>
  <c r="G83" i="25"/>
  <c r="G84" i="25"/>
  <c r="G85" i="25"/>
  <c r="G86" i="25"/>
  <c r="G87" i="25"/>
  <c r="G89" i="25"/>
  <c r="G90" i="25"/>
  <c r="G91" i="25"/>
  <c r="G92" i="25"/>
  <c r="G93" i="25"/>
  <c r="G94" i="25"/>
  <c r="G95" i="25"/>
  <c r="G96" i="25"/>
  <c r="G97" i="25"/>
  <c r="G98" i="25"/>
  <c r="G99" i="25"/>
  <c r="G100" i="25"/>
  <c r="G101" i="25"/>
  <c r="G102" i="25"/>
  <c r="G103" i="25"/>
  <c r="G104" i="25"/>
  <c r="G105" i="25"/>
  <c r="G106" i="25"/>
  <c r="G107" i="25"/>
  <c r="G108" i="25"/>
  <c r="G109" i="25"/>
  <c r="G110" i="25"/>
  <c r="G111" i="25"/>
  <c r="G112" i="25"/>
  <c r="G113" i="25"/>
  <c r="G114" i="25"/>
  <c r="G115" i="25"/>
  <c r="H79" i="25"/>
  <c r="I79" i="25"/>
  <c r="J79" i="25"/>
  <c r="K79" i="25"/>
  <c r="L79" i="25"/>
  <c r="M79" i="25"/>
  <c r="N79" i="25"/>
  <c r="O79" i="25"/>
  <c r="Q79" i="25"/>
  <c r="R79" i="25"/>
  <c r="S79" i="25"/>
  <c r="T79" i="25"/>
  <c r="U79" i="25"/>
  <c r="V79" i="25"/>
  <c r="W79" i="25"/>
  <c r="X79" i="25"/>
  <c r="Z79" i="25"/>
  <c r="AA79" i="25"/>
  <c r="AB79" i="25"/>
  <c r="AC79" i="25"/>
  <c r="AD79" i="25"/>
  <c r="AE79" i="25"/>
  <c r="AF79" i="25"/>
  <c r="AG79" i="25"/>
  <c r="AH79" i="25"/>
  <c r="AI79" i="25"/>
  <c r="AJ79" i="25"/>
  <c r="AK79" i="25"/>
  <c r="AL79" i="25"/>
  <c r="AM79" i="25"/>
  <c r="AN79" i="25"/>
  <c r="AO79" i="25"/>
  <c r="AP79" i="25"/>
  <c r="D78" i="25"/>
  <c r="AQ79" i="25"/>
  <c r="BK11" i="25"/>
  <c r="BK10" i="25" s="1"/>
  <c r="BK9" i="25" s="1"/>
  <c r="BK18" i="25"/>
  <c r="BK25" i="25"/>
  <c r="BH18" i="25"/>
  <c r="Q10" i="25"/>
  <c r="Q9" i="25" s="1"/>
  <c r="O34" i="25"/>
  <c r="O25" i="25" s="1"/>
  <c r="G17" i="25"/>
  <c r="G26" i="25"/>
  <c r="F22" i="25"/>
  <c r="E27" i="25"/>
  <c r="AX53" i="25"/>
  <c r="V53" i="25" s="1"/>
  <c r="AW52" i="25"/>
  <c r="AP45" i="25"/>
  <c r="AE45" i="25" s="1"/>
  <c r="V45" i="25" s="1"/>
  <c r="AN43" i="25"/>
  <c r="AE43" i="25" s="1"/>
  <c r="V43" i="25" s="1"/>
  <c r="AK40" i="25"/>
  <c r="AI38" i="25"/>
  <c r="AI34" i="25" s="1"/>
  <c r="AI25" i="25" s="1"/>
  <c r="AH37" i="25"/>
  <c r="AE37" i="25" s="1"/>
  <c r="V37" i="25" s="1"/>
  <c r="BH35" i="25"/>
  <c r="AF35" i="25"/>
  <c r="AF34" i="25" s="1"/>
  <c r="AF25" i="25" s="1"/>
  <c r="AF7" i="25" s="1"/>
  <c r="AB25" i="25"/>
  <c r="AX25" i="25"/>
  <c r="O16" i="25"/>
  <c r="K14" i="25"/>
  <c r="H14" i="25" s="1"/>
  <c r="G14" i="25" s="1"/>
  <c r="F14" i="25" s="1"/>
  <c r="E14" i="25" s="1"/>
  <c r="K11" i="25"/>
  <c r="K10" i="25" s="1"/>
  <c r="K9" i="25" s="1"/>
  <c r="K8" i="25" s="1"/>
  <c r="K7" i="25" s="1"/>
  <c r="N10" i="25"/>
  <c r="AQ80" i="26"/>
  <c r="AQ81" i="26"/>
  <c r="AQ82" i="26"/>
  <c r="AQ83" i="26"/>
  <c r="AQ84" i="26"/>
  <c r="AQ85" i="26"/>
  <c r="AQ86" i="26"/>
  <c r="AQ87" i="26"/>
  <c r="AQ89" i="26"/>
  <c r="AQ90" i="26"/>
  <c r="AQ91" i="26"/>
  <c r="AQ93" i="26"/>
  <c r="AQ94" i="26"/>
  <c r="AQ95" i="26"/>
  <c r="AQ96" i="26"/>
  <c r="AQ98" i="26"/>
  <c r="AQ99" i="26"/>
  <c r="AQ100" i="26"/>
  <c r="AQ101" i="26"/>
  <c r="AQ102" i="26"/>
  <c r="AQ103" i="26"/>
  <c r="AQ104" i="26"/>
  <c r="AQ106" i="26"/>
  <c r="AQ107" i="26"/>
  <c r="AQ108" i="26"/>
  <c r="AQ109" i="26"/>
  <c r="AQ110" i="26"/>
  <c r="AQ111" i="26"/>
  <c r="AQ112" i="26"/>
  <c r="AQ113" i="26"/>
  <c r="AQ114" i="26"/>
  <c r="H115" i="26"/>
  <c r="I115" i="26"/>
  <c r="J115" i="26"/>
  <c r="K115" i="26"/>
  <c r="L115" i="26"/>
  <c r="M115" i="26"/>
  <c r="N115" i="26"/>
  <c r="O115" i="26"/>
  <c r="Q115" i="26"/>
  <c r="R115" i="26"/>
  <c r="S115" i="26"/>
  <c r="U115" i="26"/>
  <c r="V115" i="26"/>
  <c r="W115" i="26"/>
  <c r="X115" i="26"/>
  <c r="Z115" i="26"/>
  <c r="AA115" i="26"/>
  <c r="AB115" i="26"/>
  <c r="AD115" i="26"/>
  <c r="AE115" i="26"/>
  <c r="AF115" i="26"/>
  <c r="AG115" i="26"/>
  <c r="AH115" i="26"/>
  <c r="AI115" i="26"/>
  <c r="AJ115" i="26"/>
  <c r="AL115" i="26"/>
  <c r="AM115" i="26"/>
  <c r="AN115" i="26"/>
  <c r="AO115" i="26"/>
  <c r="AP115" i="26"/>
  <c r="D114" i="26"/>
  <c r="AP78" i="26"/>
  <c r="AP80" i="26"/>
  <c r="AP81" i="26"/>
  <c r="AP82" i="26"/>
  <c r="AP83" i="26"/>
  <c r="AP84" i="26"/>
  <c r="AP85" i="26"/>
  <c r="AP86" i="26"/>
  <c r="AP87" i="26"/>
  <c r="AP89" i="26"/>
  <c r="AP90" i="26"/>
  <c r="AP91" i="26"/>
  <c r="AP93" i="26"/>
  <c r="AP94" i="26"/>
  <c r="AP95" i="26"/>
  <c r="AP96" i="26"/>
  <c r="AP97" i="26"/>
  <c r="AP98" i="26"/>
  <c r="AP99" i="26"/>
  <c r="AP100" i="26"/>
  <c r="AP101" i="26"/>
  <c r="AP102" i="26"/>
  <c r="AP103" i="26"/>
  <c r="AP104" i="26"/>
  <c r="AP105" i="26"/>
  <c r="AP106" i="26"/>
  <c r="AP107" i="26"/>
  <c r="AP108" i="26"/>
  <c r="AP109" i="26"/>
  <c r="AP110" i="26"/>
  <c r="AP111" i="26"/>
  <c r="AP112" i="26"/>
  <c r="AP113" i="26"/>
  <c r="F114" i="26"/>
  <c r="H114" i="26"/>
  <c r="I114" i="26"/>
  <c r="J114" i="26"/>
  <c r="K114" i="26"/>
  <c r="L114" i="26"/>
  <c r="M114" i="26"/>
  <c r="N114" i="26"/>
  <c r="O114" i="26"/>
  <c r="Q114" i="26"/>
  <c r="R114" i="26"/>
  <c r="S114" i="26"/>
  <c r="U114" i="26"/>
  <c r="V114" i="26"/>
  <c r="W114" i="26"/>
  <c r="X114" i="26"/>
  <c r="Y114" i="26"/>
  <c r="Z114" i="26"/>
  <c r="AA114" i="26"/>
  <c r="AB114" i="26"/>
  <c r="AC114" i="26"/>
  <c r="AD114" i="26"/>
  <c r="AE114" i="26"/>
  <c r="AF114" i="26"/>
  <c r="AG114" i="26"/>
  <c r="AH114" i="26"/>
  <c r="AI114" i="26"/>
  <c r="AJ114" i="26"/>
  <c r="AK114" i="26"/>
  <c r="AL114" i="26"/>
  <c r="AM114" i="26"/>
  <c r="AN114" i="26"/>
  <c r="AO114" i="26"/>
  <c r="D113" i="26"/>
  <c r="AO78" i="26"/>
  <c r="AO80" i="26"/>
  <c r="AO81" i="26"/>
  <c r="AO82" i="26"/>
  <c r="AO83" i="26"/>
  <c r="AO84" i="26"/>
  <c r="AO85" i="26"/>
  <c r="AO86" i="26"/>
  <c r="AO87" i="26"/>
  <c r="AO89" i="26"/>
  <c r="AO90" i="26"/>
  <c r="AO91" i="26"/>
  <c r="AO93" i="26"/>
  <c r="AO94" i="26"/>
  <c r="AO95" i="26"/>
  <c r="AO96" i="26"/>
  <c r="AO97" i="26"/>
  <c r="AO98" i="26"/>
  <c r="AO99" i="26"/>
  <c r="AO100" i="26"/>
  <c r="AO101" i="26"/>
  <c r="AO102" i="26"/>
  <c r="AO103" i="26"/>
  <c r="AO104" i="26"/>
  <c r="AO105" i="26"/>
  <c r="AO106" i="26"/>
  <c r="AO107" i="26"/>
  <c r="AO108" i="26"/>
  <c r="AO109" i="26"/>
  <c r="AO110" i="26"/>
  <c r="AO111" i="26"/>
  <c r="AO112" i="26"/>
  <c r="F113" i="26"/>
  <c r="H113" i="26"/>
  <c r="I113" i="26"/>
  <c r="J113" i="26"/>
  <c r="K113" i="26"/>
  <c r="L113" i="26"/>
  <c r="M113" i="26"/>
  <c r="N113" i="26"/>
  <c r="O113" i="26"/>
  <c r="Q113" i="26"/>
  <c r="R113" i="26"/>
  <c r="S113" i="26"/>
  <c r="U113" i="26"/>
  <c r="V113" i="26"/>
  <c r="W113" i="26"/>
  <c r="X113" i="26"/>
  <c r="Y113" i="26"/>
  <c r="Z113" i="26"/>
  <c r="AA113" i="26"/>
  <c r="AB113" i="26"/>
  <c r="AC113" i="26"/>
  <c r="AD113" i="26"/>
  <c r="AE113" i="26"/>
  <c r="AF113" i="26"/>
  <c r="AG113" i="26"/>
  <c r="AH113" i="26"/>
  <c r="AI113" i="26"/>
  <c r="AJ113" i="26"/>
  <c r="AK113" i="26"/>
  <c r="AL113" i="26"/>
  <c r="AM113" i="26"/>
  <c r="AN113" i="26"/>
  <c r="D112" i="26"/>
  <c r="AN78" i="26"/>
  <c r="AN80" i="26"/>
  <c r="AN81" i="26"/>
  <c r="AN82" i="26"/>
  <c r="AN83" i="26"/>
  <c r="AN84" i="26"/>
  <c r="AN85" i="26"/>
  <c r="AN86" i="26"/>
  <c r="AN87" i="26"/>
  <c r="AN89" i="26"/>
  <c r="AN90" i="26"/>
  <c r="AN91" i="26"/>
  <c r="AN93" i="26"/>
  <c r="AN94" i="26"/>
  <c r="AN95" i="26"/>
  <c r="AN96" i="26"/>
  <c r="AN97" i="26"/>
  <c r="AN98" i="26"/>
  <c r="AN99" i="26"/>
  <c r="AN100" i="26"/>
  <c r="AN101" i="26"/>
  <c r="AN102" i="26"/>
  <c r="AN103" i="26"/>
  <c r="AN104" i="26"/>
  <c r="AN105" i="26"/>
  <c r="AN106" i="26"/>
  <c r="AN107" i="26"/>
  <c r="AN108" i="26"/>
  <c r="AN109" i="26"/>
  <c r="AN110" i="26"/>
  <c r="AN111" i="26"/>
  <c r="F112" i="26"/>
  <c r="H112" i="26"/>
  <c r="I112" i="26"/>
  <c r="J112" i="26"/>
  <c r="K112" i="26"/>
  <c r="L112" i="26"/>
  <c r="M112" i="26"/>
  <c r="N112" i="26"/>
  <c r="O112" i="26"/>
  <c r="Q112" i="26"/>
  <c r="R112" i="26"/>
  <c r="S112" i="26"/>
  <c r="U112" i="26"/>
  <c r="V112" i="26"/>
  <c r="W112" i="26"/>
  <c r="X112" i="26"/>
  <c r="Y112" i="26"/>
  <c r="Z112" i="26"/>
  <c r="AA112" i="26"/>
  <c r="AB112" i="26"/>
  <c r="AC112" i="26"/>
  <c r="AD112" i="26"/>
  <c r="AE112" i="26"/>
  <c r="AF112" i="26"/>
  <c r="AG112" i="26"/>
  <c r="AH112" i="26"/>
  <c r="AI112" i="26"/>
  <c r="AJ112" i="26"/>
  <c r="AK112" i="26"/>
  <c r="AL112" i="26"/>
  <c r="AM112" i="26"/>
  <c r="D111" i="26"/>
  <c r="AM78" i="26"/>
  <c r="AM80" i="26"/>
  <c r="AM81" i="26"/>
  <c r="AM82" i="26"/>
  <c r="AM83" i="26"/>
  <c r="AM84" i="26"/>
  <c r="AM85" i="26"/>
  <c r="AM86" i="26"/>
  <c r="AM87" i="26"/>
  <c r="AM89" i="26"/>
  <c r="AM90" i="26"/>
  <c r="AM91" i="26"/>
  <c r="AM93" i="26"/>
  <c r="AM94" i="26"/>
  <c r="AM95" i="26"/>
  <c r="AM96" i="26"/>
  <c r="AM97" i="26"/>
  <c r="AM98" i="26"/>
  <c r="AM99" i="26"/>
  <c r="AM100" i="26"/>
  <c r="AM101" i="26"/>
  <c r="AM102" i="26"/>
  <c r="AM103" i="26"/>
  <c r="AM104" i="26"/>
  <c r="AM105" i="26"/>
  <c r="AM106" i="26"/>
  <c r="AM107" i="26"/>
  <c r="AM108" i="26"/>
  <c r="AM109" i="26"/>
  <c r="AM110" i="26"/>
  <c r="F111" i="26"/>
  <c r="H111" i="26"/>
  <c r="I111" i="26"/>
  <c r="J111" i="26"/>
  <c r="K111" i="26"/>
  <c r="L111" i="26"/>
  <c r="M111" i="26"/>
  <c r="N111" i="26"/>
  <c r="O111" i="26"/>
  <c r="Q111" i="26"/>
  <c r="R111" i="26"/>
  <c r="S111" i="26"/>
  <c r="U111" i="26"/>
  <c r="V111" i="26"/>
  <c r="W111" i="26"/>
  <c r="X111" i="26"/>
  <c r="Y111" i="26"/>
  <c r="Z111" i="26"/>
  <c r="AA111" i="26"/>
  <c r="AB111" i="26"/>
  <c r="AC111" i="26"/>
  <c r="AD111" i="26"/>
  <c r="AE111" i="26"/>
  <c r="AF111" i="26"/>
  <c r="AG111" i="26"/>
  <c r="AH111" i="26"/>
  <c r="AI111" i="26"/>
  <c r="AJ111" i="26"/>
  <c r="AK111" i="26"/>
  <c r="AL111" i="26"/>
  <c r="D110" i="26"/>
  <c r="AL78" i="26"/>
  <c r="AL80" i="26"/>
  <c r="AL81" i="26"/>
  <c r="AL82" i="26"/>
  <c r="AL83" i="26"/>
  <c r="AL84" i="26"/>
  <c r="AL85" i="26"/>
  <c r="AL86" i="26"/>
  <c r="AL87" i="26"/>
  <c r="AL89" i="26"/>
  <c r="AL90" i="26"/>
  <c r="AL91" i="26"/>
  <c r="AL93" i="26"/>
  <c r="AL94" i="26"/>
  <c r="AL95" i="26"/>
  <c r="AL96" i="26"/>
  <c r="AL97" i="26"/>
  <c r="AL98" i="26"/>
  <c r="AL99" i="26"/>
  <c r="AL100" i="26"/>
  <c r="AL101" i="26"/>
  <c r="AL102" i="26"/>
  <c r="AL103" i="26"/>
  <c r="AL104" i="26"/>
  <c r="AL105" i="26"/>
  <c r="AL106" i="26"/>
  <c r="AL107" i="26"/>
  <c r="AL108" i="26"/>
  <c r="AL109" i="26"/>
  <c r="F110" i="26"/>
  <c r="H110" i="26"/>
  <c r="I110" i="26"/>
  <c r="J110" i="26"/>
  <c r="K110" i="26"/>
  <c r="L110" i="26"/>
  <c r="M110" i="26"/>
  <c r="N110" i="26"/>
  <c r="O110" i="26"/>
  <c r="Q110" i="26"/>
  <c r="R110" i="26"/>
  <c r="S110" i="26"/>
  <c r="U110" i="26"/>
  <c r="V110" i="26"/>
  <c r="W110" i="26"/>
  <c r="X110" i="26"/>
  <c r="Y110" i="26"/>
  <c r="Z110" i="26"/>
  <c r="AA110" i="26"/>
  <c r="AB110" i="26"/>
  <c r="AC110" i="26"/>
  <c r="AD110" i="26"/>
  <c r="AE110" i="26"/>
  <c r="AF110" i="26"/>
  <c r="AG110" i="26"/>
  <c r="AH110" i="26"/>
  <c r="AI110" i="26"/>
  <c r="AJ110" i="26"/>
  <c r="AK110" i="26"/>
  <c r="D109" i="26"/>
  <c r="AK78" i="26"/>
  <c r="AK80" i="26"/>
  <c r="AK81" i="26"/>
  <c r="AK82" i="26"/>
  <c r="AK83" i="26"/>
  <c r="AK84" i="26"/>
  <c r="AK85" i="26"/>
  <c r="AK86" i="26"/>
  <c r="AK77" i="26" s="1"/>
  <c r="AK116" i="26" s="1"/>
  <c r="AK87" i="26"/>
  <c r="AK89" i="26"/>
  <c r="AK90" i="26"/>
  <c r="AK91" i="26"/>
  <c r="AK93" i="26"/>
  <c r="AK94" i="26"/>
  <c r="AK95" i="26"/>
  <c r="AK96" i="26"/>
  <c r="AK97" i="26"/>
  <c r="AK98" i="26"/>
  <c r="AK99" i="26"/>
  <c r="AK100" i="26"/>
  <c r="AK101" i="26"/>
  <c r="AK102" i="26"/>
  <c r="AK103" i="26"/>
  <c r="AK104" i="26"/>
  <c r="AK105" i="26"/>
  <c r="AK106" i="26"/>
  <c r="AK107" i="26"/>
  <c r="AK108" i="26"/>
  <c r="AK115" i="26"/>
  <c r="F109" i="26"/>
  <c r="H109" i="26"/>
  <c r="I109" i="26"/>
  <c r="J109" i="26"/>
  <c r="K109" i="26"/>
  <c r="L109" i="26"/>
  <c r="M109" i="26"/>
  <c r="N109" i="26"/>
  <c r="O109" i="26"/>
  <c r="Q109" i="26"/>
  <c r="R109" i="26"/>
  <c r="S109" i="26"/>
  <c r="U109" i="26"/>
  <c r="V109" i="26"/>
  <c r="W109" i="26"/>
  <c r="X109" i="26"/>
  <c r="Y109" i="26"/>
  <c r="Z109" i="26"/>
  <c r="AA109" i="26"/>
  <c r="AB109" i="26"/>
  <c r="AC109" i="26"/>
  <c r="AD109" i="26"/>
  <c r="AE109" i="26"/>
  <c r="AF109" i="26"/>
  <c r="AG109" i="26"/>
  <c r="AH109" i="26"/>
  <c r="AI109" i="26"/>
  <c r="AJ109" i="26"/>
  <c r="D108" i="26"/>
  <c r="AJ78" i="26"/>
  <c r="AJ80" i="26"/>
  <c r="AJ81" i="26"/>
  <c r="AJ82" i="26"/>
  <c r="AJ83" i="26"/>
  <c r="AJ84" i="26"/>
  <c r="AJ85" i="26"/>
  <c r="AJ86" i="26"/>
  <c r="AJ87" i="26"/>
  <c r="AJ89" i="26"/>
  <c r="AJ90" i="26"/>
  <c r="AJ91" i="26"/>
  <c r="AJ93" i="26"/>
  <c r="AJ94" i="26"/>
  <c r="AJ95" i="26"/>
  <c r="AJ96" i="26"/>
  <c r="AJ97" i="26"/>
  <c r="AJ98" i="26"/>
  <c r="AJ99" i="26"/>
  <c r="AJ100" i="26"/>
  <c r="AJ101" i="26"/>
  <c r="AJ102" i="26"/>
  <c r="AJ103" i="26"/>
  <c r="AJ104" i="26"/>
  <c r="AJ105" i="26"/>
  <c r="AJ106" i="26"/>
  <c r="AJ107" i="26"/>
  <c r="F108" i="26"/>
  <c r="H108" i="26"/>
  <c r="I108" i="26"/>
  <c r="J108" i="26"/>
  <c r="K108" i="26"/>
  <c r="L108" i="26"/>
  <c r="M108" i="26"/>
  <c r="N108" i="26"/>
  <c r="O108" i="26"/>
  <c r="Q108" i="26"/>
  <c r="R108" i="26"/>
  <c r="S108" i="26"/>
  <c r="U108" i="26"/>
  <c r="V108" i="26"/>
  <c r="W108" i="26"/>
  <c r="X108" i="26"/>
  <c r="Y108" i="26"/>
  <c r="Z108" i="26"/>
  <c r="AA108" i="26"/>
  <c r="AB108" i="26"/>
  <c r="AC108" i="26"/>
  <c r="AD108" i="26"/>
  <c r="AE108" i="26"/>
  <c r="AF108" i="26"/>
  <c r="AG108" i="26"/>
  <c r="AH108" i="26"/>
  <c r="AI108" i="26"/>
  <c r="D107" i="26"/>
  <c r="AI78" i="26"/>
  <c r="AI80" i="26"/>
  <c r="AI81" i="26"/>
  <c r="AI82" i="26"/>
  <c r="AI83" i="26"/>
  <c r="AI84" i="26"/>
  <c r="AI85" i="26"/>
  <c r="AI86" i="26"/>
  <c r="AI87" i="26"/>
  <c r="AI89" i="26"/>
  <c r="AI90" i="26"/>
  <c r="AI91" i="26"/>
  <c r="AI93" i="26"/>
  <c r="AI94" i="26"/>
  <c r="AI95" i="26"/>
  <c r="AI96" i="26"/>
  <c r="AI97" i="26"/>
  <c r="AI98" i="26"/>
  <c r="AI99" i="26"/>
  <c r="AI100" i="26"/>
  <c r="AI101" i="26"/>
  <c r="AI102" i="26"/>
  <c r="AI103" i="26"/>
  <c r="AI104" i="26"/>
  <c r="AI105" i="26"/>
  <c r="AI106" i="26"/>
  <c r="F107" i="26"/>
  <c r="H107" i="26"/>
  <c r="I107" i="26"/>
  <c r="J107" i="26"/>
  <c r="K107" i="26"/>
  <c r="L107" i="26"/>
  <c r="M107" i="26"/>
  <c r="N107" i="26"/>
  <c r="O107" i="26"/>
  <c r="Q107" i="26"/>
  <c r="R107" i="26"/>
  <c r="S107" i="26"/>
  <c r="U107" i="26"/>
  <c r="V107" i="26"/>
  <c r="W107" i="26"/>
  <c r="X107" i="26"/>
  <c r="Y107" i="26"/>
  <c r="Z107" i="26"/>
  <c r="AA107" i="26"/>
  <c r="AB107" i="26"/>
  <c r="AC107" i="26"/>
  <c r="AD107" i="26"/>
  <c r="AE107" i="26"/>
  <c r="AF107" i="26"/>
  <c r="AG107" i="26"/>
  <c r="AH107" i="26"/>
  <c r="D106" i="26"/>
  <c r="AH78" i="26"/>
  <c r="AH80" i="26"/>
  <c r="AH81" i="26"/>
  <c r="AH82" i="26"/>
  <c r="AH83" i="26"/>
  <c r="AH84" i="26"/>
  <c r="AH85" i="26"/>
  <c r="AH86" i="26"/>
  <c r="AH87" i="26"/>
  <c r="AH89" i="26"/>
  <c r="AH90" i="26"/>
  <c r="AH91" i="26"/>
  <c r="AH93" i="26"/>
  <c r="AH94" i="26"/>
  <c r="AH95" i="26"/>
  <c r="AH96" i="26"/>
  <c r="AH97" i="26"/>
  <c r="AH98" i="26"/>
  <c r="AH99" i="26"/>
  <c r="AH100" i="26"/>
  <c r="AH101" i="26"/>
  <c r="AH102" i="26"/>
  <c r="AH103" i="26"/>
  <c r="AH104" i="26"/>
  <c r="AH105" i="26"/>
  <c r="F106" i="26"/>
  <c r="H106" i="26"/>
  <c r="I106" i="26"/>
  <c r="J106" i="26"/>
  <c r="K106" i="26"/>
  <c r="L106" i="26"/>
  <c r="M106" i="26"/>
  <c r="N106" i="26"/>
  <c r="O106" i="26"/>
  <c r="Q106" i="26"/>
  <c r="R106" i="26"/>
  <c r="S106" i="26"/>
  <c r="U106" i="26"/>
  <c r="V106" i="26"/>
  <c r="W106" i="26"/>
  <c r="X106" i="26"/>
  <c r="Y106" i="26"/>
  <c r="Z106" i="26"/>
  <c r="AA106" i="26"/>
  <c r="AB106" i="26"/>
  <c r="AC106" i="26"/>
  <c r="AD106" i="26"/>
  <c r="AE106" i="26"/>
  <c r="AF106" i="26"/>
  <c r="AG106" i="26"/>
  <c r="D105" i="26"/>
  <c r="AG78" i="26"/>
  <c r="AG80" i="26"/>
  <c r="AG81" i="26"/>
  <c r="AG82" i="26"/>
  <c r="AG83" i="26"/>
  <c r="AG84" i="26"/>
  <c r="AG85" i="26"/>
  <c r="AG86" i="26"/>
  <c r="AG87" i="26"/>
  <c r="AG89" i="26"/>
  <c r="AG90" i="26"/>
  <c r="AG91" i="26"/>
  <c r="AG93" i="26"/>
  <c r="AG94" i="26"/>
  <c r="AG95" i="26"/>
  <c r="AG96" i="26"/>
  <c r="AG97" i="26"/>
  <c r="AG98" i="26"/>
  <c r="AG99" i="26"/>
  <c r="AG100" i="26"/>
  <c r="AG101" i="26"/>
  <c r="AG102" i="26"/>
  <c r="AG103" i="26"/>
  <c r="AG104" i="26"/>
  <c r="F105" i="26"/>
  <c r="H105" i="26"/>
  <c r="I105" i="26"/>
  <c r="J105" i="26"/>
  <c r="K105" i="26"/>
  <c r="L105" i="26"/>
  <c r="M105" i="26"/>
  <c r="N105" i="26"/>
  <c r="O105" i="26"/>
  <c r="Q105" i="26"/>
  <c r="R105" i="26"/>
  <c r="S105" i="26"/>
  <c r="U105" i="26"/>
  <c r="V105" i="26"/>
  <c r="W105" i="26"/>
  <c r="X105" i="26"/>
  <c r="Y105" i="26"/>
  <c r="Z105" i="26"/>
  <c r="AA105" i="26"/>
  <c r="AB105" i="26"/>
  <c r="AC105" i="26"/>
  <c r="AD105" i="26"/>
  <c r="AE105" i="26"/>
  <c r="AF105" i="26"/>
  <c r="D104" i="26"/>
  <c r="AF78" i="26"/>
  <c r="AF80" i="26"/>
  <c r="AF81" i="26"/>
  <c r="AF82" i="26"/>
  <c r="AF83" i="26"/>
  <c r="AF84" i="26"/>
  <c r="AF85" i="26"/>
  <c r="AF86" i="26"/>
  <c r="AF87" i="26"/>
  <c r="AF89" i="26"/>
  <c r="AF90" i="26"/>
  <c r="AF91" i="26"/>
  <c r="AF93" i="26"/>
  <c r="AF94" i="26"/>
  <c r="AF95" i="26"/>
  <c r="AF96" i="26"/>
  <c r="AF97" i="26"/>
  <c r="AF98" i="26"/>
  <c r="AF99" i="26"/>
  <c r="AF100" i="26"/>
  <c r="AF101" i="26"/>
  <c r="AF102" i="26"/>
  <c r="AF103" i="26"/>
  <c r="F104" i="26"/>
  <c r="H104" i="26"/>
  <c r="I104" i="26"/>
  <c r="J104" i="26"/>
  <c r="K104" i="26"/>
  <c r="L104" i="26"/>
  <c r="M104" i="26"/>
  <c r="N104" i="26"/>
  <c r="O104" i="26"/>
  <c r="Q104" i="26"/>
  <c r="R104" i="26"/>
  <c r="S104" i="26"/>
  <c r="U104" i="26"/>
  <c r="V104" i="26"/>
  <c r="W104" i="26"/>
  <c r="X104" i="26"/>
  <c r="Y104" i="26"/>
  <c r="Z104" i="26"/>
  <c r="AA104" i="26"/>
  <c r="AB104" i="26"/>
  <c r="AC104" i="26"/>
  <c r="AD104" i="26"/>
  <c r="AE104" i="26"/>
  <c r="D103" i="26"/>
  <c r="AE78" i="26"/>
  <c r="AE80" i="26"/>
  <c r="AE81" i="26"/>
  <c r="AE82" i="26"/>
  <c r="AE83" i="26"/>
  <c r="AE84" i="26"/>
  <c r="AE85" i="26"/>
  <c r="AE86" i="26"/>
  <c r="AE87" i="26"/>
  <c r="AE89" i="26"/>
  <c r="AE90" i="26"/>
  <c r="AE91" i="26"/>
  <c r="AE93" i="26"/>
  <c r="AE94" i="26"/>
  <c r="AE95" i="26"/>
  <c r="AE96" i="26"/>
  <c r="AE97" i="26"/>
  <c r="AE98" i="26"/>
  <c r="AE99" i="26"/>
  <c r="AE100" i="26"/>
  <c r="AE101" i="26"/>
  <c r="AE102" i="26"/>
  <c r="F103" i="26"/>
  <c r="H103" i="26"/>
  <c r="I103" i="26"/>
  <c r="J103" i="26"/>
  <c r="K103" i="26"/>
  <c r="L103" i="26"/>
  <c r="M103" i="26"/>
  <c r="N103" i="26"/>
  <c r="O103" i="26"/>
  <c r="Q103" i="26"/>
  <c r="R103" i="26"/>
  <c r="S103" i="26"/>
  <c r="U103" i="26"/>
  <c r="V103" i="26"/>
  <c r="W103" i="26"/>
  <c r="X103" i="26"/>
  <c r="Z103" i="26"/>
  <c r="AA103" i="26"/>
  <c r="AB103" i="26"/>
  <c r="AC103" i="26"/>
  <c r="AD103" i="26"/>
  <c r="AD78" i="26"/>
  <c r="AD80" i="26"/>
  <c r="AD81" i="26"/>
  <c r="AD82" i="26"/>
  <c r="AD83" i="26"/>
  <c r="AD84" i="26"/>
  <c r="AD85" i="26"/>
  <c r="AD86" i="26"/>
  <c r="AD87" i="26"/>
  <c r="AD89" i="26"/>
  <c r="AD90" i="26"/>
  <c r="AD91" i="26"/>
  <c r="AD93" i="26"/>
  <c r="AD94" i="26"/>
  <c r="AD95" i="26"/>
  <c r="AD96" i="26"/>
  <c r="AD97" i="26"/>
  <c r="AD98" i="26"/>
  <c r="AD99" i="26"/>
  <c r="AD100" i="26"/>
  <c r="AD101" i="26"/>
  <c r="F102" i="26"/>
  <c r="H102" i="26"/>
  <c r="I102" i="26"/>
  <c r="J102" i="26"/>
  <c r="K102" i="26"/>
  <c r="L102" i="26"/>
  <c r="M102" i="26"/>
  <c r="N102" i="26"/>
  <c r="O102" i="26"/>
  <c r="Q102" i="26"/>
  <c r="R102" i="26"/>
  <c r="S102" i="26"/>
  <c r="U102" i="26"/>
  <c r="V102" i="26"/>
  <c r="W102" i="26"/>
  <c r="X102" i="26"/>
  <c r="Z102" i="26"/>
  <c r="AA102" i="26"/>
  <c r="AB102" i="26"/>
  <c r="AC102" i="26"/>
  <c r="D101" i="26"/>
  <c r="AC78" i="26"/>
  <c r="AC80" i="26"/>
  <c r="AC81" i="26"/>
  <c r="AC82" i="26"/>
  <c r="AC83" i="26"/>
  <c r="AC84" i="26"/>
  <c r="AC85" i="26"/>
  <c r="AC86" i="26"/>
  <c r="AC87" i="26"/>
  <c r="AC89" i="26"/>
  <c r="AC90" i="26"/>
  <c r="AC91" i="26"/>
  <c r="AC93" i="26"/>
  <c r="AC94" i="26"/>
  <c r="AC95" i="26"/>
  <c r="AC96" i="26"/>
  <c r="AC97" i="26"/>
  <c r="AC98" i="26"/>
  <c r="AC99" i="26"/>
  <c r="AC100" i="26"/>
  <c r="F101" i="26"/>
  <c r="H101" i="26"/>
  <c r="I101" i="26"/>
  <c r="J101" i="26"/>
  <c r="K101" i="26"/>
  <c r="L101" i="26"/>
  <c r="M101" i="26"/>
  <c r="N101" i="26"/>
  <c r="O101" i="26"/>
  <c r="Q101" i="26"/>
  <c r="R101" i="26"/>
  <c r="S101" i="26"/>
  <c r="U101" i="26"/>
  <c r="V101" i="26"/>
  <c r="W101" i="26"/>
  <c r="X101" i="26"/>
  <c r="Z101" i="26"/>
  <c r="AA101" i="26"/>
  <c r="AB101" i="26"/>
  <c r="D100" i="26"/>
  <c r="AB80" i="26"/>
  <c r="AB81" i="26"/>
  <c r="AB82" i="26"/>
  <c r="AB83" i="26"/>
  <c r="AB84" i="26"/>
  <c r="AB85" i="26"/>
  <c r="AB86" i="26"/>
  <c r="AB87" i="26"/>
  <c r="AB89" i="26"/>
  <c r="AB90" i="26"/>
  <c r="AB91" i="26"/>
  <c r="AB93" i="26"/>
  <c r="AB94" i="26"/>
  <c r="AB95" i="26"/>
  <c r="AB96" i="26"/>
  <c r="AB97" i="26"/>
  <c r="AB98" i="26"/>
  <c r="AB99" i="26"/>
  <c r="F100" i="26"/>
  <c r="H100" i="26"/>
  <c r="I100" i="26"/>
  <c r="J100" i="26"/>
  <c r="K100" i="26"/>
  <c r="L100" i="26"/>
  <c r="M100" i="26"/>
  <c r="N100" i="26"/>
  <c r="O100" i="26"/>
  <c r="Q100" i="26"/>
  <c r="R100" i="26"/>
  <c r="S100" i="26"/>
  <c r="U100" i="26"/>
  <c r="V100" i="26"/>
  <c r="W100" i="26"/>
  <c r="X100" i="26"/>
  <c r="Y100" i="26"/>
  <c r="Z100" i="26"/>
  <c r="AA100" i="26"/>
  <c r="D99" i="26"/>
  <c r="AA78" i="26"/>
  <c r="AA80" i="26"/>
  <c r="AA81" i="26"/>
  <c r="AA82" i="26"/>
  <c r="AA83" i="26"/>
  <c r="AA84" i="26"/>
  <c r="AA85" i="26"/>
  <c r="AA86" i="26"/>
  <c r="AA77" i="26" s="1"/>
  <c r="AA116" i="26" s="1"/>
  <c r="AA87" i="26"/>
  <c r="AA89" i="26"/>
  <c r="AA90" i="26"/>
  <c r="AA91" i="26"/>
  <c r="AA93" i="26"/>
  <c r="AA94" i="26"/>
  <c r="AA95" i="26"/>
  <c r="AA96" i="26"/>
  <c r="AA97" i="26"/>
  <c r="AA98" i="26"/>
  <c r="F99" i="26"/>
  <c r="H99" i="26"/>
  <c r="I99" i="26"/>
  <c r="J99" i="26"/>
  <c r="K99" i="26"/>
  <c r="L99" i="26"/>
  <c r="M99" i="26"/>
  <c r="N99" i="26"/>
  <c r="O99" i="26"/>
  <c r="Q99" i="26"/>
  <c r="R99" i="26"/>
  <c r="S99" i="26"/>
  <c r="U99" i="26"/>
  <c r="V99" i="26"/>
  <c r="W99" i="26"/>
  <c r="X99" i="26"/>
  <c r="Z99" i="26"/>
  <c r="D98" i="26"/>
  <c r="Z78" i="26"/>
  <c r="Z80" i="26"/>
  <c r="Z81" i="26"/>
  <c r="Z82" i="26"/>
  <c r="Z83" i="26"/>
  <c r="Z84" i="26"/>
  <c r="Z85" i="26"/>
  <c r="Z86" i="26"/>
  <c r="Z77" i="26" s="1"/>
  <c r="Z116" i="26" s="1"/>
  <c r="Z87" i="26"/>
  <c r="Z89" i="26"/>
  <c r="Z90" i="26"/>
  <c r="Z91" i="26"/>
  <c r="Z93" i="26"/>
  <c r="Z94" i="26"/>
  <c r="Z95" i="26"/>
  <c r="Z96" i="26"/>
  <c r="Z97" i="26"/>
  <c r="F98" i="26"/>
  <c r="H98" i="26"/>
  <c r="I98" i="26"/>
  <c r="J98" i="26"/>
  <c r="K98" i="26"/>
  <c r="L98" i="26"/>
  <c r="M98" i="26"/>
  <c r="N98" i="26"/>
  <c r="O98" i="26"/>
  <c r="Q98" i="26"/>
  <c r="R98" i="26"/>
  <c r="S98" i="26"/>
  <c r="U98" i="26"/>
  <c r="V98" i="26"/>
  <c r="W98" i="26"/>
  <c r="X98" i="26"/>
  <c r="Y98" i="26"/>
  <c r="Y80" i="26"/>
  <c r="Y81" i="26"/>
  <c r="Y82" i="26"/>
  <c r="Y83" i="26"/>
  <c r="Y84" i="26"/>
  <c r="Y86" i="26"/>
  <c r="Y87" i="26"/>
  <c r="Y89" i="26"/>
  <c r="Y90" i="26"/>
  <c r="Y91" i="26"/>
  <c r="Y93" i="26"/>
  <c r="Y94" i="26"/>
  <c r="Y95" i="26"/>
  <c r="Y96" i="26"/>
  <c r="F97" i="26"/>
  <c r="H97" i="26"/>
  <c r="I97" i="26"/>
  <c r="J97" i="26"/>
  <c r="K97" i="26"/>
  <c r="L97" i="26"/>
  <c r="M97" i="26"/>
  <c r="E97" i="26" s="1"/>
  <c r="AR97" i="26" s="1"/>
  <c r="N97" i="26"/>
  <c r="O97" i="26"/>
  <c r="Q97" i="26"/>
  <c r="R97" i="26"/>
  <c r="S97" i="26"/>
  <c r="V97" i="26"/>
  <c r="X97" i="26"/>
  <c r="D96" i="26"/>
  <c r="X78" i="26"/>
  <c r="X80" i="26"/>
  <c r="X81" i="26"/>
  <c r="X82" i="26"/>
  <c r="X83" i="26"/>
  <c r="X84" i="26"/>
  <c r="X85" i="26"/>
  <c r="X86" i="26"/>
  <c r="X87" i="26"/>
  <c r="X89" i="26"/>
  <c r="X90" i="26"/>
  <c r="X91" i="26"/>
  <c r="X93" i="26"/>
  <c r="X94" i="26"/>
  <c r="X95" i="26"/>
  <c r="F96" i="26"/>
  <c r="H96" i="26"/>
  <c r="I96" i="26"/>
  <c r="J96" i="26"/>
  <c r="K96" i="26"/>
  <c r="L96" i="26"/>
  <c r="M96" i="26"/>
  <c r="N96" i="26"/>
  <c r="O96" i="26"/>
  <c r="Q96" i="26"/>
  <c r="R96" i="26"/>
  <c r="S96" i="26"/>
  <c r="U96" i="26"/>
  <c r="V96" i="26"/>
  <c r="W96" i="26"/>
  <c r="D95" i="26"/>
  <c r="W78" i="26"/>
  <c r="W80" i="26"/>
  <c r="W81" i="26"/>
  <c r="W82" i="26"/>
  <c r="W83" i="26"/>
  <c r="W84" i="26"/>
  <c r="W85" i="26"/>
  <c r="W86" i="26"/>
  <c r="W87" i="26"/>
  <c r="W89" i="26"/>
  <c r="W90" i="26"/>
  <c r="W91" i="26"/>
  <c r="W93" i="26"/>
  <c r="W94" i="26"/>
  <c r="F95" i="26"/>
  <c r="H95" i="26"/>
  <c r="I95" i="26"/>
  <c r="J95" i="26"/>
  <c r="K95" i="26"/>
  <c r="L95" i="26"/>
  <c r="M95" i="26"/>
  <c r="N95" i="26"/>
  <c r="O95" i="26"/>
  <c r="Q95" i="26"/>
  <c r="R95" i="26"/>
  <c r="S95" i="26"/>
  <c r="U95" i="26"/>
  <c r="V95" i="26"/>
  <c r="D94" i="26"/>
  <c r="V78" i="26"/>
  <c r="V80" i="26"/>
  <c r="V81" i="26"/>
  <c r="V82" i="26"/>
  <c r="V83" i="26"/>
  <c r="V84" i="26"/>
  <c r="V85" i="26"/>
  <c r="V86" i="26"/>
  <c r="V87" i="26"/>
  <c r="V89" i="26"/>
  <c r="V90" i="26"/>
  <c r="V91" i="26"/>
  <c r="V93" i="26"/>
  <c r="F94" i="26"/>
  <c r="H94" i="26"/>
  <c r="I94" i="26"/>
  <c r="J94" i="26"/>
  <c r="K94" i="26"/>
  <c r="L94" i="26"/>
  <c r="M94" i="26"/>
  <c r="N94" i="26"/>
  <c r="O94" i="26"/>
  <c r="Q94" i="26"/>
  <c r="R94" i="26"/>
  <c r="S94" i="26"/>
  <c r="U94" i="26"/>
  <c r="D93" i="26"/>
  <c r="U78" i="26"/>
  <c r="U80" i="26"/>
  <c r="U81" i="26"/>
  <c r="U82" i="26"/>
  <c r="U83" i="26"/>
  <c r="U84" i="26"/>
  <c r="U85" i="26"/>
  <c r="U86" i="26"/>
  <c r="U87" i="26"/>
  <c r="U89" i="26"/>
  <c r="U90" i="26"/>
  <c r="U91" i="26"/>
  <c r="H93" i="26"/>
  <c r="I93" i="26"/>
  <c r="J93" i="26"/>
  <c r="K93" i="26"/>
  <c r="L93" i="26"/>
  <c r="M93" i="26"/>
  <c r="N93" i="26"/>
  <c r="O93" i="26"/>
  <c r="Q93" i="26"/>
  <c r="R93" i="26"/>
  <c r="S93" i="26"/>
  <c r="D91" i="26"/>
  <c r="S78" i="26"/>
  <c r="S80" i="26"/>
  <c r="S81" i="26"/>
  <c r="S82" i="26"/>
  <c r="S83" i="26"/>
  <c r="S84" i="26"/>
  <c r="S85" i="26"/>
  <c r="S86" i="26"/>
  <c r="S87" i="26"/>
  <c r="S89" i="26"/>
  <c r="S90" i="26"/>
  <c r="F91" i="26"/>
  <c r="H91" i="26"/>
  <c r="I91" i="26"/>
  <c r="J91" i="26"/>
  <c r="K91" i="26"/>
  <c r="L91" i="26"/>
  <c r="M91" i="26"/>
  <c r="N91" i="26"/>
  <c r="O91" i="26"/>
  <c r="Q91" i="26"/>
  <c r="R91" i="26"/>
  <c r="D90" i="26"/>
  <c r="R80" i="26"/>
  <c r="R81" i="26"/>
  <c r="R82" i="26"/>
  <c r="R83" i="26"/>
  <c r="R84" i="26"/>
  <c r="R85" i="26"/>
  <c r="R86" i="26"/>
  <c r="R87" i="26"/>
  <c r="R89" i="26"/>
  <c r="F90" i="26"/>
  <c r="H90" i="26"/>
  <c r="I90" i="26"/>
  <c r="J90" i="26"/>
  <c r="K90" i="26"/>
  <c r="L90" i="26"/>
  <c r="M90" i="26"/>
  <c r="N90" i="26"/>
  <c r="O90" i="26"/>
  <c r="Q90" i="26"/>
  <c r="D89" i="26"/>
  <c r="Q78" i="26"/>
  <c r="Q80" i="26"/>
  <c r="Q81" i="26"/>
  <c r="Q82" i="26"/>
  <c r="Q83" i="26"/>
  <c r="Q84" i="26"/>
  <c r="Q85" i="26"/>
  <c r="Q86" i="26"/>
  <c r="Q87" i="26"/>
  <c r="F89" i="26"/>
  <c r="H89" i="26"/>
  <c r="I89" i="26"/>
  <c r="J89" i="26"/>
  <c r="K89" i="26"/>
  <c r="L89" i="26"/>
  <c r="M89" i="26"/>
  <c r="N89" i="26"/>
  <c r="O89" i="26"/>
  <c r="D87" i="26"/>
  <c r="O78" i="26"/>
  <c r="O80" i="26"/>
  <c r="O81" i="26"/>
  <c r="O82" i="26"/>
  <c r="O83" i="26"/>
  <c r="O84" i="26"/>
  <c r="O85" i="26"/>
  <c r="O86" i="26"/>
  <c r="F87" i="26"/>
  <c r="H87" i="26"/>
  <c r="I87" i="26"/>
  <c r="J87" i="26"/>
  <c r="K87" i="26"/>
  <c r="L87" i="26"/>
  <c r="M87" i="26"/>
  <c r="N87" i="26"/>
  <c r="D86" i="26"/>
  <c r="N78" i="26"/>
  <c r="N80" i="26"/>
  <c r="N81" i="26"/>
  <c r="N82" i="26"/>
  <c r="N83" i="26"/>
  <c r="N84" i="26"/>
  <c r="N85" i="26"/>
  <c r="F86" i="26"/>
  <c r="H86" i="26"/>
  <c r="I86" i="26"/>
  <c r="J86" i="26"/>
  <c r="K86" i="26"/>
  <c r="L86" i="26"/>
  <c r="M86" i="26"/>
  <c r="D85" i="26"/>
  <c r="M80" i="26"/>
  <c r="M81" i="26"/>
  <c r="M82" i="26"/>
  <c r="M83" i="26"/>
  <c r="M84" i="26"/>
  <c r="F85" i="26"/>
  <c r="H85" i="26"/>
  <c r="I85" i="26"/>
  <c r="J85" i="26"/>
  <c r="K85" i="26"/>
  <c r="L85" i="26"/>
  <c r="D84" i="26"/>
  <c r="R11" i="26"/>
  <c r="L78" i="26" s="1"/>
  <c r="L80" i="26"/>
  <c r="L81" i="26"/>
  <c r="L82" i="26"/>
  <c r="L83" i="26"/>
  <c r="F84" i="26"/>
  <c r="H84" i="26"/>
  <c r="I84" i="26"/>
  <c r="J84" i="26"/>
  <c r="K84" i="26"/>
  <c r="D83" i="26"/>
  <c r="Q11" i="26"/>
  <c r="O11" i="26" s="1"/>
  <c r="K80" i="26"/>
  <c r="K81" i="26"/>
  <c r="K82" i="26"/>
  <c r="F83" i="26"/>
  <c r="H83" i="26"/>
  <c r="I83" i="26"/>
  <c r="J83" i="26"/>
  <c r="D82" i="26"/>
  <c r="J78" i="26"/>
  <c r="J80" i="26"/>
  <c r="J81" i="26"/>
  <c r="F82" i="26"/>
  <c r="H82" i="26"/>
  <c r="I82" i="26"/>
  <c r="D81" i="26"/>
  <c r="I78" i="26"/>
  <c r="I80" i="26"/>
  <c r="F81" i="26"/>
  <c r="H81" i="26"/>
  <c r="D80" i="26"/>
  <c r="H78" i="26"/>
  <c r="F80" i="26"/>
  <c r="D79" i="26"/>
  <c r="G78" i="26"/>
  <c r="G80" i="26"/>
  <c r="G81" i="26"/>
  <c r="G82" i="26"/>
  <c r="G83" i="26"/>
  <c r="G84" i="26"/>
  <c r="G85" i="26"/>
  <c r="G86" i="26"/>
  <c r="G87" i="26"/>
  <c r="G89" i="26"/>
  <c r="G90" i="26"/>
  <c r="G91" i="26"/>
  <c r="G92" i="26"/>
  <c r="G93" i="26"/>
  <c r="G94" i="26"/>
  <c r="G95" i="26"/>
  <c r="G96" i="26"/>
  <c r="G98" i="26"/>
  <c r="G99" i="26"/>
  <c r="G100" i="26"/>
  <c r="G101" i="26"/>
  <c r="G102" i="26"/>
  <c r="G103" i="26"/>
  <c r="G104" i="26"/>
  <c r="G105" i="26"/>
  <c r="G106" i="26"/>
  <c r="G107" i="26"/>
  <c r="G108" i="26"/>
  <c r="G109" i="26"/>
  <c r="G110" i="26"/>
  <c r="G111" i="26"/>
  <c r="G112" i="26"/>
  <c r="G113" i="26"/>
  <c r="G114" i="26"/>
  <c r="G115" i="26"/>
  <c r="H79" i="26"/>
  <c r="I79" i="26"/>
  <c r="J79" i="26"/>
  <c r="K79" i="26"/>
  <c r="L79" i="26"/>
  <c r="M79" i="26"/>
  <c r="N79" i="26"/>
  <c r="O79" i="26"/>
  <c r="Q79" i="26"/>
  <c r="R79" i="26"/>
  <c r="S79" i="26"/>
  <c r="T79" i="26"/>
  <c r="U79" i="26"/>
  <c r="V79" i="26"/>
  <c r="W79" i="26"/>
  <c r="X79" i="26"/>
  <c r="Y79" i="26"/>
  <c r="Z79" i="26"/>
  <c r="AA79" i="26"/>
  <c r="AB79" i="26"/>
  <c r="AC79" i="26"/>
  <c r="AD79" i="26"/>
  <c r="AE79" i="26"/>
  <c r="AF79" i="26"/>
  <c r="AG79" i="26"/>
  <c r="AH79" i="26"/>
  <c r="AI79" i="26"/>
  <c r="AJ79" i="26"/>
  <c r="AK79" i="26"/>
  <c r="AL79" i="26"/>
  <c r="AM79" i="26"/>
  <c r="AN79" i="26"/>
  <c r="AO79" i="26"/>
  <c r="AP79" i="26"/>
  <c r="AQ79" i="26"/>
  <c r="L18" i="26"/>
  <c r="L34" i="26"/>
  <c r="L25" i="26" s="1"/>
  <c r="L63" i="26"/>
  <c r="O15" i="26"/>
  <c r="V15" i="26"/>
  <c r="BH15" i="26"/>
  <c r="BK11" i="26"/>
  <c r="BK10" i="26"/>
  <c r="BK9" i="26" s="1"/>
  <c r="BK18" i="26"/>
  <c r="BH18" i="26"/>
  <c r="P9" i="26"/>
  <c r="O34" i="26"/>
  <c r="O25" i="26" s="1"/>
  <c r="O63" i="26"/>
  <c r="G17" i="26"/>
  <c r="G26" i="26"/>
  <c r="G34" i="26"/>
  <c r="F22" i="26"/>
  <c r="E27" i="26"/>
  <c r="BC58" i="26"/>
  <c r="V58" i="26"/>
  <c r="AY54" i="26"/>
  <c r="AS48" i="26"/>
  <c r="V48" i="26" s="1"/>
  <c r="AP45" i="26"/>
  <c r="AN43" i="26"/>
  <c r="AE43" i="26" s="1"/>
  <c r="V43" i="26" s="1"/>
  <c r="AM42" i="26"/>
  <c r="AE42" i="26" s="1"/>
  <c r="V42" i="26" s="1"/>
  <c r="AI38" i="26"/>
  <c r="AE38" i="26" s="1"/>
  <c r="V38" i="26" s="1"/>
  <c r="AH37" i="26"/>
  <c r="AE37" i="26" s="1"/>
  <c r="V37" i="26" s="1"/>
  <c r="BH35" i="26"/>
  <c r="AF35" i="26"/>
  <c r="AF34" i="26" s="1"/>
  <c r="AF25" i="26" s="1"/>
  <c r="O16" i="26"/>
  <c r="K14" i="26"/>
  <c r="K11" i="26" s="1"/>
  <c r="K10" i="26" s="1"/>
  <c r="K9" i="26" s="1"/>
  <c r="K8" i="26" s="1"/>
  <c r="K7" i="26" s="1"/>
  <c r="N10" i="26"/>
  <c r="AQ80" i="27"/>
  <c r="AQ81" i="27"/>
  <c r="AQ82" i="27"/>
  <c r="AQ83" i="27"/>
  <c r="AQ84" i="27"/>
  <c r="AQ85" i="27"/>
  <c r="AQ86" i="27"/>
  <c r="AQ87" i="27"/>
  <c r="AQ89" i="27"/>
  <c r="AQ90" i="27"/>
  <c r="AQ91" i="27"/>
  <c r="AQ93" i="27"/>
  <c r="AQ94" i="27"/>
  <c r="AQ95" i="27"/>
  <c r="AQ96" i="27"/>
  <c r="AQ98" i="27"/>
  <c r="AQ100" i="27"/>
  <c r="AQ102" i="27"/>
  <c r="AQ103" i="27"/>
  <c r="AQ104" i="27"/>
  <c r="AQ105" i="27"/>
  <c r="AQ106" i="27"/>
  <c r="AQ107" i="27"/>
  <c r="AQ108" i="27"/>
  <c r="AQ109" i="27"/>
  <c r="AQ110" i="27"/>
  <c r="AQ111" i="27"/>
  <c r="AQ112" i="27"/>
  <c r="AQ113" i="27"/>
  <c r="AQ114" i="27"/>
  <c r="H115" i="27"/>
  <c r="I115" i="27"/>
  <c r="J115" i="27"/>
  <c r="K115" i="27"/>
  <c r="L115" i="27"/>
  <c r="N115" i="27"/>
  <c r="O115" i="27"/>
  <c r="Q115" i="27"/>
  <c r="R115" i="27"/>
  <c r="S115" i="27"/>
  <c r="U115" i="27"/>
  <c r="V115" i="27"/>
  <c r="W115" i="27"/>
  <c r="X115" i="27"/>
  <c r="AA115" i="27"/>
  <c r="AC115" i="27"/>
  <c r="AD115" i="27"/>
  <c r="AE115" i="27"/>
  <c r="AF115" i="27"/>
  <c r="AG115" i="27"/>
  <c r="AH115" i="27"/>
  <c r="AI115" i="27"/>
  <c r="AJ115" i="27"/>
  <c r="AL115" i="27"/>
  <c r="AM115" i="27"/>
  <c r="AN115" i="27"/>
  <c r="AP115" i="27"/>
  <c r="D114" i="27"/>
  <c r="AP78" i="27"/>
  <c r="AP80" i="27"/>
  <c r="AP81" i="27"/>
  <c r="AP82" i="27"/>
  <c r="AP83" i="27"/>
  <c r="AP84" i="27"/>
  <c r="AP85" i="27"/>
  <c r="AP86" i="27"/>
  <c r="AP87" i="27"/>
  <c r="AP89" i="27"/>
  <c r="AP90" i="27"/>
  <c r="AP91" i="27"/>
  <c r="AP93" i="27"/>
  <c r="AP94" i="27"/>
  <c r="AP95" i="27"/>
  <c r="AP96" i="27"/>
  <c r="AP97" i="27"/>
  <c r="AP98" i="27"/>
  <c r="AP99" i="27"/>
  <c r="AP100" i="27"/>
  <c r="AP101" i="27"/>
  <c r="AP102" i="27"/>
  <c r="AP103" i="27"/>
  <c r="AP104" i="27"/>
  <c r="AP105" i="27"/>
  <c r="AP106" i="27"/>
  <c r="AP107" i="27"/>
  <c r="AP108" i="27"/>
  <c r="AP109" i="27"/>
  <c r="AP110" i="27"/>
  <c r="AP111" i="27"/>
  <c r="AP112" i="27"/>
  <c r="AP113" i="27"/>
  <c r="F114" i="27"/>
  <c r="H114" i="27"/>
  <c r="I114" i="27"/>
  <c r="J114" i="27"/>
  <c r="K114" i="27"/>
  <c r="L114" i="27"/>
  <c r="M114" i="27"/>
  <c r="N114" i="27"/>
  <c r="O114" i="27"/>
  <c r="Q114" i="27"/>
  <c r="R114" i="27"/>
  <c r="S114" i="27"/>
  <c r="U114" i="27"/>
  <c r="V114" i="27"/>
  <c r="W114" i="27"/>
  <c r="X114" i="27"/>
  <c r="Y114" i="27"/>
  <c r="Z114" i="27"/>
  <c r="AA114" i="27"/>
  <c r="AB114" i="27"/>
  <c r="AC114" i="27"/>
  <c r="AD114" i="27"/>
  <c r="AE114" i="27"/>
  <c r="AF114" i="27"/>
  <c r="AG114" i="27"/>
  <c r="AH114" i="27"/>
  <c r="AI114" i="27"/>
  <c r="AJ114" i="27"/>
  <c r="AK114" i="27"/>
  <c r="AL114" i="27"/>
  <c r="AM114" i="27"/>
  <c r="AN114" i="27"/>
  <c r="AO114" i="27"/>
  <c r="D113" i="27"/>
  <c r="AO78" i="27"/>
  <c r="AO80" i="27"/>
  <c r="AO81" i="27"/>
  <c r="AO82" i="27"/>
  <c r="AO83" i="27"/>
  <c r="AO84" i="27"/>
  <c r="AO85" i="27"/>
  <c r="AO86" i="27"/>
  <c r="AO87" i="27"/>
  <c r="AO89" i="27"/>
  <c r="AO90" i="27"/>
  <c r="AO91" i="27"/>
  <c r="AO93" i="27"/>
  <c r="AO94" i="27"/>
  <c r="AO95" i="27"/>
  <c r="AO96" i="27"/>
  <c r="AO97" i="27"/>
  <c r="AO98" i="27"/>
  <c r="AO99" i="27"/>
  <c r="AO100" i="27"/>
  <c r="AO101" i="27"/>
  <c r="AO102" i="27"/>
  <c r="AO103" i="27"/>
  <c r="AO104" i="27"/>
  <c r="AO105" i="27"/>
  <c r="AO106" i="27"/>
  <c r="AO107" i="27"/>
  <c r="AO108" i="27"/>
  <c r="AO109" i="27"/>
  <c r="AO110" i="27"/>
  <c r="AO111" i="27"/>
  <c r="AO112" i="27"/>
  <c r="F113" i="27"/>
  <c r="H113" i="27"/>
  <c r="I113" i="27"/>
  <c r="J113" i="27"/>
  <c r="K113" i="27"/>
  <c r="L113" i="27"/>
  <c r="M113" i="27"/>
  <c r="N113" i="27"/>
  <c r="O113" i="27"/>
  <c r="Q113" i="27"/>
  <c r="R113" i="27"/>
  <c r="S113" i="27"/>
  <c r="U113" i="27"/>
  <c r="V113" i="27"/>
  <c r="W113" i="27"/>
  <c r="X113" i="27"/>
  <c r="Y113" i="27"/>
  <c r="Z113" i="27"/>
  <c r="AA113" i="27"/>
  <c r="AB113" i="27"/>
  <c r="AC113" i="27"/>
  <c r="AD113" i="27"/>
  <c r="AE113" i="27"/>
  <c r="AF113" i="27"/>
  <c r="AG113" i="27"/>
  <c r="AH113" i="27"/>
  <c r="AI113" i="27"/>
  <c r="AJ113" i="27"/>
  <c r="AK113" i="27"/>
  <c r="AL113" i="27"/>
  <c r="AM113" i="27"/>
  <c r="AN113" i="27"/>
  <c r="D112" i="27"/>
  <c r="AN78" i="27"/>
  <c r="AN80" i="27"/>
  <c r="AN81" i="27"/>
  <c r="AN82" i="27"/>
  <c r="AN83" i="27"/>
  <c r="AN84" i="27"/>
  <c r="AN85" i="27"/>
  <c r="AN86" i="27"/>
  <c r="AN87" i="27"/>
  <c r="AN89" i="27"/>
  <c r="AN90" i="27"/>
  <c r="AN91" i="27"/>
  <c r="AN93" i="27"/>
  <c r="AN94" i="27"/>
  <c r="AN95" i="27"/>
  <c r="AN96" i="27"/>
  <c r="AN97" i="27"/>
  <c r="AN98" i="27"/>
  <c r="AN99" i="27"/>
  <c r="AN100" i="27"/>
  <c r="AN101" i="27"/>
  <c r="AN102" i="27"/>
  <c r="AN103" i="27"/>
  <c r="AN104" i="27"/>
  <c r="AN105" i="27"/>
  <c r="AN106" i="27"/>
  <c r="AN107" i="27"/>
  <c r="AN108" i="27"/>
  <c r="AN109" i="27"/>
  <c r="AN110" i="27"/>
  <c r="AN111" i="27"/>
  <c r="F112" i="27"/>
  <c r="H112" i="27"/>
  <c r="I112" i="27"/>
  <c r="J112" i="27"/>
  <c r="K112" i="27"/>
  <c r="L112" i="27"/>
  <c r="M112" i="27"/>
  <c r="N112" i="27"/>
  <c r="O112" i="27"/>
  <c r="Q112" i="27"/>
  <c r="R112" i="27"/>
  <c r="S112" i="27"/>
  <c r="U112" i="27"/>
  <c r="V112" i="27"/>
  <c r="W112" i="27"/>
  <c r="X112" i="27"/>
  <c r="Y112" i="27"/>
  <c r="Z112" i="27"/>
  <c r="AA112" i="27"/>
  <c r="AB112" i="27"/>
  <c r="AC112" i="27"/>
  <c r="AD112" i="27"/>
  <c r="AE112" i="27"/>
  <c r="AF112" i="27"/>
  <c r="AG112" i="27"/>
  <c r="AH112" i="27"/>
  <c r="AI112" i="27"/>
  <c r="AJ112" i="27"/>
  <c r="AK112" i="27"/>
  <c r="AL112" i="27"/>
  <c r="AM112" i="27"/>
  <c r="D111" i="27"/>
  <c r="AM78" i="27"/>
  <c r="AM80" i="27"/>
  <c r="AM81" i="27"/>
  <c r="AM82" i="27"/>
  <c r="AM83" i="27"/>
  <c r="AM84" i="27"/>
  <c r="AM85" i="27"/>
  <c r="AM86" i="27"/>
  <c r="AM87" i="27"/>
  <c r="AM89" i="27"/>
  <c r="AM90" i="27"/>
  <c r="AM91" i="27"/>
  <c r="AM93" i="27"/>
  <c r="AM94" i="27"/>
  <c r="AM95" i="27"/>
  <c r="AM96" i="27"/>
  <c r="AM97" i="27"/>
  <c r="AM98" i="27"/>
  <c r="AM99" i="27"/>
  <c r="AM100" i="27"/>
  <c r="AM101" i="27"/>
  <c r="AM102" i="27"/>
  <c r="AM103" i="27"/>
  <c r="AM104" i="27"/>
  <c r="AM105" i="27"/>
  <c r="AM106" i="27"/>
  <c r="AM107" i="27"/>
  <c r="AM108" i="27"/>
  <c r="AM109" i="27"/>
  <c r="AM110" i="27"/>
  <c r="F111" i="27"/>
  <c r="H111" i="27"/>
  <c r="I111" i="27"/>
  <c r="J111" i="27"/>
  <c r="K111" i="27"/>
  <c r="L111" i="27"/>
  <c r="M111" i="27"/>
  <c r="N111" i="27"/>
  <c r="O111" i="27"/>
  <c r="Q111" i="27"/>
  <c r="R111" i="27"/>
  <c r="S111" i="27"/>
  <c r="U111" i="27"/>
  <c r="V111" i="27"/>
  <c r="W111" i="27"/>
  <c r="X111" i="27"/>
  <c r="Y111" i="27"/>
  <c r="Z111" i="27"/>
  <c r="AA111" i="27"/>
  <c r="AB111" i="27"/>
  <c r="AC111" i="27"/>
  <c r="AD111" i="27"/>
  <c r="AE111" i="27"/>
  <c r="AF111" i="27"/>
  <c r="AG111" i="27"/>
  <c r="AH111" i="27"/>
  <c r="AI111" i="27"/>
  <c r="AJ111" i="27"/>
  <c r="AK111" i="27"/>
  <c r="AL111" i="27"/>
  <c r="D110" i="27"/>
  <c r="AL80" i="27"/>
  <c r="AL81" i="27"/>
  <c r="AL82" i="27"/>
  <c r="AL83" i="27"/>
  <c r="AL84" i="27"/>
  <c r="AL85" i="27"/>
  <c r="AL86" i="27"/>
  <c r="AL87" i="27"/>
  <c r="AL89" i="27"/>
  <c r="AL90" i="27"/>
  <c r="AL91" i="27"/>
  <c r="AL93" i="27"/>
  <c r="AL94" i="27"/>
  <c r="AL95" i="27"/>
  <c r="AL96" i="27"/>
  <c r="AL97" i="27"/>
  <c r="AL98" i="27"/>
  <c r="AL99" i="27"/>
  <c r="AL100" i="27"/>
  <c r="AL101" i="27"/>
  <c r="AL102" i="27"/>
  <c r="AL103" i="27"/>
  <c r="AL104" i="27"/>
  <c r="AL105" i="27"/>
  <c r="AL106" i="27"/>
  <c r="AL107" i="27"/>
  <c r="AL108" i="27"/>
  <c r="AL109" i="27"/>
  <c r="F110" i="27"/>
  <c r="E110" i="27" s="1"/>
  <c r="AR110" i="27" s="1"/>
  <c r="H110" i="27"/>
  <c r="I110" i="27"/>
  <c r="J110" i="27"/>
  <c r="K110" i="27"/>
  <c r="L110" i="27"/>
  <c r="M110" i="27"/>
  <c r="N110" i="27"/>
  <c r="O110" i="27"/>
  <c r="Q110" i="27"/>
  <c r="R110" i="27"/>
  <c r="S110" i="27"/>
  <c r="U110" i="27"/>
  <c r="V110" i="27"/>
  <c r="W110" i="27"/>
  <c r="X110" i="27"/>
  <c r="Y110" i="27"/>
  <c r="Z110" i="27"/>
  <c r="AA110" i="27"/>
  <c r="AB110" i="27"/>
  <c r="AC110" i="27"/>
  <c r="AD110" i="27"/>
  <c r="AE110" i="27"/>
  <c r="AF110" i="27"/>
  <c r="AG110" i="27"/>
  <c r="AH110" i="27"/>
  <c r="AI110" i="27"/>
  <c r="AJ110" i="27"/>
  <c r="AK110" i="27"/>
  <c r="D109" i="27"/>
  <c r="AK78" i="27"/>
  <c r="AK80" i="27"/>
  <c r="AK81" i="27"/>
  <c r="AK82" i="27"/>
  <c r="AK83" i="27"/>
  <c r="AK84" i="27"/>
  <c r="AK85" i="27"/>
  <c r="AK86" i="27"/>
  <c r="AK87" i="27"/>
  <c r="AK89" i="27"/>
  <c r="AK90" i="27"/>
  <c r="AK91" i="27"/>
  <c r="AK93" i="27"/>
  <c r="AK94" i="27"/>
  <c r="AK95" i="27"/>
  <c r="AK96" i="27"/>
  <c r="AK97" i="27"/>
  <c r="AK98" i="27"/>
  <c r="AK99" i="27"/>
  <c r="AK100" i="27"/>
  <c r="AK101" i="27"/>
  <c r="AK102" i="27"/>
  <c r="AK103" i="27"/>
  <c r="AK104" i="27"/>
  <c r="AK105" i="27"/>
  <c r="AK106" i="27"/>
  <c r="AK107" i="27"/>
  <c r="AK108" i="27"/>
  <c r="AK115" i="27"/>
  <c r="F109" i="27"/>
  <c r="H109" i="27"/>
  <c r="I109" i="27"/>
  <c r="J109" i="27"/>
  <c r="K109" i="27"/>
  <c r="L109" i="27"/>
  <c r="M109" i="27"/>
  <c r="N109" i="27"/>
  <c r="O109" i="27"/>
  <c r="Q109" i="27"/>
  <c r="R109" i="27"/>
  <c r="S109" i="27"/>
  <c r="U109" i="27"/>
  <c r="V109" i="27"/>
  <c r="W109" i="27"/>
  <c r="X109" i="27"/>
  <c r="Y109" i="27"/>
  <c r="Z109" i="27"/>
  <c r="AA109" i="27"/>
  <c r="AB109" i="27"/>
  <c r="AC109" i="27"/>
  <c r="AD109" i="27"/>
  <c r="AE109" i="27"/>
  <c r="AF109" i="27"/>
  <c r="AG109" i="27"/>
  <c r="AH109" i="27"/>
  <c r="AI109" i="27"/>
  <c r="AJ109" i="27"/>
  <c r="D108" i="27"/>
  <c r="AJ78" i="27"/>
  <c r="AJ80" i="27"/>
  <c r="AJ81" i="27"/>
  <c r="AJ82" i="27"/>
  <c r="AJ83" i="27"/>
  <c r="AJ84" i="27"/>
  <c r="AJ85" i="27"/>
  <c r="AJ86" i="27"/>
  <c r="AJ87" i="27"/>
  <c r="AJ89" i="27"/>
  <c r="AJ90" i="27"/>
  <c r="AJ91" i="27"/>
  <c r="AJ93" i="27"/>
  <c r="AJ94" i="27"/>
  <c r="AJ95" i="27"/>
  <c r="AJ96" i="27"/>
  <c r="AJ97" i="27"/>
  <c r="AJ98" i="27"/>
  <c r="AJ99" i="27"/>
  <c r="AJ100" i="27"/>
  <c r="AJ101" i="27"/>
  <c r="AJ102" i="27"/>
  <c r="AJ103" i="27"/>
  <c r="AJ104" i="27"/>
  <c r="AJ105" i="27"/>
  <c r="AJ106" i="27"/>
  <c r="AJ107" i="27"/>
  <c r="F108" i="27"/>
  <c r="H108" i="27"/>
  <c r="I108" i="27"/>
  <c r="J108" i="27"/>
  <c r="K108" i="27"/>
  <c r="L108" i="27"/>
  <c r="M108" i="27"/>
  <c r="N108" i="27"/>
  <c r="O108" i="27"/>
  <c r="Q108" i="27"/>
  <c r="R108" i="27"/>
  <c r="S108" i="27"/>
  <c r="U108" i="27"/>
  <c r="V108" i="27"/>
  <c r="W108" i="27"/>
  <c r="X108" i="27"/>
  <c r="Y108" i="27"/>
  <c r="Z108" i="27"/>
  <c r="AA108" i="27"/>
  <c r="AB108" i="27"/>
  <c r="AC108" i="27"/>
  <c r="AD108" i="27"/>
  <c r="AE108" i="27"/>
  <c r="AF108" i="27"/>
  <c r="AG108" i="27"/>
  <c r="AH108" i="27"/>
  <c r="AI108" i="27"/>
  <c r="D107" i="27"/>
  <c r="AI78" i="27"/>
  <c r="AI80" i="27"/>
  <c r="AI81" i="27"/>
  <c r="AI82" i="27"/>
  <c r="AI83" i="27"/>
  <c r="AI84" i="27"/>
  <c r="AI85" i="27"/>
  <c r="AI86" i="27"/>
  <c r="AI87" i="27"/>
  <c r="AI89" i="27"/>
  <c r="AI90" i="27"/>
  <c r="AI91" i="27"/>
  <c r="AI93" i="27"/>
  <c r="AI94" i="27"/>
  <c r="AI95" i="27"/>
  <c r="AI96" i="27"/>
  <c r="AI97" i="27"/>
  <c r="AI98" i="27"/>
  <c r="AI99" i="27"/>
  <c r="AI100" i="27"/>
  <c r="AI101" i="27"/>
  <c r="AI102" i="27"/>
  <c r="AI103" i="27"/>
  <c r="AI104" i="27"/>
  <c r="AI105" i="27"/>
  <c r="AI106" i="27"/>
  <c r="F107" i="27"/>
  <c r="H107" i="27"/>
  <c r="I107" i="27"/>
  <c r="J107" i="27"/>
  <c r="K107" i="27"/>
  <c r="L107" i="27"/>
  <c r="M107" i="27"/>
  <c r="N107" i="27"/>
  <c r="O107" i="27"/>
  <c r="Q107" i="27"/>
  <c r="R107" i="27"/>
  <c r="S107" i="27"/>
  <c r="U107" i="27"/>
  <c r="V107" i="27"/>
  <c r="W107" i="27"/>
  <c r="X107" i="27"/>
  <c r="Y107" i="27"/>
  <c r="Z107" i="27"/>
  <c r="AA107" i="27"/>
  <c r="AB107" i="27"/>
  <c r="AC107" i="27"/>
  <c r="AD107" i="27"/>
  <c r="AE107" i="27"/>
  <c r="AF107" i="27"/>
  <c r="AG107" i="27"/>
  <c r="AH107" i="27"/>
  <c r="D106" i="27"/>
  <c r="AH78" i="27"/>
  <c r="AH80" i="27"/>
  <c r="AH81" i="27"/>
  <c r="AH82" i="27"/>
  <c r="AH83" i="27"/>
  <c r="AH84" i="27"/>
  <c r="AH85" i="27"/>
  <c r="AH86" i="27"/>
  <c r="AH87" i="27"/>
  <c r="AH89" i="27"/>
  <c r="AH90" i="27"/>
  <c r="AH91" i="27"/>
  <c r="AH93" i="27"/>
  <c r="AH94" i="27"/>
  <c r="AH95" i="27"/>
  <c r="AH96" i="27"/>
  <c r="AH97" i="27"/>
  <c r="AH98" i="27"/>
  <c r="AH99" i="27"/>
  <c r="AH100" i="27"/>
  <c r="AH101" i="27"/>
  <c r="AH102" i="27"/>
  <c r="AH103" i="27"/>
  <c r="AH104" i="27"/>
  <c r="AH105" i="27"/>
  <c r="F106" i="27"/>
  <c r="H106" i="27"/>
  <c r="I106" i="27"/>
  <c r="J106" i="27"/>
  <c r="K106" i="27"/>
  <c r="L106" i="27"/>
  <c r="M106" i="27"/>
  <c r="N106" i="27"/>
  <c r="O106" i="27"/>
  <c r="Q106" i="27"/>
  <c r="R106" i="27"/>
  <c r="S106" i="27"/>
  <c r="U106" i="27"/>
  <c r="V106" i="27"/>
  <c r="W106" i="27"/>
  <c r="X106" i="27"/>
  <c r="Y106" i="27"/>
  <c r="Z106" i="27"/>
  <c r="AA106" i="27"/>
  <c r="AB106" i="27"/>
  <c r="AC106" i="27"/>
  <c r="AD106" i="27"/>
  <c r="AE106" i="27"/>
  <c r="AF106" i="27"/>
  <c r="AG106" i="27"/>
  <c r="D105" i="27"/>
  <c r="AG78" i="27"/>
  <c r="AG80" i="27"/>
  <c r="AG81" i="27"/>
  <c r="AG82" i="27"/>
  <c r="AG83" i="27"/>
  <c r="AG84" i="27"/>
  <c r="AG85" i="27"/>
  <c r="AG86" i="27"/>
  <c r="AG87" i="27"/>
  <c r="AG89" i="27"/>
  <c r="AG90" i="27"/>
  <c r="AG91" i="27"/>
  <c r="AG93" i="27"/>
  <c r="AG94" i="27"/>
  <c r="AG95" i="27"/>
  <c r="AG96" i="27"/>
  <c r="AG97" i="27"/>
  <c r="AG98" i="27"/>
  <c r="AG99" i="27"/>
  <c r="AG100" i="27"/>
  <c r="AG101" i="27"/>
  <c r="AG102" i="27"/>
  <c r="AG103" i="27"/>
  <c r="AG104" i="27"/>
  <c r="F105" i="27"/>
  <c r="H105" i="27"/>
  <c r="I105" i="27"/>
  <c r="J105" i="27"/>
  <c r="K105" i="27"/>
  <c r="L105" i="27"/>
  <c r="M105" i="27"/>
  <c r="N105" i="27"/>
  <c r="O105" i="27"/>
  <c r="Q105" i="27"/>
  <c r="R105" i="27"/>
  <c r="S105" i="27"/>
  <c r="U105" i="27"/>
  <c r="V105" i="27"/>
  <c r="W105" i="27"/>
  <c r="X105" i="27"/>
  <c r="Y105" i="27"/>
  <c r="Z105" i="27"/>
  <c r="AA105" i="27"/>
  <c r="AB105" i="27"/>
  <c r="AC105" i="27"/>
  <c r="AD105" i="27"/>
  <c r="AE105" i="27"/>
  <c r="AF105" i="27"/>
  <c r="D104" i="27"/>
  <c r="AF78" i="27"/>
  <c r="AF80" i="27"/>
  <c r="AF81" i="27"/>
  <c r="AF82" i="27"/>
  <c r="AF83" i="27"/>
  <c r="AF84" i="27"/>
  <c r="AF85" i="27"/>
  <c r="AF86" i="27"/>
  <c r="AF87" i="27"/>
  <c r="AF89" i="27"/>
  <c r="AF90" i="27"/>
  <c r="AF91" i="27"/>
  <c r="AF93" i="27"/>
  <c r="AF94" i="27"/>
  <c r="AF95" i="27"/>
  <c r="AF96" i="27"/>
  <c r="AF97" i="27"/>
  <c r="AF98" i="27"/>
  <c r="AF99" i="27"/>
  <c r="AF100" i="27"/>
  <c r="AF101" i="27"/>
  <c r="AF102" i="27"/>
  <c r="AF103" i="27"/>
  <c r="F104" i="27"/>
  <c r="H104" i="27"/>
  <c r="I104" i="27"/>
  <c r="J104" i="27"/>
  <c r="K104" i="27"/>
  <c r="L104" i="27"/>
  <c r="M104" i="27"/>
  <c r="N104" i="27"/>
  <c r="O104" i="27"/>
  <c r="Q104" i="27"/>
  <c r="R104" i="27"/>
  <c r="S104" i="27"/>
  <c r="U104" i="27"/>
  <c r="V104" i="27"/>
  <c r="W104" i="27"/>
  <c r="X104" i="27"/>
  <c r="Y104" i="27"/>
  <c r="Z104" i="27"/>
  <c r="AA104" i="27"/>
  <c r="AB104" i="27"/>
  <c r="AC104" i="27"/>
  <c r="AD104" i="27"/>
  <c r="AE104" i="27"/>
  <c r="D103" i="27"/>
  <c r="AE78" i="27"/>
  <c r="AE80" i="27"/>
  <c r="AE81" i="27"/>
  <c r="AE82" i="27"/>
  <c r="AE83" i="27"/>
  <c r="AE84" i="27"/>
  <c r="AE85" i="27"/>
  <c r="AE86" i="27"/>
  <c r="AE87" i="27"/>
  <c r="AE89" i="27"/>
  <c r="AE90" i="27"/>
  <c r="AE91" i="27"/>
  <c r="AE93" i="27"/>
  <c r="AE94" i="27"/>
  <c r="AE95" i="27"/>
  <c r="AE96" i="27"/>
  <c r="AE98" i="27"/>
  <c r="AE99" i="27"/>
  <c r="AE100" i="27"/>
  <c r="AE101" i="27"/>
  <c r="AE102" i="27"/>
  <c r="F103" i="27"/>
  <c r="H103" i="27"/>
  <c r="I103" i="27"/>
  <c r="J103" i="27"/>
  <c r="K103" i="27"/>
  <c r="L103" i="27"/>
  <c r="M103" i="27"/>
  <c r="N103" i="27"/>
  <c r="O103" i="27"/>
  <c r="Q103" i="27"/>
  <c r="R103" i="27"/>
  <c r="S103" i="27"/>
  <c r="U103" i="27"/>
  <c r="V103" i="27"/>
  <c r="W103" i="27"/>
  <c r="X103" i="27"/>
  <c r="Y103" i="27"/>
  <c r="Z103" i="27"/>
  <c r="AA103" i="27"/>
  <c r="AB103" i="27"/>
  <c r="AC103" i="27"/>
  <c r="AD103" i="27"/>
  <c r="D102" i="27"/>
  <c r="AD78" i="27"/>
  <c r="AD80" i="27"/>
  <c r="AD77" i="27" s="1"/>
  <c r="AD116" i="27" s="1"/>
  <c r="AD81" i="27"/>
  <c r="AD82" i="27"/>
  <c r="AD83" i="27"/>
  <c r="AD84" i="27"/>
  <c r="AD85" i="27"/>
  <c r="AD86" i="27"/>
  <c r="AD87" i="27"/>
  <c r="AD89" i="27"/>
  <c r="AD90" i="27"/>
  <c r="AD91" i="27"/>
  <c r="AD93" i="27"/>
  <c r="AD94" i="27"/>
  <c r="AD95" i="27"/>
  <c r="AD96" i="27"/>
  <c r="AD97" i="27"/>
  <c r="AD98" i="27"/>
  <c r="AD99" i="27"/>
  <c r="AD100" i="27"/>
  <c r="AD101" i="27"/>
  <c r="F102" i="27"/>
  <c r="H102" i="27"/>
  <c r="I102" i="27"/>
  <c r="J102" i="27"/>
  <c r="K102" i="27"/>
  <c r="L102" i="27"/>
  <c r="M102" i="27"/>
  <c r="N102" i="27"/>
  <c r="O102" i="27"/>
  <c r="Q102" i="27"/>
  <c r="R102" i="27"/>
  <c r="S102" i="27"/>
  <c r="U102" i="27"/>
  <c r="V102" i="27"/>
  <c r="W102" i="27"/>
  <c r="X102" i="27"/>
  <c r="Y102" i="27"/>
  <c r="Z102" i="27"/>
  <c r="AA102" i="27"/>
  <c r="AB102" i="27"/>
  <c r="AC102" i="27"/>
  <c r="D101" i="27"/>
  <c r="AC78" i="27"/>
  <c r="AC77" i="27" s="1"/>
  <c r="AC80" i="27"/>
  <c r="AC81" i="27"/>
  <c r="AC82" i="27"/>
  <c r="AC83" i="27"/>
  <c r="AC84" i="27"/>
  <c r="AC85" i="27"/>
  <c r="AC86" i="27"/>
  <c r="AC87" i="27"/>
  <c r="AC89" i="27"/>
  <c r="AC90" i="27"/>
  <c r="AC91" i="27"/>
  <c r="AC93" i="27"/>
  <c r="AC94" i="27"/>
  <c r="AC95" i="27"/>
  <c r="AC96" i="27"/>
  <c r="AC98" i="27"/>
  <c r="AC99" i="27"/>
  <c r="AC100" i="27"/>
  <c r="F101" i="27"/>
  <c r="H101" i="27"/>
  <c r="I101" i="27"/>
  <c r="J101" i="27"/>
  <c r="K101" i="27"/>
  <c r="L101" i="27"/>
  <c r="M101" i="27"/>
  <c r="N101" i="27"/>
  <c r="O101" i="27"/>
  <c r="Q101" i="27"/>
  <c r="R101" i="27"/>
  <c r="S101" i="27"/>
  <c r="U101" i="27"/>
  <c r="V101" i="27"/>
  <c r="W101" i="27"/>
  <c r="X101" i="27"/>
  <c r="Z101" i="27"/>
  <c r="AA101" i="27"/>
  <c r="AB101" i="27"/>
  <c r="D100" i="27"/>
  <c r="AB78" i="27"/>
  <c r="AB80" i="27"/>
  <c r="AB81" i="27"/>
  <c r="AB77" i="27" s="1"/>
  <c r="AB82" i="27"/>
  <c r="AB83" i="27"/>
  <c r="AB84" i="27"/>
  <c r="AB85" i="27"/>
  <c r="AB86" i="27"/>
  <c r="AB87" i="27"/>
  <c r="AB89" i="27"/>
  <c r="AB90" i="27"/>
  <c r="AB91" i="27"/>
  <c r="AB93" i="27"/>
  <c r="AB94" i="27"/>
  <c r="AB95" i="27"/>
  <c r="AB96" i="27"/>
  <c r="AB97" i="27"/>
  <c r="AB98" i="27"/>
  <c r="AB99" i="27"/>
  <c r="F100" i="27"/>
  <c r="H100" i="27"/>
  <c r="I100" i="27"/>
  <c r="J100" i="27"/>
  <c r="K100" i="27"/>
  <c r="L100" i="27"/>
  <c r="M100" i="27"/>
  <c r="N100" i="27"/>
  <c r="O100" i="27"/>
  <c r="Q100" i="27"/>
  <c r="R100" i="27"/>
  <c r="S100" i="27"/>
  <c r="U100" i="27"/>
  <c r="V100" i="27"/>
  <c r="W100" i="27"/>
  <c r="X100" i="27"/>
  <c r="Y100" i="27"/>
  <c r="Z100" i="27"/>
  <c r="AA100" i="27"/>
  <c r="D99" i="27"/>
  <c r="AA78" i="27"/>
  <c r="AA80" i="27"/>
  <c r="AA81" i="27"/>
  <c r="AA82" i="27"/>
  <c r="AA83" i="27"/>
  <c r="AA84" i="27"/>
  <c r="AA85" i="27"/>
  <c r="AA86" i="27"/>
  <c r="AA87" i="27"/>
  <c r="AA89" i="27"/>
  <c r="AA90" i="27"/>
  <c r="AA91" i="27"/>
  <c r="AA93" i="27"/>
  <c r="AA94" i="27"/>
  <c r="AA95" i="27"/>
  <c r="AA96" i="27"/>
  <c r="AA97" i="27"/>
  <c r="AA98" i="27"/>
  <c r="F99" i="27"/>
  <c r="H99" i="27"/>
  <c r="I99" i="27"/>
  <c r="J99" i="27"/>
  <c r="K99" i="27"/>
  <c r="L99" i="27"/>
  <c r="M99" i="27"/>
  <c r="N99" i="27"/>
  <c r="O99" i="27"/>
  <c r="Q99" i="27"/>
  <c r="R99" i="27"/>
  <c r="S99" i="27"/>
  <c r="U99" i="27"/>
  <c r="V99" i="27"/>
  <c r="W99" i="27"/>
  <c r="X99" i="27"/>
  <c r="Y99" i="27"/>
  <c r="Z99" i="27"/>
  <c r="D98" i="27"/>
  <c r="Z78" i="27"/>
  <c r="Z80" i="27"/>
  <c r="Z81" i="27"/>
  <c r="Z82" i="27"/>
  <c r="Z83" i="27"/>
  <c r="Z84" i="27"/>
  <c r="Z85" i="27"/>
  <c r="Z86" i="27"/>
  <c r="Z87" i="27"/>
  <c r="Z89" i="27"/>
  <c r="Z90" i="27"/>
  <c r="Z91" i="27"/>
  <c r="Z93" i="27"/>
  <c r="Z94" i="27"/>
  <c r="Z95" i="27"/>
  <c r="Z96" i="27"/>
  <c r="Z97" i="27"/>
  <c r="F98" i="27"/>
  <c r="H98" i="27"/>
  <c r="I98" i="27"/>
  <c r="J98" i="27"/>
  <c r="K98" i="27"/>
  <c r="L98" i="27"/>
  <c r="M98" i="27"/>
  <c r="N98" i="27"/>
  <c r="O98" i="27"/>
  <c r="Q98" i="27"/>
  <c r="R98" i="27"/>
  <c r="S98" i="27"/>
  <c r="U98" i="27"/>
  <c r="V98" i="27"/>
  <c r="W98" i="27"/>
  <c r="X98" i="27"/>
  <c r="Y98" i="27"/>
  <c r="Y82" i="27"/>
  <c r="Y84" i="27"/>
  <c r="Y86" i="27"/>
  <c r="Y87" i="27"/>
  <c r="Y89" i="27"/>
  <c r="Y90" i="27"/>
  <c r="Y91" i="27"/>
  <c r="Y93" i="27"/>
  <c r="Y94" i="27"/>
  <c r="Y95" i="27"/>
  <c r="Y96" i="27"/>
  <c r="H97" i="27"/>
  <c r="I97" i="27"/>
  <c r="J97" i="27"/>
  <c r="K97" i="27"/>
  <c r="L97" i="27"/>
  <c r="M97" i="27"/>
  <c r="N97" i="27"/>
  <c r="O97" i="27"/>
  <c r="Q97" i="27"/>
  <c r="S97" i="27"/>
  <c r="U97" i="27"/>
  <c r="V97" i="27"/>
  <c r="W97" i="27"/>
  <c r="X97" i="27"/>
  <c r="D96" i="27"/>
  <c r="X80" i="27"/>
  <c r="X81" i="27"/>
  <c r="X82" i="27"/>
  <c r="X83" i="27"/>
  <c r="X84" i="27"/>
  <c r="X85" i="27"/>
  <c r="X86" i="27"/>
  <c r="X87" i="27"/>
  <c r="X89" i="27"/>
  <c r="X90" i="27"/>
  <c r="X91" i="27"/>
  <c r="X93" i="27"/>
  <c r="X94" i="27"/>
  <c r="X95" i="27"/>
  <c r="F96" i="27"/>
  <c r="H96" i="27"/>
  <c r="I96" i="27"/>
  <c r="J96" i="27"/>
  <c r="K96" i="27"/>
  <c r="L96" i="27"/>
  <c r="M96" i="27"/>
  <c r="N96" i="27"/>
  <c r="O96" i="27"/>
  <c r="Q96" i="27"/>
  <c r="R96" i="27"/>
  <c r="S96" i="27"/>
  <c r="U96" i="27"/>
  <c r="V96" i="27"/>
  <c r="W96" i="27"/>
  <c r="D95" i="27"/>
  <c r="W80" i="27"/>
  <c r="W81" i="27"/>
  <c r="W82" i="27"/>
  <c r="W83" i="27"/>
  <c r="W84" i="27"/>
  <c r="W85" i="27"/>
  <c r="W86" i="27"/>
  <c r="W87" i="27"/>
  <c r="W89" i="27"/>
  <c r="W90" i="27"/>
  <c r="W91" i="27"/>
  <c r="W93" i="27"/>
  <c r="W94" i="27"/>
  <c r="F95" i="27"/>
  <c r="H95" i="27"/>
  <c r="I95" i="27"/>
  <c r="J95" i="27"/>
  <c r="K95" i="27"/>
  <c r="L95" i="27"/>
  <c r="M95" i="27"/>
  <c r="N95" i="27"/>
  <c r="O95" i="27"/>
  <c r="Q95" i="27"/>
  <c r="R95" i="27"/>
  <c r="S95" i="27"/>
  <c r="U95" i="27"/>
  <c r="V95" i="27"/>
  <c r="D94" i="27"/>
  <c r="V78" i="27"/>
  <c r="V80" i="27"/>
  <c r="V81" i="27"/>
  <c r="V82" i="27"/>
  <c r="P82" i="27" s="1"/>
  <c r="AR82" i="27" s="1"/>
  <c r="V83" i="27"/>
  <c r="V84" i="27"/>
  <c r="V85" i="27"/>
  <c r="V86" i="27"/>
  <c r="V87" i="27"/>
  <c r="V89" i="27"/>
  <c r="V90" i="27"/>
  <c r="V91" i="27"/>
  <c r="V93" i="27"/>
  <c r="F94" i="27"/>
  <c r="H94" i="27"/>
  <c r="I94" i="27"/>
  <c r="J94" i="27"/>
  <c r="K94" i="27"/>
  <c r="L94" i="27"/>
  <c r="M94" i="27"/>
  <c r="N94" i="27"/>
  <c r="O94" i="27"/>
  <c r="Q94" i="27"/>
  <c r="R94" i="27"/>
  <c r="S94" i="27"/>
  <c r="U94" i="27"/>
  <c r="D93" i="27"/>
  <c r="U78" i="27"/>
  <c r="U80" i="27"/>
  <c r="U81" i="27"/>
  <c r="U82" i="27"/>
  <c r="U83" i="27"/>
  <c r="U84" i="27"/>
  <c r="U85" i="27"/>
  <c r="U86" i="27"/>
  <c r="U87" i="27"/>
  <c r="U89" i="27"/>
  <c r="U90" i="27"/>
  <c r="U91" i="27"/>
  <c r="F93" i="27"/>
  <c r="H93" i="27"/>
  <c r="I93" i="27"/>
  <c r="J93" i="27"/>
  <c r="K93" i="27"/>
  <c r="L93" i="27"/>
  <c r="M93" i="27"/>
  <c r="N93" i="27"/>
  <c r="O93" i="27"/>
  <c r="Q93" i="27"/>
  <c r="R93" i="27"/>
  <c r="S93" i="27"/>
  <c r="D91" i="27"/>
  <c r="S80" i="27"/>
  <c r="S81" i="27"/>
  <c r="S82" i="27"/>
  <c r="S83" i="27"/>
  <c r="S84" i="27"/>
  <c r="S85" i="27"/>
  <c r="S86" i="27"/>
  <c r="S87" i="27"/>
  <c r="S89" i="27"/>
  <c r="S90" i="27"/>
  <c r="F91" i="27"/>
  <c r="H91" i="27"/>
  <c r="E91" i="27" s="1"/>
  <c r="AR91" i="27" s="1"/>
  <c r="S91" i="27" s="1"/>
  <c r="S88" i="27" s="1"/>
  <c r="I91" i="27"/>
  <c r="J91" i="27"/>
  <c r="K91" i="27"/>
  <c r="L91" i="27"/>
  <c r="M91" i="27"/>
  <c r="N91" i="27"/>
  <c r="O91" i="27"/>
  <c r="Q91" i="27"/>
  <c r="R91" i="27"/>
  <c r="D90" i="27"/>
  <c r="R78" i="27"/>
  <c r="R80" i="27"/>
  <c r="R81" i="27"/>
  <c r="R82" i="27"/>
  <c r="R83" i="27"/>
  <c r="R84" i="27"/>
  <c r="R85" i="27"/>
  <c r="R86" i="27"/>
  <c r="R87" i="27"/>
  <c r="R89" i="27"/>
  <c r="F90" i="27"/>
  <c r="H90" i="27"/>
  <c r="I90" i="27"/>
  <c r="J90" i="27"/>
  <c r="K90" i="27"/>
  <c r="L90" i="27"/>
  <c r="M90" i="27"/>
  <c r="N90" i="27"/>
  <c r="O90" i="27"/>
  <c r="Q90" i="27"/>
  <c r="D89" i="27"/>
  <c r="Q78" i="27"/>
  <c r="Q80" i="27"/>
  <c r="Q81" i="27"/>
  <c r="Q82" i="27"/>
  <c r="Q83" i="27"/>
  <c r="Q84" i="27"/>
  <c r="Q85" i="27"/>
  <c r="Q86" i="27"/>
  <c r="Q87" i="27"/>
  <c r="H89" i="27"/>
  <c r="I89" i="27"/>
  <c r="J89" i="27"/>
  <c r="K89" i="27"/>
  <c r="K88" i="27" s="1"/>
  <c r="L89" i="27"/>
  <c r="M89" i="27"/>
  <c r="N89" i="27"/>
  <c r="O89" i="27"/>
  <c r="O88" i="27" s="1"/>
  <c r="D87" i="27"/>
  <c r="O80" i="27"/>
  <c r="O81" i="27"/>
  <c r="O82" i="27"/>
  <c r="O83" i="27"/>
  <c r="O84" i="27"/>
  <c r="O85" i="27"/>
  <c r="O86" i="27"/>
  <c r="F87" i="27"/>
  <c r="H87" i="27"/>
  <c r="I87" i="27"/>
  <c r="J87" i="27"/>
  <c r="K87" i="27"/>
  <c r="L87" i="27"/>
  <c r="M87" i="27"/>
  <c r="N87" i="27"/>
  <c r="D86" i="27"/>
  <c r="N78" i="27"/>
  <c r="N80" i="27"/>
  <c r="N81" i="27"/>
  <c r="N82" i="27"/>
  <c r="N83" i="27"/>
  <c r="N84" i="27"/>
  <c r="N85" i="27"/>
  <c r="F86" i="27"/>
  <c r="H86" i="27"/>
  <c r="I86" i="27"/>
  <c r="J86" i="27"/>
  <c r="K86" i="27"/>
  <c r="L86" i="27"/>
  <c r="M86" i="27"/>
  <c r="D85" i="27"/>
  <c r="M78" i="27"/>
  <c r="M80" i="27"/>
  <c r="M81" i="27"/>
  <c r="M82" i="27"/>
  <c r="M83" i="27"/>
  <c r="M84" i="27"/>
  <c r="F85" i="27"/>
  <c r="H85" i="27"/>
  <c r="I85" i="27"/>
  <c r="J85" i="27"/>
  <c r="K85" i="27"/>
  <c r="L85" i="27"/>
  <c r="R11" i="27"/>
  <c r="L78" i="27" s="1"/>
  <c r="L80" i="27"/>
  <c r="L81" i="27"/>
  <c r="L82" i="27"/>
  <c r="L83" i="27"/>
  <c r="F84" i="27"/>
  <c r="H84" i="27"/>
  <c r="I84" i="27"/>
  <c r="J84" i="27"/>
  <c r="K84" i="27"/>
  <c r="D83" i="27"/>
  <c r="Q11" i="27"/>
  <c r="K78" i="27" s="1"/>
  <c r="K80" i="27"/>
  <c r="K81" i="27"/>
  <c r="K82" i="27"/>
  <c r="F83" i="27"/>
  <c r="H83" i="27"/>
  <c r="I83" i="27"/>
  <c r="J83" i="27"/>
  <c r="D82" i="27"/>
  <c r="J78" i="27"/>
  <c r="J80" i="27"/>
  <c r="J81" i="27"/>
  <c r="F82" i="27"/>
  <c r="H82" i="27"/>
  <c r="I82" i="27"/>
  <c r="D81" i="27"/>
  <c r="I78" i="27"/>
  <c r="I80" i="27"/>
  <c r="F81" i="27"/>
  <c r="H81" i="27"/>
  <c r="D80" i="27"/>
  <c r="H78" i="27"/>
  <c r="F80" i="27"/>
  <c r="D79" i="27"/>
  <c r="G78" i="27"/>
  <c r="G80" i="27"/>
  <c r="G81" i="27"/>
  <c r="G82" i="27"/>
  <c r="G83" i="27"/>
  <c r="G84" i="27"/>
  <c r="G85" i="27"/>
  <c r="G86" i="27"/>
  <c r="G87" i="27"/>
  <c r="G89" i="27"/>
  <c r="G90" i="27"/>
  <c r="G91" i="27"/>
  <c r="G92" i="27"/>
  <c r="G93" i="27"/>
  <c r="G94" i="27"/>
  <c r="G95" i="27"/>
  <c r="G96" i="27"/>
  <c r="G97" i="27"/>
  <c r="G98" i="27"/>
  <c r="G99" i="27"/>
  <c r="G100" i="27"/>
  <c r="G101" i="27"/>
  <c r="G102" i="27"/>
  <c r="G103" i="27"/>
  <c r="G104" i="27"/>
  <c r="G105" i="27"/>
  <c r="G106" i="27"/>
  <c r="G107" i="27"/>
  <c r="G108" i="27"/>
  <c r="G109" i="27"/>
  <c r="G110" i="27"/>
  <c r="G111" i="27"/>
  <c r="G112" i="27"/>
  <c r="G113" i="27"/>
  <c r="G114" i="27"/>
  <c r="G115" i="27"/>
  <c r="H79" i="27"/>
  <c r="I79" i="27"/>
  <c r="J79" i="27"/>
  <c r="K79" i="27"/>
  <c r="L79" i="27"/>
  <c r="M79" i="27"/>
  <c r="N79" i="27"/>
  <c r="O79" i="27"/>
  <c r="Q79" i="27"/>
  <c r="R79" i="27"/>
  <c r="S79" i="27"/>
  <c r="T79" i="27"/>
  <c r="U79" i="27"/>
  <c r="V79" i="27"/>
  <c r="W79" i="27"/>
  <c r="X79" i="27"/>
  <c r="Y79" i="27"/>
  <c r="Z79" i="27"/>
  <c r="AA79" i="27"/>
  <c r="AB79" i="27"/>
  <c r="AC79" i="27"/>
  <c r="AD79" i="27"/>
  <c r="AE79" i="27"/>
  <c r="AF79" i="27"/>
  <c r="AG79" i="27"/>
  <c r="AH79" i="27"/>
  <c r="AI79" i="27"/>
  <c r="AJ79" i="27"/>
  <c r="AK79" i="27"/>
  <c r="AL79" i="27"/>
  <c r="AM79" i="27"/>
  <c r="AN79" i="27"/>
  <c r="AO79" i="27"/>
  <c r="AP79" i="27"/>
  <c r="AQ79" i="27"/>
  <c r="BK11" i="27"/>
  <c r="BK10" i="27" s="1"/>
  <c r="BK9" i="27" s="1"/>
  <c r="BK18" i="27"/>
  <c r="BK25" i="27"/>
  <c r="BH18" i="27"/>
  <c r="P9" i="27"/>
  <c r="O34" i="27"/>
  <c r="O25" i="27" s="1"/>
  <c r="G17" i="27"/>
  <c r="F22" i="27"/>
  <c r="E27" i="27"/>
  <c r="BD59" i="27"/>
  <c r="BD25" i="27" s="1"/>
  <c r="AS48" i="27"/>
  <c r="AP45" i="27"/>
  <c r="AN43" i="27"/>
  <c r="AE43" i="27" s="1"/>
  <c r="V43" i="27" s="1"/>
  <c r="AI38" i="27"/>
  <c r="AE38" i="27" s="1"/>
  <c r="V38" i="27" s="1"/>
  <c r="BH35" i="27"/>
  <c r="AF35" i="27"/>
  <c r="AD33" i="27"/>
  <c r="AD25" i="27" s="1"/>
  <c r="O16" i="27"/>
  <c r="K14" i="27"/>
  <c r="N10" i="27"/>
  <c r="D115" i="28"/>
  <c r="AQ80" i="28"/>
  <c r="AQ81" i="28"/>
  <c r="AQ82" i="28"/>
  <c r="AQ83" i="28"/>
  <c r="AQ84" i="28"/>
  <c r="AQ85" i="28"/>
  <c r="AQ86" i="28"/>
  <c r="AQ87" i="28"/>
  <c r="AQ89" i="28"/>
  <c r="AQ90" i="28"/>
  <c r="AQ91" i="28"/>
  <c r="AQ93" i="28"/>
  <c r="AQ94" i="28"/>
  <c r="AQ95" i="28"/>
  <c r="AQ96" i="28"/>
  <c r="AQ98" i="28"/>
  <c r="AQ99" i="28"/>
  <c r="AQ100" i="28"/>
  <c r="AQ102" i="28"/>
  <c r="AQ103" i="28"/>
  <c r="AQ104" i="28"/>
  <c r="AQ105" i="28"/>
  <c r="AQ106" i="28"/>
  <c r="AQ107" i="28"/>
  <c r="AQ108" i="28"/>
  <c r="AQ109" i="28"/>
  <c r="AQ110" i="28"/>
  <c r="AQ111" i="28"/>
  <c r="AQ112" i="28"/>
  <c r="AQ113" i="28"/>
  <c r="AQ114" i="28"/>
  <c r="H115" i="28"/>
  <c r="I115" i="28"/>
  <c r="K115" i="28"/>
  <c r="L115" i="28"/>
  <c r="M115" i="28"/>
  <c r="N115" i="28"/>
  <c r="O115" i="28"/>
  <c r="Q115" i="28"/>
  <c r="R115" i="28"/>
  <c r="S115" i="28"/>
  <c r="U115" i="28"/>
  <c r="V115" i="28"/>
  <c r="W115" i="28"/>
  <c r="Z115" i="28"/>
  <c r="AA115" i="28"/>
  <c r="AB115" i="28"/>
  <c r="AC115" i="28"/>
  <c r="AD115" i="28"/>
  <c r="AE115" i="28"/>
  <c r="AF115" i="28"/>
  <c r="AG115" i="28"/>
  <c r="AH115" i="28"/>
  <c r="AI115" i="28"/>
  <c r="AJ115" i="28"/>
  <c r="AM115" i="28"/>
  <c r="AN115" i="28"/>
  <c r="AO115" i="28"/>
  <c r="AP115" i="28"/>
  <c r="D114" i="28"/>
  <c r="AP78" i="28"/>
  <c r="AP80" i="28"/>
  <c r="AP81" i="28"/>
  <c r="AP82" i="28"/>
  <c r="AP83" i="28"/>
  <c r="AP84" i="28"/>
  <c r="AP85" i="28"/>
  <c r="AP86" i="28"/>
  <c r="AP87" i="28"/>
  <c r="AP89" i="28"/>
  <c r="AP90" i="28"/>
  <c r="AP91" i="28"/>
  <c r="AP93" i="28"/>
  <c r="AP94" i="28"/>
  <c r="AP95" i="28"/>
  <c r="AP96" i="28"/>
  <c r="AP97" i="28"/>
  <c r="AP98" i="28"/>
  <c r="AP99" i="28"/>
  <c r="AP100" i="28"/>
  <c r="AP101" i="28"/>
  <c r="AP102" i="28"/>
  <c r="AP103" i="28"/>
  <c r="AP104" i="28"/>
  <c r="AP105" i="28"/>
  <c r="AP106" i="28"/>
  <c r="AP107" i="28"/>
  <c r="AP108" i="28"/>
  <c r="AP109" i="28"/>
  <c r="AP110" i="28"/>
  <c r="AP111" i="28"/>
  <c r="AP112" i="28"/>
  <c r="AP113" i="28"/>
  <c r="F114" i="28"/>
  <c r="H114" i="28"/>
  <c r="I114" i="28"/>
  <c r="J114" i="28"/>
  <c r="K114" i="28"/>
  <c r="L114" i="28"/>
  <c r="M114" i="28"/>
  <c r="N114" i="28"/>
  <c r="O114" i="28"/>
  <c r="Q114" i="28"/>
  <c r="R114" i="28"/>
  <c r="S114" i="28"/>
  <c r="U114" i="28"/>
  <c r="V114" i="28"/>
  <c r="W114" i="28"/>
  <c r="X114" i="28"/>
  <c r="Y114" i="28"/>
  <c r="Z114" i="28"/>
  <c r="AA114" i="28"/>
  <c r="AB114" i="28"/>
  <c r="AC114" i="28"/>
  <c r="AD114" i="28"/>
  <c r="AE114" i="28"/>
  <c r="AF114" i="28"/>
  <c r="AG114" i="28"/>
  <c r="AH114" i="28"/>
  <c r="AI114" i="28"/>
  <c r="AJ114" i="28"/>
  <c r="AK114" i="28"/>
  <c r="AL114" i="28"/>
  <c r="AM114" i="28"/>
  <c r="AN114" i="28"/>
  <c r="AO114" i="28"/>
  <c r="D113" i="28"/>
  <c r="AO78" i="28"/>
  <c r="AO80" i="28"/>
  <c r="AO81" i="28"/>
  <c r="AO82" i="28"/>
  <c r="AO83" i="28"/>
  <c r="AO84" i="28"/>
  <c r="AO85" i="28"/>
  <c r="AO86" i="28"/>
  <c r="AO87" i="28"/>
  <c r="AO89" i="28"/>
  <c r="AO90" i="28"/>
  <c r="AO91" i="28"/>
  <c r="AO93" i="28"/>
  <c r="AO94" i="28"/>
  <c r="AO95" i="28"/>
  <c r="AO96" i="28"/>
  <c r="AO97" i="28"/>
  <c r="AO98" i="28"/>
  <c r="AO99" i="28"/>
  <c r="AO100" i="28"/>
  <c r="AO101" i="28"/>
  <c r="AO102" i="28"/>
  <c r="AO103" i="28"/>
  <c r="AO104" i="28"/>
  <c r="AO105" i="28"/>
  <c r="AO106" i="28"/>
  <c r="AO107" i="28"/>
  <c r="AO108" i="28"/>
  <c r="AO109" i="28"/>
  <c r="AO110" i="28"/>
  <c r="AO111" i="28"/>
  <c r="AO112" i="28"/>
  <c r="F113" i="28"/>
  <c r="H113" i="28"/>
  <c r="I113" i="28"/>
  <c r="J113" i="28"/>
  <c r="K113" i="28"/>
  <c r="L113" i="28"/>
  <c r="M113" i="28"/>
  <c r="N113" i="28"/>
  <c r="O113" i="28"/>
  <c r="Q113" i="28"/>
  <c r="R113" i="28"/>
  <c r="S113" i="28"/>
  <c r="U113" i="28"/>
  <c r="V113" i="28"/>
  <c r="W113" i="28"/>
  <c r="X113" i="28"/>
  <c r="Y113" i="28"/>
  <c r="Z113" i="28"/>
  <c r="AA113" i="28"/>
  <c r="AB113" i="28"/>
  <c r="AC113" i="28"/>
  <c r="AD113" i="28"/>
  <c r="AE113" i="28"/>
  <c r="AF113" i="28"/>
  <c r="AG113" i="28"/>
  <c r="AH113" i="28"/>
  <c r="AI113" i="28"/>
  <c r="AJ113" i="28"/>
  <c r="AK113" i="28"/>
  <c r="AL113" i="28"/>
  <c r="AM113" i="28"/>
  <c r="AN113" i="28"/>
  <c r="D112" i="28"/>
  <c r="AN78" i="28"/>
  <c r="AN80" i="28"/>
  <c r="AN81" i="28"/>
  <c r="AN82" i="28"/>
  <c r="AN83" i="28"/>
  <c r="AN84" i="28"/>
  <c r="AN85" i="28"/>
  <c r="AN86" i="28"/>
  <c r="AN87" i="28"/>
  <c r="AN89" i="28"/>
  <c r="AN90" i="28"/>
  <c r="AN91" i="28"/>
  <c r="AN93" i="28"/>
  <c r="AN94" i="28"/>
  <c r="AN95" i="28"/>
  <c r="AN96" i="28"/>
  <c r="AN98" i="28"/>
  <c r="AN99" i="28"/>
  <c r="AN100" i="28"/>
  <c r="AN101" i="28"/>
  <c r="AN102" i="28"/>
  <c r="AN103" i="28"/>
  <c r="AN104" i="28"/>
  <c r="AN105" i="28"/>
  <c r="AN106" i="28"/>
  <c r="AN107" i="28"/>
  <c r="AN108" i="28"/>
  <c r="AN109" i="28"/>
  <c r="AN110" i="28"/>
  <c r="AN111" i="28"/>
  <c r="F112" i="28"/>
  <c r="H112" i="28"/>
  <c r="I112" i="28"/>
  <c r="J112" i="28"/>
  <c r="K112" i="28"/>
  <c r="L112" i="28"/>
  <c r="M112" i="28"/>
  <c r="N112" i="28"/>
  <c r="O112" i="28"/>
  <c r="Q112" i="28"/>
  <c r="R112" i="28"/>
  <c r="S112" i="28"/>
  <c r="U112" i="28"/>
  <c r="V112" i="28"/>
  <c r="W112" i="28"/>
  <c r="X112" i="28"/>
  <c r="Y112" i="28"/>
  <c r="Z112" i="28"/>
  <c r="AA112" i="28"/>
  <c r="AB112" i="28"/>
  <c r="AC112" i="28"/>
  <c r="AD112" i="28"/>
  <c r="AE112" i="28"/>
  <c r="AF112" i="28"/>
  <c r="AG112" i="28"/>
  <c r="AH112" i="28"/>
  <c r="AI112" i="28"/>
  <c r="AJ112" i="28"/>
  <c r="AK112" i="28"/>
  <c r="AL112" i="28"/>
  <c r="AM112" i="28"/>
  <c r="D111" i="28"/>
  <c r="AM78" i="28"/>
  <c r="AM80" i="28"/>
  <c r="AM81" i="28"/>
  <c r="AM82" i="28"/>
  <c r="AM83" i="28"/>
  <c r="AM84" i="28"/>
  <c r="AM85" i="28"/>
  <c r="AM86" i="28"/>
  <c r="AM87" i="28"/>
  <c r="AM89" i="28"/>
  <c r="AM90" i="28"/>
  <c r="AM91" i="28"/>
  <c r="AM93" i="28"/>
  <c r="AM94" i="28"/>
  <c r="AM95" i="28"/>
  <c r="AM96" i="28"/>
  <c r="AM97" i="28"/>
  <c r="AM98" i="28"/>
  <c r="AM99" i="28"/>
  <c r="AM100" i="28"/>
  <c r="AM101" i="28"/>
  <c r="AM102" i="28"/>
  <c r="AM103" i="28"/>
  <c r="AM104" i="28"/>
  <c r="AM105" i="28"/>
  <c r="AM106" i="28"/>
  <c r="AM107" i="28"/>
  <c r="AM108" i="28"/>
  <c r="AM109" i="28"/>
  <c r="AM110" i="28"/>
  <c r="F111" i="28"/>
  <c r="H111" i="28"/>
  <c r="I111" i="28"/>
  <c r="J111" i="28"/>
  <c r="K111" i="28"/>
  <c r="L111" i="28"/>
  <c r="M111" i="28"/>
  <c r="N111" i="28"/>
  <c r="O111" i="28"/>
  <c r="Q111" i="28"/>
  <c r="R111" i="28"/>
  <c r="S111" i="28"/>
  <c r="U111" i="28"/>
  <c r="V111" i="28"/>
  <c r="W111" i="28"/>
  <c r="X111" i="28"/>
  <c r="Y111" i="28"/>
  <c r="Z111" i="28"/>
  <c r="AA111" i="28"/>
  <c r="AB111" i="28"/>
  <c r="AC111" i="28"/>
  <c r="AD111" i="28"/>
  <c r="AE111" i="28"/>
  <c r="AF111" i="28"/>
  <c r="AG111" i="28"/>
  <c r="AH111" i="28"/>
  <c r="AI111" i="28"/>
  <c r="AJ111" i="28"/>
  <c r="AK111" i="28"/>
  <c r="AL111" i="28"/>
  <c r="D110" i="28"/>
  <c r="AL80" i="28"/>
  <c r="AL81" i="28"/>
  <c r="AL82" i="28"/>
  <c r="AL83" i="28"/>
  <c r="AL84" i="28"/>
  <c r="AL85" i="28"/>
  <c r="AL86" i="28"/>
  <c r="AL87" i="28"/>
  <c r="AL89" i="28"/>
  <c r="AL90" i="28"/>
  <c r="AL91" i="28"/>
  <c r="AL93" i="28"/>
  <c r="AL94" i="28"/>
  <c r="AL95" i="28"/>
  <c r="AL96" i="28"/>
  <c r="AL98" i="28"/>
  <c r="AL99" i="28"/>
  <c r="AL100" i="28"/>
  <c r="AL101" i="28"/>
  <c r="AL102" i="28"/>
  <c r="AL103" i="28"/>
  <c r="AL104" i="28"/>
  <c r="AL105" i="28"/>
  <c r="AL106" i="28"/>
  <c r="AL107" i="28"/>
  <c r="AL108" i="28"/>
  <c r="AL109" i="28"/>
  <c r="F110" i="28"/>
  <c r="H110" i="28"/>
  <c r="I110" i="28"/>
  <c r="J110" i="28"/>
  <c r="K110" i="28"/>
  <c r="L110" i="28"/>
  <c r="M110" i="28"/>
  <c r="N110" i="28"/>
  <c r="O110" i="28"/>
  <c r="Q110" i="28"/>
  <c r="R110" i="28"/>
  <c r="S110" i="28"/>
  <c r="U110" i="28"/>
  <c r="V110" i="28"/>
  <c r="W110" i="28"/>
  <c r="X110" i="28"/>
  <c r="Y110" i="28"/>
  <c r="Z110" i="28"/>
  <c r="AA110" i="28"/>
  <c r="AB110" i="28"/>
  <c r="AC110" i="28"/>
  <c r="AD110" i="28"/>
  <c r="AE110" i="28"/>
  <c r="AF110" i="28"/>
  <c r="AG110" i="28"/>
  <c r="AH110" i="28"/>
  <c r="AI110" i="28"/>
  <c r="AJ110" i="28"/>
  <c r="AK110" i="28"/>
  <c r="D109" i="28"/>
  <c r="AK78" i="28"/>
  <c r="AK80" i="28"/>
  <c r="AK81" i="28"/>
  <c r="AK82" i="28"/>
  <c r="AK83" i="28"/>
  <c r="AK84" i="28"/>
  <c r="AK85" i="28"/>
  <c r="AK86" i="28"/>
  <c r="AK87" i="28"/>
  <c r="AK89" i="28"/>
  <c r="AK90" i="28"/>
  <c r="AK91" i="28"/>
  <c r="AK93" i="28"/>
  <c r="AK94" i="28"/>
  <c r="AK95" i="28"/>
  <c r="AK96" i="28"/>
  <c r="AK98" i="28"/>
  <c r="AK99" i="28"/>
  <c r="AK100" i="28"/>
  <c r="AK101" i="28"/>
  <c r="AK102" i="28"/>
  <c r="AK103" i="28"/>
  <c r="AK104" i="28"/>
  <c r="AK105" i="28"/>
  <c r="AK106" i="28"/>
  <c r="AK107" i="28"/>
  <c r="AK108" i="28"/>
  <c r="AK115" i="28"/>
  <c r="F109" i="28"/>
  <c r="H109" i="28"/>
  <c r="I109" i="28"/>
  <c r="J109" i="28"/>
  <c r="K109" i="28"/>
  <c r="L109" i="28"/>
  <c r="M109" i="28"/>
  <c r="N109" i="28"/>
  <c r="O109" i="28"/>
  <c r="Q109" i="28"/>
  <c r="R109" i="28"/>
  <c r="S109" i="28"/>
  <c r="U109" i="28"/>
  <c r="V109" i="28"/>
  <c r="W109" i="28"/>
  <c r="X109" i="28"/>
  <c r="Y109" i="28"/>
  <c r="Z109" i="28"/>
  <c r="AA109" i="28"/>
  <c r="AB109" i="28"/>
  <c r="AC109" i="28"/>
  <c r="AD109" i="28"/>
  <c r="AE109" i="28"/>
  <c r="AF109" i="28"/>
  <c r="AG109" i="28"/>
  <c r="AH109" i="28"/>
  <c r="AI109" i="28"/>
  <c r="AJ109" i="28"/>
  <c r="D108" i="28"/>
  <c r="AJ80" i="28"/>
  <c r="AJ81" i="28"/>
  <c r="AJ82" i="28"/>
  <c r="AJ83" i="28"/>
  <c r="AJ84" i="28"/>
  <c r="AJ85" i="28"/>
  <c r="AJ86" i="28"/>
  <c r="AJ87" i="28"/>
  <c r="AJ89" i="28"/>
  <c r="AJ90" i="28"/>
  <c r="AJ91" i="28"/>
  <c r="AJ93" i="28"/>
  <c r="AJ94" i="28"/>
  <c r="AJ95" i="28"/>
  <c r="AJ96" i="28"/>
  <c r="AJ97" i="28"/>
  <c r="AJ98" i="28"/>
  <c r="AJ99" i="28"/>
  <c r="AJ100" i="28"/>
  <c r="AJ101" i="28"/>
  <c r="AJ102" i="28"/>
  <c r="AJ103" i="28"/>
  <c r="AJ104" i="28"/>
  <c r="AJ105" i="28"/>
  <c r="AJ106" i="28"/>
  <c r="AJ107" i="28"/>
  <c r="F108" i="28"/>
  <c r="H108" i="28"/>
  <c r="I108" i="28"/>
  <c r="J108" i="28"/>
  <c r="K108" i="28"/>
  <c r="L108" i="28"/>
  <c r="M108" i="28"/>
  <c r="N108" i="28"/>
  <c r="O108" i="28"/>
  <c r="Q108" i="28"/>
  <c r="R108" i="28"/>
  <c r="S108" i="28"/>
  <c r="U108" i="28"/>
  <c r="V108" i="28"/>
  <c r="W108" i="28"/>
  <c r="X108" i="28"/>
  <c r="Y108" i="28"/>
  <c r="Z108" i="28"/>
  <c r="AA108" i="28"/>
  <c r="AB108" i="28"/>
  <c r="AC108" i="28"/>
  <c r="AD108" i="28"/>
  <c r="AE108" i="28"/>
  <c r="AF108" i="28"/>
  <c r="AG108" i="28"/>
  <c r="AH108" i="28"/>
  <c r="AI108" i="28"/>
  <c r="D107" i="28"/>
  <c r="AI80" i="28"/>
  <c r="AI81" i="28"/>
  <c r="AI82" i="28"/>
  <c r="AI83" i="28"/>
  <c r="AI84" i="28"/>
  <c r="AI85" i="28"/>
  <c r="AI86" i="28"/>
  <c r="AI87" i="28"/>
  <c r="AI89" i="28"/>
  <c r="AI90" i="28"/>
  <c r="AI91" i="28"/>
  <c r="AI93" i="28"/>
  <c r="AI94" i="28"/>
  <c r="AI95" i="28"/>
  <c r="AI96" i="28"/>
  <c r="AI97" i="28"/>
  <c r="AI98" i="28"/>
  <c r="AI99" i="28"/>
  <c r="AI100" i="28"/>
  <c r="AI101" i="28"/>
  <c r="AI102" i="28"/>
  <c r="AI103" i="28"/>
  <c r="AI104" i="28"/>
  <c r="AI105" i="28"/>
  <c r="AI106" i="28"/>
  <c r="F107" i="28"/>
  <c r="H107" i="28"/>
  <c r="I107" i="28"/>
  <c r="J107" i="28"/>
  <c r="K107" i="28"/>
  <c r="L107" i="28"/>
  <c r="M107" i="28"/>
  <c r="N107" i="28"/>
  <c r="O107" i="28"/>
  <c r="Q107" i="28"/>
  <c r="R107" i="28"/>
  <c r="S107" i="28"/>
  <c r="U107" i="28"/>
  <c r="V107" i="28"/>
  <c r="W107" i="28"/>
  <c r="X107" i="28"/>
  <c r="Y107" i="28"/>
  <c r="Z107" i="28"/>
  <c r="AA107" i="28"/>
  <c r="AB107" i="28"/>
  <c r="AC107" i="28"/>
  <c r="AD107" i="28"/>
  <c r="AE107" i="28"/>
  <c r="AF107" i="28"/>
  <c r="AG107" i="28"/>
  <c r="AH107" i="28"/>
  <c r="D106" i="28"/>
  <c r="AH78" i="28"/>
  <c r="AH80" i="28"/>
  <c r="AH81" i="28"/>
  <c r="AH82" i="28"/>
  <c r="AH83" i="28"/>
  <c r="AH84" i="28"/>
  <c r="AH85" i="28"/>
  <c r="AH86" i="28"/>
  <c r="AH87" i="28"/>
  <c r="AH89" i="28"/>
  <c r="AH90" i="28"/>
  <c r="AH91" i="28"/>
  <c r="AH93" i="28"/>
  <c r="AH94" i="28"/>
  <c r="AH95" i="28"/>
  <c r="AH96" i="28"/>
  <c r="AH98" i="28"/>
  <c r="AH99" i="28"/>
  <c r="AH100" i="28"/>
  <c r="AH101" i="28"/>
  <c r="AH102" i="28"/>
  <c r="AH103" i="28"/>
  <c r="AH104" i="28"/>
  <c r="AH105" i="28"/>
  <c r="F106" i="28"/>
  <c r="H106" i="28"/>
  <c r="I106" i="28"/>
  <c r="J106" i="28"/>
  <c r="K106" i="28"/>
  <c r="L106" i="28"/>
  <c r="M106" i="28"/>
  <c r="N106" i="28"/>
  <c r="O106" i="28"/>
  <c r="Q106" i="28"/>
  <c r="R106" i="28"/>
  <c r="S106" i="28"/>
  <c r="U106" i="28"/>
  <c r="V106" i="28"/>
  <c r="W106" i="28"/>
  <c r="X106" i="28"/>
  <c r="Y106" i="28"/>
  <c r="Z106" i="28"/>
  <c r="AA106" i="28"/>
  <c r="AB106" i="28"/>
  <c r="AC106" i="28"/>
  <c r="AD106" i="28"/>
  <c r="AE106" i="28"/>
  <c r="AF106" i="28"/>
  <c r="AG106" i="28"/>
  <c r="D105" i="28"/>
  <c r="AG78" i="28"/>
  <c r="AG80" i="28"/>
  <c r="AG81" i="28"/>
  <c r="AG82" i="28"/>
  <c r="AG83" i="28"/>
  <c r="AG84" i="28"/>
  <c r="AG85" i="28"/>
  <c r="AG86" i="28"/>
  <c r="AG87" i="28"/>
  <c r="AG89" i="28"/>
  <c r="AG90" i="28"/>
  <c r="AG91" i="28"/>
  <c r="AG93" i="28"/>
  <c r="AG94" i="28"/>
  <c r="AG95" i="28"/>
  <c r="AG96" i="28"/>
  <c r="AG97" i="28"/>
  <c r="AG98" i="28"/>
  <c r="AG99" i="28"/>
  <c r="AG100" i="28"/>
  <c r="AG101" i="28"/>
  <c r="AG102" i="28"/>
  <c r="AG103" i="28"/>
  <c r="AG104" i="28"/>
  <c r="F105" i="28"/>
  <c r="H105" i="28"/>
  <c r="I105" i="28"/>
  <c r="J105" i="28"/>
  <c r="K105" i="28"/>
  <c r="L105" i="28"/>
  <c r="M105" i="28"/>
  <c r="N105" i="28"/>
  <c r="O105" i="28"/>
  <c r="Q105" i="28"/>
  <c r="R105" i="28"/>
  <c r="S105" i="28"/>
  <c r="U105" i="28"/>
  <c r="V105" i="28"/>
  <c r="W105" i="28"/>
  <c r="X105" i="28"/>
  <c r="Z105" i="28"/>
  <c r="AA105" i="28"/>
  <c r="AB105" i="28"/>
  <c r="AC105" i="28"/>
  <c r="AD105" i="28"/>
  <c r="AE105" i="28"/>
  <c r="AF105" i="28"/>
  <c r="D104" i="28"/>
  <c r="AF78" i="28"/>
  <c r="AF80" i="28"/>
  <c r="AF81" i="28"/>
  <c r="AF82" i="28"/>
  <c r="AF83" i="28"/>
  <c r="AF84" i="28"/>
  <c r="AF85" i="28"/>
  <c r="AF86" i="28"/>
  <c r="AF87" i="28"/>
  <c r="AF89" i="28"/>
  <c r="AF90" i="28"/>
  <c r="AF91" i="28"/>
  <c r="AF93" i="28"/>
  <c r="AF94" i="28"/>
  <c r="AF95" i="28"/>
  <c r="AF96" i="28"/>
  <c r="AF97" i="28"/>
  <c r="AF98" i="28"/>
  <c r="AF99" i="28"/>
  <c r="AF100" i="28"/>
  <c r="AF101" i="28"/>
  <c r="AF102" i="28"/>
  <c r="AF103" i="28"/>
  <c r="F104" i="28"/>
  <c r="H104" i="28"/>
  <c r="I104" i="28"/>
  <c r="J104" i="28"/>
  <c r="K104" i="28"/>
  <c r="L104" i="28"/>
  <c r="M104" i="28"/>
  <c r="N104" i="28"/>
  <c r="O104" i="28"/>
  <c r="Q104" i="28"/>
  <c r="R104" i="28"/>
  <c r="S104" i="28"/>
  <c r="U104" i="28"/>
  <c r="V104" i="28"/>
  <c r="W104" i="28"/>
  <c r="X104" i="28"/>
  <c r="Y104" i="28"/>
  <c r="Z104" i="28"/>
  <c r="AA104" i="28"/>
  <c r="AB104" i="28"/>
  <c r="AC104" i="28"/>
  <c r="AD104" i="28"/>
  <c r="AE104" i="28"/>
  <c r="D103" i="28"/>
  <c r="AE78" i="28"/>
  <c r="AE80" i="28"/>
  <c r="AE81" i="28"/>
  <c r="AE82" i="28"/>
  <c r="AE83" i="28"/>
  <c r="AE84" i="28"/>
  <c r="AE85" i="28"/>
  <c r="AE86" i="28"/>
  <c r="AE87" i="28"/>
  <c r="AE89" i="28"/>
  <c r="AE90" i="28"/>
  <c r="AE91" i="28"/>
  <c r="AE93" i="28"/>
  <c r="AE94" i="28"/>
  <c r="AE95" i="28"/>
  <c r="AE96" i="28"/>
  <c r="AE97" i="28"/>
  <c r="AE98" i="28"/>
  <c r="AE99" i="28"/>
  <c r="AE100" i="28"/>
  <c r="AE101" i="28"/>
  <c r="AE102" i="28"/>
  <c r="F103" i="28"/>
  <c r="H103" i="28"/>
  <c r="I103" i="28"/>
  <c r="J103" i="28"/>
  <c r="K103" i="28"/>
  <c r="L103" i="28"/>
  <c r="M103" i="28"/>
  <c r="N103" i="28"/>
  <c r="O103" i="28"/>
  <c r="Q103" i="28"/>
  <c r="R103" i="28"/>
  <c r="S103" i="28"/>
  <c r="U103" i="28"/>
  <c r="V103" i="28"/>
  <c r="W103" i="28"/>
  <c r="X103" i="28"/>
  <c r="Y103" i="28"/>
  <c r="Z103" i="28"/>
  <c r="AA103" i="28"/>
  <c r="AB103" i="28"/>
  <c r="AC103" i="28"/>
  <c r="AD103" i="28"/>
  <c r="D102" i="28"/>
  <c r="AD80" i="28"/>
  <c r="AD81" i="28"/>
  <c r="AD82" i="28"/>
  <c r="AD83" i="28"/>
  <c r="AD84" i="28"/>
  <c r="AD85" i="28"/>
  <c r="AD86" i="28"/>
  <c r="AD87" i="28"/>
  <c r="AD89" i="28"/>
  <c r="AD90" i="28"/>
  <c r="AD91" i="28"/>
  <c r="AD93" i="28"/>
  <c r="AD94" i="28"/>
  <c r="AD95" i="28"/>
  <c r="AD96" i="28"/>
  <c r="AD97" i="28"/>
  <c r="AD98" i="28"/>
  <c r="AD99" i="28"/>
  <c r="AD100" i="28"/>
  <c r="AD101" i="28"/>
  <c r="F102" i="28"/>
  <c r="H102" i="28"/>
  <c r="I102" i="28"/>
  <c r="J102" i="28"/>
  <c r="K102" i="28"/>
  <c r="L102" i="28"/>
  <c r="M102" i="28"/>
  <c r="N102" i="28"/>
  <c r="O102" i="28"/>
  <c r="Q102" i="28"/>
  <c r="R102" i="28"/>
  <c r="S102" i="28"/>
  <c r="U102" i="28"/>
  <c r="V102" i="28"/>
  <c r="W102" i="28"/>
  <c r="X102" i="28"/>
  <c r="Z102" i="28"/>
  <c r="AA102" i="28"/>
  <c r="AB102" i="28"/>
  <c r="AC102" i="28"/>
  <c r="D101" i="28"/>
  <c r="AC78" i="28"/>
  <c r="AC80" i="28"/>
  <c r="AC81" i="28"/>
  <c r="AC82" i="28"/>
  <c r="AC83" i="28"/>
  <c r="AC84" i="28"/>
  <c r="AC85" i="28"/>
  <c r="AC86" i="28"/>
  <c r="AC87" i="28"/>
  <c r="AC89" i="28"/>
  <c r="AC90" i="28"/>
  <c r="AC91" i="28"/>
  <c r="AC93" i="28"/>
  <c r="AC94" i="28"/>
  <c r="AC95" i="28"/>
  <c r="AC96" i="28"/>
  <c r="AC97" i="28"/>
  <c r="AC98" i="28"/>
  <c r="AC99" i="28"/>
  <c r="AC100" i="28"/>
  <c r="F101" i="28"/>
  <c r="H101" i="28"/>
  <c r="I101" i="28"/>
  <c r="J101" i="28"/>
  <c r="K101" i="28"/>
  <c r="L101" i="28"/>
  <c r="M101" i="28"/>
  <c r="N101" i="28"/>
  <c r="O101" i="28"/>
  <c r="Q101" i="28"/>
  <c r="R101" i="28"/>
  <c r="S101" i="28"/>
  <c r="U101" i="28"/>
  <c r="V101" i="28"/>
  <c r="W101" i="28"/>
  <c r="X101" i="28"/>
  <c r="Y101" i="28"/>
  <c r="Z101" i="28"/>
  <c r="AA101" i="28"/>
  <c r="AB101" i="28"/>
  <c r="D100" i="28"/>
  <c r="AB78" i="28"/>
  <c r="AB80" i="28"/>
  <c r="AB81" i="28"/>
  <c r="AB82" i="28"/>
  <c r="AB83" i="28"/>
  <c r="AB84" i="28"/>
  <c r="AB85" i="28"/>
  <c r="AB86" i="28"/>
  <c r="AB87" i="28"/>
  <c r="AB89" i="28"/>
  <c r="AB90" i="28"/>
  <c r="AB91" i="28"/>
  <c r="AB93" i="28"/>
  <c r="AB94" i="28"/>
  <c r="AB95" i="28"/>
  <c r="AB96" i="28"/>
  <c r="AB97" i="28"/>
  <c r="AB98" i="28"/>
  <c r="AB99" i="28"/>
  <c r="F100" i="28"/>
  <c r="H100" i="28"/>
  <c r="I100" i="28"/>
  <c r="J100" i="28"/>
  <c r="K100" i="28"/>
  <c r="L100" i="28"/>
  <c r="M100" i="28"/>
  <c r="N100" i="28"/>
  <c r="O100" i="28"/>
  <c r="Q100" i="28"/>
  <c r="R100" i="28"/>
  <c r="S100" i="28"/>
  <c r="U100" i="28"/>
  <c r="V100" i="28"/>
  <c r="W100" i="28"/>
  <c r="X100" i="28"/>
  <c r="Y100" i="28"/>
  <c r="Z100" i="28"/>
  <c r="AA100" i="28"/>
  <c r="D99" i="28"/>
  <c r="AA78" i="28"/>
  <c r="AA80" i="28"/>
  <c r="AA81" i="28"/>
  <c r="AA82" i="28"/>
  <c r="AA83" i="28"/>
  <c r="AA84" i="28"/>
  <c r="AA85" i="28"/>
  <c r="AA86" i="28"/>
  <c r="AA87" i="28"/>
  <c r="AA89" i="28"/>
  <c r="AA90" i="28"/>
  <c r="AA91" i="28"/>
  <c r="AA93" i="28"/>
  <c r="AA94" i="28"/>
  <c r="AA95" i="28"/>
  <c r="AA96" i="28"/>
  <c r="AA98" i="28"/>
  <c r="H99" i="28"/>
  <c r="I99" i="28"/>
  <c r="J99" i="28"/>
  <c r="K99" i="28"/>
  <c r="L99" i="28"/>
  <c r="M99" i="28"/>
  <c r="N99" i="28"/>
  <c r="O99" i="28"/>
  <c r="Q99" i="28"/>
  <c r="R99" i="28"/>
  <c r="S99" i="28"/>
  <c r="U99" i="28"/>
  <c r="V99" i="28"/>
  <c r="W99" i="28"/>
  <c r="X99" i="28"/>
  <c r="Y99" i="28"/>
  <c r="Z99" i="28"/>
  <c r="D98" i="28"/>
  <c r="Z78" i="28"/>
  <c r="Z80" i="28"/>
  <c r="Z81" i="28"/>
  <c r="Z82" i="28"/>
  <c r="Z83" i="28"/>
  <c r="Z84" i="28"/>
  <c r="Z85" i="28"/>
  <c r="Z86" i="28"/>
  <c r="Z87" i="28"/>
  <c r="Z89" i="28"/>
  <c r="Z90" i="28"/>
  <c r="Z91" i="28"/>
  <c r="Z93" i="28"/>
  <c r="Z94" i="28"/>
  <c r="Z95" i="28"/>
  <c r="Z96" i="28"/>
  <c r="Z97" i="28"/>
  <c r="F98" i="28"/>
  <c r="H98" i="28"/>
  <c r="I98" i="28"/>
  <c r="J98" i="28"/>
  <c r="K98" i="28"/>
  <c r="L98" i="28"/>
  <c r="M98" i="28"/>
  <c r="N98" i="28"/>
  <c r="O98" i="28"/>
  <c r="Q98" i="28"/>
  <c r="R98" i="28"/>
  <c r="S98" i="28"/>
  <c r="U98" i="28"/>
  <c r="V98" i="28"/>
  <c r="W98" i="28"/>
  <c r="X98" i="28"/>
  <c r="Y98" i="28"/>
  <c r="Y82" i="28"/>
  <c r="Y83" i="28"/>
  <c r="Y84" i="28"/>
  <c r="Y86" i="28"/>
  <c r="Y87" i="28"/>
  <c r="Y89" i="28"/>
  <c r="Y90" i="28"/>
  <c r="Y91" i="28"/>
  <c r="Y93" i="28"/>
  <c r="Y94" i="28"/>
  <c r="Y96" i="28"/>
  <c r="H97" i="28"/>
  <c r="I97" i="28"/>
  <c r="J97" i="28"/>
  <c r="K97" i="28"/>
  <c r="L97" i="28"/>
  <c r="M97" i="28"/>
  <c r="N97" i="28"/>
  <c r="O97" i="28"/>
  <c r="Q97" i="28"/>
  <c r="R97" i="28"/>
  <c r="U97" i="28"/>
  <c r="V97" i="28"/>
  <c r="X97" i="28"/>
  <c r="D96" i="28"/>
  <c r="X78" i="28"/>
  <c r="X80" i="28"/>
  <c r="X81" i="28"/>
  <c r="X82" i="28"/>
  <c r="X83" i="28"/>
  <c r="X84" i="28"/>
  <c r="X85" i="28"/>
  <c r="X86" i="28"/>
  <c r="X87" i="28"/>
  <c r="X89" i="28"/>
  <c r="X90" i="28"/>
  <c r="X91" i="28"/>
  <c r="X93" i="28"/>
  <c r="X94" i="28"/>
  <c r="X95" i="28"/>
  <c r="F96" i="28"/>
  <c r="H96" i="28"/>
  <c r="I96" i="28"/>
  <c r="J96" i="28"/>
  <c r="K96" i="28"/>
  <c r="L96" i="28"/>
  <c r="M96" i="28"/>
  <c r="N96" i="28"/>
  <c r="O96" i="28"/>
  <c r="Q96" i="28"/>
  <c r="R96" i="28"/>
  <c r="S96" i="28"/>
  <c r="U96" i="28"/>
  <c r="V96" i="28"/>
  <c r="W96" i="28"/>
  <c r="D95" i="28"/>
  <c r="W78" i="28"/>
  <c r="W80" i="28"/>
  <c r="W81" i="28"/>
  <c r="W82" i="28"/>
  <c r="W83" i="28"/>
  <c r="W84" i="28"/>
  <c r="W85" i="28"/>
  <c r="W86" i="28"/>
  <c r="W87" i="28"/>
  <c r="W89" i="28"/>
  <c r="W90" i="28"/>
  <c r="W91" i="28"/>
  <c r="W93" i="28"/>
  <c r="W94" i="28"/>
  <c r="F95" i="28"/>
  <c r="H95" i="28"/>
  <c r="I95" i="28"/>
  <c r="J95" i="28"/>
  <c r="K95" i="28"/>
  <c r="L95" i="28"/>
  <c r="M95" i="28"/>
  <c r="N95" i="28"/>
  <c r="O95" i="28"/>
  <c r="Q95" i="28"/>
  <c r="R95" i="28"/>
  <c r="S95" i="28"/>
  <c r="U95" i="28"/>
  <c r="V95" i="28"/>
  <c r="D94" i="28"/>
  <c r="V78" i="28"/>
  <c r="V80" i="28"/>
  <c r="V81" i="28"/>
  <c r="V82" i="28"/>
  <c r="V83" i="28"/>
  <c r="V84" i="28"/>
  <c r="V85" i="28"/>
  <c r="V86" i="28"/>
  <c r="V87" i="28"/>
  <c r="V89" i="28"/>
  <c r="V90" i="28"/>
  <c r="V91" i="28"/>
  <c r="V93" i="28"/>
  <c r="F94" i="28"/>
  <c r="H94" i="28"/>
  <c r="I94" i="28"/>
  <c r="J94" i="28"/>
  <c r="K94" i="28"/>
  <c r="L94" i="28"/>
  <c r="M94" i="28"/>
  <c r="N94" i="28"/>
  <c r="O94" i="28"/>
  <c r="Q94" i="28"/>
  <c r="R94" i="28"/>
  <c r="S94" i="28"/>
  <c r="U94" i="28"/>
  <c r="D93" i="28"/>
  <c r="U78" i="28"/>
  <c r="U80" i="28"/>
  <c r="U81" i="28"/>
  <c r="U82" i="28"/>
  <c r="U83" i="28"/>
  <c r="U84" i="28"/>
  <c r="U85" i="28"/>
  <c r="U86" i="28"/>
  <c r="U87" i="28"/>
  <c r="U89" i="28"/>
  <c r="U90" i="28"/>
  <c r="U91" i="28"/>
  <c r="F93" i="28"/>
  <c r="H93" i="28"/>
  <c r="I93" i="28"/>
  <c r="J93" i="28"/>
  <c r="K93" i="28"/>
  <c r="L93" i="28"/>
  <c r="M93" i="28"/>
  <c r="N93" i="28"/>
  <c r="O93" i="28"/>
  <c r="Q93" i="28"/>
  <c r="R93" i="28"/>
  <c r="S93" i="28"/>
  <c r="D91" i="28"/>
  <c r="S78" i="28"/>
  <c r="S80" i="28"/>
  <c r="S81" i="28"/>
  <c r="S82" i="28"/>
  <c r="S83" i="28"/>
  <c r="S84" i="28"/>
  <c r="S85" i="28"/>
  <c r="S86" i="28"/>
  <c r="S87" i="28"/>
  <c r="S89" i="28"/>
  <c r="S90" i="28"/>
  <c r="F91" i="28"/>
  <c r="H91" i="28"/>
  <c r="I91" i="28"/>
  <c r="J91" i="28"/>
  <c r="K91" i="28"/>
  <c r="L91" i="28"/>
  <c r="M91" i="28"/>
  <c r="N91" i="28"/>
  <c r="O91" i="28"/>
  <c r="Q91" i="28"/>
  <c r="R91" i="28"/>
  <c r="D90" i="28"/>
  <c r="R78" i="28"/>
  <c r="R80" i="28"/>
  <c r="R81" i="28"/>
  <c r="R82" i="28"/>
  <c r="R83" i="28"/>
  <c r="R84" i="28"/>
  <c r="R85" i="28"/>
  <c r="R86" i="28"/>
  <c r="R87" i="28"/>
  <c r="R89" i="28"/>
  <c r="F90" i="28"/>
  <c r="H90" i="28"/>
  <c r="I90" i="28"/>
  <c r="J90" i="28"/>
  <c r="K90" i="28"/>
  <c r="L90" i="28"/>
  <c r="M90" i="28"/>
  <c r="N90" i="28"/>
  <c r="O90" i="28"/>
  <c r="Q90" i="28"/>
  <c r="D89" i="28"/>
  <c r="Q78" i="28"/>
  <c r="Q80" i="28"/>
  <c r="Q81" i="28"/>
  <c r="Q82" i="28"/>
  <c r="Q83" i="28"/>
  <c r="Q84" i="28"/>
  <c r="Q85" i="28"/>
  <c r="Q86" i="28"/>
  <c r="Q87" i="28"/>
  <c r="F89" i="28"/>
  <c r="H89" i="28"/>
  <c r="I89" i="28"/>
  <c r="J89" i="28"/>
  <c r="J88" i="28" s="1"/>
  <c r="K89" i="28"/>
  <c r="L89" i="28"/>
  <c r="M89" i="28"/>
  <c r="N89" i="28"/>
  <c r="O89" i="28"/>
  <c r="D87" i="28"/>
  <c r="O80" i="28"/>
  <c r="O81" i="28"/>
  <c r="O82" i="28"/>
  <c r="O83" i="28"/>
  <c r="O84" i="28"/>
  <c r="O85" i="28"/>
  <c r="O86" i="28"/>
  <c r="F87" i="28"/>
  <c r="H87" i="28"/>
  <c r="I87" i="28"/>
  <c r="J87" i="28"/>
  <c r="K87" i="28"/>
  <c r="L87" i="28"/>
  <c r="M87" i="28"/>
  <c r="N87" i="28"/>
  <c r="D86" i="28"/>
  <c r="N78" i="28"/>
  <c r="N80" i="28"/>
  <c r="N81" i="28"/>
  <c r="N82" i="28"/>
  <c r="N83" i="28"/>
  <c r="N84" i="28"/>
  <c r="N85" i="28"/>
  <c r="F86" i="28"/>
  <c r="H86" i="28"/>
  <c r="I86" i="28"/>
  <c r="J86" i="28"/>
  <c r="K86" i="28"/>
  <c r="L86" i="28"/>
  <c r="M86" i="28"/>
  <c r="D85" i="28"/>
  <c r="M78" i="28"/>
  <c r="M80" i="28"/>
  <c r="M81" i="28"/>
  <c r="M82" i="28"/>
  <c r="M83" i="28"/>
  <c r="M84" i="28"/>
  <c r="F85" i="28"/>
  <c r="H85" i="28"/>
  <c r="I85" i="28"/>
  <c r="J85" i="28"/>
  <c r="K85" i="28"/>
  <c r="L85" i="28"/>
  <c r="D84" i="28"/>
  <c r="R11" i="28"/>
  <c r="O11" i="28" s="1"/>
  <c r="L80" i="28"/>
  <c r="L81" i="28"/>
  <c r="L82" i="28"/>
  <c r="L83" i="28"/>
  <c r="F84" i="28"/>
  <c r="H84" i="28"/>
  <c r="I84" i="28"/>
  <c r="J84" i="28"/>
  <c r="K84" i="28"/>
  <c r="D83" i="28"/>
  <c r="Q11" i="28"/>
  <c r="K78" i="28" s="1"/>
  <c r="K80" i="28"/>
  <c r="K81" i="28"/>
  <c r="K82" i="28"/>
  <c r="F83" i="28"/>
  <c r="H83" i="28"/>
  <c r="I83" i="28"/>
  <c r="J83" i="28"/>
  <c r="D82" i="28"/>
  <c r="J78" i="28"/>
  <c r="J80" i="28"/>
  <c r="J81" i="28"/>
  <c r="F82" i="28"/>
  <c r="H82" i="28"/>
  <c r="I82" i="28"/>
  <c r="D81" i="28"/>
  <c r="I78" i="28"/>
  <c r="I80" i="28"/>
  <c r="F81" i="28"/>
  <c r="H81" i="28"/>
  <c r="D80" i="28"/>
  <c r="H78" i="28"/>
  <c r="F80" i="28"/>
  <c r="D79" i="28"/>
  <c r="G78" i="28"/>
  <c r="G80" i="28"/>
  <c r="G81" i="28"/>
  <c r="G82" i="28"/>
  <c r="G83" i="28"/>
  <c r="G84" i="28"/>
  <c r="G85" i="28"/>
  <c r="G86" i="28"/>
  <c r="G87" i="28"/>
  <c r="G89" i="28"/>
  <c r="G90" i="28"/>
  <c r="G91" i="28"/>
  <c r="G92" i="28"/>
  <c r="G93" i="28"/>
  <c r="G94" i="28"/>
  <c r="G95" i="28"/>
  <c r="G96" i="28"/>
  <c r="G97" i="28"/>
  <c r="G98" i="28"/>
  <c r="G99" i="28"/>
  <c r="G100" i="28"/>
  <c r="G101" i="28"/>
  <c r="G102" i="28"/>
  <c r="G103" i="28"/>
  <c r="G104" i="28"/>
  <c r="G105" i="28"/>
  <c r="G106" i="28"/>
  <c r="G107" i="28"/>
  <c r="G108" i="28"/>
  <c r="G109" i="28"/>
  <c r="G110" i="28"/>
  <c r="G111" i="28"/>
  <c r="G112" i="28"/>
  <c r="G113" i="28"/>
  <c r="G114" i="28"/>
  <c r="G115" i="28"/>
  <c r="H79" i="28"/>
  <c r="I79" i="28"/>
  <c r="J79" i="28"/>
  <c r="K79" i="28"/>
  <c r="L79" i="28"/>
  <c r="M79" i="28"/>
  <c r="N79" i="28"/>
  <c r="O79" i="28"/>
  <c r="Q79" i="28"/>
  <c r="R79" i="28"/>
  <c r="S79" i="28"/>
  <c r="T79" i="28"/>
  <c r="U79" i="28"/>
  <c r="V79" i="28"/>
  <c r="W79" i="28"/>
  <c r="X79" i="28"/>
  <c r="Z79" i="28"/>
  <c r="AA79" i="28"/>
  <c r="AB79" i="28"/>
  <c r="AC79" i="28"/>
  <c r="AD79" i="28"/>
  <c r="AE79" i="28"/>
  <c r="AF79" i="28"/>
  <c r="AG79" i="28"/>
  <c r="AH79" i="28"/>
  <c r="AI79" i="28"/>
  <c r="AJ79" i="28"/>
  <c r="AK79" i="28"/>
  <c r="AL79" i="28"/>
  <c r="AM79" i="28"/>
  <c r="AN79" i="28"/>
  <c r="AO79" i="28"/>
  <c r="AP79" i="28"/>
  <c r="AQ79" i="28"/>
  <c r="L18" i="28"/>
  <c r="L34" i="28"/>
  <c r="L25" i="28" s="1"/>
  <c r="L63" i="28"/>
  <c r="O15" i="28"/>
  <c r="V15" i="28"/>
  <c r="BK11" i="28"/>
  <c r="BK10" i="28" s="1"/>
  <c r="BK9" i="28" s="1"/>
  <c r="BK18" i="28"/>
  <c r="BK25" i="28"/>
  <c r="BH18" i="28"/>
  <c r="P9" i="28"/>
  <c r="O34" i="28"/>
  <c r="O25" i="28" s="1"/>
  <c r="G17" i="28"/>
  <c r="G26" i="28"/>
  <c r="F22" i="28"/>
  <c r="E27" i="28"/>
  <c r="AS48" i="28"/>
  <c r="AN43" i="28"/>
  <c r="AN34" i="28" s="1"/>
  <c r="AN25" i="28" s="1"/>
  <c r="AI38" i="28"/>
  <c r="AE38" i="28" s="1"/>
  <c r="V38" i="28" s="1"/>
  <c r="BH35" i="28"/>
  <c r="AF35" i="28"/>
  <c r="AF34" i="28" s="1"/>
  <c r="AF25" i="28" s="1"/>
  <c r="AD33" i="28"/>
  <c r="O16" i="28"/>
  <c r="N10" i="28"/>
  <c r="AQ80" i="29"/>
  <c r="AQ81" i="29"/>
  <c r="AQ82" i="29"/>
  <c r="AQ83" i="29"/>
  <c r="AQ84" i="29"/>
  <c r="AQ85" i="29"/>
  <c r="AQ87" i="29"/>
  <c r="AQ89" i="29"/>
  <c r="AQ90" i="29"/>
  <c r="AQ91" i="29"/>
  <c r="AQ93" i="29"/>
  <c r="AQ94" i="29"/>
  <c r="AQ95" i="29"/>
  <c r="AQ96" i="29"/>
  <c r="AQ98" i="29"/>
  <c r="AQ99" i="29"/>
  <c r="AQ100" i="29"/>
  <c r="AQ101" i="29"/>
  <c r="AQ102" i="29"/>
  <c r="AQ103" i="29"/>
  <c r="AQ104" i="29"/>
  <c r="AQ105" i="29"/>
  <c r="AQ106" i="29"/>
  <c r="AQ107" i="29"/>
  <c r="AQ108" i="29"/>
  <c r="AQ109" i="29"/>
  <c r="AQ110" i="29"/>
  <c r="AQ111" i="29"/>
  <c r="AQ112" i="29"/>
  <c r="AQ113" i="29"/>
  <c r="AQ114" i="29"/>
  <c r="I115" i="29"/>
  <c r="J115" i="29"/>
  <c r="K115" i="29"/>
  <c r="L115" i="29"/>
  <c r="M115" i="29"/>
  <c r="N115" i="29"/>
  <c r="Q115" i="29"/>
  <c r="R115" i="29"/>
  <c r="S115" i="29"/>
  <c r="U115" i="29"/>
  <c r="V115" i="29"/>
  <c r="W115" i="29"/>
  <c r="X115" i="29"/>
  <c r="Z115" i="29"/>
  <c r="AC115" i="29"/>
  <c r="AD115" i="29"/>
  <c r="AE115" i="29"/>
  <c r="AF115" i="29"/>
  <c r="AG115" i="29"/>
  <c r="AH115" i="29"/>
  <c r="AI115" i="29"/>
  <c r="AJ115" i="29"/>
  <c r="AL115" i="29"/>
  <c r="AM115" i="29"/>
  <c r="AN115" i="29"/>
  <c r="AP115" i="29"/>
  <c r="D114" i="29"/>
  <c r="AP78" i="29"/>
  <c r="AP80" i="29"/>
  <c r="AP81" i="29"/>
  <c r="AP82" i="29"/>
  <c r="AP83" i="29"/>
  <c r="AP84" i="29"/>
  <c r="AP85" i="29"/>
  <c r="AP86" i="29"/>
  <c r="AP87" i="29"/>
  <c r="AP89" i="29"/>
  <c r="AP90" i="29"/>
  <c r="AP91" i="29"/>
  <c r="AP93" i="29"/>
  <c r="AP94" i="29"/>
  <c r="AP95" i="29"/>
  <c r="AP96" i="29"/>
  <c r="AP97" i="29"/>
  <c r="AP98" i="29"/>
  <c r="AP99" i="29"/>
  <c r="AP100" i="29"/>
  <c r="AP101" i="29"/>
  <c r="AP102" i="29"/>
  <c r="AP103" i="29"/>
  <c r="AP104" i="29"/>
  <c r="AP105" i="29"/>
  <c r="AP106" i="29"/>
  <c r="AP107" i="29"/>
  <c r="AP108" i="29"/>
  <c r="AP109" i="29"/>
  <c r="AP110" i="29"/>
  <c r="AP111" i="29"/>
  <c r="AP112" i="29"/>
  <c r="AP113" i="29"/>
  <c r="F114" i="29"/>
  <c r="H114" i="29"/>
  <c r="I114" i="29"/>
  <c r="J114" i="29"/>
  <c r="K114" i="29"/>
  <c r="L114" i="29"/>
  <c r="M114" i="29"/>
  <c r="N114" i="29"/>
  <c r="O114" i="29"/>
  <c r="Q114" i="29"/>
  <c r="R114" i="29"/>
  <c r="S114" i="29"/>
  <c r="U114" i="29"/>
  <c r="V114" i="29"/>
  <c r="W114" i="29"/>
  <c r="X114" i="29"/>
  <c r="Y114" i="29"/>
  <c r="Z114" i="29"/>
  <c r="AA114" i="29"/>
  <c r="AB114" i="29"/>
  <c r="AC114" i="29"/>
  <c r="AD114" i="29"/>
  <c r="AE114" i="29"/>
  <c r="AF114" i="29"/>
  <c r="AG114" i="29"/>
  <c r="AH114" i="29"/>
  <c r="AI114" i="29"/>
  <c r="AJ114" i="29"/>
  <c r="AK114" i="29"/>
  <c r="AL114" i="29"/>
  <c r="AM114" i="29"/>
  <c r="AN114" i="29"/>
  <c r="AO114" i="29"/>
  <c r="D113" i="29"/>
  <c r="AO78" i="29"/>
  <c r="AO80" i="29"/>
  <c r="AO81" i="29"/>
  <c r="AO82" i="29"/>
  <c r="AO83" i="29"/>
  <c r="AO84" i="29"/>
  <c r="AO85" i="29"/>
  <c r="AO86" i="29"/>
  <c r="AO87" i="29"/>
  <c r="AO89" i="29"/>
  <c r="AO90" i="29"/>
  <c r="AO91" i="29"/>
  <c r="AO93" i="29"/>
  <c r="AO94" i="29"/>
  <c r="AO95" i="29"/>
  <c r="AO96" i="29"/>
  <c r="AO97" i="29"/>
  <c r="AO98" i="29"/>
  <c r="AO99" i="29"/>
  <c r="AO100" i="29"/>
  <c r="AO101" i="29"/>
  <c r="AO102" i="29"/>
  <c r="AO103" i="29"/>
  <c r="AO104" i="29"/>
  <c r="AO105" i="29"/>
  <c r="AO106" i="29"/>
  <c r="AO107" i="29"/>
  <c r="AO108" i="29"/>
  <c r="AO109" i="29"/>
  <c r="AO110" i="29"/>
  <c r="AO111" i="29"/>
  <c r="AO112" i="29"/>
  <c r="F113" i="29"/>
  <c r="H113" i="29"/>
  <c r="I113" i="29"/>
  <c r="J113" i="29"/>
  <c r="K113" i="29"/>
  <c r="L113" i="29"/>
  <c r="M113" i="29"/>
  <c r="N113" i="29"/>
  <c r="O113" i="29"/>
  <c r="Q113" i="29"/>
  <c r="R113" i="29"/>
  <c r="S113" i="29"/>
  <c r="U113" i="29"/>
  <c r="V113" i="29"/>
  <c r="W113" i="29"/>
  <c r="X113" i="29"/>
  <c r="Y113" i="29"/>
  <c r="Z113" i="29"/>
  <c r="AA113" i="29"/>
  <c r="AB113" i="29"/>
  <c r="AC113" i="29"/>
  <c r="AD113" i="29"/>
  <c r="AE113" i="29"/>
  <c r="AF113" i="29"/>
  <c r="AG113" i="29"/>
  <c r="AH113" i="29"/>
  <c r="AI113" i="29"/>
  <c r="AJ113" i="29"/>
  <c r="AK113" i="29"/>
  <c r="AL113" i="29"/>
  <c r="AM113" i="29"/>
  <c r="AN113" i="29"/>
  <c r="D112" i="29"/>
  <c r="AN78" i="29"/>
  <c r="AN80" i="29"/>
  <c r="AN81" i="29"/>
  <c r="AN82" i="29"/>
  <c r="AN83" i="29"/>
  <c r="AN84" i="29"/>
  <c r="AN85" i="29"/>
  <c r="AN86" i="29"/>
  <c r="AN87" i="29"/>
  <c r="AN89" i="29"/>
  <c r="AN90" i="29"/>
  <c r="AN91" i="29"/>
  <c r="AN93" i="29"/>
  <c r="AN94" i="29"/>
  <c r="AN95" i="29"/>
  <c r="AN96" i="29"/>
  <c r="AN97" i="29"/>
  <c r="AN98" i="29"/>
  <c r="AN99" i="29"/>
  <c r="AN100" i="29"/>
  <c r="AN101" i="29"/>
  <c r="AN102" i="29"/>
  <c r="AN103" i="29"/>
  <c r="AN104" i="29"/>
  <c r="AN105" i="29"/>
  <c r="AN106" i="29"/>
  <c r="AN107" i="29"/>
  <c r="AN108" i="29"/>
  <c r="AN109" i="29"/>
  <c r="AN110" i="29"/>
  <c r="AN111" i="29"/>
  <c r="F112" i="29"/>
  <c r="H112" i="29"/>
  <c r="I112" i="29"/>
  <c r="J112" i="29"/>
  <c r="K112" i="29"/>
  <c r="L112" i="29"/>
  <c r="M112" i="29"/>
  <c r="N112" i="29"/>
  <c r="O112" i="29"/>
  <c r="Q112" i="29"/>
  <c r="R112" i="29"/>
  <c r="S112" i="29"/>
  <c r="U112" i="29"/>
  <c r="V112" i="29"/>
  <c r="W112" i="29"/>
  <c r="X112" i="29"/>
  <c r="Y112" i="29"/>
  <c r="Z112" i="29"/>
  <c r="AA112" i="29"/>
  <c r="AB112" i="29"/>
  <c r="AC112" i="29"/>
  <c r="AD112" i="29"/>
  <c r="AE112" i="29"/>
  <c r="AF112" i="29"/>
  <c r="AG112" i="29"/>
  <c r="AH112" i="29"/>
  <c r="AI112" i="29"/>
  <c r="AJ112" i="29"/>
  <c r="AK112" i="29"/>
  <c r="AL112" i="29"/>
  <c r="AM112" i="29"/>
  <c r="D111" i="29"/>
  <c r="AM78" i="29"/>
  <c r="AM80" i="29"/>
  <c r="AM81" i="29"/>
  <c r="AM82" i="29"/>
  <c r="AM83" i="29"/>
  <c r="AM84" i="29"/>
  <c r="AM85" i="29"/>
  <c r="AM86" i="29"/>
  <c r="AM87" i="29"/>
  <c r="AM89" i="29"/>
  <c r="AM90" i="29"/>
  <c r="AM91" i="29"/>
  <c r="AM93" i="29"/>
  <c r="AM94" i="29"/>
  <c r="AM95" i="29"/>
  <c r="AM96" i="29"/>
  <c r="AM97" i="29"/>
  <c r="AM98" i="29"/>
  <c r="AM99" i="29"/>
  <c r="AM100" i="29"/>
  <c r="AM101" i="29"/>
  <c r="AM102" i="29"/>
  <c r="AM103" i="29"/>
  <c r="AM104" i="29"/>
  <c r="AM105" i="29"/>
  <c r="AM106" i="29"/>
  <c r="AM107" i="29"/>
  <c r="AM108" i="29"/>
  <c r="AM109" i="29"/>
  <c r="AM110" i="29"/>
  <c r="F111" i="29"/>
  <c r="H111" i="29"/>
  <c r="I111" i="29"/>
  <c r="J111" i="29"/>
  <c r="K111" i="29"/>
  <c r="L111" i="29"/>
  <c r="M111" i="29"/>
  <c r="N111" i="29"/>
  <c r="O111" i="29"/>
  <c r="Q111" i="29"/>
  <c r="R111" i="29"/>
  <c r="S111" i="29"/>
  <c r="U111" i="29"/>
  <c r="V111" i="29"/>
  <c r="W111" i="29"/>
  <c r="X111" i="29"/>
  <c r="Y111" i="29"/>
  <c r="Z111" i="29"/>
  <c r="AA111" i="29"/>
  <c r="AB111" i="29"/>
  <c r="AC111" i="29"/>
  <c r="AD111" i="29"/>
  <c r="AE111" i="29"/>
  <c r="AF111" i="29"/>
  <c r="AG111" i="29"/>
  <c r="AH111" i="29"/>
  <c r="AI111" i="29"/>
  <c r="AJ111" i="29"/>
  <c r="AK111" i="29"/>
  <c r="AL111" i="29"/>
  <c r="D110" i="29"/>
  <c r="AL80" i="29"/>
  <c r="AL81" i="29"/>
  <c r="AL82" i="29"/>
  <c r="AL83" i="29"/>
  <c r="AL84" i="29"/>
  <c r="AL85" i="29"/>
  <c r="AL86" i="29"/>
  <c r="AL87" i="29"/>
  <c r="AL89" i="29"/>
  <c r="AL90" i="29"/>
  <c r="AL91" i="29"/>
  <c r="AL93" i="29"/>
  <c r="AL94" i="29"/>
  <c r="AL95" i="29"/>
  <c r="AL96" i="29"/>
  <c r="AL97" i="29"/>
  <c r="AL98" i="29"/>
  <c r="AL99" i="29"/>
  <c r="AL100" i="29"/>
  <c r="AL101" i="29"/>
  <c r="AL102" i="29"/>
  <c r="AL103" i="29"/>
  <c r="AL104" i="29"/>
  <c r="AL105" i="29"/>
  <c r="AL106" i="29"/>
  <c r="AL107" i="29"/>
  <c r="AL108" i="29"/>
  <c r="AL109" i="29"/>
  <c r="F110" i="29"/>
  <c r="H110" i="29"/>
  <c r="I110" i="29"/>
  <c r="J110" i="29"/>
  <c r="K110" i="29"/>
  <c r="L110" i="29"/>
  <c r="M110" i="29"/>
  <c r="N110" i="29"/>
  <c r="O110" i="29"/>
  <c r="Q110" i="29"/>
  <c r="R110" i="29"/>
  <c r="S110" i="29"/>
  <c r="U110" i="29"/>
  <c r="V110" i="29"/>
  <c r="W110" i="29"/>
  <c r="X110" i="29"/>
  <c r="Y110" i="29"/>
  <c r="Z110" i="29"/>
  <c r="AA110" i="29"/>
  <c r="AB110" i="29"/>
  <c r="AC110" i="29"/>
  <c r="AD110" i="29"/>
  <c r="AE110" i="29"/>
  <c r="AF110" i="29"/>
  <c r="AG110" i="29"/>
  <c r="AH110" i="29"/>
  <c r="AI110" i="29"/>
  <c r="AJ110" i="29"/>
  <c r="AK110" i="29"/>
  <c r="D109" i="29"/>
  <c r="AK80" i="29"/>
  <c r="AK81" i="29"/>
  <c r="AK82" i="29"/>
  <c r="AK83" i="29"/>
  <c r="AK84" i="29"/>
  <c r="AK85" i="29"/>
  <c r="AK86" i="29"/>
  <c r="AK87" i="29"/>
  <c r="AK89" i="29"/>
  <c r="AK90" i="29"/>
  <c r="AK91" i="29"/>
  <c r="AK93" i="29"/>
  <c r="AK94" i="29"/>
  <c r="AK95" i="29"/>
  <c r="AK96" i="29"/>
  <c r="AK97" i="29"/>
  <c r="AK98" i="29"/>
  <c r="AK99" i="29"/>
  <c r="AK100" i="29"/>
  <c r="AK101" i="29"/>
  <c r="AK102" i="29"/>
  <c r="AK103" i="29"/>
  <c r="AK104" i="29"/>
  <c r="AK105" i="29"/>
  <c r="AK106" i="29"/>
  <c r="AK107" i="29"/>
  <c r="AK108" i="29"/>
  <c r="AK115" i="29"/>
  <c r="F109" i="29"/>
  <c r="H109" i="29"/>
  <c r="I109" i="29"/>
  <c r="J109" i="29"/>
  <c r="K109" i="29"/>
  <c r="L109" i="29"/>
  <c r="M109" i="29"/>
  <c r="N109" i="29"/>
  <c r="O109" i="29"/>
  <c r="Q109" i="29"/>
  <c r="R109" i="29"/>
  <c r="S109" i="29"/>
  <c r="U109" i="29"/>
  <c r="V109" i="29"/>
  <c r="W109" i="29"/>
  <c r="X109" i="29"/>
  <c r="Y109" i="29"/>
  <c r="Z109" i="29"/>
  <c r="AA109" i="29"/>
  <c r="AB109" i="29"/>
  <c r="AC109" i="29"/>
  <c r="AD109" i="29"/>
  <c r="AE109" i="29"/>
  <c r="AF109" i="29"/>
  <c r="AG109" i="29"/>
  <c r="AH109" i="29"/>
  <c r="AI109" i="29"/>
  <c r="AJ109" i="29"/>
  <c r="D108" i="29"/>
  <c r="AJ78" i="29"/>
  <c r="AJ80" i="29"/>
  <c r="AJ81" i="29"/>
  <c r="AJ82" i="29"/>
  <c r="AJ83" i="29"/>
  <c r="AJ84" i="29"/>
  <c r="AJ85" i="29"/>
  <c r="AJ86" i="29"/>
  <c r="AJ87" i="29"/>
  <c r="AJ89" i="29"/>
  <c r="AJ90" i="29"/>
  <c r="AJ91" i="29"/>
  <c r="AJ93" i="29"/>
  <c r="AJ94" i="29"/>
  <c r="AJ95" i="29"/>
  <c r="AJ96" i="29"/>
  <c r="AJ98" i="29"/>
  <c r="AJ99" i="29"/>
  <c r="AJ100" i="29"/>
  <c r="AJ101" i="29"/>
  <c r="AJ102" i="29"/>
  <c r="AJ103" i="29"/>
  <c r="AJ104" i="29"/>
  <c r="AJ105" i="29"/>
  <c r="AJ106" i="29"/>
  <c r="AJ107" i="29"/>
  <c r="F108" i="29"/>
  <c r="H108" i="29"/>
  <c r="I108" i="29"/>
  <c r="J108" i="29"/>
  <c r="K108" i="29"/>
  <c r="L108" i="29"/>
  <c r="M108" i="29"/>
  <c r="N108" i="29"/>
  <c r="O108" i="29"/>
  <c r="Q108" i="29"/>
  <c r="R108" i="29"/>
  <c r="S108" i="29"/>
  <c r="U108" i="29"/>
  <c r="V108" i="29"/>
  <c r="W108" i="29"/>
  <c r="X108" i="29"/>
  <c r="Y108" i="29"/>
  <c r="Z108" i="29"/>
  <c r="AA108" i="29"/>
  <c r="AB108" i="29"/>
  <c r="AC108" i="29"/>
  <c r="AD108" i="29"/>
  <c r="AE108" i="29"/>
  <c r="AF108" i="29"/>
  <c r="AG108" i="29"/>
  <c r="AH108" i="29"/>
  <c r="AI108" i="29"/>
  <c r="D107" i="29"/>
  <c r="AI78" i="29"/>
  <c r="AI80" i="29"/>
  <c r="AI81" i="29"/>
  <c r="AI82" i="29"/>
  <c r="AI83" i="29"/>
  <c r="AI84" i="29"/>
  <c r="AI85" i="29"/>
  <c r="AI86" i="29"/>
  <c r="AI87" i="29"/>
  <c r="AI89" i="29"/>
  <c r="AI90" i="29"/>
  <c r="AI91" i="29"/>
  <c r="AI93" i="29"/>
  <c r="AI94" i="29"/>
  <c r="AI95" i="29"/>
  <c r="AI96" i="29"/>
  <c r="AI97" i="29"/>
  <c r="AI98" i="29"/>
  <c r="AI99" i="29"/>
  <c r="AI100" i="29"/>
  <c r="AI101" i="29"/>
  <c r="AI102" i="29"/>
  <c r="AI103" i="29"/>
  <c r="AI104" i="29"/>
  <c r="AI105" i="29"/>
  <c r="AI106" i="29"/>
  <c r="F107" i="29"/>
  <c r="H107" i="29"/>
  <c r="I107" i="29"/>
  <c r="J107" i="29"/>
  <c r="K107" i="29"/>
  <c r="L107" i="29"/>
  <c r="M107" i="29"/>
  <c r="N107" i="29"/>
  <c r="O107" i="29"/>
  <c r="Q107" i="29"/>
  <c r="R107" i="29"/>
  <c r="S107" i="29"/>
  <c r="U107" i="29"/>
  <c r="V107" i="29"/>
  <c r="W107" i="29"/>
  <c r="X107" i="29"/>
  <c r="Y107" i="29"/>
  <c r="Z107" i="29"/>
  <c r="AA107" i="29"/>
  <c r="AB107" i="29"/>
  <c r="AC107" i="29"/>
  <c r="AD107" i="29"/>
  <c r="AE107" i="29"/>
  <c r="AF107" i="29"/>
  <c r="AG107" i="29"/>
  <c r="AH107" i="29"/>
  <c r="D106" i="29"/>
  <c r="AH78" i="29"/>
  <c r="AH80" i="29"/>
  <c r="AH81" i="29"/>
  <c r="AH82" i="29"/>
  <c r="AH83" i="29"/>
  <c r="AH84" i="29"/>
  <c r="AH85" i="29"/>
  <c r="AH86" i="29"/>
  <c r="AH87" i="29"/>
  <c r="AH89" i="29"/>
  <c r="AH90" i="29"/>
  <c r="AH91" i="29"/>
  <c r="AH93" i="29"/>
  <c r="AH94" i="29"/>
  <c r="AH95" i="29"/>
  <c r="AH96" i="29"/>
  <c r="AH97" i="29"/>
  <c r="AH98" i="29"/>
  <c r="AH99" i="29"/>
  <c r="AH100" i="29"/>
  <c r="AH101" i="29"/>
  <c r="AH102" i="29"/>
  <c r="AH103" i="29"/>
  <c r="AH104" i="29"/>
  <c r="AH105" i="29"/>
  <c r="F106" i="29"/>
  <c r="H106" i="29"/>
  <c r="I106" i="29"/>
  <c r="J106" i="29"/>
  <c r="K106" i="29"/>
  <c r="L106" i="29"/>
  <c r="M106" i="29"/>
  <c r="N106" i="29"/>
  <c r="O106" i="29"/>
  <c r="Q106" i="29"/>
  <c r="R106" i="29"/>
  <c r="S106" i="29"/>
  <c r="U106" i="29"/>
  <c r="V106" i="29"/>
  <c r="W106" i="29"/>
  <c r="X106" i="29"/>
  <c r="Y106" i="29"/>
  <c r="Z106" i="29"/>
  <c r="AA106" i="29"/>
  <c r="AB106" i="29"/>
  <c r="AC106" i="29"/>
  <c r="AD106" i="29"/>
  <c r="AE106" i="29"/>
  <c r="AF106" i="29"/>
  <c r="AG106" i="29"/>
  <c r="D105" i="29"/>
  <c r="AG78" i="29"/>
  <c r="AG80" i="29"/>
  <c r="AG81" i="29"/>
  <c r="AG82" i="29"/>
  <c r="AG83" i="29"/>
  <c r="AG84" i="29"/>
  <c r="AG85" i="29"/>
  <c r="AG86" i="29"/>
  <c r="AG87" i="29"/>
  <c r="AG89" i="29"/>
  <c r="AG90" i="29"/>
  <c r="AG91" i="29"/>
  <c r="AG93" i="29"/>
  <c r="AG94" i="29"/>
  <c r="AG95" i="29"/>
  <c r="AG96" i="29"/>
  <c r="AG97" i="29"/>
  <c r="AG98" i="29"/>
  <c r="AG99" i="29"/>
  <c r="AG100" i="29"/>
  <c r="AG101" i="29"/>
  <c r="AG102" i="29"/>
  <c r="AG103" i="29"/>
  <c r="AG104" i="29"/>
  <c r="F105" i="29"/>
  <c r="H105" i="29"/>
  <c r="I105" i="29"/>
  <c r="J105" i="29"/>
  <c r="K105" i="29"/>
  <c r="L105" i="29"/>
  <c r="M105" i="29"/>
  <c r="N105" i="29"/>
  <c r="O105" i="29"/>
  <c r="Q105" i="29"/>
  <c r="R105" i="29"/>
  <c r="S105" i="29"/>
  <c r="U105" i="29"/>
  <c r="V105" i="29"/>
  <c r="W105" i="29"/>
  <c r="X105" i="29"/>
  <c r="Y105" i="29"/>
  <c r="Z105" i="29"/>
  <c r="AA105" i="29"/>
  <c r="AB105" i="29"/>
  <c r="AC105" i="29"/>
  <c r="AD105" i="29"/>
  <c r="AE105" i="29"/>
  <c r="AF105" i="29"/>
  <c r="D104" i="29"/>
  <c r="AF78" i="29"/>
  <c r="AF80" i="29"/>
  <c r="AF81" i="29"/>
  <c r="AF82" i="29"/>
  <c r="AF83" i="29"/>
  <c r="AF84" i="29"/>
  <c r="AF85" i="29"/>
  <c r="AF86" i="29"/>
  <c r="AF87" i="29"/>
  <c r="AF89" i="29"/>
  <c r="AF90" i="29"/>
  <c r="AF91" i="29"/>
  <c r="AF93" i="29"/>
  <c r="AF94" i="29"/>
  <c r="AF95" i="29"/>
  <c r="AF96" i="29"/>
  <c r="AF97" i="29"/>
  <c r="AF98" i="29"/>
  <c r="AF99" i="29"/>
  <c r="AF100" i="29"/>
  <c r="AF101" i="29"/>
  <c r="AF102" i="29"/>
  <c r="AF103" i="29"/>
  <c r="F104" i="29"/>
  <c r="H104" i="29"/>
  <c r="I104" i="29"/>
  <c r="J104" i="29"/>
  <c r="K104" i="29"/>
  <c r="L104" i="29"/>
  <c r="M104" i="29"/>
  <c r="N104" i="29"/>
  <c r="O104" i="29"/>
  <c r="Q104" i="29"/>
  <c r="R104" i="29"/>
  <c r="S104" i="29"/>
  <c r="U104" i="29"/>
  <c r="V104" i="29"/>
  <c r="W104" i="29"/>
  <c r="X104" i="29"/>
  <c r="Y104" i="29"/>
  <c r="Z104" i="29"/>
  <c r="AA104" i="29"/>
  <c r="AB104" i="29"/>
  <c r="AC104" i="29"/>
  <c r="AD104" i="29"/>
  <c r="AE104" i="29"/>
  <c r="D103" i="29"/>
  <c r="AE78" i="29"/>
  <c r="AE80" i="29"/>
  <c r="AE81" i="29"/>
  <c r="AE82" i="29"/>
  <c r="AE83" i="29"/>
  <c r="AE84" i="29"/>
  <c r="AE85" i="29"/>
  <c r="AE86" i="29"/>
  <c r="AE87" i="29"/>
  <c r="AE89" i="29"/>
  <c r="AE90" i="29"/>
  <c r="AE91" i="29"/>
  <c r="AE93" i="29"/>
  <c r="AE94" i="29"/>
  <c r="AE95" i="29"/>
  <c r="AE96" i="29"/>
  <c r="AE97" i="29"/>
  <c r="AE98" i="29"/>
  <c r="AE99" i="29"/>
  <c r="AE100" i="29"/>
  <c r="AE101" i="29"/>
  <c r="AE102" i="29"/>
  <c r="F103" i="29"/>
  <c r="H103" i="29"/>
  <c r="I103" i="29"/>
  <c r="J103" i="29"/>
  <c r="K103" i="29"/>
  <c r="L103" i="29"/>
  <c r="M103" i="29"/>
  <c r="N103" i="29"/>
  <c r="O103" i="29"/>
  <c r="Q103" i="29"/>
  <c r="R103" i="29"/>
  <c r="S103" i="29"/>
  <c r="U103" i="29"/>
  <c r="V103" i="29"/>
  <c r="W103" i="29"/>
  <c r="X103" i="29"/>
  <c r="Y103" i="29"/>
  <c r="Z103" i="29"/>
  <c r="AA103" i="29"/>
  <c r="AB103" i="29"/>
  <c r="AC103" i="29"/>
  <c r="AD103" i="29"/>
  <c r="D102" i="29"/>
  <c r="AD80" i="29"/>
  <c r="AD81" i="29"/>
  <c r="AD82" i="29"/>
  <c r="AD83" i="29"/>
  <c r="AD84" i="29"/>
  <c r="AD85" i="29"/>
  <c r="AD86" i="29"/>
  <c r="AD87" i="29"/>
  <c r="AD89" i="29"/>
  <c r="AD90" i="29"/>
  <c r="AD91" i="29"/>
  <c r="AD93" i="29"/>
  <c r="AD94" i="29"/>
  <c r="AD95" i="29"/>
  <c r="AD96" i="29"/>
  <c r="AD97" i="29"/>
  <c r="AD98" i="29"/>
  <c r="AD99" i="29"/>
  <c r="AD100" i="29"/>
  <c r="AD101" i="29"/>
  <c r="F102" i="29"/>
  <c r="H102" i="29"/>
  <c r="I102" i="29"/>
  <c r="J102" i="29"/>
  <c r="K102" i="29"/>
  <c r="L102" i="29"/>
  <c r="M102" i="29"/>
  <c r="N102" i="29"/>
  <c r="O102" i="29"/>
  <c r="Q102" i="29"/>
  <c r="R102" i="29"/>
  <c r="S102" i="29"/>
  <c r="U102" i="29"/>
  <c r="V102" i="29"/>
  <c r="W102" i="29"/>
  <c r="X102" i="29"/>
  <c r="Y102" i="29"/>
  <c r="Z102" i="29"/>
  <c r="AA102" i="29"/>
  <c r="AB102" i="29"/>
  <c r="AC102" i="29"/>
  <c r="D101" i="29"/>
  <c r="AC80" i="29"/>
  <c r="AC81" i="29"/>
  <c r="AC82" i="29"/>
  <c r="AC83" i="29"/>
  <c r="AC84" i="29"/>
  <c r="AC85" i="29"/>
  <c r="AC86" i="29"/>
  <c r="AC87" i="29"/>
  <c r="AC89" i="29"/>
  <c r="AC90" i="29"/>
  <c r="AC91" i="29"/>
  <c r="AC93" i="29"/>
  <c r="AC94" i="29"/>
  <c r="AC95" i="29"/>
  <c r="AC96" i="29"/>
  <c r="AC97" i="29"/>
  <c r="AC98" i="29"/>
  <c r="AC99" i="29"/>
  <c r="AC100" i="29"/>
  <c r="F101" i="29"/>
  <c r="H101" i="29"/>
  <c r="I101" i="29"/>
  <c r="J101" i="29"/>
  <c r="K101" i="29"/>
  <c r="L101" i="29"/>
  <c r="M101" i="29"/>
  <c r="N101" i="29"/>
  <c r="O101" i="29"/>
  <c r="Q101" i="29"/>
  <c r="R101" i="29"/>
  <c r="S101" i="29"/>
  <c r="U101" i="29"/>
  <c r="V101" i="29"/>
  <c r="W101" i="29"/>
  <c r="X101" i="29"/>
  <c r="Z101" i="29"/>
  <c r="AA101" i="29"/>
  <c r="AB101" i="29"/>
  <c r="D100" i="29"/>
  <c r="AB78" i="29"/>
  <c r="AB80" i="29"/>
  <c r="AB81" i="29"/>
  <c r="AB82" i="29"/>
  <c r="AB83" i="29"/>
  <c r="AB84" i="29"/>
  <c r="AB85" i="29"/>
  <c r="AB86" i="29"/>
  <c r="AB87" i="29"/>
  <c r="AB89" i="29"/>
  <c r="AB90" i="29"/>
  <c r="AB91" i="29"/>
  <c r="AB93" i="29"/>
  <c r="AB94" i="29"/>
  <c r="AB95" i="29"/>
  <c r="AB96" i="29"/>
  <c r="AB97" i="29"/>
  <c r="AB98" i="29"/>
  <c r="AB99" i="29"/>
  <c r="F100" i="29"/>
  <c r="H100" i="29"/>
  <c r="I100" i="29"/>
  <c r="J100" i="29"/>
  <c r="K100" i="29"/>
  <c r="L100" i="29"/>
  <c r="M100" i="29"/>
  <c r="N100" i="29"/>
  <c r="O100" i="29"/>
  <c r="Q100" i="29"/>
  <c r="R100" i="29"/>
  <c r="S100" i="29"/>
  <c r="U100" i="29"/>
  <c r="V100" i="29"/>
  <c r="W100" i="29"/>
  <c r="X100" i="29"/>
  <c r="Y100" i="29"/>
  <c r="Z100" i="29"/>
  <c r="AA100" i="29"/>
  <c r="D99" i="29"/>
  <c r="AA78" i="29"/>
  <c r="AA80" i="29"/>
  <c r="AA81" i="29"/>
  <c r="AA82" i="29"/>
  <c r="AA83" i="29"/>
  <c r="AA84" i="29"/>
  <c r="AA85" i="29"/>
  <c r="AA86" i="29"/>
  <c r="AA87" i="29"/>
  <c r="AA89" i="29"/>
  <c r="AA90" i="29"/>
  <c r="AA91" i="29"/>
  <c r="AA93" i="29"/>
  <c r="AA94" i="29"/>
  <c r="AA95" i="29"/>
  <c r="AA96" i="29"/>
  <c r="AA97" i="29"/>
  <c r="AA98" i="29"/>
  <c r="F99" i="29"/>
  <c r="E99" i="29" s="1"/>
  <c r="H99" i="29"/>
  <c r="I99" i="29"/>
  <c r="J99" i="29"/>
  <c r="K99" i="29"/>
  <c r="L99" i="29"/>
  <c r="M99" i="29"/>
  <c r="N99" i="29"/>
  <c r="O99" i="29"/>
  <c r="Q99" i="29"/>
  <c r="R99" i="29"/>
  <c r="S99" i="29"/>
  <c r="U99" i="29"/>
  <c r="V99" i="29"/>
  <c r="W99" i="29"/>
  <c r="X99" i="29"/>
  <c r="Y99" i="29"/>
  <c r="Z99" i="29"/>
  <c r="D98" i="29"/>
  <c r="Z78" i="29"/>
  <c r="Z80" i="29"/>
  <c r="Z81" i="29"/>
  <c r="Z82" i="29"/>
  <c r="Z83" i="29"/>
  <c r="Z84" i="29"/>
  <c r="Z85" i="29"/>
  <c r="Z86" i="29"/>
  <c r="Z77" i="29" s="1"/>
  <c r="Z87" i="29"/>
  <c r="Z89" i="29"/>
  <c r="Z90" i="29"/>
  <c r="Z91" i="29"/>
  <c r="Z93" i="29"/>
  <c r="Z94" i="29"/>
  <c r="Z95" i="29"/>
  <c r="Z96" i="29"/>
  <c r="Z97" i="29"/>
  <c r="F98" i="29"/>
  <c r="H98" i="29"/>
  <c r="I98" i="29"/>
  <c r="J98" i="29"/>
  <c r="K98" i="29"/>
  <c r="L98" i="29"/>
  <c r="M98" i="29"/>
  <c r="N98" i="29"/>
  <c r="O98" i="29"/>
  <c r="Q98" i="29"/>
  <c r="R98" i="29"/>
  <c r="S98" i="29"/>
  <c r="U98" i="29"/>
  <c r="V98" i="29"/>
  <c r="W98" i="29"/>
  <c r="X98" i="29"/>
  <c r="Y98" i="29"/>
  <c r="Y80" i="29"/>
  <c r="Y82" i="29"/>
  <c r="Y83" i="29"/>
  <c r="Y84" i="29"/>
  <c r="P84" i="29" s="1"/>
  <c r="AR84" i="29" s="1"/>
  <c r="Y86" i="29"/>
  <c r="Y87" i="29"/>
  <c r="Y89" i="29"/>
  <c r="Y90" i="29"/>
  <c r="Y91" i="29"/>
  <c r="Y94" i="29"/>
  <c r="Y95" i="29"/>
  <c r="Y96" i="29"/>
  <c r="H97" i="29"/>
  <c r="I97" i="29"/>
  <c r="J97" i="29"/>
  <c r="K97" i="29"/>
  <c r="L97" i="29"/>
  <c r="M97" i="29"/>
  <c r="N97" i="29"/>
  <c r="O97" i="29"/>
  <c r="Q97" i="29"/>
  <c r="R97" i="29"/>
  <c r="U97" i="29"/>
  <c r="V97" i="29"/>
  <c r="W97" i="29"/>
  <c r="D96" i="29"/>
  <c r="X80" i="29"/>
  <c r="X81" i="29"/>
  <c r="X82" i="29"/>
  <c r="X83" i="29"/>
  <c r="X84" i="29"/>
  <c r="X85" i="29"/>
  <c r="X86" i="29"/>
  <c r="X87" i="29"/>
  <c r="X89" i="29"/>
  <c r="X90" i="29"/>
  <c r="X91" i="29"/>
  <c r="X93" i="29"/>
  <c r="X94" i="29"/>
  <c r="X95" i="29"/>
  <c r="H96" i="29"/>
  <c r="I96" i="29"/>
  <c r="J96" i="29"/>
  <c r="K96" i="29"/>
  <c r="L96" i="29"/>
  <c r="M96" i="29"/>
  <c r="N96" i="29"/>
  <c r="O96" i="29"/>
  <c r="Q96" i="29"/>
  <c r="R96" i="29"/>
  <c r="S96" i="29"/>
  <c r="U96" i="29"/>
  <c r="V96" i="29"/>
  <c r="W96" i="29"/>
  <c r="D95" i="29"/>
  <c r="W78" i="29"/>
  <c r="W80" i="29"/>
  <c r="W81" i="29"/>
  <c r="W82" i="29"/>
  <c r="W83" i="29"/>
  <c r="W84" i="29"/>
  <c r="W85" i="29"/>
  <c r="W86" i="29"/>
  <c r="W87" i="29"/>
  <c r="W89" i="29"/>
  <c r="W90" i="29"/>
  <c r="W91" i="29"/>
  <c r="W93" i="29"/>
  <c r="W94" i="29"/>
  <c r="F95" i="29"/>
  <c r="H95" i="29"/>
  <c r="I95" i="29"/>
  <c r="J95" i="29"/>
  <c r="K95" i="29"/>
  <c r="L95" i="29"/>
  <c r="M95" i="29"/>
  <c r="N95" i="29"/>
  <c r="O95" i="29"/>
  <c r="Q95" i="29"/>
  <c r="R95" i="29"/>
  <c r="S95" i="29"/>
  <c r="U95" i="29"/>
  <c r="V95" i="29"/>
  <c r="D94" i="29"/>
  <c r="V78" i="29"/>
  <c r="V80" i="29"/>
  <c r="V81" i="29"/>
  <c r="V82" i="29"/>
  <c r="V83" i="29"/>
  <c r="V84" i="29"/>
  <c r="V85" i="29"/>
  <c r="V86" i="29"/>
  <c r="V87" i="29"/>
  <c r="V89" i="29"/>
  <c r="V90" i="29"/>
  <c r="V91" i="29"/>
  <c r="V93" i="29"/>
  <c r="F94" i="29"/>
  <c r="H94" i="29"/>
  <c r="I94" i="29"/>
  <c r="J94" i="29"/>
  <c r="K94" i="29"/>
  <c r="L94" i="29"/>
  <c r="M94" i="29"/>
  <c r="N94" i="29"/>
  <c r="O94" i="29"/>
  <c r="Q94" i="29"/>
  <c r="R94" i="29"/>
  <c r="S94" i="29"/>
  <c r="U94" i="29"/>
  <c r="D93" i="29"/>
  <c r="U78" i="29"/>
  <c r="U80" i="29"/>
  <c r="U81" i="29"/>
  <c r="U82" i="29"/>
  <c r="U83" i="29"/>
  <c r="U84" i="29"/>
  <c r="U85" i="29"/>
  <c r="U86" i="29"/>
  <c r="U87" i="29"/>
  <c r="U89" i="29"/>
  <c r="U90" i="29"/>
  <c r="U91" i="29"/>
  <c r="F93" i="29"/>
  <c r="H93" i="29"/>
  <c r="I93" i="29"/>
  <c r="J93" i="29"/>
  <c r="K93" i="29"/>
  <c r="L93" i="29"/>
  <c r="M93" i="29"/>
  <c r="N93" i="29"/>
  <c r="O93" i="29"/>
  <c r="Q93" i="29"/>
  <c r="R93" i="29"/>
  <c r="S93" i="29"/>
  <c r="D91" i="29"/>
  <c r="S80" i="29"/>
  <c r="S81" i="29"/>
  <c r="S82" i="29"/>
  <c r="S83" i="29"/>
  <c r="S84" i="29"/>
  <c r="S85" i="29"/>
  <c r="S86" i="29"/>
  <c r="S87" i="29"/>
  <c r="S89" i="29"/>
  <c r="S90" i="29"/>
  <c r="F91" i="29"/>
  <c r="H91" i="29"/>
  <c r="I91" i="29"/>
  <c r="J91" i="29"/>
  <c r="K91" i="29"/>
  <c r="L91" i="29"/>
  <c r="M91" i="29"/>
  <c r="N91" i="29"/>
  <c r="O91" i="29"/>
  <c r="Q91" i="29"/>
  <c r="R91" i="29"/>
  <c r="D90" i="29"/>
  <c r="R78" i="29"/>
  <c r="R80" i="29"/>
  <c r="R81" i="29"/>
  <c r="R82" i="29"/>
  <c r="R83" i="29"/>
  <c r="R84" i="29"/>
  <c r="R85" i="29"/>
  <c r="R86" i="29"/>
  <c r="R87" i="29"/>
  <c r="R89" i="29"/>
  <c r="F90" i="29"/>
  <c r="H90" i="29"/>
  <c r="I90" i="29"/>
  <c r="J90" i="29"/>
  <c r="K90" i="29"/>
  <c r="L90" i="29"/>
  <c r="M90" i="29"/>
  <c r="N90" i="29"/>
  <c r="O90" i="29"/>
  <c r="Q90" i="29"/>
  <c r="D89" i="29"/>
  <c r="Q78" i="29"/>
  <c r="Q80" i="29"/>
  <c r="Q81" i="29"/>
  <c r="Q82" i="29"/>
  <c r="Q83" i="29"/>
  <c r="Q84" i="29"/>
  <c r="Q85" i="29"/>
  <c r="Q86" i="29"/>
  <c r="Q87" i="29"/>
  <c r="P87" i="29" s="1"/>
  <c r="F89" i="29"/>
  <c r="H89" i="29"/>
  <c r="I89" i="29"/>
  <c r="J89" i="29"/>
  <c r="K89" i="29"/>
  <c r="L89" i="29"/>
  <c r="M89" i="29"/>
  <c r="N89" i="29"/>
  <c r="N88" i="29" s="1"/>
  <c r="O89" i="29"/>
  <c r="D87" i="29"/>
  <c r="O78" i="29"/>
  <c r="O80" i="29"/>
  <c r="O81" i="29"/>
  <c r="O82" i="29"/>
  <c r="O83" i="29"/>
  <c r="O84" i="29"/>
  <c r="O85" i="29"/>
  <c r="O86" i="29"/>
  <c r="F87" i="29"/>
  <c r="H87" i="29"/>
  <c r="I87" i="29"/>
  <c r="J87" i="29"/>
  <c r="K87" i="29"/>
  <c r="L87" i="29"/>
  <c r="M87" i="29"/>
  <c r="N87" i="29"/>
  <c r="D86" i="29"/>
  <c r="N78" i="29"/>
  <c r="N80" i="29"/>
  <c r="N81" i="29"/>
  <c r="N82" i="29"/>
  <c r="N83" i="29"/>
  <c r="N84" i="29"/>
  <c r="N85" i="29"/>
  <c r="F86" i="29"/>
  <c r="H86" i="29"/>
  <c r="I86" i="29"/>
  <c r="J86" i="29"/>
  <c r="K86" i="29"/>
  <c r="L86" i="29"/>
  <c r="M86" i="29"/>
  <c r="D85" i="29"/>
  <c r="M78" i="29"/>
  <c r="M80" i="29"/>
  <c r="M81" i="29"/>
  <c r="M82" i="29"/>
  <c r="M83" i="29"/>
  <c r="M84" i="29"/>
  <c r="F85" i="29"/>
  <c r="H85" i="29"/>
  <c r="I85" i="29"/>
  <c r="J85" i="29"/>
  <c r="K85" i="29"/>
  <c r="L85" i="29"/>
  <c r="D84" i="29"/>
  <c r="R11" i="29"/>
  <c r="R10" i="29" s="1"/>
  <c r="L80" i="29"/>
  <c r="L81" i="29"/>
  <c r="L82" i="29"/>
  <c r="L83" i="29"/>
  <c r="F84" i="29"/>
  <c r="H84" i="29"/>
  <c r="I84" i="29"/>
  <c r="J84" i="29"/>
  <c r="K84" i="29"/>
  <c r="D83" i="29"/>
  <c r="Q11" i="29"/>
  <c r="K78" i="29" s="1"/>
  <c r="K80" i="29"/>
  <c r="K81" i="29"/>
  <c r="K82" i="29"/>
  <c r="F83" i="29"/>
  <c r="H83" i="29"/>
  <c r="I83" i="29"/>
  <c r="J83" i="29"/>
  <c r="D82" i="29"/>
  <c r="J78" i="29"/>
  <c r="J80" i="29"/>
  <c r="J81" i="29"/>
  <c r="F82" i="29"/>
  <c r="H82" i="29"/>
  <c r="I82" i="29"/>
  <c r="D81" i="29"/>
  <c r="I78" i="29"/>
  <c r="I80" i="29"/>
  <c r="F81" i="29"/>
  <c r="H81" i="29"/>
  <c r="D80" i="29"/>
  <c r="H78" i="29"/>
  <c r="F80" i="29"/>
  <c r="D79" i="29"/>
  <c r="G78" i="29"/>
  <c r="G80" i="29"/>
  <c r="G77" i="29" s="1"/>
  <c r="G76" i="29" s="1"/>
  <c r="G81" i="29"/>
  <c r="G82" i="29"/>
  <c r="G83" i="29"/>
  <c r="G84" i="29"/>
  <c r="G85" i="29"/>
  <c r="G86" i="29"/>
  <c r="G87" i="29"/>
  <c r="G89" i="29"/>
  <c r="G90" i="29"/>
  <c r="G91" i="29"/>
  <c r="G92" i="29"/>
  <c r="G93" i="29"/>
  <c r="G94" i="29"/>
  <c r="G95" i="29"/>
  <c r="G96" i="29"/>
  <c r="G97" i="29"/>
  <c r="G98" i="29"/>
  <c r="G99" i="29"/>
  <c r="G100" i="29"/>
  <c r="G101" i="29"/>
  <c r="G102" i="29"/>
  <c r="G103" i="29"/>
  <c r="G104" i="29"/>
  <c r="G105" i="29"/>
  <c r="G106" i="29"/>
  <c r="G107" i="29"/>
  <c r="G108" i="29"/>
  <c r="G109" i="29"/>
  <c r="G110" i="29"/>
  <c r="G111" i="29"/>
  <c r="G112" i="29"/>
  <c r="G113" i="29"/>
  <c r="G114" i="29"/>
  <c r="G115" i="29"/>
  <c r="H79" i="29"/>
  <c r="I79" i="29"/>
  <c r="J79" i="29"/>
  <c r="K79" i="29"/>
  <c r="L79" i="29"/>
  <c r="M79" i="29"/>
  <c r="N79" i="29"/>
  <c r="O79" i="29"/>
  <c r="Q79" i="29"/>
  <c r="R79" i="29"/>
  <c r="S79" i="29"/>
  <c r="T79" i="29"/>
  <c r="U79" i="29"/>
  <c r="V79" i="29"/>
  <c r="W79" i="29"/>
  <c r="X79" i="29"/>
  <c r="Z79" i="29"/>
  <c r="AA79" i="29"/>
  <c r="AB79" i="29"/>
  <c r="AC79" i="29"/>
  <c r="AD79" i="29"/>
  <c r="AE79" i="29"/>
  <c r="AF79" i="29"/>
  <c r="AG79" i="29"/>
  <c r="AH79" i="29"/>
  <c r="AI79" i="29"/>
  <c r="AJ79" i="29"/>
  <c r="AK79" i="29"/>
  <c r="AL79" i="29"/>
  <c r="AM79" i="29"/>
  <c r="AN79" i="29"/>
  <c r="AO79" i="29"/>
  <c r="AP79" i="29"/>
  <c r="AQ79" i="29"/>
  <c r="L18" i="29"/>
  <c r="L34" i="29"/>
  <c r="L25" i="29" s="1"/>
  <c r="L63" i="29"/>
  <c r="O15" i="29"/>
  <c r="V15" i="29"/>
  <c r="BH15" i="29"/>
  <c r="BK11" i="29"/>
  <c r="BK10" i="29" s="1"/>
  <c r="BK9" i="29" s="1"/>
  <c r="BK18" i="29"/>
  <c r="BK25" i="29"/>
  <c r="BH18" i="29"/>
  <c r="P9" i="29"/>
  <c r="O34" i="29"/>
  <c r="O25" i="29" s="1"/>
  <c r="G17" i="29"/>
  <c r="G26" i="29"/>
  <c r="F26" i="29" s="1"/>
  <c r="E26" i="29" s="1"/>
  <c r="G34" i="29"/>
  <c r="F22" i="29"/>
  <c r="F34" i="29"/>
  <c r="E27" i="29"/>
  <c r="BD59" i="29"/>
  <c r="V59" i="29" s="1"/>
  <c r="AY54" i="29"/>
  <c r="AS48" i="29"/>
  <c r="AR47" i="29"/>
  <c r="AN43" i="29"/>
  <c r="AK40" i="29"/>
  <c r="AJ39" i="29"/>
  <c r="AE39" i="29" s="1"/>
  <c r="V39" i="29" s="1"/>
  <c r="BH35" i="29"/>
  <c r="AF35" i="29"/>
  <c r="AF34" i="29"/>
  <c r="AF25" i="29" s="1"/>
  <c r="O16" i="29"/>
  <c r="K14" i="29"/>
  <c r="N10" i="29"/>
  <c r="AQ80" i="19"/>
  <c r="AQ81" i="19"/>
  <c r="AQ82" i="19"/>
  <c r="AQ83" i="19"/>
  <c r="AQ84" i="19"/>
  <c r="AQ85" i="19"/>
  <c r="AQ86" i="19"/>
  <c r="AQ87" i="19"/>
  <c r="AQ89" i="19"/>
  <c r="AQ90" i="19"/>
  <c r="AQ91" i="19"/>
  <c r="AQ93" i="19"/>
  <c r="AQ94" i="19"/>
  <c r="AQ95" i="19"/>
  <c r="AQ96" i="19"/>
  <c r="AQ98" i="19"/>
  <c r="AQ99" i="19"/>
  <c r="AQ100" i="19"/>
  <c r="AQ101" i="19"/>
  <c r="AQ102" i="19"/>
  <c r="AQ103" i="19"/>
  <c r="AQ104" i="19"/>
  <c r="AQ105" i="19"/>
  <c r="AQ106" i="19"/>
  <c r="AQ107" i="19"/>
  <c r="AQ108" i="19"/>
  <c r="AQ109" i="19"/>
  <c r="AQ110" i="19"/>
  <c r="AQ111" i="19"/>
  <c r="AQ112" i="19"/>
  <c r="AQ113" i="19"/>
  <c r="AQ114" i="19"/>
  <c r="H115" i="19"/>
  <c r="I115" i="19"/>
  <c r="J115" i="19"/>
  <c r="L115" i="19"/>
  <c r="M115" i="19"/>
  <c r="N115" i="19"/>
  <c r="O115" i="19"/>
  <c r="Q115" i="19"/>
  <c r="S115" i="19"/>
  <c r="U115" i="19"/>
  <c r="V115" i="19"/>
  <c r="W115" i="19"/>
  <c r="X115" i="19"/>
  <c r="Z115" i="19"/>
  <c r="AA115" i="19"/>
  <c r="AB115" i="19"/>
  <c r="AC115" i="19"/>
  <c r="AD115" i="19"/>
  <c r="AE115" i="19"/>
  <c r="AF115" i="19"/>
  <c r="AG115" i="19"/>
  <c r="AH115" i="19"/>
  <c r="AI115" i="19"/>
  <c r="AJ115" i="19"/>
  <c r="AL115" i="19"/>
  <c r="AM115" i="19"/>
  <c r="AN115" i="19"/>
  <c r="AO115" i="19"/>
  <c r="AP115" i="19"/>
  <c r="D114" i="19"/>
  <c r="AP78" i="19"/>
  <c r="AP80" i="19"/>
  <c r="AP81" i="19"/>
  <c r="AP82" i="19"/>
  <c r="AP83" i="19"/>
  <c r="AP84" i="19"/>
  <c r="AP85" i="19"/>
  <c r="AP86" i="19"/>
  <c r="AP87" i="19"/>
  <c r="AP89" i="19"/>
  <c r="AP90" i="19"/>
  <c r="AP91" i="19"/>
  <c r="AP93" i="19"/>
  <c r="AP94" i="19"/>
  <c r="AP95" i="19"/>
  <c r="AP96" i="19"/>
  <c r="AP97" i="19"/>
  <c r="AP98" i="19"/>
  <c r="AP99" i="19"/>
  <c r="AP100" i="19"/>
  <c r="AP101" i="19"/>
  <c r="AP102" i="19"/>
  <c r="AP103" i="19"/>
  <c r="AP104" i="19"/>
  <c r="AP105" i="19"/>
  <c r="AP106" i="19"/>
  <c r="AP107" i="19"/>
  <c r="AP108" i="19"/>
  <c r="AP109" i="19"/>
  <c r="AP110" i="19"/>
  <c r="AP111" i="19"/>
  <c r="AP112" i="19"/>
  <c r="AP113" i="19"/>
  <c r="F114" i="19"/>
  <c r="H114" i="19"/>
  <c r="I114" i="19"/>
  <c r="J114" i="19"/>
  <c r="K114" i="19"/>
  <c r="L114" i="19"/>
  <c r="M114" i="19"/>
  <c r="N114" i="19"/>
  <c r="O114" i="19"/>
  <c r="Q114" i="19"/>
  <c r="R114" i="19"/>
  <c r="S114" i="19"/>
  <c r="U114" i="19"/>
  <c r="V114" i="19"/>
  <c r="W114" i="19"/>
  <c r="X114" i="19"/>
  <c r="Y114" i="19"/>
  <c r="Z114" i="19"/>
  <c r="AA114" i="19"/>
  <c r="AB114" i="19"/>
  <c r="AC114" i="19"/>
  <c r="AD114" i="19"/>
  <c r="AE114" i="19"/>
  <c r="AF114" i="19"/>
  <c r="AG114" i="19"/>
  <c r="AH114" i="19"/>
  <c r="AI114" i="19"/>
  <c r="AJ114" i="19"/>
  <c r="AK114" i="19"/>
  <c r="AL114" i="19"/>
  <c r="AM114" i="19"/>
  <c r="AN114" i="19"/>
  <c r="AO114" i="19"/>
  <c r="D113" i="19"/>
  <c r="AO78" i="19"/>
  <c r="AO80" i="19"/>
  <c r="AO81" i="19"/>
  <c r="AO82" i="19"/>
  <c r="AO83" i="19"/>
  <c r="AO84" i="19"/>
  <c r="AO85" i="19"/>
  <c r="AO86" i="19"/>
  <c r="AO87" i="19"/>
  <c r="AO89" i="19"/>
  <c r="AO90" i="19"/>
  <c r="AO91" i="19"/>
  <c r="AO93" i="19"/>
  <c r="AO94" i="19"/>
  <c r="AO95" i="19"/>
  <c r="AO96" i="19"/>
  <c r="AO97" i="19"/>
  <c r="AO98" i="19"/>
  <c r="AO99" i="19"/>
  <c r="AO100" i="19"/>
  <c r="AO101" i="19"/>
  <c r="AO102" i="19"/>
  <c r="AO103" i="19"/>
  <c r="AO104" i="19"/>
  <c r="AO105" i="19"/>
  <c r="AO106" i="19"/>
  <c r="AO107" i="19"/>
  <c r="AO108" i="19"/>
  <c r="AO109" i="19"/>
  <c r="AO110" i="19"/>
  <c r="AO111" i="19"/>
  <c r="AO112" i="19"/>
  <c r="F113" i="19"/>
  <c r="H113" i="19"/>
  <c r="I113" i="19"/>
  <c r="J113" i="19"/>
  <c r="K113" i="19"/>
  <c r="L113" i="19"/>
  <c r="M113" i="19"/>
  <c r="N113" i="19"/>
  <c r="O113" i="19"/>
  <c r="Q113" i="19"/>
  <c r="R113" i="19"/>
  <c r="S113" i="19"/>
  <c r="U113" i="19"/>
  <c r="V113" i="19"/>
  <c r="W113" i="19"/>
  <c r="X113" i="19"/>
  <c r="Y113" i="19"/>
  <c r="Z113" i="19"/>
  <c r="AA113" i="19"/>
  <c r="AB113" i="19"/>
  <c r="AC113" i="19"/>
  <c r="AD113" i="19"/>
  <c r="AE113" i="19"/>
  <c r="AF113" i="19"/>
  <c r="AG113" i="19"/>
  <c r="AH113" i="19"/>
  <c r="AI113" i="19"/>
  <c r="AJ113" i="19"/>
  <c r="AK113" i="19"/>
  <c r="AL113" i="19"/>
  <c r="AM113" i="19"/>
  <c r="AN113" i="19"/>
  <c r="D112" i="19"/>
  <c r="AN78" i="19"/>
  <c r="AN80" i="19"/>
  <c r="AN81" i="19"/>
  <c r="AN82" i="19"/>
  <c r="AN83" i="19"/>
  <c r="AN84" i="19"/>
  <c r="AN85" i="19"/>
  <c r="AN86" i="19"/>
  <c r="AN87" i="19"/>
  <c r="AN89" i="19"/>
  <c r="AN90" i="19"/>
  <c r="AN91" i="19"/>
  <c r="AN93" i="19"/>
  <c r="AN94" i="19"/>
  <c r="AN95" i="19"/>
  <c r="AN96" i="19"/>
  <c r="AN97" i="19"/>
  <c r="AN98" i="19"/>
  <c r="AN99" i="19"/>
  <c r="AN100" i="19"/>
  <c r="AN101" i="19"/>
  <c r="AN102" i="19"/>
  <c r="AN103" i="19"/>
  <c r="AN104" i="19"/>
  <c r="AN105" i="19"/>
  <c r="AN106" i="19"/>
  <c r="AN107" i="19"/>
  <c r="AN108" i="19"/>
  <c r="AN109" i="19"/>
  <c r="AN110" i="19"/>
  <c r="AN111" i="19"/>
  <c r="F112" i="19"/>
  <c r="H112" i="19"/>
  <c r="I112" i="19"/>
  <c r="J112" i="19"/>
  <c r="K112" i="19"/>
  <c r="L112" i="19"/>
  <c r="M112" i="19"/>
  <c r="N112" i="19"/>
  <c r="O112" i="19"/>
  <c r="Q112" i="19"/>
  <c r="R112" i="19"/>
  <c r="S112" i="19"/>
  <c r="U112" i="19"/>
  <c r="V112" i="19"/>
  <c r="W112" i="19"/>
  <c r="X112" i="19"/>
  <c r="Z112" i="19"/>
  <c r="AA112" i="19"/>
  <c r="AB112" i="19"/>
  <c r="AC112" i="19"/>
  <c r="AD112" i="19"/>
  <c r="AE112" i="19"/>
  <c r="AF112" i="19"/>
  <c r="AG112" i="19"/>
  <c r="AH112" i="19"/>
  <c r="AI112" i="19"/>
  <c r="AJ112" i="19"/>
  <c r="AK112" i="19"/>
  <c r="AL112" i="19"/>
  <c r="AM112" i="19"/>
  <c r="D111" i="19"/>
  <c r="AM78" i="19"/>
  <c r="AM80" i="19"/>
  <c r="AM81" i="19"/>
  <c r="AM82" i="19"/>
  <c r="AM83" i="19"/>
  <c r="AM84" i="19"/>
  <c r="AM85" i="19"/>
  <c r="AM86" i="19"/>
  <c r="AM87" i="19"/>
  <c r="AM89" i="19"/>
  <c r="AM90" i="19"/>
  <c r="AM91" i="19"/>
  <c r="AM93" i="19"/>
  <c r="AM94" i="19"/>
  <c r="AM95" i="19"/>
  <c r="AM96" i="19"/>
  <c r="AM97" i="19"/>
  <c r="AM98" i="19"/>
  <c r="AM99" i="19"/>
  <c r="AM100" i="19"/>
  <c r="AM101" i="19"/>
  <c r="AM102" i="19"/>
  <c r="AM103" i="19"/>
  <c r="AM104" i="19"/>
  <c r="AM105" i="19"/>
  <c r="AM106" i="19"/>
  <c r="AM107" i="19"/>
  <c r="AM108" i="19"/>
  <c r="AM109" i="19"/>
  <c r="AM110" i="19"/>
  <c r="F111" i="19"/>
  <c r="H111" i="19"/>
  <c r="I111" i="19"/>
  <c r="J111" i="19"/>
  <c r="K111" i="19"/>
  <c r="L111" i="19"/>
  <c r="M111" i="19"/>
  <c r="N111" i="19"/>
  <c r="O111" i="19"/>
  <c r="Q111" i="19"/>
  <c r="R111" i="19"/>
  <c r="S111" i="19"/>
  <c r="U111" i="19"/>
  <c r="V111" i="19"/>
  <c r="W111" i="19"/>
  <c r="X111" i="19"/>
  <c r="Y111" i="19"/>
  <c r="Z111" i="19"/>
  <c r="AA111" i="19"/>
  <c r="AB111" i="19"/>
  <c r="AC111" i="19"/>
  <c r="AD111" i="19"/>
  <c r="AE111" i="19"/>
  <c r="AF111" i="19"/>
  <c r="AG111" i="19"/>
  <c r="AH111" i="19"/>
  <c r="AI111" i="19"/>
  <c r="AJ111" i="19"/>
  <c r="AK111" i="19"/>
  <c r="AL111" i="19"/>
  <c r="D110" i="19"/>
  <c r="AL78" i="19"/>
  <c r="AL80" i="19"/>
  <c r="AL81" i="19"/>
  <c r="AL82" i="19"/>
  <c r="AL83" i="19"/>
  <c r="AL84" i="19"/>
  <c r="AL85" i="19"/>
  <c r="AL86" i="19"/>
  <c r="AL87" i="19"/>
  <c r="AL89" i="19"/>
  <c r="AL90" i="19"/>
  <c r="AL91" i="19"/>
  <c r="AL93" i="19"/>
  <c r="AL94" i="19"/>
  <c r="AL95" i="19"/>
  <c r="AL96" i="19"/>
  <c r="AL97" i="19"/>
  <c r="AL98" i="19"/>
  <c r="AL99" i="19"/>
  <c r="AL100" i="19"/>
  <c r="AL101" i="19"/>
  <c r="AL102" i="19"/>
  <c r="AL103" i="19"/>
  <c r="AL104" i="19"/>
  <c r="AL105" i="19"/>
  <c r="AL106" i="19"/>
  <c r="AL107" i="19"/>
  <c r="AL108" i="19"/>
  <c r="AL109" i="19"/>
  <c r="F110" i="19"/>
  <c r="H110" i="19"/>
  <c r="I110" i="19"/>
  <c r="J110" i="19"/>
  <c r="K110" i="19"/>
  <c r="L110" i="19"/>
  <c r="M110" i="19"/>
  <c r="N110" i="19"/>
  <c r="O110" i="19"/>
  <c r="Q110" i="19"/>
  <c r="R110" i="19"/>
  <c r="S110" i="19"/>
  <c r="U110" i="19"/>
  <c r="V110" i="19"/>
  <c r="W110" i="19"/>
  <c r="X110" i="19"/>
  <c r="Y110" i="19"/>
  <c r="Z110" i="19"/>
  <c r="AA110" i="19"/>
  <c r="AB110" i="19"/>
  <c r="AC110" i="19"/>
  <c r="AD110" i="19"/>
  <c r="AE110" i="19"/>
  <c r="AF110" i="19"/>
  <c r="AG110" i="19"/>
  <c r="AH110" i="19"/>
  <c r="AI110" i="19"/>
  <c r="AJ110" i="19"/>
  <c r="AK110" i="19"/>
  <c r="D109" i="19"/>
  <c r="AK78" i="19"/>
  <c r="AK80" i="19"/>
  <c r="AK81" i="19"/>
  <c r="AK82" i="19"/>
  <c r="AK83" i="19"/>
  <c r="AK84" i="19"/>
  <c r="AK85" i="19"/>
  <c r="AK86" i="19"/>
  <c r="AK77" i="19" s="1"/>
  <c r="AK116" i="19" s="1"/>
  <c r="AK87" i="19"/>
  <c r="AK89" i="19"/>
  <c r="AK90" i="19"/>
  <c r="AK91" i="19"/>
  <c r="AK93" i="19"/>
  <c r="AK94" i="19"/>
  <c r="AK95" i="19"/>
  <c r="AK96" i="19"/>
  <c r="AK97" i="19"/>
  <c r="AK98" i="19"/>
  <c r="AK99" i="19"/>
  <c r="AK100" i="19"/>
  <c r="AK101" i="19"/>
  <c r="AK102" i="19"/>
  <c r="AK103" i="19"/>
  <c r="AK104" i="19"/>
  <c r="AK105" i="19"/>
  <c r="AK106" i="19"/>
  <c r="AK107" i="19"/>
  <c r="AK108" i="19"/>
  <c r="AK115" i="19"/>
  <c r="F109" i="19"/>
  <c r="H109" i="19"/>
  <c r="I109" i="19"/>
  <c r="J109" i="19"/>
  <c r="K109" i="19"/>
  <c r="L109" i="19"/>
  <c r="M109" i="19"/>
  <c r="N109" i="19"/>
  <c r="O109" i="19"/>
  <c r="Q109" i="19"/>
  <c r="R109" i="19"/>
  <c r="S109" i="19"/>
  <c r="U109" i="19"/>
  <c r="V109" i="19"/>
  <c r="W109" i="19"/>
  <c r="X109" i="19"/>
  <c r="Y109" i="19"/>
  <c r="Z109" i="19"/>
  <c r="AA109" i="19"/>
  <c r="AB109" i="19"/>
  <c r="AC109" i="19"/>
  <c r="AD109" i="19"/>
  <c r="AE109" i="19"/>
  <c r="AF109" i="19"/>
  <c r="AG109" i="19"/>
  <c r="AH109" i="19"/>
  <c r="AI109" i="19"/>
  <c r="AJ109" i="19"/>
  <c r="D108" i="19"/>
  <c r="AJ78" i="19"/>
  <c r="AJ80" i="19"/>
  <c r="AJ81" i="19"/>
  <c r="AJ82" i="19"/>
  <c r="AJ83" i="19"/>
  <c r="AJ84" i="19"/>
  <c r="AJ77" i="19" s="1"/>
  <c r="AJ85" i="19"/>
  <c r="AJ86" i="19"/>
  <c r="AJ87" i="19"/>
  <c r="AJ89" i="19"/>
  <c r="AJ90" i="19"/>
  <c r="AJ91" i="19"/>
  <c r="AJ93" i="19"/>
  <c r="AJ94" i="19"/>
  <c r="AJ95" i="19"/>
  <c r="AJ96" i="19"/>
  <c r="AJ97" i="19"/>
  <c r="AJ98" i="19"/>
  <c r="AJ99" i="19"/>
  <c r="AJ100" i="19"/>
  <c r="AJ101" i="19"/>
  <c r="AJ102" i="19"/>
  <c r="AJ103" i="19"/>
  <c r="AJ104" i="19"/>
  <c r="AJ105" i="19"/>
  <c r="AJ106" i="19"/>
  <c r="AJ107" i="19"/>
  <c r="F108" i="19"/>
  <c r="H108" i="19"/>
  <c r="I108" i="19"/>
  <c r="J108" i="19"/>
  <c r="K108" i="19"/>
  <c r="L108" i="19"/>
  <c r="M108" i="19"/>
  <c r="N108" i="19"/>
  <c r="O108" i="19"/>
  <c r="Q108" i="19"/>
  <c r="R108" i="19"/>
  <c r="S108" i="19"/>
  <c r="U108" i="19"/>
  <c r="V108" i="19"/>
  <c r="W108" i="19"/>
  <c r="X108" i="19"/>
  <c r="Y108" i="19"/>
  <c r="Z108" i="19"/>
  <c r="AA108" i="19"/>
  <c r="AB108" i="19"/>
  <c r="AC108" i="19"/>
  <c r="AD108" i="19"/>
  <c r="AE108" i="19"/>
  <c r="AF108" i="19"/>
  <c r="AG108" i="19"/>
  <c r="AH108" i="19"/>
  <c r="AI108" i="19"/>
  <c r="D107" i="19"/>
  <c r="AI80" i="19"/>
  <c r="AI81" i="19"/>
  <c r="AI82" i="19"/>
  <c r="AI83" i="19"/>
  <c r="AI84" i="19"/>
  <c r="AI85" i="19"/>
  <c r="AI86" i="19"/>
  <c r="AI87" i="19"/>
  <c r="AI89" i="19"/>
  <c r="AI90" i="19"/>
  <c r="AI91" i="19"/>
  <c r="AI93" i="19"/>
  <c r="AI94" i="19"/>
  <c r="AI95" i="19"/>
  <c r="AI96" i="19"/>
  <c r="AI97" i="19"/>
  <c r="AI98" i="19"/>
  <c r="AI99" i="19"/>
  <c r="AI100" i="19"/>
  <c r="AI101" i="19"/>
  <c r="AI102" i="19"/>
  <c r="AI103" i="19"/>
  <c r="AI104" i="19"/>
  <c r="AI105" i="19"/>
  <c r="AI106" i="19"/>
  <c r="F107" i="19"/>
  <c r="H107" i="19"/>
  <c r="I107" i="19"/>
  <c r="J107" i="19"/>
  <c r="K107" i="19"/>
  <c r="L107" i="19"/>
  <c r="M107" i="19"/>
  <c r="N107" i="19"/>
  <c r="O107" i="19"/>
  <c r="E107" i="19" s="1"/>
  <c r="Q107" i="19"/>
  <c r="R107" i="19"/>
  <c r="S107" i="19"/>
  <c r="U107" i="19"/>
  <c r="V107" i="19"/>
  <c r="W107" i="19"/>
  <c r="X107" i="19"/>
  <c r="Y107" i="19"/>
  <c r="Z107" i="19"/>
  <c r="AA107" i="19"/>
  <c r="AB107" i="19"/>
  <c r="AC107" i="19"/>
  <c r="AD107" i="19"/>
  <c r="AE107" i="19"/>
  <c r="AF107" i="19"/>
  <c r="AG107" i="19"/>
  <c r="AH107" i="19"/>
  <c r="D106" i="19"/>
  <c r="AH78" i="19"/>
  <c r="AH80" i="19"/>
  <c r="AH81" i="19"/>
  <c r="AH82" i="19"/>
  <c r="AH83" i="19"/>
  <c r="AH84" i="19"/>
  <c r="AH85" i="19"/>
  <c r="AH86" i="19"/>
  <c r="AH87" i="19"/>
  <c r="AH89" i="19"/>
  <c r="AH90" i="19"/>
  <c r="AH91" i="19"/>
  <c r="AH93" i="19"/>
  <c r="AH94" i="19"/>
  <c r="AH95" i="19"/>
  <c r="AH96" i="19"/>
  <c r="AH98" i="19"/>
  <c r="AH99" i="19"/>
  <c r="AH100" i="19"/>
  <c r="AH101" i="19"/>
  <c r="AH102" i="19"/>
  <c r="AH103" i="19"/>
  <c r="AH104" i="19"/>
  <c r="AH105" i="19"/>
  <c r="F106" i="19"/>
  <c r="H106" i="19"/>
  <c r="E106" i="19" s="1"/>
  <c r="AR106" i="19" s="1"/>
  <c r="AH106" i="19" s="1"/>
  <c r="P106" i="19" s="1"/>
  <c r="I106" i="19"/>
  <c r="J106" i="19"/>
  <c r="K106" i="19"/>
  <c r="L106" i="19"/>
  <c r="M106" i="19"/>
  <c r="N106" i="19"/>
  <c r="O106" i="19"/>
  <c r="Q106" i="19"/>
  <c r="R106" i="19"/>
  <c r="S106" i="19"/>
  <c r="U106" i="19"/>
  <c r="V106" i="19"/>
  <c r="W106" i="19"/>
  <c r="X106" i="19"/>
  <c r="Y106" i="19"/>
  <c r="Z106" i="19"/>
  <c r="AA106" i="19"/>
  <c r="AB106" i="19"/>
  <c r="AC106" i="19"/>
  <c r="AD106" i="19"/>
  <c r="AE106" i="19"/>
  <c r="AF106" i="19"/>
  <c r="AG106" i="19"/>
  <c r="D105" i="19"/>
  <c r="AG78" i="19"/>
  <c r="AG80" i="19"/>
  <c r="AG81" i="19"/>
  <c r="AG82" i="19"/>
  <c r="AG83" i="19"/>
  <c r="AG84" i="19"/>
  <c r="AG85" i="19"/>
  <c r="AG86" i="19"/>
  <c r="AG87" i="19"/>
  <c r="AG89" i="19"/>
  <c r="AG90" i="19"/>
  <c r="AG91" i="19"/>
  <c r="AG93" i="19"/>
  <c r="AG94" i="19"/>
  <c r="AG95" i="19"/>
  <c r="AG96" i="19"/>
  <c r="AG97" i="19"/>
  <c r="AG98" i="19"/>
  <c r="AG99" i="19"/>
  <c r="AG100" i="19"/>
  <c r="AG101" i="19"/>
  <c r="AG102" i="19"/>
  <c r="AG103" i="19"/>
  <c r="AG104" i="19"/>
  <c r="H105" i="19"/>
  <c r="I105" i="19"/>
  <c r="J105" i="19"/>
  <c r="K105" i="19"/>
  <c r="L105" i="19"/>
  <c r="M105" i="19"/>
  <c r="N105" i="19"/>
  <c r="O105" i="19"/>
  <c r="Q105" i="19"/>
  <c r="R105" i="19"/>
  <c r="S105" i="19"/>
  <c r="U105" i="19"/>
  <c r="V105" i="19"/>
  <c r="W105" i="19"/>
  <c r="X105" i="19"/>
  <c r="Y105" i="19"/>
  <c r="Z105" i="19"/>
  <c r="AA105" i="19"/>
  <c r="AB105" i="19"/>
  <c r="AC105" i="19"/>
  <c r="AD105" i="19"/>
  <c r="AE105" i="19"/>
  <c r="AF105" i="19"/>
  <c r="D104" i="19"/>
  <c r="AF78" i="19"/>
  <c r="AF80" i="19"/>
  <c r="AF81" i="19"/>
  <c r="AF82" i="19"/>
  <c r="AF83" i="19"/>
  <c r="AF84" i="19"/>
  <c r="AF85" i="19"/>
  <c r="AF86" i="19"/>
  <c r="AF87" i="19"/>
  <c r="AF89" i="19"/>
  <c r="AF90" i="19"/>
  <c r="AF91" i="19"/>
  <c r="AF93" i="19"/>
  <c r="AF94" i="19"/>
  <c r="AF95" i="19"/>
  <c r="AF96" i="19"/>
  <c r="AF97" i="19"/>
  <c r="AF98" i="19"/>
  <c r="AF99" i="19"/>
  <c r="AF100" i="19"/>
  <c r="AF101" i="19"/>
  <c r="AF102" i="19"/>
  <c r="AF103" i="19"/>
  <c r="F104" i="19"/>
  <c r="H104" i="19"/>
  <c r="I104" i="19"/>
  <c r="J104" i="19"/>
  <c r="K104" i="19"/>
  <c r="L104" i="19"/>
  <c r="M104" i="19"/>
  <c r="N104" i="19"/>
  <c r="O104" i="19"/>
  <c r="Q104" i="19"/>
  <c r="R104" i="19"/>
  <c r="S104" i="19"/>
  <c r="U104" i="19"/>
  <c r="V104" i="19"/>
  <c r="W104" i="19"/>
  <c r="X104" i="19"/>
  <c r="Y104" i="19"/>
  <c r="Z104" i="19"/>
  <c r="AA104" i="19"/>
  <c r="AB104" i="19"/>
  <c r="AC104" i="19"/>
  <c r="AD104" i="19"/>
  <c r="AE104" i="19"/>
  <c r="D103" i="19"/>
  <c r="AE80" i="19"/>
  <c r="AE81" i="19"/>
  <c r="AE82" i="19"/>
  <c r="AE83" i="19"/>
  <c r="AE84" i="19"/>
  <c r="AE85" i="19"/>
  <c r="AE86" i="19"/>
  <c r="AE87" i="19"/>
  <c r="AE89" i="19"/>
  <c r="AE90" i="19"/>
  <c r="AE91" i="19"/>
  <c r="AE93" i="19"/>
  <c r="AE94" i="19"/>
  <c r="AE95" i="19"/>
  <c r="AE96" i="19"/>
  <c r="AE97" i="19"/>
  <c r="AE98" i="19"/>
  <c r="AE99" i="19"/>
  <c r="AE100" i="19"/>
  <c r="AE101" i="19"/>
  <c r="AE102" i="19"/>
  <c r="F103" i="19"/>
  <c r="H103" i="19"/>
  <c r="I103" i="19"/>
  <c r="J103" i="19"/>
  <c r="K103" i="19"/>
  <c r="L103" i="19"/>
  <c r="M103" i="19"/>
  <c r="N103" i="19"/>
  <c r="N88" i="19" s="1"/>
  <c r="O103" i="19"/>
  <c r="Q103" i="19"/>
  <c r="R103" i="19"/>
  <c r="S103" i="19"/>
  <c r="U103" i="19"/>
  <c r="V103" i="19"/>
  <c r="W103" i="19"/>
  <c r="X103" i="19"/>
  <c r="Y103" i="19"/>
  <c r="Z103" i="19"/>
  <c r="AA103" i="19"/>
  <c r="AB103" i="19"/>
  <c r="AC103" i="19"/>
  <c r="AD103" i="19"/>
  <c r="AD80" i="19"/>
  <c r="AD81" i="19"/>
  <c r="AD82" i="19"/>
  <c r="AD83" i="19"/>
  <c r="AD84" i="19"/>
  <c r="AD85" i="19"/>
  <c r="AD86" i="19"/>
  <c r="AD87" i="19"/>
  <c r="AD89" i="19"/>
  <c r="AD90" i="19"/>
  <c r="AD91" i="19"/>
  <c r="AD93" i="19"/>
  <c r="AD94" i="19"/>
  <c r="AD95" i="19"/>
  <c r="AD96" i="19"/>
  <c r="AD98" i="19"/>
  <c r="AD99" i="19"/>
  <c r="AD100" i="19"/>
  <c r="AD101" i="19"/>
  <c r="F102" i="19"/>
  <c r="H102" i="19"/>
  <c r="I102" i="19"/>
  <c r="J102" i="19"/>
  <c r="K102" i="19"/>
  <c r="L102" i="19"/>
  <c r="M102" i="19"/>
  <c r="N102" i="19"/>
  <c r="O102" i="19"/>
  <c r="Q102" i="19"/>
  <c r="R102" i="19"/>
  <c r="S102" i="19"/>
  <c r="U102" i="19"/>
  <c r="V102" i="19"/>
  <c r="W102" i="19"/>
  <c r="X102" i="19"/>
  <c r="Z102" i="19"/>
  <c r="AA102" i="19"/>
  <c r="AB102" i="19"/>
  <c r="AC102" i="19"/>
  <c r="D101" i="19"/>
  <c r="AC78" i="19"/>
  <c r="AC80" i="19"/>
  <c r="AC81" i="19"/>
  <c r="AC82" i="19"/>
  <c r="AC83" i="19"/>
  <c r="AC84" i="19"/>
  <c r="AC85" i="19"/>
  <c r="AC86" i="19"/>
  <c r="AC87" i="19"/>
  <c r="AC89" i="19"/>
  <c r="AC90" i="19"/>
  <c r="AC91" i="19"/>
  <c r="AC93" i="19"/>
  <c r="AC94" i="19"/>
  <c r="AC95" i="19"/>
  <c r="AC96" i="19"/>
  <c r="AC97" i="19"/>
  <c r="AC98" i="19"/>
  <c r="AC99" i="19"/>
  <c r="AC100" i="19"/>
  <c r="F101" i="19"/>
  <c r="H101" i="19"/>
  <c r="I101" i="19"/>
  <c r="J101" i="19"/>
  <c r="K101" i="19"/>
  <c r="L101" i="19"/>
  <c r="M101" i="19"/>
  <c r="N101" i="19"/>
  <c r="O101" i="19"/>
  <c r="Q101" i="19"/>
  <c r="R101" i="19"/>
  <c r="S101" i="19"/>
  <c r="U101" i="19"/>
  <c r="V101" i="19"/>
  <c r="W101" i="19"/>
  <c r="X101" i="19"/>
  <c r="Z101" i="19"/>
  <c r="AA101" i="19"/>
  <c r="AB101" i="19"/>
  <c r="D100" i="19"/>
  <c r="AB78" i="19"/>
  <c r="AB80" i="19"/>
  <c r="AB81" i="19"/>
  <c r="AB82" i="19"/>
  <c r="AB83" i="19"/>
  <c r="AB84" i="19"/>
  <c r="AB85" i="19"/>
  <c r="AB86" i="19"/>
  <c r="AB87" i="19"/>
  <c r="AB89" i="19"/>
  <c r="AB90" i="19"/>
  <c r="AB91" i="19"/>
  <c r="AB93" i="19"/>
  <c r="AB94" i="19"/>
  <c r="AB95" i="19"/>
  <c r="AB96" i="19"/>
  <c r="AB97" i="19"/>
  <c r="AB98" i="19"/>
  <c r="AB99" i="19"/>
  <c r="F100" i="19"/>
  <c r="H100" i="19"/>
  <c r="I100" i="19"/>
  <c r="E100" i="19" s="1"/>
  <c r="AR100" i="19" s="1"/>
  <c r="AB100" i="19" s="1"/>
  <c r="J100" i="19"/>
  <c r="K100" i="19"/>
  <c r="L100" i="19"/>
  <c r="M100" i="19"/>
  <c r="N100" i="19"/>
  <c r="O100" i="19"/>
  <c r="Q100" i="19"/>
  <c r="R100" i="19"/>
  <c r="S100" i="19"/>
  <c r="U100" i="19"/>
  <c r="V100" i="19"/>
  <c r="W100" i="19"/>
  <c r="X100" i="19"/>
  <c r="Y100" i="19"/>
  <c r="Z100" i="19"/>
  <c r="AA100" i="19"/>
  <c r="D99" i="19"/>
  <c r="AA78" i="19"/>
  <c r="AA80" i="19"/>
  <c r="AA81" i="19"/>
  <c r="AA82" i="19"/>
  <c r="AA83" i="19"/>
  <c r="AA84" i="19"/>
  <c r="AA85" i="19"/>
  <c r="AA86" i="19"/>
  <c r="AA87" i="19"/>
  <c r="AA89" i="19"/>
  <c r="AA90" i="19"/>
  <c r="AA91" i="19"/>
  <c r="AA93" i="19"/>
  <c r="AA94" i="19"/>
  <c r="AA95" i="19"/>
  <c r="AA96" i="19"/>
  <c r="AA97" i="19"/>
  <c r="AA98" i="19"/>
  <c r="F99" i="19"/>
  <c r="H99" i="19"/>
  <c r="I99" i="19"/>
  <c r="J99" i="19"/>
  <c r="K99" i="19"/>
  <c r="L99" i="19"/>
  <c r="M99" i="19"/>
  <c r="N99" i="19"/>
  <c r="O99" i="19"/>
  <c r="Q99" i="19"/>
  <c r="R99" i="19"/>
  <c r="S99" i="19"/>
  <c r="U99" i="19"/>
  <c r="V99" i="19"/>
  <c r="W99" i="19"/>
  <c r="X99" i="19"/>
  <c r="Y99" i="19"/>
  <c r="Z99" i="19"/>
  <c r="D98" i="19"/>
  <c r="Z78" i="19"/>
  <c r="Z80" i="19"/>
  <c r="Z81" i="19"/>
  <c r="Z82" i="19"/>
  <c r="Z83" i="19"/>
  <c r="Z84" i="19"/>
  <c r="Z85" i="19"/>
  <c r="Z86" i="19"/>
  <c r="Z87" i="19"/>
  <c r="Z89" i="19"/>
  <c r="Z90" i="19"/>
  <c r="Z91" i="19"/>
  <c r="Z93" i="19"/>
  <c r="Z94" i="19"/>
  <c r="Z95" i="19"/>
  <c r="Z96" i="19"/>
  <c r="Z97" i="19"/>
  <c r="F98" i="19"/>
  <c r="H98" i="19"/>
  <c r="I98" i="19"/>
  <c r="J98" i="19"/>
  <c r="K98" i="19"/>
  <c r="L98" i="19"/>
  <c r="M98" i="19"/>
  <c r="N98" i="19"/>
  <c r="O98" i="19"/>
  <c r="Q98" i="19"/>
  <c r="R98" i="19"/>
  <c r="S98" i="19"/>
  <c r="U98" i="19"/>
  <c r="V98" i="19"/>
  <c r="W98" i="19"/>
  <c r="X98" i="19"/>
  <c r="Y98" i="19"/>
  <c r="Y82" i="19"/>
  <c r="Y83" i="19"/>
  <c r="Y84" i="19"/>
  <c r="Y85" i="19"/>
  <c r="P85" i="19" s="1"/>
  <c r="AR85" i="19" s="1"/>
  <c r="Y86" i="19"/>
  <c r="Y87" i="19"/>
  <c r="Y89" i="19"/>
  <c r="Y90" i="19"/>
  <c r="Y91" i="19"/>
  <c r="Y93" i="19"/>
  <c r="Y94" i="19"/>
  <c r="Y95" i="19"/>
  <c r="Y96" i="19"/>
  <c r="H97" i="19"/>
  <c r="I97" i="19"/>
  <c r="J97" i="19"/>
  <c r="J88" i="19" s="1"/>
  <c r="K97" i="19"/>
  <c r="M97" i="19"/>
  <c r="N97" i="19"/>
  <c r="O97" i="19"/>
  <c r="Q97" i="19"/>
  <c r="R97" i="19"/>
  <c r="S97" i="19"/>
  <c r="U97" i="19"/>
  <c r="V97" i="19"/>
  <c r="W97" i="19"/>
  <c r="X97" i="19"/>
  <c r="D96" i="19"/>
  <c r="X80" i="19"/>
  <c r="X81" i="19"/>
  <c r="X82" i="19"/>
  <c r="X83" i="19"/>
  <c r="X84" i="19"/>
  <c r="X85" i="19"/>
  <c r="X86" i="19"/>
  <c r="X87" i="19"/>
  <c r="X89" i="19"/>
  <c r="X90" i="19"/>
  <c r="X91" i="19"/>
  <c r="X93" i="19"/>
  <c r="X94" i="19"/>
  <c r="X95" i="19"/>
  <c r="F96" i="19"/>
  <c r="H96" i="19"/>
  <c r="I96" i="19"/>
  <c r="J96" i="19"/>
  <c r="K96" i="19"/>
  <c r="L96" i="19"/>
  <c r="M96" i="19"/>
  <c r="N96" i="19"/>
  <c r="O96" i="19"/>
  <c r="Q96" i="19"/>
  <c r="R96" i="19"/>
  <c r="S96" i="19"/>
  <c r="U96" i="19"/>
  <c r="V96" i="19"/>
  <c r="W96" i="19"/>
  <c r="D95" i="19"/>
  <c r="W80" i="19"/>
  <c r="W81" i="19"/>
  <c r="W82" i="19"/>
  <c r="W83" i="19"/>
  <c r="W84" i="19"/>
  <c r="W85" i="19"/>
  <c r="W86" i="19"/>
  <c r="W87" i="19"/>
  <c r="W89" i="19"/>
  <c r="W90" i="19"/>
  <c r="W91" i="19"/>
  <c r="W93" i="19"/>
  <c r="W94" i="19"/>
  <c r="F95" i="19"/>
  <c r="H95" i="19"/>
  <c r="I95" i="19"/>
  <c r="J95" i="19"/>
  <c r="K95" i="19"/>
  <c r="L95" i="19"/>
  <c r="M95" i="19"/>
  <c r="N95" i="19"/>
  <c r="O95" i="19"/>
  <c r="Q95" i="19"/>
  <c r="R95" i="19"/>
  <c r="S95" i="19"/>
  <c r="U95" i="19"/>
  <c r="V95" i="19"/>
  <c r="D94" i="19"/>
  <c r="V80" i="19"/>
  <c r="V81" i="19"/>
  <c r="V82" i="19"/>
  <c r="V83" i="19"/>
  <c r="V84" i="19"/>
  <c r="V85" i="19"/>
  <c r="V86" i="19"/>
  <c r="V87" i="19"/>
  <c r="V89" i="19"/>
  <c r="V90" i="19"/>
  <c r="V91" i="19"/>
  <c r="V93" i="19"/>
  <c r="F94" i="19"/>
  <c r="H94" i="19"/>
  <c r="I94" i="19"/>
  <c r="J94" i="19"/>
  <c r="K94" i="19"/>
  <c r="L94" i="19"/>
  <c r="M94" i="19"/>
  <c r="N94" i="19"/>
  <c r="O94" i="19"/>
  <c r="Q94" i="19"/>
  <c r="R94" i="19"/>
  <c r="S94" i="19"/>
  <c r="U94" i="19"/>
  <c r="D93" i="19"/>
  <c r="U80" i="19"/>
  <c r="U81" i="19"/>
  <c r="U82" i="19"/>
  <c r="U83" i="19"/>
  <c r="U84" i="19"/>
  <c r="U85" i="19"/>
  <c r="U86" i="19"/>
  <c r="U87" i="19"/>
  <c r="U89" i="19"/>
  <c r="U90" i="19"/>
  <c r="U91" i="19"/>
  <c r="F93" i="19"/>
  <c r="H93" i="19"/>
  <c r="I93" i="19"/>
  <c r="J93" i="19"/>
  <c r="K93" i="19"/>
  <c r="L93" i="19"/>
  <c r="M93" i="19"/>
  <c r="N93" i="19"/>
  <c r="O93" i="19"/>
  <c r="Q93" i="19"/>
  <c r="R93" i="19"/>
  <c r="S93" i="19"/>
  <c r="D91" i="19"/>
  <c r="S78" i="19"/>
  <c r="S80" i="19"/>
  <c r="S81" i="19"/>
  <c r="S82" i="19"/>
  <c r="S83" i="19"/>
  <c r="S84" i="19"/>
  <c r="S85" i="19"/>
  <c r="S86" i="19"/>
  <c r="S87" i="19"/>
  <c r="S89" i="19"/>
  <c r="S90" i="19"/>
  <c r="F91" i="19"/>
  <c r="H91" i="19"/>
  <c r="I91" i="19"/>
  <c r="J91" i="19"/>
  <c r="K91" i="19"/>
  <c r="L91" i="19"/>
  <c r="M91" i="19"/>
  <c r="N91" i="19"/>
  <c r="O91" i="19"/>
  <c r="Q91" i="19"/>
  <c r="R91" i="19"/>
  <c r="D90" i="19"/>
  <c r="R80" i="19"/>
  <c r="R81" i="19"/>
  <c r="R82" i="19"/>
  <c r="R83" i="19"/>
  <c r="R84" i="19"/>
  <c r="R85" i="19"/>
  <c r="R86" i="19"/>
  <c r="R87" i="19"/>
  <c r="R89" i="19"/>
  <c r="F90" i="19"/>
  <c r="H90" i="19"/>
  <c r="I90" i="19"/>
  <c r="J90" i="19"/>
  <c r="K90" i="19"/>
  <c r="L90" i="19"/>
  <c r="M90" i="19"/>
  <c r="N90" i="19"/>
  <c r="O90" i="19"/>
  <c r="Q90" i="19"/>
  <c r="D89" i="19"/>
  <c r="Q80" i="19"/>
  <c r="Q81" i="19"/>
  <c r="Q82" i="19"/>
  <c r="Q83" i="19"/>
  <c r="Q84" i="19"/>
  <c r="Q85" i="19"/>
  <c r="Q86" i="19"/>
  <c r="Q87" i="19"/>
  <c r="P87" i="19" s="1"/>
  <c r="F89" i="19"/>
  <c r="H89" i="19"/>
  <c r="I89" i="19"/>
  <c r="J89" i="19"/>
  <c r="K89" i="19"/>
  <c r="L89" i="19"/>
  <c r="M89" i="19"/>
  <c r="N89" i="19"/>
  <c r="O89" i="19"/>
  <c r="D87" i="19"/>
  <c r="O78" i="19"/>
  <c r="O80" i="19"/>
  <c r="O81" i="19"/>
  <c r="O82" i="19"/>
  <c r="O83" i="19"/>
  <c r="O84" i="19"/>
  <c r="O85" i="19"/>
  <c r="O86" i="19"/>
  <c r="F87" i="19"/>
  <c r="H87" i="19"/>
  <c r="I87" i="19"/>
  <c r="J87" i="19"/>
  <c r="K87" i="19"/>
  <c r="L87" i="19"/>
  <c r="M87" i="19"/>
  <c r="N87" i="19"/>
  <c r="D86" i="19"/>
  <c r="N78" i="19"/>
  <c r="N80" i="19"/>
  <c r="N81" i="19"/>
  <c r="N82" i="19"/>
  <c r="N83" i="19"/>
  <c r="N84" i="19"/>
  <c r="N85" i="19"/>
  <c r="F86" i="19"/>
  <c r="H86" i="19"/>
  <c r="I86" i="19"/>
  <c r="J86" i="19"/>
  <c r="K86" i="19"/>
  <c r="L86" i="19"/>
  <c r="M86" i="19"/>
  <c r="D85" i="19"/>
  <c r="M78" i="19"/>
  <c r="M80" i="19"/>
  <c r="M81" i="19"/>
  <c r="M82" i="19"/>
  <c r="M83" i="19"/>
  <c r="M84" i="19"/>
  <c r="F85" i="19"/>
  <c r="H85" i="19"/>
  <c r="I85" i="19"/>
  <c r="J85" i="19"/>
  <c r="K85" i="19"/>
  <c r="L85" i="19"/>
  <c r="D84" i="19"/>
  <c r="R11" i="19"/>
  <c r="R10" i="19" s="1"/>
  <c r="L80" i="19"/>
  <c r="L81" i="19"/>
  <c r="L82" i="19"/>
  <c r="L83" i="19"/>
  <c r="F84" i="19"/>
  <c r="H84" i="19"/>
  <c r="I84" i="19"/>
  <c r="J84" i="19"/>
  <c r="K84" i="19"/>
  <c r="D83" i="19"/>
  <c r="Q11" i="19"/>
  <c r="K78" i="19"/>
  <c r="K80" i="19"/>
  <c r="K81" i="19"/>
  <c r="K82" i="19"/>
  <c r="F83" i="19"/>
  <c r="H83" i="19"/>
  <c r="I83" i="19"/>
  <c r="J83" i="19"/>
  <c r="D82" i="19"/>
  <c r="J80" i="19"/>
  <c r="J81" i="19"/>
  <c r="F82" i="19"/>
  <c r="H82" i="19"/>
  <c r="I82" i="19"/>
  <c r="D81" i="19"/>
  <c r="I78" i="19"/>
  <c r="I80" i="19"/>
  <c r="F81" i="19"/>
  <c r="H81" i="19"/>
  <c r="D80" i="19"/>
  <c r="H78" i="19"/>
  <c r="F80" i="19"/>
  <c r="D79" i="19"/>
  <c r="G78" i="19"/>
  <c r="G80" i="19"/>
  <c r="G81" i="19"/>
  <c r="G82" i="19"/>
  <c r="G83" i="19"/>
  <c r="G84" i="19"/>
  <c r="G85" i="19"/>
  <c r="G86" i="19"/>
  <c r="G87" i="19"/>
  <c r="G89" i="19"/>
  <c r="G90" i="19"/>
  <c r="G91" i="19"/>
  <c r="G92" i="19"/>
  <c r="G93" i="19"/>
  <c r="G94" i="19"/>
  <c r="G95" i="19"/>
  <c r="G96" i="19"/>
  <c r="G97" i="19"/>
  <c r="G98" i="19"/>
  <c r="G99" i="19"/>
  <c r="G100" i="19"/>
  <c r="G101" i="19"/>
  <c r="G102" i="19"/>
  <c r="G103" i="19"/>
  <c r="G104" i="19"/>
  <c r="G105" i="19"/>
  <c r="G106" i="19"/>
  <c r="G107" i="19"/>
  <c r="G108" i="19"/>
  <c r="G109" i="19"/>
  <c r="G110" i="19"/>
  <c r="G111" i="19"/>
  <c r="G112" i="19"/>
  <c r="G113" i="19"/>
  <c r="G114" i="19"/>
  <c r="G115" i="19"/>
  <c r="H79" i="19"/>
  <c r="I79" i="19"/>
  <c r="J79" i="19"/>
  <c r="K79" i="19"/>
  <c r="L79" i="19"/>
  <c r="M79" i="19"/>
  <c r="N79" i="19"/>
  <c r="O79" i="19"/>
  <c r="Q79" i="19"/>
  <c r="R79" i="19"/>
  <c r="S79" i="19"/>
  <c r="T79" i="19"/>
  <c r="U79" i="19"/>
  <c r="V79" i="19"/>
  <c r="W79" i="19"/>
  <c r="X79" i="19"/>
  <c r="Z79" i="19"/>
  <c r="AA79" i="19"/>
  <c r="AB79" i="19"/>
  <c r="AC79" i="19"/>
  <c r="AD79" i="19"/>
  <c r="AE79" i="19"/>
  <c r="AF79" i="19"/>
  <c r="AG79" i="19"/>
  <c r="AH79" i="19"/>
  <c r="AI79" i="19"/>
  <c r="AJ79" i="19"/>
  <c r="AK79" i="19"/>
  <c r="AL79" i="19"/>
  <c r="AM79" i="19"/>
  <c r="AN79" i="19"/>
  <c r="AO79" i="19"/>
  <c r="AP79" i="19"/>
  <c r="AQ79" i="19"/>
  <c r="BK11" i="19"/>
  <c r="BK10" i="19"/>
  <c r="BK9" i="19" s="1"/>
  <c r="BK8" i="19" s="1"/>
  <c r="BK67" i="19" s="1"/>
  <c r="BK18" i="19"/>
  <c r="BK25" i="19"/>
  <c r="BH18" i="19"/>
  <c r="Q10" i="19"/>
  <c r="Q9" i="19" s="1"/>
  <c r="O34" i="19"/>
  <c r="O25" i="19" s="1"/>
  <c r="O63" i="19"/>
  <c r="G17" i="19"/>
  <c r="G18" i="19"/>
  <c r="F18" i="19" s="1"/>
  <c r="G26" i="19"/>
  <c r="F26" i="19" s="1"/>
  <c r="E26" i="19" s="1"/>
  <c r="F22" i="19"/>
  <c r="BG62" i="19"/>
  <c r="BG25" i="19" s="1"/>
  <c r="BD59" i="19"/>
  <c r="V59" i="19" s="1"/>
  <c r="AZ55" i="19"/>
  <c r="V55" i="19" s="1"/>
  <c r="AQ46" i="19"/>
  <c r="V46" i="19"/>
  <c r="AN43" i="19"/>
  <c r="AE43" i="19" s="1"/>
  <c r="V43" i="19" s="1"/>
  <c r="AK40" i="19"/>
  <c r="BH35" i="19"/>
  <c r="AF35" i="19"/>
  <c r="BD25" i="19"/>
  <c r="BD7" i="19" s="1"/>
  <c r="AQ25" i="19"/>
  <c r="U24" i="19"/>
  <c r="E24" i="19" s="1"/>
  <c r="O16" i="19"/>
  <c r="K14" i="19"/>
  <c r="N10" i="19"/>
  <c r="D101" i="37"/>
  <c r="C148" i="47"/>
  <c r="D25" i="37"/>
  <c r="D78" i="37"/>
  <c r="D77" i="37" s="1"/>
  <c r="D10" i="37"/>
  <c r="D9" i="37" s="1"/>
  <c r="D115" i="38"/>
  <c r="C119" i="47"/>
  <c r="C21" i="56" s="1"/>
  <c r="D95" i="30"/>
  <c r="D85" i="30"/>
  <c r="C169" i="46"/>
  <c r="C20" i="49"/>
  <c r="C18" i="46"/>
  <c r="C20" i="83" s="1"/>
  <c r="D78" i="31"/>
  <c r="D103" i="21"/>
  <c r="C162" i="47"/>
  <c r="C14" i="66" s="1"/>
  <c r="D34" i="26"/>
  <c r="D84" i="27"/>
  <c r="D97" i="28"/>
  <c r="C230" i="47"/>
  <c r="AF97" i="31"/>
  <c r="Q10" i="33"/>
  <c r="Q9" i="33" s="1"/>
  <c r="L78" i="33"/>
  <c r="R10" i="33"/>
  <c r="R9" i="33" s="1"/>
  <c r="O9" i="33" s="1"/>
  <c r="O67" i="33" s="1"/>
  <c r="G77" i="37"/>
  <c r="V77" i="37"/>
  <c r="D88" i="37"/>
  <c r="AP78" i="31"/>
  <c r="BG10" i="31"/>
  <c r="BG9" i="31" s="1"/>
  <c r="BG8" i="31" s="1"/>
  <c r="BG67" i="31" s="1"/>
  <c r="F22" i="31"/>
  <c r="E98" i="29"/>
  <c r="AR98" i="29" s="1"/>
  <c r="E107" i="30"/>
  <c r="AE35" i="29"/>
  <c r="V35" i="29" s="1"/>
  <c r="AE40" i="29"/>
  <c r="V40" i="29" s="1"/>
  <c r="AK34" i="29"/>
  <c r="AK25" i="29" s="1"/>
  <c r="F26" i="25"/>
  <c r="E26" i="25" s="1"/>
  <c r="O11" i="23"/>
  <c r="L79" i="23"/>
  <c r="R10" i="23"/>
  <c r="R9" i="23" s="1"/>
  <c r="AK34" i="22"/>
  <c r="AK25" i="22"/>
  <c r="L78" i="22"/>
  <c r="L79" i="21"/>
  <c r="R10" i="21"/>
  <c r="R9" i="21" s="1"/>
  <c r="AI34" i="32"/>
  <c r="AI25" i="32" s="1"/>
  <c r="T78" i="31"/>
  <c r="Y103" i="31"/>
  <c r="F114" i="31"/>
  <c r="F62" i="31"/>
  <c r="E62" i="31" s="1"/>
  <c r="S115" i="31"/>
  <c r="L115" i="31"/>
  <c r="H115" i="31"/>
  <c r="K115" i="37"/>
  <c r="X97" i="40"/>
  <c r="AC115" i="31"/>
  <c r="E79" i="19"/>
  <c r="E106" i="23"/>
  <c r="AR106" i="23" s="1"/>
  <c r="S77" i="22"/>
  <c r="S116" i="22" s="1"/>
  <c r="E99" i="34"/>
  <c r="AR99" i="34" s="1"/>
  <c r="AA99" i="34" s="1"/>
  <c r="W77" i="31"/>
  <c r="E95" i="30"/>
  <c r="E101" i="30"/>
  <c r="AR101" i="30" s="1"/>
  <c r="AC101" i="30" s="1"/>
  <c r="E107" i="38"/>
  <c r="AR107" i="38" s="1"/>
  <c r="AI107" i="38"/>
  <c r="P107" i="38" s="1"/>
  <c r="E109" i="38"/>
  <c r="AR109" i="38" s="1"/>
  <c r="AK109" i="38" s="1"/>
  <c r="E94" i="37"/>
  <c r="E95" i="34"/>
  <c r="Y107" i="31"/>
  <c r="BK8" i="30"/>
  <c r="BK67" i="30" s="1"/>
  <c r="E79" i="39"/>
  <c r="AQ92" i="37"/>
  <c r="BL23" i="37"/>
  <c r="T23" i="37" s="1"/>
  <c r="AM77" i="29"/>
  <c r="AM116" i="29" s="1"/>
  <c r="E93" i="28"/>
  <c r="R77" i="27"/>
  <c r="R116" i="27" s="1"/>
  <c r="E96" i="32"/>
  <c r="AR96" i="32"/>
  <c r="E106" i="32"/>
  <c r="AR106" i="32" s="1"/>
  <c r="AH106" i="32" s="1"/>
  <c r="P106" i="32" s="1"/>
  <c r="AM77" i="32"/>
  <c r="V33" i="27"/>
  <c r="F26" i="26"/>
  <c r="K78" i="26"/>
  <c r="Q10" i="26"/>
  <c r="O11" i="34"/>
  <c r="K78" i="34"/>
  <c r="Q10" i="34"/>
  <c r="AD8" i="31"/>
  <c r="AD67" i="31" s="1"/>
  <c r="X78" i="31"/>
  <c r="X77" i="31" s="1"/>
  <c r="E20" i="83"/>
  <c r="F113" i="31"/>
  <c r="E113" i="31" s="1"/>
  <c r="AR113" i="31" s="1"/>
  <c r="AO113" i="31" s="1"/>
  <c r="G61" i="31"/>
  <c r="F61" i="31" s="1"/>
  <c r="E61" i="31"/>
  <c r="BL61" i="31" s="1"/>
  <c r="AO97" i="31"/>
  <c r="AP115" i="31"/>
  <c r="E110" i="39"/>
  <c r="AR110" i="39"/>
  <c r="BK67" i="37"/>
  <c r="E93" i="19"/>
  <c r="E95" i="29"/>
  <c r="AR95" i="29" s="1"/>
  <c r="E103" i="29"/>
  <c r="U77" i="25"/>
  <c r="U116" i="25" s="1"/>
  <c r="G89" i="23"/>
  <c r="G77" i="22"/>
  <c r="E94" i="22"/>
  <c r="E109" i="22"/>
  <c r="E93" i="34"/>
  <c r="AP77" i="34"/>
  <c r="AP116" i="34" s="1"/>
  <c r="E95" i="32"/>
  <c r="AR95" i="32" s="1"/>
  <c r="AH77" i="32"/>
  <c r="E103" i="38"/>
  <c r="AR103" i="38" s="1"/>
  <c r="AE103" i="38" s="1"/>
  <c r="R25" i="37"/>
  <c r="R67" i="37" s="1"/>
  <c r="D148" i="46" s="1"/>
  <c r="L97" i="37"/>
  <c r="V64" i="38"/>
  <c r="AE63" i="38"/>
  <c r="AU10" i="38"/>
  <c r="AU9" i="38" s="1"/>
  <c r="AU8" i="38" s="1"/>
  <c r="AD78" i="38"/>
  <c r="AD77" i="38" s="1"/>
  <c r="BG10" i="30"/>
  <c r="BG9" i="30" s="1"/>
  <c r="BG8" i="30" s="1"/>
  <c r="BG67" i="30" s="1"/>
  <c r="BM62" i="30" s="1"/>
  <c r="BN62" i="30" s="1"/>
  <c r="AP78" i="30"/>
  <c r="V21" i="34"/>
  <c r="AE18" i="34"/>
  <c r="L78" i="32"/>
  <c r="R9" i="32"/>
  <c r="R78" i="31"/>
  <c r="R77" i="31" s="1"/>
  <c r="X10" i="31"/>
  <c r="X9" i="31" s="1"/>
  <c r="X8" i="31" s="1"/>
  <c r="X67" i="31" s="1"/>
  <c r="D20" i="54" s="1"/>
  <c r="AB78" i="31"/>
  <c r="AB77" i="31" s="1"/>
  <c r="AS10" i="31"/>
  <c r="AS9" i="31" s="1"/>
  <c r="AS8" i="31" s="1"/>
  <c r="AJ97" i="31"/>
  <c r="F111" i="31"/>
  <c r="E111" i="31"/>
  <c r="AR111" i="31"/>
  <c r="F59" i="31"/>
  <c r="E59" i="31" s="1"/>
  <c r="BL59" i="31" s="1"/>
  <c r="BH34" i="31"/>
  <c r="AQ97" i="31"/>
  <c r="BB25" i="39"/>
  <c r="V57" i="39"/>
  <c r="F33" i="39"/>
  <c r="E33" i="39" s="1"/>
  <c r="BL33" i="39" s="1"/>
  <c r="AD33" i="39" s="1"/>
  <c r="AD10" i="39"/>
  <c r="AD9" i="39" s="1"/>
  <c r="AD8" i="39" s="1"/>
  <c r="AD67" i="39" s="1"/>
  <c r="X78" i="39"/>
  <c r="X77" i="39" s="1"/>
  <c r="F89" i="38"/>
  <c r="G26" i="38"/>
  <c r="N67" i="37"/>
  <c r="I115" i="37"/>
  <c r="W10" i="40"/>
  <c r="W9" i="40" s="1"/>
  <c r="W8" i="40" s="1"/>
  <c r="W67" i="40" s="1"/>
  <c r="Q78" i="40"/>
  <c r="U78" i="30"/>
  <c r="P25" i="30"/>
  <c r="J97" i="30"/>
  <c r="F64" i="32"/>
  <c r="AV10" i="37"/>
  <c r="AV9" i="37"/>
  <c r="AV8" i="37" s="1"/>
  <c r="AV67" i="37" s="1"/>
  <c r="AE78" i="37"/>
  <c r="AE77" i="37"/>
  <c r="AE116" i="37" s="1"/>
  <c r="AV10" i="40"/>
  <c r="AV9" i="40" s="1"/>
  <c r="AV8" i="40"/>
  <c r="AV67" i="40" s="1"/>
  <c r="D21" i="70" s="1"/>
  <c r="AE78" i="40"/>
  <c r="AE77" i="40" s="1"/>
  <c r="D480" i="47"/>
  <c r="AQ25" i="33"/>
  <c r="W77" i="32"/>
  <c r="W116" i="32"/>
  <c r="N88" i="31"/>
  <c r="E110" i="31"/>
  <c r="AR110" i="31" s="1"/>
  <c r="E92" i="30"/>
  <c r="AR92" i="30" s="1"/>
  <c r="E104" i="30"/>
  <c r="E94" i="40"/>
  <c r="AR94" i="40" s="1"/>
  <c r="V20" i="21"/>
  <c r="Y110" i="40"/>
  <c r="AG78" i="31"/>
  <c r="AG77" i="31"/>
  <c r="AX10" i="31"/>
  <c r="AX9" i="31" s="1"/>
  <c r="AX8" i="31" s="1"/>
  <c r="AH97" i="31"/>
  <c r="AL97" i="31"/>
  <c r="AN97" i="31"/>
  <c r="K78" i="38"/>
  <c r="Q10" i="38"/>
  <c r="Q9" i="38"/>
  <c r="R10" i="38"/>
  <c r="R9" i="38" s="1"/>
  <c r="L78" i="38"/>
  <c r="E79" i="37"/>
  <c r="K78" i="37"/>
  <c r="Q10" i="37"/>
  <c r="O11" i="37"/>
  <c r="L78" i="37"/>
  <c r="R10" i="37"/>
  <c r="R9" i="37"/>
  <c r="AD10" i="37"/>
  <c r="AD9" i="37"/>
  <c r="AD8" i="37" s="1"/>
  <c r="X78" i="37"/>
  <c r="X77" i="37" s="1"/>
  <c r="Z10" i="39"/>
  <c r="Z9" i="39" s="1"/>
  <c r="Z8" i="39" s="1"/>
  <c r="Z67" i="39" s="1"/>
  <c r="BM29" i="39" s="1"/>
  <c r="BN29" i="39" s="1"/>
  <c r="Z68" i="39" s="1"/>
  <c r="T78" i="39"/>
  <c r="H25" i="37"/>
  <c r="G26" i="37"/>
  <c r="BL15" i="37"/>
  <c r="L15" i="37" s="1"/>
  <c r="AX10" i="30"/>
  <c r="AX9" i="30" s="1"/>
  <c r="AX8" i="30" s="1"/>
  <c r="AX67" i="30" s="1"/>
  <c r="AG78" i="30"/>
  <c r="AG77" i="30"/>
  <c r="AQ96" i="30"/>
  <c r="G29" i="30"/>
  <c r="H18" i="33"/>
  <c r="V23" i="38"/>
  <c r="Y86" i="38"/>
  <c r="BJ25" i="24"/>
  <c r="P67" i="22"/>
  <c r="D15" i="41" s="1"/>
  <c r="P9" i="22"/>
  <c r="F106" i="34"/>
  <c r="E106" i="34" s="1"/>
  <c r="AR106" i="34" s="1"/>
  <c r="AA77" i="32"/>
  <c r="AM77" i="31"/>
  <c r="E98" i="30"/>
  <c r="E102" i="30"/>
  <c r="AH77" i="30"/>
  <c r="E108" i="30"/>
  <c r="AJ77" i="30"/>
  <c r="AJ116" i="30" s="1"/>
  <c r="E109" i="30"/>
  <c r="AR109" i="30" s="1"/>
  <c r="AC77" i="38"/>
  <c r="AA67" i="39"/>
  <c r="Y96" i="38"/>
  <c r="G50" i="38"/>
  <c r="F50" i="38"/>
  <c r="E50" i="38" s="1"/>
  <c r="BL50" i="38" s="1"/>
  <c r="AU50" i="38" s="1"/>
  <c r="V50" i="38" s="1"/>
  <c r="F102" i="38"/>
  <c r="E102" i="38" s="1"/>
  <c r="AR102" i="38" s="1"/>
  <c r="AD102" i="38" s="1"/>
  <c r="G62" i="30"/>
  <c r="F62" i="30" s="1"/>
  <c r="E62" i="30" s="1"/>
  <c r="BL62" i="30" s="1"/>
  <c r="BG62" i="30" s="1"/>
  <c r="F114" i="30"/>
  <c r="E114" i="30" s="1"/>
  <c r="AR114" i="30" s="1"/>
  <c r="AP114" i="30" s="1"/>
  <c r="G23" i="32"/>
  <c r="F23" i="32" s="1"/>
  <c r="BL23" i="32" s="1"/>
  <c r="T23" i="32" s="1"/>
  <c r="T8" i="32" s="1"/>
  <c r="T7" i="32" s="1"/>
  <c r="F86" i="32"/>
  <c r="AE78" i="30"/>
  <c r="AE77" i="30" s="1"/>
  <c r="H34" i="25"/>
  <c r="V20" i="22"/>
  <c r="AE18" i="22"/>
  <c r="G58" i="37"/>
  <c r="F58" i="37"/>
  <c r="E58" i="37" s="1"/>
  <c r="BL58" i="37" s="1"/>
  <c r="F110" i="37"/>
  <c r="E110" i="37" s="1"/>
  <c r="AR110" i="37" s="1"/>
  <c r="AL110" i="37" s="1"/>
  <c r="K78" i="32"/>
  <c r="Q10" i="32"/>
  <c r="P9" i="31"/>
  <c r="O78" i="31"/>
  <c r="U10" i="31"/>
  <c r="U9" i="31" s="1"/>
  <c r="U67" i="31" s="1"/>
  <c r="Y87" i="31"/>
  <c r="V24" i="31"/>
  <c r="Z78" i="31"/>
  <c r="AQ10" i="31"/>
  <c r="AQ9" i="31" s="1"/>
  <c r="G47" i="31"/>
  <c r="F47" i="31"/>
  <c r="E47" i="31" s="1"/>
  <c r="BL47" i="31" s="1"/>
  <c r="AR47" i="31" s="1"/>
  <c r="F99" i="31"/>
  <c r="E99" i="31" s="1"/>
  <c r="K78" i="39"/>
  <c r="AE35" i="37"/>
  <c r="V35" i="37"/>
  <c r="AF34" i="37"/>
  <c r="AF25" i="37" s="1"/>
  <c r="T78" i="37"/>
  <c r="T77" i="37" s="1"/>
  <c r="Z10" i="37"/>
  <c r="Z9" i="37" s="1"/>
  <c r="Z8" i="37" s="1"/>
  <c r="AQ96" i="40"/>
  <c r="O97" i="39"/>
  <c r="AQ92" i="38"/>
  <c r="AQ10" i="39"/>
  <c r="AQ9" i="39" s="1"/>
  <c r="AQ8" i="39" s="1"/>
  <c r="Z78" i="39"/>
  <c r="V64" i="21"/>
  <c r="V63" i="21" s="1"/>
  <c r="Q10" i="29"/>
  <c r="Q9" i="29" s="1"/>
  <c r="Q10" i="28"/>
  <c r="R10" i="27"/>
  <c r="R9" i="27" s="1"/>
  <c r="R10" i="26"/>
  <c r="R9" i="26" s="1"/>
  <c r="Q10" i="24"/>
  <c r="Q10" i="22"/>
  <c r="Q9" i="22" s="1"/>
  <c r="AC98" i="21"/>
  <c r="R10" i="34"/>
  <c r="R9" i="34"/>
  <c r="AE77" i="32"/>
  <c r="AG77" i="32"/>
  <c r="AG116" i="32" s="1"/>
  <c r="V23" i="31"/>
  <c r="AQ79" i="31"/>
  <c r="K11" i="40"/>
  <c r="K10" i="40" s="1"/>
  <c r="K9" i="40" s="1"/>
  <c r="K8" i="40" s="1"/>
  <c r="K7" i="40" s="1"/>
  <c r="E93" i="40"/>
  <c r="BL15" i="39"/>
  <c r="L15" i="39" s="1"/>
  <c r="G15" i="39" s="1"/>
  <c r="F15" i="39" s="1"/>
  <c r="E15" i="39" s="1"/>
  <c r="BK67" i="38"/>
  <c r="BG67" i="39"/>
  <c r="BM62" i="39" s="1"/>
  <c r="BN62" i="39" s="1"/>
  <c r="V20" i="31"/>
  <c r="BL14" i="31"/>
  <c r="K14" i="31" s="1"/>
  <c r="BI25" i="38"/>
  <c r="AB10" i="38"/>
  <c r="AB9" i="38" s="1"/>
  <c r="AB8" i="38" s="1"/>
  <c r="V78" i="38"/>
  <c r="F82" i="38"/>
  <c r="G65" i="25"/>
  <c r="H63" i="25"/>
  <c r="G29" i="29"/>
  <c r="F92" i="29"/>
  <c r="E92" i="29" s="1"/>
  <c r="AR92" i="29" s="1"/>
  <c r="T92" i="29" s="1"/>
  <c r="Z10" i="29"/>
  <c r="Z9" i="29" s="1"/>
  <c r="Z8" i="29" s="1"/>
  <c r="Z67" i="29" s="1"/>
  <c r="T78" i="29"/>
  <c r="D131" i="46"/>
  <c r="G12" i="84"/>
  <c r="O88" i="38"/>
  <c r="O116" i="38" s="1"/>
  <c r="E110" i="38"/>
  <c r="AR110" i="38" s="1"/>
  <c r="AL110" i="38" s="1"/>
  <c r="E111" i="38"/>
  <c r="AR111" i="38"/>
  <c r="AM111" i="38" s="1"/>
  <c r="AN77" i="37"/>
  <c r="AN116" i="37" s="1"/>
  <c r="K67" i="39"/>
  <c r="J67" i="39"/>
  <c r="BJ8" i="37"/>
  <c r="BJ67" i="37" s="1"/>
  <c r="E93" i="24"/>
  <c r="AR93" i="24" s="1"/>
  <c r="T93" i="24" s="1"/>
  <c r="P93" i="24" s="1"/>
  <c r="F64" i="37"/>
  <c r="N25" i="39"/>
  <c r="N67" i="39" s="1"/>
  <c r="D96" i="46" s="1"/>
  <c r="I97" i="39"/>
  <c r="G21" i="39"/>
  <c r="F21" i="39"/>
  <c r="F83" i="39"/>
  <c r="AS10" i="39"/>
  <c r="AS9" i="39" s="1"/>
  <c r="AS8" i="39" s="1"/>
  <c r="AB78" i="39"/>
  <c r="G33" i="38"/>
  <c r="F33" i="38" s="1"/>
  <c r="E33" i="38" s="1"/>
  <c r="BL33" i="38" s="1"/>
  <c r="AD33" i="38" s="1"/>
  <c r="F96" i="38"/>
  <c r="AD10" i="38"/>
  <c r="AD9" i="38"/>
  <c r="AD8" i="38"/>
  <c r="X78" i="38"/>
  <c r="Q25" i="38"/>
  <c r="Q67" i="38"/>
  <c r="K97" i="38"/>
  <c r="F39" i="37"/>
  <c r="BL39" i="27"/>
  <c r="AJ39" i="27" s="1"/>
  <c r="G30" i="19"/>
  <c r="K68" i="23"/>
  <c r="BM14" i="23" s="1"/>
  <c r="BN14" i="23" s="1"/>
  <c r="AR87" i="39"/>
  <c r="O87" i="39" s="1"/>
  <c r="E87" i="39" s="1"/>
  <c r="E112" i="38"/>
  <c r="AR112" i="38" s="1"/>
  <c r="E111" i="37"/>
  <c r="AR111" i="37" s="1"/>
  <c r="AM111" i="37" s="1"/>
  <c r="BL29" i="37"/>
  <c r="Z29" i="37" s="1"/>
  <c r="Z25" i="37" s="1"/>
  <c r="BE8" i="37"/>
  <c r="BL23" i="38"/>
  <c r="T23" i="38" s="1"/>
  <c r="G28" i="40"/>
  <c r="V66" i="30"/>
  <c r="K9" i="84"/>
  <c r="BJ25" i="23"/>
  <c r="I20" i="84"/>
  <c r="AN9" i="84"/>
  <c r="Z8" i="38"/>
  <c r="AD8" i="30"/>
  <c r="R67" i="32"/>
  <c r="D142" i="46" s="1"/>
  <c r="V20" i="37"/>
  <c r="G66" i="34"/>
  <c r="F66" i="34" s="1"/>
  <c r="BJ25" i="21"/>
  <c r="E81" i="48"/>
  <c r="H11" i="58" s="1"/>
  <c r="X8" i="37"/>
  <c r="X67" i="37" s="1"/>
  <c r="P67" i="30"/>
  <c r="D21" i="41" s="1"/>
  <c r="Z10" i="24"/>
  <c r="Z9" i="24" s="1"/>
  <c r="Z8" i="24" s="1"/>
  <c r="T79" i="24"/>
  <c r="H18" i="27"/>
  <c r="G18" i="27" s="1"/>
  <c r="F18" i="27" s="1"/>
  <c r="I67" i="27"/>
  <c r="D23" i="84"/>
  <c r="AJ9" i="84"/>
  <c r="D30" i="48"/>
  <c r="H19" i="62"/>
  <c r="H8" i="62"/>
  <c r="AJ8" i="34"/>
  <c r="AD8" i="28"/>
  <c r="S67" i="34"/>
  <c r="D18" i="50" s="1"/>
  <c r="BM59" i="19"/>
  <c r="BN59" i="19" s="1"/>
  <c r="BD68" i="19" s="1"/>
  <c r="D430" i="47"/>
  <c r="E208" i="48"/>
  <c r="H18" i="67" s="1"/>
  <c r="E92" i="28"/>
  <c r="BD8" i="37"/>
  <c r="BD67" i="37"/>
  <c r="AX8" i="39"/>
  <c r="AX67" i="39" s="1"/>
  <c r="T67" i="22"/>
  <c r="BM23" i="22" s="1"/>
  <c r="BN23" i="22" s="1"/>
  <c r="D29" i="48"/>
  <c r="C10" i="46"/>
  <c r="C12" i="83" s="1"/>
  <c r="E92" i="34"/>
  <c r="AR92" i="34" s="1"/>
  <c r="T92" i="34" s="1"/>
  <c r="E93" i="21"/>
  <c r="E92" i="22"/>
  <c r="AR92" i="22"/>
  <c r="T92" i="22" s="1"/>
  <c r="E92" i="25"/>
  <c r="E92" i="19"/>
  <c r="AR92" i="19" s="1"/>
  <c r="BF67" i="39"/>
  <c r="I67" i="38"/>
  <c r="Y8" i="23"/>
  <c r="Y68" i="23" s="1"/>
  <c r="D62" i="47" s="1"/>
  <c r="BL62" i="27"/>
  <c r="BL53" i="27"/>
  <c r="Y8" i="19"/>
  <c r="Y67" i="19" s="1"/>
  <c r="D55" i="47" s="1"/>
  <c r="BL23" i="22"/>
  <c r="T23" i="22"/>
  <c r="T8" i="22" s="1"/>
  <c r="T7" i="22" s="1"/>
  <c r="N67" i="27"/>
  <c r="T67" i="19"/>
  <c r="D91" i="48"/>
  <c r="D206" i="48"/>
  <c r="BM45" i="21"/>
  <c r="BN45" i="21" s="1"/>
  <c r="C20" i="74"/>
  <c r="C12" i="74"/>
  <c r="BL30" i="24"/>
  <c r="AK67" i="25"/>
  <c r="BM40" i="25" s="1"/>
  <c r="BN40" i="25" s="1"/>
  <c r="BL30" i="27"/>
  <c r="AQ67" i="29"/>
  <c r="D156" i="47" s="1"/>
  <c r="BL23" i="27"/>
  <c r="T23" i="27" s="1"/>
  <c r="P67" i="27"/>
  <c r="D10" i="41" s="1"/>
  <c r="AI67" i="37"/>
  <c r="H34" i="19"/>
  <c r="F97" i="19" s="1"/>
  <c r="G39" i="19"/>
  <c r="D35" i="84"/>
  <c r="D47" i="48"/>
  <c r="C16" i="62"/>
  <c r="E23" i="70"/>
  <c r="F23" i="69"/>
  <c r="BF8" i="34"/>
  <c r="BF67" i="34" s="1"/>
  <c r="D16" i="77" s="1"/>
  <c r="AJ8" i="23"/>
  <c r="AJ68" i="23" s="1"/>
  <c r="AJ8" i="19"/>
  <c r="T67" i="34"/>
  <c r="J67" i="34"/>
  <c r="K68" i="24"/>
  <c r="BM14" i="24" s="1"/>
  <c r="BN14" i="24" s="1"/>
  <c r="J67" i="27"/>
  <c r="Q67" i="28"/>
  <c r="X8" i="84"/>
  <c r="T9" i="84"/>
  <c r="E189" i="48"/>
  <c r="G22" i="68"/>
  <c r="X8" i="22"/>
  <c r="X67" i="22" s="1"/>
  <c r="D15" i="54" s="1"/>
  <c r="W8" i="25"/>
  <c r="BF8" i="29"/>
  <c r="BG8" i="19"/>
  <c r="BG67" i="19" s="1"/>
  <c r="BM62" i="19" s="1"/>
  <c r="BN62" i="19" s="1"/>
  <c r="BG68" i="19" s="1"/>
  <c r="BL21" i="34"/>
  <c r="BM21" i="34"/>
  <c r="BN21" i="34" s="1"/>
  <c r="P68" i="24"/>
  <c r="K67" i="28"/>
  <c r="AF8" i="27"/>
  <c r="AF67" i="27" s="1"/>
  <c r="AH8" i="29"/>
  <c r="AH67" i="29" s="1"/>
  <c r="C8" i="61"/>
  <c r="C14" i="62"/>
  <c r="D6" i="68"/>
  <c r="D8" i="68"/>
  <c r="C11" i="67"/>
  <c r="J67" i="19"/>
  <c r="F24" i="84"/>
  <c r="BL24" i="30"/>
  <c r="H21" i="49" s="1"/>
  <c r="BL32" i="19"/>
  <c r="BL32" i="40"/>
  <c r="H19" i="84"/>
  <c r="M67" i="26"/>
  <c r="D59" i="46" s="1"/>
  <c r="T67" i="27"/>
  <c r="BM23" i="27" s="1"/>
  <c r="BN23" i="27" s="1"/>
  <c r="N67" i="19"/>
  <c r="AQ13" i="84"/>
  <c r="AQ29" i="84"/>
  <c r="H45" i="84"/>
  <c r="F35" i="84"/>
  <c r="AF8" i="24"/>
  <c r="AF68" i="24" s="1"/>
  <c r="AF8" i="34"/>
  <c r="AN68" i="21"/>
  <c r="D158" i="48" s="1"/>
  <c r="BL28" i="30"/>
  <c r="AO8" i="38"/>
  <c r="AO67" i="38" s="1"/>
  <c r="AP8" i="24"/>
  <c r="AP68" i="24" s="1"/>
  <c r="D13" i="67" s="1"/>
  <c r="BL28" i="24"/>
  <c r="BL31" i="27"/>
  <c r="BL32" i="38"/>
  <c r="AC32" i="38" s="1"/>
  <c r="BL36" i="32"/>
  <c r="BL36" i="22"/>
  <c r="AG36" i="22" s="1"/>
  <c r="AG34" i="22" s="1"/>
  <c r="AG25" i="22" s="1"/>
  <c r="BL36" i="26"/>
  <c r="BL41" i="19"/>
  <c r="AL41" i="19" s="1"/>
  <c r="AL34" i="19" s="1"/>
  <c r="AL25" i="19" s="1"/>
  <c r="BL41" i="40"/>
  <c r="BL42" i="33"/>
  <c r="AM42" i="33" s="1"/>
  <c r="AE42" i="33" s="1"/>
  <c r="V42" i="33" s="1"/>
  <c r="BL42" i="23"/>
  <c r="E132" i="48" s="1"/>
  <c r="E14" i="63" s="1"/>
  <c r="BL42" i="27"/>
  <c r="D7" i="68"/>
  <c r="D11" i="68"/>
  <c r="D15" i="68"/>
  <c r="D19" i="68"/>
  <c r="BL51" i="39"/>
  <c r="BL51" i="30"/>
  <c r="BL54" i="30"/>
  <c r="BL29" i="34"/>
  <c r="Z29" i="34" s="1"/>
  <c r="C7" i="61"/>
  <c r="G61" i="26"/>
  <c r="F61" i="26" s="1"/>
  <c r="E61" i="26" s="1"/>
  <c r="E11" i="83"/>
  <c r="G61" i="32"/>
  <c r="F61" i="32" s="1"/>
  <c r="E61" i="32" s="1"/>
  <c r="E19" i="83"/>
  <c r="AO8" i="40"/>
  <c r="AO67" i="40" s="1"/>
  <c r="D188" i="48" s="1"/>
  <c r="AP8" i="19"/>
  <c r="AP67" i="19" s="1"/>
  <c r="D7" i="67" s="1"/>
  <c r="AP8" i="22"/>
  <c r="AP67" i="22" s="1"/>
  <c r="BM45" i="22" s="1"/>
  <c r="BN45" i="22" s="1"/>
  <c r="AP8" i="32"/>
  <c r="AP67" i="32" s="1"/>
  <c r="BL31" i="19"/>
  <c r="BL31" i="37"/>
  <c r="BL36" i="34"/>
  <c r="BL36" i="24"/>
  <c r="E35" i="48" s="1"/>
  <c r="H14" i="60" s="1"/>
  <c r="BL36" i="28"/>
  <c r="BL41" i="38"/>
  <c r="E118" i="48" s="1"/>
  <c r="BL42" i="21"/>
  <c r="E134" i="48" s="1"/>
  <c r="BL42" i="25"/>
  <c r="AM42" i="25" s="1"/>
  <c r="BL42" i="29"/>
  <c r="E126" i="48" s="1"/>
  <c r="BL52" i="19"/>
  <c r="F24" i="49"/>
  <c r="BL26" i="32"/>
  <c r="BL26" i="26"/>
  <c r="BL46" i="39"/>
  <c r="E171" i="47" s="1"/>
  <c r="N23" i="66" s="1"/>
  <c r="BL46" i="32"/>
  <c r="E167" i="47" s="1"/>
  <c r="N19" i="66" s="1"/>
  <c r="BL46" i="29"/>
  <c r="BL51" i="33"/>
  <c r="BL52" i="27"/>
  <c r="BL52" i="28"/>
  <c r="AW52" i="28" s="1"/>
  <c r="BL54" i="24"/>
  <c r="BL54" i="25"/>
  <c r="BL55" i="24"/>
  <c r="BL57" i="30"/>
  <c r="E394" i="47" s="1"/>
  <c r="H21" i="73" s="1"/>
  <c r="BL21" i="25"/>
  <c r="G12" i="51" s="1"/>
  <c r="BL28" i="29"/>
  <c r="E56" i="47" s="1"/>
  <c r="V7" i="53"/>
  <c r="BL31" i="40"/>
  <c r="BL31" i="32"/>
  <c r="BL32" i="39"/>
  <c r="E121" i="47"/>
  <c r="H23" i="56" s="1"/>
  <c r="BL32" i="32"/>
  <c r="E117" i="47" s="1"/>
  <c r="H19" i="56" s="1"/>
  <c r="BL32" i="21"/>
  <c r="BL38" i="19"/>
  <c r="BL38" i="37"/>
  <c r="AI38" i="37" s="1"/>
  <c r="AI34" i="37" s="1"/>
  <c r="AI25" i="37" s="1"/>
  <c r="AI7" i="37" s="1"/>
  <c r="BL38" i="38"/>
  <c r="BL38" i="39"/>
  <c r="BL38" i="40"/>
  <c r="BL38" i="30"/>
  <c r="BL44" i="32"/>
  <c r="E185" i="48" s="1"/>
  <c r="G18" i="68" s="1"/>
  <c r="BL44" i="33"/>
  <c r="AO44" i="33" s="1"/>
  <c r="AO34" i="33" s="1"/>
  <c r="AO25" i="33" s="1"/>
  <c r="AO7" i="33" s="1"/>
  <c r="BL44" i="34"/>
  <c r="BL44" i="21"/>
  <c r="E182" i="48" s="1"/>
  <c r="G15" i="68" s="1"/>
  <c r="BL44" i="22"/>
  <c r="BL44" i="23"/>
  <c r="AO44" i="23" s="1"/>
  <c r="AE44" i="23" s="1"/>
  <c r="V44" i="23" s="1"/>
  <c r="BL44" i="24"/>
  <c r="AO44" i="24" s="1"/>
  <c r="AO34" i="24" s="1"/>
  <c r="AO25" i="24" s="1"/>
  <c r="BL44" i="25"/>
  <c r="E178" i="48" s="1"/>
  <c r="BL44" i="26"/>
  <c r="AO44" i="26" s="1"/>
  <c r="AO34" i="26" s="1"/>
  <c r="AO25" i="26" s="1"/>
  <c r="BL44" i="27"/>
  <c r="BL44" i="28"/>
  <c r="E175" i="48" s="1"/>
  <c r="BL44" i="29"/>
  <c r="BL46" i="26"/>
  <c r="BL46" i="27"/>
  <c r="BL51" i="27"/>
  <c r="BL51" i="28"/>
  <c r="E257" i="47" s="1"/>
  <c r="BL52" i="39"/>
  <c r="E296" i="47" s="1"/>
  <c r="BL57" i="32"/>
  <c r="BL59" i="34"/>
  <c r="BL59" i="22"/>
  <c r="F16" i="72"/>
  <c r="BL56" i="34"/>
  <c r="E365" i="47"/>
  <c r="BL56" i="21"/>
  <c r="BL56" i="26"/>
  <c r="BL57" i="19"/>
  <c r="BL57" i="24"/>
  <c r="E386" i="47" s="1"/>
  <c r="H13" i="73" s="1"/>
  <c r="BL58" i="38"/>
  <c r="G61" i="28"/>
  <c r="F61" i="28" s="1"/>
  <c r="E9" i="83"/>
  <c r="D9" i="83" s="1"/>
  <c r="G61" i="34"/>
  <c r="E17" i="83"/>
  <c r="BL46" i="38"/>
  <c r="BL48" i="19"/>
  <c r="BL48" i="37"/>
  <c r="BL48" i="38"/>
  <c r="BL48" i="39"/>
  <c r="E196" i="47" s="1"/>
  <c r="BL48" i="40"/>
  <c r="BL48" i="30"/>
  <c r="BL49" i="38"/>
  <c r="E222" i="47" s="1"/>
  <c r="BL50" i="27"/>
  <c r="E233" i="47" s="1"/>
  <c r="BL51" i="40"/>
  <c r="E270" i="47" s="1"/>
  <c r="H21" i="70" s="1"/>
  <c r="BL51" i="32"/>
  <c r="E267" i="47" s="1"/>
  <c r="BL52" i="40"/>
  <c r="E295" i="47" s="1"/>
  <c r="G21" i="69" s="1"/>
  <c r="BL52" i="32"/>
  <c r="E292" i="47" s="1"/>
  <c r="G18" i="69" s="1"/>
  <c r="BL54" i="28"/>
  <c r="BL55" i="28"/>
  <c r="AZ55" i="28" s="1"/>
  <c r="AZ25" i="28" s="1"/>
  <c r="BL56" i="30"/>
  <c r="E369" i="47" s="1"/>
  <c r="H20" i="74" s="1"/>
  <c r="BL56" i="32"/>
  <c r="E367" i="47" s="1"/>
  <c r="BL56" i="23"/>
  <c r="BL57" i="26"/>
  <c r="BL57" i="27"/>
  <c r="BL58" i="40"/>
  <c r="BL58" i="30"/>
  <c r="BC58" i="30" s="1"/>
  <c r="V58" i="30" s="1"/>
  <c r="BL58" i="28"/>
  <c r="BL58" i="29"/>
  <c r="G61" i="24"/>
  <c r="F61" i="24" s="1"/>
  <c r="E61" i="24" s="1"/>
  <c r="BL61" i="24" s="1"/>
  <c r="E13" i="83"/>
  <c r="D13" i="83" s="1"/>
  <c r="E25" i="82"/>
  <c r="D8" i="82"/>
  <c r="D12" i="82"/>
  <c r="D16" i="82"/>
  <c r="D20" i="82"/>
  <c r="D24" i="82"/>
  <c r="G61" i="22"/>
  <c r="F61" i="22" s="1"/>
  <c r="E15" i="83"/>
  <c r="BL59" i="21"/>
  <c r="BL59" i="24"/>
  <c r="E23" i="78"/>
  <c r="F23" i="77"/>
  <c r="E184" i="48"/>
  <c r="G17" i="68" s="1"/>
  <c r="E282" i="47"/>
  <c r="AG36" i="34"/>
  <c r="AE36" i="34" s="1"/>
  <c r="V36" i="34" s="1"/>
  <c r="E37" i="48"/>
  <c r="H16" i="60" s="1"/>
  <c r="AF67" i="34"/>
  <c r="AA30" i="27"/>
  <c r="V30" i="27" s="1"/>
  <c r="E39" i="37"/>
  <c r="BL39" i="37" s="1"/>
  <c r="E419" i="47"/>
  <c r="H21" i="79" s="1"/>
  <c r="AV51" i="40"/>
  <c r="V51" i="40" s="1"/>
  <c r="F61" i="34"/>
  <c r="E61" i="34" s="1"/>
  <c r="BA56" i="26"/>
  <c r="BA25" i="26" s="1"/>
  <c r="H8" i="70"/>
  <c r="E177" i="48"/>
  <c r="G10" i="68" s="1"/>
  <c r="E181" i="48"/>
  <c r="G14" i="68" s="1"/>
  <c r="AO44" i="22"/>
  <c r="AO34" i="22" s="1"/>
  <c r="AO25" i="22" s="1"/>
  <c r="E93" i="48"/>
  <c r="H23" i="58" s="1"/>
  <c r="AI38" i="39"/>
  <c r="AI34" i="39" s="1"/>
  <c r="AI25" i="39" s="1"/>
  <c r="E114" i="47"/>
  <c r="H16" i="56" s="1"/>
  <c r="AY54" i="24"/>
  <c r="AY25" i="24" s="1"/>
  <c r="AY7" i="24" s="1"/>
  <c r="E41" i="48"/>
  <c r="E61" i="47"/>
  <c r="V9" i="53" s="1"/>
  <c r="D80" i="46"/>
  <c r="D83" i="46"/>
  <c r="E180" i="47"/>
  <c r="H6" i="65" s="1"/>
  <c r="AS48" i="19"/>
  <c r="V48" i="19" s="1"/>
  <c r="AB31" i="32"/>
  <c r="V31" i="32" s="1"/>
  <c r="E9" i="47"/>
  <c r="H11" i="55" s="1"/>
  <c r="E172" i="47"/>
  <c r="N24" i="66"/>
  <c r="AQ46" i="38"/>
  <c r="E179" i="48"/>
  <c r="G12" i="68"/>
  <c r="AC25" i="39"/>
  <c r="E135" i="46"/>
  <c r="AQ46" i="32"/>
  <c r="AG36" i="24"/>
  <c r="AG34" i="24" s="1"/>
  <c r="AG25" i="24" s="1"/>
  <c r="D33" i="46"/>
  <c r="E180" i="48"/>
  <c r="AI38" i="19"/>
  <c r="AQ46" i="39"/>
  <c r="AQ25" i="39" s="1"/>
  <c r="V46" i="39"/>
  <c r="R21" i="34"/>
  <c r="T77" i="29"/>
  <c r="T116" i="29" s="1"/>
  <c r="AS92" i="29" s="1"/>
  <c r="E406" i="47"/>
  <c r="H8" i="79" s="1"/>
  <c r="BC58" i="29"/>
  <c r="BC25" i="29" s="1"/>
  <c r="E383" i="47"/>
  <c r="H10" i="73" s="1"/>
  <c r="BB57" i="27"/>
  <c r="V57" i="27" s="1"/>
  <c r="AW52" i="40"/>
  <c r="AO44" i="28"/>
  <c r="AE44" i="28" s="1"/>
  <c r="V44" i="28" s="1"/>
  <c r="E95" i="48"/>
  <c r="AW52" i="32"/>
  <c r="AW25" i="32" s="1"/>
  <c r="AW7" i="32" s="1"/>
  <c r="AT49" i="38"/>
  <c r="V49" i="38" s="1"/>
  <c r="E197" i="47"/>
  <c r="AS48" i="38"/>
  <c r="E422" i="47"/>
  <c r="BC58" i="38"/>
  <c r="E364" i="47"/>
  <c r="BA56" i="21"/>
  <c r="BA25" i="21" s="1"/>
  <c r="E158" i="47"/>
  <c r="N10" i="66" s="1"/>
  <c r="AQ46" i="27"/>
  <c r="V46" i="27" s="1"/>
  <c r="AC32" i="32"/>
  <c r="Y28" i="29"/>
  <c r="AB31" i="37"/>
  <c r="AB25" i="37"/>
  <c r="AK68" i="21"/>
  <c r="T78" i="24"/>
  <c r="T117" i="24" s="1"/>
  <c r="AS93" i="24" s="1"/>
  <c r="AQ98" i="23"/>
  <c r="BH25" i="23"/>
  <c r="Z67" i="38"/>
  <c r="AG116" i="30"/>
  <c r="D165" i="46"/>
  <c r="F65" i="25"/>
  <c r="E65" i="25" s="1"/>
  <c r="G63" i="25"/>
  <c r="AM116" i="31"/>
  <c r="O10" i="37"/>
  <c r="Q9" i="37"/>
  <c r="BF67" i="29"/>
  <c r="AJ67" i="19"/>
  <c r="D47" i="46"/>
  <c r="BM61" i="39"/>
  <c r="BN61" i="39" s="1"/>
  <c r="AR92" i="28"/>
  <c r="T92" i="28" s="1"/>
  <c r="D119" i="46"/>
  <c r="F30" i="19"/>
  <c r="E30" i="19" s="1"/>
  <c r="BL30" i="19" s="1"/>
  <c r="F115" i="25"/>
  <c r="F28" i="40"/>
  <c r="BE67" i="37"/>
  <c r="D98" i="46"/>
  <c r="O10" i="34"/>
  <c r="Q9" i="34"/>
  <c r="Q9" i="24"/>
  <c r="Q9" i="28"/>
  <c r="F39" i="25"/>
  <c r="F34" i="25" s="1"/>
  <c r="G34" i="25"/>
  <c r="E89" i="37"/>
  <c r="Y115" i="38"/>
  <c r="D8" i="37"/>
  <c r="F9" i="37"/>
  <c r="O10" i="22"/>
  <c r="H25" i="25"/>
  <c r="F97" i="25"/>
  <c r="AH116" i="30"/>
  <c r="F29" i="30"/>
  <c r="E29" i="30" s="1"/>
  <c r="BL29" i="30" s="1"/>
  <c r="Z29" i="30" s="1"/>
  <c r="E64" i="32"/>
  <c r="E26" i="26"/>
  <c r="Z116" i="29"/>
  <c r="AS98" i="29" s="1"/>
  <c r="Z117" i="29" s="1"/>
  <c r="R9" i="19"/>
  <c r="E61" i="22"/>
  <c r="BL61" i="22" s="1"/>
  <c r="G22" i="69"/>
  <c r="AQ25" i="38"/>
  <c r="V46" i="38"/>
  <c r="H18" i="74"/>
  <c r="BM35" i="27"/>
  <c r="BN35" i="27" s="1"/>
  <c r="AF68" i="27" s="1"/>
  <c r="BC25" i="30"/>
  <c r="AR89" i="37"/>
  <c r="Q89" i="37" s="1"/>
  <c r="V48" i="38"/>
  <c r="V52" i="32"/>
  <c r="V46" i="32"/>
  <c r="AQ25" i="32"/>
  <c r="AQ7" i="32" s="1"/>
  <c r="V32" i="39"/>
  <c r="H16" i="74"/>
  <c r="E61" i="28"/>
  <c r="AQ25" i="27"/>
  <c r="AS25" i="19"/>
  <c r="E28" i="40"/>
  <c r="BL28" i="40" s="1"/>
  <c r="AE39" i="27"/>
  <c r="V39" i="27" s="1"/>
  <c r="AJ34" i="27"/>
  <c r="AJ25" i="27" s="1"/>
  <c r="H15" i="74"/>
  <c r="AT25" i="38"/>
  <c r="AE38" i="37"/>
  <c r="V38" i="37" s="1"/>
  <c r="D209" i="48"/>
  <c r="H20" i="60"/>
  <c r="G8" i="69"/>
  <c r="AJ39" i="37"/>
  <c r="AE39" i="37" s="1"/>
  <c r="V39" i="37" s="1"/>
  <c r="BL61" i="28"/>
  <c r="BF61" i="28" s="1"/>
  <c r="AZ10" i="33"/>
  <c r="AZ9" i="33" s="1"/>
  <c r="AZ8" i="33" s="1"/>
  <c r="AZ67" i="33" s="1"/>
  <c r="D17" i="75" s="1"/>
  <c r="AE11" i="33"/>
  <c r="Y78" i="33" s="1"/>
  <c r="AL78" i="34"/>
  <c r="AL77" i="34" s="1"/>
  <c r="AE78" i="34"/>
  <c r="AE77" i="34" s="1"/>
  <c r="Y79" i="34"/>
  <c r="U67" i="34"/>
  <c r="BL60" i="21"/>
  <c r="BF67" i="22"/>
  <c r="D14" i="68"/>
  <c r="Y79" i="22"/>
  <c r="U10" i="22"/>
  <c r="S67" i="22"/>
  <c r="BL60" i="23"/>
  <c r="BE60" i="23" s="1"/>
  <c r="AQ10" i="23"/>
  <c r="AQ9" i="23" s="1"/>
  <c r="AQ8" i="23" s="1"/>
  <c r="AE11" i="23"/>
  <c r="Y85" i="23"/>
  <c r="AH68" i="23"/>
  <c r="D14" i="59" s="1"/>
  <c r="AC68" i="23"/>
  <c r="D112" i="47" s="1"/>
  <c r="W79" i="23"/>
  <c r="Y86" i="24"/>
  <c r="V16" i="24"/>
  <c r="AD78" i="25"/>
  <c r="E57" i="48"/>
  <c r="T11" i="89" s="1"/>
  <c r="BL50" i="26"/>
  <c r="AU50" i="26" s="1"/>
  <c r="Y81" i="27"/>
  <c r="E113" i="28"/>
  <c r="AR113" i="28" s="1"/>
  <c r="O78" i="28"/>
  <c r="U10" i="28"/>
  <c r="D8" i="51"/>
  <c r="L13" i="84"/>
  <c r="J115" i="28"/>
  <c r="P67" i="28"/>
  <c r="D9" i="41" s="1"/>
  <c r="O63" i="28"/>
  <c r="AK78" i="29"/>
  <c r="AK77" i="29" s="1"/>
  <c r="AD78" i="29"/>
  <c r="AE63" i="19"/>
  <c r="Y112" i="19"/>
  <c r="AH97" i="19"/>
  <c r="E53" i="48"/>
  <c r="T7" i="89" s="1"/>
  <c r="AL77" i="19"/>
  <c r="Y80" i="19"/>
  <c r="AD78" i="19"/>
  <c r="AC10" i="19"/>
  <c r="AC9" i="19" s="1"/>
  <c r="AC8" i="19" s="1"/>
  <c r="V78" i="19"/>
  <c r="AM67" i="19"/>
  <c r="D30" i="46"/>
  <c r="F27" i="19"/>
  <c r="E27" i="19" s="1"/>
  <c r="U9" i="28"/>
  <c r="U67" i="28" s="1"/>
  <c r="D9" i="49" s="1"/>
  <c r="BI63" i="19"/>
  <c r="BB57" i="24"/>
  <c r="BB25" i="24" s="1"/>
  <c r="BL50" i="24"/>
  <c r="E236" i="47" s="1"/>
  <c r="AQ10" i="24"/>
  <c r="AQ9" i="24" s="1"/>
  <c r="AQ8" i="24" s="1"/>
  <c r="Z9" i="84"/>
  <c r="S58" i="88"/>
  <c r="V22" i="26"/>
  <c r="U10" i="27"/>
  <c r="U9" i="27" s="1"/>
  <c r="V64" i="27"/>
  <c r="Y85" i="27"/>
  <c r="AE10" i="27"/>
  <c r="AE9" i="27" s="1"/>
  <c r="V16" i="27"/>
  <c r="AL77" i="27"/>
  <c r="AL116" i="27" s="1"/>
  <c r="BC10" i="27"/>
  <c r="BC9" i="27" s="1"/>
  <c r="BC8" i="27" s="1"/>
  <c r="BC67" i="27" s="1"/>
  <c r="D10" i="79" s="1"/>
  <c r="W78" i="27"/>
  <c r="R97" i="27"/>
  <c r="Y95" i="28"/>
  <c r="BL50" i="28"/>
  <c r="AU50" i="28" s="1"/>
  <c r="V12" i="28"/>
  <c r="AE11" i="28"/>
  <c r="AE10" i="28" s="1"/>
  <c r="AE9" i="28" s="1"/>
  <c r="AI78" i="28"/>
  <c r="AI77" i="28" s="1"/>
  <c r="AH32" i="84"/>
  <c r="AE18" i="29"/>
  <c r="V17" i="29"/>
  <c r="Y85" i="29"/>
  <c r="V12" i="29"/>
  <c r="Y112" i="37"/>
  <c r="BL60" i="39"/>
  <c r="Y112" i="39"/>
  <c r="AC97" i="39"/>
  <c r="AZ67" i="39"/>
  <c r="D22" i="75" s="1"/>
  <c r="Y80" i="40"/>
  <c r="AI78" i="40"/>
  <c r="AI77" i="40" s="1"/>
  <c r="AI116" i="40" s="1"/>
  <c r="AB78" i="40"/>
  <c r="AB77" i="40" s="1"/>
  <c r="AB116" i="40" s="1"/>
  <c r="V22" i="30"/>
  <c r="AZ10" i="30"/>
  <c r="AZ9" i="30" s="1"/>
  <c r="AZ8" i="30" s="1"/>
  <c r="AZ67" i="30" s="1"/>
  <c r="D20" i="75" s="1"/>
  <c r="AN67" i="30"/>
  <c r="Y85" i="31"/>
  <c r="AC78" i="31"/>
  <c r="AC77" i="31" s="1"/>
  <c r="Y79" i="31"/>
  <c r="P79" i="31" s="1"/>
  <c r="AR79" i="31" s="1"/>
  <c r="E232" i="47"/>
  <c r="V22" i="33"/>
  <c r="V12" i="33"/>
  <c r="AI67" i="33"/>
  <c r="BM38" i="33" s="1"/>
  <c r="BN38" i="33" s="1"/>
  <c r="AC10" i="33"/>
  <c r="AC9" i="33" s="1"/>
  <c r="AC8" i="33" s="1"/>
  <c r="BD59" i="33"/>
  <c r="V59" i="33" s="1"/>
  <c r="E441" i="47"/>
  <c r="G17" i="78" s="1"/>
  <c r="AT25" i="33"/>
  <c r="S77" i="33"/>
  <c r="BL61" i="34"/>
  <c r="E490" i="47" s="1"/>
  <c r="V64" i="34"/>
  <c r="V63" i="34" s="1"/>
  <c r="Y80" i="34"/>
  <c r="BL60" i="34"/>
  <c r="AK78" i="34"/>
  <c r="AK77" i="34" s="1"/>
  <c r="AZ10" i="34"/>
  <c r="AZ9" i="34" s="1"/>
  <c r="AZ8" i="34" s="1"/>
  <c r="AZ67" i="34" s="1"/>
  <c r="AW10" i="34"/>
  <c r="AW9" i="34"/>
  <c r="AW8" i="34" s="1"/>
  <c r="AL41" i="34"/>
  <c r="AE41" i="34" s="1"/>
  <c r="V41" i="34" s="1"/>
  <c r="E111" i="48"/>
  <c r="H17" i="64" s="1"/>
  <c r="W77" i="34"/>
  <c r="W116" i="34" s="1"/>
  <c r="AC10" i="34"/>
  <c r="AC9" i="34" s="1"/>
  <c r="AC8" i="34" s="1"/>
  <c r="AL79" i="21"/>
  <c r="W116" i="21"/>
  <c r="AH67" i="22"/>
  <c r="F23" i="78"/>
  <c r="AW25" i="22"/>
  <c r="V78" i="22"/>
  <c r="R11" i="84"/>
  <c r="E462" i="47"/>
  <c r="G13" i="80" s="1"/>
  <c r="AI68" i="23"/>
  <c r="AZ10" i="23"/>
  <c r="AZ9" i="23" s="1"/>
  <c r="AZ8" i="23" s="1"/>
  <c r="AZ68" i="23" s="1"/>
  <c r="D13" i="75" s="1"/>
  <c r="AD78" i="23"/>
  <c r="E26" i="66"/>
  <c r="AB68" i="23"/>
  <c r="AL115" i="28"/>
  <c r="G23" i="70"/>
  <c r="AF77" i="34"/>
  <c r="AF116" i="34" s="1"/>
  <c r="AN67" i="37"/>
  <c r="D167" i="48" s="1"/>
  <c r="AE11" i="37"/>
  <c r="Y78" i="37" s="1"/>
  <c r="AL115" i="37"/>
  <c r="AL97" i="37"/>
  <c r="AL41" i="37"/>
  <c r="AI78" i="37"/>
  <c r="I14" i="53"/>
  <c r="AE37" i="38"/>
  <c r="V37" i="38" s="1"/>
  <c r="AK9" i="84"/>
  <c r="AS25" i="38"/>
  <c r="Z77" i="38"/>
  <c r="Z116" i="38" s="1"/>
  <c r="S12" i="84"/>
  <c r="Y107" i="39"/>
  <c r="Y79" i="39"/>
  <c r="Y80" i="39"/>
  <c r="AE11" i="39"/>
  <c r="Y78" i="39" s="1"/>
  <c r="AS48" i="39"/>
  <c r="V48" i="39" s="1"/>
  <c r="H23" i="59"/>
  <c r="G23" i="56"/>
  <c r="W78" i="39"/>
  <c r="S97" i="39"/>
  <c r="S78" i="39"/>
  <c r="S77" i="39" s="1"/>
  <c r="S116" i="39" s="1"/>
  <c r="S97" i="40"/>
  <c r="AK78" i="40"/>
  <c r="S78" i="40"/>
  <c r="S77" i="40"/>
  <c r="U10" i="40"/>
  <c r="U9" i="40" s="1"/>
  <c r="V22" i="40"/>
  <c r="AC78" i="40"/>
  <c r="AC77" i="40" s="1"/>
  <c r="Y80" i="30"/>
  <c r="AL78" i="30"/>
  <c r="AI97" i="30"/>
  <c r="P81" i="31"/>
  <c r="AR81" i="31" s="1"/>
  <c r="I81" i="31" s="1"/>
  <c r="V16" i="31"/>
  <c r="Y112" i="31"/>
  <c r="AE11" i="31"/>
  <c r="AE10" i="31" s="1"/>
  <c r="AE9" i="31" s="1"/>
  <c r="AE8" i="31" s="1"/>
  <c r="BC10" i="31"/>
  <c r="BC9" i="31" s="1"/>
  <c r="AB10" i="31"/>
  <c r="AB9" i="31" s="1"/>
  <c r="AB8" i="31" s="1"/>
  <c r="BL41" i="32"/>
  <c r="AL41" i="32" s="1"/>
  <c r="O78" i="32"/>
  <c r="BL61" i="32"/>
  <c r="E492" i="47"/>
  <c r="AL78" i="32"/>
  <c r="AL77" i="32" s="1"/>
  <c r="AL116" i="32" s="1"/>
  <c r="R78" i="32"/>
  <c r="R77" i="32" s="1"/>
  <c r="V64" i="32"/>
  <c r="BL60" i="32"/>
  <c r="BL21" i="32"/>
  <c r="R21" i="32" s="1"/>
  <c r="O21" i="32" s="1"/>
  <c r="E21" i="32" s="1"/>
  <c r="AI14" i="84"/>
  <c r="AW67" i="32"/>
  <c r="E23" i="69"/>
  <c r="Y81" i="32"/>
  <c r="V78" i="32"/>
  <c r="V77" i="32"/>
  <c r="AI77" i="37"/>
  <c r="AI116" i="37" s="1"/>
  <c r="BL16" i="31"/>
  <c r="AD77" i="22"/>
  <c r="AD116" i="22" s="1"/>
  <c r="AU10" i="22"/>
  <c r="AU9" i="22" s="1"/>
  <c r="AU8" i="22" s="1"/>
  <c r="AE11" i="32"/>
  <c r="AE10" i="32" s="1"/>
  <c r="AE9" i="32" s="1"/>
  <c r="V12" i="32"/>
  <c r="BL12" i="32" s="1"/>
  <c r="Y80" i="32"/>
  <c r="V16" i="32"/>
  <c r="D78" i="34"/>
  <c r="C221" i="47"/>
  <c r="AK88" i="38"/>
  <c r="D10" i="38"/>
  <c r="D9" i="38" s="1"/>
  <c r="F9" i="38" s="1"/>
  <c r="D78" i="38"/>
  <c r="D77" i="38" s="1"/>
  <c r="C22" i="46"/>
  <c r="D102" i="26"/>
  <c r="C235" i="47"/>
  <c r="D103" i="23"/>
  <c r="C19" i="65"/>
  <c r="C18" i="74"/>
  <c r="C224" i="47"/>
  <c r="R58" i="88"/>
  <c r="Q77" i="28"/>
  <c r="Q116" i="28" s="1"/>
  <c r="M9" i="84"/>
  <c r="M78" i="25"/>
  <c r="AL41" i="25"/>
  <c r="AL34" i="25" s="1"/>
  <c r="AL25" i="25" s="1"/>
  <c r="AK78" i="25"/>
  <c r="AK77" i="25" s="1"/>
  <c r="AI78" i="25"/>
  <c r="AI77" i="25" s="1"/>
  <c r="AB78" i="25"/>
  <c r="AP67" i="25"/>
  <c r="Y79" i="25"/>
  <c r="R78" i="25"/>
  <c r="R9" i="84"/>
  <c r="S10" i="25"/>
  <c r="S9" i="25" s="1"/>
  <c r="Y81" i="28"/>
  <c r="Y102" i="19"/>
  <c r="BL50" i="19"/>
  <c r="E230" i="47" s="1"/>
  <c r="Y79" i="19"/>
  <c r="BL55" i="37"/>
  <c r="AZ55" i="37" s="1"/>
  <c r="V55" i="37" s="1"/>
  <c r="Y101" i="37"/>
  <c r="BL49" i="37"/>
  <c r="Y81" i="37"/>
  <c r="P81" i="37"/>
  <c r="AR81" i="37" s="1"/>
  <c r="BL19" i="38"/>
  <c r="E122" i="46" s="1"/>
  <c r="AE18" i="38"/>
  <c r="Y84" i="38"/>
  <c r="Y85" i="38"/>
  <c r="AE11" i="38"/>
  <c r="V12" i="38"/>
  <c r="BL12" i="38" s="1"/>
  <c r="Y101" i="39"/>
  <c r="BL49" i="39"/>
  <c r="Y85" i="39"/>
  <c r="V12" i="40"/>
  <c r="AE11" i="40"/>
  <c r="Y78" i="40" s="1"/>
  <c r="BL52" i="30"/>
  <c r="E294" i="47" s="1"/>
  <c r="G20" i="69" s="1"/>
  <c r="Y104" i="30"/>
  <c r="AR104" i="30" s="1"/>
  <c r="AF104" i="30" s="1"/>
  <c r="AV51" i="30"/>
  <c r="V22" i="34"/>
  <c r="Y81" i="34"/>
  <c r="BL50" i="21"/>
  <c r="V22" i="22"/>
  <c r="BL19" i="22"/>
  <c r="E113" i="46" s="1"/>
  <c r="G15" i="41" s="1"/>
  <c r="V19" i="23"/>
  <c r="V12" i="24"/>
  <c r="E348" i="47"/>
  <c r="E221" i="47"/>
  <c r="AT49" i="39"/>
  <c r="V49" i="39" s="1"/>
  <c r="AW52" i="30"/>
  <c r="AW25" i="30"/>
  <c r="V52" i="30"/>
  <c r="BF61" i="34"/>
  <c r="BM13" i="34"/>
  <c r="BN13" i="34" s="1"/>
  <c r="J13" i="34"/>
  <c r="H13" i="34" s="1"/>
  <c r="G13" i="34" s="1"/>
  <c r="F13" i="34" s="1"/>
  <c r="E13" i="34" s="1"/>
  <c r="R115" i="25"/>
  <c r="AM42" i="29"/>
  <c r="AM34" i="29" s="1"/>
  <c r="AM25" i="29" s="1"/>
  <c r="S97" i="29"/>
  <c r="S78" i="29"/>
  <c r="S77" i="29" s="1"/>
  <c r="S116" i="29" s="1"/>
  <c r="D59" i="48"/>
  <c r="BB58" i="88"/>
  <c r="F16" i="84"/>
  <c r="F25" i="84"/>
  <c r="BL52" i="31"/>
  <c r="AA8" i="31"/>
  <c r="AA67" i="31" s="1"/>
  <c r="BL40" i="31"/>
  <c r="AK40" i="31" s="1"/>
  <c r="F81" i="31"/>
  <c r="O88" i="31"/>
  <c r="U77" i="31"/>
  <c r="BL37" i="31"/>
  <c r="X116" i="31"/>
  <c r="F104" i="31"/>
  <c r="L27" i="84"/>
  <c r="F21" i="84"/>
  <c r="F13" i="84"/>
  <c r="D8" i="38"/>
  <c r="U9" i="22"/>
  <c r="U67" i="22" s="1"/>
  <c r="D15" i="49" s="1"/>
  <c r="Y25" i="29"/>
  <c r="V28" i="29"/>
  <c r="G13" i="68"/>
  <c r="D190" i="48"/>
  <c r="D203" i="48"/>
  <c r="E92" i="48"/>
  <c r="H22" i="58" s="1"/>
  <c r="AI38" i="40"/>
  <c r="AI34" i="40" s="1"/>
  <c r="AI25" i="40" s="1"/>
  <c r="E128" i="48"/>
  <c r="AM42" i="27"/>
  <c r="AM34" i="27" s="1"/>
  <c r="AM25" i="27" s="1"/>
  <c r="D95" i="48"/>
  <c r="F95" i="48"/>
  <c r="BM38" i="37"/>
  <c r="BN38" i="37" s="1"/>
  <c r="AI68" i="37" s="1"/>
  <c r="D72" i="46"/>
  <c r="AA25" i="32"/>
  <c r="BL20" i="21"/>
  <c r="Q20" i="21" s="1"/>
  <c r="F26" i="38"/>
  <c r="AD116" i="38"/>
  <c r="AS102" i="38" s="1"/>
  <c r="AD117" i="38" s="1"/>
  <c r="D443" i="47"/>
  <c r="E89" i="19"/>
  <c r="E102" i="19"/>
  <c r="AR102" i="19" s="1"/>
  <c r="AD102" i="19" s="1"/>
  <c r="P102" i="19" s="1"/>
  <c r="G88" i="29"/>
  <c r="G116" i="29" s="1"/>
  <c r="O11" i="29"/>
  <c r="AR87" i="29"/>
  <c r="AP77" i="29"/>
  <c r="V33" i="28"/>
  <c r="AD25" i="28"/>
  <c r="E79" i="28"/>
  <c r="G88" i="28"/>
  <c r="G116" i="28" s="1"/>
  <c r="R10" i="28"/>
  <c r="R9" i="28" s="1"/>
  <c r="L78" i="28"/>
  <c r="V77" i="28"/>
  <c r="E98" i="28"/>
  <c r="AR98" i="28" s="1"/>
  <c r="Z98" i="28" s="1"/>
  <c r="Z88" i="28" s="1"/>
  <c r="Z77" i="28"/>
  <c r="E108" i="28"/>
  <c r="AR108" i="28"/>
  <c r="E110" i="28"/>
  <c r="AR110" i="28" s="1"/>
  <c r="AP77" i="28"/>
  <c r="O11" i="27"/>
  <c r="U77" i="26"/>
  <c r="U116" i="26" s="1"/>
  <c r="X77" i="26"/>
  <c r="E103" i="26"/>
  <c r="AE77" i="26"/>
  <c r="AE116" i="26" s="1"/>
  <c r="E104" i="26"/>
  <c r="AR104" i="26" s="1"/>
  <c r="AG77" i="26"/>
  <c r="AH77" i="26"/>
  <c r="E107" i="26"/>
  <c r="AR107" i="26" s="1"/>
  <c r="R10" i="25"/>
  <c r="R9" i="25" s="1"/>
  <c r="L78" i="25"/>
  <c r="Q77" i="25"/>
  <c r="P82" i="25"/>
  <c r="E98" i="25"/>
  <c r="AR98" i="25" s="1"/>
  <c r="Z98" i="25" s="1"/>
  <c r="P98" i="25" s="1"/>
  <c r="E99" i="25"/>
  <c r="AR99" i="25" s="1"/>
  <c r="G78" i="24"/>
  <c r="R10" i="24"/>
  <c r="R9" i="24" s="1"/>
  <c r="O9" i="24" s="1"/>
  <c r="O68" i="24" s="1"/>
  <c r="L79" i="24"/>
  <c r="H89" i="24"/>
  <c r="H117" i="24" s="1"/>
  <c r="E90" i="24"/>
  <c r="E101" i="24"/>
  <c r="AR101" i="24" s="1"/>
  <c r="E102" i="24"/>
  <c r="AR102" i="24" s="1"/>
  <c r="E106" i="24"/>
  <c r="AR106" i="24" s="1"/>
  <c r="E80" i="23"/>
  <c r="G117" i="23"/>
  <c r="G78" i="23"/>
  <c r="G77" i="23" s="1"/>
  <c r="E109" i="23"/>
  <c r="AR109" i="23" s="1"/>
  <c r="AJ78" i="23"/>
  <c r="E110" i="23"/>
  <c r="AR110" i="23" s="1"/>
  <c r="E113" i="23"/>
  <c r="AN78" i="23"/>
  <c r="H14" i="22"/>
  <c r="G14" i="22" s="1"/>
  <c r="F14" i="22" s="1"/>
  <c r="E14" i="22" s="1"/>
  <c r="K11" i="22"/>
  <c r="K10" i="22" s="1"/>
  <c r="K9" i="22" s="1"/>
  <c r="E79" i="22"/>
  <c r="G88" i="22"/>
  <c r="E90" i="22"/>
  <c r="AR90" i="22" s="1"/>
  <c r="R90" i="22" s="1"/>
  <c r="H88" i="22"/>
  <c r="H116" i="22" s="1"/>
  <c r="R77" i="22"/>
  <c r="AA77" i="22"/>
  <c r="E100" i="22"/>
  <c r="AR100" i="22" s="1"/>
  <c r="AB77" i="22"/>
  <c r="E101" i="22"/>
  <c r="AR101" i="22"/>
  <c r="AF77" i="22"/>
  <c r="AF116" i="22" s="1"/>
  <c r="E105" i="22"/>
  <c r="AR105" i="22"/>
  <c r="AG105" i="22" s="1"/>
  <c r="AK77" i="22"/>
  <c r="AL77" i="22"/>
  <c r="AL116" i="22" s="1"/>
  <c r="E111" i="22"/>
  <c r="AR111" i="22" s="1"/>
  <c r="AM77" i="22"/>
  <c r="E112" i="22"/>
  <c r="AN77" i="22"/>
  <c r="E113" i="22"/>
  <c r="E114" i="22"/>
  <c r="AR114" i="22"/>
  <c r="AP114" i="22"/>
  <c r="AR25" i="21"/>
  <c r="G89" i="21"/>
  <c r="E101" i="21"/>
  <c r="AR101" i="21" s="1"/>
  <c r="E107" i="21"/>
  <c r="AR107" i="21" s="1"/>
  <c r="BK8" i="34"/>
  <c r="Q77" i="34"/>
  <c r="R77" i="34"/>
  <c r="E91" i="34"/>
  <c r="AR91" i="34"/>
  <c r="P80" i="34"/>
  <c r="AR80" i="34" s="1"/>
  <c r="X77" i="34"/>
  <c r="P99" i="34"/>
  <c r="AA88" i="34"/>
  <c r="AA77" i="34"/>
  <c r="E100" i="34"/>
  <c r="AR100" i="34" s="1"/>
  <c r="AB100" i="34" s="1"/>
  <c r="L67" i="33"/>
  <c r="G77" i="33"/>
  <c r="E92" i="33"/>
  <c r="AR92" i="33" s="1"/>
  <c r="T92" i="33" s="1"/>
  <c r="T88" i="33" s="1"/>
  <c r="U77" i="33"/>
  <c r="E100" i="33"/>
  <c r="E110" i="32"/>
  <c r="AR110" i="32" s="1"/>
  <c r="E111" i="32"/>
  <c r="AR111" i="32"/>
  <c r="AN77" i="32"/>
  <c r="AO77" i="32"/>
  <c r="AP77" i="32"/>
  <c r="BK8" i="31"/>
  <c r="J67" i="31"/>
  <c r="H18" i="31"/>
  <c r="BL24" i="31"/>
  <c r="H20" i="49" s="1"/>
  <c r="BL27" i="31"/>
  <c r="E27" i="31"/>
  <c r="E118" i="47"/>
  <c r="AC32" i="31"/>
  <c r="E318" i="47"/>
  <c r="AY54" i="31"/>
  <c r="V54" i="31" s="1"/>
  <c r="E393" i="47"/>
  <c r="H20" i="73" s="1"/>
  <c r="BB57" i="31"/>
  <c r="BB25" i="31" s="1"/>
  <c r="AI115" i="31"/>
  <c r="AG115" i="31"/>
  <c r="AG116" i="31" s="1"/>
  <c r="AE115" i="31"/>
  <c r="U115" i="31"/>
  <c r="K115" i="31"/>
  <c r="I115" i="31"/>
  <c r="F20" i="83"/>
  <c r="G64" i="31"/>
  <c r="H63" i="31"/>
  <c r="AQ89" i="31"/>
  <c r="AQ88" i="31" s="1"/>
  <c r="BH25" i="31"/>
  <c r="AQ84" i="31"/>
  <c r="BH18" i="31"/>
  <c r="R9" i="30"/>
  <c r="M88" i="30"/>
  <c r="E90" i="30"/>
  <c r="E91" i="30"/>
  <c r="AR91" i="30" s="1"/>
  <c r="S91" i="30" s="1"/>
  <c r="P91" i="30" s="1"/>
  <c r="G18" i="21"/>
  <c r="F18" i="21" s="1"/>
  <c r="Y78" i="32"/>
  <c r="M16" i="31"/>
  <c r="AE41" i="37"/>
  <c r="V41" i="37" s="1"/>
  <c r="AL34" i="37"/>
  <c r="AL25" i="37" s="1"/>
  <c r="D346" i="47"/>
  <c r="E234" i="47"/>
  <c r="AL116" i="19"/>
  <c r="H11" i="59"/>
  <c r="W78" i="23"/>
  <c r="W117" i="23" s="1"/>
  <c r="V31" i="37"/>
  <c r="AM116" i="32"/>
  <c r="F26" i="37"/>
  <c r="AE116" i="32"/>
  <c r="BG25" i="40"/>
  <c r="E64" i="37"/>
  <c r="G11" i="68"/>
  <c r="E77" i="48"/>
  <c r="E420" i="47"/>
  <c r="H22" i="79" s="1"/>
  <c r="BC58" i="40"/>
  <c r="E362" i="47"/>
  <c r="BA56" i="23"/>
  <c r="V56" i="23" s="1"/>
  <c r="BA56" i="30"/>
  <c r="E198" i="47"/>
  <c r="AS48" i="37"/>
  <c r="E438" i="47"/>
  <c r="BD59" i="22"/>
  <c r="BD25" i="22" s="1"/>
  <c r="BB57" i="32"/>
  <c r="V57" i="32" s="1"/>
  <c r="E392" i="47"/>
  <c r="H19" i="73"/>
  <c r="AQ46" i="26"/>
  <c r="E159" i="47"/>
  <c r="E174" i="48"/>
  <c r="AO44" i="29"/>
  <c r="AE44" i="29" s="1"/>
  <c r="V44" i="29" s="1"/>
  <c r="E176" i="48"/>
  <c r="AO44" i="27"/>
  <c r="AO34" i="27" s="1"/>
  <c r="AO25" i="27" s="1"/>
  <c r="AO44" i="21"/>
  <c r="AO34" i="21" s="1"/>
  <c r="AO25" i="21" s="1"/>
  <c r="E283" i="47"/>
  <c r="AW52" i="27"/>
  <c r="E156" i="47"/>
  <c r="AQ46" i="29"/>
  <c r="E17" i="47"/>
  <c r="H19" i="55" s="1"/>
  <c r="W26" i="32"/>
  <c r="W25" i="32" s="1"/>
  <c r="E39" i="48"/>
  <c r="H18" i="60" s="1"/>
  <c r="E98" i="47"/>
  <c r="AV51" i="39"/>
  <c r="V51" i="39" s="1"/>
  <c r="E271" i="47"/>
  <c r="H22" i="70" s="1"/>
  <c r="E69" i="47"/>
  <c r="V11" i="53" s="1"/>
  <c r="Y28" i="30"/>
  <c r="U24" i="30"/>
  <c r="E194" i="46"/>
  <c r="W67" i="25"/>
  <c r="D12" i="55" s="1"/>
  <c r="AJ67" i="34"/>
  <c r="AD67" i="30"/>
  <c r="BM33" i="30" s="1"/>
  <c r="BN33" i="30" s="1"/>
  <c r="I116" i="37"/>
  <c r="F29" i="29"/>
  <c r="O10" i="28"/>
  <c r="G18" i="33"/>
  <c r="AR94" i="22"/>
  <c r="V94" i="22" s="1"/>
  <c r="P94" i="22" s="1"/>
  <c r="AR93" i="19"/>
  <c r="U93" i="19" s="1"/>
  <c r="AJ39" i="31"/>
  <c r="AR93" i="28"/>
  <c r="U93" i="28" s="1"/>
  <c r="U88" i="28" s="1"/>
  <c r="E418" i="47"/>
  <c r="O11" i="24"/>
  <c r="H88" i="25"/>
  <c r="AE40" i="19"/>
  <c r="V40" i="19" s="1"/>
  <c r="AK34" i="19"/>
  <c r="AK25" i="19" s="1"/>
  <c r="E95" i="19"/>
  <c r="AR95" i="19" s="1"/>
  <c r="W95" i="19" s="1"/>
  <c r="AR25" i="29"/>
  <c r="V47" i="29"/>
  <c r="V54" i="29"/>
  <c r="AY25" i="29"/>
  <c r="P85" i="29"/>
  <c r="AR85" i="29" s="1"/>
  <c r="AR99" i="29"/>
  <c r="AA99" i="29" s="1"/>
  <c r="P99" i="29" s="1"/>
  <c r="AA77" i="29"/>
  <c r="E102" i="29"/>
  <c r="AR102" i="29" s="1"/>
  <c r="E104" i="29"/>
  <c r="AR104" i="29" s="1"/>
  <c r="AF104" i="29" s="1"/>
  <c r="AF88" i="29" s="1"/>
  <c r="E105" i="29"/>
  <c r="AR105" i="29" s="1"/>
  <c r="AG77" i="29"/>
  <c r="E106" i="29"/>
  <c r="AR106" i="29" s="1"/>
  <c r="AH106" i="29" s="1"/>
  <c r="AH77" i="29"/>
  <c r="E109" i="29"/>
  <c r="AR109" i="29" s="1"/>
  <c r="E112" i="29"/>
  <c r="AN77" i="29"/>
  <c r="F26" i="28"/>
  <c r="P84" i="28"/>
  <c r="AR84" i="28" s="1"/>
  <c r="P82" i="28"/>
  <c r="AR82" i="28" s="1"/>
  <c r="E102" i="28"/>
  <c r="E103" i="28"/>
  <c r="AR103" i="28" s="1"/>
  <c r="AM77" i="28"/>
  <c r="E112" i="28"/>
  <c r="Q77" i="27"/>
  <c r="M88" i="27"/>
  <c r="AF77" i="27"/>
  <c r="AF116" i="27" s="1"/>
  <c r="AS104" i="27" s="1"/>
  <c r="AF117" i="27" s="1"/>
  <c r="E106" i="27"/>
  <c r="AR106" i="27" s="1"/>
  <c r="AH106" i="27" s="1"/>
  <c r="P106" i="27" s="1"/>
  <c r="E108" i="27"/>
  <c r="AR108" i="27" s="1"/>
  <c r="AJ108" i="27" s="1"/>
  <c r="AJ88" i="27" s="1"/>
  <c r="E109" i="26"/>
  <c r="AR109" i="26"/>
  <c r="AL77" i="26"/>
  <c r="E112" i="26"/>
  <c r="AR112" i="26" s="1"/>
  <c r="AN77" i="26"/>
  <c r="E113" i="26"/>
  <c r="E114" i="26"/>
  <c r="AR114" i="26" s="1"/>
  <c r="AE40" i="25"/>
  <c r="V40" i="25" s="1"/>
  <c r="AK34" i="25"/>
  <c r="AK25" i="25" s="1"/>
  <c r="AW25" i="25"/>
  <c r="V52" i="25"/>
  <c r="O88" i="25"/>
  <c r="K88" i="25"/>
  <c r="E91" i="25"/>
  <c r="AR91" i="25" s="1"/>
  <c r="S91" i="25" s="1"/>
  <c r="E110" i="25"/>
  <c r="AR110" i="25"/>
  <c r="AM77" i="25"/>
  <c r="AP77" i="25"/>
  <c r="BK8" i="24"/>
  <c r="E92" i="24"/>
  <c r="AR92" i="24" s="1"/>
  <c r="S92" i="24" s="1"/>
  <c r="S89" i="24" s="1"/>
  <c r="E99" i="24"/>
  <c r="AR99" i="24" s="1"/>
  <c r="E109" i="24"/>
  <c r="AR109" i="24"/>
  <c r="E110" i="24"/>
  <c r="AK78" i="24"/>
  <c r="AL78" i="24"/>
  <c r="E112" i="24"/>
  <c r="E114" i="24"/>
  <c r="AR114" i="24" s="1"/>
  <c r="AO78" i="24"/>
  <c r="E91" i="23"/>
  <c r="AR91" i="23" s="1"/>
  <c r="R91" i="23" s="1"/>
  <c r="P91" i="23" s="1"/>
  <c r="AD117" i="23"/>
  <c r="V77" i="22"/>
  <c r="V116" i="22" s="1"/>
  <c r="AS94" i="22" s="1"/>
  <c r="V117" i="22" s="1"/>
  <c r="M88" i="22"/>
  <c r="E102" i="22"/>
  <c r="AR102" i="22" s="1"/>
  <c r="AD102" i="22" s="1"/>
  <c r="E103" i="22"/>
  <c r="AR103" i="22" s="1"/>
  <c r="E92" i="21"/>
  <c r="L89" i="21"/>
  <c r="AM78" i="21"/>
  <c r="G88" i="34"/>
  <c r="G116" i="34" s="1"/>
  <c r="M88" i="34"/>
  <c r="M116" i="34"/>
  <c r="AC77" i="34"/>
  <c r="E107" i="34"/>
  <c r="AR107" i="34" s="1"/>
  <c r="AI107" i="34" s="1"/>
  <c r="E108" i="34"/>
  <c r="AR108" i="34" s="1"/>
  <c r="H14" i="33"/>
  <c r="G14" i="33" s="1"/>
  <c r="F14" i="33" s="1"/>
  <c r="E14" i="33" s="1"/>
  <c r="K11" i="33"/>
  <c r="K10" i="33" s="1"/>
  <c r="AS25" i="33"/>
  <c r="M88" i="33"/>
  <c r="E107" i="33"/>
  <c r="E108" i="33"/>
  <c r="E110" i="33"/>
  <c r="AR110" i="33"/>
  <c r="E111" i="33"/>
  <c r="AR111" i="33" s="1"/>
  <c r="AM77" i="33"/>
  <c r="AO77" i="33"/>
  <c r="AO116" i="33" s="1"/>
  <c r="O88" i="32"/>
  <c r="O116" i="32" s="1"/>
  <c r="AR67" i="31"/>
  <c r="BM47" i="31" s="1"/>
  <c r="BN47" i="31" s="1"/>
  <c r="AR68" i="31" s="1"/>
  <c r="P87" i="31"/>
  <c r="AR87" i="31" s="1"/>
  <c r="O87" i="31" s="1"/>
  <c r="Q77" i="31"/>
  <c r="E90" i="31"/>
  <c r="AR90" i="31"/>
  <c r="F91" i="31"/>
  <c r="E91" i="31"/>
  <c r="AR91" i="31" s="1"/>
  <c r="S91" i="31" s="1"/>
  <c r="S88" i="31" s="1"/>
  <c r="G28" i="31"/>
  <c r="F92" i="31"/>
  <c r="E92" i="31" s="1"/>
  <c r="AR92" i="31" s="1"/>
  <c r="G29" i="31"/>
  <c r="F29" i="31" s="1"/>
  <c r="E29" i="31" s="1"/>
  <c r="BL29" i="31" s="1"/>
  <c r="Z29" i="31" s="1"/>
  <c r="V29" i="31" s="1"/>
  <c r="E93" i="31"/>
  <c r="AR93" i="31" s="1"/>
  <c r="U116" i="31"/>
  <c r="E94" i="31"/>
  <c r="AR94" i="31" s="1"/>
  <c r="H34" i="31"/>
  <c r="G35" i="31"/>
  <c r="E101" i="31"/>
  <c r="AR101" i="31"/>
  <c r="AC101" i="31" s="1"/>
  <c r="F102" i="31"/>
  <c r="E102" i="31" s="1"/>
  <c r="AR102" i="31"/>
  <c r="G50" i="31"/>
  <c r="F50" i="31"/>
  <c r="E50" i="31" s="1"/>
  <c r="BL50" i="31" s="1"/>
  <c r="F103" i="31"/>
  <c r="E103" i="31" s="1"/>
  <c r="G51" i="31"/>
  <c r="F51" i="31"/>
  <c r="E51" i="31" s="1"/>
  <c r="BL51" i="31" s="1"/>
  <c r="E268" i="47" s="1"/>
  <c r="H19" i="70" s="1"/>
  <c r="AE78" i="31"/>
  <c r="AE77" i="31" s="1"/>
  <c r="AV10" i="31"/>
  <c r="AV9" i="31" s="1"/>
  <c r="AV8" i="31" s="1"/>
  <c r="AV67" i="31" s="1"/>
  <c r="D19" i="70" s="1"/>
  <c r="E104" i="31"/>
  <c r="AR104" i="31" s="1"/>
  <c r="AF104" i="31" s="1"/>
  <c r="AE40" i="40"/>
  <c r="V40" i="40" s="1"/>
  <c r="AK34" i="40"/>
  <c r="AK25" i="40" s="1"/>
  <c r="F167" i="47"/>
  <c r="E96" i="30"/>
  <c r="AR96" i="30"/>
  <c r="X96" i="30" s="1"/>
  <c r="P96" i="30" s="1"/>
  <c r="X77" i="30"/>
  <c r="X116" i="30" s="1"/>
  <c r="AS96" i="30" s="1"/>
  <c r="X117" i="30" s="1"/>
  <c r="Z77" i="30"/>
  <c r="E100" i="30"/>
  <c r="AB77" i="30"/>
  <c r="E111" i="30"/>
  <c r="G77" i="40"/>
  <c r="E106" i="40"/>
  <c r="AR106" i="40" s="1"/>
  <c r="G77" i="39"/>
  <c r="L78" i="39"/>
  <c r="R10" i="39"/>
  <c r="O11" i="39"/>
  <c r="O88" i="39"/>
  <c r="E103" i="39"/>
  <c r="AR103" i="39"/>
  <c r="E112" i="39"/>
  <c r="AO77" i="39"/>
  <c r="AO116" i="39" s="1"/>
  <c r="V51" i="38"/>
  <c r="AV25" i="38"/>
  <c r="K88" i="38"/>
  <c r="K116" i="38" s="1"/>
  <c r="P80" i="38"/>
  <c r="AR80" i="38" s="1"/>
  <c r="Q77" i="38"/>
  <c r="R77" i="38"/>
  <c r="E99" i="38"/>
  <c r="AR99" i="38" s="1"/>
  <c r="AA99" i="38" s="1"/>
  <c r="P99" i="38" s="1"/>
  <c r="AI88" i="38"/>
  <c r="AI77" i="38"/>
  <c r="P109" i="38"/>
  <c r="E91" i="37"/>
  <c r="E103" i="37"/>
  <c r="AR103" i="37" s="1"/>
  <c r="AS103" i="37" s="1"/>
  <c r="AE117" i="37" s="1"/>
  <c r="X115" i="37"/>
  <c r="BE10" i="39"/>
  <c r="BE9" i="39"/>
  <c r="BE8" i="39" s="1"/>
  <c r="BE67" i="39" s="1"/>
  <c r="AN78" i="39"/>
  <c r="AN77" i="39"/>
  <c r="AN116" i="39" s="1"/>
  <c r="AZ10" i="31"/>
  <c r="AZ9" i="31" s="1"/>
  <c r="AZ8" i="31" s="1"/>
  <c r="AI78" i="31"/>
  <c r="V63" i="37"/>
  <c r="BL15" i="28"/>
  <c r="L15" i="28" s="1"/>
  <c r="E89" i="34"/>
  <c r="G47" i="40"/>
  <c r="F47" i="40" s="1"/>
  <c r="E47" i="40" s="1"/>
  <c r="BL47" i="40" s="1"/>
  <c r="AR47" i="40" s="1"/>
  <c r="F99" i="40"/>
  <c r="E99" i="40" s="1"/>
  <c r="AR99" i="40" s="1"/>
  <c r="M67" i="40"/>
  <c r="D70" i="46" s="1"/>
  <c r="M67" i="39"/>
  <c r="M25" i="37"/>
  <c r="M67" i="37" s="1"/>
  <c r="H97" i="37"/>
  <c r="BL15" i="25"/>
  <c r="L15" i="25" s="1"/>
  <c r="G15" i="25" s="1"/>
  <c r="F15" i="25" s="1"/>
  <c r="E15" i="25" s="1"/>
  <c r="BH18" i="39"/>
  <c r="AQ83" i="39"/>
  <c r="V115" i="39"/>
  <c r="AE63" i="31"/>
  <c r="Y115" i="31" s="1"/>
  <c r="V64" i="31"/>
  <c r="AD97" i="31"/>
  <c r="BI25" i="40"/>
  <c r="BH34" i="40"/>
  <c r="BK25" i="39"/>
  <c r="BH34" i="39"/>
  <c r="AQ97" i="39" s="1"/>
  <c r="AQ88" i="39" s="1"/>
  <c r="BG10" i="38"/>
  <c r="BG9" i="38" s="1"/>
  <c r="BG8" i="38" s="1"/>
  <c r="BG67" i="38" s="1"/>
  <c r="AP78" i="38"/>
  <c r="AP77" i="38" s="1"/>
  <c r="P10" i="38"/>
  <c r="J78" i="38"/>
  <c r="O11" i="38"/>
  <c r="N25" i="38"/>
  <c r="I97" i="38"/>
  <c r="I88" i="38" s="1"/>
  <c r="I116" i="38" s="1"/>
  <c r="S67" i="38"/>
  <c r="D172" i="46" s="1"/>
  <c r="AP115" i="30"/>
  <c r="W10" i="30"/>
  <c r="W9" i="30" s="1"/>
  <c r="W8" i="30" s="1"/>
  <c r="W67" i="30" s="1"/>
  <c r="D19" i="47" s="1"/>
  <c r="Q78" i="30"/>
  <c r="O115" i="30"/>
  <c r="U67" i="30"/>
  <c r="D21" i="49" s="1"/>
  <c r="AA10" i="32"/>
  <c r="AA9" i="32" s="1"/>
  <c r="AA8" i="32" s="1"/>
  <c r="U78" i="32"/>
  <c r="U77" i="32"/>
  <c r="Z10" i="32"/>
  <c r="Z9" i="32"/>
  <c r="Z8" i="32" s="1"/>
  <c r="Z67" i="32" s="1"/>
  <c r="T78" i="32"/>
  <c r="T77" i="32" s="1"/>
  <c r="T116" i="32" s="1"/>
  <c r="Y10" i="32"/>
  <c r="Y9" i="32" s="1"/>
  <c r="Y8" i="32" s="1"/>
  <c r="S78" i="32"/>
  <c r="S77" i="32" s="1"/>
  <c r="Y102" i="32"/>
  <c r="G20" i="32"/>
  <c r="F20" i="32" s="1"/>
  <c r="F82" i="32"/>
  <c r="BM14" i="32"/>
  <c r="BN14" i="32" s="1"/>
  <c r="J67" i="32"/>
  <c r="BG10" i="33"/>
  <c r="BG9" i="33" s="1"/>
  <c r="BG8" i="33" s="1"/>
  <c r="BG67" i="33" s="1"/>
  <c r="BM62" i="33" s="1"/>
  <c r="BN62" i="33" s="1"/>
  <c r="AP78" i="33"/>
  <c r="AP77" i="33"/>
  <c r="Y105" i="33"/>
  <c r="AX67" i="33"/>
  <c r="BM53" i="33" s="1"/>
  <c r="BN53" i="33" s="1"/>
  <c r="BL33" i="33"/>
  <c r="AD33" i="33"/>
  <c r="Z10" i="33"/>
  <c r="Z9" i="33" s="1"/>
  <c r="Z8" i="33" s="1"/>
  <c r="T78" i="33"/>
  <c r="BE67" i="33"/>
  <c r="F89" i="27"/>
  <c r="E89" i="27" s="1"/>
  <c r="V21" i="37"/>
  <c r="Y83" i="37"/>
  <c r="AE18" i="39"/>
  <c r="Y82" i="39"/>
  <c r="P82" i="39" s="1"/>
  <c r="V24" i="32"/>
  <c r="Y87" i="32"/>
  <c r="P87" i="32" s="1"/>
  <c r="AR87" i="32"/>
  <c r="O87" i="32" s="1"/>
  <c r="O77" i="32" s="1"/>
  <c r="O76" i="32" s="1"/>
  <c r="V23" i="33"/>
  <c r="Y86" i="33"/>
  <c r="N88" i="22"/>
  <c r="N116" i="22" s="1"/>
  <c r="T77" i="22"/>
  <c r="AI77" i="33"/>
  <c r="AI116" i="33" s="1"/>
  <c r="L115" i="33"/>
  <c r="S115" i="38"/>
  <c r="P115" i="38"/>
  <c r="S115" i="30"/>
  <c r="AU10" i="37"/>
  <c r="AU9" i="37" s="1"/>
  <c r="AU8" i="37"/>
  <c r="AD78" i="37"/>
  <c r="AD77" i="37" s="1"/>
  <c r="AY10" i="39"/>
  <c r="AY9" i="39" s="1"/>
  <c r="AY8" i="39" s="1"/>
  <c r="AH78" i="39"/>
  <c r="AH77" i="39" s="1"/>
  <c r="AV10" i="39"/>
  <c r="AV9" i="39" s="1"/>
  <c r="AV8" i="39" s="1"/>
  <c r="AV67" i="39" s="1"/>
  <c r="AE78" i="39"/>
  <c r="AE77" i="39" s="1"/>
  <c r="AE116" i="39" s="1"/>
  <c r="F34" i="39"/>
  <c r="E39" i="39"/>
  <c r="BC10" i="40"/>
  <c r="BC9" i="40" s="1"/>
  <c r="BC8" i="40" s="1"/>
  <c r="BC67" i="40" s="1"/>
  <c r="D22" i="79" s="1"/>
  <c r="AL78" i="40"/>
  <c r="AL77" i="40" s="1"/>
  <c r="AY10" i="40"/>
  <c r="AY9" i="40" s="1"/>
  <c r="AY8" i="40" s="1"/>
  <c r="AY67" i="40" s="1"/>
  <c r="D21" i="76" s="1"/>
  <c r="AH78" i="40"/>
  <c r="AH77" i="40"/>
  <c r="AH116" i="40" s="1"/>
  <c r="Y105" i="40"/>
  <c r="Z115" i="40"/>
  <c r="G39" i="40"/>
  <c r="H34" i="40"/>
  <c r="F97" i="40" s="1"/>
  <c r="BB10" i="30"/>
  <c r="BB9" i="30" s="1"/>
  <c r="BB8" i="30" s="1"/>
  <c r="BB67" i="30" s="1"/>
  <c r="AK78" i="30"/>
  <c r="AK77" i="30" s="1"/>
  <c r="AK67" i="30"/>
  <c r="BM40" i="30" s="1"/>
  <c r="BN40" i="30" s="1"/>
  <c r="F39" i="30"/>
  <c r="G34" i="30"/>
  <c r="BB10" i="32"/>
  <c r="BB9" i="32" s="1"/>
  <c r="BB8" i="32" s="1"/>
  <c r="AK78" i="32"/>
  <c r="AK77" i="32" s="1"/>
  <c r="AH97" i="32"/>
  <c r="AH88" i="32" s="1"/>
  <c r="AH76" i="32" s="1"/>
  <c r="AY67" i="32"/>
  <c r="AE40" i="32"/>
  <c r="V40" i="32" s="1"/>
  <c r="AK34" i="32"/>
  <c r="AK25" i="32" s="1"/>
  <c r="AF115" i="33"/>
  <c r="BM14" i="40"/>
  <c r="BN14" i="40" s="1"/>
  <c r="F66" i="21"/>
  <c r="E66" i="21" s="1"/>
  <c r="BL66" i="21" s="1"/>
  <c r="V65" i="22"/>
  <c r="AE63" i="22"/>
  <c r="V66" i="24"/>
  <c r="V65" i="25"/>
  <c r="AE63" i="25"/>
  <c r="F65" i="27"/>
  <c r="BI25" i="19"/>
  <c r="BI7" i="19" s="1"/>
  <c r="BH34" i="19"/>
  <c r="BI67" i="19"/>
  <c r="AD67" i="34"/>
  <c r="BM33" i="34"/>
  <c r="BN33" i="34" s="1"/>
  <c r="AD7" i="34"/>
  <c r="AA10" i="34"/>
  <c r="AA9" i="34" s="1"/>
  <c r="AA8" i="34" s="1"/>
  <c r="U78" i="34"/>
  <c r="U77" i="34" s="1"/>
  <c r="Y10" i="34"/>
  <c r="Y9" i="34" s="1"/>
  <c r="Y8" i="34" s="1"/>
  <c r="S78" i="34"/>
  <c r="BE10" i="34"/>
  <c r="BE9" i="34" s="1"/>
  <c r="BE8" i="34" s="1"/>
  <c r="AN78" i="34"/>
  <c r="AN77" i="34" s="1"/>
  <c r="AN116" i="34" s="1"/>
  <c r="BD67" i="34"/>
  <c r="D16" i="78" s="1"/>
  <c r="BA10" i="34"/>
  <c r="BA9" i="34"/>
  <c r="BA8" i="34" s="1"/>
  <c r="BA67" i="34" s="1"/>
  <c r="D16" i="74" s="1"/>
  <c r="AJ78" i="34"/>
  <c r="AJ77" i="34" s="1"/>
  <c r="AY10" i="34"/>
  <c r="AY9" i="34" s="1"/>
  <c r="AY8" i="34" s="1"/>
  <c r="AH78" i="34"/>
  <c r="AH77" i="34" s="1"/>
  <c r="G39" i="34"/>
  <c r="G34" i="34" s="1"/>
  <c r="H34" i="34"/>
  <c r="BG10" i="21"/>
  <c r="BG9" i="21" s="1"/>
  <c r="BG8" i="21" s="1"/>
  <c r="AP79" i="21"/>
  <c r="AP78" i="21" s="1"/>
  <c r="AE116" i="21"/>
  <c r="Y102" i="21"/>
  <c r="AR10" i="21"/>
  <c r="AR9" i="21" s="1"/>
  <c r="AR8" i="21" s="1"/>
  <c r="AR68" i="21" s="1"/>
  <c r="BM47" i="21" s="1"/>
  <c r="BN47" i="21" s="1"/>
  <c r="AR69" i="21" s="1"/>
  <c r="Z79" i="21"/>
  <c r="Z78" i="21" s="1"/>
  <c r="Z117" i="21" s="1"/>
  <c r="AD10" i="21"/>
  <c r="AD9" i="21" s="1"/>
  <c r="AD8" i="21" s="1"/>
  <c r="X79" i="21"/>
  <c r="AD67" i="22"/>
  <c r="AC67" i="22"/>
  <c r="D15" i="56" s="1"/>
  <c r="AA10" i="22"/>
  <c r="AA9" i="22" s="1"/>
  <c r="AA8" i="22" s="1"/>
  <c r="U78" i="22"/>
  <c r="AP115" i="22"/>
  <c r="AH97" i="22"/>
  <c r="AM98" i="23"/>
  <c r="Z10" i="23"/>
  <c r="Z9" i="23" s="1"/>
  <c r="Z8" i="23" s="1"/>
  <c r="T79" i="23"/>
  <c r="T78" i="23" s="1"/>
  <c r="F49" i="24"/>
  <c r="E49" i="24" s="1"/>
  <c r="BL49" i="24" s="1"/>
  <c r="AT49" i="24" s="1"/>
  <c r="V49" i="24" s="1"/>
  <c r="AC116" i="24"/>
  <c r="AT10" i="24"/>
  <c r="AT9" i="24" s="1"/>
  <c r="AT8" i="24" s="1"/>
  <c r="AT68" i="24" s="1"/>
  <c r="D13" i="71" s="1"/>
  <c r="AC79" i="24"/>
  <c r="AM97" i="25"/>
  <c r="AD67" i="25"/>
  <c r="BL29" i="25"/>
  <c r="Z29" i="25" s="1"/>
  <c r="Z25" i="25" s="1"/>
  <c r="Z7" i="25" s="1"/>
  <c r="Z67" i="25"/>
  <c r="BM29" i="25" s="1"/>
  <c r="BN29" i="25" s="1"/>
  <c r="D60" i="47"/>
  <c r="BL53" i="26"/>
  <c r="AX53" i="26"/>
  <c r="V53" i="26" s="1"/>
  <c r="Y99" i="26"/>
  <c r="G30" i="26"/>
  <c r="F30" i="26" s="1"/>
  <c r="H25" i="26"/>
  <c r="F93" i="26"/>
  <c r="X10" i="26"/>
  <c r="X9" i="26" s="1"/>
  <c r="X8" i="26" s="1"/>
  <c r="R78" i="26"/>
  <c r="W67" i="26"/>
  <c r="D11" i="55" s="1"/>
  <c r="BL47" i="27"/>
  <c r="AN97" i="28"/>
  <c r="BC10" i="28"/>
  <c r="BC9" i="28" s="1"/>
  <c r="BC8" i="28" s="1"/>
  <c r="AL78" i="28"/>
  <c r="AL77" i="28" s="1"/>
  <c r="BL49" i="28"/>
  <c r="G40" i="28"/>
  <c r="F40" i="28" s="1"/>
  <c r="E40" i="28" s="1"/>
  <c r="BL40" i="28" s="1"/>
  <c r="AK40" i="28" s="1"/>
  <c r="H34" i="28"/>
  <c r="F39" i="28"/>
  <c r="G34" i="28"/>
  <c r="G33" i="29"/>
  <c r="F33" i="29"/>
  <c r="E33" i="29" s="1"/>
  <c r="BL33" i="29" s="1"/>
  <c r="F96" i="29"/>
  <c r="AD10" i="29"/>
  <c r="AD9" i="29" s="1"/>
  <c r="AD8" i="29" s="1"/>
  <c r="AD67" i="29" s="1"/>
  <c r="BM33" i="29" s="1"/>
  <c r="BN33" i="29" s="1"/>
  <c r="X78" i="29"/>
  <c r="AA115" i="29"/>
  <c r="AA116" i="29" s="1"/>
  <c r="AZ10" i="19"/>
  <c r="AZ9" i="19" s="1"/>
  <c r="AZ8" i="19" s="1"/>
  <c r="AZ67" i="19" s="1"/>
  <c r="D6" i="75" s="1"/>
  <c r="AI78" i="19"/>
  <c r="AI77" i="19" s="1"/>
  <c r="AI116" i="19" s="1"/>
  <c r="G20" i="34"/>
  <c r="F20" i="34"/>
  <c r="BL20" i="34" s="1"/>
  <c r="F82" i="34"/>
  <c r="P10" i="25"/>
  <c r="P67" i="25" s="1"/>
  <c r="O11" i="25"/>
  <c r="BL20" i="19"/>
  <c r="AC78" i="33"/>
  <c r="AC77" i="33" s="1"/>
  <c r="AC116" i="33" s="1"/>
  <c r="G63" i="34"/>
  <c r="AL41" i="40"/>
  <c r="AL34" i="40" s="1"/>
  <c r="AL25" i="40" s="1"/>
  <c r="E116" i="48"/>
  <c r="H22" i="64" s="1"/>
  <c r="AG36" i="32"/>
  <c r="AG34" i="32" s="1"/>
  <c r="AG25" i="32" s="1"/>
  <c r="Z67" i="34"/>
  <c r="BM29" i="34"/>
  <c r="BN29" i="34" s="1"/>
  <c r="AR92" i="25"/>
  <c r="BH34" i="21"/>
  <c r="H63" i="34"/>
  <c r="AE18" i="37"/>
  <c r="G65" i="32"/>
  <c r="BL21" i="37"/>
  <c r="I88" i="39"/>
  <c r="I116" i="39" s="1"/>
  <c r="AR93" i="40"/>
  <c r="U93" i="40" s="1"/>
  <c r="U88" i="40" s="1"/>
  <c r="AR99" i="31"/>
  <c r="AA99" i="31" s="1"/>
  <c r="P99" i="31" s="1"/>
  <c r="AR98" i="30"/>
  <c r="Z98" i="30" s="1"/>
  <c r="P98" i="30" s="1"/>
  <c r="V20" i="39"/>
  <c r="AR87" i="38"/>
  <c r="O87" i="38"/>
  <c r="AR93" i="34"/>
  <c r="AR109" i="22"/>
  <c r="AR104" i="24"/>
  <c r="AR95" i="34"/>
  <c r="AK7" i="22"/>
  <c r="H14" i="19"/>
  <c r="G14" i="19" s="1"/>
  <c r="F14" i="19" s="1"/>
  <c r="E14" i="19" s="1"/>
  <c r="K11" i="19"/>
  <c r="K10" i="19" s="1"/>
  <c r="G88" i="19"/>
  <c r="G116" i="19" s="1"/>
  <c r="G77" i="19"/>
  <c r="O11" i="19"/>
  <c r="L78" i="19"/>
  <c r="N116" i="19"/>
  <c r="AR87" i="19"/>
  <c r="P84" i="19"/>
  <c r="AR84" i="19" s="1"/>
  <c r="E96" i="19"/>
  <c r="AR96" i="19" s="1"/>
  <c r="X96" i="19" s="1"/>
  <c r="X88" i="19" s="1"/>
  <c r="E108" i="19"/>
  <c r="AR108" i="19" s="1"/>
  <c r="E109" i="19"/>
  <c r="AM77" i="19"/>
  <c r="E113" i="19"/>
  <c r="AR113" i="19" s="1"/>
  <c r="AO77" i="19"/>
  <c r="V48" i="29"/>
  <c r="AS25" i="29"/>
  <c r="E63" i="29"/>
  <c r="F63" i="29"/>
  <c r="G63" i="29"/>
  <c r="E89" i="29"/>
  <c r="P86" i="29"/>
  <c r="AR86" i="29" s="1"/>
  <c r="O88" i="29"/>
  <c r="M88" i="29"/>
  <c r="M116" i="29" s="1"/>
  <c r="K88" i="29"/>
  <c r="E90" i="29"/>
  <c r="AR90" i="29" s="1"/>
  <c r="R90" i="29" s="1"/>
  <c r="R77" i="29"/>
  <c r="V77" i="29"/>
  <c r="AI77" i="29"/>
  <c r="E110" i="29"/>
  <c r="AR110" i="29" s="1"/>
  <c r="AO77" i="29"/>
  <c r="H14" i="28"/>
  <c r="G14" i="28" s="1"/>
  <c r="F14" i="28" s="1"/>
  <c r="E14" i="28" s="1"/>
  <c r="K11" i="28"/>
  <c r="K10" i="28" s="1"/>
  <c r="K9" i="28" s="1"/>
  <c r="K8" i="28" s="1"/>
  <c r="K7" i="28" s="1"/>
  <c r="G18" i="28"/>
  <c r="L67" i="28"/>
  <c r="BM15" i="28" s="1"/>
  <c r="BN15" i="28" s="1"/>
  <c r="I88" i="28"/>
  <c r="I116" i="28" s="1"/>
  <c r="E89" i="28"/>
  <c r="K88" i="28"/>
  <c r="K116" i="28" s="1"/>
  <c r="E96" i="28"/>
  <c r="AR96" i="28" s="1"/>
  <c r="X96" i="28" s="1"/>
  <c r="AA77" i="28"/>
  <c r="AA116" i="28" s="1"/>
  <c r="AB77" i="28"/>
  <c r="AB116" i="28" s="1"/>
  <c r="E101" i="28"/>
  <c r="AE77" i="28"/>
  <c r="E105" i="28"/>
  <c r="AR105" i="28" s="1"/>
  <c r="AG105" i="28" s="1"/>
  <c r="P105" i="28" s="1"/>
  <c r="AG77" i="28"/>
  <c r="AH77" i="28"/>
  <c r="AK97" i="28"/>
  <c r="H14" i="27"/>
  <c r="G14" i="27" s="1"/>
  <c r="F14" i="27" s="1"/>
  <c r="E14" i="27" s="1"/>
  <c r="K11" i="27"/>
  <c r="K10" i="27" s="1"/>
  <c r="K9" i="27" s="1"/>
  <c r="K8" i="27" s="1"/>
  <c r="K7" i="27" s="1"/>
  <c r="G26" i="27"/>
  <c r="G77" i="27"/>
  <c r="N88" i="27"/>
  <c r="N116" i="27" s="1"/>
  <c r="L88" i="27"/>
  <c r="J88" i="27"/>
  <c r="J116" i="27" s="1"/>
  <c r="H88" i="27"/>
  <c r="H116" i="27" s="1"/>
  <c r="E102" i="27"/>
  <c r="AR102" i="27" s="1"/>
  <c r="AD102" i="27" s="1"/>
  <c r="AD88" i="27" s="1"/>
  <c r="E104" i="27"/>
  <c r="AR104" i="27"/>
  <c r="AF104" i="27" s="1"/>
  <c r="AF88" i="27" s="1"/>
  <c r="AJ77" i="27"/>
  <c r="E112" i="27"/>
  <c r="AR112" i="27" s="1"/>
  <c r="L67" i="26"/>
  <c r="G77" i="26"/>
  <c r="H88" i="26"/>
  <c r="H116" i="26" s="1"/>
  <c r="E90" i="26"/>
  <c r="E91" i="26"/>
  <c r="AR91" i="26" s="1"/>
  <c r="S91" i="26"/>
  <c r="S77" i="26"/>
  <c r="W77" i="26"/>
  <c r="O88" i="26"/>
  <c r="E98" i="26"/>
  <c r="AR98" i="26" s="1"/>
  <c r="Z98" i="26" s="1"/>
  <c r="E100" i="26"/>
  <c r="AR100" i="26"/>
  <c r="AB100" i="26" s="1"/>
  <c r="P100" i="26" s="1"/>
  <c r="AB78" i="26"/>
  <c r="AB77" i="26" s="1"/>
  <c r="E101" i="26"/>
  <c r="E106" i="26"/>
  <c r="AR106" i="26"/>
  <c r="AI77" i="26"/>
  <c r="AI116" i="26" s="1"/>
  <c r="E111" i="26"/>
  <c r="AR111" i="26" s="1"/>
  <c r="BK8" i="25"/>
  <c r="BK67" i="25" s="1"/>
  <c r="E79" i="25"/>
  <c r="G77" i="25"/>
  <c r="H116" i="25"/>
  <c r="J78" i="25"/>
  <c r="S77" i="25"/>
  <c r="S116" i="25" s="1"/>
  <c r="AS91" i="25" s="1"/>
  <c r="E93" i="25"/>
  <c r="AR93" i="25" s="1"/>
  <c r="E94" i="25"/>
  <c r="AR94" i="25" s="1"/>
  <c r="F96" i="25"/>
  <c r="AA77" i="25"/>
  <c r="AA116" i="25" s="1"/>
  <c r="E101" i="25"/>
  <c r="E102" i="25"/>
  <c r="AR102" i="25" s="1"/>
  <c r="E104" i="25"/>
  <c r="AR104" i="25"/>
  <c r="AF77" i="25"/>
  <c r="AG77" i="25"/>
  <c r="E106" i="25"/>
  <c r="AR106" i="25" s="1"/>
  <c r="AH77" i="25"/>
  <c r="AH116" i="25" s="1"/>
  <c r="E107" i="25"/>
  <c r="E111" i="25"/>
  <c r="AR111" i="25" s="1"/>
  <c r="AN78" i="25"/>
  <c r="AN77" i="25" s="1"/>
  <c r="L68" i="24"/>
  <c r="P88" i="24"/>
  <c r="AR88" i="24" s="1"/>
  <c r="P87" i="24"/>
  <c r="AR87" i="24" s="1"/>
  <c r="S78" i="24"/>
  <c r="S117" i="24" s="1"/>
  <c r="AS92" i="24" s="1"/>
  <c r="S118" i="24" s="1"/>
  <c r="E94" i="24"/>
  <c r="E96" i="24"/>
  <c r="AA78" i="24"/>
  <c r="E103" i="24"/>
  <c r="AR103" i="24"/>
  <c r="AF78" i="24"/>
  <c r="AG78" i="24"/>
  <c r="AH78" i="24"/>
  <c r="AH117" i="24" s="1"/>
  <c r="F26" i="23"/>
  <c r="K79" i="23"/>
  <c r="Q10" i="23"/>
  <c r="Q9" i="23" s="1"/>
  <c r="O9" i="23" s="1"/>
  <c r="O68" i="23" s="1"/>
  <c r="K89" i="23"/>
  <c r="E90" i="23"/>
  <c r="Q79" i="23"/>
  <c r="Q78" i="23" s="1"/>
  <c r="N89" i="23"/>
  <c r="N117" i="23" s="1"/>
  <c r="E94" i="23"/>
  <c r="AR94" i="23" s="1"/>
  <c r="U94" i="23" s="1"/>
  <c r="E97" i="23"/>
  <c r="AR97" i="23" s="1"/>
  <c r="E98" i="23"/>
  <c r="E100" i="23"/>
  <c r="AR100" i="23" s="1"/>
  <c r="AA78" i="23"/>
  <c r="AA117" i="23" s="1"/>
  <c r="Y101" i="23"/>
  <c r="E101" i="23"/>
  <c r="E103" i="23"/>
  <c r="AR103" i="23" s="1"/>
  <c r="E105" i="23"/>
  <c r="AR105" i="23" s="1"/>
  <c r="AF78" i="23"/>
  <c r="AF117" i="23" s="1"/>
  <c r="AO78" i="23"/>
  <c r="E115" i="23"/>
  <c r="AR115" i="23" s="1"/>
  <c r="AQ89" i="23"/>
  <c r="F26" i="22"/>
  <c r="BK8" i="22"/>
  <c r="BK67" i="22" s="1"/>
  <c r="M116" i="22"/>
  <c r="K88" i="22"/>
  <c r="E89" i="22"/>
  <c r="Q77" i="22"/>
  <c r="Q116" i="22" s="1"/>
  <c r="E91" i="22"/>
  <c r="AR91" i="22"/>
  <c r="E93" i="22"/>
  <c r="AR93" i="22"/>
  <c r="U93" i="22" s="1"/>
  <c r="E98" i="22"/>
  <c r="AR98" i="22" s="1"/>
  <c r="AE77" i="22"/>
  <c r="AG77" i="22"/>
  <c r="AG116" i="22" s="1"/>
  <c r="AS105" i="22" s="1"/>
  <c r="AG117" i="22" s="1"/>
  <c r="E106" i="22"/>
  <c r="AR106" i="22" s="1"/>
  <c r="AH106" i="22" s="1"/>
  <c r="AH77" i="22"/>
  <c r="AI78" i="22"/>
  <c r="AI77" i="22" s="1"/>
  <c r="AI116" i="22" s="1"/>
  <c r="E108" i="22"/>
  <c r="AR108" i="22" s="1"/>
  <c r="AJ108" i="22" s="1"/>
  <c r="AJ77" i="22"/>
  <c r="AJ116" i="22" s="1"/>
  <c r="AS108" i="22" s="1"/>
  <c r="AJ117" i="22" s="1"/>
  <c r="I89" i="21"/>
  <c r="Q78" i="21"/>
  <c r="Q117" i="21" s="1"/>
  <c r="E102" i="21"/>
  <c r="E104" i="21"/>
  <c r="E110" i="21"/>
  <c r="AR110" i="21" s="1"/>
  <c r="E115" i="21"/>
  <c r="H14" i="34"/>
  <c r="G14" i="34" s="1"/>
  <c r="F14" i="34"/>
  <c r="E14" i="34" s="1"/>
  <c r="K11" i="34"/>
  <c r="K10" i="34" s="1"/>
  <c r="K9" i="34" s="1"/>
  <c r="K8" i="34"/>
  <c r="K7" i="34" s="1"/>
  <c r="G26" i="34"/>
  <c r="E79" i="34"/>
  <c r="E96" i="34"/>
  <c r="AR96" i="34" s="1"/>
  <c r="X96" i="34"/>
  <c r="AB78" i="34"/>
  <c r="AB77" i="34" s="1"/>
  <c r="E102" i="34"/>
  <c r="AR102" i="34" s="1"/>
  <c r="E103" i="34"/>
  <c r="AR103" i="34" s="1"/>
  <c r="E104" i="34"/>
  <c r="AR104" i="34" s="1"/>
  <c r="AG77" i="34"/>
  <c r="AG116" i="34" s="1"/>
  <c r="AM78" i="34"/>
  <c r="AM77" i="34"/>
  <c r="AO77" i="34"/>
  <c r="F114" i="34"/>
  <c r="E114" i="34" s="1"/>
  <c r="AR114" i="34" s="1"/>
  <c r="O88" i="33"/>
  <c r="P86" i="33"/>
  <c r="L88" i="33"/>
  <c r="E90" i="33"/>
  <c r="R77" i="33"/>
  <c r="P92" i="33"/>
  <c r="E93" i="33"/>
  <c r="AR93" i="33" s="1"/>
  <c r="U93" i="33" s="1"/>
  <c r="E94" i="33"/>
  <c r="E95" i="33"/>
  <c r="AR95" i="33"/>
  <c r="X77" i="33"/>
  <c r="E98" i="33"/>
  <c r="AR98" i="33" s="1"/>
  <c r="Z98" i="33"/>
  <c r="AB77" i="33"/>
  <c r="E101" i="33"/>
  <c r="AR101" i="33" s="1"/>
  <c r="AD78" i="33"/>
  <c r="AE77" i="33"/>
  <c r="E104" i="33"/>
  <c r="E106" i="33"/>
  <c r="AR106" i="33" s="1"/>
  <c r="AN78" i="33"/>
  <c r="AN77" i="33" s="1"/>
  <c r="E113" i="33"/>
  <c r="AR113" i="33"/>
  <c r="AO97" i="33"/>
  <c r="E114" i="33"/>
  <c r="AR114" i="33" s="1"/>
  <c r="L67" i="32"/>
  <c r="BM15" i="32" s="1"/>
  <c r="BN15" i="32" s="1"/>
  <c r="P85" i="32"/>
  <c r="AR85" i="32" s="1"/>
  <c r="N88" i="32"/>
  <c r="N116" i="32" s="1"/>
  <c r="L88" i="32"/>
  <c r="J88" i="32"/>
  <c r="J116" i="32"/>
  <c r="I88" i="32"/>
  <c r="I116" i="32" s="1"/>
  <c r="E93" i="32"/>
  <c r="AR93" i="32" s="1"/>
  <c r="E98" i="32"/>
  <c r="AR98" i="32" s="1"/>
  <c r="Z98" i="32"/>
  <c r="E101" i="32"/>
  <c r="AR101" i="32" s="1"/>
  <c r="AD77" i="32"/>
  <c r="E109" i="32"/>
  <c r="AR109" i="32" s="1"/>
  <c r="AQ77" i="32"/>
  <c r="BL20" i="31"/>
  <c r="Q20" i="31" s="1"/>
  <c r="BL42" i="31"/>
  <c r="BI8" i="31"/>
  <c r="BJ8" i="31"/>
  <c r="G77" i="31"/>
  <c r="K78" i="31"/>
  <c r="Q10" i="31"/>
  <c r="O11" i="31"/>
  <c r="F96" i="31"/>
  <c r="E96" i="31" s="1"/>
  <c r="AR96" i="31" s="1"/>
  <c r="G33" i="31"/>
  <c r="F33" i="31" s="1"/>
  <c r="E33" i="31" s="1"/>
  <c r="BL33" i="31" s="1"/>
  <c r="M97" i="31"/>
  <c r="S25" i="31"/>
  <c r="K97" i="31"/>
  <c r="K88" i="31"/>
  <c r="Q25" i="31"/>
  <c r="Q67" i="31" s="1"/>
  <c r="BM20" i="31" s="1"/>
  <c r="BN20" i="31" s="1"/>
  <c r="I97" i="31"/>
  <c r="I88" i="31" s="1"/>
  <c r="I116" i="31" s="1"/>
  <c r="N25" i="31"/>
  <c r="N67" i="31" s="1"/>
  <c r="BL41" i="31"/>
  <c r="E114" i="48" s="1"/>
  <c r="H20" i="64" s="1"/>
  <c r="F98" i="31"/>
  <c r="E98" i="31" s="1"/>
  <c r="AR98" i="31" s="1"/>
  <c r="G46" i="31"/>
  <c r="F46" i="31" s="1"/>
  <c r="E46" i="31" s="1"/>
  <c r="BL46" i="31" s="1"/>
  <c r="Y100" i="31"/>
  <c r="E105" i="31"/>
  <c r="AR105" i="31" s="1"/>
  <c r="AG105" i="31" s="1"/>
  <c r="P105" i="31" s="1"/>
  <c r="F108" i="31"/>
  <c r="E108" i="31" s="1"/>
  <c r="AR108" i="31" s="1"/>
  <c r="AJ108" i="31" s="1"/>
  <c r="G56" i="31"/>
  <c r="F56" i="31"/>
  <c r="E56" i="31" s="1"/>
  <c r="BL56" i="31" s="1"/>
  <c r="AJ77" i="31"/>
  <c r="AO78" i="31"/>
  <c r="AO77" i="31" s="1"/>
  <c r="BF10" i="31"/>
  <c r="BF9" i="31" s="1"/>
  <c r="BF8" i="31" s="1"/>
  <c r="BH10" i="31"/>
  <c r="BH9" i="31" s="1"/>
  <c r="BH8" i="31" s="1"/>
  <c r="AQ78" i="31"/>
  <c r="AQ77" i="31" s="1"/>
  <c r="AQ116" i="31" s="1"/>
  <c r="BL15" i="30"/>
  <c r="L15" i="30" s="1"/>
  <c r="L10" i="30" s="1"/>
  <c r="L9" i="30" s="1"/>
  <c r="L8" i="30" s="1"/>
  <c r="L7" i="30" s="1"/>
  <c r="G77" i="30"/>
  <c r="F83" i="30"/>
  <c r="J88" i="30"/>
  <c r="T92" i="30"/>
  <c r="P92" i="30" s="1"/>
  <c r="AC78" i="30"/>
  <c r="AC77" i="30" s="1"/>
  <c r="AC116" i="30" s="1"/>
  <c r="AS101" i="30" s="1"/>
  <c r="E103" i="30"/>
  <c r="AR103" i="30" s="1"/>
  <c r="E106" i="30"/>
  <c r="AR106" i="30" s="1"/>
  <c r="AH106" i="30" s="1"/>
  <c r="E110" i="30"/>
  <c r="AR110" i="30" s="1"/>
  <c r="E113" i="30"/>
  <c r="AR113" i="30"/>
  <c r="BK8" i="40"/>
  <c r="N88" i="40"/>
  <c r="N116" i="40" s="1"/>
  <c r="L88" i="40"/>
  <c r="J88" i="40"/>
  <c r="J116" i="40" s="1"/>
  <c r="H88" i="40"/>
  <c r="H116" i="40" s="1"/>
  <c r="E89" i="40"/>
  <c r="K88" i="40"/>
  <c r="E92" i="40"/>
  <c r="AR92" i="40"/>
  <c r="T92" i="40" s="1"/>
  <c r="T77" i="40"/>
  <c r="P93" i="40"/>
  <c r="P86" i="40"/>
  <c r="AR86" i="40" s="1"/>
  <c r="AO77" i="40"/>
  <c r="AO116" i="40" s="1"/>
  <c r="E100" i="39"/>
  <c r="AR100" i="39" s="1"/>
  <c r="E107" i="39"/>
  <c r="AR107" i="39" s="1"/>
  <c r="E111" i="39"/>
  <c r="AR111" i="39" s="1"/>
  <c r="H14" i="38"/>
  <c r="G14" i="38" s="1"/>
  <c r="F14" i="38" s="1"/>
  <c r="E14" i="38" s="1"/>
  <c r="K11" i="38"/>
  <c r="K10" i="38" s="1"/>
  <c r="K9" i="38" s="1"/>
  <c r="K8" i="38" s="1"/>
  <c r="K7" i="38" s="1"/>
  <c r="T77" i="38"/>
  <c r="U77" i="38"/>
  <c r="AR98" i="38"/>
  <c r="AO77" i="38"/>
  <c r="Y114" i="38"/>
  <c r="L67" i="37"/>
  <c r="BM15" i="37"/>
  <c r="BN15" i="37" s="1"/>
  <c r="L88" i="37"/>
  <c r="L116" i="37" s="1"/>
  <c r="H88" i="37"/>
  <c r="H116" i="37" s="1"/>
  <c r="P86" i="37"/>
  <c r="AR86" i="37" s="1"/>
  <c r="N86" i="37" s="1"/>
  <c r="P80" i="37"/>
  <c r="AR80" i="37" s="1"/>
  <c r="E100" i="37"/>
  <c r="AR100" i="37" s="1"/>
  <c r="AB100" i="37" s="1"/>
  <c r="P100" i="37" s="1"/>
  <c r="E109" i="37"/>
  <c r="AR109" i="37" s="1"/>
  <c r="AM77" i="37"/>
  <c r="E112" i="37"/>
  <c r="AR112" i="37" s="1"/>
  <c r="AS112" i="37" s="1"/>
  <c r="AN117" i="37" s="1"/>
  <c r="E113" i="37"/>
  <c r="AR113" i="37"/>
  <c r="AO113" i="37" s="1"/>
  <c r="AH115" i="37"/>
  <c r="BG10" i="37"/>
  <c r="BG9" i="37" s="1"/>
  <c r="BG8" i="37" s="1"/>
  <c r="AP78" i="37"/>
  <c r="AP77" i="37" s="1"/>
  <c r="G20" i="37"/>
  <c r="F20" i="37" s="1"/>
  <c r="F82" i="37"/>
  <c r="Q25" i="37"/>
  <c r="Q67" i="37" s="1"/>
  <c r="K97" i="37"/>
  <c r="K88" i="37" s="1"/>
  <c r="K116" i="37" s="1"/>
  <c r="K11" i="37"/>
  <c r="K10" i="37" s="1"/>
  <c r="K9" i="37" s="1"/>
  <c r="K8" i="37" s="1"/>
  <c r="K7" i="37" s="1"/>
  <c r="H14" i="37"/>
  <c r="G14" i="37" s="1"/>
  <c r="F14" i="37" s="1"/>
  <c r="E14" i="37" s="1"/>
  <c r="F29" i="39"/>
  <c r="N115" i="39"/>
  <c r="G20" i="39"/>
  <c r="F20" i="39" s="1"/>
  <c r="BL20" i="39" s="1"/>
  <c r="Q20" i="39" s="1"/>
  <c r="F82" i="39"/>
  <c r="AN115" i="40"/>
  <c r="AU10" i="40"/>
  <c r="AU9" i="40"/>
  <c r="AU8" i="40" s="1"/>
  <c r="AU67" i="40" s="1"/>
  <c r="AD78" i="40"/>
  <c r="AD77" i="40"/>
  <c r="AD116" i="40" s="1"/>
  <c r="AA10" i="40"/>
  <c r="AA9" i="40" s="1"/>
  <c r="AA8" i="40" s="1"/>
  <c r="U78" i="40"/>
  <c r="BL23" i="40"/>
  <c r="T23" i="40" s="1"/>
  <c r="T8" i="40" s="1"/>
  <c r="T7" i="40" s="1"/>
  <c r="G20" i="40"/>
  <c r="F20" i="40"/>
  <c r="BL20" i="40" s="1"/>
  <c r="Q20" i="40" s="1"/>
  <c r="O20" i="40" s="1"/>
  <c r="E20" i="40" s="1"/>
  <c r="F82" i="40"/>
  <c r="G9" i="72"/>
  <c r="BL66" i="37"/>
  <c r="G18" i="26"/>
  <c r="F18" i="26" s="1"/>
  <c r="G18" i="22"/>
  <c r="G30" i="40"/>
  <c r="H25" i="40"/>
  <c r="BL15" i="40"/>
  <c r="L15" i="40" s="1"/>
  <c r="F93" i="39"/>
  <c r="E93" i="39" s="1"/>
  <c r="AR93" i="39" s="1"/>
  <c r="G30" i="39"/>
  <c r="F30" i="39" s="1"/>
  <c r="E30" i="39" s="1"/>
  <c r="BL30" i="39" s="1"/>
  <c r="H18" i="37"/>
  <c r="J67" i="37"/>
  <c r="BM13" i="37" s="1"/>
  <c r="BN13" i="37" s="1"/>
  <c r="P25" i="39"/>
  <c r="P67" i="39" s="1"/>
  <c r="J97" i="39"/>
  <c r="J115" i="37"/>
  <c r="L115" i="37"/>
  <c r="M115" i="40"/>
  <c r="U25" i="40"/>
  <c r="O97" i="40"/>
  <c r="O88" i="40" s="1"/>
  <c r="O116" i="40" s="1"/>
  <c r="U25" i="37"/>
  <c r="U67" i="37" s="1"/>
  <c r="O97" i="37"/>
  <c r="O88" i="37"/>
  <c r="O116" i="37" s="1"/>
  <c r="W10" i="37"/>
  <c r="W9" i="37" s="1"/>
  <c r="W8" i="37"/>
  <c r="W67" i="37" s="1"/>
  <c r="Q78" i="37"/>
  <c r="BH34" i="37"/>
  <c r="BJ67" i="38"/>
  <c r="BH34" i="38"/>
  <c r="G62" i="38"/>
  <c r="F62" i="38"/>
  <c r="E62" i="38" s="1"/>
  <c r="BL62" i="38" s="1"/>
  <c r="BG62" i="38" s="1"/>
  <c r="F114" i="38"/>
  <c r="E114" i="38"/>
  <c r="AR114" i="38" s="1"/>
  <c r="AP114" i="38" s="1"/>
  <c r="P114" i="38" s="1"/>
  <c r="AP97" i="38"/>
  <c r="AS10" i="38"/>
  <c r="AS9" i="38" s="1"/>
  <c r="AS8" i="38" s="1"/>
  <c r="AB78" i="38"/>
  <c r="AB77" i="38" s="1"/>
  <c r="BL47" i="38"/>
  <c r="AR47" i="38" s="1"/>
  <c r="AA97" i="38"/>
  <c r="AA88" i="38" s="1"/>
  <c r="W67" i="38"/>
  <c r="U67" i="38"/>
  <c r="T25" i="38"/>
  <c r="T67" i="38" s="1"/>
  <c r="BM23" i="38" s="1"/>
  <c r="BN23" i="38" s="1"/>
  <c r="T68" i="38" s="1"/>
  <c r="N97" i="38"/>
  <c r="N88" i="38" s="1"/>
  <c r="N116" i="38" s="1"/>
  <c r="BL33" i="30"/>
  <c r="AD33" i="30" s="1"/>
  <c r="AD25" i="30" s="1"/>
  <c r="AD7" i="30" s="1"/>
  <c r="AN115" i="30"/>
  <c r="N115" i="30"/>
  <c r="N67" i="30"/>
  <c r="D94" i="46" s="1"/>
  <c r="M25" i="30"/>
  <c r="H97" i="30"/>
  <c r="H88" i="30" s="1"/>
  <c r="H116" i="30" s="1"/>
  <c r="AE63" i="32"/>
  <c r="BL62" i="32"/>
  <c r="BG62" i="32"/>
  <c r="BG25" i="32" s="1"/>
  <c r="G53" i="32"/>
  <c r="F53" i="32" s="1"/>
  <c r="E53" i="32" s="1"/>
  <c r="BL53" i="32" s="1"/>
  <c r="AX53" i="32"/>
  <c r="F105" i="32"/>
  <c r="E105" i="32" s="1"/>
  <c r="AR105" i="32" s="1"/>
  <c r="AG105" i="32" s="1"/>
  <c r="G47" i="32"/>
  <c r="F47" i="32" s="1"/>
  <c r="E47" i="32" s="1"/>
  <c r="BL47" i="32" s="1"/>
  <c r="AR47" i="32" s="1"/>
  <c r="F99" i="32"/>
  <c r="E99" i="32" s="1"/>
  <c r="AR99" i="32" s="1"/>
  <c r="AA99" i="32" s="1"/>
  <c r="BL50" i="32"/>
  <c r="AD97" i="32"/>
  <c r="AU67" i="32"/>
  <c r="D10" i="72" s="1"/>
  <c r="W10" i="32"/>
  <c r="W9" i="32" s="1"/>
  <c r="W8" i="32" s="1"/>
  <c r="W67" i="32" s="1"/>
  <c r="D19" i="55" s="1"/>
  <c r="Q78" i="32"/>
  <c r="M25" i="32"/>
  <c r="H97" i="32"/>
  <c r="H88" i="32"/>
  <c r="H116" i="32" s="1"/>
  <c r="P9" i="32"/>
  <c r="P67" i="32"/>
  <c r="BL53" i="33"/>
  <c r="AX53" i="33"/>
  <c r="AX25" i="33" s="1"/>
  <c r="BL29" i="33"/>
  <c r="Z29" i="33" s="1"/>
  <c r="G23" i="33"/>
  <c r="F23" i="33" s="1"/>
  <c r="BL23" i="33" s="1"/>
  <c r="F86" i="33"/>
  <c r="T25" i="33"/>
  <c r="N97" i="33"/>
  <c r="AQ82" i="33"/>
  <c r="BH18" i="33"/>
  <c r="N67" i="33"/>
  <c r="J115" i="33"/>
  <c r="P10" i="33"/>
  <c r="J78" i="33"/>
  <c r="O11" i="33"/>
  <c r="I25" i="33"/>
  <c r="I67" i="33" s="1"/>
  <c r="D41" i="46" s="1"/>
  <c r="G97" i="33"/>
  <c r="G88" i="33" s="1"/>
  <c r="G116" i="33" s="1"/>
  <c r="V24" i="37"/>
  <c r="Y87" i="37"/>
  <c r="P87" i="37" s="1"/>
  <c r="AR87" i="37" s="1"/>
  <c r="V20" i="32"/>
  <c r="AE18" i="32"/>
  <c r="Y82" i="32"/>
  <c r="P82" i="32"/>
  <c r="V24" i="25"/>
  <c r="Y87" i="25"/>
  <c r="P87" i="25" s="1"/>
  <c r="AR87" i="25" s="1"/>
  <c r="E92" i="27"/>
  <c r="AR92" i="27" s="1"/>
  <c r="T77" i="28"/>
  <c r="BA10" i="39"/>
  <c r="BA9" i="39"/>
  <c r="BA8" i="39" s="1"/>
  <c r="BA67" i="39" s="1"/>
  <c r="BM56" i="39" s="1"/>
  <c r="BN56" i="39" s="1"/>
  <c r="AJ78" i="39"/>
  <c r="AJ77" i="39"/>
  <c r="AJ97" i="38"/>
  <c r="BF8" i="38"/>
  <c r="Y10" i="30"/>
  <c r="Y9" i="30"/>
  <c r="Y8" i="30" s="1"/>
  <c r="Y67" i="30" s="1"/>
  <c r="D69" i="47" s="1"/>
  <c r="F69" i="47" s="1"/>
  <c r="S78" i="30"/>
  <c r="S77" i="30"/>
  <c r="AY10" i="37"/>
  <c r="AY9" i="37" s="1"/>
  <c r="AY8" i="37" s="1"/>
  <c r="AH78" i="37"/>
  <c r="AH77" i="37" s="1"/>
  <c r="AH116" i="37" s="1"/>
  <c r="AS106" i="37" s="1"/>
  <c r="AH117" i="37" s="1"/>
  <c r="AT10" i="37"/>
  <c r="AT9" i="37" s="1"/>
  <c r="AT8" i="37" s="1"/>
  <c r="AC78" i="37"/>
  <c r="AC77" i="37"/>
  <c r="AC116" i="37" s="1"/>
  <c r="Y99" i="37"/>
  <c r="AR10" i="37"/>
  <c r="AR9" i="37"/>
  <c r="AR8" i="37" s="1"/>
  <c r="AR67" i="37" s="1"/>
  <c r="BM47" i="37" s="1"/>
  <c r="BN47" i="37" s="1"/>
  <c r="AR68" i="37" s="1"/>
  <c r="AA78" i="37"/>
  <c r="AA77" i="37" s="1"/>
  <c r="F40" i="37"/>
  <c r="F34" i="37" s="1"/>
  <c r="G34" i="37"/>
  <c r="BB10" i="38"/>
  <c r="BB9" i="38" s="1"/>
  <c r="BB8" i="38" s="1"/>
  <c r="AK78" i="38"/>
  <c r="AK77" i="38"/>
  <c r="AH97" i="38"/>
  <c r="AY67" i="38"/>
  <c r="AX10" i="38"/>
  <c r="AX9" i="38" s="1"/>
  <c r="AX8" i="38" s="1"/>
  <c r="AG78" i="38"/>
  <c r="AG77" i="38" s="1"/>
  <c r="AF97" i="38"/>
  <c r="AW67" i="38"/>
  <c r="BL40" i="38"/>
  <c r="AK40" i="38" s="1"/>
  <c r="AK34" i="38" s="1"/>
  <c r="AK25" i="38" s="1"/>
  <c r="E39" i="38"/>
  <c r="F34" i="38"/>
  <c r="BB10" i="39"/>
  <c r="BB9" i="39" s="1"/>
  <c r="BB8" i="39" s="1"/>
  <c r="AK78" i="39"/>
  <c r="AK77" i="39" s="1"/>
  <c r="AK116" i="39" s="1"/>
  <c r="BL53" i="39"/>
  <c r="G50" i="39"/>
  <c r="F50" i="39" s="1"/>
  <c r="E50" i="39" s="1"/>
  <c r="BL50" i="39" s="1"/>
  <c r="F102" i="39"/>
  <c r="E102" i="39" s="1"/>
  <c r="AR102" i="39" s="1"/>
  <c r="BD10" i="40"/>
  <c r="BD9" i="40" s="1"/>
  <c r="BD8" i="40" s="1"/>
  <c r="AM78" i="40"/>
  <c r="AM77" i="40" s="1"/>
  <c r="AM116" i="40" s="1"/>
  <c r="AH97" i="40"/>
  <c r="BL53" i="40"/>
  <c r="AG97" i="40"/>
  <c r="AQ10" i="40"/>
  <c r="AQ9" i="40"/>
  <c r="AQ8" i="40" s="1"/>
  <c r="AQ67" i="40" s="1"/>
  <c r="Z78" i="40"/>
  <c r="Z77" i="40" s="1"/>
  <c r="AK8" i="40"/>
  <c r="AK67" i="40" s="1"/>
  <c r="BM40" i="40" s="1"/>
  <c r="BN40" i="40" s="1"/>
  <c r="BD67" i="32"/>
  <c r="D18" i="78" s="1"/>
  <c r="Z115" i="32"/>
  <c r="F39" i="32"/>
  <c r="G34" i="32"/>
  <c r="AW8" i="33"/>
  <c r="AW67" i="33" s="1"/>
  <c r="D17" i="69" s="1"/>
  <c r="AQ8" i="33"/>
  <c r="AJ8" i="33"/>
  <c r="AJ67" i="33" s="1"/>
  <c r="I67" i="39"/>
  <c r="D46" i="46" s="1"/>
  <c r="H18" i="39"/>
  <c r="G18" i="39" s="1"/>
  <c r="J67" i="40"/>
  <c r="G115" i="40"/>
  <c r="AE63" i="34"/>
  <c r="Y115" i="34" s="1"/>
  <c r="BJ68" i="21"/>
  <c r="F65" i="22"/>
  <c r="G63" i="22"/>
  <c r="E64" i="23"/>
  <c r="G66" i="24"/>
  <c r="H63" i="24"/>
  <c r="F116" i="24" s="1"/>
  <c r="E116" i="24" s="1"/>
  <c r="E65" i="24"/>
  <c r="BL64" i="24"/>
  <c r="BI64" i="24" s="1"/>
  <c r="BI63" i="24" s="1"/>
  <c r="BI25" i="24"/>
  <c r="BH34" i="24"/>
  <c r="BJ8" i="25"/>
  <c r="BJ67" i="25" s="1"/>
  <c r="BM65" i="25" s="1"/>
  <c r="BN65" i="25" s="1"/>
  <c r="BJ68" i="25" s="1"/>
  <c r="V66" i="26"/>
  <c r="G65" i="26"/>
  <c r="F65" i="26" s="1"/>
  <c r="H63" i="26"/>
  <c r="BL66" i="29"/>
  <c r="BI67" i="29"/>
  <c r="G66" i="19"/>
  <c r="F66" i="19" s="1"/>
  <c r="H63" i="19"/>
  <c r="BL65" i="19"/>
  <c r="BL53" i="34"/>
  <c r="AG115" i="34"/>
  <c r="G49" i="34"/>
  <c r="F49" i="34" s="1"/>
  <c r="E49" i="34"/>
  <c r="BL49" i="34" s="1"/>
  <c r="AT49" i="34" s="1"/>
  <c r="AT25" i="34" s="1"/>
  <c r="AT7" i="34" s="1"/>
  <c r="F101" i="34"/>
  <c r="E101" i="34"/>
  <c r="AR101" i="34" s="1"/>
  <c r="AC101" i="34" s="1"/>
  <c r="AQ67" i="34"/>
  <c r="BB68" i="21"/>
  <c r="D16" i="73" s="1"/>
  <c r="G53" i="21"/>
  <c r="F53" i="21" s="1"/>
  <c r="E53" i="21" s="1"/>
  <c r="BL53" i="21" s="1"/>
  <c r="F106" i="21"/>
  <c r="E106" i="21" s="1"/>
  <c r="AR106" i="21" s="1"/>
  <c r="AG106" i="21" s="1"/>
  <c r="AA116" i="21"/>
  <c r="BL33" i="21"/>
  <c r="AC10" i="21"/>
  <c r="AC9" i="21" s="1"/>
  <c r="AC8" i="21" s="1"/>
  <c r="W79" i="21"/>
  <c r="G30" i="21"/>
  <c r="BG10" i="23"/>
  <c r="BG9" i="23" s="1"/>
  <c r="BG8" i="23" s="1"/>
  <c r="BG68" i="23" s="1"/>
  <c r="AP79" i="23"/>
  <c r="AP78" i="23" s="1"/>
  <c r="AO98" i="23"/>
  <c r="AV10" i="23"/>
  <c r="AV9" i="23" s="1"/>
  <c r="AV8" i="23" s="1"/>
  <c r="AE79" i="23"/>
  <c r="AE40" i="23"/>
  <c r="V40" i="23" s="1"/>
  <c r="AK34" i="23"/>
  <c r="AK25" i="23" s="1"/>
  <c r="AE40" i="24"/>
  <c r="V40" i="24" s="1"/>
  <c r="AK34" i="24"/>
  <c r="AK25" i="24"/>
  <c r="AK7" i="24" s="1"/>
  <c r="AK68" i="24"/>
  <c r="BM40" i="24" s="1"/>
  <c r="BN40" i="24" s="1"/>
  <c r="BG67" i="25"/>
  <c r="AK7" i="25"/>
  <c r="E39" i="26"/>
  <c r="BL39" i="26" s="1"/>
  <c r="F34" i="26"/>
  <c r="G40" i="27"/>
  <c r="H34" i="27"/>
  <c r="F97" i="27" s="1"/>
  <c r="AD10" i="27"/>
  <c r="AD9" i="27" s="1"/>
  <c r="AD8" i="27" s="1"/>
  <c r="AD67" i="27" s="1"/>
  <c r="BM33" i="27" s="1"/>
  <c r="BN33" i="27" s="1"/>
  <c r="X78" i="27"/>
  <c r="X77" i="27" s="1"/>
  <c r="G47" i="28"/>
  <c r="F47" i="28" s="1"/>
  <c r="E47" i="28" s="1"/>
  <c r="F99" i="28"/>
  <c r="E99" i="28" s="1"/>
  <c r="AR99" i="28" s="1"/>
  <c r="BC10" i="29"/>
  <c r="BC9" i="29" s="1"/>
  <c r="BC8" i="29" s="1"/>
  <c r="BC67" i="29" s="1"/>
  <c r="AL78" i="29"/>
  <c r="AL77" i="29" s="1"/>
  <c r="AL116" i="29" s="1"/>
  <c r="G53" i="19"/>
  <c r="F53" i="19"/>
  <c r="E53" i="19" s="1"/>
  <c r="BL53" i="19" s="1"/>
  <c r="F105" i="19"/>
  <c r="AV10" i="19"/>
  <c r="AV9" i="19" s="1"/>
  <c r="AV8" i="19" s="1"/>
  <c r="AE78" i="19"/>
  <c r="AE77" i="19" s="1"/>
  <c r="G29" i="19"/>
  <c r="H25" i="19"/>
  <c r="H67" i="19"/>
  <c r="D5" i="46" s="1"/>
  <c r="E55" i="47"/>
  <c r="Y28" i="19"/>
  <c r="BL23" i="21"/>
  <c r="T23" i="21" s="1"/>
  <c r="M116" i="23"/>
  <c r="J68" i="23"/>
  <c r="H18" i="23"/>
  <c r="I68" i="23"/>
  <c r="T67" i="25"/>
  <c r="E22" i="48"/>
  <c r="AF35" i="38"/>
  <c r="E89" i="32"/>
  <c r="P86" i="32"/>
  <c r="AR86" i="32" s="1"/>
  <c r="X77" i="32"/>
  <c r="E107" i="32"/>
  <c r="AR107" i="32"/>
  <c r="AI107" i="32" s="1"/>
  <c r="P107" i="32" s="1"/>
  <c r="AJ77" i="32"/>
  <c r="K67" i="31"/>
  <c r="BM14" i="31" s="1"/>
  <c r="BN14" i="31" s="1"/>
  <c r="T67" i="31"/>
  <c r="AW8" i="31"/>
  <c r="BA8" i="31"/>
  <c r="BA67" i="31" s="1"/>
  <c r="D19" i="74" s="1"/>
  <c r="G97" i="31"/>
  <c r="G88" i="31" s="1"/>
  <c r="I25" i="31"/>
  <c r="I67" i="31" s="1"/>
  <c r="M88" i="31"/>
  <c r="S78" i="31"/>
  <c r="S77" i="31"/>
  <c r="S116" i="31" s="1"/>
  <c r="Y10" i="31"/>
  <c r="Y9" i="31"/>
  <c r="Y8" i="31" s="1"/>
  <c r="Y67" i="31" s="1"/>
  <c r="L97" i="31"/>
  <c r="L88" i="31"/>
  <c r="R25" i="31"/>
  <c r="R67" i="31" s="1"/>
  <c r="F112" i="31"/>
  <c r="E112" i="31"/>
  <c r="AR112" i="31" s="1"/>
  <c r="G60" i="31"/>
  <c r="F60" i="31" s="1"/>
  <c r="E60" i="31" s="1"/>
  <c r="BL60" i="31" s="1"/>
  <c r="K78" i="40"/>
  <c r="Q10" i="40"/>
  <c r="O11" i="40"/>
  <c r="E110" i="40"/>
  <c r="AR110" i="40"/>
  <c r="E111" i="40"/>
  <c r="AR111" i="40"/>
  <c r="E113" i="40"/>
  <c r="AR113" i="40"/>
  <c r="E114" i="40"/>
  <c r="AR114" i="40"/>
  <c r="L67" i="39"/>
  <c r="E95" i="39"/>
  <c r="AR95" i="39"/>
  <c r="E105" i="39"/>
  <c r="AR105" i="39" s="1"/>
  <c r="AI77" i="39"/>
  <c r="E113" i="39"/>
  <c r="AR113" i="39" s="1"/>
  <c r="AP77" i="39"/>
  <c r="M88" i="38"/>
  <c r="H88" i="38"/>
  <c r="H116" i="38" s="1"/>
  <c r="AS80" i="38" s="1"/>
  <c r="H117" i="38" s="1"/>
  <c r="E91" i="38"/>
  <c r="E92" i="38"/>
  <c r="AR92" i="38"/>
  <c r="T92" i="38" s="1"/>
  <c r="AH77" i="38"/>
  <c r="R77" i="37"/>
  <c r="E101" i="37"/>
  <c r="AR101" i="37" s="1"/>
  <c r="AC101" i="37" s="1"/>
  <c r="E106" i="37"/>
  <c r="AR106" i="37" s="1"/>
  <c r="AH106" i="37" s="1"/>
  <c r="AA10" i="37"/>
  <c r="AA9" i="37"/>
  <c r="AA8" i="37" s="1"/>
  <c r="U78" i="37"/>
  <c r="U77" i="37"/>
  <c r="U116" i="37" s="1"/>
  <c r="BL62" i="39"/>
  <c r="BG62" i="39" s="1"/>
  <c r="AR10" i="39"/>
  <c r="AR9" i="39" s="1"/>
  <c r="AR8" i="39" s="1"/>
  <c r="AA78" i="39"/>
  <c r="AA77" i="39"/>
  <c r="AA116" i="39" s="1"/>
  <c r="T25" i="39"/>
  <c r="T67" i="39"/>
  <c r="N97" i="39"/>
  <c r="N88" i="39"/>
  <c r="N116" i="39" s="1"/>
  <c r="F64" i="40"/>
  <c r="BE10" i="40"/>
  <c r="BE9" i="40" s="1"/>
  <c r="BE8" i="40"/>
  <c r="BE67" i="40" s="1"/>
  <c r="AN78" i="40"/>
  <c r="AN77" i="40" s="1"/>
  <c r="AN116" i="40" s="1"/>
  <c r="BL50" i="40"/>
  <c r="AR10" i="40"/>
  <c r="AR9" i="40"/>
  <c r="AR8" i="40" s="1"/>
  <c r="AR67" i="40" s="1"/>
  <c r="BM47" i="40" s="1"/>
  <c r="BN47" i="40" s="1"/>
  <c r="AA78" i="40"/>
  <c r="AA77" i="40" s="1"/>
  <c r="H25" i="23"/>
  <c r="F89" i="30"/>
  <c r="E89" i="30" s="1"/>
  <c r="G26" i="30"/>
  <c r="H63" i="40"/>
  <c r="G66" i="40"/>
  <c r="F66" i="40"/>
  <c r="E66" i="40" s="1"/>
  <c r="BL66" i="40" s="1"/>
  <c r="H25" i="39"/>
  <c r="F92" i="39"/>
  <c r="E92" i="39" s="1"/>
  <c r="G23" i="39"/>
  <c r="F23" i="39" s="1"/>
  <c r="F86" i="39"/>
  <c r="P9" i="39"/>
  <c r="P67" i="37"/>
  <c r="D123" i="46" s="1"/>
  <c r="P9" i="37"/>
  <c r="N25" i="40"/>
  <c r="N67" i="40" s="1"/>
  <c r="I97" i="40"/>
  <c r="I88" i="40" s="1"/>
  <c r="I116" i="40" s="1"/>
  <c r="X10" i="39"/>
  <c r="X9" i="39" s="1"/>
  <c r="X8" i="39" s="1"/>
  <c r="X67" i="39" s="1"/>
  <c r="D23" i="54" s="1"/>
  <c r="R78" i="39"/>
  <c r="AB10" i="40"/>
  <c r="AB9" i="40" s="1"/>
  <c r="AB8" i="40" s="1"/>
  <c r="V78" i="40"/>
  <c r="V77" i="40" s="1"/>
  <c r="AE63" i="40"/>
  <c r="Y102" i="40"/>
  <c r="BE10" i="38"/>
  <c r="BE9" i="38" s="1"/>
  <c r="BE8" i="38" s="1"/>
  <c r="BE67" i="38" s="1"/>
  <c r="AN78" i="38"/>
  <c r="AN77" i="38" s="1"/>
  <c r="AN116" i="38" s="1"/>
  <c r="F64" i="30"/>
  <c r="G53" i="30"/>
  <c r="F105" i="30"/>
  <c r="E105" i="30" s="1"/>
  <c r="AR105" i="30" s="1"/>
  <c r="G30" i="30"/>
  <c r="F30" i="30" s="1"/>
  <c r="E30" i="30"/>
  <c r="BL30" i="30" s="1"/>
  <c r="AA30" i="30" s="1"/>
  <c r="V30" i="30" s="1"/>
  <c r="F93" i="30"/>
  <c r="E93" i="30" s="1"/>
  <c r="AR93" i="30" s="1"/>
  <c r="Z10" i="30"/>
  <c r="Z9" i="30" s="1"/>
  <c r="Z8" i="30" s="1"/>
  <c r="T78" i="30"/>
  <c r="T77" i="30" s="1"/>
  <c r="T25" i="30"/>
  <c r="T67" i="30" s="1"/>
  <c r="N97" i="30"/>
  <c r="N88" i="30"/>
  <c r="N116" i="30" s="1"/>
  <c r="R25" i="30"/>
  <c r="R67" i="30" s="1"/>
  <c r="L97" i="30"/>
  <c r="L88" i="30" s="1"/>
  <c r="L116" i="30"/>
  <c r="K67" i="30"/>
  <c r="BM14" i="30" s="1"/>
  <c r="BN14" i="30" s="1"/>
  <c r="H18" i="30"/>
  <c r="G18" i="30"/>
  <c r="F18" i="30" s="1"/>
  <c r="J67" i="30"/>
  <c r="I25" i="30"/>
  <c r="I67" i="30" s="1"/>
  <c r="G97" i="30"/>
  <c r="G88" i="30" s="1"/>
  <c r="AX8" i="32"/>
  <c r="AS10" i="32"/>
  <c r="AS9" i="32" s="1"/>
  <c r="AS8" i="32" s="1"/>
  <c r="AB78" i="32"/>
  <c r="AB77" i="32" s="1"/>
  <c r="AB116" i="32" s="1"/>
  <c r="AR8" i="32"/>
  <c r="G29" i="32"/>
  <c r="F92" i="32"/>
  <c r="G28" i="32"/>
  <c r="F28" i="32" s="1"/>
  <c r="E28" i="32" s="1"/>
  <c r="BL28" i="32" s="1"/>
  <c r="F91" i="32"/>
  <c r="Q25" i="32"/>
  <c r="Q67" i="32" s="1"/>
  <c r="K97" i="32"/>
  <c r="K88" i="32" s="1"/>
  <c r="K116" i="32" s="1"/>
  <c r="BI8" i="33"/>
  <c r="BI67" i="33" s="1"/>
  <c r="W8" i="33"/>
  <c r="W67" i="33" s="1"/>
  <c r="L67" i="27"/>
  <c r="V20" i="38"/>
  <c r="Y82" i="38"/>
  <c r="P82" i="38" s="1"/>
  <c r="AR82" i="38" s="1"/>
  <c r="V23" i="39"/>
  <c r="Y86" i="39"/>
  <c r="P86" i="39"/>
  <c r="AR86" i="39" s="1"/>
  <c r="N86" i="39" s="1"/>
  <c r="N77" i="39" s="1"/>
  <c r="N76" i="39" s="1"/>
  <c r="V21" i="40"/>
  <c r="AE18" i="40"/>
  <c r="Y83" i="40"/>
  <c r="P83" i="40" s="1"/>
  <c r="AR83" i="40"/>
  <c r="V24" i="30"/>
  <c r="Y87" i="30"/>
  <c r="P87" i="30" s="1"/>
  <c r="AR87" i="30" s="1"/>
  <c r="O87" i="30" s="1"/>
  <c r="V21" i="30"/>
  <c r="AE18" i="30"/>
  <c r="V21" i="31"/>
  <c r="Y83" i="31"/>
  <c r="T77" i="34"/>
  <c r="BA8" i="32"/>
  <c r="BA10" i="40"/>
  <c r="BA9" i="40" s="1"/>
  <c r="BA8" i="40" s="1"/>
  <c r="AJ78" i="40"/>
  <c r="AJ77" i="40" s="1"/>
  <c r="AJ116" i="40" s="1"/>
  <c r="R67" i="33"/>
  <c r="S97" i="37"/>
  <c r="S88" i="37" s="1"/>
  <c r="Y10" i="38"/>
  <c r="Y9" i="38" s="1"/>
  <c r="S78" i="38"/>
  <c r="BC10" i="37"/>
  <c r="BC9" i="37" s="1"/>
  <c r="BC8" i="37" s="1"/>
  <c r="AL78" i="37"/>
  <c r="AL77" i="37" s="1"/>
  <c r="BB10" i="37"/>
  <c r="BB9" i="37"/>
  <c r="BB8" i="37" s="1"/>
  <c r="AK78" i="37"/>
  <c r="AK77" i="37" s="1"/>
  <c r="AK116" i="37" s="1"/>
  <c r="G50" i="37"/>
  <c r="F50" i="37" s="1"/>
  <c r="E50" i="37" s="1"/>
  <c r="BL50" i="37" s="1"/>
  <c r="AU50" i="37" s="1"/>
  <c r="F102" i="37"/>
  <c r="AJ8" i="37"/>
  <c r="G53" i="38"/>
  <c r="F53" i="38" s="1"/>
  <c r="F105" i="38"/>
  <c r="E105" i="38" s="1"/>
  <c r="AR105" i="38" s="1"/>
  <c r="AG105" i="38" s="1"/>
  <c r="G34" i="38"/>
  <c r="AC10" i="38"/>
  <c r="AC9" i="38" s="1"/>
  <c r="AC8" i="38" s="1"/>
  <c r="W78" i="38"/>
  <c r="BD10" i="39"/>
  <c r="BD9" i="39" s="1"/>
  <c r="BD8" i="39" s="1"/>
  <c r="AM78" i="39"/>
  <c r="AM77" i="39" s="1"/>
  <c r="AM116" i="39" s="1"/>
  <c r="BC10" i="39"/>
  <c r="BC9" i="39" s="1"/>
  <c r="BC8" i="39" s="1"/>
  <c r="AL78" i="39"/>
  <c r="AL77" i="39" s="1"/>
  <c r="AL116" i="39" s="1"/>
  <c r="AU10" i="39"/>
  <c r="AU9" i="39" s="1"/>
  <c r="AU8" i="39" s="1"/>
  <c r="AU67" i="39" s="1"/>
  <c r="AD78" i="39"/>
  <c r="AD77" i="39"/>
  <c r="AT10" i="39"/>
  <c r="AT9" i="39" s="1"/>
  <c r="AT8" i="39" s="1"/>
  <c r="AC78" i="39"/>
  <c r="AC77" i="39" s="1"/>
  <c r="AC116" i="39" s="1"/>
  <c r="AC10" i="40"/>
  <c r="AC9" i="40" s="1"/>
  <c r="AC8" i="40" s="1"/>
  <c r="AC67" i="40" s="1"/>
  <c r="D22" i="56" s="1"/>
  <c r="W78" i="40"/>
  <c r="W77" i="40" s="1"/>
  <c r="BD10" i="30"/>
  <c r="BD9" i="30" s="1"/>
  <c r="BD8" i="30" s="1"/>
  <c r="BD67" i="30" s="1"/>
  <c r="D20" i="78" s="1"/>
  <c r="AM78" i="30"/>
  <c r="AW10" i="30"/>
  <c r="AW9" i="30" s="1"/>
  <c r="AW8" i="30" s="1"/>
  <c r="AW67" i="30" s="1"/>
  <c r="BM52" i="30" s="1"/>
  <c r="BN52" i="30" s="1"/>
  <c r="AF78" i="30"/>
  <c r="AF77" i="30" s="1"/>
  <c r="Z97" i="30"/>
  <c r="AQ25" i="30"/>
  <c r="AV8" i="32"/>
  <c r="BD8" i="33"/>
  <c r="BD67" i="33" s="1"/>
  <c r="D441" i="47" s="1"/>
  <c r="H18" i="38"/>
  <c r="I67" i="40"/>
  <c r="D45" i="46" s="1"/>
  <c r="H18" i="40"/>
  <c r="V65" i="23"/>
  <c r="AE63" i="23"/>
  <c r="Y116" i="23" s="1"/>
  <c r="P116" i="23" s="1"/>
  <c r="G65" i="23"/>
  <c r="G63" i="23" s="1"/>
  <c r="H63" i="23"/>
  <c r="BJ25" i="26"/>
  <c r="BH34" i="26"/>
  <c r="BJ25" i="27"/>
  <c r="BH34" i="27"/>
  <c r="BH25" i="27" s="1"/>
  <c r="E64" i="27"/>
  <c r="BI8" i="27"/>
  <c r="BI67" i="27" s="1"/>
  <c r="BJ25" i="29"/>
  <c r="BJ67" i="29" s="1"/>
  <c r="BH34" i="29"/>
  <c r="AE63" i="29"/>
  <c r="G30" i="22"/>
  <c r="F30" i="22"/>
  <c r="E30" i="22" s="1"/>
  <c r="BL29" i="22"/>
  <c r="Z29" i="22" s="1"/>
  <c r="Z25" i="22" s="1"/>
  <c r="BL62" i="22"/>
  <c r="BG62" i="22"/>
  <c r="V62" i="22" s="1"/>
  <c r="BA8" i="22"/>
  <c r="BA67" i="22" s="1"/>
  <c r="AS8" i="22"/>
  <c r="BC8" i="23"/>
  <c r="BC68" i="23" s="1"/>
  <c r="D14" i="79" s="1"/>
  <c r="AW8" i="23"/>
  <c r="AW68" i="23" s="1"/>
  <c r="BL39" i="23"/>
  <c r="AJ39" i="23" s="1"/>
  <c r="E34" i="23"/>
  <c r="BL28" i="23"/>
  <c r="BL47" i="24"/>
  <c r="AR47" i="24" s="1"/>
  <c r="AR8" i="24"/>
  <c r="BL33" i="24"/>
  <c r="AV8" i="25"/>
  <c r="BL47" i="25"/>
  <c r="BL47" i="26"/>
  <c r="AQ8" i="27"/>
  <c r="AQ67" i="27" s="1"/>
  <c r="D158" i="47" s="1"/>
  <c r="F158" i="47" s="1"/>
  <c r="AK8" i="27"/>
  <c r="AK67" i="27" s="1"/>
  <c r="BG8" i="28"/>
  <c r="AQ67" i="28"/>
  <c r="BL30" i="28"/>
  <c r="BL29" i="28"/>
  <c r="Z29" i="28" s="1"/>
  <c r="V29" i="28" s="1"/>
  <c r="BL30" i="29"/>
  <c r="BD67" i="29"/>
  <c r="D7" i="78" s="1"/>
  <c r="AR8" i="29"/>
  <c r="AR67" i="29" s="1"/>
  <c r="BM47" i="29" s="1"/>
  <c r="BN47" i="29" s="1"/>
  <c r="AB8" i="19"/>
  <c r="BL23" i="34"/>
  <c r="T23" i="34" s="1"/>
  <c r="N67" i="34"/>
  <c r="N67" i="22"/>
  <c r="D88" i="46" s="1"/>
  <c r="N68" i="23"/>
  <c r="U68" i="24"/>
  <c r="D13" i="49" s="1"/>
  <c r="V20" i="24"/>
  <c r="AE18" i="24"/>
  <c r="BL20" i="25"/>
  <c r="M67" i="25"/>
  <c r="D60" i="46" s="1"/>
  <c r="AF67" i="39"/>
  <c r="D23" i="61" s="1"/>
  <c r="E17" i="48"/>
  <c r="H19" i="61" s="1"/>
  <c r="AF35" i="32"/>
  <c r="AF34" i="32" s="1"/>
  <c r="AF25" i="32" s="1"/>
  <c r="E46" i="48"/>
  <c r="AG36" i="38"/>
  <c r="I67" i="25"/>
  <c r="D35" i="46" s="1"/>
  <c r="N67" i="26"/>
  <c r="J67" i="26"/>
  <c r="N67" i="28"/>
  <c r="D82" i="46" s="1"/>
  <c r="K67" i="29"/>
  <c r="BM14" i="29" s="1"/>
  <c r="BN14" i="29" s="1"/>
  <c r="S67" i="29"/>
  <c r="D9" i="50" s="1"/>
  <c r="BL24" i="23"/>
  <c r="H14" i="49" s="1"/>
  <c r="H63" i="33"/>
  <c r="H34" i="30"/>
  <c r="H34" i="38"/>
  <c r="H18" i="29"/>
  <c r="H18" i="25"/>
  <c r="AE18" i="28"/>
  <c r="E34" i="29"/>
  <c r="E34" i="26"/>
  <c r="BL34" i="26" s="1"/>
  <c r="AJ8" i="22"/>
  <c r="AJ67" i="22" s="1"/>
  <c r="AK8" i="23"/>
  <c r="AK68" i="23" s="1"/>
  <c r="BM40" i="23" s="1"/>
  <c r="BN40" i="23" s="1"/>
  <c r="AW8" i="24"/>
  <c r="AV8" i="26"/>
  <c r="AV67" i="26" s="1"/>
  <c r="D10" i="70" s="1"/>
  <c r="AW8" i="28"/>
  <c r="Z8" i="28"/>
  <c r="Z67" i="28" s="1"/>
  <c r="BM29" i="28" s="1"/>
  <c r="BN29" i="28" s="1"/>
  <c r="BA8" i="29"/>
  <c r="AK8" i="19"/>
  <c r="AK67" i="19" s="1"/>
  <c r="BM40" i="19" s="1"/>
  <c r="BN40" i="19" s="1"/>
  <c r="AK68" i="19" s="1"/>
  <c r="P67" i="34"/>
  <c r="K67" i="34"/>
  <c r="BM14" i="34"/>
  <c r="BN14" i="34" s="1"/>
  <c r="I68" i="21"/>
  <c r="D39" i="46" s="1"/>
  <c r="V20" i="23"/>
  <c r="Q68" i="23"/>
  <c r="P68" i="23"/>
  <c r="D14" i="41" s="1"/>
  <c r="R68" i="24"/>
  <c r="D136" i="46" s="1"/>
  <c r="N68" i="24"/>
  <c r="R67" i="25"/>
  <c r="BM21" i="25" s="1"/>
  <c r="BN21" i="25" s="1"/>
  <c r="J67" i="25"/>
  <c r="P67" i="26"/>
  <c r="BL23" i="28"/>
  <c r="R67" i="28"/>
  <c r="J67" i="29"/>
  <c r="I67" i="29"/>
  <c r="Q67" i="29"/>
  <c r="P67" i="29"/>
  <c r="D8" i="41" s="1"/>
  <c r="S67" i="19"/>
  <c r="D8" i="50" s="1"/>
  <c r="K67" i="19"/>
  <c r="BM14" i="19" s="1"/>
  <c r="BN14" i="19" s="1"/>
  <c r="AQ31" i="84"/>
  <c r="AP8" i="84"/>
  <c r="F33" i="84"/>
  <c r="AG8" i="24"/>
  <c r="AG68" i="24" s="1"/>
  <c r="AN67" i="22"/>
  <c r="D157" i="48" s="1"/>
  <c r="AO8" i="24"/>
  <c r="AO67" i="34"/>
  <c r="AO8" i="39"/>
  <c r="AO67" i="39" s="1"/>
  <c r="AP68" i="23"/>
  <c r="BL19" i="32"/>
  <c r="BL24" i="37"/>
  <c r="BL24" i="39"/>
  <c r="BL32" i="25"/>
  <c r="BL32" i="27"/>
  <c r="BL36" i="27"/>
  <c r="E32" i="48" s="1"/>
  <c r="H11" i="60" s="1"/>
  <c r="BL37" i="23"/>
  <c r="AH37" i="23" s="1"/>
  <c r="BL41" i="23"/>
  <c r="BL42" i="32"/>
  <c r="BL42" i="34"/>
  <c r="AM42" i="34" s="1"/>
  <c r="AE42" i="34" s="1"/>
  <c r="V42" i="34" s="1"/>
  <c r="BL43" i="33"/>
  <c r="BL50" i="22"/>
  <c r="E238" i="47" s="1"/>
  <c r="BL55" i="39"/>
  <c r="G23" i="75"/>
  <c r="AN8" i="24"/>
  <c r="AN68" i="24" s="1"/>
  <c r="D13" i="62" s="1"/>
  <c r="BL26" i="38"/>
  <c r="BL26" i="29"/>
  <c r="BL45" i="19"/>
  <c r="AP45" i="19" s="1"/>
  <c r="AP34" i="19" s="1"/>
  <c r="AP25" i="19" s="1"/>
  <c r="AP7" i="19" s="1"/>
  <c r="BL45" i="23"/>
  <c r="BL45" i="28"/>
  <c r="BL45" i="29"/>
  <c r="BL46" i="21"/>
  <c r="BL46" i="28"/>
  <c r="AS48" i="25"/>
  <c r="AS25" i="25" s="1"/>
  <c r="E185" i="47"/>
  <c r="H11" i="65" s="1"/>
  <c r="BL51" i="37"/>
  <c r="BL52" i="23"/>
  <c r="BL52" i="29"/>
  <c r="BL54" i="37"/>
  <c r="BL54" i="39"/>
  <c r="BL55" i="40"/>
  <c r="BL55" i="30"/>
  <c r="E344" i="47" s="1"/>
  <c r="H20" i="75" s="1"/>
  <c r="BL55" i="33"/>
  <c r="E341" i="47" s="1"/>
  <c r="H17" i="75" s="1"/>
  <c r="BL55" i="21"/>
  <c r="E339" i="47" s="1"/>
  <c r="H15" i="75" s="1"/>
  <c r="BL55" i="23"/>
  <c r="AZ55" i="23" s="1"/>
  <c r="V55" i="23" s="1"/>
  <c r="BL55" i="27"/>
  <c r="BH11" i="39"/>
  <c r="BH11" i="34"/>
  <c r="BH11" i="28"/>
  <c r="AQ78" i="28" s="1"/>
  <c r="AQ77" i="28" s="1"/>
  <c r="C6" i="65"/>
  <c r="C6" i="74"/>
  <c r="BL56" i="38"/>
  <c r="BL56" i="28"/>
  <c r="BL57" i="38"/>
  <c r="BL57" i="40"/>
  <c r="E395" i="47" s="1"/>
  <c r="H22" i="73" s="1"/>
  <c r="BL58" i="19"/>
  <c r="BL58" i="33"/>
  <c r="BL58" i="25"/>
  <c r="BL58" i="27"/>
  <c r="BL59" i="40"/>
  <c r="BL59" i="32"/>
  <c r="BL59" i="26"/>
  <c r="BL61" i="37"/>
  <c r="E498" i="47" s="1"/>
  <c r="BL61" i="21"/>
  <c r="E489" i="47" s="1"/>
  <c r="E23" i="77"/>
  <c r="BL60" i="37"/>
  <c r="BM60" i="37" s="1"/>
  <c r="BN60" i="37" s="1"/>
  <c r="Y47" i="13" s="1"/>
  <c r="BL60" i="22"/>
  <c r="E463" i="47" s="1"/>
  <c r="BL60" i="27"/>
  <c r="BE60" i="27" s="1"/>
  <c r="BE25" i="27" s="1"/>
  <c r="BL60" i="29"/>
  <c r="BE60" i="29" s="1"/>
  <c r="BE25" i="29" s="1"/>
  <c r="BE7" i="29" s="1"/>
  <c r="BH11" i="37"/>
  <c r="BH11" i="19"/>
  <c r="BH10" i="19" s="1"/>
  <c r="BH11" i="38"/>
  <c r="BH11" i="30"/>
  <c r="BH11" i="22"/>
  <c r="D9" i="81"/>
  <c r="F25" i="81"/>
  <c r="BH11" i="24"/>
  <c r="BH10" i="24" s="1"/>
  <c r="BH9" i="24" s="1"/>
  <c r="BH8" i="24" s="1"/>
  <c r="BH11" i="25"/>
  <c r="BH10" i="25" s="1"/>
  <c r="BH11" i="26"/>
  <c r="BH10" i="26" s="1"/>
  <c r="BH11" i="27"/>
  <c r="E25" i="81"/>
  <c r="E293" i="47"/>
  <c r="G19" i="69"/>
  <c r="AW52" i="31"/>
  <c r="V52" i="31" s="1"/>
  <c r="E66" i="48"/>
  <c r="T20" i="89" s="1"/>
  <c r="AH37" i="31"/>
  <c r="AE37" i="31" s="1"/>
  <c r="V37" i="31" s="1"/>
  <c r="AQ79" i="24"/>
  <c r="AQ78" i="24" s="1"/>
  <c r="BH10" i="38"/>
  <c r="BH9" i="38" s="1"/>
  <c r="BH8" i="38" s="1"/>
  <c r="AQ78" i="38"/>
  <c r="AQ77" i="38" s="1"/>
  <c r="BF61" i="37"/>
  <c r="E434" i="47"/>
  <c r="E445" i="47"/>
  <c r="G21" i="78" s="1"/>
  <c r="BD59" i="40"/>
  <c r="V59" i="40" s="1"/>
  <c r="E408" i="47"/>
  <c r="H10" i="79" s="1"/>
  <c r="BC58" i="33"/>
  <c r="BC25" i="33" s="1"/>
  <c r="E372" i="47"/>
  <c r="BA56" i="38"/>
  <c r="BH10" i="28"/>
  <c r="BH9" i="28" s="1"/>
  <c r="BH8" i="28" s="1"/>
  <c r="AQ78" i="34"/>
  <c r="AQ77" i="34" s="1"/>
  <c r="BH10" i="34"/>
  <c r="BH9" i="34" s="1"/>
  <c r="BH8" i="34" s="1"/>
  <c r="E337" i="47"/>
  <c r="H13" i="75" s="1"/>
  <c r="E345" i="47"/>
  <c r="AZ55" i="40"/>
  <c r="AZ25" i="40" s="1"/>
  <c r="E323" i="47"/>
  <c r="AY54" i="37"/>
  <c r="E273" i="47"/>
  <c r="AV51" i="37"/>
  <c r="AQ46" i="21"/>
  <c r="AQ25" i="21" s="1"/>
  <c r="E197" i="48"/>
  <c r="AZ55" i="39"/>
  <c r="AZ25" i="39" s="1"/>
  <c r="AZ7" i="39" s="1"/>
  <c r="AM42" i="32"/>
  <c r="AM34" i="32" s="1"/>
  <c r="AM25" i="32" s="1"/>
  <c r="AM7" i="32" s="1"/>
  <c r="E137" i="48"/>
  <c r="E19" i="63" s="1"/>
  <c r="AG36" i="27"/>
  <c r="AE36" i="27" s="1"/>
  <c r="V36" i="27" s="1"/>
  <c r="E108" i="47"/>
  <c r="E198" i="46"/>
  <c r="U24" i="37"/>
  <c r="AO68" i="24"/>
  <c r="BM44" i="24" s="1"/>
  <c r="BN44" i="24" s="1"/>
  <c r="D135" i="46"/>
  <c r="F135" i="46" s="1"/>
  <c r="E187" i="46"/>
  <c r="U24" i="23"/>
  <c r="D84" i="46"/>
  <c r="AE36" i="38"/>
  <c r="V36" i="38" s="1"/>
  <c r="AG34" i="38"/>
  <c r="AG25" i="38" s="1"/>
  <c r="D21" i="48"/>
  <c r="BM35" i="39"/>
  <c r="BN35" i="39" s="1"/>
  <c r="W29" i="13" s="1"/>
  <c r="BL20" i="24"/>
  <c r="BM20" i="24" s="1"/>
  <c r="BN20" i="24" s="1"/>
  <c r="D87" i="46"/>
  <c r="D90" i="46"/>
  <c r="AR7" i="29"/>
  <c r="AV67" i="25"/>
  <c r="D11" i="70" s="1"/>
  <c r="AQ97" i="27"/>
  <c r="AQ88" i="27" s="1"/>
  <c r="AQ97" i="26"/>
  <c r="AQ88" i="26" s="1"/>
  <c r="BH25" i="26"/>
  <c r="F116" i="23"/>
  <c r="G18" i="38"/>
  <c r="AV67" i="32"/>
  <c r="D18" i="70" s="1"/>
  <c r="E102" i="37"/>
  <c r="AR102" i="37" s="1"/>
  <c r="S77" i="38"/>
  <c r="D141" i="46"/>
  <c r="BA67" i="32"/>
  <c r="D18" i="74" s="1"/>
  <c r="BL20" i="38"/>
  <c r="E91" i="32"/>
  <c r="AR91" i="32"/>
  <c r="AR67" i="32"/>
  <c r="BM47" i="32" s="1"/>
  <c r="BN47" i="32" s="1"/>
  <c r="E64" i="30"/>
  <c r="R77" i="39"/>
  <c r="O9" i="37"/>
  <c r="F88" i="39"/>
  <c r="F26" i="30"/>
  <c r="G63" i="40"/>
  <c r="AR91" i="38"/>
  <c r="S91" i="38" s="1"/>
  <c r="AP116" i="39"/>
  <c r="AI116" i="39"/>
  <c r="Q9" i="40"/>
  <c r="AW67" i="31"/>
  <c r="D293" i="47" s="1"/>
  <c r="F293" i="47" s="1"/>
  <c r="AJ116" i="32"/>
  <c r="X116" i="32"/>
  <c r="AS96" i="32" s="1"/>
  <c r="X117" i="32" s="1"/>
  <c r="AE116" i="19"/>
  <c r="F40" i="27"/>
  <c r="G34" i="27"/>
  <c r="D165" i="47"/>
  <c r="F115" i="19"/>
  <c r="F115" i="26"/>
  <c r="E115" i="26" s="1"/>
  <c r="F66" i="24"/>
  <c r="G63" i="24"/>
  <c r="AQ7" i="33"/>
  <c r="AQ67" i="33"/>
  <c r="BM46" i="33" s="1"/>
  <c r="BN46" i="33" s="1"/>
  <c r="AX53" i="39"/>
  <c r="BM53" i="39"/>
  <c r="BN53" i="39" s="1"/>
  <c r="AX68" i="39" s="1"/>
  <c r="AE40" i="38"/>
  <c r="V40" i="38" s="1"/>
  <c r="AX67" i="38"/>
  <c r="E40" i="37"/>
  <c r="AY67" i="37"/>
  <c r="V18" i="32"/>
  <c r="D91" i="46"/>
  <c r="AR86" i="33"/>
  <c r="BM19" i="32"/>
  <c r="BN19" i="32" s="1"/>
  <c r="AS105" i="32"/>
  <c r="AG117" i="32" s="1"/>
  <c r="V62" i="32"/>
  <c r="BG7" i="32"/>
  <c r="V33" i="30"/>
  <c r="AB116" i="38"/>
  <c r="Q77" i="37"/>
  <c r="F18" i="22"/>
  <c r="H67" i="26"/>
  <c r="U77" i="40"/>
  <c r="U116" i="40" s="1"/>
  <c r="AS93" i="40" s="1"/>
  <c r="U117" i="40" s="1"/>
  <c r="G25" i="39"/>
  <c r="BG67" i="37"/>
  <c r="BM62" i="37"/>
  <c r="BN62" i="37" s="1"/>
  <c r="AN112" i="37"/>
  <c r="AN88" i="37" s="1"/>
  <c r="AN76" i="37" s="1"/>
  <c r="AM116" i="37"/>
  <c r="AS111" i="37" s="1"/>
  <c r="AM117" i="37" s="1"/>
  <c r="AO116" i="38"/>
  <c r="T116" i="38"/>
  <c r="AR89" i="40"/>
  <c r="BF67" i="31"/>
  <c r="D19" i="77" s="1"/>
  <c r="Z98" i="31"/>
  <c r="D93" i="46"/>
  <c r="Q9" i="31"/>
  <c r="BJ67" i="31"/>
  <c r="O20" i="31"/>
  <c r="E20" i="31" s="1"/>
  <c r="Q18" i="31"/>
  <c r="AC101" i="32"/>
  <c r="AE116" i="33"/>
  <c r="AB116" i="33"/>
  <c r="X116" i="33"/>
  <c r="R116" i="33"/>
  <c r="AO116" i="34"/>
  <c r="F26" i="34"/>
  <c r="AH116" i="22"/>
  <c r="AS106" i="22" s="1"/>
  <c r="AH117" i="22" s="1"/>
  <c r="AE116" i="22"/>
  <c r="Z98" i="22"/>
  <c r="AF117" i="24"/>
  <c r="AN116" i="25"/>
  <c r="AG116" i="25"/>
  <c r="AF116" i="25"/>
  <c r="AD102" i="25"/>
  <c r="E96" i="25"/>
  <c r="AR96" i="25" s="1"/>
  <c r="F88" i="25"/>
  <c r="F116" i="25" s="1"/>
  <c r="W116" i="26"/>
  <c r="S116" i="26"/>
  <c r="AS91" i="26" s="1"/>
  <c r="S117" i="26" s="1"/>
  <c r="F26" i="27"/>
  <c r="AE116" i="28"/>
  <c r="P96" i="28"/>
  <c r="X88" i="28"/>
  <c r="AI116" i="29"/>
  <c r="V116" i="29"/>
  <c r="R116" i="29"/>
  <c r="K116" i="29"/>
  <c r="AO116" i="19"/>
  <c r="AM116" i="19"/>
  <c r="AS87" i="38"/>
  <c r="O117" i="38" s="1"/>
  <c r="E148" i="46"/>
  <c r="F148" i="46" s="1"/>
  <c r="R21" i="37"/>
  <c r="BM21" i="37"/>
  <c r="BN21" i="37" s="1"/>
  <c r="F65" i="32"/>
  <c r="G63" i="32"/>
  <c r="F115" i="34"/>
  <c r="E115" i="34" s="1"/>
  <c r="Z68" i="34"/>
  <c r="X77" i="29"/>
  <c r="X116" i="29" s="1"/>
  <c r="AS96" i="29" s="1"/>
  <c r="X117" i="29" s="1"/>
  <c r="E96" i="29"/>
  <c r="AR96" i="29" s="1"/>
  <c r="X96" i="29" s="1"/>
  <c r="P96" i="29" s="1"/>
  <c r="H25" i="28"/>
  <c r="F97" i="28"/>
  <c r="E93" i="26"/>
  <c r="V29" i="25"/>
  <c r="T117" i="23"/>
  <c r="AA67" i="22"/>
  <c r="AD68" i="21"/>
  <c r="F39" i="34"/>
  <c r="AY67" i="34"/>
  <c r="D16" i="76" s="1"/>
  <c r="Y67" i="34"/>
  <c r="U116" i="34"/>
  <c r="Y115" i="25"/>
  <c r="BB67" i="32"/>
  <c r="D19" i="73" s="1"/>
  <c r="E97" i="40"/>
  <c r="AL116" i="40"/>
  <c r="BL39" i="39"/>
  <c r="AJ39" i="39" s="1"/>
  <c r="E34" i="39"/>
  <c r="AH116" i="39"/>
  <c r="AD116" i="37"/>
  <c r="T77" i="33"/>
  <c r="BL20" i="32"/>
  <c r="Q20" i="32"/>
  <c r="O20" i="32" s="1"/>
  <c r="Y67" i="32"/>
  <c r="O10" i="38"/>
  <c r="P9" i="38"/>
  <c r="BM62" i="38"/>
  <c r="BN62" i="38" s="1"/>
  <c r="AR89" i="34"/>
  <c r="AE103" i="37"/>
  <c r="P83" i="37"/>
  <c r="AR83" i="37" s="1"/>
  <c r="AR91" i="37"/>
  <c r="S91" i="37" s="1"/>
  <c r="R116" i="38"/>
  <c r="X88" i="30"/>
  <c r="AE116" i="31"/>
  <c r="Z25" i="31"/>
  <c r="P91" i="31"/>
  <c r="K9" i="33"/>
  <c r="R89" i="23"/>
  <c r="AO117" i="24"/>
  <c r="AK117" i="24"/>
  <c r="BK68" i="24"/>
  <c r="AN116" i="26"/>
  <c r="E26" i="28"/>
  <c r="AN116" i="29"/>
  <c r="AH116" i="29"/>
  <c r="AS99" i="29"/>
  <c r="AA117" i="29" s="1"/>
  <c r="AW25" i="27"/>
  <c r="V52" i="27"/>
  <c r="G7" i="68"/>
  <c r="V46" i="26"/>
  <c r="AQ25" i="26"/>
  <c r="G14" i="78"/>
  <c r="H7" i="58"/>
  <c r="AS106" i="30"/>
  <c r="AH117" i="30" s="1"/>
  <c r="E26" i="37"/>
  <c r="F115" i="31"/>
  <c r="AS105" i="31"/>
  <c r="AG117" i="31" s="1"/>
  <c r="H19" i="76"/>
  <c r="H20" i="56"/>
  <c r="G18" i="31"/>
  <c r="AP116" i="32"/>
  <c r="AN116" i="32"/>
  <c r="N88" i="33"/>
  <c r="N116" i="33" s="1"/>
  <c r="P100" i="34"/>
  <c r="AB88" i="34"/>
  <c r="BK67" i="34"/>
  <c r="K8" i="22"/>
  <c r="K7" i="22" s="1"/>
  <c r="AR90" i="24"/>
  <c r="Q90" i="24" s="1"/>
  <c r="P90" i="24" s="1"/>
  <c r="AH116" i="26"/>
  <c r="K116" i="27"/>
  <c r="Z116" i="28"/>
  <c r="AS98" i="28" s="1"/>
  <c r="Z117" i="28" s="1"/>
  <c r="E26" i="38"/>
  <c r="D7" i="38"/>
  <c r="D341" i="47"/>
  <c r="AQ78" i="25"/>
  <c r="AQ77" i="25" s="1"/>
  <c r="BH9" i="25"/>
  <c r="BH8" i="25" s="1"/>
  <c r="AQ78" i="19"/>
  <c r="AQ77" i="19" s="1"/>
  <c r="AQ78" i="37"/>
  <c r="BH10" i="37"/>
  <c r="BH9" i="37"/>
  <c r="E458" i="47"/>
  <c r="G9" i="80" s="1"/>
  <c r="E473" i="47"/>
  <c r="E405" i="47"/>
  <c r="BC58" i="19"/>
  <c r="E397" i="47"/>
  <c r="BB57" i="38"/>
  <c r="AQ78" i="39"/>
  <c r="AQ77" i="39"/>
  <c r="AQ116" i="39" s="1"/>
  <c r="BH10" i="39"/>
  <c r="BH9" i="39" s="1"/>
  <c r="BH8" i="39" s="1"/>
  <c r="AZ55" i="21"/>
  <c r="V55" i="21" s="1"/>
  <c r="E321" i="47"/>
  <c r="H22" i="76" s="1"/>
  <c r="AW52" i="23"/>
  <c r="V52" i="23" s="1"/>
  <c r="E157" i="47"/>
  <c r="N9" i="66" s="1"/>
  <c r="AQ46" i="28"/>
  <c r="AQ25" i="28" s="1"/>
  <c r="AQ7" i="28" s="1"/>
  <c r="E198" i="48"/>
  <c r="AP45" i="29"/>
  <c r="AE45" i="29" s="1"/>
  <c r="V45" i="29" s="1"/>
  <c r="E204" i="48"/>
  <c r="H14" i="67" s="1"/>
  <c r="AP45" i="23"/>
  <c r="AE45" i="23" s="1"/>
  <c r="V45" i="23" s="1"/>
  <c r="E6" i="47"/>
  <c r="H8" i="55" s="1"/>
  <c r="W26" i="29"/>
  <c r="W25" i="29" s="1"/>
  <c r="E160" i="48"/>
  <c r="AN43" i="33"/>
  <c r="AE43" i="33" s="1"/>
  <c r="V43" i="33" s="1"/>
  <c r="E135" i="48"/>
  <c r="E17" i="63" s="1"/>
  <c r="E60" i="48"/>
  <c r="T14" i="89" s="1"/>
  <c r="E110" i="47"/>
  <c r="H12" i="56" s="1"/>
  <c r="AC32" i="25"/>
  <c r="V32" i="25" s="1"/>
  <c r="E196" i="46"/>
  <c r="E117" i="46"/>
  <c r="G19" i="41" s="1"/>
  <c r="P19" i="32"/>
  <c r="BM45" i="23"/>
  <c r="BN45" i="23" s="1"/>
  <c r="D106" i="46"/>
  <c r="D31" i="46"/>
  <c r="D132" i="46"/>
  <c r="D86" i="46"/>
  <c r="BL20" i="23"/>
  <c r="Q20" i="23" s="1"/>
  <c r="AW67" i="28"/>
  <c r="BM52" i="28" s="1"/>
  <c r="BN52" i="28" s="1"/>
  <c r="I39" i="13" s="1"/>
  <c r="G18" i="29"/>
  <c r="AB67" i="19"/>
  <c r="D7" i="57" s="1"/>
  <c r="AA30" i="29"/>
  <c r="Z25" i="28"/>
  <c r="AR68" i="24"/>
  <c r="BM47" i="24" s="1"/>
  <c r="BN47" i="24" s="1"/>
  <c r="BG25" i="22"/>
  <c r="BG7" i="22" s="1"/>
  <c r="Y115" i="29"/>
  <c r="P115" i="29" s="1"/>
  <c r="F65" i="23"/>
  <c r="E65" i="23" s="1"/>
  <c r="T116" i="34"/>
  <c r="AS92" i="34" s="1"/>
  <c r="BL21" i="30"/>
  <c r="BM20" i="32"/>
  <c r="BN20" i="32" s="1"/>
  <c r="AX67" i="32"/>
  <c r="BM53" i="32" s="1"/>
  <c r="BN53" i="32" s="1"/>
  <c r="Y115" i="40"/>
  <c r="F115" i="40"/>
  <c r="AA116" i="40"/>
  <c r="R116" i="37"/>
  <c r="AH116" i="38"/>
  <c r="AS91" i="31"/>
  <c r="S117" i="31" s="1"/>
  <c r="AR89" i="32"/>
  <c r="D37" i="46"/>
  <c r="H68" i="23"/>
  <c r="G18" i="23"/>
  <c r="F18" i="23" s="1"/>
  <c r="F29" i="19"/>
  <c r="F30" i="21"/>
  <c r="E30" i="21" s="1"/>
  <c r="BL30" i="21" s="1"/>
  <c r="BJ65" i="19"/>
  <c r="BJ63" i="19" s="1"/>
  <c r="G63" i="19"/>
  <c r="BM66" i="29"/>
  <c r="BN66" i="29" s="1"/>
  <c r="BK66" i="29"/>
  <c r="G63" i="26"/>
  <c r="AQ98" i="24"/>
  <c r="H67" i="39"/>
  <c r="D21" i="46" s="1"/>
  <c r="D442" i="47"/>
  <c r="Z116" i="40"/>
  <c r="AX53" i="40"/>
  <c r="D297" i="47"/>
  <c r="D322" i="47"/>
  <c r="AK116" i="38"/>
  <c r="AS109" i="38" s="1"/>
  <c r="AK117" i="38" s="1"/>
  <c r="AK76" i="38"/>
  <c r="S116" i="30"/>
  <c r="AS91" i="30" s="1"/>
  <c r="S117" i="30" s="1"/>
  <c r="BF67" i="38"/>
  <c r="AJ116" i="39"/>
  <c r="T116" i="28"/>
  <c r="AS92" i="28" s="1"/>
  <c r="T117" i="28" s="1"/>
  <c r="P67" i="33"/>
  <c r="D18" i="41" s="1"/>
  <c r="P9" i="33"/>
  <c r="O10" i="33"/>
  <c r="V29" i="33"/>
  <c r="Z25" i="33"/>
  <c r="M67" i="32"/>
  <c r="AR25" i="32"/>
  <c r="AR7" i="32" s="1"/>
  <c r="V47" i="32"/>
  <c r="Y115" i="32"/>
  <c r="P115" i="32" s="1"/>
  <c r="M67" i="30"/>
  <c r="D197" i="46"/>
  <c r="AS67" i="38"/>
  <c r="AS7" i="38"/>
  <c r="BH25" i="38"/>
  <c r="AQ97" i="38"/>
  <c r="AQ88" i="38" s="1"/>
  <c r="AQ97" i="37"/>
  <c r="AQ88" i="37" s="1"/>
  <c r="BH25" i="37"/>
  <c r="F30" i="40"/>
  <c r="AA67" i="40"/>
  <c r="E29" i="39"/>
  <c r="F25" i="39"/>
  <c r="BL20" i="37"/>
  <c r="Q20" i="37"/>
  <c r="AP116" i="37"/>
  <c r="AO88" i="37"/>
  <c r="P113" i="37"/>
  <c r="AM88" i="37"/>
  <c r="AM76" i="37" s="1"/>
  <c r="P111" i="37"/>
  <c r="N77" i="37"/>
  <c r="E86" i="37"/>
  <c r="Z98" i="38"/>
  <c r="AS98" i="38"/>
  <c r="Z117" i="38" s="1"/>
  <c r="U116" i="38"/>
  <c r="T116" i="40"/>
  <c r="AS92" i="40" s="1"/>
  <c r="T117" i="40" s="1"/>
  <c r="BK67" i="40"/>
  <c r="AL110" i="30"/>
  <c r="P106" i="30"/>
  <c r="AH88" i="30"/>
  <c r="AH76" i="30" s="1"/>
  <c r="T88" i="30"/>
  <c r="BH67" i="31"/>
  <c r="E87" i="31"/>
  <c r="O77" i="31"/>
  <c r="O76" i="31" s="1"/>
  <c r="K116" i="31"/>
  <c r="BI67" i="31"/>
  <c r="E138" i="48"/>
  <c r="AM42" i="31"/>
  <c r="AE42" i="31" s="1"/>
  <c r="V42" i="31" s="1"/>
  <c r="L116" i="32"/>
  <c r="AN116" i="33"/>
  <c r="P98" i="33"/>
  <c r="Z88" i="33"/>
  <c r="AR90" i="33"/>
  <c r="AM116" i="34"/>
  <c r="AF104" i="34"/>
  <c r="AS104" i="34"/>
  <c r="AF117" i="34"/>
  <c r="P96" i="34"/>
  <c r="X88" i="34"/>
  <c r="X76" i="34" s="1"/>
  <c r="AR89" i="22"/>
  <c r="E26" i="22"/>
  <c r="AR90" i="23"/>
  <c r="E26" i="23"/>
  <c r="AG117" i="24"/>
  <c r="AA117" i="24"/>
  <c r="Z88" i="26"/>
  <c r="P98" i="26"/>
  <c r="AR90" i="26"/>
  <c r="R90" i="26"/>
  <c r="P104" i="27"/>
  <c r="AG116" i="28"/>
  <c r="AR89" i="28"/>
  <c r="F18" i="28"/>
  <c r="AO116" i="29"/>
  <c r="AR89" i="29"/>
  <c r="AJ108" i="19"/>
  <c r="G76" i="19"/>
  <c r="K9" i="19"/>
  <c r="T92" i="25"/>
  <c r="BM23" i="34"/>
  <c r="BN23" i="34" s="1"/>
  <c r="Q20" i="19"/>
  <c r="Q18" i="19" s="1"/>
  <c r="Q8" i="19" s="1"/>
  <c r="Q7" i="19" s="1"/>
  <c r="E39" i="28"/>
  <c r="F34" i="28"/>
  <c r="F25" i="28"/>
  <c r="AE40" i="28"/>
  <c r="V40" i="28"/>
  <c r="AK34" i="28"/>
  <c r="AK25" i="28" s="1"/>
  <c r="BM26" i="26"/>
  <c r="BN26" i="26" s="1"/>
  <c r="W68" i="26" s="1"/>
  <c r="D9" i="47"/>
  <c r="AX25" i="26"/>
  <c r="U77" i="22"/>
  <c r="AP117" i="21"/>
  <c r="H25" i="34"/>
  <c r="H67" i="34" s="1"/>
  <c r="D15" i="46" s="1"/>
  <c r="F97" i="34"/>
  <c r="E97" i="34" s="1"/>
  <c r="AH116" i="34"/>
  <c r="AJ116" i="34"/>
  <c r="D440" i="47"/>
  <c r="BM59" i="34"/>
  <c r="BN59" i="34" s="1"/>
  <c r="BD68" i="34" s="1"/>
  <c r="BE67" i="34"/>
  <c r="BM60" i="34" s="1"/>
  <c r="BN60" i="34" s="1"/>
  <c r="Q47" i="13" s="1"/>
  <c r="S77" i="34"/>
  <c r="AD68" i="34"/>
  <c r="AQ97" i="19"/>
  <c r="BH25" i="19"/>
  <c r="E65" i="27"/>
  <c r="BL65" i="27"/>
  <c r="BJ65" i="27" s="1"/>
  <c r="BH65" i="27" s="1"/>
  <c r="BL66" i="26"/>
  <c r="BL65" i="25"/>
  <c r="Y115" i="22"/>
  <c r="AK116" i="32"/>
  <c r="E39" i="30"/>
  <c r="E34" i="30" s="1"/>
  <c r="F34" i="30"/>
  <c r="F39" i="40"/>
  <c r="G34" i="40"/>
  <c r="AU67" i="37"/>
  <c r="T116" i="22"/>
  <c r="AS92" i="22" s="1"/>
  <c r="D213" i="47" s="1"/>
  <c r="F213" i="47" s="1"/>
  <c r="H25" i="27"/>
  <c r="V33" i="33"/>
  <c r="AD25" i="33"/>
  <c r="AD7" i="33" s="1"/>
  <c r="V53" i="33"/>
  <c r="AP116" i="33"/>
  <c r="S116" i="32"/>
  <c r="U116" i="32"/>
  <c r="AS93" i="32" s="1"/>
  <c r="U117" i="32" s="1"/>
  <c r="D194" i="46"/>
  <c r="F194" i="46" s="1"/>
  <c r="Q77" i="30"/>
  <c r="N67" i="38"/>
  <c r="AP116" i="38"/>
  <c r="AS114" i="38" s="1"/>
  <c r="AP117" i="38" s="1"/>
  <c r="BH25" i="40"/>
  <c r="BH67" i="40" s="1"/>
  <c r="AQ97" i="40"/>
  <c r="AQ88" i="40"/>
  <c r="D71" i="46"/>
  <c r="BH25" i="39"/>
  <c r="X116" i="37"/>
  <c r="AI76" i="38"/>
  <c r="AI116" i="38"/>
  <c r="AS107" i="38" s="1"/>
  <c r="AI117" i="38" s="1"/>
  <c r="Q116" i="38"/>
  <c r="O116" i="39"/>
  <c r="AB116" i="30"/>
  <c r="X76" i="30"/>
  <c r="BM62" i="32"/>
  <c r="BN62" i="32" s="1"/>
  <c r="J88" i="39"/>
  <c r="BK67" i="39"/>
  <c r="G34" i="31"/>
  <c r="F35" i="31"/>
  <c r="F34" i="31" s="1"/>
  <c r="T92" i="31"/>
  <c r="F28" i="31"/>
  <c r="E28" i="31" s="1"/>
  <c r="BL28" i="31" s="1"/>
  <c r="Q116" i="31"/>
  <c r="AM116" i="33"/>
  <c r="AC116" i="34"/>
  <c r="AS101" i="34" s="1"/>
  <c r="AC117" i="34" s="1"/>
  <c r="AM117" i="21"/>
  <c r="V88" i="22"/>
  <c r="AL117" i="24"/>
  <c r="AP116" i="25"/>
  <c r="AM116" i="25"/>
  <c r="AL116" i="26"/>
  <c r="AH88" i="27"/>
  <c r="AM116" i="28"/>
  <c r="AG116" i="29"/>
  <c r="AS105" i="29" s="1"/>
  <c r="AG117" i="29" s="1"/>
  <c r="AA88" i="29"/>
  <c r="AA76" i="29" s="1"/>
  <c r="H20" i="79"/>
  <c r="U8" i="30"/>
  <c r="U7" i="30" s="1"/>
  <c r="E24" i="30"/>
  <c r="BA25" i="30"/>
  <c r="BA7" i="30" s="1"/>
  <c r="V56" i="30"/>
  <c r="H13" i="74"/>
  <c r="M10" i="31"/>
  <c r="M9" i="31" s="1"/>
  <c r="G16" i="31"/>
  <c r="F16" i="31" s="1"/>
  <c r="E16" i="31" s="1"/>
  <c r="AF88" i="30"/>
  <c r="P104" i="30"/>
  <c r="AO116" i="32"/>
  <c r="G76" i="33"/>
  <c r="AA76" i="34"/>
  <c r="AA116" i="34"/>
  <c r="AS99" i="34" s="1"/>
  <c r="AA117" i="34" s="1"/>
  <c r="Q116" i="34"/>
  <c r="AN116" i="22"/>
  <c r="AM116" i="22"/>
  <c r="R116" i="22"/>
  <c r="AS90" i="22" s="1"/>
  <c r="R117" i="22" s="1"/>
  <c r="AN117" i="23"/>
  <c r="AJ117" i="23"/>
  <c r="X116" i="26"/>
  <c r="V116" i="28"/>
  <c r="AH116" i="32"/>
  <c r="AS106" i="32" s="1"/>
  <c r="AH117" i="32" s="1"/>
  <c r="AJ34" i="31"/>
  <c r="AJ25" i="31" s="1"/>
  <c r="AE39" i="31"/>
  <c r="V39" i="31" s="1"/>
  <c r="F18" i="33"/>
  <c r="E29" i="29"/>
  <c r="V28" i="30"/>
  <c r="Y25" i="30"/>
  <c r="AQ25" i="29"/>
  <c r="AQ7" i="29" s="1"/>
  <c r="V46" i="29"/>
  <c r="G9" i="69"/>
  <c r="G9" i="68"/>
  <c r="N11" i="66"/>
  <c r="AS25" i="37"/>
  <c r="V48" i="37"/>
  <c r="BA25" i="23"/>
  <c r="BA7" i="23" s="1"/>
  <c r="V58" i="40"/>
  <c r="BC25" i="40"/>
  <c r="BL64" i="37"/>
  <c r="AS102" i="22"/>
  <c r="AD117" i="22" s="1"/>
  <c r="G63" i="31"/>
  <c r="F64" i="31"/>
  <c r="E64" i="31" s="1"/>
  <c r="AY25" i="31"/>
  <c r="AC25" i="31"/>
  <c r="AC7" i="31"/>
  <c r="V32" i="31"/>
  <c r="X27" i="31"/>
  <c r="V27" i="31" s="1"/>
  <c r="E43" i="47"/>
  <c r="E193" i="46"/>
  <c r="U24" i="31"/>
  <c r="BM24" i="31"/>
  <c r="BN24" i="31" s="1"/>
  <c r="BK67" i="31"/>
  <c r="U116" i="33"/>
  <c r="AS93" i="33" s="1"/>
  <c r="U117" i="33" s="1"/>
  <c r="X116" i="34"/>
  <c r="AS96" i="34" s="1"/>
  <c r="X117" i="34" s="1"/>
  <c r="AA116" i="22"/>
  <c r="Q116" i="25"/>
  <c r="AG116" i="26"/>
  <c r="AP116" i="28"/>
  <c r="AP116" i="29"/>
  <c r="R9" i="29"/>
  <c r="AR89" i="19"/>
  <c r="E10" i="63"/>
  <c r="BI64" i="37"/>
  <c r="BH64" i="37" s="1"/>
  <c r="P92" i="31"/>
  <c r="T88" i="31"/>
  <c r="E35" i="31"/>
  <c r="BL35" i="31" s="1"/>
  <c r="BG68" i="32"/>
  <c r="BL39" i="30"/>
  <c r="AJ39" i="30" s="1"/>
  <c r="AE39" i="30" s="1"/>
  <c r="V39" i="30" s="1"/>
  <c r="Q20" i="34"/>
  <c r="O20" i="34" s="1"/>
  <c r="O20" i="19"/>
  <c r="E20" i="19" s="1"/>
  <c r="T88" i="25"/>
  <c r="P92" i="25"/>
  <c r="P90" i="26"/>
  <c r="R88" i="26"/>
  <c r="P104" i="34"/>
  <c r="AF88" i="34"/>
  <c r="AF76" i="34" s="1"/>
  <c r="AM34" i="31"/>
  <c r="AM25" i="31" s="1"/>
  <c r="O20" i="37"/>
  <c r="E20" i="37" s="1"/>
  <c r="Q18" i="37"/>
  <c r="Q8" i="37" s="1"/>
  <c r="Q7" i="37" s="1"/>
  <c r="H20" i="54"/>
  <c r="F63" i="31"/>
  <c r="BL29" i="29"/>
  <c r="D97" i="46"/>
  <c r="E39" i="40"/>
  <c r="BL39" i="40" s="1"/>
  <c r="F34" i="40"/>
  <c r="BJ65" i="25"/>
  <c r="BJ63" i="25" s="1"/>
  <c r="BM66" i="26"/>
  <c r="BN66" i="26"/>
  <c r="BK68" i="26" s="1"/>
  <c r="BK66" i="26"/>
  <c r="BH66" i="26" s="1"/>
  <c r="AQ88" i="19"/>
  <c r="S116" i="34"/>
  <c r="K8" i="19"/>
  <c r="E20" i="63"/>
  <c r="P110" i="30"/>
  <c r="BM20" i="37"/>
  <c r="BN20" i="37" s="1"/>
  <c r="BL29" i="39"/>
  <c r="E30" i="40"/>
  <c r="D197" i="47"/>
  <c r="F197" i="47" s="1"/>
  <c r="BM48" i="38"/>
  <c r="BN48" i="38" s="1"/>
  <c r="D67" i="46"/>
  <c r="AX25" i="40"/>
  <c r="V53" i="40"/>
  <c r="F18" i="39"/>
  <c r="BK63" i="29"/>
  <c r="BH66" i="29"/>
  <c r="D215" i="47"/>
  <c r="F215" i="47" s="1"/>
  <c r="T117" i="34"/>
  <c r="O19" i="32"/>
  <c r="E19" i="32" s="1"/>
  <c r="P18" i="32"/>
  <c r="P8" i="32" s="1"/>
  <c r="H8" i="67"/>
  <c r="Q89" i="24"/>
  <c r="F18" i="31"/>
  <c r="P91" i="37"/>
  <c r="Q18" i="32"/>
  <c r="E20" i="32"/>
  <c r="AR89" i="27"/>
  <c r="D65" i="47"/>
  <c r="D365" i="47"/>
  <c r="F365" i="47" s="1"/>
  <c r="BM56" i="34"/>
  <c r="BN56" i="34" s="1"/>
  <c r="D315" i="47"/>
  <c r="E39" i="34"/>
  <c r="F34" i="34"/>
  <c r="F25" i="34" s="1"/>
  <c r="E30" i="26"/>
  <c r="R68" i="37"/>
  <c r="E26" i="34"/>
  <c r="D493" i="47"/>
  <c r="BM61" i="31"/>
  <c r="BN61" i="31" s="1"/>
  <c r="U76" i="40"/>
  <c r="D9" i="46"/>
  <c r="Q116" i="37"/>
  <c r="AS89" i="37" s="1"/>
  <c r="Q117" i="37" s="1"/>
  <c r="AG88" i="32"/>
  <c r="AG76" i="32" s="1"/>
  <c r="P105" i="32"/>
  <c r="P68" i="32"/>
  <c r="BM28" i="30"/>
  <c r="BN28" i="30" s="1"/>
  <c r="BM54" i="37"/>
  <c r="BN54" i="37" s="1"/>
  <c r="D323" i="47"/>
  <c r="F323" i="47" s="1"/>
  <c r="AX25" i="39"/>
  <c r="AX7" i="39"/>
  <c r="V53" i="39"/>
  <c r="E66" i="24"/>
  <c r="F63" i="24"/>
  <c r="E40" i="27"/>
  <c r="F34" i="27"/>
  <c r="D68" i="47"/>
  <c r="E26" i="30"/>
  <c r="AR92" i="39"/>
  <c r="T92" i="39" s="1"/>
  <c r="T88" i="39" s="1"/>
  <c r="R116" i="39"/>
  <c r="AA25" i="30"/>
  <c r="BM56" i="32"/>
  <c r="BN56" i="32" s="1"/>
  <c r="S43" i="13" s="1"/>
  <c r="D367" i="47"/>
  <c r="F367" i="47" s="1"/>
  <c r="D260" i="47"/>
  <c r="BM46" i="27"/>
  <c r="BN46" i="27" s="1"/>
  <c r="AQ68" i="27" s="1"/>
  <c r="Q20" i="24"/>
  <c r="H10" i="56"/>
  <c r="H7" i="67"/>
  <c r="V54" i="37"/>
  <c r="AY25" i="37"/>
  <c r="AY7" i="37" s="1"/>
  <c r="H21" i="75"/>
  <c r="G10" i="78"/>
  <c r="BF25" i="37"/>
  <c r="V61" i="37"/>
  <c r="F463" i="47"/>
  <c r="G14" i="80"/>
  <c r="AS86" i="39"/>
  <c r="N117" i="39" s="1"/>
  <c r="D23" i="47"/>
  <c r="D69" i="46"/>
  <c r="D497" i="47"/>
  <c r="E65" i="26"/>
  <c r="E63" i="26" s="1"/>
  <c r="F63" i="26"/>
  <c r="D12" i="46"/>
  <c r="F63" i="23"/>
  <c r="V30" i="29"/>
  <c r="AA25" i="29"/>
  <c r="F18" i="29"/>
  <c r="G27" i="84"/>
  <c r="H14" i="59"/>
  <c r="H18" i="62"/>
  <c r="AW25" i="23"/>
  <c r="V57" i="38"/>
  <c r="BB25" i="38"/>
  <c r="V58" i="19"/>
  <c r="BC25" i="19"/>
  <c r="H7" i="79"/>
  <c r="F473" i="47"/>
  <c r="BH9" i="19"/>
  <c r="BH8" i="19" s="1"/>
  <c r="BH67" i="19" s="1"/>
  <c r="K8" i="33"/>
  <c r="P103" i="37"/>
  <c r="AE88" i="37"/>
  <c r="AE76" i="37" s="1"/>
  <c r="D73" i="46"/>
  <c r="O9" i="38"/>
  <c r="T116" i="33"/>
  <c r="AS92" i="33" s="1"/>
  <c r="T117" i="33" s="1"/>
  <c r="T76" i="33"/>
  <c r="AR97" i="40"/>
  <c r="D392" i="47"/>
  <c r="BM57" i="32"/>
  <c r="BN57" i="32" s="1"/>
  <c r="E97" i="28"/>
  <c r="F88" i="28"/>
  <c r="F63" i="32"/>
  <c r="E65" i="32"/>
  <c r="R18" i="37"/>
  <c r="R8" i="37" s="1"/>
  <c r="R7" i="37" s="1"/>
  <c r="O21" i="37"/>
  <c r="E21" i="37" s="1"/>
  <c r="Z88" i="22"/>
  <c r="P98" i="22"/>
  <c r="AC88" i="32"/>
  <c r="P101" i="32"/>
  <c r="Q8" i="31"/>
  <c r="Q7" i="31" s="1"/>
  <c r="P98" i="31"/>
  <c r="Z88" i="31"/>
  <c r="P112" i="37"/>
  <c r="D166" i="47"/>
  <c r="F166" i="47" s="1"/>
  <c r="S88" i="38"/>
  <c r="S76" i="38" s="1"/>
  <c r="P91" i="38"/>
  <c r="AR68" i="32"/>
  <c r="S116" i="38"/>
  <c r="AS91" i="38" s="1"/>
  <c r="S117" i="38" s="1"/>
  <c r="D267" i="47"/>
  <c r="BM51" i="32"/>
  <c r="BN51" i="32" s="1"/>
  <c r="AV68" i="32" s="1"/>
  <c r="F18" i="38"/>
  <c r="D259" i="47"/>
  <c r="D179" i="48"/>
  <c r="E24" i="37"/>
  <c r="U8" i="37"/>
  <c r="V51" i="37"/>
  <c r="AV25" i="37"/>
  <c r="AV7" i="37" s="1"/>
  <c r="V56" i="38"/>
  <c r="BA25" i="38"/>
  <c r="BH67" i="38"/>
  <c r="BH9" i="26"/>
  <c r="BH8" i="26" s="1"/>
  <c r="BH67" i="26" s="1"/>
  <c r="Q68" i="37"/>
  <c r="K7" i="19"/>
  <c r="E34" i="31"/>
  <c r="BL34" i="31" s="1"/>
  <c r="BL65" i="32"/>
  <c r="BJ65" i="32" s="1"/>
  <c r="BJ63" i="32" s="1"/>
  <c r="E63" i="32"/>
  <c r="BL66" i="24"/>
  <c r="BK66" i="24" s="1"/>
  <c r="E63" i="24"/>
  <c r="BL39" i="34"/>
  <c r="BM39" i="34" s="1"/>
  <c r="BN39" i="34" s="1"/>
  <c r="AJ68" i="34" s="1"/>
  <c r="E34" i="34"/>
  <c r="E34" i="40"/>
  <c r="BL34" i="40" s="1"/>
  <c r="Z29" i="29"/>
  <c r="BL64" i="31"/>
  <c r="E63" i="31"/>
  <c r="K7" i="33"/>
  <c r="BA68" i="32"/>
  <c r="BL40" i="27"/>
  <c r="AK40" i="27" s="1"/>
  <c r="AK34" i="27" s="1"/>
  <c r="AK25" i="27" s="1"/>
  <c r="E34" i="27"/>
  <c r="BL30" i="26"/>
  <c r="Z29" i="39"/>
  <c r="BK63" i="26"/>
  <c r="BH65" i="25"/>
  <c r="BM28" i="31"/>
  <c r="AJ39" i="34"/>
  <c r="AE39" i="34" s="1"/>
  <c r="V39" i="34" s="1"/>
  <c r="AJ34" i="30"/>
  <c r="AJ25" i="30" s="1"/>
  <c r="AA30" i="26"/>
  <c r="Z25" i="29"/>
  <c r="V29" i="29"/>
  <c r="V30" i="26"/>
  <c r="AA25" i="26"/>
  <c r="AJ34" i="34"/>
  <c r="AJ25" i="34" s="1"/>
  <c r="AJ7" i="34" s="1"/>
  <c r="BH65" i="32"/>
  <c r="BN28" i="31"/>
  <c r="Y68" i="31" s="1"/>
  <c r="E142" i="46"/>
  <c r="F142" i="46"/>
  <c r="AL116" i="34"/>
  <c r="AE11" i="34"/>
  <c r="AE10" i="34" s="1"/>
  <c r="AE9" i="34" s="1"/>
  <c r="AE8" i="34" s="1"/>
  <c r="P79" i="34"/>
  <c r="AR79" i="34" s="1"/>
  <c r="AU10" i="34"/>
  <c r="AU9" i="34" s="1"/>
  <c r="AU8" i="34" s="1"/>
  <c r="AE10" i="39"/>
  <c r="AE9" i="39" s="1"/>
  <c r="AE8" i="39" s="1"/>
  <c r="P85" i="39"/>
  <c r="AR85" i="39" s="1"/>
  <c r="Y84" i="37"/>
  <c r="P84" i="37"/>
  <c r="AR84" i="37" s="1"/>
  <c r="Y85" i="37"/>
  <c r="P85" i="37" s="1"/>
  <c r="AR85" i="37" s="1"/>
  <c r="M85" i="37" s="1"/>
  <c r="Y79" i="37"/>
  <c r="P79" i="37" s="1"/>
  <c r="AR79" i="37" s="1"/>
  <c r="AE10" i="37"/>
  <c r="AE9" i="37" s="1"/>
  <c r="AE8" i="37" s="1"/>
  <c r="S77" i="37"/>
  <c r="BE60" i="37"/>
  <c r="BM64" i="37"/>
  <c r="BN64" i="37" s="1"/>
  <c r="S37" i="84"/>
  <c r="E331" i="47"/>
  <c r="H7" i="75" s="1"/>
  <c r="P85" i="38"/>
  <c r="AR85" i="38" s="1"/>
  <c r="AN112" i="38"/>
  <c r="AS112" i="38"/>
  <c r="AN117" i="38" s="1"/>
  <c r="W77" i="38"/>
  <c r="AM67" i="32"/>
  <c r="P81" i="32"/>
  <c r="AR81" i="32" s="1"/>
  <c r="BF61" i="32"/>
  <c r="V61" i="32"/>
  <c r="G18" i="77"/>
  <c r="AY67" i="33"/>
  <c r="Y80" i="28"/>
  <c r="Y85" i="28"/>
  <c r="P85" i="28" s="1"/>
  <c r="AR85" i="28" s="1"/>
  <c r="AD78" i="28"/>
  <c r="P7" i="32"/>
  <c r="O20" i="23"/>
  <c r="E20" i="23" s="1"/>
  <c r="Q18" i="23"/>
  <c r="K83" i="37"/>
  <c r="K77" i="37" s="1"/>
  <c r="K76" i="37" s="1"/>
  <c r="AS83" i="37"/>
  <c r="K117" i="37" s="1"/>
  <c r="BG68" i="38"/>
  <c r="S117" i="25"/>
  <c r="X96" i="25"/>
  <c r="L84" i="37"/>
  <c r="E84" i="37" s="1"/>
  <c r="AQ116" i="38"/>
  <c r="Q68" i="32"/>
  <c r="BF25" i="32"/>
  <c r="T8" i="34"/>
  <c r="T7" i="34"/>
  <c r="E23" i="34"/>
  <c r="AA67" i="37"/>
  <c r="AH88" i="37"/>
  <c r="P106" i="37"/>
  <c r="D43" i="46"/>
  <c r="AV68" i="23"/>
  <c r="D13" i="70" s="1"/>
  <c r="AP88" i="38"/>
  <c r="AP76" i="38" s="1"/>
  <c r="AK109" i="37"/>
  <c r="AK88" i="37" s="1"/>
  <c r="AK76" i="37" s="1"/>
  <c r="AS109" i="37"/>
  <c r="AK117" i="37" s="1"/>
  <c r="AH88" i="22"/>
  <c r="P106" i="22"/>
  <c r="P93" i="22"/>
  <c r="U88" i="22"/>
  <c r="AS93" i="25"/>
  <c r="U117" i="25" s="1"/>
  <c r="U93" i="25"/>
  <c r="P93" i="25" s="1"/>
  <c r="O77" i="38"/>
  <c r="O76" i="38" s="1"/>
  <c r="E87" i="38"/>
  <c r="V47" i="40"/>
  <c r="AR25" i="40"/>
  <c r="AF88" i="31"/>
  <c r="P104" i="31"/>
  <c r="U93" i="31"/>
  <c r="AS93" i="31"/>
  <c r="P106" i="29"/>
  <c r="AH88" i="29"/>
  <c r="AH76" i="29" s="1"/>
  <c r="U88" i="19"/>
  <c r="P93" i="19"/>
  <c r="S88" i="30"/>
  <c r="S76" i="30" s="1"/>
  <c r="P114" i="22"/>
  <c r="AP88" i="22"/>
  <c r="AS110" i="27"/>
  <c r="AL117" i="27" s="1"/>
  <c r="AE40" i="31"/>
  <c r="V40" i="31" s="1"/>
  <c r="AK34" i="31"/>
  <c r="AK25" i="31" s="1"/>
  <c r="AW7" i="34"/>
  <c r="AW67" i="34"/>
  <c r="D16" i="69" s="1"/>
  <c r="AA30" i="19"/>
  <c r="V30" i="19" s="1"/>
  <c r="H22" i="65"/>
  <c r="R68" i="34"/>
  <c r="T88" i="22"/>
  <c r="T76" i="22" s="1"/>
  <c r="P92" i="22"/>
  <c r="D448" i="47"/>
  <c r="F448" i="47" s="1"/>
  <c r="BM59" i="37"/>
  <c r="BN59" i="37" s="1"/>
  <c r="Z68" i="24"/>
  <c r="T8" i="38"/>
  <c r="T7" i="38" s="1"/>
  <c r="E23" i="38"/>
  <c r="AM88" i="38"/>
  <c r="P111" i="38"/>
  <c r="AL88" i="38"/>
  <c r="P110" i="38"/>
  <c r="T116" i="37"/>
  <c r="BG25" i="30"/>
  <c r="V62" i="30"/>
  <c r="AU25" i="38"/>
  <c r="AD67" i="37"/>
  <c r="AE116" i="40"/>
  <c r="D273" i="47"/>
  <c r="F273" i="47" s="1"/>
  <c r="BM51" i="37"/>
  <c r="BN51" i="37" s="1"/>
  <c r="AS111" i="31"/>
  <c r="AM117" i="31" s="1"/>
  <c r="AM111" i="31"/>
  <c r="AU67" i="38"/>
  <c r="BM50" i="38" s="1"/>
  <c r="BN50" i="38" s="1"/>
  <c r="AE88" i="38"/>
  <c r="P103" i="38"/>
  <c r="E493" i="47"/>
  <c r="F493" i="47" s="1"/>
  <c r="BF61" i="31"/>
  <c r="T8" i="37"/>
  <c r="T7" i="37" s="1"/>
  <c r="E23" i="37"/>
  <c r="AR25" i="24"/>
  <c r="AR7" i="24" s="1"/>
  <c r="V47" i="24"/>
  <c r="BC67" i="39"/>
  <c r="BM58" i="39" s="1"/>
  <c r="BN58" i="39" s="1"/>
  <c r="E87" i="30"/>
  <c r="BK66" i="40"/>
  <c r="BM66" i="40"/>
  <c r="BN66" i="40" s="1"/>
  <c r="BK68" i="40" s="1"/>
  <c r="AX53" i="19"/>
  <c r="V62" i="38"/>
  <c r="BG25" i="38"/>
  <c r="BG7" i="38" s="1"/>
  <c r="AB88" i="37"/>
  <c r="X97" i="23"/>
  <c r="S77" i="24"/>
  <c r="P92" i="24"/>
  <c r="S88" i="25"/>
  <c r="S76" i="25" s="1"/>
  <c r="P91" i="25"/>
  <c r="R88" i="22"/>
  <c r="R76" i="22" s="1"/>
  <c r="P90" i="22"/>
  <c r="P98" i="28"/>
  <c r="P89" i="37"/>
  <c r="Q88" i="37"/>
  <c r="Q76" i="37" s="1"/>
  <c r="Z25" i="34"/>
  <c r="Z7" i="34" s="1"/>
  <c r="V29" i="34"/>
  <c r="AC25" i="38"/>
  <c r="V32" i="38"/>
  <c r="D38" i="47"/>
  <c r="D490" i="47"/>
  <c r="BM61" i="34"/>
  <c r="BN61" i="34" s="1"/>
  <c r="Q48" i="13" s="1"/>
  <c r="T8" i="27"/>
  <c r="T7" i="27" s="1"/>
  <c r="E23" i="27"/>
  <c r="P92" i="34"/>
  <c r="T88" i="34"/>
  <c r="T76" i="34" s="1"/>
  <c r="AD67" i="38"/>
  <c r="BM33" i="38" s="1"/>
  <c r="BN33" i="38" s="1"/>
  <c r="V33" i="38"/>
  <c r="AD25" i="38"/>
  <c r="AD7" i="38" s="1"/>
  <c r="T89" i="24"/>
  <c r="T77" i="24" s="1"/>
  <c r="K11" i="31"/>
  <c r="K10" i="31"/>
  <c r="K9" i="31" s="1"/>
  <c r="K8" i="31" s="1"/>
  <c r="K7" i="31" s="1"/>
  <c r="H14" i="31"/>
  <c r="G14" i="31"/>
  <c r="F14" i="31" s="1"/>
  <c r="E14" i="31" s="1"/>
  <c r="O9" i="34"/>
  <c r="Z67" i="37"/>
  <c r="BM29" i="37" s="1"/>
  <c r="Z7" i="37"/>
  <c r="V47" i="31"/>
  <c r="AR25" i="31"/>
  <c r="AR7" i="31" s="1"/>
  <c r="AL88" i="37"/>
  <c r="P110" i="37"/>
  <c r="E423" i="47"/>
  <c r="BC58" i="37"/>
  <c r="P114" i="30"/>
  <c r="AP88" i="30"/>
  <c r="P102" i="38"/>
  <c r="AD88" i="38"/>
  <c r="AD76" i="38" s="1"/>
  <c r="L10" i="37"/>
  <c r="L9" i="37" s="1"/>
  <c r="L8" i="37" s="1"/>
  <c r="L7" i="37" s="1"/>
  <c r="G15" i="37"/>
  <c r="F15" i="37" s="1"/>
  <c r="E15" i="37" s="1"/>
  <c r="V33" i="39"/>
  <c r="AD25" i="39"/>
  <c r="E443" i="47"/>
  <c r="G19" i="78"/>
  <c r="H19" i="78" s="1"/>
  <c r="BM59" i="31"/>
  <c r="BN59" i="31" s="1"/>
  <c r="BD68" i="31" s="1"/>
  <c r="BD59" i="31"/>
  <c r="V59" i="31" s="1"/>
  <c r="P113" i="31"/>
  <c r="AO88" i="31"/>
  <c r="BL12" i="29"/>
  <c r="I12" i="29" s="1"/>
  <c r="AJ34" i="37"/>
  <c r="AJ25" i="37" s="1"/>
  <c r="AR101" i="39"/>
  <c r="F115" i="39"/>
  <c r="F116" i="39" s="1"/>
  <c r="E66" i="33"/>
  <c r="F63" i="33"/>
  <c r="AX53" i="27"/>
  <c r="AX25" i="27" s="1"/>
  <c r="BK8" i="26"/>
  <c r="BK67" i="26" s="1"/>
  <c r="G15" i="32"/>
  <c r="F15" i="32" s="1"/>
  <c r="E15" i="32" s="1"/>
  <c r="L10" i="32"/>
  <c r="L9" i="32" s="1"/>
  <c r="L8" i="32" s="1"/>
  <c r="L7" i="32" s="1"/>
  <c r="X96" i="32"/>
  <c r="P96" i="32" s="1"/>
  <c r="BL15" i="31"/>
  <c r="L15" i="31" s="1"/>
  <c r="BL66" i="32"/>
  <c r="BM66" i="32" s="1"/>
  <c r="BN66" i="32" s="1"/>
  <c r="BK68" i="32" s="1"/>
  <c r="AJ34" i="29"/>
  <c r="AJ25" i="29"/>
  <c r="BA25" i="37"/>
  <c r="BD25" i="37"/>
  <c r="BD7" i="37" s="1"/>
  <c r="F64" i="39"/>
  <c r="BL47" i="37"/>
  <c r="AR47" i="37" s="1"/>
  <c r="BM40" i="22"/>
  <c r="BN40" i="22" s="1"/>
  <c r="BL20" i="22"/>
  <c r="Q20" i="22" s="1"/>
  <c r="N67" i="25"/>
  <c r="D85" i="46" s="1"/>
  <c r="BL20" i="26"/>
  <c r="BM20" i="26" s="1"/>
  <c r="BN20" i="26" s="1"/>
  <c r="BL23" i="19"/>
  <c r="BJ67" i="33"/>
  <c r="BJ67" i="34"/>
  <c r="BM65" i="34" s="1"/>
  <c r="BL66" i="25"/>
  <c r="AR67" i="22"/>
  <c r="AE63" i="27"/>
  <c r="G66" i="27"/>
  <c r="AQ34" i="84"/>
  <c r="BL32" i="22"/>
  <c r="BL59" i="28"/>
  <c r="F25" i="82"/>
  <c r="V64" i="29"/>
  <c r="BL64" i="29" s="1"/>
  <c r="BM64" i="29" s="1"/>
  <c r="AC32" i="22"/>
  <c r="V32" i="22" s="1"/>
  <c r="BK66" i="25"/>
  <c r="BM66" i="25"/>
  <c r="BN66" i="25" s="1"/>
  <c r="BK68" i="25" s="1"/>
  <c r="BN65" i="34"/>
  <c r="T23" i="19"/>
  <c r="T8" i="19" s="1"/>
  <c r="T7" i="19" s="1"/>
  <c r="BM23" i="19"/>
  <c r="BN23" i="19" s="1"/>
  <c r="T68" i="19" s="1"/>
  <c r="E64" i="39"/>
  <c r="BK66" i="32"/>
  <c r="X88" i="32"/>
  <c r="X76" i="32" s="1"/>
  <c r="E31" i="46"/>
  <c r="BD25" i="31"/>
  <c r="BD7" i="31" s="1"/>
  <c r="O67" i="34"/>
  <c r="D17" i="41" s="1"/>
  <c r="F443" i="47"/>
  <c r="BF25" i="31"/>
  <c r="BF7" i="31" s="1"/>
  <c r="V61" i="31"/>
  <c r="P111" i="31"/>
  <c r="AM88" i="31"/>
  <c r="AM76" i="31" s="1"/>
  <c r="D290" i="47"/>
  <c r="BM52" i="34"/>
  <c r="BN52" i="34" s="1"/>
  <c r="P93" i="31"/>
  <c r="U88" i="31"/>
  <c r="U76" i="31" s="1"/>
  <c r="P109" i="37"/>
  <c r="L77" i="37"/>
  <c r="E83" i="37"/>
  <c r="E432" i="47"/>
  <c r="BD59" i="28"/>
  <c r="V59" i="28" s="1"/>
  <c r="Q20" i="26"/>
  <c r="Q18" i="26" s="1"/>
  <c r="BC25" i="37"/>
  <c r="BC7" i="37" s="1"/>
  <c r="V58" i="37"/>
  <c r="BN29" i="37"/>
  <c r="Z68" i="37" s="1"/>
  <c r="P104" i="29"/>
  <c r="X89" i="23"/>
  <c r="P97" i="23"/>
  <c r="AX25" i="19"/>
  <c r="V53" i="19"/>
  <c r="BH66" i="40"/>
  <c r="BK63" i="40"/>
  <c r="BK7" i="40"/>
  <c r="AU68" i="38"/>
  <c r="AA25" i="19"/>
  <c r="U117" i="31"/>
  <c r="U88" i="25"/>
  <c r="U76" i="25" s="1"/>
  <c r="V49" i="34"/>
  <c r="G8" i="78"/>
  <c r="E23" i="19"/>
  <c r="BK63" i="25"/>
  <c r="BH66" i="25"/>
  <c r="BI63" i="29"/>
  <c r="BI7" i="29" s="1"/>
  <c r="BH64" i="29"/>
  <c r="BB67" i="33"/>
  <c r="AO67" i="33"/>
  <c r="D184" i="48" s="1"/>
  <c r="R77" i="28"/>
  <c r="BL12" i="28"/>
  <c r="I12" i="28" s="1"/>
  <c r="AE40" i="39"/>
  <c r="V40" i="39" s="1"/>
  <c r="AK34" i="39"/>
  <c r="AK25" i="39"/>
  <c r="E14" i="53"/>
  <c r="AF7" i="37"/>
  <c r="AF67" i="37"/>
  <c r="D23" i="48" s="1"/>
  <c r="F23" i="48" s="1"/>
  <c r="AL8" i="29"/>
  <c r="AL67" i="29" s="1"/>
  <c r="AF67" i="25"/>
  <c r="D12" i="61" s="1"/>
  <c r="AH67" i="40"/>
  <c r="AM67" i="34"/>
  <c r="BM42" i="34" s="1"/>
  <c r="BN42" i="34" s="1"/>
  <c r="BC67" i="37"/>
  <c r="D423" i="47" s="1"/>
  <c r="AB116" i="22"/>
  <c r="AC67" i="34"/>
  <c r="H14" i="30"/>
  <c r="G14" i="30" s="1"/>
  <c r="F14" i="30" s="1"/>
  <c r="E14" i="30" s="1"/>
  <c r="K11" i="30"/>
  <c r="K10" i="30" s="1"/>
  <c r="K9" i="30" s="1"/>
  <c r="K8" i="30" s="1"/>
  <c r="K7" i="30" s="1"/>
  <c r="H80" i="38"/>
  <c r="E80" i="38" s="1"/>
  <c r="AN67" i="39"/>
  <c r="D165" i="48" s="1"/>
  <c r="BL16" i="39"/>
  <c r="E71" i="46" s="1"/>
  <c r="G24" i="82" s="1"/>
  <c r="Y77" i="39"/>
  <c r="H80" i="37"/>
  <c r="H77" i="37" s="1"/>
  <c r="H76" i="37" s="1"/>
  <c r="AS80" i="37"/>
  <c r="H117" i="37" s="1"/>
  <c r="H18" i="64"/>
  <c r="BA8" i="33"/>
  <c r="AI116" i="25"/>
  <c r="AF67" i="19"/>
  <c r="AZ67" i="25"/>
  <c r="AZ25" i="29"/>
  <c r="V55" i="29"/>
  <c r="AE116" i="34"/>
  <c r="BL13" i="31"/>
  <c r="J13" i="31" s="1"/>
  <c r="AI67" i="27"/>
  <c r="P79" i="27"/>
  <c r="AR79" i="27" s="1"/>
  <c r="S78" i="27"/>
  <c r="S9" i="84"/>
  <c r="P19" i="38"/>
  <c r="P18" i="38" s="1"/>
  <c r="S77" i="27"/>
  <c r="S76" i="27" s="1"/>
  <c r="AH37" i="40" l="1"/>
  <c r="AH34" i="40" s="1"/>
  <c r="AH25" i="40" s="1"/>
  <c r="H18" i="59"/>
  <c r="AH37" i="33"/>
  <c r="AH34" i="33" s="1"/>
  <c r="AH25" i="33" s="1"/>
  <c r="AD97" i="33"/>
  <c r="BP34" i="33"/>
  <c r="BL34" i="27"/>
  <c r="Q116" i="27"/>
  <c r="AH34" i="21"/>
  <c r="AH25" i="21" s="1"/>
  <c r="AV51" i="31"/>
  <c r="AV25" i="31" s="1"/>
  <c r="AR103" i="31"/>
  <c r="BM50" i="32"/>
  <c r="BN50" i="32" s="1"/>
  <c r="AU68" i="32" s="1"/>
  <c r="P115" i="40"/>
  <c r="AE63" i="30"/>
  <c r="Y115" i="30" s="1"/>
  <c r="AR89" i="30"/>
  <c r="AL77" i="30"/>
  <c r="AD11" i="84"/>
  <c r="AL41" i="30"/>
  <c r="AL34" i="30" s="1"/>
  <c r="AL25" i="30" s="1"/>
  <c r="AR95" i="30"/>
  <c r="AD77" i="30"/>
  <c r="Y84" i="21"/>
  <c r="AE11" i="22"/>
  <c r="P79" i="22"/>
  <c r="AR79" i="22" s="1"/>
  <c r="AB116" i="27"/>
  <c r="P81" i="28"/>
  <c r="AR81" i="28" s="1"/>
  <c r="AJ78" i="28"/>
  <c r="F44" i="84"/>
  <c r="Y17" i="84"/>
  <c r="AQ32" i="84"/>
  <c r="I34" i="84"/>
  <c r="Y19" i="84"/>
  <c r="W14" i="84"/>
  <c r="T27" i="84"/>
  <c r="Y39" i="84"/>
  <c r="U27" i="84"/>
  <c r="Y40" i="84"/>
  <c r="AG27" i="84"/>
  <c r="AF58" i="88"/>
  <c r="Z20" i="84"/>
  <c r="Q24" i="84"/>
  <c r="AR100" i="33"/>
  <c r="V48" i="33"/>
  <c r="Y111" i="30"/>
  <c r="Y20" i="84"/>
  <c r="AO78" i="30"/>
  <c r="AO77" i="30" s="1"/>
  <c r="AO9" i="84"/>
  <c r="AR90" i="30"/>
  <c r="P80" i="30"/>
  <c r="AR80" i="30" s="1"/>
  <c r="AR100" i="30"/>
  <c r="AL41" i="31"/>
  <c r="AL34" i="31" s="1"/>
  <c r="AL25" i="31" s="1"/>
  <c r="AE63" i="33"/>
  <c r="Y115" i="33" s="1"/>
  <c r="AR107" i="33"/>
  <c r="AE10" i="33"/>
  <c r="AE9" i="33" s="1"/>
  <c r="AJ77" i="33"/>
  <c r="AD77" i="33"/>
  <c r="AD116" i="33" s="1"/>
  <c r="BK66" i="21"/>
  <c r="BM66" i="21"/>
  <c r="BN66" i="21" s="1"/>
  <c r="AX53" i="21"/>
  <c r="BM53" i="21"/>
  <c r="BN53" i="21" s="1"/>
  <c r="P40" i="13" s="1"/>
  <c r="O20" i="21"/>
  <c r="E20" i="21" s="1"/>
  <c r="Q18" i="21"/>
  <c r="E86" i="48"/>
  <c r="H16" i="58" s="1"/>
  <c r="AI38" i="21"/>
  <c r="AI34" i="21" s="1"/>
  <c r="AI25" i="21" s="1"/>
  <c r="AR115" i="21"/>
  <c r="AR92" i="21"/>
  <c r="BL49" i="21"/>
  <c r="AT49" i="21" s="1"/>
  <c r="N89" i="21"/>
  <c r="AN37" i="84"/>
  <c r="AR93" i="21"/>
  <c r="AR100" i="21"/>
  <c r="AN78" i="21"/>
  <c r="AN117" i="21" s="1"/>
  <c r="AR104" i="21"/>
  <c r="AE104" i="21" s="1"/>
  <c r="BM33" i="21"/>
  <c r="BN33" i="21" s="1"/>
  <c r="AR113" i="21"/>
  <c r="BH25" i="21"/>
  <c r="X78" i="21"/>
  <c r="X117" i="21" s="1"/>
  <c r="G78" i="21"/>
  <c r="BL62" i="21"/>
  <c r="BL29" i="21"/>
  <c r="BL28" i="21"/>
  <c r="Y28" i="21" s="1"/>
  <c r="Y25" i="21" s="1"/>
  <c r="AQ43" i="84"/>
  <c r="AQ42" i="84"/>
  <c r="AY58" i="88"/>
  <c r="AW58" i="88"/>
  <c r="AB45" i="84"/>
  <c r="BL43" i="21"/>
  <c r="BL52" i="21"/>
  <c r="AW52" i="21" s="1"/>
  <c r="V52" i="21" s="1"/>
  <c r="AQ9" i="84"/>
  <c r="F42" i="84"/>
  <c r="F16" i="83"/>
  <c r="Y80" i="21"/>
  <c r="AE11" i="21"/>
  <c r="Y79" i="21" s="1"/>
  <c r="AO78" i="21"/>
  <c r="P80" i="21"/>
  <c r="V9" i="84"/>
  <c r="AM42" i="21"/>
  <c r="AE42" i="21" s="1"/>
  <c r="V42" i="21" s="1"/>
  <c r="S27" i="84"/>
  <c r="U89" i="23"/>
  <c r="P94" i="23"/>
  <c r="E287" i="47"/>
  <c r="G13" i="69" s="1"/>
  <c r="H13" i="69" s="1"/>
  <c r="AR101" i="23"/>
  <c r="O117" i="23"/>
  <c r="AC78" i="23"/>
  <c r="AK78" i="23"/>
  <c r="AK117" i="23" s="1"/>
  <c r="AQ17" i="84"/>
  <c r="AQ36" i="84"/>
  <c r="BM20" i="23"/>
  <c r="BN20" i="23" s="1"/>
  <c r="BM39" i="23"/>
  <c r="BN39" i="23" s="1"/>
  <c r="AJ69" i="23" s="1"/>
  <c r="R78" i="23"/>
  <c r="R117" i="23" s="1"/>
  <c r="AS91" i="23" s="1"/>
  <c r="R118" i="23" s="1"/>
  <c r="U78" i="23"/>
  <c r="U117" i="23" s="1"/>
  <c r="AS94" i="23" s="1"/>
  <c r="U118" i="23" s="1"/>
  <c r="AH78" i="23"/>
  <c r="AH117" i="23" s="1"/>
  <c r="BL66" i="23"/>
  <c r="BM66" i="23" s="1"/>
  <c r="BN66" i="23" s="1"/>
  <c r="BK69" i="23" s="1"/>
  <c r="AI78" i="23"/>
  <c r="AI117" i="23" s="1"/>
  <c r="E95" i="23"/>
  <c r="AR95" i="23" s="1"/>
  <c r="V95" i="23" s="1"/>
  <c r="E96" i="23"/>
  <c r="AR96" i="23" s="1"/>
  <c r="AR112" i="23"/>
  <c r="AM112" i="23" s="1"/>
  <c r="V23" i="23"/>
  <c r="Y87" i="23"/>
  <c r="AY43" i="88"/>
  <c r="AM30" i="84"/>
  <c r="AO117" i="23"/>
  <c r="F39" i="84"/>
  <c r="P84" i="23"/>
  <c r="AR84" i="23" s="1"/>
  <c r="AB117" i="23"/>
  <c r="AS55" i="88"/>
  <c r="AG42" i="84"/>
  <c r="AQ58" i="88"/>
  <c r="AQ30" i="84"/>
  <c r="O58" i="88"/>
  <c r="M28" i="84"/>
  <c r="L41" i="84"/>
  <c r="BL43" i="23"/>
  <c r="AE78" i="23"/>
  <c r="AE117" i="23" s="1"/>
  <c r="E99" i="23"/>
  <c r="AR99" i="23" s="1"/>
  <c r="Z99" i="23" s="1"/>
  <c r="Z89" i="23" s="1"/>
  <c r="Z77" i="23" s="1"/>
  <c r="F102" i="23"/>
  <c r="E102" i="23" s="1"/>
  <c r="AR102" i="23" s="1"/>
  <c r="D474" i="47"/>
  <c r="BM56" i="23"/>
  <c r="BN56" i="23" s="1"/>
  <c r="BA69" i="23" s="1"/>
  <c r="BL47" i="23"/>
  <c r="AR47" i="23" s="1"/>
  <c r="V47" i="23" s="1"/>
  <c r="BM47" i="23"/>
  <c r="BN47" i="23" s="1"/>
  <c r="AR69" i="23" s="1"/>
  <c r="BL30" i="23"/>
  <c r="AQ15" i="84"/>
  <c r="AQ10" i="84"/>
  <c r="AQ44" i="84"/>
  <c r="AZ58" i="88"/>
  <c r="AQ41" i="84"/>
  <c r="AQ40" i="84"/>
  <c r="AE58" i="88"/>
  <c r="AH58" i="88"/>
  <c r="W45" i="84"/>
  <c r="AQ23" i="84"/>
  <c r="AQ22" i="84"/>
  <c r="T41" i="84"/>
  <c r="AQ21" i="84"/>
  <c r="T58" i="88"/>
  <c r="AQ20" i="84"/>
  <c r="AQ19" i="84"/>
  <c r="BL51" i="23"/>
  <c r="BL59" i="23"/>
  <c r="BD59" i="23" s="1"/>
  <c r="P82" i="23"/>
  <c r="AR82" i="23" s="1"/>
  <c r="M98" i="24"/>
  <c r="AM32" i="88"/>
  <c r="AA27" i="84"/>
  <c r="AH27" i="84"/>
  <c r="AQ14" i="84"/>
  <c r="I8" i="84"/>
  <c r="Y34" i="84"/>
  <c r="Y44" i="84"/>
  <c r="F40" i="84"/>
  <c r="AA58" i="88"/>
  <c r="AP27" i="84"/>
  <c r="AX58" i="88"/>
  <c r="AQ39" i="84"/>
  <c r="AQ24" i="84"/>
  <c r="P45" i="88"/>
  <c r="O32" i="84"/>
  <c r="O30" i="88"/>
  <c r="O29" i="88" s="1"/>
  <c r="O20" i="88" s="1"/>
  <c r="M48" i="88"/>
  <c r="M21" i="88"/>
  <c r="BB15" i="88"/>
  <c r="AH15" i="88"/>
  <c r="AD15" i="88"/>
  <c r="Y15" i="88"/>
  <c r="K43" i="84"/>
  <c r="K40" i="84"/>
  <c r="K32" i="84"/>
  <c r="K28" i="84"/>
  <c r="L16" i="88"/>
  <c r="AN14" i="88"/>
  <c r="AJ14" i="88"/>
  <c r="AB14" i="88"/>
  <c r="K55" i="88"/>
  <c r="K26" i="88"/>
  <c r="J11" i="84"/>
  <c r="J33" i="88"/>
  <c r="I27" i="84"/>
  <c r="I22" i="84"/>
  <c r="H13" i="84"/>
  <c r="AY10" i="88"/>
  <c r="AY9" i="88" s="1"/>
  <c r="AM9" i="84"/>
  <c r="AM10" i="88"/>
  <c r="AM9" i="88" s="1"/>
  <c r="AA9" i="84"/>
  <c r="AJ11" i="88"/>
  <c r="AJ9" i="88" s="1"/>
  <c r="AJ8" i="88" s="1"/>
  <c r="AB11" i="88"/>
  <c r="AB9" i="88" s="1"/>
  <c r="AI10" i="88"/>
  <c r="AI9" i="88" s="1"/>
  <c r="AI8" i="88" s="1"/>
  <c r="V10" i="88"/>
  <c r="V9" i="88" s="1"/>
  <c r="V8" i="88" s="1"/>
  <c r="U9" i="84"/>
  <c r="S11" i="88"/>
  <c r="S9" i="88" s="1"/>
  <c r="R10" i="88"/>
  <c r="R9" i="88" s="1"/>
  <c r="Q8" i="84"/>
  <c r="M10" i="88"/>
  <c r="M9" i="88" s="1"/>
  <c r="L9" i="84"/>
  <c r="K12" i="88"/>
  <c r="I10" i="88"/>
  <c r="I9" i="88" s="1"/>
  <c r="H9" i="84"/>
  <c r="G57" i="88"/>
  <c r="F57" i="88" s="1"/>
  <c r="E57" i="88" s="1"/>
  <c r="G44" i="84"/>
  <c r="G53" i="88"/>
  <c r="F53" i="88" s="1"/>
  <c r="G40" i="84"/>
  <c r="G49" i="88"/>
  <c r="G36" i="84"/>
  <c r="G45" i="88"/>
  <c r="G32" i="84"/>
  <c r="G41" i="88"/>
  <c r="F41" i="88" s="1"/>
  <c r="G28" i="84"/>
  <c r="H38" i="88"/>
  <c r="F38" i="88" s="1"/>
  <c r="E38" i="88" s="1"/>
  <c r="BE38" i="88" s="1"/>
  <c r="AI38" i="88" s="1"/>
  <c r="G37" i="88"/>
  <c r="G29" i="88" s="1"/>
  <c r="H30" i="88"/>
  <c r="F30" i="88" s="1"/>
  <c r="G28" i="88"/>
  <c r="F28" i="88" s="1"/>
  <c r="G26" i="84"/>
  <c r="G24" i="88"/>
  <c r="G22" i="84"/>
  <c r="G19" i="88"/>
  <c r="F19" i="88" s="1"/>
  <c r="G17" i="84"/>
  <c r="H15" i="88"/>
  <c r="F15" i="88" s="1"/>
  <c r="H14" i="88"/>
  <c r="F14" i="88" s="1"/>
  <c r="G16" i="88"/>
  <c r="G13" i="84"/>
  <c r="I13" i="88"/>
  <c r="F11" i="84"/>
  <c r="F28" i="84"/>
  <c r="AC50" i="88"/>
  <c r="Z50" i="88" s="1"/>
  <c r="Y37" i="84"/>
  <c r="AA48" i="88"/>
  <c r="Z48" i="88" s="1"/>
  <c r="Y35" i="84"/>
  <c r="AK27" i="84"/>
  <c r="U25" i="84"/>
  <c r="AQ28" i="84"/>
  <c r="R27" i="88"/>
  <c r="Q25" i="84"/>
  <c r="AL27" i="84"/>
  <c r="Y29" i="84"/>
  <c r="AQ33" i="84"/>
  <c r="AS24" i="88"/>
  <c r="AG22" i="84"/>
  <c r="T27" i="88"/>
  <c r="S25" i="84"/>
  <c r="R55" i="88"/>
  <c r="Q42" i="84"/>
  <c r="AN27" i="84"/>
  <c r="Q12" i="84"/>
  <c r="Y38" i="84"/>
  <c r="Y21" i="84"/>
  <c r="Z15" i="88"/>
  <c r="Y28" i="84"/>
  <c r="Y41" i="84"/>
  <c r="G10" i="84"/>
  <c r="AL39" i="84"/>
  <c r="AI39" i="84"/>
  <c r="AB29" i="84"/>
  <c r="AP28" i="84"/>
  <c r="F35" i="88"/>
  <c r="R27" i="84"/>
  <c r="Z27" i="84"/>
  <c r="AF27" i="84"/>
  <c r="V25" i="84"/>
  <c r="AB27" i="84"/>
  <c r="Y36" i="84"/>
  <c r="Y26" i="84"/>
  <c r="AM27" i="84"/>
  <c r="O20" i="24"/>
  <c r="E20" i="24" s="1"/>
  <c r="Q18" i="24"/>
  <c r="Q8" i="24" s="1"/>
  <c r="Q7" i="24" s="1"/>
  <c r="K8" i="84"/>
  <c r="E80" i="24"/>
  <c r="AR84" i="24"/>
  <c r="V65" i="24"/>
  <c r="AE63" i="24"/>
  <c r="F38" i="24"/>
  <c r="AR107" i="24"/>
  <c r="AJ78" i="24"/>
  <c r="AN78" i="24"/>
  <c r="AN117" i="24" s="1"/>
  <c r="G26" i="24"/>
  <c r="AS106" i="24"/>
  <c r="AG118" i="24" s="1"/>
  <c r="AL58" i="88"/>
  <c r="Z45" i="84"/>
  <c r="G89" i="24"/>
  <c r="E95" i="24"/>
  <c r="AR95" i="24" s="1"/>
  <c r="V95" i="24" s="1"/>
  <c r="P95" i="24" s="1"/>
  <c r="X78" i="24"/>
  <c r="X117" i="24" s="1"/>
  <c r="AB78" i="24"/>
  <c r="AB117" i="24" s="1"/>
  <c r="AS101" i="24" s="1"/>
  <c r="AB118" i="24" s="1"/>
  <c r="G39" i="24"/>
  <c r="F39" i="24" s="1"/>
  <c r="E39" i="24" s="1"/>
  <c r="H34" i="24"/>
  <c r="F98" i="24" s="1"/>
  <c r="F89" i="24" s="1"/>
  <c r="F117" i="24" s="1"/>
  <c r="AQ94" i="24"/>
  <c r="AQ89" i="24" s="1"/>
  <c r="AQ117" i="24" s="1"/>
  <c r="BH25" i="24"/>
  <c r="BH68" i="24" s="1"/>
  <c r="AQ16" i="84"/>
  <c r="V27" i="84"/>
  <c r="BM29" i="24"/>
  <c r="BN29" i="24" s="1"/>
  <c r="AR112" i="24"/>
  <c r="AF34" i="24"/>
  <c r="AF25" i="24" s="1"/>
  <c r="BL15" i="24"/>
  <c r="AH39" i="84"/>
  <c r="AJ58" i="88"/>
  <c r="AB58" i="88"/>
  <c r="AD58" i="88"/>
  <c r="X28" i="84"/>
  <c r="AO21" i="84"/>
  <c r="R43" i="84"/>
  <c r="R19" i="84"/>
  <c r="Q41" i="84"/>
  <c r="I45" i="84"/>
  <c r="F45" i="88"/>
  <c r="BL41" i="24"/>
  <c r="BL46" i="24"/>
  <c r="AQ46" i="24" s="1"/>
  <c r="V46" i="24" s="1"/>
  <c r="BL48" i="24"/>
  <c r="AS48" i="24" s="1"/>
  <c r="AS25" i="24" s="1"/>
  <c r="L28" i="84"/>
  <c r="AN13" i="84"/>
  <c r="BL45" i="24"/>
  <c r="BL52" i="24"/>
  <c r="AW52" i="24" s="1"/>
  <c r="BL29" i="24"/>
  <c r="AI36" i="84"/>
  <c r="AK24" i="84"/>
  <c r="V23" i="84"/>
  <c r="N25" i="84"/>
  <c r="AP12" i="84"/>
  <c r="J41" i="84"/>
  <c r="H29" i="84"/>
  <c r="G45" i="84"/>
  <c r="F17" i="88"/>
  <c r="D12" i="68"/>
  <c r="AR110" i="24"/>
  <c r="AJ117" i="24"/>
  <c r="M115" i="25"/>
  <c r="M116" i="25"/>
  <c r="AC78" i="25"/>
  <c r="M45" i="84"/>
  <c r="M78" i="26"/>
  <c r="AE63" i="26"/>
  <c r="Z76" i="26"/>
  <c r="O116" i="26"/>
  <c r="Y16" i="84"/>
  <c r="R77" i="26"/>
  <c r="BL64" i="27"/>
  <c r="BI64" i="27" s="1"/>
  <c r="BH64" i="27" s="1"/>
  <c r="P84" i="27"/>
  <c r="AJ116" i="27"/>
  <c r="AS108" i="27" s="1"/>
  <c r="AJ117" i="27" s="1"/>
  <c r="AC116" i="27"/>
  <c r="AE63" i="28"/>
  <c r="AR101" i="28"/>
  <c r="Y78" i="28"/>
  <c r="P80" i="28"/>
  <c r="AR80" i="28" s="1"/>
  <c r="BA67" i="29"/>
  <c r="E102" i="48"/>
  <c r="H8" i="64" s="1"/>
  <c r="AE116" i="30"/>
  <c r="AS103" i="30" s="1"/>
  <c r="AE117" i="30" s="1"/>
  <c r="BL23" i="30"/>
  <c r="T23" i="30" s="1"/>
  <c r="T8" i="30" s="1"/>
  <c r="T7" i="30" s="1"/>
  <c r="AW7" i="30"/>
  <c r="AM77" i="30"/>
  <c r="AM116" i="30" s="1"/>
  <c r="AS105" i="30"/>
  <c r="AG117" i="30" s="1"/>
  <c r="AP76" i="30"/>
  <c r="BM23" i="30"/>
  <c r="BN23" i="30" s="1"/>
  <c r="J116" i="30"/>
  <c r="F86" i="30"/>
  <c r="AR86" i="30" s="1"/>
  <c r="N86" i="30" s="1"/>
  <c r="AD68" i="30"/>
  <c r="D20" i="76"/>
  <c r="BM54" i="30"/>
  <c r="BN54" i="30" s="1"/>
  <c r="BG7" i="30"/>
  <c r="AY68" i="30"/>
  <c r="D319" i="47"/>
  <c r="BM24" i="30"/>
  <c r="BN24" i="30" s="1"/>
  <c r="E113" i="48"/>
  <c r="H19" i="64" s="1"/>
  <c r="M97" i="39"/>
  <c r="M88" i="39" s="1"/>
  <c r="AF77" i="39"/>
  <c r="AF116" i="39" s="1"/>
  <c r="AQ67" i="39"/>
  <c r="AQ7" i="39"/>
  <c r="BM15" i="39"/>
  <c r="BN15" i="39" s="1"/>
  <c r="D189" i="48"/>
  <c r="BM44" i="39"/>
  <c r="BN44" i="39" s="1"/>
  <c r="D421" i="47"/>
  <c r="P84" i="40"/>
  <c r="AR84" i="40" s="1"/>
  <c r="L10" i="40"/>
  <c r="L9" i="40" s="1"/>
  <c r="L8" i="40" s="1"/>
  <c r="L7" i="40" s="1"/>
  <c r="G15" i="40"/>
  <c r="F15" i="40" s="1"/>
  <c r="E15" i="40" s="1"/>
  <c r="D22" i="55"/>
  <c r="I22" i="55" s="1"/>
  <c r="N22" i="55" s="1"/>
  <c r="D20" i="47"/>
  <c r="BM26" i="40"/>
  <c r="BN26" i="40" s="1"/>
  <c r="D21" i="77"/>
  <c r="D495" i="47"/>
  <c r="BM44" i="40"/>
  <c r="BN44" i="40" s="1"/>
  <c r="AH7" i="40"/>
  <c r="P67" i="40"/>
  <c r="AW8" i="40"/>
  <c r="AW67" i="40" s="1"/>
  <c r="AK7" i="40"/>
  <c r="U67" i="40"/>
  <c r="AR7" i="40"/>
  <c r="D320" i="47"/>
  <c r="P115" i="33"/>
  <c r="BA67" i="33"/>
  <c r="AJ116" i="33"/>
  <c r="P80" i="33"/>
  <c r="AR80" i="33" s="1"/>
  <c r="AL78" i="33"/>
  <c r="AL77" i="33" s="1"/>
  <c r="AL116" i="33" s="1"/>
  <c r="AX7" i="33"/>
  <c r="K116" i="33"/>
  <c r="D18" i="67"/>
  <c r="BM45" i="33"/>
  <c r="BN45" i="33" s="1"/>
  <c r="D208" i="48"/>
  <c r="T67" i="33"/>
  <c r="BM23" i="33" s="1"/>
  <c r="BN23" i="33" s="1"/>
  <c r="BM44" i="33"/>
  <c r="BN44" i="33" s="1"/>
  <c r="D291" i="47"/>
  <c r="BM52" i="33"/>
  <c r="BN52" i="33" s="1"/>
  <c r="AW68" i="33" s="1"/>
  <c r="D116" i="46"/>
  <c r="AR80" i="21"/>
  <c r="P84" i="21"/>
  <c r="AR84" i="21" s="1"/>
  <c r="K84" i="21" s="1"/>
  <c r="E84" i="21" s="1"/>
  <c r="W8" i="21"/>
  <c r="W68" i="21" s="1"/>
  <c r="D16" i="55" s="1"/>
  <c r="V78" i="21"/>
  <c r="V117" i="21" s="1"/>
  <c r="W78" i="21"/>
  <c r="W117" i="21" s="1"/>
  <c r="AA78" i="21"/>
  <c r="AA117" i="21" s="1"/>
  <c r="BM23" i="21"/>
  <c r="BN23" i="21" s="1"/>
  <c r="U78" i="21"/>
  <c r="U117" i="21" s="1"/>
  <c r="AS94" i="21" s="1"/>
  <c r="U118" i="21" s="1"/>
  <c r="L10" i="21"/>
  <c r="L9" i="21" s="1"/>
  <c r="L8" i="21" s="1"/>
  <c r="L7" i="21" s="1"/>
  <c r="G15" i="21"/>
  <c r="F15" i="21" s="1"/>
  <c r="E15" i="21" s="1"/>
  <c r="AQ79" i="21"/>
  <c r="AQ78" i="21" s="1"/>
  <c r="BH10" i="21"/>
  <c r="BH9" i="21" s="1"/>
  <c r="BH8" i="21" s="1"/>
  <c r="BH68" i="21" s="1"/>
  <c r="AT68" i="21"/>
  <c r="BM49" i="21" s="1"/>
  <c r="BN49" i="21" s="1"/>
  <c r="AT69" i="21" s="1"/>
  <c r="T8" i="21"/>
  <c r="T7" i="21" s="1"/>
  <c r="AQ7" i="21"/>
  <c r="R8" i="84"/>
  <c r="N8" i="84"/>
  <c r="AI79" i="21"/>
  <c r="AI78" i="21" s="1"/>
  <c r="AR7" i="21"/>
  <c r="P68" i="21"/>
  <c r="S79" i="21"/>
  <c r="S78" i="21" s="1"/>
  <c r="S117" i="21" s="1"/>
  <c r="AS92" i="21" s="1"/>
  <c r="S118" i="21" s="1"/>
  <c r="AC79" i="21"/>
  <c r="AH79" i="21"/>
  <c r="AH78" i="21" s="1"/>
  <c r="AH117" i="21" s="1"/>
  <c r="AM8" i="84"/>
  <c r="AA8" i="84"/>
  <c r="H8" i="84"/>
  <c r="Z8" i="84"/>
  <c r="AU10" i="21"/>
  <c r="AU9" i="21" s="1"/>
  <c r="AU8" i="21" s="1"/>
  <c r="R79" i="21"/>
  <c r="J79" i="21"/>
  <c r="J117" i="21" s="1"/>
  <c r="AB79" i="21"/>
  <c r="AB78" i="21" s="1"/>
  <c r="AB117" i="21" s="1"/>
  <c r="AS101" i="21" s="1"/>
  <c r="AB118" i="21" s="1"/>
  <c r="AG79" i="21"/>
  <c r="D189" i="47"/>
  <c r="L8" i="84"/>
  <c r="Q10" i="21"/>
  <c r="O11" i="21"/>
  <c r="BM46" i="21"/>
  <c r="BN46" i="21" s="1"/>
  <c r="AQ69" i="21" s="1"/>
  <c r="BM48" i="21"/>
  <c r="BN48" i="21" s="1"/>
  <c r="I117" i="21"/>
  <c r="L117" i="21"/>
  <c r="N10" i="21"/>
  <c r="BL14" i="21"/>
  <c r="K14" i="21" s="1"/>
  <c r="K117" i="21"/>
  <c r="AF8" i="84"/>
  <c r="N117" i="21"/>
  <c r="D17" i="60"/>
  <c r="D38" i="48"/>
  <c r="D189" i="46"/>
  <c r="BD8" i="21"/>
  <c r="BD68" i="21" s="1"/>
  <c r="AL78" i="21"/>
  <c r="AL117" i="21" s="1"/>
  <c r="AS111" i="21" s="1"/>
  <c r="AL118" i="21" s="1"/>
  <c r="E23" i="22"/>
  <c r="V76" i="22"/>
  <c r="T117" i="22"/>
  <c r="D113" i="46"/>
  <c r="D14" i="74"/>
  <c r="D363" i="47"/>
  <c r="AQ67" i="22"/>
  <c r="BG68" i="22"/>
  <c r="D15" i="61"/>
  <c r="D13" i="48"/>
  <c r="BM35" i="22"/>
  <c r="BN35" i="22" s="1"/>
  <c r="AP7" i="22"/>
  <c r="D188" i="46"/>
  <c r="O9" i="22"/>
  <c r="O67" i="22" s="1"/>
  <c r="BL13" i="22"/>
  <c r="J13" i="22" s="1"/>
  <c r="J11" i="22" s="1"/>
  <c r="J10" i="22" s="1"/>
  <c r="J9" i="22" s="1"/>
  <c r="J8" i="22" s="1"/>
  <c r="J7" i="22" s="1"/>
  <c r="D13" i="78"/>
  <c r="H13" i="78" s="1"/>
  <c r="D437" i="47"/>
  <c r="BM59" i="23"/>
  <c r="BN59" i="23" s="1"/>
  <c r="D14" i="73"/>
  <c r="D387" i="47"/>
  <c r="L10" i="23"/>
  <c r="L9" i="23" s="1"/>
  <c r="L8" i="23" s="1"/>
  <c r="L7" i="23" s="1"/>
  <c r="G15" i="23"/>
  <c r="F15" i="23" s="1"/>
  <c r="E15" i="23" s="1"/>
  <c r="D14" i="49"/>
  <c r="BM24" i="23"/>
  <c r="BN24" i="23" s="1"/>
  <c r="U69" i="23" s="1"/>
  <c r="D187" i="46"/>
  <c r="BM51" i="23"/>
  <c r="BN51" i="23" s="1"/>
  <c r="AV69" i="23" s="1"/>
  <c r="O10" i="23"/>
  <c r="D112" i="46"/>
  <c r="D262" i="47"/>
  <c r="U8" i="23"/>
  <c r="U7" i="23" s="1"/>
  <c r="D412" i="47"/>
  <c r="D14" i="61"/>
  <c r="BM35" i="23"/>
  <c r="BN35" i="23" s="1"/>
  <c r="AF69" i="23" s="1"/>
  <c r="D12" i="48"/>
  <c r="BM37" i="23"/>
  <c r="BN37" i="23" s="1"/>
  <c r="AH69" i="23" s="1"/>
  <c r="D487" i="47"/>
  <c r="D60" i="48"/>
  <c r="Q8" i="23"/>
  <c r="Q7" i="23" s="1"/>
  <c r="AK7" i="23"/>
  <c r="Y116" i="24"/>
  <c r="M79" i="24"/>
  <c r="Y85" i="24"/>
  <c r="P85" i="24" s="1"/>
  <c r="AR85" i="24" s="1"/>
  <c r="L85" i="24" s="1"/>
  <c r="BL23" i="24"/>
  <c r="T23" i="24" s="1"/>
  <c r="D211" i="47"/>
  <c r="F211" i="47" s="1"/>
  <c r="T118" i="24"/>
  <c r="BM23" i="24"/>
  <c r="BN23" i="24" s="1"/>
  <c r="T69" i="24" s="1"/>
  <c r="D14" i="60"/>
  <c r="D35" i="48"/>
  <c r="BM36" i="24"/>
  <c r="BN36" i="24" s="1"/>
  <c r="AG69" i="24" s="1"/>
  <c r="D13" i="61"/>
  <c r="BM35" i="24"/>
  <c r="BN35" i="24" s="1"/>
  <c r="AF69" i="24" s="1"/>
  <c r="D11" i="48"/>
  <c r="F11" i="48" s="1"/>
  <c r="O10" i="24"/>
  <c r="D155" i="48"/>
  <c r="D186" i="46"/>
  <c r="T8" i="24"/>
  <c r="T7" i="24" s="1"/>
  <c r="BM28" i="24"/>
  <c r="BN28" i="24" s="1"/>
  <c r="D61" i="47"/>
  <c r="F61" i="47" s="1"/>
  <c r="AF7" i="24"/>
  <c r="AJ27" i="84"/>
  <c r="AR107" i="25"/>
  <c r="E130" i="48"/>
  <c r="E12" i="63" s="1"/>
  <c r="E112" i="25"/>
  <c r="D12" i="41"/>
  <c r="D110" i="46"/>
  <c r="BJ7" i="25"/>
  <c r="D10" i="47"/>
  <c r="BK7" i="25"/>
  <c r="BM15" i="26"/>
  <c r="BN15" i="26" s="1"/>
  <c r="BL15" i="26"/>
  <c r="L15" i="26" s="1"/>
  <c r="G15" i="26" s="1"/>
  <c r="F15" i="26" s="1"/>
  <c r="E15" i="26" s="1"/>
  <c r="M116" i="27"/>
  <c r="P85" i="27"/>
  <c r="AR85" i="27" s="1"/>
  <c r="AD7" i="27"/>
  <c r="AF76" i="27"/>
  <c r="D9" i="77"/>
  <c r="D483" i="47"/>
  <c r="D9" i="78"/>
  <c r="D433" i="47"/>
  <c r="F433" i="47" s="1"/>
  <c r="BM59" i="27"/>
  <c r="BN59" i="27" s="1"/>
  <c r="BM15" i="27"/>
  <c r="BN15" i="27" s="1"/>
  <c r="BD7" i="27"/>
  <c r="BK8" i="27"/>
  <c r="BK67" i="27" s="1"/>
  <c r="AQ7" i="27"/>
  <c r="T68" i="27"/>
  <c r="AK7" i="27"/>
  <c r="N16" i="88"/>
  <c r="J116" i="28"/>
  <c r="P86" i="28"/>
  <c r="AR86" i="28" s="1"/>
  <c r="O9" i="28"/>
  <c r="O67" i="28" s="1"/>
  <c r="AK7" i="28"/>
  <c r="AD7" i="28"/>
  <c r="BK8" i="28"/>
  <c r="BK67" i="28" s="1"/>
  <c r="D107" i="46"/>
  <c r="AR103" i="29"/>
  <c r="AR112" i="29"/>
  <c r="Q77" i="29"/>
  <c r="Q116" i="29" s="1"/>
  <c r="D8" i="79"/>
  <c r="D406" i="47"/>
  <c r="O10" i="29"/>
  <c r="BM46" i="29"/>
  <c r="BN46" i="29" s="1"/>
  <c r="H33" i="13" s="1"/>
  <c r="AR68" i="29"/>
  <c r="O9" i="29"/>
  <c r="O67" i="29" s="1"/>
  <c r="E101" i="48"/>
  <c r="H7" i="64" s="1"/>
  <c r="P80" i="19"/>
  <c r="AR80" i="19" s="1"/>
  <c r="AL16" i="84"/>
  <c r="D155" i="46"/>
  <c r="BG7" i="19"/>
  <c r="E67" i="47"/>
  <c r="Y28" i="32"/>
  <c r="AO76" i="31"/>
  <c r="AJ39" i="40"/>
  <c r="BM39" i="40"/>
  <c r="BN39" i="40" s="1"/>
  <c r="J116" i="39"/>
  <c r="D67" i="47"/>
  <c r="F67" i="47" s="1"/>
  <c r="BM28" i="32"/>
  <c r="BN28" i="32" s="1"/>
  <c r="Y68" i="32" s="1"/>
  <c r="E26" i="27"/>
  <c r="E25" i="27" s="1"/>
  <c r="BL25" i="27" s="1"/>
  <c r="BL40" i="37"/>
  <c r="AK40" i="37" s="1"/>
  <c r="E34" i="37"/>
  <c r="BL34" i="37" s="1"/>
  <c r="Q20" i="38"/>
  <c r="BM20" i="38"/>
  <c r="BN20" i="38" s="1"/>
  <c r="Q68" i="38" s="1"/>
  <c r="BL21" i="40"/>
  <c r="L15" i="24"/>
  <c r="BM15" i="24"/>
  <c r="BN15" i="24" s="1"/>
  <c r="AA67" i="34"/>
  <c r="BM30" i="34" s="1"/>
  <c r="BN30" i="34" s="1"/>
  <c r="D21" i="73"/>
  <c r="BM57" i="30"/>
  <c r="BN57" i="30" s="1"/>
  <c r="BB68" i="30" s="1"/>
  <c r="Q18" i="22"/>
  <c r="Q8" i="22" s="1"/>
  <c r="O20" i="22"/>
  <c r="E20" i="22" s="1"/>
  <c r="Q18" i="34"/>
  <c r="Q8" i="34" s="1"/>
  <c r="Q7" i="34" s="1"/>
  <c r="BL65" i="23"/>
  <c r="BJ65" i="23" s="1"/>
  <c r="BJ63" i="23" s="1"/>
  <c r="V29" i="22"/>
  <c r="AY68" i="37"/>
  <c r="F88" i="34"/>
  <c r="F116" i="34" s="1"/>
  <c r="Z88" i="38"/>
  <c r="Z76" i="38" s="1"/>
  <c r="P98" i="38"/>
  <c r="BH67" i="39"/>
  <c r="O67" i="37"/>
  <c r="E9" i="37"/>
  <c r="AQ78" i="27"/>
  <c r="AQ77" i="27" s="1"/>
  <c r="AQ116" i="27" s="1"/>
  <c r="BH10" i="27"/>
  <c r="BH9" i="27" s="1"/>
  <c r="BH8" i="27" s="1"/>
  <c r="BH67" i="27" s="1"/>
  <c r="BH10" i="30"/>
  <c r="BH9" i="30" s="1"/>
  <c r="BH8" i="30" s="1"/>
  <c r="AQ78" i="30"/>
  <c r="AQ77" i="30" s="1"/>
  <c r="BD59" i="32"/>
  <c r="V59" i="32" s="1"/>
  <c r="E442" i="47"/>
  <c r="G18" i="78" s="1"/>
  <c r="BM59" i="32"/>
  <c r="BN59" i="32" s="1"/>
  <c r="BD68" i="32" s="1"/>
  <c r="E416" i="47"/>
  <c r="BA56" i="28"/>
  <c r="BA25" i="28" s="1"/>
  <c r="E357" i="47"/>
  <c r="H8" i="74" s="1"/>
  <c r="D109" i="46"/>
  <c r="D11" i="41"/>
  <c r="V50" i="37"/>
  <c r="AU25" i="37"/>
  <c r="AU7" i="37" s="1"/>
  <c r="T88" i="38"/>
  <c r="T76" i="38" s="1"/>
  <c r="P92" i="38"/>
  <c r="BL39" i="38"/>
  <c r="AJ39" i="38" s="1"/>
  <c r="E34" i="38"/>
  <c r="BL34" i="38" s="1"/>
  <c r="D198" i="46"/>
  <c r="F198" i="46" s="1"/>
  <c r="BM24" i="37"/>
  <c r="BN24" i="37" s="1"/>
  <c r="G18" i="37"/>
  <c r="F18" i="37" s="1"/>
  <c r="BK66" i="37"/>
  <c r="BM66" i="37"/>
  <c r="BN66" i="37" s="1"/>
  <c r="O20" i="39"/>
  <c r="E20" i="39" s="1"/>
  <c r="Q18" i="39"/>
  <c r="Q8" i="39" s="1"/>
  <c r="Q7" i="39" s="1"/>
  <c r="AR82" i="37"/>
  <c r="J82" i="37" s="1"/>
  <c r="J77" i="37" s="1"/>
  <c r="J76" i="37" s="1"/>
  <c r="E168" i="47"/>
  <c r="N20" i="66" s="1"/>
  <c r="AQ46" i="31"/>
  <c r="AQ25" i="31" s="1"/>
  <c r="P93" i="33"/>
  <c r="U88" i="33"/>
  <c r="U76" i="33" s="1"/>
  <c r="BM32" i="34"/>
  <c r="BN32" i="34" s="1"/>
  <c r="D17" i="56"/>
  <c r="P96" i="25"/>
  <c r="X88" i="25"/>
  <c r="P78" i="28"/>
  <c r="AR78" i="28" s="1"/>
  <c r="AD77" i="28"/>
  <c r="AD116" i="28" s="1"/>
  <c r="BA68" i="34"/>
  <c r="BL39" i="28"/>
  <c r="AJ39" i="28" s="1"/>
  <c r="E34" i="28"/>
  <c r="P108" i="19"/>
  <c r="AJ88" i="19"/>
  <c r="AJ76" i="19" s="1"/>
  <c r="AX68" i="32"/>
  <c r="AA68" i="23"/>
  <c r="BL66" i="33"/>
  <c r="E63" i="33"/>
  <c r="BM66" i="24"/>
  <c r="BN66" i="24" s="1"/>
  <c r="BK69" i="24" s="1"/>
  <c r="Z25" i="39"/>
  <c r="Z7" i="39" s="1"/>
  <c r="V29" i="39"/>
  <c r="O67" i="38"/>
  <c r="E9" i="38"/>
  <c r="D394" i="47"/>
  <c r="U68" i="30"/>
  <c r="D22" i="70"/>
  <c r="BM51" i="39"/>
  <c r="BN51" i="39" s="1"/>
  <c r="D271" i="47"/>
  <c r="U116" i="22"/>
  <c r="AS93" i="22" s="1"/>
  <c r="U117" i="22" s="1"/>
  <c r="U76" i="22"/>
  <c r="D8" i="69"/>
  <c r="H8" i="69" s="1"/>
  <c r="D282" i="47"/>
  <c r="F282" i="47" s="1"/>
  <c r="H67" i="28"/>
  <c r="D7" i="46" s="1"/>
  <c r="BG67" i="28"/>
  <c r="BM62" i="28" s="1"/>
  <c r="BN62" i="28" s="1"/>
  <c r="AR47" i="26"/>
  <c r="AD33" i="24"/>
  <c r="BM33" i="24"/>
  <c r="BN33" i="24" s="1"/>
  <c r="BM28" i="23"/>
  <c r="BN28" i="23" s="1"/>
  <c r="Y28" i="23"/>
  <c r="D13" i="69"/>
  <c r="BM52" i="23"/>
  <c r="BN52" i="23" s="1"/>
  <c r="D287" i="47"/>
  <c r="D17" i="78"/>
  <c r="H17" i="78" s="1"/>
  <c r="BM59" i="33"/>
  <c r="BN59" i="33" s="1"/>
  <c r="H13" i="72"/>
  <c r="AU50" i="40"/>
  <c r="V50" i="40" s="1"/>
  <c r="N86" i="32"/>
  <c r="AS86" i="32"/>
  <c r="N117" i="32" s="1"/>
  <c r="E39" i="32"/>
  <c r="F34" i="32"/>
  <c r="D170" i="47"/>
  <c r="BM46" i="40"/>
  <c r="BN46" i="40" s="1"/>
  <c r="D22" i="74"/>
  <c r="I22" i="74" s="1"/>
  <c r="N22" i="74" s="1"/>
  <c r="P22" i="74" s="1"/>
  <c r="D371" i="47"/>
  <c r="O87" i="37"/>
  <c r="AS87" i="37"/>
  <c r="O117" i="37" s="1"/>
  <c r="R88" i="29"/>
  <c r="R76" i="29" s="1"/>
  <c r="P90" i="29"/>
  <c r="L10" i="31"/>
  <c r="L9" i="31" s="1"/>
  <c r="L8" i="31" s="1"/>
  <c r="L7" i="31" s="1"/>
  <c r="G15" i="31"/>
  <c r="F15" i="31" s="1"/>
  <c r="E15" i="31" s="1"/>
  <c r="D20" i="69"/>
  <c r="H20" i="69" s="1"/>
  <c r="D294" i="47"/>
  <c r="F294" i="47" s="1"/>
  <c r="BG68" i="37"/>
  <c r="AN88" i="38"/>
  <c r="AN76" i="38" s="1"/>
  <c r="P112" i="38"/>
  <c r="G15" i="30"/>
  <c r="F15" i="30" s="1"/>
  <c r="E15" i="30" s="1"/>
  <c r="AF35" i="31"/>
  <c r="AF34" i="31" s="1"/>
  <c r="AF25" i="31" s="1"/>
  <c r="E18" i="48"/>
  <c r="H20" i="61" s="1"/>
  <c r="H24" i="61" s="1"/>
  <c r="Y7" i="30"/>
  <c r="Y28" i="31"/>
  <c r="E68" i="47"/>
  <c r="F68" i="47" s="1"/>
  <c r="AS106" i="38"/>
  <c r="AH117" i="38" s="1"/>
  <c r="E62" i="47"/>
  <c r="F62" i="47" s="1"/>
  <c r="F97" i="38"/>
  <c r="H25" i="38"/>
  <c r="H67" i="38" s="1"/>
  <c r="D22" i="46" s="1"/>
  <c r="E97" i="27"/>
  <c r="F88" i="27"/>
  <c r="N77" i="30"/>
  <c r="N76" i="30" s="1"/>
  <c r="E86" i="30"/>
  <c r="Z7" i="33"/>
  <c r="AS92" i="32"/>
  <c r="T117" i="32" s="1"/>
  <c r="AS100" i="27"/>
  <c r="R9" i="39"/>
  <c r="O9" i="39" s="1"/>
  <c r="O67" i="39" s="1"/>
  <c r="O10" i="39"/>
  <c r="G76" i="40"/>
  <c r="AS91" i="29"/>
  <c r="P8" i="38"/>
  <c r="BM58" i="29"/>
  <c r="BN58" i="29" s="1"/>
  <c r="BC68" i="29" s="1"/>
  <c r="BM51" i="40"/>
  <c r="BN51" i="40" s="1"/>
  <c r="AL76" i="38"/>
  <c r="D316" i="47"/>
  <c r="D17" i="76"/>
  <c r="BI63" i="37"/>
  <c r="BI7" i="37" s="1"/>
  <c r="AA30" i="21"/>
  <c r="E20" i="34"/>
  <c r="U7" i="37"/>
  <c r="L10" i="25"/>
  <c r="L9" i="25" s="1"/>
  <c r="L8" i="25" s="1"/>
  <c r="L7" i="25" s="1"/>
  <c r="AQ116" i="19"/>
  <c r="T76" i="25"/>
  <c r="Z67" i="33"/>
  <c r="BM29" i="33" s="1"/>
  <c r="BN29" i="33" s="1"/>
  <c r="AS99" i="21"/>
  <c r="Z118" i="21" s="1"/>
  <c r="AQ98" i="21"/>
  <c r="E87" i="32"/>
  <c r="E164" i="47"/>
  <c r="N16" i="66" s="1"/>
  <c r="H23" i="49"/>
  <c r="U24" i="39"/>
  <c r="E24" i="39" s="1"/>
  <c r="D14" i="67"/>
  <c r="D204" i="48"/>
  <c r="F204" i="48" s="1"/>
  <c r="D15" i="62"/>
  <c r="AO8" i="84"/>
  <c r="AA30" i="28"/>
  <c r="E92" i="32"/>
  <c r="AR92" i="32" s="1"/>
  <c r="T92" i="32" s="1"/>
  <c r="AS86" i="30"/>
  <c r="N117" i="30" s="1"/>
  <c r="M116" i="38"/>
  <c r="Y25" i="19"/>
  <c r="V28" i="19"/>
  <c r="E105" i="19"/>
  <c r="AR105" i="19" s="1"/>
  <c r="AG105" i="19" s="1"/>
  <c r="F88" i="19"/>
  <c r="F116" i="19" s="1"/>
  <c r="E63" i="23"/>
  <c r="V47" i="38"/>
  <c r="AR25" i="38"/>
  <c r="AP114" i="34"/>
  <c r="AS114" i="34"/>
  <c r="AP117" i="34" s="1"/>
  <c r="K117" i="23"/>
  <c r="AD33" i="29"/>
  <c r="G25" i="34"/>
  <c r="D18" i="76"/>
  <c r="D317" i="47"/>
  <c r="AR82" i="39"/>
  <c r="D335" i="47"/>
  <c r="D11" i="75"/>
  <c r="E113" i="47"/>
  <c r="H15" i="56" s="1"/>
  <c r="I15" i="56" s="1"/>
  <c r="N15" i="56" s="1"/>
  <c r="O15" i="56" s="1"/>
  <c r="AS89" i="25"/>
  <c r="Q117" i="25" s="1"/>
  <c r="P91" i="27"/>
  <c r="AS90" i="29"/>
  <c r="R117" i="29" s="1"/>
  <c r="AS96" i="33"/>
  <c r="X117" i="33" s="1"/>
  <c r="AS92" i="38"/>
  <c r="T117" i="38" s="1"/>
  <c r="E115" i="19"/>
  <c r="AQ78" i="22"/>
  <c r="AQ77" i="22" s="1"/>
  <c r="BH10" i="22"/>
  <c r="BH9" i="22" s="1"/>
  <c r="BH8" i="22" s="1"/>
  <c r="BH67" i="22" s="1"/>
  <c r="BC58" i="27"/>
  <c r="G18" i="25"/>
  <c r="F18" i="25" s="1"/>
  <c r="H67" i="25"/>
  <c r="D10" i="46" s="1"/>
  <c r="F115" i="33"/>
  <c r="E115" i="33" s="1"/>
  <c r="AR115" i="33" s="1"/>
  <c r="AQ115" i="33" s="1"/>
  <c r="AE35" i="38"/>
  <c r="V35" i="38" s="1"/>
  <c r="AF34" i="38"/>
  <c r="AF25" i="38" s="1"/>
  <c r="AF7" i="38" s="1"/>
  <c r="AU50" i="39"/>
  <c r="AU25" i="39" s="1"/>
  <c r="H14" i="72"/>
  <c r="D19" i="41"/>
  <c r="H19" i="41" s="1"/>
  <c r="M19" i="41" s="1"/>
  <c r="D117" i="46"/>
  <c r="F117" i="46" s="1"/>
  <c r="D23" i="41"/>
  <c r="D121" i="46"/>
  <c r="G25" i="27"/>
  <c r="O10" i="25"/>
  <c r="P9" i="25"/>
  <c r="O9" i="25" s="1"/>
  <c r="S76" i="31"/>
  <c r="L76" i="37"/>
  <c r="AH76" i="22"/>
  <c r="AH76" i="37"/>
  <c r="AS84" i="37"/>
  <c r="L117" i="37" s="1"/>
  <c r="D80" i="48"/>
  <c r="D10" i="58"/>
  <c r="BM35" i="19"/>
  <c r="BN35" i="19" s="1"/>
  <c r="D7" i="61"/>
  <c r="I7" i="61" s="1"/>
  <c r="N7" i="61" s="1"/>
  <c r="D23" i="62"/>
  <c r="F423" i="47"/>
  <c r="D68" i="48"/>
  <c r="D22" i="59"/>
  <c r="BM12" i="29"/>
  <c r="BN12" i="29" s="1"/>
  <c r="H9" i="13" s="1"/>
  <c r="D391" i="47"/>
  <c r="D18" i="73"/>
  <c r="G19" i="77"/>
  <c r="H19" i="77" s="1"/>
  <c r="D270" i="47"/>
  <c r="F270" i="47" s="1"/>
  <c r="BK7" i="26"/>
  <c r="AS92" i="37"/>
  <c r="T117" i="37" s="1"/>
  <c r="BM42" i="32"/>
  <c r="BN42" i="32" s="1"/>
  <c r="D19" i="63"/>
  <c r="AW7" i="23"/>
  <c r="AH88" i="19"/>
  <c r="BM50" i="37"/>
  <c r="BN50" i="37" s="1"/>
  <c r="D113" i="47"/>
  <c r="BB57" i="40"/>
  <c r="BB25" i="40" s="1"/>
  <c r="AY54" i="39"/>
  <c r="AP45" i="28"/>
  <c r="AP34" i="28" s="1"/>
  <c r="AP25" i="28" s="1"/>
  <c r="E199" i="48"/>
  <c r="E108" i="48"/>
  <c r="H14" i="64" s="1"/>
  <c r="AL41" i="23"/>
  <c r="AC32" i="27"/>
  <c r="AC25" i="27" s="1"/>
  <c r="D183" i="48"/>
  <c r="BM44" i="34"/>
  <c r="BN44" i="34" s="1"/>
  <c r="AO68" i="34" s="1"/>
  <c r="AR58" i="88"/>
  <c r="AF45" i="84"/>
  <c r="D15" i="50"/>
  <c r="D162" i="46"/>
  <c r="AD33" i="21"/>
  <c r="H10" i="72"/>
  <c r="AU50" i="32"/>
  <c r="V50" i="32" s="1"/>
  <c r="AR102" i="21"/>
  <c r="S91" i="22"/>
  <c r="AS91" i="22"/>
  <c r="S117" i="22" s="1"/>
  <c r="AR47" i="27"/>
  <c r="BM47" i="27"/>
  <c r="BN47" i="27" s="1"/>
  <c r="BG68" i="21"/>
  <c r="BM62" i="21" s="1"/>
  <c r="BN62" i="21" s="1"/>
  <c r="H25" i="31"/>
  <c r="H67" i="31" s="1"/>
  <c r="D18" i="46" s="1"/>
  <c r="F97" i="31"/>
  <c r="D7" i="77"/>
  <c r="D481" i="47"/>
  <c r="D7" i="69"/>
  <c r="D281" i="47"/>
  <c r="E79" i="29"/>
  <c r="N116" i="29"/>
  <c r="AS86" i="29" s="1"/>
  <c r="N117" i="29" s="1"/>
  <c r="U77" i="27"/>
  <c r="U116" i="27" s="1"/>
  <c r="E94" i="27"/>
  <c r="E96" i="27"/>
  <c r="AR96" i="27" s="1"/>
  <c r="X96" i="27" s="1"/>
  <c r="P81" i="27"/>
  <c r="AR81" i="27" s="1"/>
  <c r="I81" i="27" s="1"/>
  <c r="Z77" i="27"/>
  <c r="Z116" i="27" s="1"/>
  <c r="E100" i="27"/>
  <c r="AR100" i="27" s="1"/>
  <c r="AB100" i="27" s="1"/>
  <c r="E103" i="27"/>
  <c r="AR103" i="27" s="1"/>
  <c r="AE77" i="27"/>
  <c r="E105" i="27"/>
  <c r="AR105" i="27" s="1"/>
  <c r="AG105" i="27" s="1"/>
  <c r="AG77" i="27"/>
  <c r="AG116" i="27" s="1"/>
  <c r="AS105" i="27" s="1"/>
  <c r="AG117" i="27" s="1"/>
  <c r="E111" i="27"/>
  <c r="AR111" i="27" s="1"/>
  <c r="AN77" i="27"/>
  <c r="AN116" i="27" s="1"/>
  <c r="AS112" i="27" s="1"/>
  <c r="AN117" i="27" s="1"/>
  <c r="E114" i="27"/>
  <c r="AR114" i="27" s="1"/>
  <c r="AP114" i="27" s="1"/>
  <c r="AP77" i="27"/>
  <c r="AP116" i="27" s="1"/>
  <c r="AS114" i="27" s="1"/>
  <c r="AP117" i="27" s="1"/>
  <c r="E91" i="24"/>
  <c r="AR91" i="24" s="1"/>
  <c r="R91" i="24" s="1"/>
  <c r="P91" i="24" s="1"/>
  <c r="I89" i="24"/>
  <c r="I117" i="24" s="1"/>
  <c r="R78" i="21"/>
  <c r="R117" i="21" s="1"/>
  <c r="E95" i="21"/>
  <c r="AR95" i="21" s="1"/>
  <c r="E96" i="21"/>
  <c r="AR96" i="21" s="1"/>
  <c r="W96" i="21" s="1"/>
  <c r="E99" i="21"/>
  <c r="AR99" i="21" s="1"/>
  <c r="Z99" i="21" s="1"/>
  <c r="AC102" i="21"/>
  <c r="E105" i="21"/>
  <c r="AR105" i="21" s="1"/>
  <c r="AF105" i="21" s="1"/>
  <c r="P105" i="21" s="1"/>
  <c r="AG78" i="21"/>
  <c r="AG117" i="21" s="1"/>
  <c r="E108" i="21"/>
  <c r="AR108" i="21" s="1"/>
  <c r="E111" i="21"/>
  <c r="AR111" i="21" s="1"/>
  <c r="AP34" i="40"/>
  <c r="AP25" i="40" s="1"/>
  <c r="AE45" i="40"/>
  <c r="V45" i="40" s="1"/>
  <c r="G88" i="40"/>
  <c r="G116" i="40" s="1"/>
  <c r="E90" i="40"/>
  <c r="AR90" i="40" s="1"/>
  <c r="R77" i="40"/>
  <c r="R116" i="40" s="1"/>
  <c r="AS90" i="40"/>
  <c r="R117" i="40" s="1"/>
  <c r="E91" i="40"/>
  <c r="AR91" i="40" s="1"/>
  <c r="S91" i="40" s="1"/>
  <c r="E96" i="40"/>
  <c r="AR96" i="40" s="1"/>
  <c r="X96" i="40" s="1"/>
  <c r="X77" i="40"/>
  <c r="AS99" i="40"/>
  <c r="AA117" i="40" s="1"/>
  <c r="E100" i="40"/>
  <c r="AR100" i="40" s="1"/>
  <c r="AB100" i="40"/>
  <c r="AB88" i="40" s="1"/>
  <c r="E101" i="40"/>
  <c r="AR101" i="40" s="1"/>
  <c r="E102" i="40"/>
  <c r="AR102" i="40" s="1"/>
  <c r="E103" i="40"/>
  <c r="AR103" i="40" s="1"/>
  <c r="E104" i="40"/>
  <c r="AR104" i="40" s="1"/>
  <c r="AF77" i="40"/>
  <c r="AF116" i="40" s="1"/>
  <c r="AS104" i="40" s="1"/>
  <c r="AF117" i="40" s="1"/>
  <c r="E105" i="40"/>
  <c r="AR105" i="40" s="1"/>
  <c r="E107" i="40"/>
  <c r="AR107" i="40" s="1"/>
  <c r="E108" i="40"/>
  <c r="AR108" i="40" s="1"/>
  <c r="E109" i="40"/>
  <c r="AR109" i="40" s="1"/>
  <c r="AK109" i="40" s="1"/>
  <c r="P109" i="40" s="1"/>
  <c r="AE42" i="37"/>
  <c r="V42" i="37" s="1"/>
  <c r="AM34" i="37"/>
  <c r="AM25" i="37" s="1"/>
  <c r="R25" i="39"/>
  <c r="R67" i="39" s="1"/>
  <c r="D146" i="46" s="1"/>
  <c r="L97" i="39"/>
  <c r="E97" i="39" s="1"/>
  <c r="AR97" i="39" s="1"/>
  <c r="H63" i="38"/>
  <c r="G66" i="38"/>
  <c r="P25" i="38"/>
  <c r="P67" i="38" s="1"/>
  <c r="J97" i="38"/>
  <c r="J88" i="38" s="1"/>
  <c r="J116" i="38" s="1"/>
  <c r="AS82" i="38" s="1"/>
  <c r="J117" i="38" s="1"/>
  <c r="M115" i="38"/>
  <c r="M115" i="30"/>
  <c r="AD33" i="32"/>
  <c r="BM33" i="32"/>
  <c r="BN33" i="32" s="1"/>
  <c r="S25" i="32"/>
  <c r="S67" i="32" s="1"/>
  <c r="M97" i="32"/>
  <c r="M88" i="32" s="1"/>
  <c r="M116" i="32" s="1"/>
  <c r="H14" i="32"/>
  <c r="G14" i="32" s="1"/>
  <c r="F14" i="32" s="1"/>
  <c r="E14" i="32" s="1"/>
  <c r="K11" i="32"/>
  <c r="K10" i="32" s="1"/>
  <c r="K9" i="32" s="1"/>
  <c r="K8" i="32" s="1"/>
  <c r="K7" i="32" s="1"/>
  <c r="AE18" i="33"/>
  <c r="Y82" i="33"/>
  <c r="V20" i="33"/>
  <c r="G39" i="33"/>
  <c r="H34" i="33"/>
  <c r="BJ63" i="34"/>
  <c r="BJ7" i="34" s="1"/>
  <c r="BH65" i="34"/>
  <c r="BH34" i="34"/>
  <c r="BI25" i="34"/>
  <c r="E64" i="25"/>
  <c r="E63" i="25" s="1"/>
  <c r="F63" i="25"/>
  <c r="G66" i="28"/>
  <c r="H63" i="28"/>
  <c r="BJ25" i="28"/>
  <c r="BH34" i="28"/>
  <c r="AW10" i="21"/>
  <c r="AW9" i="21" s="1"/>
  <c r="AW8" i="21" s="1"/>
  <c r="AF79" i="21"/>
  <c r="AF78" i="21" s="1"/>
  <c r="AF117" i="21" s="1"/>
  <c r="AV10" i="21"/>
  <c r="AV9" i="21" s="1"/>
  <c r="AV8" i="21" s="1"/>
  <c r="AV68" i="21" s="1"/>
  <c r="D15" i="70" s="1"/>
  <c r="AE79" i="21"/>
  <c r="AE78" i="21" s="1"/>
  <c r="AE117" i="21" s="1"/>
  <c r="I25" i="26"/>
  <c r="I67" i="26" s="1"/>
  <c r="D34" i="46" s="1"/>
  <c r="G97" i="26"/>
  <c r="G88" i="26" s="1"/>
  <c r="H115" i="29"/>
  <c r="O115" i="29"/>
  <c r="AQ86" i="29"/>
  <c r="BL23" i="29"/>
  <c r="R25" i="19"/>
  <c r="R67" i="19" s="1"/>
  <c r="D130" i="46" s="1"/>
  <c r="L97" i="19"/>
  <c r="L88" i="19" s="1"/>
  <c r="L116" i="19" s="1"/>
  <c r="Q67" i="19"/>
  <c r="BM20" i="19" s="1"/>
  <c r="BN20" i="19" s="1"/>
  <c r="K115" i="19"/>
  <c r="P10" i="19"/>
  <c r="J78" i="19"/>
  <c r="J116" i="19" s="1"/>
  <c r="Z7" i="28"/>
  <c r="BD59" i="26"/>
  <c r="V59" i="26" s="1"/>
  <c r="AD33" i="23"/>
  <c r="AZ25" i="37"/>
  <c r="BM33" i="25"/>
  <c r="BN33" i="25" s="1"/>
  <c r="AT25" i="39"/>
  <c r="M116" i="30"/>
  <c r="Q10" i="27"/>
  <c r="AS25" i="39"/>
  <c r="D18" i="69"/>
  <c r="BM52" i="32"/>
  <c r="BN52" i="32" s="1"/>
  <c r="D87" i="47"/>
  <c r="D14" i="57"/>
  <c r="AU50" i="24"/>
  <c r="D17" i="49"/>
  <c r="D190" i="46"/>
  <c r="E39" i="25"/>
  <c r="E97" i="25"/>
  <c r="D10" i="61"/>
  <c r="I10" i="61" s="1"/>
  <c r="N10" i="61" s="1"/>
  <c r="P10" i="61" s="1"/>
  <c r="D8" i="48"/>
  <c r="D111" i="46"/>
  <c r="D13" i="41"/>
  <c r="T8" i="84"/>
  <c r="O116" i="31"/>
  <c r="E79" i="32"/>
  <c r="G88" i="32"/>
  <c r="E79" i="38"/>
  <c r="G88" i="38"/>
  <c r="G116" i="38" s="1"/>
  <c r="G77" i="38"/>
  <c r="G76" i="38" s="1"/>
  <c r="E90" i="38"/>
  <c r="AR90" i="38" s="1"/>
  <c r="R90" i="38" s="1"/>
  <c r="E95" i="38"/>
  <c r="AR95" i="38" s="1"/>
  <c r="W95" i="38" s="1"/>
  <c r="Y77" i="32"/>
  <c r="L58" i="88"/>
  <c r="K45" i="84"/>
  <c r="BL19" i="23"/>
  <c r="BM19" i="23" s="1"/>
  <c r="BN19" i="23" s="1"/>
  <c r="P69" i="23" s="1"/>
  <c r="Y78" i="38"/>
  <c r="AE10" i="38"/>
  <c r="AE9" i="38" s="1"/>
  <c r="AE8" i="38" s="1"/>
  <c r="E223" i="47"/>
  <c r="AT49" i="37"/>
  <c r="D202" i="48"/>
  <c r="D12" i="67"/>
  <c r="D84" i="48"/>
  <c r="D14" i="58"/>
  <c r="D15" i="59"/>
  <c r="BM43" i="30"/>
  <c r="BN43" i="30" s="1"/>
  <c r="D21" i="62"/>
  <c r="D488" i="47"/>
  <c r="D14" i="77"/>
  <c r="V32" i="32"/>
  <c r="AC25" i="32"/>
  <c r="AG7" i="24"/>
  <c r="E280" i="47"/>
  <c r="G6" i="69" s="1"/>
  <c r="E319" i="47"/>
  <c r="AY54" i="30"/>
  <c r="I10" i="57"/>
  <c r="F43" i="84"/>
  <c r="T88" i="29"/>
  <c r="P92" i="29"/>
  <c r="E97" i="19"/>
  <c r="E98" i="19"/>
  <c r="AR98" i="19" s="1"/>
  <c r="Z98" i="19" s="1"/>
  <c r="E99" i="19"/>
  <c r="AR99" i="19" s="1"/>
  <c r="AA99" i="19" s="1"/>
  <c r="AA77" i="19"/>
  <c r="H88" i="19"/>
  <c r="H116" i="19" s="1"/>
  <c r="E101" i="19"/>
  <c r="AR101" i="19" s="1"/>
  <c r="AC77" i="19"/>
  <c r="AC116" i="19" s="1"/>
  <c r="E103" i="19"/>
  <c r="AR103" i="19" s="1"/>
  <c r="E104" i="19"/>
  <c r="AR104" i="19" s="1"/>
  <c r="AF104" i="19" s="1"/>
  <c r="AH77" i="19"/>
  <c r="AH116" i="19" s="1"/>
  <c r="AS106" i="19" s="1"/>
  <c r="AH117" i="19" s="1"/>
  <c r="AJ116" i="19"/>
  <c r="AS108" i="19" s="1"/>
  <c r="AJ117" i="19" s="1"/>
  <c r="K116" i="25"/>
  <c r="AR82" i="25"/>
  <c r="J82" i="25" s="1"/>
  <c r="E82" i="25" s="1"/>
  <c r="E89" i="25"/>
  <c r="AR89" i="25" s="1"/>
  <c r="Q89" i="25" s="1"/>
  <c r="R77" i="25"/>
  <c r="R116" i="25" s="1"/>
  <c r="W77" i="25"/>
  <c r="W116" i="25" s="1"/>
  <c r="E100" i="25"/>
  <c r="AE77" i="25"/>
  <c r="AE116" i="25" s="1"/>
  <c r="E109" i="25"/>
  <c r="AR109" i="25" s="1"/>
  <c r="E114" i="25"/>
  <c r="AR114" i="25" s="1"/>
  <c r="BK68" i="23"/>
  <c r="AS108" i="32"/>
  <c r="AJ117" i="32" s="1"/>
  <c r="F88" i="40"/>
  <c r="F116" i="40" s="1"/>
  <c r="AK7" i="19"/>
  <c r="AW52" i="19"/>
  <c r="D163" i="48"/>
  <c r="Z76" i="28"/>
  <c r="L78" i="29"/>
  <c r="BM21" i="32"/>
  <c r="BN21" i="32" s="1"/>
  <c r="S116" i="40"/>
  <c r="AS91" i="40" s="1"/>
  <c r="S117" i="40" s="1"/>
  <c r="BM42" i="19"/>
  <c r="BN42" i="19" s="1"/>
  <c r="D7" i="63"/>
  <c r="BC25" i="38"/>
  <c r="V58" i="38"/>
  <c r="R18" i="34"/>
  <c r="R8" i="34" s="1"/>
  <c r="R7" i="34" s="1"/>
  <c r="O21" i="34"/>
  <c r="E21" i="34" s="1"/>
  <c r="AL41" i="38"/>
  <c r="D17" i="61"/>
  <c r="D15" i="48"/>
  <c r="F15" i="48" s="1"/>
  <c r="BM35" i="34"/>
  <c r="BN35" i="34" s="1"/>
  <c r="E94" i="48"/>
  <c r="AI38" i="38"/>
  <c r="E95" i="47"/>
  <c r="H22" i="57" s="1"/>
  <c r="AB31" i="40"/>
  <c r="AB25" i="40" s="1"/>
  <c r="E310" i="47"/>
  <c r="H11" i="76" s="1"/>
  <c r="AY54" i="25"/>
  <c r="V54" i="25" s="1"/>
  <c r="E266" i="47"/>
  <c r="H17" i="70" s="1"/>
  <c r="AV51" i="33"/>
  <c r="AV25" i="33" s="1"/>
  <c r="W26" i="26"/>
  <c r="W25" i="26" s="1"/>
  <c r="W7" i="26" s="1"/>
  <c r="G34" i="19"/>
  <c r="F39" i="19"/>
  <c r="F430" i="47"/>
  <c r="Z77" i="39"/>
  <c r="Z116" i="39" s="1"/>
  <c r="BL22" i="34"/>
  <c r="E165" i="46" s="1"/>
  <c r="P84" i="38"/>
  <c r="AR84" i="38" s="1"/>
  <c r="AB77" i="25"/>
  <c r="AB116" i="25" s="1"/>
  <c r="AC67" i="33"/>
  <c r="D18" i="56" s="1"/>
  <c r="P80" i="40"/>
  <c r="AR80" i="40" s="1"/>
  <c r="V63" i="27"/>
  <c r="V52" i="40"/>
  <c r="AW25" i="40"/>
  <c r="AW7" i="40" s="1"/>
  <c r="BC7" i="29"/>
  <c r="BC58" i="28"/>
  <c r="V58" i="28" s="1"/>
  <c r="E407" i="47"/>
  <c r="H9" i="79" s="1"/>
  <c r="E384" i="47"/>
  <c r="H11" i="73" s="1"/>
  <c r="BB57" i="26"/>
  <c r="BB25" i="26" s="1"/>
  <c r="E31" i="48"/>
  <c r="H10" i="60" s="1"/>
  <c r="AG36" i="28"/>
  <c r="AE36" i="28" s="1"/>
  <c r="V36" i="28" s="1"/>
  <c r="I7" i="57"/>
  <c r="F31" i="84"/>
  <c r="AC32" i="40"/>
  <c r="E120" i="47"/>
  <c r="H22" i="56" s="1"/>
  <c r="M58" i="88"/>
  <c r="L45" i="84"/>
  <c r="O10" i="19"/>
  <c r="AN77" i="19"/>
  <c r="AN116" i="19" s="1"/>
  <c r="AG105" i="29"/>
  <c r="AR107" i="29"/>
  <c r="AS107" i="29" s="1"/>
  <c r="AI117" i="29" s="1"/>
  <c r="E100" i="28"/>
  <c r="AR100" i="28" s="1"/>
  <c r="E104" i="28"/>
  <c r="AR104" i="28" s="1"/>
  <c r="AF104" i="28" s="1"/>
  <c r="AF88" i="28" s="1"/>
  <c r="AF77" i="28"/>
  <c r="AF116" i="28" s="1"/>
  <c r="AS104" i="28" s="1"/>
  <c r="AF117" i="28" s="1"/>
  <c r="P86" i="27"/>
  <c r="AR86" i="27" s="1"/>
  <c r="N86" i="27" s="1"/>
  <c r="N77" i="27" s="1"/>
  <c r="N76" i="27" s="1"/>
  <c r="I88" i="25"/>
  <c r="I116" i="25" s="1"/>
  <c r="P86" i="25"/>
  <c r="E105" i="25"/>
  <c r="AR105" i="25" s="1"/>
  <c r="AS106" i="25"/>
  <c r="AH117" i="25" s="1"/>
  <c r="AL78" i="23"/>
  <c r="AL117" i="23" s="1"/>
  <c r="AM78" i="23"/>
  <c r="AM117" i="23" s="1"/>
  <c r="BC58" i="31"/>
  <c r="BC25" i="31" s="1"/>
  <c r="J115" i="31"/>
  <c r="P67" i="31"/>
  <c r="BL65" i="31"/>
  <c r="BJ65" i="31" s="1"/>
  <c r="Q67" i="40"/>
  <c r="BM20" i="40" s="1"/>
  <c r="BN20" i="40" s="1"/>
  <c r="K115" i="40"/>
  <c r="J16" i="88"/>
  <c r="J14" i="88"/>
  <c r="BG25" i="37"/>
  <c r="BG7" i="37" s="1"/>
  <c r="V62" i="37"/>
  <c r="H25" i="29"/>
  <c r="H67" i="29" s="1"/>
  <c r="D6" i="46" s="1"/>
  <c r="F97" i="29"/>
  <c r="I25" i="37"/>
  <c r="I67" i="37" s="1"/>
  <c r="D48" i="46" s="1"/>
  <c r="G97" i="37"/>
  <c r="G88" i="37" s="1"/>
  <c r="D22" i="41"/>
  <c r="D120" i="46"/>
  <c r="J115" i="39"/>
  <c r="P19" i="22"/>
  <c r="AE10" i="40"/>
  <c r="AE9" i="40" s="1"/>
  <c r="BL22" i="22"/>
  <c r="BL12" i="40"/>
  <c r="P79" i="25"/>
  <c r="AR79" i="25" s="1"/>
  <c r="AD103" i="23"/>
  <c r="AD89" i="23" s="1"/>
  <c r="AD77" i="23" s="1"/>
  <c r="AK77" i="40"/>
  <c r="AK116" i="40" s="1"/>
  <c r="D340" i="47"/>
  <c r="D16" i="75"/>
  <c r="Y79" i="23"/>
  <c r="AE10" i="23"/>
  <c r="AE9" i="23" s="1"/>
  <c r="D163" i="46"/>
  <c r="D16" i="50"/>
  <c r="D54" i="48"/>
  <c r="D8" i="59"/>
  <c r="E122" i="47"/>
  <c r="R21" i="25"/>
  <c r="AV51" i="28"/>
  <c r="AY54" i="28"/>
  <c r="E307" i="47"/>
  <c r="H8" i="76" s="1"/>
  <c r="AS48" i="40"/>
  <c r="E195" i="47"/>
  <c r="H21" i="65" s="1"/>
  <c r="E380" i="47"/>
  <c r="H7" i="73" s="1"/>
  <c r="BB57" i="19"/>
  <c r="V57" i="19" s="1"/>
  <c r="BA56" i="34"/>
  <c r="BM45" i="32"/>
  <c r="BN45" i="32" s="1"/>
  <c r="D19" i="67"/>
  <c r="D16" i="62"/>
  <c r="BM43" i="21"/>
  <c r="BN43" i="21" s="1"/>
  <c r="AN69" i="21" s="1"/>
  <c r="E105" i="47"/>
  <c r="AC32" i="19"/>
  <c r="G17" i="51"/>
  <c r="H17" i="51" s="1"/>
  <c r="E140" i="46"/>
  <c r="F140" i="46" s="1"/>
  <c r="AA30" i="24"/>
  <c r="E66" i="34"/>
  <c r="F63" i="34"/>
  <c r="F12" i="84"/>
  <c r="BM29" i="29"/>
  <c r="BN29" i="29" s="1"/>
  <c r="H22" i="13" s="1"/>
  <c r="V77" i="38"/>
  <c r="V116" i="38" s="1"/>
  <c r="O10" i="32"/>
  <c r="Q9" i="32"/>
  <c r="AA116" i="32"/>
  <c r="AS99" i="32" s="1"/>
  <c r="AA117" i="32" s="1"/>
  <c r="Q77" i="40"/>
  <c r="Q116" i="40" s="1"/>
  <c r="BL64" i="38"/>
  <c r="BI64" i="38" s="1"/>
  <c r="V63" i="38"/>
  <c r="Q9" i="26"/>
  <c r="O9" i="26" s="1"/>
  <c r="O67" i="26" s="1"/>
  <c r="O10" i="26"/>
  <c r="BM62" i="31"/>
  <c r="BN62" i="31" s="1"/>
  <c r="P86" i="19"/>
  <c r="AR86" i="19" s="1"/>
  <c r="AS86" i="19" s="1"/>
  <c r="N117" i="19" s="1"/>
  <c r="E94" i="29"/>
  <c r="AR94" i="29" s="1"/>
  <c r="Z98" i="29"/>
  <c r="E101" i="29"/>
  <c r="E107" i="29"/>
  <c r="AJ77" i="29"/>
  <c r="E90" i="28"/>
  <c r="E94" i="28"/>
  <c r="E109" i="28"/>
  <c r="AR109" i="28" s="1"/>
  <c r="AK77" i="28"/>
  <c r="AK116" i="28" s="1"/>
  <c r="E111" i="28"/>
  <c r="AR111" i="28" s="1"/>
  <c r="AN77" i="28"/>
  <c r="AN116" i="28" s="1"/>
  <c r="AO113" i="28"/>
  <c r="AO88" i="28" s="1"/>
  <c r="E114" i="28"/>
  <c r="AR114" i="28" s="1"/>
  <c r="V54" i="26"/>
  <c r="AY25" i="26"/>
  <c r="K88" i="26"/>
  <c r="K116" i="26" s="1"/>
  <c r="E96" i="26"/>
  <c r="AR96" i="26" s="1"/>
  <c r="E99" i="26"/>
  <c r="AR99" i="26" s="1"/>
  <c r="AS99" i="26" s="1"/>
  <c r="AA117" i="26" s="1"/>
  <c r="I88" i="26"/>
  <c r="I116" i="26" s="1"/>
  <c r="AC77" i="26"/>
  <c r="AG78" i="23"/>
  <c r="AG117" i="23" s="1"/>
  <c r="AS106" i="23" s="1"/>
  <c r="AG118" i="23" s="1"/>
  <c r="E104" i="22"/>
  <c r="AR104" i="22" s="1"/>
  <c r="E107" i="22"/>
  <c r="E114" i="21"/>
  <c r="AR114" i="21" s="1"/>
  <c r="P87" i="34"/>
  <c r="AR87" i="34" s="1"/>
  <c r="O87" i="34" s="1"/>
  <c r="P81" i="34"/>
  <c r="AR81" i="34" s="1"/>
  <c r="I81" i="34" s="1"/>
  <c r="E81" i="34" s="1"/>
  <c r="E105" i="34"/>
  <c r="AK109" i="34"/>
  <c r="E103" i="33"/>
  <c r="AR103" i="33" s="1"/>
  <c r="AE103" i="33" s="1"/>
  <c r="AF77" i="33"/>
  <c r="AF116" i="33" s="1"/>
  <c r="AK77" i="33"/>
  <c r="AK116" i="33" s="1"/>
  <c r="AM111" i="33"/>
  <c r="P111" i="33" s="1"/>
  <c r="E112" i="33"/>
  <c r="AR112" i="33" s="1"/>
  <c r="AN112" i="33" s="1"/>
  <c r="AP114" i="33"/>
  <c r="F89" i="31"/>
  <c r="E89" i="31" s="1"/>
  <c r="G26" i="31"/>
  <c r="F26" i="31" s="1"/>
  <c r="E26" i="31" s="1"/>
  <c r="H97" i="31"/>
  <c r="H88" i="31" s="1"/>
  <c r="H116" i="31" s="1"/>
  <c r="M25" i="31"/>
  <c r="BL36" i="31"/>
  <c r="AN78" i="31"/>
  <c r="AN77" i="31" s="1"/>
  <c r="AN116" i="31" s="1"/>
  <c r="BE10" i="31"/>
  <c r="BE9" i="31" s="1"/>
  <c r="BE8" i="31" s="1"/>
  <c r="BE67" i="31" s="1"/>
  <c r="AO115" i="31"/>
  <c r="AO116" i="31" s="1"/>
  <c r="AS113" i="31" s="1"/>
  <c r="AO117" i="31" s="1"/>
  <c r="P82" i="30"/>
  <c r="AR82" i="30" s="1"/>
  <c r="K116" i="39"/>
  <c r="AS83" i="39" s="1"/>
  <c r="K117" i="39" s="1"/>
  <c r="E89" i="39"/>
  <c r="Q77" i="39"/>
  <c r="Q116" i="39" s="1"/>
  <c r="K88" i="39"/>
  <c r="E91" i="39"/>
  <c r="AR91" i="39" s="1"/>
  <c r="E113" i="38"/>
  <c r="AR113" i="38" s="1"/>
  <c r="AO113" i="38" s="1"/>
  <c r="D15" i="67"/>
  <c r="D205" i="48"/>
  <c r="F205" i="48" s="1"/>
  <c r="AZ55" i="24"/>
  <c r="AZ25" i="24" s="1"/>
  <c r="E336" i="47"/>
  <c r="H12" i="75" s="1"/>
  <c r="X77" i="38"/>
  <c r="D193" i="46"/>
  <c r="F193" i="46" s="1"/>
  <c r="D20" i="49"/>
  <c r="I20" i="49" s="1"/>
  <c r="N20" i="49" s="1"/>
  <c r="E89" i="38"/>
  <c r="AR89" i="38" s="1"/>
  <c r="Q89" i="38" s="1"/>
  <c r="D28" i="84"/>
  <c r="BL15" i="29"/>
  <c r="L15" i="29" s="1"/>
  <c r="E93" i="29"/>
  <c r="AR93" i="29" s="1"/>
  <c r="U93" i="29" s="1"/>
  <c r="J88" i="29"/>
  <c r="L88" i="29"/>
  <c r="G77" i="28"/>
  <c r="G76" i="28" s="1"/>
  <c r="V48" i="27"/>
  <c r="AS25" i="27"/>
  <c r="E107" i="27"/>
  <c r="P79" i="26"/>
  <c r="AR79" i="26" s="1"/>
  <c r="E79" i="26"/>
  <c r="Q77" i="26"/>
  <c r="Q116" i="26" s="1"/>
  <c r="J88" i="26"/>
  <c r="J116" i="26" s="1"/>
  <c r="E102" i="26"/>
  <c r="AH106" i="26"/>
  <c r="W78" i="24"/>
  <c r="W117" i="24" s="1"/>
  <c r="Z78" i="24"/>
  <c r="E100" i="24"/>
  <c r="AE78" i="24"/>
  <c r="AE117" i="24" s="1"/>
  <c r="AP78" i="24"/>
  <c r="AP117" i="24" s="1"/>
  <c r="AA100" i="23"/>
  <c r="O88" i="22"/>
  <c r="P84" i="22"/>
  <c r="J88" i="22"/>
  <c r="E95" i="22"/>
  <c r="AR95" i="22" s="1"/>
  <c r="E96" i="22"/>
  <c r="AR96" i="22" s="1"/>
  <c r="X96" i="22" s="1"/>
  <c r="P96" i="22" s="1"/>
  <c r="O89" i="21"/>
  <c r="O117" i="21" s="1"/>
  <c r="E90" i="34"/>
  <c r="AR90" i="34" s="1"/>
  <c r="E98" i="34"/>
  <c r="AR98" i="34" s="1"/>
  <c r="Z98" i="34" s="1"/>
  <c r="E89" i="33"/>
  <c r="AR89" i="33" s="1"/>
  <c r="AR103" i="32"/>
  <c r="E104" i="32"/>
  <c r="AR104" i="32" s="1"/>
  <c r="AF104" i="32" s="1"/>
  <c r="AF77" i="32"/>
  <c r="E112" i="32"/>
  <c r="E114" i="32"/>
  <c r="M78" i="31"/>
  <c r="S10" i="31"/>
  <c r="S9" i="31" s="1"/>
  <c r="S67" i="31" s="1"/>
  <c r="E79" i="30"/>
  <c r="E94" i="30"/>
  <c r="AR94" i="30" s="1"/>
  <c r="AQ77" i="40"/>
  <c r="AG77" i="39"/>
  <c r="AG116" i="39" s="1"/>
  <c r="AJ108" i="39"/>
  <c r="P81" i="38"/>
  <c r="AR81" i="38" s="1"/>
  <c r="I81" i="38" s="1"/>
  <c r="U78" i="24"/>
  <c r="Z99" i="24"/>
  <c r="P99" i="24" s="1"/>
  <c r="AD103" i="24"/>
  <c r="P103" i="24" s="1"/>
  <c r="K89" i="24"/>
  <c r="K117" i="24" s="1"/>
  <c r="AS84" i="24" s="1"/>
  <c r="K118" i="24" s="1"/>
  <c r="AH107" i="24"/>
  <c r="AJ109" i="24"/>
  <c r="H89" i="23"/>
  <c r="H117" i="23" s="1"/>
  <c r="Z78" i="23"/>
  <c r="AR87" i="22"/>
  <c r="P87" i="22"/>
  <c r="AB100" i="22"/>
  <c r="BK8" i="21"/>
  <c r="BK68" i="21" s="1"/>
  <c r="AC78" i="21"/>
  <c r="AC117" i="21" s="1"/>
  <c r="AS102" i="21" s="1"/>
  <c r="AC118" i="21" s="1"/>
  <c r="AF7" i="34"/>
  <c r="BL15" i="34"/>
  <c r="L15" i="34" s="1"/>
  <c r="H88" i="34"/>
  <c r="H116" i="34" s="1"/>
  <c r="P83" i="34"/>
  <c r="AR83" i="34" s="1"/>
  <c r="K83" i="34" s="1"/>
  <c r="AS106" i="34"/>
  <c r="AH117" i="34" s="1"/>
  <c r="P82" i="33"/>
  <c r="AS90" i="33"/>
  <c r="R117" i="33" s="1"/>
  <c r="E96" i="33"/>
  <c r="AR96" i="33" s="1"/>
  <c r="X96" i="33" s="1"/>
  <c r="Z77" i="33"/>
  <c r="Z116" i="33" s="1"/>
  <c r="AS98" i="33" s="1"/>
  <c r="Z117" i="33" s="1"/>
  <c r="E99" i="33"/>
  <c r="AR99" i="33" s="1"/>
  <c r="AA99" i="33" s="1"/>
  <c r="AA88" i="33" s="1"/>
  <c r="E102" i="33"/>
  <c r="AR102" i="33" s="1"/>
  <c r="E102" i="32"/>
  <c r="AR102" i="32" s="1"/>
  <c r="AD102" i="32"/>
  <c r="P102" i="32" s="1"/>
  <c r="E108" i="32"/>
  <c r="AR108" i="32" s="1"/>
  <c r="AS109" i="32"/>
  <c r="AK117" i="32" s="1"/>
  <c r="E113" i="32"/>
  <c r="AR113" i="32" s="1"/>
  <c r="M67" i="31"/>
  <c r="BL45" i="31"/>
  <c r="E95" i="40"/>
  <c r="AR95" i="40" s="1"/>
  <c r="AJ108" i="40"/>
  <c r="AJ88" i="40" s="1"/>
  <c r="AJ76" i="40" s="1"/>
  <c r="BA7" i="39"/>
  <c r="AS103" i="39"/>
  <c r="AE117" i="39" s="1"/>
  <c r="E104" i="39"/>
  <c r="AR104" i="39" s="1"/>
  <c r="AF104" i="39" s="1"/>
  <c r="P104" i="39" s="1"/>
  <c r="E108" i="39"/>
  <c r="AR108" i="39" s="1"/>
  <c r="E109" i="39"/>
  <c r="AR109" i="39" s="1"/>
  <c r="P83" i="38"/>
  <c r="AR100" i="38"/>
  <c r="AB100" i="38" s="1"/>
  <c r="E101" i="38"/>
  <c r="AR101" i="38" s="1"/>
  <c r="E95" i="37"/>
  <c r="AR95" i="37" s="1"/>
  <c r="W95" i="37" s="1"/>
  <c r="P95" i="37" s="1"/>
  <c r="E96" i="37"/>
  <c r="AR96" i="37" s="1"/>
  <c r="AQ82" i="37"/>
  <c r="AQ77" i="37" s="1"/>
  <c r="AQ116" i="37" s="1"/>
  <c r="BH18" i="37"/>
  <c r="BH8" i="37" s="1"/>
  <c r="BH67" i="37" s="1"/>
  <c r="E114" i="39"/>
  <c r="AR114" i="39" s="1"/>
  <c r="AP114" i="39" s="1"/>
  <c r="G30" i="37"/>
  <c r="F93" i="37"/>
  <c r="Z67" i="30"/>
  <c r="BM29" i="30" s="1"/>
  <c r="BN29" i="30" s="1"/>
  <c r="BG62" i="33"/>
  <c r="K67" i="33"/>
  <c r="BM14" i="33" s="1"/>
  <c r="BN14" i="33" s="1"/>
  <c r="AD77" i="19"/>
  <c r="AD77" i="29"/>
  <c r="AD116" i="29" s="1"/>
  <c r="AD77" i="25"/>
  <c r="AD116" i="25" s="1"/>
  <c r="AS102" i="25" s="1"/>
  <c r="AD117" i="25" s="1"/>
  <c r="E359" i="47"/>
  <c r="H10" i="74" s="1"/>
  <c r="E311" i="47"/>
  <c r="H12" i="76" s="1"/>
  <c r="Y28" i="24"/>
  <c r="BG62" i="27"/>
  <c r="D496" i="47"/>
  <c r="F496" i="47" s="1"/>
  <c r="D22" i="77"/>
  <c r="H22" i="77" s="1"/>
  <c r="AB77" i="39"/>
  <c r="AB116" i="39" s="1"/>
  <c r="AQ8" i="31"/>
  <c r="AQ67" i="31" s="1"/>
  <c r="D168" i="47" s="1"/>
  <c r="AR108" i="30"/>
  <c r="T77" i="39"/>
  <c r="T116" i="39" s="1"/>
  <c r="AS92" i="39" s="1"/>
  <c r="T117" i="39" s="1"/>
  <c r="BM33" i="39"/>
  <c r="BN33" i="39" s="1"/>
  <c r="AD68" i="39" s="1"/>
  <c r="BL62" i="31"/>
  <c r="BG62" i="31" s="1"/>
  <c r="V116" i="37"/>
  <c r="O87" i="19"/>
  <c r="E90" i="19"/>
  <c r="AR90" i="19" s="1"/>
  <c r="R90" i="19" s="1"/>
  <c r="BK8" i="29"/>
  <c r="I88" i="29"/>
  <c r="I116" i="29" s="1"/>
  <c r="E114" i="29"/>
  <c r="AR114" i="29" s="1"/>
  <c r="AP114" i="29" s="1"/>
  <c r="J82" i="28"/>
  <c r="J77" i="28" s="1"/>
  <c r="J76" i="28" s="1"/>
  <c r="L88" i="28"/>
  <c r="L116" i="28" s="1"/>
  <c r="E95" i="28"/>
  <c r="AR95" i="28" s="1"/>
  <c r="W95" i="28" s="1"/>
  <c r="E106" i="28"/>
  <c r="AR106" i="28" s="1"/>
  <c r="AH106" i="28" s="1"/>
  <c r="P106" i="28" s="1"/>
  <c r="AO77" i="28"/>
  <c r="G88" i="27"/>
  <c r="G76" i="27" s="1"/>
  <c r="E99" i="27"/>
  <c r="AR99" i="27" s="1"/>
  <c r="AA99" i="27" s="1"/>
  <c r="AA88" i="27" s="1"/>
  <c r="AA76" i="27" s="1"/>
  <c r="AA77" i="27"/>
  <c r="AA116" i="27" s="1"/>
  <c r="E109" i="27"/>
  <c r="AL110" i="27"/>
  <c r="AM77" i="27"/>
  <c r="AM116" i="27" s="1"/>
  <c r="AS111" i="27" s="1"/>
  <c r="AM117" i="27" s="1"/>
  <c r="AS89" i="26"/>
  <c r="Q117" i="26" s="1"/>
  <c r="E110" i="26"/>
  <c r="AR110" i="26" s="1"/>
  <c r="AM77" i="26"/>
  <c r="AM116" i="26" s="1"/>
  <c r="AS111" i="26" s="1"/>
  <c r="AM117" i="26" s="1"/>
  <c r="AP114" i="26"/>
  <c r="L88" i="25"/>
  <c r="L116" i="25" s="1"/>
  <c r="AS114" i="25"/>
  <c r="AP117" i="25" s="1"/>
  <c r="AE104" i="24"/>
  <c r="L68" i="23"/>
  <c r="BM15" i="23" s="1"/>
  <c r="BN15" i="23" s="1"/>
  <c r="J89" i="23"/>
  <c r="J117" i="23" s="1"/>
  <c r="P88" i="23"/>
  <c r="AR88" i="23" s="1"/>
  <c r="AB101" i="23"/>
  <c r="P101" i="23" s="1"/>
  <c r="AR104" i="23"/>
  <c r="AS111" i="22"/>
  <c r="AM117" i="22" s="1"/>
  <c r="AP77" i="22"/>
  <c r="AP76" i="22" s="1"/>
  <c r="AS100" i="21"/>
  <c r="AA118" i="21" s="1"/>
  <c r="AP115" i="21"/>
  <c r="P115" i="21" s="1"/>
  <c r="G77" i="34"/>
  <c r="G76" i="34" s="1"/>
  <c r="Q89" i="34"/>
  <c r="K88" i="34"/>
  <c r="K116" i="34" s="1"/>
  <c r="AS83" i="34" s="1"/>
  <c r="K117" i="34" s="1"/>
  <c r="AS103" i="34"/>
  <c r="AE117" i="34" s="1"/>
  <c r="AS86" i="33"/>
  <c r="N117" i="33" s="1"/>
  <c r="H88" i="33"/>
  <c r="E91" i="33"/>
  <c r="AR91" i="33" s="1"/>
  <c r="S91" i="33" s="1"/>
  <c r="P91" i="33" s="1"/>
  <c r="J88" i="33"/>
  <c r="J116" i="33" s="1"/>
  <c r="O11" i="32"/>
  <c r="Q77" i="32"/>
  <c r="Q116" i="32" s="1"/>
  <c r="Z77" i="32"/>
  <c r="Z116" i="32" s="1"/>
  <c r="AS98" i="32" s="1"/>
  <c r="Z117" i="32" s="1"/>
  <c r="BL31" i="31"/>
  <c r="BL38" i="31"/>
  <c r="E99" i="30"/>
  <c r="X25" i="39"/>
  <c r="X7" i="39" s="1"/>
  <c r="E90" i="39"/>
  <c r="AR90" i="39" s="1"/>
  <c r="L88" i="39"/>
  <c r="L116" i="39" s="1"/>
  <c r="E96" i="39"/>
  <c r="AR96" i="39" s="1"/>
  <c r="X96" i="39" s="1"/>
  <c r="X88" i="39" s="1"/>
  <c r="E99" i="39"/>
  <c r="AR99" i="39" s="1"/>
  <c r="E106" i="39"/>
  <c r="AR106" i="39" s="1"/>
  <c r="AH106" i="39" s="1"/>
  <c r="AH88" i="39" s="1"/>
  <c r="AH76" i="39" s="1"/>
  <c r="AL110" i="39"/>
  <c r="AN34" i="38"/>
  <c r="AN25" i="38" s="1"/>
  <c r="AE45" i="38"/>
  <c r="V45" i="38" s="1"/>
  <c r="AP34" i="38"/>
  <c r="AP25" i="38" s="1"/>
  <c r="L67" i="38"/>
  <c r="D88" i="38"/>
  <c r="D76" i="38" s="1"/>
  <c r="AJ77" i="38"/>
  <c r="AJ116" i="38" s="1"/>
  <c r="AS108" i="38" s="1"/>
  <c r="AJ117" i="38" s="1"/>
  <c r="M88" i="37"/>
  <c r="E90" i="37"/>
  <c r="AR90" i="37" s="1"/>
  <c r="AS90" i="37" s="1"/>
  <c r="R117" i="37" s="1"/>
  <c r="AX10" i="37"/>
  <c r="AX9" i="37" s="1"/>
  <c r="AX8" i="37" s="1"/>
  <c r="AX67" i="37" s="1"/>
  <c r="BM53" i="37" s="1"/>
  <c r="BN53" i="37" s="1"/>
  <c r="AG78" i="37"/>
  <c r="AG77" i="37" s="1"/>
  <c r="AG116" i="37" s="1"/>
  <c r="AS105" i="37" s="1"/>
  <c r="AG117" i="37" s="1"/>
  <c r="R67" i="40"/>
  <c r="BM47" i="38"/>
  <c r="BN47" i="38" s="1"/>
  <c r="BJ25" i="30"/>
  <c r="BJ67" i="30" s="1"/>
  <c r="BH34" i="30"/>
  <c r="BA10" i="37"/>
  <c r="BA9" i="37" s="1"/>
  <c r="BA8" i="37" s="1"/>
  <c r="BA67" i="37" s="1"/>
  <c r="AJ78" i="37"/>
  <c r="BF10" i="37"/>
  <c r="BF9" i="37" s="1"/>
  <c r="BF8" i="37" s="1"/>
  <c r="BF67" i="37" s="1"/>
  <c r="AO78" i="37"/>
  <c r="AO77" i="37" s="1"/>
  <c r="G40" i="21"/>
  <c r="H34" i="21"/>
  <c r="D7" i="37"/>
  <c r="BM14" i="28"/>
  <c r="BN14" i="28" s="1"/>
  <c r="BM28" i="19"/>
  <c r="BN28" i="19" s="1"/>
  <c r="E96" i="38"/>
  <c r="AR96" i="38" s="1"/>
  <c r="X96" i="38" s="1"/>
  <c r="Z77" i="31"/>
  <c r="Z116" i="31" s="1"/>
  <c r="AS98" i="31" s="1"/>
  <c r="Z117" i="31" s="1"/>
  <c r="AC116" i="38"/>
  <c r="P86" i="38"/>
  <c r="AR86" i="38" s="1"/>
  <c r="N86" i="38" s="1"/>
  <c r="BM30" i="30"/>
  <c r="BN30" i="30" s="1"/>
  <c r="U23" i="13" s="1"/>
  <c r="AR94" i="37"/>
  <c r="V94" i="37" s="1"/>
  <c r="E114" i="31"/>
  <c r="AR114" i="31" s="1"/>
  <c r="AP114" i="31" s="1"/>
  <c r="K88" i="19"/>
  <c r="Z77" i="19"/>
  <c r="Z116" i="19" s="1"/>
  <c r="AF77" i="19"/>
  <c r="AF116" i="19" s="1"/>
  <c r="AS104" i="19" s="1"/>
  <c r="AF117" i="19" s="1"/>
  <c r="P82" i="19"/>
  <c r="E111" i="19"/>
  <c r="AP77" i="19"/>
  <c r="AP116" i="19" s="1"/>
  <c r="L67" i="29"/>
  <c r="E91" i="29"/>
  <c r="AR91" i="29" s="1"/>
  <c r="S91" i="29" s="1"/>
  <c r="AE77" i="29"/>
  <c r="AE116" i="29" s="1"/>
  <c r="AS103" i="29" s="1"/>
  <c r="AE117" i="29" s="1"/>
  <c r="E111" i="29"/>
  <c r="AR111" i="29" s="1"/>
  <c r="AM111" i="29" s="1"/>
  <c r="O88" i="28"/>
  <c r="O116" i="28" s="1"/>
  <c r="E91" i="28"/>
  <c r="AR91" i="28" s="1"/>
  <c r="S91" i="28" s="1"/>
  <c r="P91" i="28" s="1"/>
  <c r="E95" i="27"/>
  <c r="AR95" i="27" s="1"/>
  <c r="E98" i="27"/>
  <c r="AR98" i="27" s="1"/>
  <c r="Z98" i="27" s="1"/>
  <c r="AH77" i="27"/>
  <c r="AH116" i="27" s="1"/>
  <c r="AS106" i="27" s="1"/>
  <c r="AH117" i="27" s="1"/>
  <c r="L88" i="26"/>
  <c r="L116" i="26" s="1"/>
  <c r="E89" i="26"/>
  <c r="AR89" i="26" s="1"/>
  <c r="N88" i="26"/>
  <c r="N116" i="26" s="1"/>
  <c r="E95" i="26"/>
  <c r="E95" i="25"/>
  <c r="AR95" i="25" s="1"/>
  <c r="X77" i="25"/>
  <c r="P83" i="24"/>
  <c r="AR83" i="24" s="1"/>
  <c r="J83" i="24" s="1"/>
  <c r="L89" i="24"/>
  <c r="L117" i="24" s="1"/>
  <c r="AS83" i="23"/>
  <c r="J118" i="23" s="1"/>
  <c r="P83" i="23"/>
  <c r="AR83" i="23" s="1"/>
  <c r="M89" i="23"/>
  <c r="M117" i="23" s="1"/>
  <c r="E107" i="23"/>
  <c r="E111" i="23"/>
  <c r="AR111" i="23" s="1"/>
  <c r="BL15" i="22"/>
  <c r="L15" i="22" s="1"/>
  <c r="L88" i="22"/>
  <c r="L116" i="22" s="1"/>
  <c r="Z77" i="22"/>
  <c r="P86" i="22"/>
  <c r="E110" i="22"/>
  <c r="AR110" i="22" s="1"/>
  <c r="AL110" i="22" s="1"/>
  <c r="P110" i="22" s="1"/>
  <c r="AW25" i="21"/>
  <c r="AJ78" i="21"/>
  <c r="E112" i="21"/>
  <c r="P82" i="34"/>
  <c r="AR82" i="34" s="1"/>
  <c r="J82" i="34" s="1"/>
  <c r="E109" i="34"/>
  <c r="AR109" i="34" s="1"/>
  <c r="E112" i="34"/>
  <c r="BH25" i="33"/>
  <c r="BK8" i="33"/>
  <c r="BK67" i="33" s="1"/>
  <c r="E79" i="33"/>
  <c r="P83" i="32"/>
  <c r="AR83" i="32" s="1"/>
  <c r="AS83" i="32" s="1"/>
  <c r="K117" i="32" s="1"/>
  <c r="Q89" i="32"/>
  <c r="Q88" i="32" s="1"/>
  <c r="W10" i="31"/>
  <c r="W9" i="31" s="1"/>
  <c r="W8" i="31" s="1"/>
  <c r="W67" i="31" s="1"/>
  <c r="AF8" i="31"/>
  <c r="AJ8" i="31"/>
  <c r="AJ67" i="31" s="1"/>
  <c r="BM39" i="31" s="1"/>
  <c r="BN39" i="31" s="1"/>
  <c r="AN8" i="31"/>
  <c r="AN67" i="31" s="1"/>
  <c r="AO67" i="31"/>
  <c r="D186" i="48" s="1"/>
  <c r="G49" i="31"/>
  <c r="F49" i="31" s="1"/>
  <c r="E49" i="31" s="1"/>
  <c r="BL49" i="31" s="1"/>
  <c r="BL53" i="31"/>
  <c r="AX53" i="31" s="1"/>
  <c r="L78" i="31"/>
  <c r="L116" i="31" s="1"/>
  <c r="R10" i="31"/>
  <c r="P86" i="31"/>
  <c r="AR86" i="31" s="1"/>
  <c r="N86" i="31" s="1"/>
  <c r="E86" i="31" s="1"/>
  <c r="R90" i="31"/>
  <c r="P90" i="31" s="1"/>
  <c r="T77" i="31"/>
  <c r="AH78" i="31"/>
  <c r="AH77" i="31" s="1"/>
  <c r="AH116" i="31" s="1"/>
  <c r="AY10" i="31"/>
  <c r="AY9" i="31" s="1"/>
  <c r="AY8" i="31" s="1"/>
  <c r="BL55" i="31"/>
  <c r="E109" i="31"/>
  <c r="AP77" i="31"/>
  <c r="P81" i="30"/>
  <c r="AR81" i="30" s="1"/>
  <c r="I81" i="30" s="1"/>
  <c r="AG77" i="40"/>
  <c r="AG116" i="40" s="1"/>
  <c r="AS106" i="40"/>
  <c r="AH117" i="40" s="1"/>
  <c r="AM111" i="40"/>
  <c r="P111" i="40" s="1"/>
  <c r="G88" i="39"/>
  <c r="G116" i="39" s="1"/>
  <c r="U78" i="39"/>
  <c r="E93" i="38"/>
  <c r="AR93" i="38" s="1"/>
  <c r="U93" i="38" s="1"/>
  <c r="AA78" i="38"/>
  <c r="AA77" i="38" s="1"/>
  <c r="AA116" i="38" s="1"/>
  <c r="AS99" i="38" s="1"/>
  <c r="AA117" i="38" s="1"/>
  <c r="E104" i="38"/>
  <c r="AR104" i="38" s="1"/>
  <c r="AF104" i="38" s="1"/>
  <c r="P104" i="38" s="1"/>
  <c r="AF77" i="38"/>
  <c r="AF116" i="38" s="1"/>
  <c r="AS104" i="38" s="1"/>
  <c r="AF117" i="38" s="1"/>
  <c r="E108" i="38"/>
  <c r="AR108" i="38" s="1"/>
  <c r="AJ108" i="38" s="1"/>
  <c r="P108" i="38" s="1"/>
  <c r="AF77" i="37"/>
  <c r="AF116" i="37" s="1"/>
  <c r="AS104" i="37" s="1"/>
  <c r="AF117" i="37" s="1"/>
  <c r="BL65" i="39"/>
  <c r="E115" i="39"/>
  <c r="H63" i="30"/>
  <c r="G66" i="30"/>
  <c r="AA30" i="34"/>
  <c r="G39" i="22"/>
  <c r="H34" i="22"/>
  <c r="G29" i="26"/>
  <c r="F92" i="26"/>
  <c r="Z10" i="26"/>
  <c r="Z9" i="26" s="1"/>
  <c r="T78" i="26"/>
  <c r="T77" i="26" s="1"/>
  <c r="T116" i="26" s="1"/>
  <c r="BM53" i="27"/>
  <c r="BN53" i="27" s="1"/>
  <c r="AX68" i="27" s="1"/>
  <c r="E106" i="38"/>
  <c r="AR106" i="38" s="1"/>
  <c r="AH106" i="38" s="1"/>
  <c r="AM77" i="38"/>
  <c r="E99" i="37"/>
  <c r="AR99" i="37" s="1"/>
  <c r="AA99" i="37" s="1"/>
  <c r="E104" i="37"/>
  <c r="AR104" i="37" s="1"/>
  <c r="AF104" i="37" s="1"/>
  <c r="AJ77" i="37"/>
  <c r="AJ116" i="37" s="1"/>
  <c r="AS108" i="37" s="1"/>
  <c r="AJ117" i="37" s="1"/>
  <c r="AD8" i="40"/>
  <c r="AD67" i="40" s="1"/>
  <c r="BM33" i="40" s="1"/>
  <c r="BN33" i="40" s="1"/>
  <c r="Z8" i="40"/>
  <c r="T67" i="40"/>
  <c r="BM23" i="40" s="1"/>
  <c r="BN23" i="40" s="1"/>
  <c r="T68" i="40" s="1"/>
  <c r="BL29" i="40"/>
  <c r="Z29" i="40" s="1"/>
  <c r="H63" i="37"/>
  <c r="AB8" i="39"/>
  <c r="R25" i="38"/>
  <c r="R67" i="38" s="1"/>
  <c r="D147" i="46" s="1"/>
  <c r="BM65" i="30"/>
  <c r="BN65" i="30" s="1"/>
  <c r="BF8" i="32"/>
  <c r="AV8" i="30"/>
  <c r="AV67" i="30" s="1"/>
  <c r="BI8" i="21"/>
  <c r="BI68" i="21" s="1"/>
  <c r="G65" i="21"/>
  <c r="H63" i="21"/>
  <c r="BI8" i="22"/>
  <c r="BJ8" i="22"/>
  <c r="BJ67" i="22" s="1"/>
  <c r="BJ8" i="23"/>
  <c r="BJ68" i="23" s="1"/>
  <c r="BJ8" i="24"/>
  <c r="BJ68" i="24" s="1"/>
  <c r="BI8" i="25"/>
  <c r="BI67" i="25" s="1"/>
  <c r="BJ8" i="27"/>
  <c r="BJ67" i="27" s="1"/>
  <c r="BM65" i="27" s="1"/>
  <c r="W8" i="34"/>
  <c r="W67" i="34" s="1"/>
  <c r="BL62" i="34"/>
  <c r="AX8" i="34"/>
  <c r="AX67" i="34" s="1"/>
  <c r="BM53" i="34" s="1"/>
  <c r="BN53" i="34" s="1"/>
  <c r="Q40" i="13" s="1"/>
  <c r="BD8" i="26"/>
  <c r="BD67" i="26" s="1"/>
  <c r="AA8" i="26"/>
  <c r="AA67" i="26" s="1"/>
  <c r="BM30" i="26" s="1"/>
  <c r="BN30" i="26" s="1"/>
  <c r="BG67" i="29"/>
  <c r="BM62" i="29" s="1"/>
  <c r="BN62" i="29" s="1"/>
  <c r="M67" i="29"/>
  <c r="D56" i="46" s="1"/>
  <c r="E92" i="37"/>
  <c r="AR92" i="37" s="1"/>
  <c r="T92" i="37" s="1"/>
  <c r="E98" i="37"/>
  <c r="AR98" i="37" s="1"/>
  <c r="Z98" i="37" s="1"/>
  <c r="P82" i="37"/>
  <c r="E108" i="37"/>
  <c r="AR108" i="37" s="1"/>
  <c r="AJ108" i="37" s="1"/>
  <c r="K67" i="37"/>
  <c r="BM14" i="37" s="1"/>
  <c r="BN14" i="37" s="1"/>
  <c r="BJ8" i="40"/>
  <c r="BJ67" i="40" s="1"/>
  <c r="BI8" i="40"/>
  <c r="BI67" i="40" s="1"/>
  <c r="BJ8" i="39"/>
  <c r="BJ67" i="39" s="1"/>
  <c r="BM65" i="39" s="1"/>
  <c r="BI8" i="39"/>
  <c r="BI67" i="39" s="1"/>
  <c r="V63" i="40"/>
  <c r="BL30" i="38"/>
  <c r="AA30" i="38" s="1"/>
  <c r="AA67" i="38"/>
  <c r="BM30" i="38" s="1"/>
  <c r="BN30" i="38" s="1"/>
  <c r="BL29" i="38"/>
  <c r="Z29" i="38" s="1"/>
  <c r="BE67" i="32"/>
  <c r="BL47" i="33"/>
  <c r="AR47" i="33" s="1"/>
  <c r="AD67" i="33"/>
  <c r="BM33" i="33" s="1"/>
  <c r="BN33" i="33" s="1"/>
  <c r="R26" i="13" s="1"/>
  <c r="BL30" i="33"/>
  <c r="AA30" i="33" s="1"/>
  <c r="AA67" i="33"/>
  <c r="BM30" i="33" s="1"/>
  <c r="BN30" i="33" s="1"/>
  <c r="Z29" i="21"/>
  <c r="V29" i="21" s="1"/>
  <c r="E64" i="47"/>
  <c r="D362" i="47"/>
  <c r="F362" i="47" s="1"/>
  <c r="D13" i="74"/>
  <c r="I13" i="74" s="1"/>
  <c r="N13" i="74" s="1"/>
  <c r="P13" i="74" s="1"/>
  <c r="G29" i="23"/>
  <c r="F93" i="23"/>
  <c r="BB48" i="88"/>
  <c r="AP35" i="84"/>
  <c r="AV42" i="88"/>
  <c r="AJ29" i="84"/>
  <c r="AW24" i="88"/>
  <c r="AK22" i="84"/>
  <c r="AY23" i="88"/>
  <c r="AM21" i="84"/>
  <c r="T42" i="88"/>
  <c r="S29" i="84"/>
  <c r="R48" i="88"/>
  <c r="Q35" i="84"/>
  <c r="P53" i="88"/>
  <c r="O40" i="84"/>
  <c r="N22" i="88"/>
  <c r="M20" i="84"/>
  <c r="K30" i="84"/>
  <c r="AM14" i="88"/>
  <c r="AE14" i="88"/>
  <c r="AA14" i="88"/>
  <c r="K51" i="88"/>
  <c r="K47" i="88"/>
  <c r="I14" i="84"/>
  <c r="I46" i="88"/>
  <c r="H33" i="84"/>
  <c r="O10" i="88"/>
  <c r="O9" i="88" s="1"/>
  <c r="N9" i="84"/>
  <c r="K10" i="88"/>
  <c r="K9" i="88" s="1"/>
  <c r="J9" i="84"/>
  <c r="G13" i="88"/>
  <c r="F13" i="88" s="1"/>
  <c r="G11" i="84"/>
  <c r="E115" i="47"/>
  <c r="H17" i="56" s="1"/>
  <c r="E370" i="47"/>
  <c r="H21" i="74" s="1"/>
  <c r="E417" i="47"/>
  <c r="H19" i="79" s="1"/>
  <c r="BL15" i="33"/>
  <c r="L15" i="33" s="1"/>
  <c r="P84" i="33"/>
  <c r="AR84" i="33" s="1"/>
  <c r="AA77" i="33"/>
  <c r="AA116" i="33" s="1"/>
  <c r="AR108" i="33"/>
  <c r="E109" i="33"/>
  <c r="BK8" i="32"/>
  <c r="BK67" i="32" s="1"/>
  <c r="AC77" i="32"/>
  <c r="AC116" i="32" s="1"/>
  <c r="AS101" i="32" s="1"/>
  <c r="P104" i="32"/>
  <c r="AS111" i="32"/>
  <c r="AM117" i="32" s="1"/>
  <c r="L67" i="31"/>
  <c r="BM15" i="31" s="1"/>
  <c r="BN15" i="31" s="1"/>
  <c r="AK8" i="31"/>
  <c r="E79" i="31"/>
  <c r="P82" i="31"/>
  <c r="AR82" i="31" s="1"/>
  <c r="J82" i="31" s="1"/>
  <c r="E82" i="31" s="1"/>
  <c r="P84" i="31"/>
  <c r="AL77" i="31"/>
  <c r="AL110" i="31"/>
  <c r="AS103" i="40"/>
  <c r="AE117" i="40" s="1"/>
  <c r="P83" i="39"/>
  <c r="AR83" i="39" s="1"/>
  <c r="R90" i="39"/>
  <c r="P90" i="39" s="1"/>
  <c r="E94" i="39"/>
  <c r="AR94" i="39" s="1"/>
  <c r="V94" i="39"/>
  <c r="V88" i="39" s="1"/>
  <c r="E98" i="39"/>
  <c r="AR98" i="39" s="1"/>
  <c r="Z98" i="39" s="1"/>
  <c r="L88" i="38"/>
  <c r="L116" i="38" s="1"/>
  <c r="AL77" i="38"/>
  <c r="AL116" i="38" s="1"/>
  <c r="AS110" i="38" s="1"/>
  <c r="AL117" i="38" s="1"/>
  <c r="R90" i="37"/>
  <c r="Z77" i="37"/>
  <c r="Z116" i="37" s="1"/>
  <c r="AS98" i="37" s="1"/>
  <c r="Z117" i="37" s="1"/>
  <c r="AB78" i="37"/>
  <c r="E105" i="37"/>
  <c r="AR105" i="37" s="1"/>
  <c r="AG105" i="37" s="1"/>
  <c r="F114" i="37"/>
  <c r="E114" i="37" s="1"/>
  <c r="AR114" i="37" s="1"/>
  <c r="BL47" i="39"/>
  <c r="AR47" i="39" s="1"/>
  <c r="Q67" i="39"/>
  <c r="BM20" i="39" s="1"/>
  <c r="BN20" i="39" s="1"/>
  <c r="Q68" i="39" s="1"/>
  <c r="BL65" i="40"/>
  <c r="BJ65" i="40" s="1"/>
  <c r="BH65" i="40" s="1"/>
  <c r="BG8" i="40"/>
  <c r="G63" i="39"/>
  <c r="G67" i="39" s="1"/>
  <c r="H34" i="32"/>
  <c r="BL33" i="40"/>
  <c r="AD33" i="40" s="1"/>
  <c r="H63" i="29"/>
  <c r="S67" i="37"/>
  <c r="D173" i="46" s="1"/>
  <c r="Y8" i="40"/>
  <c r="Y67" i="40" s="1"/>
  <c r="Y8" i="39"/>
  <c r="BL28" i="39"/>
  <c r="BL47" i="30"/>
  <c r="H63" i="32"/>
  <c r="T93" i="21"/>
  <c r="T89" i="21" s="1"/>
  <c r="T77" i="21" s="1"/>
  <c r="AW8" i="37"/>
  <c r="AK8" i="37"/>
  <c r="AK67" i="37" s="1"/>
  <c r="BM40" i="37" s="1"/>
  <c r="BN40" i="37" s="1"/>
  <c r="V116" i="32"/>
  <c r="AT67" i="34"/>
  <c r="BM49" i="34" s="1"/>
  <c r="BN49" i="34" s="1"/>
  <c r="AT68" i="34" s="1"/>
  <c r="BG62" i="21"/>
  <c r="Z10" i="21"/>
  <c r="Z9" i="21" s="1"/>
  <c r="Z8" i="21" s="1"/>
  <c r="Z68" i="21" s="1"/>
  <c r="BM29" i="21" s="1"/>
  <c r="BN29" i="21" s="1"/>
  <c r="Z69" i="21" s="1"/>
  <c r="T79" i="21"/>
  <c r="T78" i="21" s="1"/>
  <c r="T117" i="21" s="1"/>
  <c r="AS93" i="21" s="1"/>
  <c r="T118" i="21" s="1"/>
  <c r="BL33" i="22"/>
  <c r="BL28" i="22"/>
  <c r="Y8" i="22"/>
  <c r="BG62" i="28"/>
  <c r="AZ53" i="88"/>
  <c r="AN40" i="84"/>
  <c r="J88" i="37"/>
  <c r="J116" i="37" s="1"/>
  <c r="E107" i="37"/>
  <c r="BL33" i="37"/>
  <c r="L67" i="25"/>
  <c r="BM15" i="25" s="1"/>
  <c r="BN15" i="25" s="1"/>
  <c r="X8" i="40"/>
  <c r="X67" i="40" s="1"/>
  <c r="BL15" i="38"/>
  <c r="BH34" i="25"/>
  <c r="BH34" i="33"/>
  <c r="AQ97" i="33" s="1"/>
  <c r="AQ88" i="33" s="1"/>
  <c r="BI8" i="38"/>
  <c r="BI67" i="38" s="1"/>
  <c r="BM64" i="38" s="1"/>
  <c r="BN64" i="38" s="1"/>
  <c r="BI68" i="38" s="1"/>
  <c r="X8" i="38"/>
  <c r="X67" i="38" s="1"/>
  <c r="BI8" i="30"/>
  <c r="BI67" i="30" s="1"/>
  <c r="X8" i="30"/>
  <c r="X67" i="30" s="1"/>
  <c r="BE8" i="30"/>
  <c r="BE67" i="30" s="1"/>
  <c r="BJ8" i="32"/>
  <c r="BJ67" i="32" s="1"/>
  <c r="BM65" i="32" s="1"/>
  <c r="BN65" i="32" s="1"/>
  <c r="BJ68" i="32" s="1"/>
  <c r="BH34" i="32"/>
  <c r="T67" i="32"/>
  <c r="BM23" i="32" s="1"/>
  <c r="BN23" i="32" s="1"/>
  <c r="H18" i="32"/>
  <c r="G18" i="32" s="1"/>
  <c r="F18" i="32" s="1"/>
  <c r="BL18" i="32" s="1"/>
  <c r="O18" i="32" s="1"/>
  <c r="E18" i="32" s="1"/>
  <c r="AS8" i="33"/>
  <c r="AR8" i="33"/>
  <c r="X8" i="33"/>
  <c r="X67" i="33" s="1"/>
  <c r="AB8" i="33"/>
  <c r="AB67" i="33" s="1"/>
  <c r="BA8" i="38"/>
  <c r="BA67" i="38" s="1"/>
  <c r="AQ8" i="37"/>
  <c r="AQ67" i="37" s="1"/>
  <c r="D173" i="47" s="1"/>
  <c r="BC8" i="38"/>
  <c r="AK8" i="38"/>
  <c r="AK67" i="38" s="1"/>
  <c r="BM40" i="38" s="1"/>
  <c r="BN40" i="38" s="1"/>
  <c r="AW8" i="39"/>
  <c r="AW67" i="39" s="1"/>
  <c r="AK8" i="32"/>
  <c r="AC8" i="32"/>
  <c r="AC67" i="32" s="1"/>
  <c r="AE63" i="21"/>
  <c r="Y116" i="21" s="1"/>
  <c r="BJ8" i="26"/>
  <c r="BJ67" i="26" s="1"/>
  <c r="H63" i="27"/>
  <c r="BD8" i="22"/>
  <c r="BD67" i="22" s="1"/>
  <c r="BC8" i="22"/>
  <c r="BB8" i="22"/>
  <c r="BB67" i="22" s="1"/>
  <c r="BL53" i="22"/>
  <c r="AX53" i="22" s="1"/>
  <c r="AX25" i="22" s="1"/>
  <c r="AX8" i="22"/>
  <c r="AX67" i="22" s="1"/>
  <c r="BM53" i="22" s="1"/>
  <c r="BN53" i="22" s="1"/>
  <c r="AY8" i="23"/>
  <c r="AY68" i="23" s="1"/>
  <c r="AD8" i="23"/>
  <c r="AD68" i="23" s="1"/>
  <c r="BD8" i="24"/>
  <c r="BD68" i="24" s="1"/>
  <c r="BL33" i="25"/>
  <c r="AX8" i="26"/>
  <c r="AX67" i="26" s="1"/>
  <c r="BM53" i="26" s="1"/>
  <c r="BN53" i="26" s="1"/>
  <c r="BL40" i="26"/>
  <c r="AK40" i="26" s="1"/>
  <c r="BL28" i="26"/>
  <c r="BE8" i="27"/>
  <c r="BE67" i="27" s="1"/>
  <c r="BM60" i="27" s="1"/>
  <c r="BN60" i="27" s="1"/>
  <c r="BE68" i="27" s="1"/>
  <c r="BL53" i="29"/>
  <c r="AX53" i="29" s="1"/>
  <c r="V53" i="29" s="1"/>
  <c r="AX8" i="29"/>
  <c r="AX67" i="29" s="1"/>
  <c r="BM53" i="29" s="1"/>
  <c r="BN53" i="29" s="1"/>
  <c r="H40" i="13" s="1"/>
  <c r="AY8" i="19"/>
  <c r="AY67" i="19" s="1"/>
  <c r="BM54" i="19" s="1"/>
  <c r="BN54" i="19" s="1"/>
  <c r="G41" i="13" s="1"/>
  <c r="Q67" i="34"/>
  <c r="BM20" i="34" s="1"/>
  <c r="BN20" i="34" s="1"/>
  <c r="R68" i="21"/>
  <c r="D139" i="46" s="1"/>
  <c r="T67" i="26"/>
  <c r="AQ57" i="88"/>
  <c r="AE44" i="84"/>
  <c r="E46" i="47"/>
  <c r="H23" i="54" s="1"/>
  <c r="E85" i="47"/>
  <c r="H12" i="57" s="1"/>
  <c r="I12" i="57"/>
  <c r="F60" i="48"/>
  <c r="E170" i="47"/>
  <c r="N22" i="66" s="1"/>
  <c r="E184" i="47"/>
  <c r="H10" i="65" s="1"/>
  <c r="E430" i="47"/>
  <c r="G6" i="78" s="1"/>
  <c r="E437" i="47"/>
  <c r="G13" i="78" s="1"/>
  <c r="E433" i="47"/>
  <c r="G9" i="78" s="1"/>
  <c r="AL48" i="88"/>
  <c r="Z35" i="84"/>
  <c r="X42" i="88"/>
  <c r="W29" i="84"/>
  <c r="T49" i="88"/>
  <c r="S36" i="84"/>
  <c r="W22" i="88"/>
  <c r="V20" i="84"/>
  <c r="P24" i="88"/>
  <c r="O22" i="84"/>
  <c r="N49" i="88"/>
  <c r="M36" i="84"/>
  <c r="N21" i="88"/>
  <c r="M19" i="84"/>
  <c r="M37" i="88"/>
  <c r="K46" i="88"/>
  <c r="J33" i="84"/>
  <c r="J55" i="88"/>
  <c r="I42" i="84"/>
  <c r="I53" i="88"/>
  <c r="H40" i="84"/>
  <c r="AZ67" i="40"/>
  <c r="D21" i="75" s="1"/>
  <c r="AZ8" i="38"/>
  <c r="AZ67" i="38" s="1"/>
  <c r="AZ8" i="37"/>
  <c r="BC8" i="32"/>
  <c r="BC67" i="32" s="1"/>
  <c r="BD8" i="38"/>
  <c r="AJ8" i="38"/>
  <c r="AJ67" i="38" s="1"/>
  <c r="BM39" i="38" s="1"/>
  <c r="BN39" i="38" s="1"/>
  <c r="AJ8" i="39"/>
  <c r="AJ67" i="39" s="1"/>
  <c r="BM39" i="39" s="1"/>
  <c r="BN39" i="39" s="1"/>
  <c r="BB8" i="40"/>
  <c r="BB67" i="40" s="1"/>
  <c r="AX8" i="40"/>
  <c r="AQ8" i="30"/>
  <c r="AQ67" i="30" s="1"/>
  <c r="BL40" i="33"/>
  <c r="AK40" i="33" s="1"/>
  <c r="K67" i="38"/>
  <c r="BM14" i="38" s="1"/>
  <c r="BN14" i="38" s="1"/>
  <c r="K68" i="38" s="1"/>
  <c r="BI8" i="34"/>
  <c r="BI67" i="34" s="1"/>
  <c r="BI8" i="24"/>
  <c r="BI68" i="24" s="1"/>
  <c r="BM64" i="24" s="1"/>
  <c r="BN64" i="24" s="1"/>
  <c r="BI69" i="24" s="1"/>
  <c r="BG8" i="34"/>
  <c r="BG67" i="34" s="1"/>
  <c r="AI77" i="34"/>
  <c r="AI116" i="34" s="1"/>
  <c r="AV8" i="34"/>
  <c r="AV67" i="34" s="1"/>
  <c r="BL39" i="21"/>
  <c r="AJ39" i="21" s="1"/>
  <c r="BL62" i="23"/>
  <c r="BE68" i="23"/>
  <c r="BM60" i="23" s="1"/>
  <c r="BN60" i="23" s="1"/>
  <c r="N47" i="13" s="1"/>
  <c r="BL53" i="23"/>
  <c r="AX53" i="23" s="1"/>
  <c r="BF8" i="24"/>
  <c r="BA8" i="24"/>
  <c r="BA68" i="24" s="1"/>
  <c r="BL39" i="24"/>
  <c r="AJ39" i="24" s="1"/>
  <c r="AJ8" i="24"/>
  <c r="AJ68" i="24" s="1"/>
  <c r="AC8" i="24"/>
  <c r="AC68" i="24" s="1"/>
  <c r="AY8" i="25"/>
  <c r="AY67" i="25" s="1"/>
  <c r="AX8" i="25"/>
  <c r="BL30" i="25"/>
  <c r="BF8" i="28"/>
  <c r="BE8" i="28"/>
  <c r="BE67" i="28" s="1"/>
  <c r="AT8" i="28"/>
  <c r="AT67" i="28" s="1"/>
  <c r="AJ8" i="28"/>
  <c r="AJ67" i="28" s="1"/>
  <c r="BL28" i="28"/>
  <c r="BL62" i="29"/>
  <c r="BE67" i="29"/>
  <c r="BM60" i="29" s="1"/>
  <c r="BN60" i="29" s="1"/>
  <c r="H47" i="13" s="1"/>
  <c r="T68" i="23"/>
  <c r="C17" i="95"/>
  <c r="BB52" i="88"/>
  <c r="AP39" i="84"/>
  <c r="D38" i="84"/>
  <c r="T77" i="25"/>
  <c r="T116" i="25" s="1"/>
  <c r="AS92" i="25" s="1"/>
  <c r="BF8" i="33"/>
  <c r="BF67" i="33" s="1"/>
  <c r="D491" i="47" s="1"/>
  <c r="Y8" i="37"/>
  <c r="AQ8" i="38"/>
  <c r="AK8" i="39"/>
  <c r="AK67" i="39" s="1"/>
  <c r="BM40" i="39" s="1"/>
  <c r="BN40" i="39" s="1"/>
  <c r="AK68" i="39" s="1"/>
  <c r="AK8" i="33"/>
  <c r="AK67" i="33" s="1"/>
  <c r="BM40" i="33" s="1"/>
  <c r="BN40" i="33" s="1"/>
  <c r="AK68" i="33" s="1"/>
  <c r="BL66" i="22"/>
  <c r="BI8" i="26"/>
  <c r="BI67" i="26" s="1"/>
  <c r="BJ8" i="28"/>
  <c r="BJ67" i="28" s="1"/>
  <c r="V63" i="29"/>
  <c r="BL64" i="19"/>
  <c r="BC8" i="34"/>
  <c r="BB8" i="34"/>
  <c r="BL40" i="34"/>
  <c r="AK40" i="34" s="1"/>
  <c r="AJ8" i="21"/>
  <c r="AJ68" i="21" s="1"/>
  <c r="AW8" i="22"/>
  <c r="AW67" i="22" s="1"/>
  <c r="AV8" i="22"/>
  <c r="BL49" i="22"/>
  <c r="BC8" i="24"/>
  <c r="BC68" i="24" s="1"/>
  <c r="BB8" i="24"/>
  <c r="AZ8" i="24"/>
  <c r="BL53" i="24"/>
  <c r="AX8" i="24"/>
  <c r="AX68" i="24" s="1"/>
  <c r="AV8" i="24"/>
  <c r="AV68" i="24" s="1"/>
  <c r="AS8" i="24"/>
  <c r="X8" i="24"/>
  <c r="W8" i="24"/>
  <c r="BL62" i="25"/>
  <c r="AW8" i="25"/>
  <c r="AW7" i="25" s="1"/>
  <c r="AT67" i="25"/>
  <c r="D12" i="71" s="1"/>
  <c r="BF8" i="26"/>
  <c r="BF67" i="26" s="1"/>
  <c r="BE8" i="26"/>
  <c r="BE67" i="26" s="1"/>
  <c r="AY8" i="26"/>
  <c r="AY67" i="26" s="1"/>
  <c r="AW8" i="26"/>
  <c r="AW67" i="26" s="1"/>
  <c r="AT8" i="26"/>
  <c r="BL28" i="27"/>
  <c r="AR67" i="28"/>
  <c r="AR101" i="29"/>
  <c r="BB8" i="19"/>
  <c r="AX8" i="19"/>
  <c r="AW8" i="19"/>
  <c r="AU8" i="19"/>
  <c r="AA8" i="19"/>
  <c r="AA67" i="19" s="1"/>
  <c r="BM30" i="19" s="1"/>
  <c r="BN30" i="19" s="1"/>
  <c r="J68" i="24"/>
  <c r="Q67" i="25"/>
  <c r="C22" i="95"/>
  <c r="C16" i="95"/>
  <c r="C7" i="95"/>
  <c r="D44" i="84"/>
  <c r="AM36" i="84"/>
  <c r="AQ51" i="88"/>
  <c r="AE38" i="84"/>
  <c r="AE34" i="84"/>
  <c r="AN29" i="84"/>
  <c r="X49" i="88"/>
  <c r="W36" i="84"/>
  <c r="U58" i="88"/>
  <c r="D21" i="84"/>
  <c r="K24" i="88"/>
  <c r="J22" i="84"/>
  <c r="D127" i="48"/>
  <c r="D9" i="63"/>
  <c r="E66" i="47"/>
  <c r="V10" i="53" s="1"/>
  <c r="E289" i="47"/>
  <c r="G15" i="69" s="1"/>
  <c r="E285" i="47"/>
  <c r="G11" i="69" s="1"/>
  <c r="C21" i="95"/>
  <c r="C13" i="95"/>
  <c r="C12" i="95"/>
  <c r="AU58" i="88"/>
  <c r="AS51" i="88"/>
  <c r="AG38" i="84"/>
  <c r="U45" i="84"/>
  <c r="U46" i="88"/>
  <c r="T33" i="84"/>
  <c r="R22" i="88"/>
  <c r="Q20" i="84"/>
  <c r="D82" i="48"/>
  <c r="D12" i="58"/>
  <c r="AE18" i="27"/>
  <c r="E163" i="47"/>
  <c r="AF67" i="33"/>
  <c r="D18" i="61" s="1"/>
  <c r="BM37" i="24"/>
  <c r="BN37" i="24" s="1"/>
  <c r="AH69" i="24" s="1"/>
  <c r="D13" i="59"/>
  <c r="AN67" i="19"/>
  <c r="D7" i="62" s="1"/>
  <c r="AO8" i="25"/>
  <c r="AO67" i="25" s="1"/>
  <c r="D178" i="48" s="1"/>
  <c r="AO67" i="32"/>
  <c r="D185" i="48" s="1"/>
  <c r="AP67" i="28"/>
  <c r="D9" i="67" s="1"/>
  <c r="BL24" i="27"/>
  <c r="E20" i="47"/>
  <c r="H22" i="55" s="1"/>
  <c r="E11" i="47"/>
  <c r="H13" i="55" s="1"/>
  <c r="I19" i="67"/>
  <c r="N19" i="67" s="1"/>
  <c r="E161" i="47"/>
  <c r="N13" i="66" s="1"/>
  <c r="E191" i="47"/>
  <c r="H17" i="65" s="1"/>
  <c r="E188" i="47"/>
  <c r="H14" i="65" s="1"/>
  <c r="E186" i="47"/>
  <c r="H12" i="65" s="1"/>
  <c r="E182" i="47"/>
  <c r="H8" i="65" s="1"/>
  <c r="E314" i="47"/>
  <c r="H15" i="76" s="1"/>
  <c r="E306" i="47"/>
  <c r="H7" i="76" s="1"/>
  <c r="E415" i="47"/>
  <c r="H17" i="79" s="1"/>
  <c r="F17" i="86"/>
  <c r="F17" i="83"/>
  <c r="D17" i="83" s="1"/>
  <c r="E18" i="86"/>
  <c r="G61" i="33"/>
  <c r="F61" i="33" s="1"/>
  <c r="E61" i="33" s="1"/>
  <c r="AK58" i="88"/>
  <c r="F54" i="88"/>
  <c r="E54" i="88" s="1"/>
  <c r="AF8" i="29"/>
  <c r="AF67" i="29" s="1"/>
  <c r="AF8" i="26"/>
  <c r="AF7" i="26" s="1"/>
  <c r="AI8" i="28"/>
  <c r="AI67" i="28" s="1"/>
  <c r="AI8" i="24"/>
  <c r="AI68" i="24" s="1"/>
  <c r="AI8" i="34"/>
  <c r="AI67" i="34" s="1"/>
  <c r="D17" i="58" s="1"/>
  <c r="AI8" i="38"/>
  <c r="AL8" i="39"/>
  <c r="AL67" i="39" s="1"/>
  <c r="AM8" i="37"/>
  <c r="AM67" i="37" s="1"/>
  <c r="AN8" i="27"/>
  <c r="AN8" i="23"/>
  <c r="AN68" i="23" s="1"/>
  <c r="AN8" i="34"/>
  <c r="AN8" i="38"/>
  <c r="AO8" i="28"/>
  <c r="AO67" i="28" s="1"/>
  <c r="AO8" i="21"/>
  <c r="AO68" i="21" s="1"/>
  <c r="E13" i="47"/>
  <c r="H15" i="55" s="1"/>
  <c r="E12" i="47"/>
  <c r="H14" i="55" s="1"/>
  <c r="E45" i="47"/>
  <c r="H22" i="54" s="1"/>
  <c r="BL28" i="37"/>
  <c r="BL31" i="22"/>
  <c r="BL31" i="23"/>
  <c r="BL31" i="24"/>
  <c r="BL42" i="19"/>
  <c r="E189" i="47"/>
  <c r="E183" i="47"/>
  <c r="H9" i="65" s="1"/>
  <c r="BL54" i="19"/>
  <c r="BL54" i="40"/>
  <c r="BL54" i="34"/>
  <c r="BL56" i="22"/>
  <c r="BL57" i="34"/>
  <c r="BL57" i="28"/>
  <c r="E421" i="47"/>
  <c r="H23" i="79" s="1"/>
  <c r="D25" i="84"/>
  <c r="D39" i="84"/>
  <c r="C6" i="95"/>
  <c r="BL28" i="25"/>
  <c r="BB8" i="26"/>
  <c r="BB67" i="26" s="1"/>
  <c r="D11" i="73" s="1"/>
  <c r="AR8" i="26"/>
  <c r="AR67" i="26" s="1"/>
  <c r="BM47" i="26" s="1"/>
  <c r="BN47" i="26" s="1"/>
  <c r="BL33" i="26"/>
  <c r="BB8" i="27"/>
  <c r="AJ8" i="27"/>
  <c r="AJ67" i="27" s="1"/>
  <c r="BM39" i="27" s="1"/>
  <c r="BN39" i="27" s="1"/>
  <c r="AJ68" i="27" s="1"/>
  <c r="AU8" i="28"/>
  <c r="AK8" i="29"/>
  <c r="AK67" i="29" s="1"/>
  <c r="BM40" i="29" s="1"/>
  <c r="BN40" i="29" s="1"/>
  <c r="AK68" i="29" s="1"/>
  <c r="AJ8" i="29"/>
  <c r="AJ67" i="29" s="1"/>
  <c r="BM39" i="29" s="1"/>
  <c r="BN39" i="29" s="1"/>
  <c r="BL33" i="19"/>
  <c r="AD8" i="19"/>
  <c r="AD67" i="19" s="1"/>
  <c r="BM33" i="19" s="1"/>
  <c r="BN33" i="19" s="1"/>
  <c r="G26" i="13" s="1"/>
  <c r="X8" i="19"/>
  <c r="X67" i="19" s="1"/>
  <c r="M67" i="34"/>
  <c r="D65" i="46" s="1"/>
  <c r="N68" i="21"/>
  <c r="D89" i="46" s="1"/>
  <c r="K68" i="21"/>
  <c r="BM14" i="21" s="1"/>
  <c r="BN14" i="21" s="1"/>
  <c r="M68" i="24"/>
  <c r="D61" i="46" s="1"/>
  <c r="K67" i="26"/>
  <c r="BM14" i="26" s="1"/>
  <c r="BN14" i="26" s="1"/>
  <c r="M67" i="27"/>
  <c r="D58" i="46" s="1"/>
  <c r="M67" i="28"/>
  <c r="D57" i="46" s="1"/>
  <c r="C18" i="95"/>
  <c r="D116" i="21"/>
  <c r="C15" i="95"/>
  <c r="C11" i="95"/>
  <c r="D41" i="84"/>
  <c r="D40" i="84"/>
  <c r="Y58" i="88"/>
  <c r="F52" i="88"/>
  <c r="E52" i="88" s="1"/>
  <c r="F27" i="88"/>
  <c r="E27" i="88" s="1"/>
  <c r="AF8" i="28"/>
  <c r="AF8" i="32"/>
  <c r="AF8" i="38"/>
  <c r="AF67" i="38" s="1"/>
  <c r="AI8" i="22"/>
  <c r="AI67" i="22" s="1"/>
  <c r="D15" i="58" s="1"/>
  <c r="AI8" i="32"/>
  <c r="AI8" i="40"/>
  <c r="AI67" i="40" s="1"/>
  <c r="AL8" i="32"/>
  <c r="AL67" i="32" s="1"/>
  <c r="D19" i="64" s="1"/>
  <c r="AL8" i="38"/>
  <c r="AL67" i="38" s="1"/>
  <c r="BM41" i="38" s="1"/>
  <c r="BN41" i="38" s="1"/>
  <c r="AM8" i="25"/>
  <c r="AM8" i="21"/>
  <c r="AM68" i="21" s="1"/>
  <c r="AN8" i="29"/>
  <c r="AN67" i="29" s="1"/>
  <c r="AN8" i="25"/>
  <c r="AN8" i="32"/>
  <c r="AO8" i="19"/>
  <c r="AO67" i="19" s="1"/>
  <c r="AO8" i="23"/>
  <c r="AO68" i="23" s="1"/>
  <c r="AO8" i="30"/>
  <c r="AO67" i="30" s="1"/>
  <c r="AP8" i="26"/>
  <c r="AP67" i="26" s="1"/>
  <c r="D11" i="67" s="1"/>
  <c r="AP8" i="34"/>
  <c r="AP8" i="38"/>
  <c r="E180" i="46"/>
  <c r="H7" i="49"/>
  <c r="BL24" i="40"/>
  <c r="BL24" i="34"/>
  <c r="BL27" i="38"/>
  <c r="F12" i="48"/>
  <c r="BL36" i="37"/>
  <c r="BL36" i="25"/>
  <c r="BL41" i="22"/>
  <c r="BL42" i="22"/>
  <c r="BL42" i="24"/>
  <c r="E155" i="47"/>
  <c r="N7" i="66" s="1"/>
  <c r="E181" i="47"/>
  <c r="H7" i="65" s="1"/>
  <c r="BL51" i="22"/>
  <c r="E291" i="47"/>
  <c r="G17" i="69" s="1"/>
  <c r="E286" i="47"/>
  <c r="G12" i="69" s="1"/>
  <c r="E309" i="47"/>
  <c r="H10" i="76" s="1"/>
  <c r="E371" i="47"/>
  <c r="H22" i="74" s="1"/>
  <c r="F8" i="86"/>
  <c r="F8" i="83"/>
  <c r="E10" i="86"/>
  <c r="E10" i="83"/>
  <c r="G61" i="27"/>
  <c r="F61" i="27" s="1"/>
  <c r="E61" i="27" s="1"/>
  <c r="BL61" i="27" s="1"/>
  <c r="E14" i="86"/>
  <c r="D14" i="86" s="1"/>
  <c r="G61" i="23"/>
  <c r="F61" i="23" s="1"/>
  <c r="E61" i="23" s="1"/>
  <c r="E18" i="83"/>
  <c r="D18" i="83" s="1"/>
  <c r="E22" i="86"/>
  <c r="G61" i="40"/>
  <c r="F61" i="40" s="1"/>
  <c r="BL24" i="38"/>
  <c r="BL24" i="32"/>
  <c r="BL24" i="22"/>
  <c r="BL26" i="30"/>
  <c r="E19" i="47" s="1"/>
  <c r="H21" i="55" s="1"/>
  <c r="BL27" i="32"/>
  <c r="BL28" i="38"/>
  <c r="O14" i="53"/>
  <c r="BL31" i="38"/>
  <c r="BL32" i="23"/>
  <c r="D8" i="66"/>
  <c r="D16" i="66"/>
  <c r="O16" i="66" s="1"/>
  <c r="T16" i="66" s="1"/>
  <c r="D24" i="66"/>
  <c r="O24" i="66" s="1"/>
  <c r="T24" i="66" s="1"/>
  <c r="E290" i="47"/>
  <c r="G16" i="69" s="1"/>
  <c r="H16" i="69" s="1"/>
  <c r="BL54" i="32"/>
  <c r="BL56" i="33"/>
  <c r="BA56" i="33" s="1"/>
  <c r="BA25" i="33" s="1"/>
  <c r="BA7" i="33" s="1"/>
  <c r="BL57" i="37"/>
  <c r="BL58" i="22"/>
  <c r="E409" i="47"/>
  <c r="H11" i="79" s="1"/>
  <c r="BL59" i="25"/>
  <c r="E431" i="47"/>
  <c r="G7" i="78" s="1"/>
  <c r="BH11" i="23"/>
  <c r="AQ79" i="23" s="1"/>
  <c r="AQ78" i="23" s="1"/>
  <c r="AQ117" i="23" s="1"/>
  <c r="F10" i="86"/>
  <c r="F10" i="83"/>
  <c r="E21" i="86"/>
  <c r="E21" i="83"/>
  <c r="D21" i="83" s="1"/>
  <c r="G61" i="30"/>
  <c r="F61" i="30" s="1"/>
  <c r="E61" i="30" s="1"/>
  <c r="BL61" i="30" s="1"/>
  <c r="D11" i="82"/>
  <c r="D15" i="82"/>
  <c r="D8" i="81"/>
  <c r="D12" i="81"/>
  <c r="D16" i="81"/>
  <c r="D24" i="81"/>
  <c r="D12" i="84"/>
  <c r="D115" i="27"/>
  <c r="C9" i="95"/>
  <c r="D115" i="22"/>
  <c r="C14" i="95"/>
  <c r="BL26" i="25"/>
  <c r="BL26" i="27"/>
  <c r="BM26" i="27" s="1"/>
  <c r="BN26" i="27" s="1"/>
  <c r="J19" i="13" s="1"/>
  <c r="BL27" i="37"/>
  <c r="BL27" i="33"/>
  <c r="BL27" i="34"/>
  <c r="BL27" i="21"/>
  <c r="BL27" i="22"/>
  <c r="BL27" i="23"/>
  <c r="BL27" i="24"/>
  <c r="BL27" i="25"/>
  <c r="BL27" i="26"/>
  <c r="BL27" i="27"/>
  <c r="BL27" i="28"/>
  <c r="BL27" i="29"/>
  <c r="BL36" i="19"/>
  <c r="BL36" i="39"/>
  <c r="BL37" i="22"/>
  <c r="BL37" i="28"/>
  <c r="BL38" i="23"/>
  <c r="BL41" i="27"/>
  <c r="BL42" i="39"/>
  <c r="AM42" i="39" s="1"/>
  <c r="AE42" i="39" s="1"/>
  <c r="V42" i="39" s="1"/>
  <c r="BL42" i="30"/>
  <c r="BL45" i="30"/>
  <c r="BL48" i="34"/>
  <c r="BL48" i="23"/>
  <c r="BL52" i="37"/>
  <c r="E288" i="47"/>
  <c r="G14" i="69" s="1"/>
  <c r="BL54" i="33"/>
  <c r="BL55" i="38"/>
  <c r="BL55" i="22"/>
  <c r="E338" i="47" s="1"/>
  <c r="H14" i="75" s="1"/>
  <c r="BL56" i="25"/>
  <c r="BL56" i="29"/>
  <c r="H7" i="78"/>
  <c r="BH11" i="33"/>
  <c r="E8" i="86"/>
  <c r="G61" i="29"/>
  <c r="BL36" i="21"/>
  <c r="BL36" i="29"/>
  <c r="BL37" i="32"/>
  <c r="BL37" i="34"/>
  <c r="BL37" i="29"/>
  <c r="BL38" i="34"/>
  <c r="BL41" i="26"/>
  <c r="BL41" i="28"/>
  <c r="AL41" i="28" s="1"/>
  <c r="AL34" i="28" s="1"/>
  <c r="AL25" i="28" s="1"/>
  <c r="BL42" i="38"/>
  <c r="BL42" i="40"/>
  <c r="BL43" i="37"/>
  <c r="BL43" i="39"/>
  <c r="BL43" i="34"/>
  <c r="BL43" i="22"/>
  <c r="BL43" i="24"/>
  <c r="BL44" i="30"/>
  <c r="D9" i="68"/>
  <c r="BL46" i="34"/>
  <c r="BL46" i="23"/>
  <c r="D10" i="66"/>
  <c r="D18" i="66"/>
  <c r="O18" i="66" s="1"/>
  <c r="T18" i="66" s="1"/>
  <c r="U18" i="66" s="1"/>
  <c r="BL51" i="25"/>
  <c r="C299" i="47"/>
  <c r="BL54" i="27"/>
  <c r="BL56" i="19"/>
  <c r="BL59" i="39"/>
  <c r="O116" i="22"/>
  <c r="AS87" i="22" s="1"/>
  <c r="O117" i="22" s="1"/>
  <c r="BH11" i="29"/>
  <c r="F12" i="83"/>
  <c r="D19" i="82"/>
  <c r="D14" i="81"/>
  <c r="D22" i="81"/>
  <c r="D37" i="84"/>
  <c r="D36" i="84"/>
  <c r="D15" i="84"/>
  <c r="C10" i="95"/>
  <c r="BL44" i="19"/>
  <c r="D10" i="68"/>
  <c r="H10" i="68" s="1"/>
  <c r="M11" i="68" s="1"/>
  <c r="O11" i="68" s="1"/>
  <c r="D18" i="68"/>
  <c r="D22" i="68"/>
  <c r="D7" i="66"/>
  <c r="D15" i="66"/>
  <c r="D23" i="66"/>
  <c r="BL52" i="38"/>
  <c r="BL54" i="38"/>
  <c r="BL54" i="22"/>
  <c r="BL55" i="26"/>
  <c r="BL57" i="22"/>
  <c r="BL57" i="29"/>
  <c r="BL59" i="38"/>
  <c r="D11" i="81"/>
  <c r="D15" i="81"/>
  <c r="D19" i="81"/>
  <c r="C19" i="95"/>
  <c r="D19" i="84"/>
  <c r="D11" i="84"/>
  <c r="AE10" i="21"/>
  <c r="AE9" i="21" s="1"/>
  <c r="AE8" i="21" s="1"/>
  <c r="U77" i="30"/>
  <c r="U116" i="30" s="1"/>
  <c r="AS93" i="30" s="1"/>
  <c r="U117" i="30" s="1"/>
  <c r="M88" i="40"/>
  <c r="M116" i="40" s="1"/>
  <c r="W12" i="84"/>
  <c r="Y32" i="84"/>
  <c r="P84" i="30"/>
  <c r="AR84" i="30" s="1"/>
  <c r="L84" i="30" s="1"/>
  <c r="L77" i="30" s="1"/>
  <c r="L76" i="30" s="1"/>
  <c r="G15" i="77"/>
  <c r="P82" i="21"/>
  <c r="AR82" i="21" s="1"/>
  <c r="AS82" i="21" s="1"/>
  <c r="I118" i="21" s="1"/>
  <c r="G12" i="77"/>
  <c r="AS104" i="25"/>
  <c r="AF117" i="25" s="1"/>
  <c r="AW67" i="25"/>
  <c r="AC77" i="25"/>
  <c r="W15" i="84"/>
  <c r="AB7" i="28"/>
  <c r="BM31" i="28"/>
  <c r="BN31" i="28" s="1"/>
  <c r="I24" i="13" s="1"/>
  <c r="W27" i="84"/>
  <c r="E471" i="47"/>
  <c r="BM60" i="39"/>
  <c r="BN60" i="39" s="1"/>
  <c r="E145" i="47"/>
  <c r="H22" i="89" s="1"/>
  <c r="I22" i="57"/>
  <c r="E269" i="47"/>
  <c r="H20" i="70" s="1"/>
  <c r="BB57" i="30"/>
  <c r="BB25" i="30" s="1"/>
  <c r="BB7" i="30" s="1"/>
  <c r="AA7" i="30"/>
  <c r="AR111" i="30"/>
  <c r="AZ55" i="30"/>
  <c r="AZ25" i="30" s="1"/>
  <c r="AZ7" i="30" s="1"/>
  <c r="V37" i="84"/>
  <c r="AR107" i="30"/>
  <c r="AI107" i="30" s="1"/>
  <c r="AI88" i="30" s="1"/>
  <c r="E444" i="47"/>
  <c r="G20" i="78" s="1"/>
  <c r="H20" i="78" s="1"/>
  <c r="AF88" i="32"/>
  <c r="E467" i="47"/>
  <c r="AB67" i="32"/>
  <c r="BL49" i="27"/>
  <c r="AT49" i="27" s="1"/>
  <c r="V49" i="27" s="1"/>
  <c r="BL32" i="29"/>
  <c r="AC32" i="29" s="1"/>
  <c r="AC25" i="29" s="1"/>
  <c r="E366" i="47"/>
  <c r="H17" i="74" s="1"/>
  <c r="E136" i="48"/>
  <c r="E18" i="63" s="1"/>
  <c r="D88" i="48"/>
  <c r="F88" i="48" s="1"/>
  <c r="D18" i="58"/>
  <c r="I18" i="58" s="1"/>
  <c r="N18" i="58" s="1"/>
  <c r="P18" i="58" s="1"/>
  <c r="AZ55" i="33"/>
  <c r="AZ25" i="33" s="1"/>
  <c r="AZ7" i="33" s="1"/>
  <c r="AR94" i="33"/>
  <c r="BL22" i="33"/>
  <c r="P115" i="34"/>
  <c r="AR115" i="34"/>
  <c r="AQ115" i="34" s="1"/>
  <c r="E465" i="47"/>
  <c r="BL16" i="23"/>
  <c r="BE60" i="21"/>
  <c r="E439" i="47"/>
  <c r="G15" i="78" s="1"/>
  <c r="AC32" i="21"/>
  <c r="AC25" i="21" s="1"/>
  <c r="AM8" i="24"/>
  <c r="BL12" i="24"/>
  <c r="E36" i="46" s="1"/>
  <c r="H13" i="71"/>
  <c r="I13" i="71" s="1"/>
  <c r="AR96" i="24"/>
  <c r="AS96" i="24" s="1"/>
  <c r="W118" i="24" s="1"/>
  <c r="AZ55" i="25"/>
  <c r="AZ25" i="25" s="1"/>
  <c r="AZ7" i="25" s="1"/>
  <c r="AR101" i="25"/>
  <c r="AC101" i="25" s="1"/>
  <c r="BL17" i="25"/>
  <c r="S67" i="26"/>
  <c r="D12" i="50" s="1"/>
  <c r="E134" i="47"/>
  <c r="H11" i="89" s="1"/>
  <c r="E333" i="47"/>
  <c r="H9" i="75" s="1"/>
  <c r="W95" i="27"/>
  <c r="H10" i="71"/>
  <c r="E133" i="47"/>
  <c r="H10" i="89" s="1"/>
  <c r="M88" i="28"/>
  <c r="M116" i="28" s="1"/>
  <c r="AS85" i="28" s="1"/>
  <c r="AR112" i="28"/>
  <c r="AN112" i="28" s="1"/>
  <c r="P112" i="28" s="1"/>
  <c r="AD67" i="28"/>
  <c r="BM33" i="28" s="1"/>
  <c r="BN33" i="28" s="1"/>
  <c r="AD68" i="28" s="1"/>
  <c r="E332" i="47"/>
  <c r="H8" i="75" s="1"/>
  <c r="AM42" i="28"/>
  <c r="AM34" i="28" s="1"/>
  <c r="AM25" i="28" s="1"/>
  <c r="AM7" i="28" s="1"/>
  <c r="AR94" i="28"/>
  <c r="E82" i="47"/>
  <c r="H9" i="57" s="1"/>
  <c r="I9" i="57"/>
  <c r="AC8" i="28"/>
  <c r="AC67" i="28" s="1"/>
  <c r="D9" i="56" s="1"/>
  <c r="W77" i="28"/>
  <c r="W116" i="28" s="1"/>
  <c r="AS95" i="28" s="1"/>
  <c r="W117" i="28" s="1"/>
  <c r="BL51" i="29"/>
  <c r="Q89" i="29"/>
  <c r="P89" i="29" s="1"/>
  <c r="AI38" i="29"/>
  <c r="E456" i="47"/>
  <c r="G7" i="80" s="1"/>
  <c r="AJ116" i="29"/>
  <c r="D7" i="74"/>
  <c r="D356" i="47"/>
  <c r="E106" i="47"/>
  <c r="H8" i="56" s="1"/>
  <c r="AS113" i="19"/>
  <c r="AO117" i="19" s="1"/>
  <c r="BL51" i="19"/>
  <c r="V63" i="30"/>
  <c r="BJ65" i="30"/>
  <c r="BJ63" i="30" s="1"/>
  <c r="BJ7" i="30" s="1"/>
  <c r="V78" i="30"/>
  <c r="V77" i="30" s="1"/>
  <c r="V116" i="30" s="1"/>
  <c r="AS94" i="30" s="1"/>
  <c r="V117" i="30" s="1"/>
  <c r="AD27" i="84"/>
  <c r="AD10" i="84"/>
  <c r="BM50" i="39"/>
  <c r="BN50" i="39" s="1"/>
  <c r="W37" i="13" s="1"/>
  <c r="D14" i="72"/>
  <c r="AU7" i="39"/>
  <c r="AN8" i="40"/>
  <c r="AN67" i="40" s="1"/>
  <c r="AE27" i="84"/>
  <c r="P115" i="30"/>
  <c r="BM52" i="31"/>
  <c r="BN52" i="31" s="1"/>
  <c r="AW68" i="31" s="1"/>
  <c r="D19" i="69"/>
  <c r="H19" i="69" s="1"/>
  <c r="M116" i="33"/>
  <c r="BL50" i="33"/>
  <c r="AM8" i="33"/>
  <c r="AM67" i="33" s="1"/>
  <c r="BM42" i="33" s="1"/>
  <c r="BN42" i="33" s="1"/>
  <c r="AM68" i="33" s="1"/>
  <c r="D135" i="48"/>
  <c r="D17" i="63"/>
  <c r="AC58" i="88"/>
  <c r="V63" i="23"/>
  <c r="BL64" i="23"/>
  <c r="AR116" i="24"/>
  <c r="AQ116" i="24" s="1"/>
  <c r="AQ77" i="24" s="1"/>
  <c r="V63" i="24"/>
  <c r="BL65" i="24"/>
  <c r="AR101" i="26"/>
  <c r="BL49" i="26"/>
  <c r="BL19" i="26"/>
  <c r="S67" i="27"/>
  <c r="D158" i="46" s="1"/>
  <c r="AR84" i="27"/>
  <c r="L116" i="27"/>
  <c r="AM8" i="27"/>
  <c r="AM67" i="27" s="1"/>
  <c r="D10" i="63" s="1"/>
  <c r="BM64" i="27"/>
  <c r="BN64" i="27" s="1"/>
  <c r="BI68" i="27" s="1"/>
  <c r="AE8" i="27"/>
  <c r="AE67" i="27" s="1"/>
  <c r="P83" i="28"/>
  <c r="AR83" i="28" s="1"/>
  <c r="K83" i="28" s="1"/>
  <c r="BL16" i="28"/>
  <c r="M16" i="28" s="1"/>
  <c r="M10" i="28" s="1"/>
  <c r="M9" i="28" s="1"/>
  <c r="AJ77" i="28"/>
  <c r="AJ116" i="28" s="1"/>
  <c r="AS108" i="28" s="1"/>
  <c r="AJ117" i="28" s="1"/>
  <c r="BL65" i="29"/>
  <c r="BL17" i="29"/>
  <c r="BM17" i="29" s="1"/>
  <c r="BN17" i="29" s="1"/>
  <c r="H11" i="13" s="1"/>
  <c r="BM56" i="29"/>
  <c r="BN56" i="29" s="1"/>
  <c r="AC78" i="29"/>
  <c r="AE10" i="19"/>
  <c r="AE9" i="19" s="1"/>
  <c r="AE8" i="19" s="1"/>
  <c r="AE67" i="19" s="1"/>
  <c r="Y78" i="19"/>
  <c r="Y77" i="19" s="1"/>
  <c r="D117" i="48"/>
  <c r="D23" i="64"/>
  <c r="BC70" i="39"/>
  <c r="D23" i="79"/>
  <c r="D170" i="46"/>
  <c r="D23" i="50"/>
  <c r="BM50" i="40"/>
  <c r="BN50" i="40" s="1"/>
  <c r="AU68" i="40" s="1"/>
  <c r="D13" i="72"/>
  <c r="D21" i="55"/>
  <c r="BL22" i="30"/>
  <c r="E169" i="46" s="1"/>
  <c r="I22" i="50" s="1"/>
  <c r="D494" i="47"/>
  <c r="D20" i="77"/>
  <c r="AB31" i="31"/>
  <c r="V31" i="31" s="1"/>
  <c r="I20" i="57"/>
  <c r="AU50" i="31"/>
  <c r="V50" i="31" s="1"/>
  <c r="H11" i="72"/>
  <c r="D292" i="47"/>
  <c r="F292" i="47" s="1"/>
  <c r="E92" i="47"/>
  <c r="H19" i="57" s="1"/>
  <c r="I19" i="57"/>
  <c r="BM56" i="33"/>
  <c r="BN56" i="33" s="1"/>
  <c r="BA68" i="33" s="1"/>
  <c r="D17" i="74"/>
  <c r="I17" i="74" s="1"/>
  <c r="N17" i="74" s="1"/>
  <c r="BM55" i="33"/>
  <c r="BN55" i="33" s="1"/>
  <c r="P81" i="33"/>
  <c r="AR81" i="33" s="1"/>
  <c r="I81" i="33" s="1"/>
  <c r="I77" i="33" s="1"/>
  <c r="D16" i="47"/>
  <c r="D18" i="55"/>
  <c r="AO117" i="21"/>
  <c r="AS114" i="21" s="1"/>
  <c r="AO118" i="21" s="1"/>
  <c r="AV58" i="88"/>
  <c r="BL51" i="21"/>
  <c r="BM51" i="21" s="1"/>
  <c r="BN51" i="21" s="1"/>
  <c r="AV69" i="21" s="1"/>
  <c r="BF61" i="21"/>
  <c r="V61" i="21" s="1"/>
  <c r="E239" i="47"/>
  <c r="H7" i="72"/>
  <c r="BM19" i="22"/>
  <c r="BN19" i="22" s="1"/>
  <c r="O12" i="13" s="1"/>
  <c r="AT49" i="22"/>
  <c r="AT25" i="22" s="1"/>
  <c r="H15" i="71"/>
  <c r="E488" i="47"/>
  <c r="G14" i="77"/>
  <c r="AR113" i="22"/>
  <c r="P116" i="24"/>
  <c r="BA58" i="88"/>
  <c r="E94" i="26"/>
  <c r="H11" i="71"/>
  <c r="AR107" i="27"/>
  <c r="AI107" i="27" s="1"/>
  <c r="E483" i="47"/>
  <c r="G9" i="77"/>
  <c r="D8" i="47"/>
  <c r="D10" i="55"/>
  <c r="AL8" i="28"/>
  <c r="AL67" i="28" s="1"/>
  <c r="D9" i="64" s="1"/>
  <c r="Y77" i="28"/>
  <c r="D82" i="47"/>
  <c r="D9" i="57"/>
  <c r="AT49" i="28"/>
  <c r="AT25" i="28" s="1"/>
  <c r="H9" i="71"/>
  <c r="D102" i="48"/>
  <c r="F102" i="48" s="1"/>
  <c r="D8" i="64"/>
  <c r="N17" i="29"/>
  <c r="N9" i="29" s="1"/>
  <c r="N8" i="29" s="1"/>
  <c r="N7" i="29" s="1"/>
  <c r="U67" i="19"/>
  <c r="AR109" i="19"/>
  <c r="BM37" i="19"/>
  <c r="BN37" i="19" s="1"/>
  <c r="D7" i="59"/>
  <c r="Y31" i="84"/>
  <c r="AC101" i="40"/>
  <c r="BL49" i="40"/>
  <c r="BL17" i="40"/>
  <c r="BM49" i="24"/>
  <c r="BN49" i="24" s="1"/>
  <c r="AT69" i="24" s="1"/>
  <c r="Y25" i="84"/>
  <c r="BL32" i="24"/>
  <c r="BL19" i="24"/>
  <c r="AL8" i="24"/>
  <c r="H18" i="78"/>
  <c r="I14" i="67"/>
  <c r="N14" i="67" s="1"/>
  <c r="P14" i="67" s="1"/>
  <c r="D21" i="68"/>
  <c r="H21" i="68" s="1"/>
  <c r="M22" i="68" s="1"/>
  <c r="H7" i="68"/>
  <c r="M8" i="68" s="1"/>
  <c r="O8" i="68" s="1"/>
  <c r="I14" i="60"/>
  <c r="N14" i="60" s="1"/>
  <c r="O14" i="60" s="1"/>
  <c r="D9" i="86"/>
  <c r="D16" i="86"/>
  <c r="D21" i="86"/>
  <c r="D8" i="86"/>
  <c r="D13" i="86"/>
  <c r="D22" i="86"/>
  <c r="D20" i="81"/>
  <c r="I14" i="49"/>
  <c r="N14" i="49" s="1"/>
  <c r="I21" i="49"/>
  <c r="N21" i="49" s="1"/>
  <c r="M116" i="39"/>
  <c r="S67" i="39"/>
  <c r="BM37" i="39"/>
  <c r="BN37" i="39" s="1"/>
  <c r="D69" i="48"/>
  <c r="AH7" i="39"/>
  <c r="W8" i="39"/>
  <c r="W67" i="39" s="1"/>
  <c r="D23" i="55" s="1"/>
  <c r="K83" i="39"/>
  <c r="E83" i="39" s="1"/>
  <c r="E112" i="40"/>
  <c r="AF8" i="40"/>
  <c r="AF67" i="40" s="1"/>
  <c r="D22" i="61" s="1"/>
  <c r="V94" i="40"/>
  <c r="V88" i="40" s="1"/>
  <c r="V76" i="40" s="1"/>
  <c r="Q89" i="40"/>
  <c r="P89" i="40" s="1"/>
  <c r="S67" i="30"/>
  <c r="BL64" i="30"/>
  <c r="BL31" i="30"/>
  <c r="BL27" i="30"/>
  <c r="BL32" i="30"/>
  <c r="AH8" i="30"/>
  <c r="AH67" i="30" s="1"/>
  <c r="D21" i="59" s="1"/>
  <c r="AE11" i="30"/>
  <c r="BL12" i="30"/>
  <c r="BM12" i="30" s="1"/>
  <c r="BN12" i="30" s="1"/>
  <c r="BL50" i="30"/>
  <c r="AR102" i="30"/>
  <c r="AD102" i="30" s="1"/>
  <c r="AD88" i="30" s="1"/>
  <c r="AD76" i="30" s="1"/>
  <c r="AO116" i="30"/>
  <c r="AL88" i="30"/>
  <c r="AL76" i="30" s="1"/>
  <c r="AL116" i="30"/>
  <c r="AS110" i="30" s="1"/>
  <c r="AL117" i="30" s="1"/>
  <c r="BC8" i="30"/>
  <c r="BC67" i="30" s="1"/>
  <c r="D419" i="47" s="1"/>
  <c r="F419" i="47" s="1"/>
  <c r="AV25" i="30"/>
  <c r="R90" i="30"/>
  <c r="R88" i="30" s="1"/>
  <c r="AD116" i="30"/>
  <c r="W95" i="30"/>
  <c r="P95" i="30" s="1"/>
  <c r="AU8" i="30"/>
  <c r="AU67" i="30" s="1"/>
  <c r="AK109" i="30"/>
  <c r="AK88" i="30" s="1"/>
  <c r="AK76" i="30" s="1"/>
  <c r="AC8" i="30"/>
  <c r="AC67" i="30" s="1"/>
  <c r="W77" i="30"/>
  <c r="W116" i="30" s="1"/>
  <c r="W58" i="88"/>
  <c r="E84" i="30"/>
  <c r="AB8" i="30"/>
  <c r="AB67" i="30" s="1"/>
  <c r="Q116" i="30"/>
  <c r="AS89" i="30" s="1"/>
  <c r="Q117" i="30" s="1"/>
  <c r="P83" i="30"/>
  <c r="AR83" i="30" s="1"/>
  <c r="K83" i="30" s="1"/>
  <c r="E83" i="30" s="1"/>
  <c r="AL88" i="31"/>
  <c r="I19" i="70"/>
  <c r="N19" i="70" s="1"/>
  <c r="P19" i="70" s="1"/>
  <c r="AS103" i="32"/>
  <c r="AE117" i="32" s="1"/>
  <c r="BL32" i="33"/>
  <c r="AL8" i="33"/>
  <c r="AL67" i="33" s="1"/>
  <c r="D18" i="64" s="1"/>
  <c r="I18" i="64" s="1"/>
  <c r="N18" i="64" s="1"/>
  <c r="V19" i="33"/>
  <c r="V94" i="33"/>
  <c r="P94" i="33" s="1"/>
  <c r="BL31" i="33"/>
  <c r="V24" i="33"/>
  <c r="O87" i="33"/>
  <c r="E87" i="33" s="1"/>
  <c r="BM35" i="33"/>
  <c r="BN35" i="33" s="1"/>
  <c r="R29" i="13" s="1"/>
  <c r="AF7" i="33"/>
  <c r="BC67" i="33"/>
  <c r="D18" i="79" s="1"/>
  <c r="I18" i="79" s="1"/>
  <c r="AU8" i="33"/>
  <c r="AU67" i="33" s="1"/>
  <c r="AJ108" i="33"/>
  <c r="AJ88" i="33" s="1"/>
  <c r="AJ76" i="33" s="1"/>
  <c r="W77" i="33"/>
  <c r="W116" i="33" s="1"/>
  <c r="AS95" i="33" s="1"/>
  <c r="W117" i="33" s="1"/>
  <c r="V77" i="33"/>
  <c r="V116" i="33" s="1"/>
  <c r="AS94" i="33" s="1"/>
  <c r="V117" i="33" s="1"/>
  <c r="AS113" i="33"/>
  <c r="AO117" i="33" s="1"/>
  <c r="AD102" i="33"/>
  <c r="AD88" i="33" s="1"/>
  <c r="K83" i="33"/>
  <c r="E83" i="33" s="1"/>
  <c r="Q78" i="33"/>
  <c r="Q77" i="33" s="1"/>
  <c r="Q116" i="33" s="1"/>
  <c r="AS89" i="33" s="1"/>
  <c r="Q117" i="33" s="1"/>
  <c r="W95" i="34"/>
  <c r="BL64" i="34"/>
  <c r="S68" i="21"/>
  <c r="BL58" i="21"/>
  <c r="BL31" i="21"/>
  <c r="V24" i="21"/>
  <c r="AL8" i="21"/>
  <c r="E24" i="48"/>
  <c r="AH8" i="21"/>
  <c r="AH68" i="21" s="1"/>
  <c r="D16" i="59" s="1"/>
  <c r="AL41" i="21"/>
  <c r="AE41" i="21" s="1"/>
  <c r="V41" i="21" s="1"/>
  <c r="AF8" i="21"/>
  <c r="AF68" i="21" s="1"/>
  <c r="BM35" i="21" s="1"/>
  <c r="BN35" i="21" s="1"/>
  <c r="BF8" i="21"/>
  <c r="BF68" i="21" s="1"/>
  <c r="D15" i="77" s="1"/>
  <c r="BC8" i="21"/>
  <c r="BC68" i="21" s="1"/>
  <c r="D414" i="47" s="1"/>
  <c r="BA8" i="21"/>
  <c r="BA68" i="21" s="1"/>
  <c r="D15" i="74" s="1"/>
  <c r="AY8" i="21"/>
  <c r="AY68" i="21" s="1"/>
  <c r="P116" i="21"/>
  <c r="AL111" i="21"/>
  <c r="AL89" i="21" s="1"/>
  <c r="AK110" i="21"/>
  <c r="P110" i="21" s="1"/>
  <c r="AD78" i="21"/>
  <c r="AD117" i="21" s="1"/>
  <c r="P79" i="21"/>
  <c r="AR79" i="21" s="1"/>
  <c r="AB8" i="21"/>
  <c r="AB68" i="21" s="1"/>
  <c r="D16" i="57" s="1"/>
  <c r="BD59" i="21"/>
  <c r="V59" i="21" s="1"/>
  <c r="Y8" i="21"/>
  <c r="Y68" i="21" s="1"/>
  <c r="P85" i="21"/>
  <c r="AR85" i="21" s="1"/>
  <c r="AS85" i="21" s="1"/>
  <c r="L118" i="21" s="1"/>
  <c r="AS90" i="21"/>
  <c r="Q118" i="21" s="1"/>
  <c r="AZ55" i="22"/>
  <c r="V55" i="22" s="1"/>
  <c r="AT8" i="22"/>
  <c r="AT67" i="22" s="1"/>
  <c r="AC77" i="22"/>
  <c r="AC116" i="22" s="1"/>
  <c r="AS101" i="22" s="1"/>
  <c r="AC117" i="22" s="1"/>
  <c r="P81" i="22"/>
  <c r="AR81" i="22" s="1"/>
  <c r="W95" i="22"/>
  <c r="AB8" i="22"/>
  <c r="AB67" i="22" s="1"/>
  <c r="BM13" i="22"/>
  <c r="BN13" i="22" s="1"/>
  <c r="J68" i="22" s="1"/>
  <c r="AK109" i="22"/>
  <c r="AK88" i="22" s="1"/>
  <c r="AK76" i="22" s="1"/>
  <c r="BL21" i="22"/>
  <c r="G15" i="51" s="1"/>
  <c r="V18" i="22"/>
  <c r="BL18" i="22" s="1"/>
  <c r="BM18" i="22" s="1"/>
  <c r="AR84" i="22"/>
  <c r="W8" i="22"/>
  <c r="W67" i="22" s="1"/>
  <c r="D15" i="55" s="1"/>
  <c r="AS89" i="22"/>
  <c r="Q117" i="22" s="1"/>
  <c r="E116" i="23"/>
  <c r="AR116" i="23" s="1"/>
  <c r="AQ116" i="23" s="1"/>
  <c r="BL49" i="23"/>
  <c r="AM8" i="23"/>
  <c r="AM68" i="23" s="1"/>
  <c r="V13" i="23"/>
  <c r="BL13" i="23" s="1"/>
  <c r="BM13" i="23" s="1"/>
  <c r="BN13" i="23" s="1"/>
  <c r="J69" i="23" s="1"/>
  <c r="BL34" i="23"/>
  <c r="E137" i="47" s="1"/>
  <c r="H14" i="89" s="1"/>
  <c r="AM42" i="23"/>
  <c r="AM34" i="23" s="1"/>
  <c r="AM25" i="23" s="1"/>
  <c r="AR98" i="23"/>
  <c r="AC117" i="23"/>
  <c r="AC27" i="84"/>
  <c r="AT8" i="23"/>
  <c r="AT68" i="23" s="1"/>
  <c r="J13" i="23"/>
  <c r="X68" i="23"/>
  <c r="D37" i="47" s="1"/>
  <c r="Q117" i="23"/>
  <c r="W25" i="23"/>
  <c r="W8" i="23"/>
  <c r="W68" i="23" s="1"/>
  <c r="D12" i="47" s="1"/>
  <c r="F12" i="47" s="1"/>
  <c r="P85" i="23"/>
  <c r="AR85" i="23" s="1"/>
  <c r="L85" i="23" s="1"/>
  <c r="BF61" i="24"/>
  <c r="BF25" i="24" s="1"/>
  <c r="BF7" i="24" s="1"/>
  <c r="E486" i="47"/>
  <c r="AL41" i="24"/>
  <c r="AL34" i="24" s="1"/>
  <c r="AL25" i="24" s="1"/>
  <c r="E107" i="48"/>
  <c r="H13" i="64" s="1"/>
  <c r="M89" i="24"/>
  <c r="M117" i="24" s="1"/>
  <c r="E98" i="24"/>
  <c r="O89" i="24"/>
  <c r="O117" i="24" s="1"/>
  <c r="AS88" i="24" s="1"/>
  <c r="O118" i="24" s="1"/>
  <c r="AM68" i="24"/>
  <c r="Y113" i="24"/>
  <c r="BL60" i="24"/>
  <c r="AC78" i="24"/>
  <c r="AC117" i="24" s="1"/>
  <c r="AS102" i="24" s="1"/>
  <c r="AC118" i="24" s="1"/>
  <c r="AS114" i="24"/>
  <c r="AO118" i="24" s="1"/>
  <c r="AC102" i="24"/>
  <c r="P102" i="24" s="1"/>
  <c r="AS85" i="24"/>
  <c r="L118" i="24" s="1"/>
  <c r="AB8" i="24"/>
  <c r="V79" i="24"/>
  <c r="P79" i="24" s="1"/>
  <c r="AR79" i="24" s="1"/>
  <c r="O67" i="25"/>
  <c r="J88" i="25"/>
  <c r="O78" i="25"/>
  <c r="O116" i="25" s="1"/>
  <c r="E24" i="64"/>
  <c r="V16" i="25"/>
  <c r="BL16" i="25" s="1"/>
  <c r="BM16" i="25" s="1"/>
  <c r="BN16" i="25" s="1"/>
  <c r="BL49" i="25"/>
  <c r="AE11" i="25"/>
  <c r="AE10" i="25" s="1"/>
  <c r="AE9" i="25" s="1"/>
  <c r="AE8" i="25" s="1"/>
  <c r="AE67" i="25" s="1"/>
  <c r="D12" i="89" s="1"/>
  <c r="Y85" i="25"/>
  <c r="AO42" i="84"/>
  <c r="BF67" i="25"/>
  <c r="D11" i="77" s="1"/>
  <c r="AO77" i="25"/>
  <c r="AO116" i="25" s="1"/>
  <c r="AL78" i="25"/>
  <c r="AL77" i="25" s="1"/>
  <c r="AL116" i="25" s="1"/>
  <c r="BA67" i="25"/>
  <c r="D11" i="74" s="1"/>
  <c r="AJ77" i="25"/>
  <c r="AJ116" i="25" s="1"/>
  <c r="AK109" i="25"/>
  <c r="P109" i="25" s="1"/>
  <c r="AD88" i="25"/>
  <c r="AD76" i="25" s="1"/>
  <c r="I11" i="75"/>
  <c r="N11" i="75" s="1"/>
  <c r="P11" i="75" s="1"/>
  <c r="AB8" i="25"/>
  <c r="AB67" i="25" s="1"/>
  <c r="V8" i="84"/>
  <c r="V78" i="25"/>
  <c r="BL65" i="26"/>
  <c r="BJ65" i="26" s="1"/>
  <c r="BH65" i="26" s="1"/>
  <c r="O45" i="84"/>
  <c r="AR113" i="26"/>
  <c r="AO113" i="26" s="1"/>
  <c r="E108" i="26"/>
  <c r="AR108" i="26" s="1"/>
  <c r="AJ108" i="26" s="1"/>
  <c r="U67" i="26"/>
  <c r="O8" i="84"/>
  <c r="V21" i="26"/>
  <c r="Y115" i="26"/>
  <c r="BL31" i="26"/>
  <c r="BL51" i="26"/>
  <c r="Y103" i="26"/>
  <c r="AR103" i="26" s="1"/>
  <c r="BL61" i="26"/>
  <c r="V16" i="26"/>
  <c r="AK109" i="26"/>
  <c r="AK88" i="26" s="1"/>
  <c r="AK76" i="26" s="1"/>
  <c r="AE11" i="26"/>
  <c r="V13" i="26"/>
  <c r="BL13" i="26" s="1"/>
  <c r="J13" i="26" s="1"/>
  <c r="H13" i="26" s="1"/>
  <c r="G13" i="26" s="1"/>
  <c r="F13" i="26" s="1"/>
  <c r="E13" i="26" s="1"/>
  <c r="BC25" i="26"/>
  <c r="BA8" i="26"/>
  <c r="BA67" i="26" s="1"/>
  <c r="D10" i="74" s="1"/>
  <c r="AJ77" i="26"/>
  <c r="AJ116" i="26" s="1"/>
  <c r="AS108" i="26" s="1"/>
  <c r="AJ117" i="26" s="1"/>
  <c r="AC115" i="26"/>
  <c r="AT67" i="26"/>
  <c r="AC8" i="84"/>
  <c r="AS112" i="26"/>
  <c r="AN117" i="26" s="1"/>
  <c r="AE34" i="26"/>
  <c r="AE25" i="26" s="1"/>
  <c r="AR95" i="26"/>
  <c r="V77" i="26"/>
  <c r="V116" i="26" s="1"/>
  <c r="P81" i="26"/>
  <c r="AR81" i="26" s="1"/>
  <c r="P83" i="27"/>
  <c r="AR83" i="27" s="1"/>
  <c r="K83" i="27" s="1"/>
  <c r="E113" i="27"/>
  <c r="E101" i="27"/>
  <c r="AR94" i="27"/>
  <c r="V94" i="27" s="1"/>
  <c r="V19" i="27"/>
  <c r="AJ76" i="27"/>
  <c r="AE116" i="27"/>
  <c r="AS103" i="27" s="1"/>
  <c r="AE117" i="27" s="1"/>
  <c r="AR97" i="27"/>
  <c r="BL16" i="27"/>
  <c r="E58" i="46" s="1"/>
  <c r="BM61" i="27"/>
  <c r="BN61" i="27" s="1"/>
  <c r="AT8" i="27"/>
  <c r="AT67" i="27" s="1"/>
  <c r="AR109" i="27"/>
  <c r="AK109" i="27" s="1"/>
  <c r="AK88" i="27" s="1"/>
  <c r="AS85" i="27"/>
  <c r="M117" i="27" s="1"/>
  <c r="W77" i="27"/>
  <c r="W116" i="27" s="1"/>
  <c r="AS95" i="27" s="1"/>
  <c r="W117" i="27" s="1"/>
  <c r="E107" i="28"/>
  <c r="E88" i="28" s="1"/>
  <c r="S67" i="28"/>
  <c r="BM42" i="28"/>
  <c r="BN42" i="28" s="1"/>
  <c r="V19" i="28"/>
  <c r="Y11" i="84"/>
  <c r="BA8" i="28"/>
  <c r="BA67" i="28" s="1"/>
  <c r="AI116" i="28"/>
  <c r="H80" i="28"/>
  <c r="H77" i="28" s="1"/>
  <c r="U67" i="29"/>
  <c r="O116" i="29"/>
  <c r="BL49" i="29"/>
  <c r="AC101" i="29"/>
  <c r="AC88" i="29" s="1"/>
  <c r="Y24" i="84"/>
  <c r="BL31" i="29"/>
  <c r="AE11" i="29"/>
  <c r="V13" i="29"/>
  <c r="BL13" i="29" s="1"/>
  <c r="J13" i="29" s="1"/>
  <c r="H13" i="29" s="1"/>
  <c r="G13" i="29" s="1"/>
  <c r="F13" i="29" s="1"/>
  <c r="E13" i="29" s="1"/>
  <c r="H7" i="80"/>
  <c r="W95" i="29"/>
  <c r="P95" i="29" s="1"/>
  <c r="AT8" i="29"/>
  <c r="AT67" i="29" s="1"/>
  <c r="V63" i="19"/>
  <c r="BM64" i="19"/>
  <c r="BN64" i="19" s="1"/>
  <c r="BI68" i="19" s="1"/>
  <c r="Y115" i="19"/>
  <c r="P115" i="19" s="1"/>
  <c r="P81" i="19"/>
  <c r="AI8" i="19"/>
  <c r="AI67" i="19" s="1"/>
  <c r="BM38" i="19" s="1"/>
  <c r="BN38" i="19" s="1"/>
  <c r="V21" i="19"/>
  <c r="Z11" i="88"/>
  <c r="AS84" i="19"/>
  <c r="L117" i="19" s="1"/>
  <c r="P83" i="19"/>
  <c r="W8" i="19"/>
  <c r="Q78" i="19"/>
  <c r="Q77" i="19" s="1"/>
  <c r="Q116" i="19" s="1"/>
  <c r="Q9" i="84"/>
  <c r="E86" i="39"/>
  <c r="AS115" i="21"/>
  <c r="AP118" i="21" s="1"/>
  <c r="T68" i="22"/>
  <c r="AS103" i="23"/>
  <c r="AD118" i="23" s="1"/>
  <c r="AF88" i="39"/>
  <c r="AF76" i="39" s="1"/>
  <c r="E86" i="27"/>
  <c r="AS87" i="39"/>
  <c r="O117" i="39" s="1"/>
  <c r="AG105" i="25"/>
  <c r="AS86" i="27"/>
  <c r="N117" i="27" s="1"/>
  <c r="AA99" i="25"/>
  <c r="P99" i="25" s="1"/>
  <c r="AH34" i="19"/>
  <c r="AH25" i="19" s="1"/>
  <c r="AH7" i="19" s="1"/>
  <c r="AS101" i="33"/>
  <c r="AC117" i="33" s="1"/>
  <c r="P113" i="28"/>
  <c r="N86" i="19"/>
  <c r="N77" i="19" s="1"/>
  <c r="N76" i="19" s="1"/>
  <c r="N86" i="28"/>
  <c r="AS83" i="33"/>
  <c r="K117" i="33" s="1"/>
  <c r="AS100" i="33"/>
  <c r="AB117" i="33" s="1"/>
  <c r="AS101" i="23"/>
  <c r="AB118" i="23" s="1"/>
  <c r="AB100" i="33"/>
  <c r="P100" i="33" s="1"/>
  <c r="C136" i="47"/>
  <c r="C13" i="89" s="1"/>
  <c r="W25" i="22"/>
  <c r="W7" i="22" s="1"/>
  <c r="D78" i="26"/>
  <c r="D77" i="26" s="1"/>
  <c r="D10" i="26"/>
  <c r="D9" i="26" s="1"/>
  <c r="D8" i="26" s="1"/>
  <c r="AH88" i="28"/>
  <c r="AH76" i="28" s="1"/>
  <c r="AS106" i="26"/>
  <c r="AH117" i="26" s="1"/>
  <c r="AR69" i="24"/>
  <c r="AS109" i="23"/>
  <c r="AJ118" i="23" s="1"/>
  <c r="AS113" i="40"/>
  <c r="AO117" i="40" s="1"/>
  <c r="AB100" i="39"/>
  <c r="AC101" i="33"/>
  <c r="AF105" i="23"/>
  <c r="P105" i="23" s="1"/>
  <c r="AS99" i="39"/>
  <c r="AA117" i="39" s="1"/>
  <c r="AS110" i="26"/>
  <c r="AL117" i="26" s="1"/>
  <c r="AP114" i="40"/>
  <c r="AP88" i="40" s="1"/>
  <c r="N86" i="40"/>
  <c r="E86" i="40" s="1"/>
  <c r="K84" i="24"/>
  <c r="AK109" i="32"/>
  <c r="AK88" i="32" s="1"/>
  <c r="AK76" i="32" s="1"/>
  <c r="AM34" i="39"/>
  <c r="AM25" i="39" s="1"/>
  <c r="AE45" i="21"/>
  <c r="V45" i="21" s="1"/>
  <c r="F163" i="48"/>
  <c r="C9" i="59"/>
  <c r="AE103" i="39"/>
  <c r="AE88" i="39" s="1"/>
  <c r="AE76" i="39" s="1"/>
  <c r="D97" i="31"/>
  <c r="D88" i="31" s="1"/>
  <c r="AE35" i="32"/>
  <c r="V35" i="32" s="1"/>
  <c r="V50" i="39"/>
  <c r="AN112" i="29"/>
  <c r="P112" i="29" s="1"/>
  <c r="C17" i="59"/>
  <c r="X25" i="31"/>
  <c r="X7" i="31" s="1"/>
  <c r="J82" i="30"/>
  <c r="J77" i="30" s="1"/>
  <c r="J76" i="30" s="1"/>
  <c r="BD25" i="32"/>
  <c r="BD7" i="32" s="1"/>
  <c r="AS82" i="30"/>
  <c r="J117" i="30" s="1"/>
  <c r="AI34" i="28"/>
  <c r="AI25" i="28" s="1"/>
  <c r="AI7" i="28" s="1"/>
  <c r="V58" i="29"/>
  <c r="H9" i="80"/>
  <c r="AN34" i="40"/>
  <c r="AN25" i="40" s="1"/>
  <c r="D115" i="25"/>
  <c r="AS108" i="40"/>
  <c r="AJ117" i="40" s="1"/>
  <c r="V31" i="25"/>
  <c r="AS111" i="33"/>
  <c r="AM117" i="33" s="1"/>
  <c r="AE44" i="33"/>
  <c r="V44" i="33" s="1"/>
  <c r="BH65" i="19"/>
  <c r="AE41" i="40"/>
  <c r="V41" i="40" s="1"/>
  <c r="AC101" i="28"/>
  <c r="P101" i="28" s="1"/>
  <c r="L84" i="28"/>
  <c r="L77" i="28" s="1"/>
  <c r="L76" i="28" s="1"/>
  <c r="F8" i="48"/>
  <c r="AP34" i="32"/>
  <c r="AP25" i="32" s="1"/>
  <c r="AP7" i="32" s="1"/>
  <c r="D78" i="39"/>
  <c r="D77" i="39" s="1"/>
  <c r="AE35" i="34"/>
  <c r="V35" i="34" s="1"/>
  <c r="F371" i="47"/>
  <c r="AM111" i="26"/>
  <c r="V94" i="29"/>
  <c r="V88" i="29" s="1"/>
  <c r="V76" i="29" s="1"/>
  <c r="AO114" i="24"/>
  <c r="P114" i="24" s="1"/>
  <c r="AH106" i="34"/>
  <c r="P106" i="34" s="1"/>
  <c r="V59" i="22"/>
  <c r="AS107" i="21"/>
  <c r="AH118" i="21" s="1"/>
  <c r="V57" i="24"/>
  <c r="D79" i="24"/>
  <c r="D78" i="24" s="1"/>
  <c r="BH64" i="24"/>
  <c r="P108" i="40"/>
  <c r="W95" i="39"/>
  <c r="P95" i="39" s="1"/>
  <c r="F178" i="48"/>
  <c r="V51" i="30"/>
  <c r="AE35" i="28"/>
  <c r="V35" i="28" s="1"/>
  <c r="D10" i="24"/>
  <c r="D9" i="24" s="1"/>
  <c r="F9" i="24" s="1"/>
  <c r="E9" i="24" s="1"/>
  <c r="F80" i="48"/>
  <c r="F189" i="48"/>
  <c r="H15" i="68"/>
  <c r="M16" i="68" s="1"/>
  <c r="O16" i="68" s="1"/>
  <c r="F135" i="48"/>
  <c r="AE35" i="40"/>
  <c r="V35" i="40" s="1"/>
  <c r="F458" i="47"/>
  <c r="F113" i="46"/>
  <c r="D97" i="40"/>
  <c r="Y97" i="40" s="1"/>
  <c r="Y88" i="40" s="1"/>
  <c r="AP88" i="33"/>
  <c r="AP76" i="33" s="1"/>
  <c r="P114" i="33"/>
  <c r="P109" i="24"/>
  <c r="AJ89" i="24"/>
  <c r="AJ77" i="24" s="1"/>
  <c r="P100" i="40"/>
  <c r="AX68" i="33"/>
  <c r="V26" i="29"/>
  <c r="Q89" i="30"/>
  <c r="P89" i="30" s="1"/>
  <c r="AS114" i="28"/>
  <c r="AP117" i="28" s="1"/>
  <c r="AS114" i="33"/>
  <c r="AP117" i="33" s="1"/>
  <c r="AS109" i="24"/>
  <c r="AJ118" i="24" s="1"/>
  <c r="N86" i="33"/>
  <c r="AE36" i="30"/>
  <c r="V36" i="30" s="1"/>
  <c r="AS96" i="23"/>
  <c r="W118" i="23" s="1"/>
  <c r="AB101" i="24"/>
  <c r="P101" i="24" s="1"/>
  <c r="AP114" i="28"/>
  <c r="P114" i="28" s="1"/>
  <c r="AS100" i="40"/>
  <c r="AB117" i="40" s="1"/>
  <c r="V55" i="25"/>
  <c r="AY25" i="21"/>
  <c r="AO34" i="39"/>
  <c r="AO25" i="39" s="1"/>
  <c r="AO7" i="39" s="1"/>
  <c r="AF104" i="40"/>
  <c r="AP114" i="25"/>
  <c r="AP88" i="25" s="1"/>
  <c r="AP76" i="25" s="1"/>
  <c r="V56" i="28"/>
  <c r="AP34" i="29"/>
  <c r="AP25" i="29" s="1"/>
  <c r="P104" i="28"/>
  <c r="F394" i="47"/>
  <c r="AE38" i="40"/>
  <c r="V38" i="40" s="1"/>
  <c r="AS89" i="34"/>
  <c r="Q117" i="34" s="1"/>
  <c r="AG105" i="40"/>
  <c r="AG88" i="40" s="1"/>
  <c r="AG76" i="40" s="1"/>
  <c r="AS105" i="40"/>
  <c r="AG117" i="40" s="1"/>
  <c r="AO113" i="40"/>
  <c r="AO88" i="40" s="1"/>
  <c r="AO76" i="40" s="1"/>
  <c r="AS86" i="40"/>
  <c r="N117" i="40" s="1"/>
  <c r="N87" i="24"/>
  <c r="AA99" i="40"/>
  <c r="AD102" i="31"/>
  <c r="P102" i="31" s="1"/>
  <c r="C22" i="62"/>
  <c r="AE43" i="30"/>
  <c r="V43" i="30" s="1"/>
  <c r="D115" i="32"/>
  <c r="F82" i="48"/>
  <c r="BB25" i="32"/>
  <c r="BB7" i="32" s="1"/>
  <c r="AS111" i="40"/>
  <c r="AM117" i="40" s="1"/>
  <c r="R90" i="40"/>
  <c r="P90" i="40" s="1"/>
  <c r="J83" i="23"/>
  <c r="AW25" i="33"/>
  <c r="AW7" i="33" s="1"/>
  <c r="D115" i="33"/>
  <c r="R90" i="34"/>
  <c r="P90" i="34" s="1"/>
  <c r="AF34" i="21"/>
  <c r="AF25" i="21" s="1"/>
  <c r="AS90" i="23"/>
  <c r="Q118" i="23" s="1"/>
  <c r="AE44" i="27"/>
  <c r="V44" i="27" s="1"/>
  <c r="AH106" i="25"/>
  <c r="P106" i="25" s="1"/>
  <c r="AQ25" i="24"/>
  <c r="AQ7" i="24" s="1"/>
  <c r="C140" i="47"/>
  <c r="C17" i="89" s="1"/>
  <c r="AS25" i="21"/>
  <c r="AS7" i="21" s="1"/>
  <c r="AG34" i="27"/>
  <c r="AG25" i="27" s="1"/>
  <c r="V26" i="32"/>
  <c r="F9" i="47"/>
  <c r="AE44" i="21"/>
  <c r="V44" i="21" s="1"/>
  <c r="AH106" i="40"/>
  <c r="AH88" i="40" s="1"/>
  <c r="AH76" i="40" s="1"/>
  <c r="AF34" i="23"/>
  <c r="AF25" i="23" s="1"/>
  <c r="AF7" i="23" s="1"/>
  <c r="V56" i="40"/>
  <c r="F184" i="48"/>
  <c r="AZ25" i="23"/>
  <c r="AZ7" i="23" s="1"/>
  <c r="V32" i="27"/>
  <c r="AE38" i="21"/>
  <c r="V38" i="21" s="1"/>
  <c r="AS110" i="24"/>
  <c r="AK118" i="24" s="1"/>
  <c r="F21" i="48"/>
  <c r="C6" i="68"/>
  <c r="V28" i="21"/>
  <c r="AM111" i="32"/>
  <c r="AM88" i="32" s="1"/>
  <c r="AM76" i="32" s="1"/>
  <c r="I21" i="75"/>
  <c r="N21" i="75" s="1"/>
  <c r="P21" i="75" s="1"/>
  <c r="R90" i="33"/>
  <c r="P90" i="33" s="1"/>
  <c r="V31" i="40"/>
  <c r="I15" i="74"/>
  <c r="N15" i="74" s="1"/>
  <c r="V49" i="22"/>
  <c r="G79" i="27"/>
  <c r="V55" i="39"/>
  <c r="AE103" i="27"/>
  <c r="C23" i="62"/>
  <c r="F13" i="48"/>
  <c r="AE103" i="30"/>
  <c r="AE88" i="30" s="1"/>
  <c r="AE76" i="30" s="1"/>
  <c r="AH106" i="33"/>
  <c r="P106" i="33" s="1"/>
  <c r="F188" i="48"/>
  <c r="AE37" i="33"/>
  <c r="V37" i="33" s="1"/>
  <c r="AB89" i="23"/>
  <c r="AB77" i="23" s="1"/>
  <c r="AC89" i="21"/>
  <c r="P102" i="21"/>
  <c r="V26" i="26"/>
  <c r="AC101" i="26"/>
  <c r="O77" i="39"/>
  <c r="O76" i="39" s="1"/>
  <c r="AE38" i="29"/>
  <c r="V38" i="29" s="1"/>
  <c r="AI34" i="29"/>
  <c r="AI25" i="29" s="1"/>
  <c r="AI7" i="29" s="1"/>
  <c r="V59" i="23"/>
  <c r="BD25" i="23"/>
  <c r="BD7" i="23" s="1"/>
  <c r="BD25" i="28"/>
  <c r="AP88" i="28"/>
  <c r="AP76" i="28" s="1"/>
  <c r="BG69" i="21"/>
  <c r="P92" i="39"/>
  <c r="Q69" i="23"/>
  <c r="F35" i="48"/>
  <c r="BD25" i="40"/>
  <c r="BD7" i="40" s="1"/>
  <c r="P102" i="25"/>
  <c r="P96" i="39"/>
  <c r="AS105" i="28"/>
  <c r="AG117" i="28" s="1"/>
  <c r="BD68" i="27"/>
  <c r="AE36" i="22"/>
  <c r="V36" i="22" s="1"/>
  <c r="AV25" i="40"/>
  <c r="AV7" i="40" s="1"/>
  <c r="V56" i="21"/>
  <c r="AE38" i="19"/>
  <c r="V38" i="19" s="1"/>
  <c r="AI34" i="19"/>
  <c r="AI25" i="19" s="1"/>
  <c r="AI7" i="19" s="1"/>
  <c r="AE103" i="40"/>
  <c r="P103" i="40" s="1"/>
  <c r="S92" i="21"/>
  <c r="S89" i="21" s="1"/>
  <c r="S77" i="21" s="1"/>
  <c r="V27" i="40"/>
  <c r="X25" i="40"/>
  <c r="X7" i="40" s="1"/>
  <c r="BI63" i="27"/>
  <c r="BI7" i="27" s="1"/>
  <c r="E24" i="23"/>
  <c r="Q68" i="19"/>
  <c r="AS95" i="30"/>
  <c r="W117" i="30" s="1"/>
  <c r="AS104" i="23"/>
  <c r="AE118" i="23" s="1"/>
  <c r="AS112" i="29"/>
  <c r="AN117" i="29" s="1"/>
  <c r="K77" i="39"/>
  <c r="K76" i="39" s="1"/>
  <c r="AG88" i="28"/>
  <c r="AG76" i="28" s="1"/>
  <c r="AL110" i="40"/>
  <c r="AL88" i="40" s="1"/>
  <c r="AL76" i="40" s="1"/>
  <c r="AL110" i="29"/>
  <c r="AM111" i="27"/>
  <c r="P111" i="27" s="1"/>
  <c r="AL34" i="34"/>
  <c r="AL25" i="34" s="1"/>
  <c r="C12" i="46"/>
  <c r="C14" i="83" s="1"/>
  <c r="D10" i="23"/>
  <c r="D9" i="23" s="1"/>
  <c r="F9" i="23" s="1"/>
  <c r="E9" i="23" s="1"/>
  <c r="C6" i="46"/>
  <c r="C8" i="83" s="1"/>
  <c r="AB100" i="30"/>
  <c r="AB88" i="30" s="1"/>
  <c r="AB76" i="30" s="1"/>
  <c r="AM111" i="30"/>
  <c r="P111" i="30" s="1"/>
  <c r="AS111" i="30"/>
  <c r="AM117" i="30" s="1"/>
  <c r="C13" i="68"/>
  <c r="BH65" i="30"/>
  <c r="AN34" i="19"/>
  <c r="AN25" i="19" s="1"/>
  <c r="AN7" i="19" s="1"/>
  <c r="AC101" i="39"/>
  <c r="AS69" i="21"/>
  <c r="AE35" i="31"/>
  <c r="V35" i="31" s="1"/>
  <c r="AE42" i="32"/>
  <c r="V42" i="32" s="1"/>
  <c r="AS91" i="34"/>
  <c r="S117" i="34" s="1"/>
  <c r="AS100" i="30"/>
  <c r="AB117" i="30" s="1"/>
  <c r="AS103" i="22"/>
  <c r="AE117" i="22" s="1"/>
  <c r="S91" i="34"/>
  <c r="AF104" i="26"/>
  <c r="P104" i="26" s="1"/>
  <c r="O87" i="29"/>
  <c r="AE44" i="22"/>
  <c r="V44" i="22" s="1"/>
  <c r="AG106" i="23"/>
  <c r="AG89" i="23" s="1"/>
  <c r="AG77" i="23" s="1"/>
  <c r="AE45" i="27"/>
  <c r="V45" i="27" s="1"/>
  <c r="AP34" i="27"/>
  <c r="AP25" i="27" s="1"/>
  <c r="AP7" i="27" s="1"/>
  <c r="K83" i="40"/>
  <c r="AS105" i="23"/>
  <c r="AF118" i="23" s="1"/>
  <c r="Q89" i="22"/>
  <c r="F442" i="47"/>
  <c r="AS99" i="25"/>
  <c r="AA117" i="25" s="1"/>
  <c r="AS105" i="25"/>
  <c r="AG117" i="25" s="1"/>
  <c r="AA99" i="39"/>
  <c r="AP115" i="23"/>
  <c r="AM111" i="25"/>
  <c r="P111" i="25" s="1"/>
  <c r="AA99" i="26"/>
  <c r="AA88" i="26" s="1"/>
  <c r="AA76" i="26" s="1"/>
  <c r="AA100" i="21"/>
  <c r="AE104" i="23"/>
  <c r="V94" i="31"/>
  <c r="V88" i="31" s="1"/>
  <c r="U94" i="21"/>
  <c r="AE103" i="22"/>
  <c r="V95" i="21"/>
  <c r="AJ109" i="23"/>
  <c r="AL110" i="28"/>
  <c r="P110" i="28" s="1"/>
  <c r="H22" i="68"/>
  <c r="Q89" i="26"/>
  <c r="P89" i="26" s="1"/>
  <c r="D78" i="22"/>
  <c r="D77" i="22" s="1"/>
  <c r="AE35" i="30"/>
  <c r="V35" i="30" s="1"/>
  <c r="AF34" i="39"/>
  <c r="AF25" i="39" s="1"/>
  <c r="AF7" i="39" s="1"/>
  <c r="C17" i="69"/>
  <c r="H17" i="69" s="1"/>
  <c r="C21" i="59"/>
  <c r="F421" i="47"/>
  <c r="AD102" i="39"/>
  <c r="P102" i="39" s="1"/>
  <c r="F69" i="48"/>
  <c r="AS82" i="39"/>
  <c r="J117" i="39" s="1"/>
  <c r="AM111" i="39"/>
  <c r="AM88" i="39" s="1"/>
  <c r="AM76" i="39" s="1"/>
  <c r="AS111" i="39"/>
  <c r="AM117" i="39" s="1"/>
  <c r="AS106" i="39"/>
  <c r="AH117" i="39" s="1"/>
  <c r="AS108" i="39"/>
  <c r="AJ117" i="39" s="1"/>
  <c r="AE38" i="39"/>
  <c r="V38" i="39" s="1"/>
  <c r="P94" i="39"/>
  <c r="J82" i="39"/>
  <c r="D10" i="39"/>
  <c r="D9" i="39" s="1"/>
  <c r="F9" i="39" s="1"/>
  <c r="V57" i="40"/>
  <c r="F68" i="48"/>
  <c r="V55" i="40"/>
  <c r="AM88" i="40"/>
  <c r="AM76" i="40" s="1"/>
  <c r="AV68" i="40"/>
  <c r="AQ68" i="40"/>
  <c r="AE37" i="40"/>
  <c r="V37" i="40" s="1"/>
  <c r="P94" i="40"/>
  <c r="AS89" i="40"/>
  <c r="Q117" i="40" s="1"/>
  <c r="F20" i="47"/>
  <c r="Q68" i="40"/>
  <c r="Q18" i="40"/>
  <c r="Q8" i="40" s="1"/>
  <c r="Q7" i="40" s="1"/>
  <c r="BD25" i="30"/>
  <c r="BD7" i="30" s="1"/>
  <c r="AE41" i="30"/>
  <c r="V41" i="30" s="1"/>
  <c r="C21" i="57"/>
  <c r="C24" i="57" s="1"/>
  <c r="AH34" i="31"/>
  <c r="AH25" i="31" s="1"/>
  <c r="AE103" i="31"/>
  <c r="AE88" i="31" s="1"/>
  <c r="AE76" i="31" s="1"/>
  <c r="AS103" i="31"/>
  <c r="AE117" i="31" s="1"/>
  <c r="P110" i="31"/>
  <c r="V58" i="31"/>
  <c r="BC25" i="32"/>
  <c r="AS110" i="32"/>
  <c r="AL117" i="32" s="1"/>
  <c r="BB68" i="32"/>
  <c r="F392" i="47"/>
  <c r="AL110" i="32"/>
  <c r="AL88" i="32" s="1"/>
  <c r="AL76" i="32" s="1"/>
  <c r="AS102" i="32"/>
  <c r="AD117" i="32" s="1"/>
  <c r="F209" i="48"/>
  <c r="AN34" i="32"/>
  <c r="AN25" i="32" s="1"/>
  <c r="AS91" i="32"/>
  <c r="S117" i="32" s="1"/>
  <c r="S91" i="32"/>
  <c r="P91" i="32" s="1"/>
  <c r="U93" i="32"/>
  <c r="AS89" i="32"/>
  <c r="Q117" i="32" s="1"/>
  <c r="V58" i="33"/>
  <c r="I17" i="75"/>
  <c r="N17" i="75" s="1"/>
  <c r="O17" i="75" s="1"/>
  <c r="AS107" i="33"/>
  <c r="AI117" i="33" s="1"/>
  <c r="F291" i="47"/>
  <c r="F208" i="48"/>
  <c r="D10" i="33"/>
  <c r="D9" i="33" s="1"/>
  <c r="D8" i="33" s="1"/>
  <c r="AO113" i="33"/>
  <c r="P113" i="33" s="1"/>
  <c r="AI107" i="33"/>
  <c r="AN34" i="33"/>
  <c r="AN25" i="33" s="1"/>
  <c r="AN7" i="33" s="1"/>
  <c r="AM34" i="33"/>
  <c r="AM25" i="33" s="1"/>
  <c r="AM7" i="33" s="1"/>
  <c r="V88" i="33"/>
  <c r="W95" i="33"/>
  <c r="Y25" i="33"/>
  <c r="D78" i="33"/>
  <c r="D77" i="33" s="1"/>
  <c r="AV25" i="34"/>
  <c r="AV7" i="34" s="1"/>
  <c r="D25" i="34"/>
  <c r="D97" i="34"/>
  <c r="D88" i="34" s="1"/>
  <c r="AG34" i="34"/>
  <c r="AG25" i="34" s="1"/>
  <c r="C17" i="61"/>
  <c r="AC25" i="34"/>
  <c r="AC7" i="34" s="1"/>
  <c r="P89" i="34"/>
  <c r="Q88" i="34"/>
  <c r="Q76" i="34" s="1"/>
  <c r="AZ25" i="21"/>
  <c r="AH107" i="21"/>
  <c r="AB101" i="21"/>
  <c r="AB89" i="21" s="1"/>
  <c r="AS96" i="21"/>
  <c r="W118" i="21" s="1"/>
  <c r="AS95" i="21"/>
  <c r="V118" i="21" s="1"/>
  <c r="Q90" i="21"/>
  <c r="Q89" i="21" s="1"/>
  <c r="Q77" i="21" s="1"/>
  <c r="AN113" i="21"/>
  <c r="AN89" i="21" s="1"/>
  <c r="AN77" i="21" s="1"/>
  <c r="AS113" i="21"/>
  <c r="AN118" i="21" s="1"/>
  <c r="AI108" i="21"/>
  <c r="V46" i="21"/>
  <c r="F206" i="48"/>
  <c r="P93" i="21"/>
  <c r="Z25" i="21"/>
  <c r="Z7" i="21" s="1"/>
  <c r="AI34" i="22"/>
  <c r="AI25" i="22" s="1"/>
  <c r="AE35" i="22"/>
  <c r="V35" i="22" s="1"/>
  <c r="AL88" i="22"/>
  <c r="AL76" i="22" s="1"/>
  <c r="AS100" i="22"/>
  <c r="AB117" i="22" s="1"/>
  <c r="AS25" i="22"/>
  <c r="AS7" i="22" s="1"/>
  <c r="H13" i="22"/>
  <c r="G13" i="22" s="1"/>
  <c r="F13" i="22" s="1"/>
  <c r="E13" i="22" s="1"/>
  <c r="D10" i="22"/>
  <c r="D9" i="22" s="1"/>
  <c r="D8" i="22" s="1"/>
  <c r="AE42" i="23"/>
  <c r="V42" i="23" s="1"/>
  <c r="AE36" i="23"/>
  <c r="V36" i="23" s="1"/>
  <c r="AS88" i="23"/>
  <c r="O118" i="23" s="1"/>
  <c r="O88" i="23"/>
  <c r="C14" i="55"/>
  <c r="W96" i="23"/>
  <c r="P100" i="23"/>
  <c r="AA89" i="23"/>
  <c r="AA77" i="23" s="1"/>
  <c r="P103" i="23"/>
  <c r="AP34" i="23"/>
  <c r="AP25" i="23" s="1"/>
  <c r="AP7" i="23" s="1"/>
  <c r="AO34" i="23"/>
  <c r="AO25" i="23" s="1"/>
  <c r="AS100" i="23"/>
  <c r="AA118" i="23" s="1"/>
  <c r="AR25" i="23"/>
  <c r="AR7" i="23" s="1"/>
  <c r="AS110" i="23"/>
  <c r="AK118" i="23" s="1"/>
  <c r="AK110" i="23"/>
  <c r="AM112" i="24"/>
  <c r="V54" i="24"/>
  <c r="D25" i="24"/>
  <c r="E23" i="24"/>
  <c r="F59" i="48"/>
  <c r="F179" i="48"/>
  <c r="AE44" i="24"/>
  <c r="V44" i="24" s="1"/>
  <c r="V48" i="24"/>
  <c r="AS107" i="24"/>
  <c r="AH118" i="24" s="1"/>
  <c r="AG106" i="24"/>
  <c r="D116" i="24"/>
  <c r="V48" i="25"/>
  <c r="F202" i="48"/>
  <c r="H11" i="68"/>
  <c r="M12" i="68" s="1"/>
  <c r="AE38" i="25"/>
  <c r="V38" i="25" s="1"/>
  <c r="AH34" i="25"/>
  <c r="AH25" i="25" s="1"/>
  <c r="AH7" i="25" s="1"/>
  <c r="J77" i="25"/>
  <c r="J76" i="25" s="1"/>
  <c r="AS95" i="25"/>
  <c r="W117" i="25" s="1"/>
  <c r="V94" i="25"/>
  <c r="AC25" i="25"/>
  <c r="Z88" i="25"/>
  <c r="AS111" i="25"/>
  <c r="AM117" i="25" s="1"/>
  <c r="AN112" i="26"/>
  <c r="V57" i="26"/>
  <c r="AS107" i="26"/>
  <c r="AI117" i="26" s="1"/>
  <c r="AI107" i="26"/>
  <c r="AI88" i="26" s="1"/>
  <c r="AI76" i="26" s="1"/>
  <c r="AE35" i="26"/>
  <c r="V35" i="26" s="1"/>
  <c r="AP88" i="26"/>
  <c r="P114" i="26"/>
  <c r="BD25" i="26"/>
  <c r="BD7" i="26" s="1"/>
  <c r="C374" i="47"/>
  <c r="AS98" i="26"/>
  <c r="Z117" i="26" s="1"/>
  <c r="AB88" i="26"/>
  <c r="AB76" i="26" s="1"/>
  <c r="AS25" i="26"/>
  <c r="AE44" i="26"/>
  <c r="V44" i="26" s="1"/>
  <c r="AH34" i="26"/>
  <c r="AH25" i="26" s="1"/>
  <c r="AS96" i="26"/>
  <c r="X117" i="26" s="1"/>
  <c r="X96" i="26"/>
  <c r="AS95" i="26"/>
  <c r="W117" i="26" s="1"/>
  <c r="W95" i="26"/>
  <c r="W88" i="26" s="1"/>
  <c r="W76" i="26" s="1"/>
  <c r="BB25" i="27"/>
  <c r="BB7" i="27" s="1"/>
  <c r="D78" i="27"/>
  <c r="D77" i="27" s="1"/>
  <c r="AL88" i="27"/>
  <c r="AL76" i="27" s="1"/>
  <c r="P110" i="27"/>
  <c r="P108" i="27"/>
  <c r="V60" i="27"/>
  <c r="I10" i="79"/>
  <c r="V59" i="27"/>
  <c r="AT25" i="27"/>
  <c r="AN34" i="27"/>
  <c r="AN25" i="27" s="1"/>
  <c r="D97" i="27"/>
  <c r="D88" i="27" s="1"/>
  <c r="M85" i="27"/>
  <c r="M77" i="27" s="1"/>
  <c r="M76" i="27" s="1"/>
  <c r="D10" i="27"/>
  <c r="D9" i="27" s="1"/>
  <c r="D8" i="27" s="1"/>
  <c r="BC25" i="28"/>
  <c r="BC7" i="28" s="1"/>
  <c r="AJ108" i="28"/>
  <c r="AJ88" i="28" s="1"/>
  <c r="AE103" i="28"/>
  <c r="AE88" i="28" s="1"/>
  <c r="AE76" i="28" s="1"/>
  <c r="AB100" i="28"/>
  <c r="P100" i="28" s="1"/>
  <c r="AE43" i="28"/>
  <c r="V43" i="28" s="1"/>
  <c r="AS100" i="28"/>
  <c r="AB117" i="28" s="1"/>
  <c r="AS103" i="28"/>
  <c r="AE117" i="28" s="1"/>
  <c r="AE45" i="28"/>
  <c r="V45" i="28" s="1"/>
  <c r="V46" i="28"/>
  <c r="AS94" i="28"/>
  <c r="V117" i="28" s="1"/>
  <c r="V94" i="28"/>
  <c r="Q89" i="28"/>
  <c r="V60" i="29"/>
  <c r="AS110" i="29"/>
  <c r="AL117" i="29" s="1"/>
  <c r="D25" i="29"/>
  <c r="D97" i="29"/>
  <c r="D88" i="29" s="1"/>
  <c r="Q88" i="29"/>
  <c r="Q76" i="29" s="1"/>
  <c r="BD25" i="29"/>
  <c r="BD7" i="29" s="1"/>
  <c r="AS111" i="29"/>
  <c r="AM117" i="29" s="1"/>
  <c r="F456" i="47"/>
  <c r="AD102" i="29"/>
  <c r="W88" i="29"/>
  <c r="X88" i="29"/>
  <c r="X76" i="29" s="1"/>
  <c r="AS94" i="29"/>
  <c r="V117" i="29" s="1"/>
  <c r="D10" i="29"/>
  <c r="D9" i="29" s="1"/>
  <c r="F9" i="29" s="1"/>
  <c r="E9" i="29" s="1"/>
  <c r="D78" i="29"/>
  <c r="AZ25" i="19"/>
  <c r="AZ7" i="19" s="1"/>
  <c r="AE45" i="19"/>
  <c r="V45" i="19" s="1"/>
  <c r="C399" i="47"/>
  <c r="AE103" i="19"/>
  <c r="P103" i="19" s="1"/>
  <c r="D78" i="19"/>
  <c r="D77" i="19" s="1"/>
  <c r="H13" i="80"/>
  <c r="F483" i="47"/>
  <c r="U8" i="19"/>
  <c r="U7" i="19" s="1"/>
  <c r="D115" i="39"/>
  <c r="AE45" i="39"/>
  <c r="V45" i="39" s="1"/>
  <c r="P110" i="39"/>
  <c r="AL88" i="39"/>
  <c r="AL76" i="39" s="1"/>
  <c r="AS110" i="39"/>
  <c r="AL117" i="39" s="1"/>
  <c r="P108" i="39"/>
  <c r="AJ88" i="39"/>
  <c r="AJ76" i="39" s="1"/>
  <c r="V56" i="39"/>
  <c r="AE37" i="39"/>
  <c r="V37" i="39" s="1"/>
  <c r="D25" i="39"/>
  <c r="D97" i="39"/>
  <c r="D88" i="39" s="1"/>
  <c r="R88" i="39"/>
  <c r="R76" i="39" s="1"/>
  <c r="AS90" i="39"/>
  <c r="R117" i="39" s="1"/>
  <c r="V27" i="39"/>
  <c r="AV25" i="39"/>
  <c r="AV7" i="39" s="1"/>
  <c r="F271" i="47"/>
  <c r="BJ63" i="40"/>
  <c r="BJ7" i="40" s="1"/>
  <c r="D115" i="40"/>
  <c r="AS107" i="40"/>
  <c r="AI117" i="40" s="1"/>
  <c r="AI107" i="40"/>
  <c r="AS109" i="40"/>
  <c r="AK117" i="40" s="1"/>
  <c r="C174" i="47"/>
  <c r="F170" i="47"/>
  <c r="C145" i="47"/>
  <c r="C22" i="89" s="1"/>
  <c r="AE34" i="40"/>
  <c r="AE25" i="40" s="1"/>
  <c r="D25" i="40"/>
  <c r="L84" i="40"/>
  <c r="E84" i="40" s="1"/>
  <c r="AS80" i="40"/>
  <c r="H117" i="40" s="1"/>
  <c r="H80" i="40"/>
  <c r="D78" i="40"/>
  <c r="D77" i="40" s="1"/>
  <c r="D10" i="40"/>
  <c r="D9" i="40" s="1"/>
  <c r="F9" i="40" s="1"/>
  <c r="C21" i="73"/>
  <c r="V94" i="30"/>
  <c r="D97" i="30"/>
  <c r="D88" i="30" s="1"/>
  <c r="AK34" i="30"/>
  <c r="AK25" i="30" s="1"/>
  <c r="AK7" i="30" s="1"/>
  <c r="D25" i="30"/>
  <c r="C49" i="47"/>
  <c r="C22" i="50"/>
  <c r="C27" i="50" s="1"/>
  <c r="D78" i="30"/>
  <c r="D77" i="30" s="1"/>
  <c r="D10" i="30"/>
  <c r="D9" i="30" s="1"/>
  <c r="F9" i="30" s="1"/>
  <c r="V57" i="31"/>
  <c r="F185" i="48"/>
  <c r="D25" i="32"/>
  <c r="AB25" i="32"/>
  <c r="AB7" i="32" s="1"/>
  <c r="C19" i="59"/>
  <c r="AE36" i="32"/>
  <c r="V36" i="32" s="1"/>
  <c r="D97" i="32"/>
  <c r="D88" i="32" s="1"/>
  <c r="C142" i="47"/>
  <c r="C19" i="89" s="1"/>
  <c r="P89" i="32"/>
  <c r="D33" i="84"/>
  <c r="AE103" i="32"/>
  <c r="AE88" i="32" s="1"/>
  <c r="AE76" i="32" s="1"/>
  <c r="AU25" i="32"/>
  <c r="AU7" i="32" s="1"/>
  <c r="AP34" i="33"/>
  <c r="AP25" i="33" s="1"/>
  <c r="AP7" i="33" s="1"/>
  <c r="AS110" i="33"/>
  <c r="AL117" i="33" s="1"/>
  <c r="AL110" i="33"/>
  <c r="AL34" i="33"/>
  <c r="AL25" i="33" s="1"/>
  <c r="P108" i="33"/>
  <c r="AS108" i="33"/>
  <c r="AJ117" i="33" s="1"/>
  <c r="AE38" i="33"/>
  <c r="V38" i="33" s="1"/>
  <c r="C141" i="47"/>
  <c r="C18" i="89" s="1"/>
  <c r="AG34" i="33"/>
  <c r="AG25" i="33" s="1"/>
  <c r="D97" i="33"/>
  <c r="D88" i="33" s="1"/>
  <c r="D25" i="33"/>
  <c r="Q89" i="33"/>
  <c r="V51" i="33"/>
  <c r="L84" i="33"/>
  <c r="D115" i="34"/>
  <c r="V58" i="34"/>
  <c r="C424" i="47"/>
  <c r="C24" i="79"/>
  <c r="AK88" i="34"/>
  <c r="AK76" i="34" s="1"/>
  <c r="P109" i="34"/>
  <c r="AM34" i="34"/>
  <c r="AM25" i="34" s="1"/>
  <c r="AM7" i="34" s="1"/>
  <c r="W88" i="34"/>
  <c r="W76" i="34" s="1"/>
  <c r="P95" i="34"/>
  <c r="I17" i="56"/>
  <c r="N17" i="56" s="1"/>
  <c r="O17" i="56" s="1"/>
  <c r="C24" i="48"/>
  <c r="AE103" i="34"/>
  <c r="AD102" i="34"/>
  <c r="D77" i="34"/>
  <c r="C174" i="46"/>
  <c r="AK89" i="21"/>
  <c r="D98" i="21"/>
  <c r="D89" i="21" s="1"/>
  <c r="C139" i="47"/>
  <c r="C16" i="89" s="1"/>
  <c r="R91" i="21"/>
  <c r="AS91" i="21"/>
  <c r="R118" i="21" s="1"/>
  <c r="D10" i="21"/>
  <c r="D9" i="21" s="1"/>
  <c r="D8" i="21" s="1"/>
  <c r="D79" i="21"/>
  <c r="D78" i="21" s="1"/>
  <c r="AO113" i="22"/>
  <c r="AM111" i="22"/>
  <c r="H14" i="68"/>
  <c r="M15" i="68" s="1"/>
  <c r="N15" i="68" s="1"/>
  <c r="F181" i="48"/>
  <c r="P109" i="22"/>
  <c r="C138" i="47"/>
  <c r="C15" i="89" s="1"/>
  <c r="P95" i="22"/>
  <c r="W88" i="22"/>
  <c r="D25" i="22"/>
  <c r="AC101" i="22"/>
  <c r="C74" i="46"/>
  <c r="D116" i="23"/>
  <c r="AS116" i="23" s="1"/>
  <c r="AQ118" i="23" s="1"/>
  <c r="C199" i="47"/>
  <c r="AE34" i="23"/>
  <c r="AE25" i="23" s="1"/>
  <c r="C137" i="47"/>
  <c r="C14" i="89" s="1"/>
  <c r="D25" i="23"/>
  <c r="D98" i="23"/>
  <c r="D89" i="23" s="1"/>
  <c r="C14" i="61"/>
  <c r="Q90" i="23"/>
  <c r="F187" i="46"/>
  <c r="C199" i="46"/>
  <c r="D79" i="23"/>
  <c r="D78" i="23" s="1"/>
  <c r="V55" i="24"/>
  <c r="AO7" i="24"/>
  <c r="AK110" i="24"/>
  <c r="C120" i="48"/>
  <c r="AE36" i="24"/>
  <c r="V36" i="24" s="1"/>
  <c r="P104" i="24"/>
  <c r="AE89" i="24"/>
  <c r="AE77" i="24" s="1"/>
  <c r="AS104" i="24"/>
  <c r="AE118" i="24" s="1"/>
  <c r="AT25" i="24"/>
  <c r="AT7" i="24" s="1"/>
  <c r="O88" i="24"/>
  <c r="C474" i="47"/>
  <c r="F335" i="47"/>
  <c r="AP34" i="25"/>
  <c r="AP25" i="25" s="1"/>
  <c r="AP7" i="25" s="1"/>
  <c r="C192" i="48"/>
  <c r="C168" i="48"/>
  <c r="AL110" i="25"/>
  <c r="AL88" i="25" s="1"/>
  <c r="AL76" i="25" s="1"/>
  <c r="C144" i="48"/>
  <c r="W95" i="25"/>
  <c r="W88" i="25" s="1"/>
  <c r="W76" i="25" s="1"/>
  <c r="C135" i="47"/>
  <c r="C12" i="89" s="1"/>
  <c r="D25" i="25"/>
  <c r="D77" i="25"/>
  <c r="D115" i="26"/>
  <c r="C499" i="47"/>
  <c r="P109" i="26"/>
  <c r="AN34" i="26"/>
  <c r="AN25" i="26" s="1"/>
  <c r="AM34" i="26"/>
  <c r="AM25" i="26" s="1"/>
  <c r="V56" i="26"/>
  <c r="D25" i="26"/>
  <c r="D97" i="26"/>
  <c r="Y97" i="26" s="1"/>
  <c r="P97" i="26" s="1"/>
  <c r="C134" i="47"/>
  <c r="C11" i="89" s="1"/>
  <c r="AN112" i="27"/>
  <c r="H9" i="78"/>
  <c r="C449" i="47"/>
  <c r="H9" i="68"/>
  <c r="M10" i="68" s="1"/>
  <c r="O10" i="68" s="1"/>
  <c r="AE42" i="27"/>
  <c r="V42" i="27" s="1"/>
  <c r="AE34" i="27"/>
  <c r="AE25" i="27" s="1"/>
  <c r="J82" i="27"/>
  <c r="AO34" i="28"/>
  <c r="AO25" i="28" s="1"/>
  <c r="AO7" i="28" s="1"/>
  <c r="AS109" i="28"/>
  <c r="AK117" i="28" s="1"/>
  <c r="D88" i="28"/>
  <c r="AK109" i="28"/>
  <c r="V31" i="28"/>
  <c r="C96" i="48"/>
  <c r="C48" i="48"/>
  <c r="AG34" i="28"/>
  <c r="AG25" i="28" s="1"/>
  <c r="AS82" i="28"/>
  <c r="J117" i="28" s="1"/>
  <c r="C99" i="46"/>
  <c r="D10" i="28"/>
  <c r="D9" i="28" s="1"/>
  <c r="F9" i="28" s="1"/>
  <c r="E9" i="28" s="1"/>
  <c r="D78" i="28"/>
  <c r="D77" i="28" s="1"/>
  <c r="D115" i="29"/>
  <c r="AO34" i="29"/>
  <c r="AO25" i="29" s="1"/>
  <c r="AO7" i="29" s="1"/>
  <c r="F406" i="47"/>
  <c r="I8" i="79"/>
  <c r="C124" i="47"/>
  <c r="AS89" i="29"/>
  <c r="Q117" i="29" s="1"/>
  <c r="L84" i="29"/>
  <c r="D115" i="19"/>
  <c r="AO113" i="19"/>
  <c r="P113" i="19" s="1"/>
  <c r="C349" i="47"/>
  <c r="BB25" i="19"/>
  <c r="BB7" i="19" s="1"/>
  <c r="D25" i="19"/>
  <c r="C7" i="58"/>
  <c r="C72" i="48"/>
  <c r="D97" i="19"/>
  <c r="D88" i="19" s="1"/>
  <c r="C130" i="47"/>
  <c r="C7" i="89" s="1"/>
  <c r="Q89" i="19"/>
  <c r="P89" i="19" s="1"/>
  <c r="AS103" i="19"/>
  <c r="AE117" i="19" s="1"/>
  <c r="C274" i="47"/>
  <c r="V62" i="19"/>
  <c r="P96" i="19"/>
  <c r="C74" i="47"/>
  <c r="F55" i="47"/>
  <c r="T92" i="19"/>
  <c r="C99" i="47"/>
  <c r="E87" i="19"/>
  <c r="O77" i="19"/>
  <c r="C124" i="46"/>
  <c r="L84" i="19"/>
  <c r="C5" i="46"/>
  <c r="C7" i="83" s="1"/>
  <c r="S76" i="37"/>
  <c r="S116" i="37"/>
  <c r="AS91" i="37" s="1"/>
  <c r="S117" i="37" s="1"/>
  <c r="Y67" i="37"/>
  <c r="AZ7" i="37"/>
  <c r="AL116" i="37"/>
  <c r="AS110" i="37" s="1"/>
  <c r="AL117" i="37" s="1"/>
  <c r="AL76" i="37"/>
  <c r="BM58" i="37"/>
  <c r="BN58" i="37" s="1"/>
  <c r="BL32" i="37"/>
  <c r="AL8" i="37"/>
  <c r="V16" i="37"/>
  <c r="BM43" i="37"/>
  <c r="BN43" i="37" s="1"/>
  <c r="BM37" i="37"/>
  <c r="BN37" i="37" s="1"/>
  <c r="D71" i="48"/>
  <c r="F71" i="48" s="1"/>
  <c r="AH7" i="37"/>
  <c r="D76" i="37"/>
  <c r="BB67" i="38"/>
  <c r="BB7" i="38"/>
  <c r="BC67" i="38"/>
  <c r="BC7" i="38"/>
  <c r="AS68" i="38"/>
  <c r="AR68" i="38"/>
  <c r="AR7" i="38"/>
  <c r="BM42" i="38"/>
  <c r="BN42" i="38" s="1"/>
  <c r="AM68" i="38" s="1"/>
  <c r="D142" i="48"/>
  <c r="AN67" i="38"/>
  <c r="AN7" i="38"/>
  <c r="J82" i="38"/>
  <c r="L84" i="38"/>
  <c r="AS84" i="38"/>
  <c r="L117" i="38" s="1"/>
  <c r="AH67" i="38"/>
  <c r="D70" i="48" s="1"/>
  <c r="F70" i="48" s="1"/>
  <c r="AH7" i="38"/>
  <c r="I12" i="38"/>
  <c r="E47" i="46"/>
  <c r="BM12" i="38"/>
  <c r="BN12" i="38" s="1"/>
  <c r="X9" i="13" s="1"/>
  <c r="L15" i="38"/>
  <c r="BM15" i="38"/>
  <c r="BN15" i="38" s="1"/>
  <c r="H77" i="38"/>
  <c r="H76" i="38" s="1"/>
  <c r="AK7" i="38"/>
  <c r="AS81" i="38"/>
  <c r="I117" i="38" s="1"/>
  <c r="V13" i="38"/>
  <c r="V17" i="38"/>
  <c r="S14" i="53"/>
  <c r="O19" i="38"/>
  <c r="E19" i="38" s="1"/>
  <c r="E141" i="48"/>
  <c r="E23" i="63" s="1"/>
  <c r="AR112" i="39"/>
  <c r="AN112" i="39" s="1"/>
  <c r="AN88" i="39" s="1"/>
  <c r="AN76" i="39" s="1"/>
  <c r="E16" i="72"/>
  <c r="AB9" i="84"/>
  <c r="V19" i="39"/>
  <c r="AJ68" i="39"/>
  <c r="P80" i="39"/>
  <c r="AR80" i="39" s="1"/>
  <c r="H80" i="39" s="1"/>
  <c r="E80" i="39" s="1"/>
  <c r="V13" i="39"/>
  <c r="BL13" i="39" s="1"/>
  <c r="J13" i="39" s="1"/>
  <c r="J11" i="39" s="1"/>
  <c r="J10" i="39" s="1"/>
  <c r="J9" i="39" s="1"/>
  <c r="J8" i="39" s="1"/>
  <c r="J7" i="39" s="1"/>
  <c r="BM16" i="39"/>
  <c r="BN16" i="39" s="1"/>
  <c r="M68" i="39" s="1"/>
  <c r="M16" i="39"/>
  <c r="M10" i="39" s="1"/>
  <c r="M9" i="39" s="1"/>
  <c r="M8" i="39" s="1"/>
  <c r="M7" i="39" s="1"/>
  <c r="BL14" i="39"/>
  <c r="K14" i="39" s="1"/>
  <c r="AG10" i="39"/>
  <c r="AG9" i="39" s="1"/>
  <c r="AG8" i="39" s="1"/>
  <c r="AG67" i="39" s="1"/>
  <c r="D24" i="60" s="1"/>
  <c r="X116" i="39"/>
  <c r="AS96" i="39" s="1"/>
  <c r="X117" i="39" s="1"/>
  <c r="X76" i="39"/>
  <c r="AD7" i="39"/>
  <c r="P79" i="39"/>
  <c r="AR79" i="39" s="1"/>
  <c r="AS79" i="39" s="1"/>
  <c r="G117" i="39" s="1"/>
  <c r="V77" i="39"/>
  <c r="V76" i="39" s="1"/>
  <c r="H24" i="82"/>
  <c r="M24" i="82" s="1"/>
  <c r="N24" i="82" s="1"/>
  <c r="L10" i="39"/>
  <c r="L9" i="39" s="1"/>
  <c r="L8" i="39" s="1"/>
  <c r="L7" i="39" s="1"/>
  <c r="C23" i="59"/>
  <c r="C26" i="66"/>
  <c r="C23" i="70"/>
  <c r="BM57" i="40"/>
  <c r="BN57" i="40" s="1"/>
  <c r="V44" i="13" s="1"/>
  <c r="D420" i="47"/>
  <c r="F420" i="47" s="1"/>
  <c r="BM58" i="40"/>
  <c r="BN58" i="40" s="1"/>
  <c r="BC7" i="40"/>
  <c r="BB7" i="40"/>
  <c r="D345" i="47"/>
  <c r="F345" i="47" s="1"/>
  <c r="BM55" i="40"/>
  <c r="BN55" i="40" s="1"/>
  <c r="V42" i="13" s="1"/>
  <c r="AZ7" i="40"/>
  <c r="Y85" i="40"/>
  <c r="P85" i="40" s="1"/>
  <c r="AR85" i="40" s="1"/>
  <c r="M85" i="40" s="1"/>
  <c r="AB76" i="40"/>
  <c r="BM38" i="40"/>
  <c r="BN38" i="40" s="1"/>
  <c r="AI68" i="40" s="1"/>
  <c r="P78" i="40"/>
  <c r="BM37" i="40"/>
  <c r="BN37" i="40" s="1"/>
  <c r="V31" i="13" s="1"/>
  <c r="AI7" i="40"/>
  <c r="W95" i="40"/>
  <c r="W88" i="40" s="1"/>
  <c r="C22" i="59"/>
  <c r="I21" i="70"/>
  <c r="N21" i="70" s="1"/>
  <c r="O21" i="70" s="1"/>
  <c r="BM61" i="30"/>
  <c r="BN61" i="30" s="1"/>
  <c r="U48" i="13" s="1"/>
  <c r="D344" i="47"/>
  <c r="F344" i="47" s="1"/>
  <c r="BM55" i="30"/>
  <c r="BN55" i="30" s="1"/>
  <c r="U42" i="13" s="1"/>
  <c r="AI77" i="30"/>
  <c r="AI116" i="30" s="1"/>
  <c r="AP67" i="30"/>
  <c r="D21" i="67" s="1"/>
  <c r="R88" i="31"/>
  <c r="R76" i="31" s="1"/>
  <c r="R116" i="31"/>
  <c r="AS90" i="31" s="1"/>
  <c r="R117" i="31" s="1"/>
  <c r="BM46" i="31"/>
  <c r="BN46" i="31" s="1"/>
  <c r="AL115" i="31"/>
  <c r="AL116" i="31" s="1"/>
  <c r="AS110" i="31" s="1"/>
  <c r="AL117" i="31" s="1"/>
  <c r="P85" i="31"/>
  <c r="AR85" i="31" s="1"/>
  <c r="M85" i="31" s="1"/>
  <c r="E85" i="31" s="1"/>
  <c r="BM51" i="31"/>
  <c r="BN51" i="31" s="1"/>
  <c r="D268" i="47"/>
  <c r="F268" i="47" s="1"/>
  <c r="D368" i="47"/>
  <c r="BM56" i="31"/>
  <c r="BN56" i="31" s="1"/>
  <c r="T43" i="13" s="1"/>
  <c r="AV7" i="31"/>
  <c r="P83" i="31"/>
  <c r="AF77" i="31"/>
  <c r="AF76" i="31" s="1"/>
  <c r="AI77" i="31"/>
  <c r="AI116" i="31" s="1"/>
  <c r="AX67" i="31"/>
  <c r="BM53" i="31" s="1"/>
  <c r="BN53" i="31" s="1"/>
  <c r="AD77" i="31"/>
  <c r="AZ67" i="31"/>
  <c r="D19" i="75" s="1"/>
  <c r="AM8" i="31"/>
  <c r="AM67" i="31" s="1"/>
  <c r="Y78" i="31"/>
  <c r="AJ7" i="31"/>
  <c r="BM13" i="31"/>
  <c r="BN13" i="31" s="1"/>
  <c r="Z10" i="88"/>
  <c r="AM7" i="31"/>
  <c r="D43" i="47"/>
  <c r="F43" i="47" s="1"/>
  <c r="BM27" i="31"/>
  <c r="BN27" i="31" s="1"/>
  <c r="AS81" i="31"/>
  <c r="I117" i="31" s="1"/>
  <c r="D115" i="31"/>
  <c r="AW25" i="31"/>
  <c r="AW7" i="31" s="1"/>
  <c r="V51" i="31"/>
  <c r="AG88" i="31"/>
  <c r="AG76" i="31" s="1"/>
  <c r="V46" i="31"/>
  <c r="AA88" i="31"/>
  <c r="D25" i="31"/>
  <c r="AE41" i="31"/>
  <c r="V41" i="31" s="1"/>
  <c r="F9" i="31"/>
  <c r="D8" i="31"/>
  <c r="D77" i="31"/>
  <c r="G24" i="54"/>
  <c r="BE60" i="32"/>
  <c r="BM60" i="32"/>
  <c r="BN60" i="32" s="1"/>
  <c r="AI88" i="32"/>
  <c r="H18" i="69"/>
  <c r="AC76" i="32"/>
  <c r="D137" i="48"/>
  <c r="F137" i="48" s="1"/>
  <c r="BL16" i="32"/>
  <c r="BM16" i="32" s="1"/>
  <c r="BN16" i="32" s="1"/>
  <c r="R68" i="32"/>
  <c r="R18" i="32"/>
  <c r="R8" i="32" s="1"/>
  <c r="R7" i="32" s="1"/>
  <c r="D17" i="47"/>
  <c r="F17" i="47" s="1"/>
  <c r="BM26" i="32"/>
  <c r="BN26" i="32" s="1"/>
  <c r="S19" i="13" s="1"/>
  <c r="P80" i="32"/>
  <c r="Q76" i="32"/>
  <c r="W7" i="32"/>
  <c r="E42" i="46"/>
  <c r="I12" i="32"/>
  <c r="H12" i="32" s="1"/>
  <c r="G12" i="32" s="1"/>
  <c r="F12" i="32" s="1"/>
  <c r="E12" i="32" s="1"/>
  <c r="F341" i="47"/>
  <c r="AJ42" i="84"/>
  <c r="BL57" i="33"/>
  <c r="BM54" i="33"/>
  <c r="BN54" i="33" s="1"/>
  <c r="BC7" i="33"/>
  <c r="AL9" i="84"/>
  <c r="P78" i="33"/>
  <c r="V17" i="33"/>
  <c r="Y10" i="84"/>
  <c r="V13" i="33"/>
  <c r="V11" i="33" s="1"/>
  <c r="G14" i="53"/>
  <c r="S97" i="33"/>
  <c r="BD68" i="33"/>
  <c r="F441" i="47"/>
  <c r="AM88" i="33"/>
  <c r="AM76" i="33" s="1"/>
  <c r="S41" i="84"/>
  <c r="BL65" i="33"/>
  <c r="G24" i="55"/>
  <c r="L116" i="33"/>
  <c r="AS84" i="33" s="1"/>
  <c r="L117" i="33" s="1"/>
  <c r="AO68" i="33"/>
  <c r="C18" i="59"/>
  <c r="F24" i="73"/>
  <c r="BE60" i="34"/>
  <c r="AS107" i="34"/>
  <c r="AI117" i="34" s="1"/>
  <c r="BL50" i="34"/>
  <c r="AK116" i="34"/>
  <c r="AS109" i="34" s="1"/>
  <c r="AK117" i="34" s="1"/>
  <c r="BB67" i="34"/>
  <c r="D17" i="73" s="1"/>
  <c r="Y78" i="34"/>
  <c r="AL8" i="34"/>
  <c r="V17" i="34"/>
  <c r="V16" i="34"/>
  <c r="D87" i="48"/>
  <c r="BM38" i="34"/>
  <c r="BN38" i="34" s="1"/>
  <c r="D115" i="47"/>
  <c r="F115" i="47" s="1"/>
  <c r="J11" i="34"/>
  <c r="J10" i="34" s="1"/>
  <c r="J9" i="34" s="1"/>
  <c r="J8" i="34" s="1"/>
  <c r="J7" i="34" s="1"/>
  <c r="BL16" i="21"/>
  <c r="M16" i="21" s="1"/>
  <c r="BL64" i="21"/>
  <c r="BM64" i="21" s="1"/>
  <c r="V60" i="21"/>
  <c r="BE25" i="21"/>
  <c r="BE7" i="21" s="1"/>
  <c r="BM60" i="21"/>
  <c r="BN60" i="21" s="1"/>
  <c r="P47" i="13" s="1"/>
  <c r="E464" i="47"/>
  <c r="AU50" i="21"/>
  <c r="V50" i="21" s="1"/>
  <c r="BM60" i="22"/>
  <c r="BN60" i="22" s="1"/>
  <c r="BE60" i="22"/>
  <c r="AR112" i="22"/>
  <c r="AK116" i="22"/>
  <c r="AS109" i="22" s="1"/>
  <c r="AK117" i="22" s="1"/>
  <c r="P115" i="22"/>
  <c r="BC67" i="22"/>
  <c r="D15" i="79" s="1"/>
  <c r="AO7" i="22"/>
  <c r="AG10" i="22"/>
  <c r="AG9" i="22" s="1"/>
  <c r="AG8" i="22" s="1"/>
  <c r="AG67" i="22" s="1"/>
  <c r="D16" i="60" s="1"/>
  <c r="G79" i="22"/>
  <c r="O87" i="22"/>
  <c r="BL50" i="23"/>
  <c r="Z117" i="23"/>
  <c r="AS99" i="23" s="1"/>
  <c r="Z118" i="23" s="1"/>
  <c r="P86" i="23"/>
  <c r="AR86" i="23" s="1"/>
  <c r="M86" i="23" s="1"/>
  <c r="AQ68" i="23"/>
  <c r="D337" i="47"/>
  <c r="F337" i="47" s="1"/>
  <c r="BM55" i="23"/>
  <c r="BN55" i="23" s="1"/>
  <c r="N42" i="13" s="1"/>
  <c r="F462" i="47"/>
  <c r="V17" i="23"/>
  <c r="AL8" i="23"/>
  <c r="AL68" i="23" s="1"/>
  <c r="Y81" i="23"/>
  <c r="AM7" i="23"/>
  <c r="BM38" i="23"/>
  <c r="BN38" i="23" s="1"/>
  <c r="AI69" i="23" s="1"/>
  <c r="V78" i="23"/>
  <c r="V117" i="23" s="1"/>
  <c r="AS95" i="23" s="1"/>
  <c r="V118" i="23" s="1"/>
  <c r="BM31" i="23"/>
  <c r="BN31" i="23" s="1"/>
  <c r="N24" i="13" s="1"/>
  <c r="K11" i="23"/>
  <c r="K10" i="23" s="1"/>
  <c r="K9" i="23" s="1"/>
  <c r="K8" i="23" s="1"/>
  <c r="K7" i="23" s="1"/>
  <c r="C25" i="60"/>
  <c r="H14" i="24"/>
  <c r="G14" i="24" s="1"/>
  <c r="F14" i="24" s="1"/>
  <c r="E14" i="24" s="1"/>
  <c r="V26" i="24"/>
  <c r="Z89" i="24"/>
  <c r="Z77" i="24" s="1"/>
  <c r="AD89" i="24"/>
  <c r="Z117" i="24"/>
  <c r="AS99" i="24" s="1"/>
  <c r="Z118" i="24" s="1"/>
  <c r="AQ68" i="24"/>
  <c r="V89" i="24"/>
  <c r="V22" i="24"/>
  <c r="Y81" i="24"/>
  <c r="Y78" i="24" s="1"/>
  <c r="Y117" i="24" s="1"/>
  <c r="V17" i="24"/>
  <c r="P86" i="24"/>
  <c r="AR86" i="24" s="1"/>
  <c r="M86" i="24" s="1"/>
  <c r="AE10" i="24"/>
  <c r="AE9" i="24" s="1"/>
  <c r="AE8" i="24" s="1"/>
  <c r="AE68" i="24" s="1"/>
  <c r="AB68" i="24"/>
  <c r="D13" i="57" s="1"/>
  <c r="I12" i="67"/>
  <c r="N12" i="67" s="1"/>
  <c r="P12" i="67" s="1"/>
  <c r="AS107" i="25"/>
  <c r="AI117" i="25" s="1"/>
  <c r="V13" i="25"/>
  <c r="BL13" i="25" s="1"/>
  <c r="J13" i="25" s="1"/>
  <c r="J11" i="25" s="1"/>
  <c r="J10" i="25" s="1"/>
  <c r="J9" i="25" s="1"/>
  <c r="J8" i="25" s="1"/>
  <c r="J7" i="25" s="1"/>
  <c r="BM45" i="25"/>
  <c r="BN45" i="25" s="1"/>
  <c r="AP68" i="25" s="1"/>
  <c r="AI7" i="25"/>
  <c r="D35" i="47"/>
  <c r="BM27" i="25"/>
  <c r="BN27" i="25" s="1"/>
  <c r="AF104" i="25"/>
  <c r="D31" i="84"/>
  <c r="AI107" i="25"/>
  <c r="D88" i="25"/>
  <c r="C24" i="54"/>
  <c r="AZ8" i="26"/>
  <c r="AZ67" i="26" s="1"/>
  <c r="D10" i="75" s="1"/>
  <c r="BL22" i="26"/>
  <c r="E159" i="46" s="1"/>
  <c r="BL23" i="26"/>
  <c r="AJ8" i="26"/>
  <c r="AJ67" i="26" s="1"/>
  <c r="Z12" i="84"/>
  <c r="AM8" i="26"/>
  <c r="AM67" i="26" s="1"/>
  <c r="D11" i="63" s="1"/>
  <c r="AK8" i="26"/>
  <c r="AK67" i="26" s="1"/>
  <c r="BM40" i="26" s="1"/>
  <c r="BN40" i="26" s="1"/>
  <c r="AK68" i="26" s="1"/>
  <c r="AO8" i="26"/>
  <c r="AO67" i="26" s="1"/>
  <c r="AH8" i="26"/>
  <c r="AH67" i="26" s="1"/>
  <c r="P87" i="26"/>
  <c r="AR87" i="26" s="1"/>
  <c r="AI8" i="26"/>
  <c r="AI67" i="26" s="1"/>
  <c r="AN8" i="26"/>
  <c r="AN67" i="26" s="1"/>
  <c r="D11" i="62" s="1"/>
  <c r="AB16" i="84"/>
  <c r="AR68" i="26"/>
  <c r="P82" i="26"/>
  <c r="AR82" i="26" s="1"/>
  <c r="AB8" i="26"/>
  <c r="X67" i="26"/>
  <c r="D11" i="54" s="1"/>
  <c r="P80" i="26"/>
  <c r="AR80" i="26" s="1"/>
  <c r="AS80" i="26" s="1"/>
  <c r="H117" i="26" s="1"/>
  <c r="L10" i="26"/>
  <c r="L9" i="26" s="1"/>
  <c r="L8" i="26" s="1"/>
  <c r="L7" i="26" s="1"/>
  <c r="K68" i="26"/>
  <c r="O20" i="26"/>
  <c r="E20" i="26" s="1"/>
  <c r="AH88" i="26"/>
  <c r="AH76" i="26" s="1"/>
  <c r="P106" i="26"/>
  <c r="L84" i="27"/>
  <c r="E84" i="27" s="1"/>
  <c r="AS89" i="27"/>
  <c r="Q117" i="27" s="1"/>
  <c r="Q89" i="27"/>
  <c r="Q88" i="27" s="1"/>
  <c r="Q76" i="27" s="1"/>
  <c r="H9" i="77"/>
  <c r="AI34" i="27"/>
  <c r="AI25" i="27" s="1"/>
  <c r="AI7" i="27" s="1"/>
  <c r="C10" i="59"/>
  <c r="AL19" i="84"/>
  <c r="AD76" i="27"/>
  <c r="AZ8" i="27"/>
  <c r="AZ67" i="27" s="1"/>
  <c r="AU8" i="27"/>
  <c r="AU67" i="27" s="1"/>
  <c r="D233" i="47" s="1"/>
  <c r="F233" i="47" s="1"/>
  <c r="AV8" i="27"/>
  <c r="AV67" i="27" s="1"/>
  <c r="BB67" i="27"/>
  <c r="D10" i="73" s="1"/>
  <c r="I10" i="73" s="1"/>
  <c r="D408" i="47"/>
  <c r="F408" i="47" s="1"/>
  <c r="BM58" i="27"/>
  <c r="BN58" i="27" s="1"/>
  <c r="AX7" i="27"/>
  <c r="V22" i="27"/>
  <c r="BM38" i="27"/>
  <c r="BN38" i="27" s="1"/>
  <c r="AJ7" i="27"/>
  <c r="Y8" i="27"/>
  <c r="AA8" i="27"/>
  <c r="Z8" i="27"/>
  <c r="Z67" i="27" s="1"/>
  <c r="BL20" i="27"/>
  <c r="Q20" i="27" s="1"/>
  <c r="X13" i="84"/>
  <c r="T77" i="27"/>
  <c r="T116" i="27" s="1"/>
  <c r="AS92" i="27" s="1"/>
  <c r="AC8" i="27"/>
  <c r="X8" i="27"/>
  <c r="BM31" i="27"/>
  <c r="BN31" i="27" s="1"/>
  <c r="AB68" i="27" s="1"/>
  <c r="D83" i="47"/>
  <c r="L10" i="27"/>
  <c r="L9" i="27" s="1"/>
  <c r="L8" i="27" s="1"/>
  <c r="L7" i="27" s="1"/>
  <c r="G15" i="27"/>
  <c r="F15" i="27" s="1"/>
  <c r="E15" i="27" s="1"/>
  <c r="AS102" i="27"/>
  <c r="AD117" i="27" s="1"/>
  <c r="P102" i="27"/>
  <c r="AU50" i="27"/>
  <c r="Y115" i="27"/>
  <c r="P93" i="28"/>
  <c r="V55" i="28"/>
  <c r="S88" i="28"/>
  <c r="Y115" i="28"/>
  <c r="AR107" i="28"/>
  <c r="BL32" i="28"/>
  <c r="AH8" i="28"/>
  <c r="AF13" i="84"/>
  <c r="AF7" i="28"/>
  <c r="AF67" i="28"/>
  <c r="D9" i="61" s="1"/>
  <c r="BB67" i="28"/>
  <c r="D9" i="73" s="1"/>
  <c r="BM44" i="28"/>
  <c r="BN44" i="28" s="1"/>
  <c r="AO68" i="28" s="1"/>
  <c r="D175" i="48"/>
  <c r="F175" i="48" s="1"/>
  <c r="D199" i="48"/>
  <c r="F199" i="48" s="1"/>
  <c r="BM45" i="28"/>
  <c r="BN45" i="28" s="1"/>
  <c r="AP68" i="28" s="1"/>
  <c r="BG68" i="28"/>
  <c r="AP7" i="28"/>
  <c r="BM38" i="28"/>
  <c r="BN38" i="28" s="1"/>
  <c r="AI68" i="28" s="1"/>
  <c r="AS87" i="28"/>
  <c r="O117" i="28" s="1"/>
  <c r="AA8" i="28"/>
  <c r="AA67" i="28" s="1"/>
  <c r="BM30" i="28" s="1"/>
  <c r="BN30" i="28" s="1"/>
  <c r="P87" i="28"/>
  <c r="AR87" i="28" s="1"/>
  <c r="O87" i="28" s="1"/>
  <c r="BL20" i="28"/>
  <c r="E82" i="28"/>
  <c r="L10" i="28"/>
  <c r="L9" i="28" s="1"/>
  <c r="L8" i="28" s="1"/>
  <c r="L7" i="28" s="1"/>
  <c r="G15" i="28"/>
  <c r="F15" i="28" s="1"/>
  <c r="E15" i="28" s="1"/>
  <c r="Z68" i="28"/>
  <c r="D207" i="47"/>
  <c r="F207" i="47" s="1"/>
  <c r="X77" i="28"/>
  <c r="X116" i="28" s="1"/>
  <c r="AS96" i="28" s="1"/>
  <c r="X117" i="28" s="1"/>
  <c r="E57" i="46"/>
  <c r="G10" i="82" s="1"/>
  <c r="H10" i="82" s="1"/>
  <c r="M10" i="82" s="1"/>
  <c r="O10" i="82" s="1"/>
  <c r="BM16" i="28"/>
  <c r="BN16" i="28" s="1"/>
  <c r="I10" i="13" s="1"/>
  <c r="S77" i="28"/>
  <c r="S116" i="28" s="1"/>
  <c r="AS91" i="28" s="1"/>
  <c r="S117" i="28" s="1"/>
  <c r="AE42" i="29"/>
  <c r="V42" i="29" s="1"/>
  <c r="BL50" i="29"/>
  <c r="P105" i="29"/>
  <c r="AG88" i="29"/>
  <c r="AG76" i="29" s="1"/>
  <c r="C24" i="67"/>
  <c r="C216" i="48"/>
  <c r="AE103" i="29"/>
  <c r="C324" i="47"/>
  <c r="AX25" i="29"/>
  <c r="AI107" i="29"/>
  <c r="AI88" i="29" s="1"/>
  <c r="AI76" i="29" s="1"/>
  <c r="AK109" i="29"/>
  <c r="AS102" i="29"/>
  <c r="AD117" i="29" s="1"/>
  <c r="AK14" i="84"/>
  <c r="AX7" i="29"/>
  <c r="AK116" i="29"/>
  <c r="AS109" i="29" s="1"/>
  <c r="AK117" i="29" s="1"/>
  <c r="AC77" i="29"/>
  <c r="AC116" i="29" s="1"/>
  <c r="AS101" i="29" s="1"/>
  <c r="AC117" i="29" s="1"/>
  <c r="AM8" i="29"/>
  <c r="AM67" i="29" s="1"/>
  <c r="D8" i="63" s="1"/>
  <c r="BM38" i="29"/>
  <c r="BN38" i="29" s="1"/>
  <c r="AI68" i="29" s="1"/>
  <c r="D78" i="48"/>
  <c r="F78" i="48" s="1"/>
  <c r="AJ68" i="29"/>
  <c r="AJ7" i="29"/>
  <c r="AK7" i="29"/>
  <c r="N86" i="29"/>
  <c r="T117" i="29"/>
  <c r="D206" i="47"/>
  <c r="F206" i="47" s="1"/>
  <c r="T16" i="84"/>
  <c r="T76" i="29"/>
  <c r="X17" i="84"/>
  <c r="AC8" i="29"/>
  <c r="AC7" i="29" s="1"/>
  <c r="AS87" i="29"/>
  <c r="O117" i="29" s="1"/>
  <c r="AB8" i="29"/>
  <c r="AB67" i="29" s="1"/>
  <c r="D8" i="57" s="1"/>
  <c r="X8" i="29"/>
  <c r="X67" i="29" s="1"/>
  <c r="D8" i="54" s="1"/>
  <c r="T17" i="84"/>
  <c r="L10" i="29"/>
  <c r="L9" i="29" s="1"/>
  <c r="L8" i="29" s="1"/>
  <c r="L7" i="29" s="1"/>
  <c r="G15" i="29"/>
  <c r="F15" i="29" s="1"/>
  <c r="E15" i="29" s="1"/>
  <c r="Z68" i="29"/>
  <c r="T9" i="88"/>
  <c r="Z7" i="29"/>
  <c r="P80" i="29"/>
  <c r="AR80" i="29" s="1"/>
  <c r="H80" i="29" s="1"/>
  <c r="AQ7" i="19"/>
  <c r="C23" i="78"/>
  <c r="H6" i="78"/>
  <c r="W77" i="19"/>
  <c r="W116" i="19" s="1"/>
  <c r="AS95" i="19" s="1"/>
  <c r="W117" i="19" s="1"/>
  <c r="D5" i="48"/>
  <c r="F5" i="48" s="1"/>
  <c r="BL26" i="19"/>
  <c r="D53" i="48"/>
  <c r="F53" i="48" s="1"/>
  <c r="BH64" i="19"/>
  <c r="AS109" i="19"/>
  <c r="AK117" i="19" s="1"/>
  <c r="AK109" i="19"/>
  <c r="AK88" i="19" s="1"/>
  <c r="AK76" i="19" s="1"/>
  <c r="AE41" i="19"/>
  <c r="V41" i="19" s="1"/>
  <c r="BA67" i="19"/>
  <c r="D6" i="74" s="1"/>
  <c r="D197" i="48"/>
  <c r="F197" i="48" s="1"/>
  <c r="BM45" i="19"/>
  <c r="BN45" i="19" s="1"/>
  <c r="AP68" i="19" s="1"/>
  <c r="BB67" i="19"/>
  <c r="D7" i="73" s="1"/>
  <c r="AG11" i="84"/>
  <c r="D125" i="48"/>
  <c r="Y68" i="19"/>
  <c r="AC67" i="19"/>
  <c r="D7" i="56" s="1"/>
  <c r="V77" i="19"/>
  <c r="V116" i="19" s="1"/>
  <c r="AA7" i="19"/>
  <c r="BL15" i="19"/>
  <c r="L15" i="19" s="1"/>
  <c r="T78" i="19"/>
  <c r="T77" i="19" s="1"/>
  <c r="P79" i="19"/>
  <c r="AR79" i="19" s="1"/>
  <c r="G79" i="19" s="1"/>
  <c r="X78" i="19"/>
  <c r="X77" i="19" s="1"/>
  <c r="X116" i="19" s="1"/>
  <c r="AS96" i="19" s="1"/>
  <c r="X117" i="19" s="1"/>
  <c r="S77" i="19"/>
  <c r="S116" i="19" s="1"/>
  <c r="Y7" i="19"/>
  <c r="R78" i="19"/>
  <c r="U78" i="19"/>
  <c r="U77" i="19" s="1"/>
  <c r="P7" i="38"/>
  <c r="G31" i="13"/>
  <c r="G29" i="13"/>
  <c r="AF68" i="19"/>
  <c r="S8" i="84"/>
  <c r="AM68" i="34"/>
  <c r="Q39" i="13"/>
  <c r="AW68" i="34"/>
  <c r="F113" i="47"/>
  <c r="X26" i="13"/>
  <c r="AD68" i="38"/>
  <c r="M22" i="13"/>
  <c r="Z69" i="24"/>
  <c r="Q36" i="13"/>
  <c r="K23" i="13"/>
  <c r="AA68" i="26"/>
  <c r="AK68" i="37"/>
  <c r="BH65" i="23"/>
  <c r="M13" i="13"/>
  <c r="Q69" i="24"/>
  <c r="U8" i="31"/>
  <c r="U7" i="31" s="1"/>
  <c r="E24" i="31"/>
  <c r="W49" i="13"/>
  <c r="BG68" i="39"/>
  <c r="L69" i="24"/>
  <c r="BD67" i="39"/>
  <c r="D22" i="78" s="1"/>
  <c r="AP68" i="32"/>
  <c r="U39" i="13"/>
  <c r="V19" i="13"/>
  <c r="W68" i="40"/>
  <c r="G8" i="86"/>
  <c r="H8" i="86" s="1"/>
  <c r="M8" i="86" s="1"/>
  <c r="F31" i="46"/>
  <c r="K68" i="37"/>
  <c r="X37" i="13"/>
  <c r="G23" i="13"/>
  <c r="AA68" i="19"/>
  <c r="N39" i="13"/>
  <c r="AW69" i="23"/>
  <c r="J33" i="13"/>
  <c r="T39" i="13"/>
  <c r="BL30" i="40"/>
  <c r="AE34" i="38"/>
  <c r="AE25" i="38" s="1"/>
  <c r="E147" i="47"/>
  <c r="AT58" i="88"/>
  <c r="AH45" i="84"/>
  <c r="D156" i="46"/>
  <c r="BM59" i="29"/>
  <c r="BN59" i="29" s="1"/>
  <c r="D431" i="47"/>
  <c r="O40" i="13"/>
  <c r="AX68" i="22"/>
  <c r="G18" i="40"/>
  <c r="H67" i="40"/>
  <c r="D20" i="46" s="1"/>
  <c r="AF76" i="30"/>
  <c r="AF116" i="30"/>
  <c r="AS104" i="30" s="1"/>
  <c r="AF117" i="30" s="1"/>
  <c r="P90" i="38"/>
  <c r="R88" i="38"/>
  <c r="R76" i="38" s="1"/>
  <c r="BM35" i="25"/>
  <c r="BN35" i="25" s="1"/>
  <c r="D10" i="48"/>
  <c r="F10" i="48" s="1"/>
  <c r="F66" i="27"/>
  <c r="G63" i="27"/>
  <c r="G67" i="27" s="1"/>
  <c r="H26" i="13"/>
  <c r="AD68" i="29"/>
  <c r="U21" i="13"/>
  <c r="Y68" i="30"/>
  <c r="T48" i="13"/>
  <c r="BF68" i="31"/>
  <c r="L14" i="13"/>
  <c r="R68" i="25"/>
  <c r="H18" i="79"/>
  <c r="D115" i="46"/>
  <c r="AW68" i="24"/>
  <c r="D12" i="69" s="1"/>
  <c r="AG89" i="21"/>
  <c r="P106" i="21"/>
  <c r="K40" i="13"/>
  <c r="AX68" i="26"/>
  <c r="AA67" i="32"/>
  <c r="BM30" i="32" s="1"/>
  <c r="BN30" i="32" s="1"/>
  <c r="AA7" i="32"/>
  <c r="G21" i="13"/>
  <c r="BM55" i="25"/>
  <c r="BN55" i="25" s="1"/>
  <c r="D366" i="47"/>
  <c r="F366" i="47" s="1"/>
  <c r="E80" i="37"/>
  <c r="BM35" i="37"/>
  <c r="BN35" i="37" s="1"/>
  <c r="Y29" i="13" s="1"/>
  <c r="BJ68" i="34"/>
  <c r="P100" i="38"/>
  <c r="AB88" i="38"/>
  <c r="AB76" i="38" s="1"/>
  <c r="U49" i="13"/>
  <c r="BG68" i="30"/>
  <c r="AA68" i="30"/>
  <c r="P100" i="19"/>
  <c r="AB88" i="19"/>
  <c r="E16" i="63"/>
  <c r="BI68" i="37"/>
  <c r="W22" i="13"/>
  <c r="W43" i="13"/>
  <c r="BA68" i="39"/>
  <c r="P33" i="13"/>
  <c r="Q16" i="13"/>
  <c r="T68" i="34"/>
  <c r="AQ89" i="21"/>
  <c r="BM40" i="27"/>
  <c r="BN40" i="27" s="1"/>
  <c r="S88" i="32"/>
  <c r="S76" i="32" s="1"/>
  <c r="U16" i="13"/>
  <c r="T68" i="30"/>
  <c r="BD67" i="40"/>
  <c r="D21" i="78" s="1"/>
  <c r="H21" i="78" s="1"/>
  <c r="V53" i="32"/>
  <c r="AX25" i="32"/>
  <c r="AX7" i="32" s="1"/>
  <c r="AO113" i="30"/>
  <c r="AS113" i="30"/>
  <c r="AO117" i="30" s="1"/>
  <c r="AR104" i="33"/>
  <c r="F71" i="46"/>
  <c r="AW68" i="30"/>
  <c r="BH66" i="32"/>
  <c r="BK63" i="32"/>
  <c r="BK7" i="32" s="1"/>
  <c r="AK68" i="22"/>
  <c r="AR25" i="37"/>
  <c r="AR7" i="37" s="1"/>
  <c r="V47" i="37"/>
  <c r="W88" i="28"/>
  <c r="P95" i="28"/>
  <c r="Y38" i="13"/>
  <c r="AV68" i="37"/>
  <c r="AU7" i="38"/>
  <c r="Y46" i="13"/>
  <c r="BD68" i="37"/>
  <c r="AE40" i="27"/>
  <c r="V40" i="27" s="1"/>
  <c r="BL34" i="34"/>
  <c r="E25" i="34"/>
  <c r="BK63" i="21"/>
  <c r="BK7" i="21" s="1"/>
  <c r="BH66" i="21"/>
  <c r="X13" i="13"/>
  <c r="R33" i="13"/>
  <c r="AQ68" i="33"/>
  <c r="P26" i="13"/>
  <c r="AD69" i="21"/>
  <c r="P92" i="32"/>
  <c r="T88" i="32"/>
  <c r="T76" i="32" s="1"/>
  <c r="AR67" i="39"/>
  <c r="BM47" i="39" s="1"/>
  <c r="BN47" i="39" s="1"/>
  <c r="AG88" i="19"/>
  <c r="P105" i="19"/>
  <c r="AP68" i="33"/>
  <c r="BM64" i="39"/>
  <c r="BN64" i="39" s="1"/>
  <c r="BI64" i="39"/>
  <c r="U22" i="13"/>
  <c r="Z68" i="30"/>
  <c r="K13" i="13"/>
  <c r="Q68" i="26"/>
  <c r="AR81" i="19"/>
  <c r="I81" i="19" s="1"/>
  <c r="V34" i="13"/>
  <c r="AR68" i="40"/>
  <c r="J26" i="13"/>
  <c r="AD68" i="27"/>
  <c r="BE25" i="37"/>
  <c r="BE7" i="37" s="1"/>
  <c r="V60" i="37"/>
  <c r="M85" i="39"/>
  <c r="AS85" i="39"/>
  <c r="M117" i="39" s="1"/>
  <c r="BI64" i="31"/>
  <c r="BM64" i="31"/>
  <c r="BN64" i="31" s="1"/>
  <c r="AE34" i="37"/>
  <c r="AE25" i="37" s="1"/>
  <c r="E148" i="47"/>
  <c r="P105" i="38"/>
  <c r="AG88" i="38"/>
  <c r="AG76" i="38" s="1"/>
  <c r="BM39" i="26"/>
  <c r="BN39" i="26" s="1"/>
  <c r="AJ39" i="26"/>
  <c r="AP117" i="23"/>
  <c r="AS115" i="23" s="1"/>
  <c r="AP118" i="23" s="1"/>
  <c r="S116" i="27"/>
  <c r="AS91" i="27" s="1"/>
  <c r="S117" i="27" s="1"/>
  <c r="Y45" i="13"/>
  <c r="BC68" i="37"/>
  <c r="Q7" i="22"/>
  <c r="T40" i="13"/>
  <c r="AX68" i="31"/>
  <c r="AA25" i="21"/>
  <c r="V30" i="21"/>
  <c r="BK63" i="24"/>
  <c r="BK7" i="24" s="1"/>
  <c r="BH66" i="24"/>
  <c r="AO69" i="24"/>
  <c r="BL34" i="39"/>
  <c r="E25" i="39"/>
  <c r="E82" i="37"/>
  <c r="BM59" i="30"/>
  <c r="BN59" i="30" s="1"/>
  <c r="D444" i="47"/>
  <c r="F29" i="32"/>
  <c r="G25" i="32"/>
  <c r="D144" i="46"/>
  <c r="BM21" i="30"/>
  <c r="BN21" i="30" s="1"/>
  <c r="I81" i="26"/>
  <c r="AS81" i="26"/>
  <c r="I117" i="26" s="1"/>
  <c r="Q25" i="13"/>
  <c r="AC68" i="34"/>
  <c r="K68" i="27"/>
  <c r="BJ68" i="30"/>
  <c r="W26" i="13"/>
  <c r="AJ68" i="40"/>
  <c r="E143" i="47"/>
  <c r="H20" i="89" s="1"/>
  <c r="AE34" i="31"/>
  <c r="AE25" i="31" s="1"/>
  <c r="AE7" i="31" s="1"/>
  <c r="R49" i="13"/>
  <c r="BG68" i="33"/>
  <c r="AJ67" i="37"/>
  <c r="BM39" i="37" s="1"/>
  <c r="BN39" i="37" s="1"/>
  <c r="AJ7" i="37"/>
  <c r="P16" i="13"/>
  <c r="T69" i="21"/>
  <c r="D21" i="47"/>
  <c r="V38" i="13"/>
  <c r="E67" i="46"/>
  <c r="E42" i="17"/>
  <c r="V13" i="13"/>
  <c r="D46" i="47"/>
  <c r="F46" i="47" s="1"/>
  <c r="BM27" i="39"/>
  <c r="BN27" i="39" s="1"/>
  <c r="M34" i="13"/>
  <c r="AP69" i="23"/>
  <c r="M29" i="13"/>
  <c r="AE39" i="39"/>
  <c r="V39" i="39" s="1"/>
  <c r="AJ34" i="39"/>
  <c r="AJ25" i="39" s="1"/>
  <c r="AJ7" i="39" s="1"/>
  <c r="AD102" i="37"/>
  <c r="AS102" i="37"/>
  <c r="AD117" i="37" s="1"/>
  <c r="I49" i="13"/>
  <c r="H34" i="13"/>
  <c r="K68" i="19"/>
  <c r="K68" i="29"/>
  <c r="Q20" i="25"/>
  <c r="BM20" i="25"/>
  <c r="BN20" i="25" s="1"/>
  <c r="AG105" i="30"/>
  <c r="D143" i="46"/>
  <c r="X116" i="27"/>
  <c r="AS96" i="27" s="1"/>
  <c r="X117" i="27" s="1"/>
  <c r="AA30" i="39"/>
  <c r="BM30" i="39"/>
  <c r="BN30" i="39" s="1"/>
  <c r="AD33" i="31"/>
  <c r="BM33" i="31"/>
  <c r="BN33" i="31" s="1"/>
  <c r="P98" i="32"/>
  <c r="Z88" i="32"/>
  <c r="Z76" i="32" s="1"/>
  <c r="AH116" i="28"/>
  <c r="AS106" i="28" s="1"/>
  <c r="AH117" i="28" s="1"/>
  <c r="D108" i="48"/>
  <c r="F108" i="48" s="1"/>
  <c r="AC25" i="22"/>
  <c r="AC7" i="22" s="1"/>
  <c r="G16" i="13"/>
  <c r="H45" i="13"/>
  <c r="V53" i="27"/>
  <c r="BF61" i="27"/>
  <c r="O14" i="49"/>
  <c r="P14" i="49"/>
  <c r="S38" i="13"/>
  <c r="R46" i="13"/>
  <c r="P89" i="25"/>
  <c r="Q88" i="25"/>
  <c r="Q76" i="25" s="1"/>
  <c r="AQ116" i="40"/>
  <c r="N46" i="13"/>
  <c r="BD69" i="23"/>
  <c r="BM55" i="19"/>
  <c r="BN55" i="19" s="1"/>
  <c r="G42" i="13" s="1"/>
  <c r="D330" i="47"/>
  <c r="BK68" i="37"/>
  <c r="BK68" i="29"/>
  <c r="L20" i="13"/>
  <c r="X49" i="13"/>
  <c r="R40" i="13"/>
  <c r="AS110" i="40"/>
  <c r="AL117" i="40" s="1"/>
  <c r="BM55" i="39"/>
  <c r="BN55" i="39" s="1"/>
  <c r="W42" i="13" s="1"/>
  <c r="E346" i="47"/>
  <c r="T23" i="28"/>
  <c r="BM23" i="28"/>
  <c r="BN23" i="28" s="1"/>
  <c r="BM47" i="25"/>
  <c r="BN47" i="25" s="1"/>
  <c r="AR47" i="25"/>
  <c r="AQ97" i="29"/>
  <c r="BH25" i="29"/>
  <c r="AS113" i="39"/>
  <c r="AO117" i="39" s="1"/>
  <c r="AO113" i="39"/>
  <c r="AV67" i="19"/>
  <c r="D6" i="70" s="1"/>
  <c r="BL64" i="33"/>
  <c r="BI64" i="33" s="1"/>
  <c r="V63" i="33"/>
  <c r="BL63" i="33" s="1"/>
  <c r="U93" i="39"/>
  <c r="AS96" i="31"/>
  <c r="X117" i="31" s="1"/>
  <c r="X96" i="31"/>
  <c r="AC116" i="25"/>
  <c r="AS101" i="25" s="1"/>
  <c r="AC117" i="25" s="1"/>
  <c r="P91" i="26"/>
  <c r="S88" i="26"/>
  <c r="S76" i="26" s="1"/>
  <c r="L68" i="26"/>
  <c r="K83" i="32"/>
  <c r="V33" i="13"/>
  <c r="M30" i="13"/>
  <c r="N13" i="13"/>
  <c r="Q13" i="13"/>
  <c r="Y37" i="13"/>
  <c r="L22" i="13"/>
  <c r="Z68" i="25"/>
  <c r="E29" i="19"/>
  <c r="BM61" i="37"/>
  <c r="BN61" i="37" s="1"/>
  <c r="D498" i="47"/>
  <c r="F498" i="47" s="1"/>
  <c r="AQ117" i="21"/>
  <c r="Y14" i="13"/>
  <c r="AK68" i="40"/>
  <c r="E22" i="47"/>
  <c r="W26" i="38"/>
  <c r="BL34" i="29"/>
  <c r="H25" i="30"/>
  <c r="H67" i="30" s="1"/>
  <c r="D19" i="46" s="1"/>
  <c r="F97" i="30"/>
  <c r="AF67" i="30"/>
  <c r="D21" i="61" s="1"/>
  <c r="AF7" i="30"/>
  <c r="AE39" i="23"/>
  <c r="V39" i="23" s="1"/>
  <c r="AJ34" i="23"/>
  <c r="AJ25" i="23" s="1"/>
  <c r="AJ7" i="23" s="1"/>
  <c r="AS101" i="39"/>
  <c r="AC117" i="39" s="1"/>
  <c r="K68" i="30"/>
  <c r="U93" i="30"/>
  <c r="V116" i="40"/>
  <c r="AS94" i="40" s="1"/>
  <c r="V117" i="40" s="1"/>
  <c r="F63" i="40"/>
  <c r="E64" i="40"/>
  <c r="L68" i="39"/>
  <c r="K68" i="31"/>
  <c r="AA99" i="28"/>
  <c r="AS99" i="28"/>
  <c r="AA117" i="28" s="1"/>
  <c r="D389" i="47"/>
  <c r="AA88" i="32"/>
  <c r="AA76" i="32" s="1"/>
  <c r="P99" i="32"/>
  <c r="T88" i="40"/>
  <c r="T76" i="40" s="1"/>
  <c r="P92" i="40"/>
  <c r="T13" i="13"/>
  <c r="Q68" i="31"/>
  <c r="P105" i="22"/>
  <c r="AG88" i="22"/>
  <c r="AG76" i="22" s="1"/>
  <c r="Y34" i="13"/>
  <c r="S44" i="13"/>
  <c r="O20" i="49"/>
  <c r="P20" i="49"/>
  <c r="AS106" i="21"/>
  <c r="AG118" i="21" s="1"/>
  <c r="R22" i="13"/>
  <c r="AJ68" i="38"/>
  <c r="E66" i="19"/>
  <c r="F63" i="19"/>
  <c r="AK68" i="28"/>
  <c r="BA67" i="40"/>
  <c r="D21" i="74" s="1"/>
  <c r="I21" i="74" s="1"/>
  <c r="N21" i="74" s="1"/>
  <c r="P21" i="74" s="1"/>
  <c r="BA7" i="40"/>
  <c r="F53" i="30"/>
  <c r="G25" i="30"/>
  <c r="AB67" i="40"/>
  <c r="D22" i="57" s="1"/>
  <c r="AB7" i="40"/>
  <c r="D95" i="46"/>
  <c r="BM17" i="40"/>
  <c r="BN17" i="40" s="1"/>
  <c r="V11" i="13" s="1"/>
  <c r="V62" i="39"/>
  <c r="BG25" i="39"/>
  <c r="BG7" i="39" s="1"/>
  <c r="AG105" i="39"/>
  <c r="AS105" i="39"/>
  <c r="AG117" i="39" s="1"/>
  <c r="AK69" i="24"/>
  <c r="AK68" i="38"/>
  <c r="AG116" i="38"/>
  <c r="AS105" i="38" s="1"/>
  <c r="AG117" i="38" s="1"/>
  <c r="AA116" i="37"/>
  <c r="AS101" i="37"/>
  <c r="AC117" i="37" s="1"/>
  <c r="T92" i="27"/>
  <c r="U93" i="34"/>
  <c r="AS93" i="34"/>
  <c r="U117" i="34" s="1"/>
  <c r="AR82" i="32"/>
  <c r="L68" i="31"/>
  <c r="BM32" i="22"/>
  <c r="BN32" i="22" s="1"/>
  <c r="BK69" i="21"/>
  <c r="AO68" i="39"/>
  <c r="V37" i="13"/>
  <c r="BM31" i="19"/>
  <c r="BN31" i="19" s="1"/>
  <c r="AB68" i="19" s="1"/>
  <c r="D80" i="47"/>
  <c r="P34" i="13"/>
  <c r="AR93" i="26"/>
  <c r="Y49" i="13"/>
  <c r="X34" i="13"/>
  <c r="S34" i="13"/>
  <c r="N21" i="13"/>
  <c r="AM67" i="40"/>
  <c r="D22" i="63" s="1"/>
  <c r="AU25" i="40"/>
  <c r="E25" i="28"/>
  <c r="BL47" i="28"/>
  <c r="E65" i="22"/>
  <c r="F63" i="22"/>
  <c r="D22" i="47"/>
  <c r="BM26" i="38"/>
  <c r="BN26" i="38" s="1"/>
  <c r="AI107" i="39"/>
  <c r="AI88" i="39" s="1"/>
  <c r="AI76" i="39" s="1"/>
  <c r="AS107" i="39"/>
  <c r="AI117" i="39" s="1"/>
  <c r="AJ88" i="22"/>
  <c r="AJ76" i="22" s="1"/>
  <c r="P108" i="22"/>
  <c r="P99" i="27"/>
  <c r="AB88" i="27"/>
  <c r="AB76" i="27" s="1"/>
  <c r="P100" i="27"/>
  <c r="AK116" i="30"/>
  <c r="AS109" i="30" s="1"/>
  <c r="AK117" i="30" s="1"/>
  <c r="AJ108" i="34"/>
  <c r="AS108" i="34"/>
  <c r="AJ117" i="34" s="1"/>
  <c r="N38" i="13"/>
  <c r="Y22" i="13"/>
  <c r="T46" i="13"/>
  <c r="T21" i="13"/>
  <c r="S21" i="13"/>
  <c r="R39" i="13"/>
  <c r="Y41" i="13"/>
  <c r="Q43" i="13"/>
  <c r="I11" i="32"/>
  <c r="I10" i="32" s="1"/>
  <c r="R21" i="30"/>
  <c r="E144" i="46"/>
  <c r="AK69" i="23"/>
  <c r="N12" i="13"/>
  <c r="AH34" i="23"/>
  <c r="AH25" i="23" s="1"/>
  <c r="AH7" i="23" s="1"/>
  <c r="AE37" i="23"/>
  <c r="V37" i="23" s="1"/>
  <c r="I23" i="13"/>
  <c r="D177" i="48"/>
  <c r="F177" i="48" s="1"/>
  <c r="BM44" i="26"/>
  <c r="BN44" i="26" s="1"/>
  <c r="AO68" i="26" s="1"/>
  <c r="K68" i="34"/>
  <c r="V47" i="26"/>
  <c r="AR25" i="26"/>
  <c r="AR7" i="26" s="1"/>
  <c r="BL30" i="22"/>
  <c r="BB67" i="37"/>
  <c r="G116" i="30"/>
  <c r="G76" i="30"/>
  <c r="O29" i="13"/>
  <c r="AF68" i="22"/>
  <c r="P101" i="34"/>
  <c r="AC88" i="34"/>
  <c r="AC76" i="34" s="1"/>
  <c r="BB67" i="39"/>
  <c r="D23" i="73" s="1"/>
  <c r="I23" i="73" s="1"/>
  <c r="BB7" i="39"/>
  <c r="BA56" i="31"/>
  <c r="E368" i="47"/>
  <c r="H19" i="74" s="1"/>
  <c r="X97" i="21"/>
  <c r="AS97" i="21"/>
  <c r="X118" i="21" s="1"/>
  <c r="Z68" i="23"/>
  <c r="K68" i="40"/>
  <c r="N8" i="66"/>
  <c r="F156" i="47"/>
  <c r="E32" i="46"/>
  <c r="G9" i="86" s="1"/>
  <c r="H9" i="86" s="1"/>
  <c r="M9" i="86" s="1"/>
  <c r="S16" i="13"/>
  <c r="Y13" i="13"/>
  <c r="U44" i="13"/>
  <c r="V45" i="13"/>
  <c r="T17" i="13"/>
  <c r="U68" i="31"/>
  <c r="T23" i="33"/>
  <c r="L68" i="25"/>
  <c r="P49" i="13"/>
  <c r="O49" i="13"/>
  <c r="I22" i="13"/>
  <c r="E410" i="47"/>
  <c r="BC58" i="25"/>
  <c r="AZ55" i="27"/>
  <c r="E281" i="47"/>
  <c r="AW52" i="29"/>
  <c r="BM52" i="29"/>
  <c r="BN52" i="29" s="1"/>
  <c r="D157" i="47"/>
  <c r="F157" i="47" s="1"/>
  <c r="BM46" i="28"/>
  <c r="BN46" i="28" s="1"/>
  <c r="AS67" i="22"/>
  <c r="D14" i="65" s="1"/>
  <c r="Z88" i="30"/>
  <c r="Z76" i="30" s="1"/>
  <c r="Z116" i="30"/>
  <c r="AS98" i="30" s="1"/>
  <c r="Z117" i="30" s="1"/>
  <c r="W76" i="40"/>
  <c r="W116" i="40"/>
  <c r="AS95" i="40" s="1"/>
  <c r="E53" i="38"/>
  <c r="BL23" i="39"/>
  <c r="D44" i="46"/>
  <c r="T116" i="30"/>
  <c r="AS92" i="30" s="1"/>
  <c r="T117" i="30" s="1"/>
  <c r="T76" i="30"/>
  <c r="V33" i="21"/>
  <c r="AD25" i="21"/>
  <c r="AD7" i="21" s="1"/>
  <c r="AS110" i="25"/>
  <c r="AL117" i="25" s="1"/>
  <c r="AX53" i="34"/>
  <c r="L68" i="28"/>
  <c r="G25" i="28"/>
  <c r="BL16" i="24"/>
  <c r="P36" i="13"/>
  <c r="K34" i="13"/>
  <c r="S37" i="13"/>
  <c r="U41" i="13"/>
  <c r="AK68" i="30"/>
  <c r="AO68" i="40"/>
  <c r="K19" i="13"/>
  <c r="U17" i="13"/>
  <c r="H20" i="59"/>
  <c r="L68" i="27"/>
  <c r="BH53" i="88"/>
  <c r="L68" i="32"/>
  <c r="M16" i="13"/>
  <c r="AE8" i="23"/>
  <c r="W13" i="13"/>
  <c r="S40" i="13"/>
  <c r="J34" i="13"/>
  <c r="P35" i="13"/>
  <c r="M26" i="13"/>
  <c r="BH23" i="87"/>
  <c r="BI23" i="87" s="1"/>
  <c r="BH23" i="88"/>
  <c r="AS82" i="27"/>
  <c r="J117" i="27" s="1"/>
  <c r="V89" i="23"/>
  <c r="P95" i="23"/>
  <c r="Q26" i="13"/>
  <c r="L69" i="23"/>
  <c r="X35" i="13"/>
  <c r="W38" i="13"/>
  <c r="U26" i="13"/>
  <c r="Q46" i="13"/>
  <c r="BN18" i="32"/>
  <c r="S13" i="13"/>
  <c r="V16" i="13"/>
  <c r="S12" i="13"/>
  <c r="W40" i="13"/>
  <c r="X16" i="13"/>
  <c r="BH25" i="88"/>
  <c r="BH25" i="87"/>
  <c r="BI25" i="87" s="1"/>
  <c r="T34" i="13"/>
  <c r="R32" i="13"/>
  <c r="AI68" i="33"/>
  <c r="T49" i="13"/>
  <c r="S49" i="13"/>
  <c r="G13" i="13"/>
  <c r="AS106" i="29"/>
  <c r="AH117" i="29" s="1"/>
  <c r="Y17" i="13"/>
  <c r="AQ78" i="26"/>
  <c r="BH28" i="87"/>
  <c r="BI28" i="87" s="1"/>
  <c r="E23" i="40"/>
  <c r="L68" i="37"/>
  <c r="J46" i="13"/>
  <c r="BL64" i="32"/>
  <c r="V63" i="32"/>
  <c r="D67" i="48"/>
  <c r="BM28" i="40"/>
  <c r="BN28" i="40" s="1"/>
  <c r="D70" i="47"/>
  <c r="F70" i="47" s="1"/>
  <c r="S46" i="13"/>
  <c r="AU50" i="22"/>
  <c r="P22" i="13"/>
  <c r="AJ68" i="31"/>
  <c r="J68" i="34"/>
  <c r="Y31" i="13"/>
  <c r="AH68" i="37"/>
  <c r="Y28" i="40"/>
  <c r="E70" i="47"/>
  <c r="P21" i="49"/>
  <c r="O21" i="49"/>
  <c r="AS99" i="33"/>
  <c r="AA117" i="33" s="1"/>
  <c r="AP68" i="22"/>
  <c r="Q29" i="13"/>
  <c r="AF68" i="34"/>
  <c r="L68" i="38"/>
  <c r="Q22" i="13"/>
  <c r="G117" i="21"/>
  <c r="AS80" i="21" s="1"/>
  <c r="G118" i="21" s="1"/>
  <c r="G77" i="21"/>
  <c r="G76" i="22"/>
  <c r="G116" i="22"/>
  <c r="BF25" i="34"/>
  <c r="BF7" i="34" s="1"/>
  <c r="V61" i="34"/>
  <c r="P19" i="23"/>
  <c r="E112" i="46"/>
  <c r="G14" i="41" s="1"/>
  <c r="H14" i="41" s="1"/>
  <c r="M14" i="41" s="1"/>
  <c r="O14" i="41" s="1"/>
  <c r="BM45" i="26"/>
  <c r="BN45" i="26" s="1"/>
  <c r="D201" i="48"/>
  <c r="F201" i="48" s="1"/>
  <c r="X23" i="13"/>
  <c r="BH24" i="87"/>
  <c r="BI24" i="87" s="1"/>
  <c r="BH41" i="88"/>
  <c r="BH41" i="87"/>
  <c r="BI41" i="87" s="1"/>
  <c r="AS87" i="32"/>
  <c r="O117" i="32" s="1"/>
  <c r="D20" i="83"/>
  <c r="Y32" i="13"/>
  <c r="AS95" i="34"/>
  <c r="W117" i="34" s="1"/>
  <c r="AE41" i="24"/>
  <c r="V41" i="24" s="1"/>
  <c r="T88" i="28"/>
  <c r="T76" i="28" s="1"/>
  <c r="P92" i="28"/>
  <c r="AE8" i="40"/>
  <c r="AE67" i="40" s="1"/>
  <c r="D22" i="89" s="1"/>
  <c r="E68" i="46"/>
  <c r="G16" i="80"/>
  <c r="F465" i="47"/>
  <c r="BM38" i="26"/>
  <c r="BN38" i="26" s="1"/>
  <c r="F488" i="47"/>
  <c r="H14" i="77"/>
  <c r="K68" i="32"/>
  <c r="N29" i="13"/>
  <c r="AS87" i="31"/>
  <c r="O117" i="31" s="1"/>
  <c r="C249" i="47"/>
  <c r="C16" i="71"/>
  <c r="AE8" i="32"/>
  <c r="BL22" i="40"/>
  <c r="AU25" i="28"/>
  <c r="V50" i="28"/>
  <c r="D182" i="46"/>
  <c r="AN68" i="37"/>
  <c r="F467" i="47"/>
  <c r="G18" i="80"/>
  <c r="H18" i="80" s="1"/>
  <c r="BM45" i="30"/>
  <c r="BN45" i="30" s="1"/>
  <c r="BL12" i="33"/>
  <c r="I12" i="33" s="1"/>
  <c r="AN68" i="30"/>
  <c r="V29" i="30"/>
  <c r="Z25" i="30"/>
  <c r="Z7" i="30" s="1"/>
  <c r="AY25" i="25"/>
  <c r="AY7" i="25" s="1"/>
  <c r="M21" i="13"/>
  <c r="V77" i="27"/>
  <c r="I88" i="34"/>
  <c r="I116" i="34" s="1"/>
  <c r="E110" i="34"/>
  <c r="AR110" i="34" s="1"/>
  <c r="BF25" i="39"/>
  <c r="BF7" i="39" s="1"/>
  <c r="V61" i="39"/>
  <c r="V53" i="37"/>
  <c r="AX25" i="37"/>
  <c r="AX7" i="37" s="1"/>
  <c r="AR25" i="39"/>
  <c r="AR7" i="39" s="1"/>
  <c r="V47" i="39"/>
  <c r="BL20" i="30"/>
  <c r="AX53" i="24"/>
  <c r="BM53" i="24"/>
  <c r="BN53" i="24" s="1"/>
  <c r="BM44" i="22"/>
  <c r="BN44" i="22" s="1"/>
  <c r="BM61" i="22"/>
  <c r="BN61" i="22" s="1"/>
  <c r="G8" i="68"/>
  <c r="H8" i="68" s="1"/>
  <c r="M9" i="68" s="1"/>
  <c r="N9" i="68" s="1"/>
  <c r="G49" i="13"/>
  <c r="BD59" i="34"/>
  <c r="E440" i="47"/>
  <c r="G16" i="78" s="1"/>
  <c r="H16" i="78" s="1"/>
  <c r="AO44" i="34"/>
  <c r="E183" i="48"/>
  <c r="E83" i="47"/>
  <c r="H10" i="57" s="1"/>
  <c r="AB31" i="27"/>
  <c r="K69" i="21"/>
  <c r="AS95" i="32"/>
  <c r="W117" i="32" s="1"/>
  <c r="W95" i="32"/>
  <c r="AR111" i="19"/>
  <c r="I88" i="27"/>
  <c r="I116" i="27" s="1"/>
  <c r="I26" i="13"/>
  <c r="E436" i="47"/>
  <c r="BD59" i="24"/>
  <c r="BM59" i="24"/>
  <c r="BN59" i="24" s="1"/>
  <c r="E33" i="48"/>
  <c r="H12" i="60" s="1"/>
  <c r="AG36" i="26"/>
  <c r="AS100" i="39"/>
  <c r="AB117" i="39" s="1"/>
  <c r="P84" i="34"/>
  <c r="AR84" i="34" s="1"/>
  <c r="L84" i="34" s="1"/>
  <c r="AS79" i="22"/>
  <c r="G117" i="22" s="1"/>
  <c r="S14" i="13"/>
  <c r="D61" i="48"/>
  <c r="BL27" i="19"/>
  <c r="AA25" i="27"/>
  <c r="O16" i="13"/>
  <c r="W48" i="13"/>
  <c r="BF68" i="39"/>
  <c r="E80" i="47"/>
  <c r="AB31" i="19"/>
  <c r="Q14" i="13"/>
  <c r="AE35" i="19"/>
  <c r="V35" i="19" s="1"/>
  <c r="AF34" i="19"/>
  <c r="AF25" i="19" s="1"/>
  <c r="AF7" i="19" s="1"/>
  <c r="AR113" i="27"/>
  <c r="AO113" i="27" s="1"/>
  <c r="AS89" i="28"/>
  <c r="Q117" i="28" s="1"/>
  <c r="AS109" i="26"/>
  <c r="AK117" i="26" s="1"/>
  <c r="E23" i="32"/>
  <c r="V29" i="37"/>
  <c r="E258" i="47"/>
  <c r="H9" i="70" s="1"/>
  <c r="AV51" i="27"/>
  <c r="J16" i="13"/>
  <c r="K69" i="24"/>
  <c r="N34" i="13"/>
  <c r="AJ117" i="21"/>
  <c r="AK78" i="21"/>
  <c r="AR112" i="21"/>
  <c r="AM112" i="21" s="1"/>
  <c r="AE8" i="28"/>
  <c r="AE67" i="28" s="1"/>
  <c r="D9" i="89" s="1"/>
  <c r="J29" i="13"/>
  <c r="Y40" i="13"/>
  <c r="R23" i="13"/>
  <c r="AF68" i="33"/>
  <c r="H27" i="84"/>
  <c r="K68" i="28"/>
  <c r="D108" i="46"/>
  <c r="AP69" i="21"/>
  <c r="BH47" i="87"/>
  <c r="BI47" i="87" s="1"/>
  <c r="BH47" i="88"/>
  <c r="BM38" i="25"/>
  <c r="BN38" i="25" s="1"/>
  <c r="AE8" i="84"/>
  <c r="BD25" i="33"/>
  <c r="BD7" i="33" s="1"/>
  <c r="BF61" i="22"/>
  <c r="BM38" i="30"/>
  <c r="BN38" i="30" s="1"/>
  <c r="E91" i="48"/>
  <c r="AI38" i="30"/>
  <c r="V62" i="27"/>
  <c r="BG25" i="27"/>
  <c r="BG7" i="27" s="1"/>
  <c r="G115" i="31"/>
  <c r="G116" i="31" s="1"/>
  <c r="AS79" i="31" s="1"/>
  <c r="G117" i="31" s="1"/>
  <c r="F83" i="31"/>
  <c r="G21" i="31"/>
  <c r="F21" i="31" s="1"/>
  <c r="AP45" i="84"/>
  <c r="P19" i="24"/>
  <c r="M16" i="27"/>
  <c r="H7" i="59"/>
  <c r="BH9" i="88"/>
  <c r="E194" i="47"/>
  <c r="H20" i="65" s="1"/>
  <c r="AS48" i="30"/>
  <c r="AK68" i="25"/>
  <c r="K69" i="23"/>
  <c r="N43" i="13"/>
  <c r="I88" i="19"/>
  <c r="I116" i="19" s="1"/>
  <c r="E94" i="19"/>
  <c r="AR94" i="19" s="1"/>
  <c r="V94" i="19" s="1"/>
  <c r="J116" i="29"/>
  <c r="E93" i="27"/>
  <c r="AR93" i="27" s="1"/>
  <c r="U93" i="27" s="1"/>
  <c r="P84" i="26"/>
  <c r="AR84" i="26" s="1"/>
  <c r="L84" i="26" s="1"/>
  <c r="E84" i="26" s="1"/>
  <c r="E105" i="26"/>
  <c r="AR105" i="26" s="1"/>
  <c r="AG105" i="26" s="1"/>
  <c r="P85" i="25"/>
  <c r="AR85" i="25" s="1"/>
  <c r="AS85" i="25" s="1"/>
  <c r="M117" i="25" s="1"/>
  <c r="L67" i="22"/>
  <c r="BM15" i="22" s="1"/>
  <c r="BN15" i="22" s="1"/>
  <c r="E99" i="22"/>
  <c r="P88" i="21"/>
  <c r="AR88" i="21" s="1"/>
  <c r="O88" i="21" s="1"/>
  <c r="L67" i="34"/>
  <c r="BM15" i="34" s="1"/>
  <c r="BN15" i="34" s="1"/>
  <c r="N88" i="34"/>
  <c r="N116" i="34" s="1"/>
  <c r="P86" i="34"/>
  <c r="AR86" i="34" s="1"/>
  <c r="N86" i="34" s="1"/>
  <c r="P84" i="32"/>
  <c r="AR84" i="32" s="1"/>
  <c r="O88" i="30"/>
  <c r="BM46" i="32"/>
  <c r="BN46" i="32" s="1"/>
  <c r="BM44" i="25"/>
  <c r="BN44" i="25" s="1"/>
  <c r="AF77" i="29"/>
  <c r="AC77" i="28"/>
  <c r="AO77" i="27"/>
  <c r="P83" i="26"/>
  <c r="AR83" i="26" s="1"/>
  <c r="E103" i="25"/>
  <c r="AR103" i="25" s="1"/>
  <c r="AS103" i="25" s="1"/>
  <c r="AE117" i="25" s="1"/>
  <c r="E108" i="25"/>
  <c r="AR108" i="25" s="1"/>
  <c r="J89" i="24"/>
  <c r="J117" i="24" s="1"/>
  <c r="AS83" i="24" s="1"/>
  <c r="J118" i="24" s="1"/>
  <c r="E108" i="24"/>
  <c r="AR108" i="24" s="1"/>
  <c r="AI108" i="24" s="1"/>
  <c r="E92" i="23"/>
  <c r="K78" i="22"/>
  <c r="O11" i="22"/>
  <c r="AR86" i="22"/>
  <c r="N86" i="22" s="1"/>
  <c r="I88" i="22"/>
  <c r="I116" i="22" s="1"/>
  <c r="AS81" i="22" s="1"/>
  <c r="I117" i="22" s="1"/>
  <c r="M89" i="21"/>
  <c r="M117" i="21" s="1"/>
  <c r="P87" i="21"/>
  <c r="AR87" i="21" s="1"/>
  <c r="N87" i="21" s="1"/>
  <c r="E109" i="21"/>
  <c r="AR109" i="21" s="1"/>
  <c r="AJ109" i="21" s="1"/>
  <c r="O88" i="34"/>
  <c r="E111" i="34"/>
  <c r="AR111" i="34" s="1"/>
  <c r="AR109" i="33"/>
  <c r="G77" i="32"/>
  <c r="G76" i="32" s="1"/>
  <c r="G116" i="32"/>
  <c r="Y89" i="31"/>
  <c r="AR89" i="31" s="1"/>
  <c r="BL26" i="31"/>
  <c r="T115" i="31"/>
  <c r="P95" i="40"/>
  <c r="S26" i="13"/>
  <c r="AE43" i="29"/>
  <c r="V43" i="29" s="1"/>
  <c r="AN34" i="29"/>
  <c r="AN25" i="29" s="1"/>
  <c r="E90" i="25"/>
  <c r="N88" i="25"/>
  <c r="N116" i="25" s="1"/>
  <c r="P83" i="25"/>
  <c r="AR83" i="25" s="1"/>
  <c r="K83" i="25" s="1"/>
  <c r="Z77" i="25"/>
  <c r="P84" i="25"/>
  <c r="AR84" i="25" s="1"/>
  <c r="N89" i="24"/>
  <c r="E103" i="21"/>
  <c r="E94" i="34"/>
  <c r="AR114" i="32"/>
  <c r="Z8" i="31"/>
  <c r="BM44" i="32"/>
  <c r="BN44" i="32" s="1"/>
  <c r="G46" i="13"/>
  <c r="BH42" i="88"/>
  <c r="BH42" i="87"/>
  <c r="BI42" i="87" s="1"/>
  <c r="K116" i="19"/>
  <c r="H14" i="29"/>
  <c r="G14" i="29" s="1"/>
  <c r="F14" i="29" s="1"/>
  <c r="E14" i="29" s="1"/>
  <c r="K11" i="29"/>
  <c r="K10" i="29" s="1"/>
  <c r="K9" i="29" s="1"/>
  <c r="K8" i="29" s="1"/>
  <c r="K7" i="29" s="1"/>
  <c r="AR90" i="28"/>
  <c r="R90" i="28" s="1"/>
  <c r="AO116" i="28"/>
  <c r="AS113" i="28" s="1"/>
  <c r="AO117" i="28" s="1"/>
  <c r="E90" i="27"/>
  <c r="AI77" i="27"/>
  <c r="P86" i="26"/>
  <c r="AR86" i="26" s="1"/>
  <c r="AP77" i="26"/>
  <c r="G88" i="25"/>
  <c r="G76" i="25" s="1"/>
  <c r="G116" i="25"/>
  <c r="AS79" i="25" s="1"/>
  <c r="G117" i="25" s="1"/>
  <c r="AR86" i="25"/>
  <c r="N86" i="25" s="1"/>
  <c r="Q78" i="24"/>
  <c r="E97" i="24"/>
  <c r="P87" i="23"/>
  <c r="AR87" i="23" s="1"/>
  <c r="X88" i="22"/>
  <c r="X77" i="22"/>
  <c r="P83" i="22"/>
  <c r="AR83" i="22" s="1"/>
  <c r="K83" i="22" s="1"/>
  <c r="E83" i="22" s="1"/>
  <c r="H89" i="21"/>
  <c r="H117" i="21" s="1"/>
  <c r="AH77" i="33"/>
  <c r="AK78" i="31"/>
  <c r="AK77" i="31" s="1"/>
  <c r="BB10" i="31"/>
  <c r="BB9" i="31" s="1"/>
  <c r="BB8" i="31" s="1"/>
  <c r="BB67" i="31" s="1"/>
  <c r="D20" i="73" s="1"/>
  <c r="AO44" i="25"/>
  <c r="AW52" i="39"/>
  <c r="AO44" i="32"/>
  <c r="AV51" i="32"/>
  <c r="BH48" i="87"/>
  <c r="BI48" i="87" s="1"/>
  <c r="BH48" i="88"/>
  <c r="M88" i="19"/>
  <c r="M116" i="19" s="1"/>
  <c r="E91" i="19"/>
  <c r="E110" i="19"/>
  <c r="AR110" i="19" s="1"/>
  <c r="H88" i="29"/>
  <c r="E113" i="29"/>
  <c r="AR113" i="29" s="1"/>
  <c r="AO113" i="29" s="1"/>
  <c r="AK77" i="27"/>
  <c r="AE45" i="26"/>
  <c r="V45" i="26" s="1"/>
  <c r="AP34" i="26"/>
  <c r="AP25" i="26" s="1"/>
  <c r="AP7" i="26" s="1"/>
  <c r="AF77" i="26"/>
  <c r="AF116" i="26" s="1"/>
  <c r="AS104" i="26" s="1"/>
  <c r="AF117" i="26" s="1"/>
  <c r="AO77" i="26"/>
  <c r="AO116" i="26" s="1"/>
  <c r="AS113" i="26" s="1"/>
  <c r="AO117" i="26" s="1"/>
  <c r="E111" i="24"/>
  <c r="AR111" i="24" s="1"/>
  <c r="E113" i="24"/>
  <c r="AR113" i="24" s="1"/>
  <c r="L89" i="23"/>
  <c r="L117" i="23" s="1"/>
  <c r="AS85" i="23" s="1"/>
  <c r="L118" i="23" s="1"/>
  <c r="AR107" i="23"/>
  <c r="E108" i="23"/>
  <c r="AR108" i="23" s="1"/>
  <c r="P80" i="22"/>
  <c r="AR80" i="22" s="1"/>
  <c r="AR107" i="22"/>
  <c r="AI107" i="22" s="1"/>
  <c r="AO77" i="22"/>
  <c r="L68" i="21"/>
  <c r="BM15" i="21" s="1"/>
  <c r="BN15" i="21" s="1"/>
  <c r="J88" i="34"/>
  <c r="J116" i="34" s="1"/>
  <c r="AR105" i="34"/>
  <c r="AG105" i="34" s="1"/>
  <c r="E113" i="34"/>
  <c r="AR113" i="34" s="1"/>
  <c r="AS25" i="32"/>
  <c r="AS7" i="32" s="1"/>
  <c r="V48" i="32"/>
  <c r="E94" i="32"/>
  <c r="AR94" i="32" s="1"/>
  <c r="E100" i="32"/>
  <c r="AR100" i="32" s="1"/>
  <c r="AB100" i="32" s="1"/>
  <c r="F100" i="31"/>
  <c r="E100" i="31" s="1"/>
  <c r="AR100" i="31" s="1"/>
  <c r="AB100" i="31" s="1"/>
  <c r="G48" i="31"/>
  <c r="F48" i="31" s="1"/>
  <c r="E48" i="31" s="1"/>
  <c r="BL48" i="31" s="1"/>
  <c r="AJ115" i="31"/>
  <c r="AJ116" i="31" s="1"/>
  <c r="AS108" i="31" s="1"/>
  <c r="BA56" i="32"/>
  <c r="AR82" i="19"/>
  <c r="J82" i="19" s="1"/>
  <c r="AR83" i="19"/>
  <c r="K83" i="19" s="1"/>
  <c r="E114" i="19"/>
  <c r="AR114" i="19" s="1"/>
  <c r="AP114" i="19" s="1"/>
  <c r="AP88" i="19" s="1"/>
  <c r="AP76" i="19" s="1"/>
  <c r="V48" i="28"/>
  <c r="AS25" i="28"/>
  <c r="H88" i="28"/>
  <c r="H116" i="28" s="1"/>
  <c r="AS80" i="28" s="1"/>
  <c r="H117" i="28" s="1"/>
  <c r="U77" i="28"/>
  <c r="G116" i="27"/>
  <c r="P87" i="27"/>
  <c r="AR87" i="27" s="1"/>
  <c r="O87" i="27" s="1"/>
  <c r="E87" i="27" s="1"/>
  <c r="AR94" i="26"/>
  <c r="V94" i="26" s="1"/>
  <c r="V88" i="26" s="1"/>
  <c r="V76" i="26" s="1"/>
  <c r="AL110" i="26"/>
  <c r="P81" i="25"/>
  <c r="AR81" i="25" s="1"/>
  <c r="I81" i="25" s="1"/>
  <c r="AR100" i="24"/>
  <c r="AA100" i="24" s="1"/>
  <c r="AM78" i="24"/>
  <c r="X78" i="23"/>
  <c r="E114" i="23"/>
  <c r="AR114" i="23" s="1"/>
  <c r="AO114" i="23" s="1"/>
  <c r="W77" i="22"/>
  <c r="P83" i="21"/>
  <c r="AR83" i="21" s="1"/>
  <c r="J83" i="21" s="1"/>
  <c r="H116" i="33"/>
  <c r="AS80" i="33" s="1"/>
  <c r="H117" i="33" s="1"/>
  <c r="E105" i="33"/>
  <c r="AR105" i="33" s="1"/>
  <c r="AG105" i="33" s="1"/>
  <c r="BL44" i="31"/>
  <c r="F32" i="84"/>
  <c r="AR84" i="31"/>
  <c r="L84" i="31" s="1"/>
  <c r="O88" i="19"/>
  <c r="O116" i="19" s="1"/>
  <c r="AS87" i="19" s="1"/>
  <c r="O117" i="19" s="1"/>
  <c r="AG77" i="19"/>
  <c r="E112" i="19"/>
  <c r="AR112" i="19" s="1"/>
  <c r="P82" i="29"/>
  <c r="AR82" i="29" s="1"/>
  <c r="J82" i="29" s="1"/>
  <c r="E100" i="29"/>
  <c r="E108" i="29"/>
  <c r="AR108" i="29" s="1"/>
  <c r="AJ108" i="29" s="1"/>
  <c r="N88" i="28"/>
  <c r="AE35" i="27"/>
  <c r="V35" i="27" s="1"/>
  <c r="AF34" i="27"/>
  <c r="AF25" i="27" s="1"/>
  <c r="AF7" i="27" s="1"/>
  <c r="AR101" i="27"/>
  <c r="AC101" i="27" s="1"/>
  <c r="M88" i="26"/>
  <c r="M116" i="26" s="1"/>
  <c r="P80" i="25"/>
  <c r="AR80" i="25" s="1"/>
  <c r="H80" i="25" s="1"/>
  <c r="E80" i="25" s="1"/>
  <c r="E113" i="25"/>
  <c r="E105" i="24"/>
  <c r="AR105" i="24" s="1"/>
  <c r="E115" i="24"/>
  <c r="AR115" i="24" s="1"/>
  <c r="S78" i="23"/>
  <c r="P82" i="22"/>
  <c r="AR82" i="22" s="1"/>
  <c r="J82" i="22" s="1"/>
  <c r="AQ88" i="22"/>
  <c r="AQ116" i="22" s="1"/>
  <c r="L88" i="34"/>
  <c r="L116" i="34" s="1"/>
  <c r="Z77" i="34"/>
  <c r="V56" i="33"/>
  <c r="AR82" i="33"/>
  <c r="J82" i="33" s="1"/>
  <c r="I88" i="33"/>
  <c r="I116" i="33" s="1"/>
  <c r="AG77" i="33"/>
  <c r="E90" i="32"/>
  <c r="AH8" i="31"/>
  <c r="BL43" i="31"/>
  <c r="AR99" i="30"/>
  <c r="AA99" i="30" s="1"/>
  <c r="AB77" i="19"/>
  <c r="AB116" i="19" s="1"/>
  <c r="AS100" i="19" s="1"/>
  <c r="AB117" i="19" s="1"/>
  <c r="H14" i="26"/>
  <c r="G14" i="26" s="1"/>
  <c r="F14" i="26" s="1"/>
  <c r="E14" i="26" s="1"/>
  <c r="P82" i="24"/>
  <c r="AR82" i="24" s="1"/>
  <c r="I82" i="24" s="1"/>
  <c r="E82" i="24" s="1"/>
  <c r="AI78" i="24"/>
  <c r="AI117" i="24" s="1"/>
  <c r="AS108" i="24" s="1"/>
  <c r="AI118" i="24" s="1"/>
  <c r="V26" i="23"/>
  <c r="V53" i="22"/>
  <c r="AO114" i="21"/>
  <c r="AO89" i="21" s="1"/>
  <c r="AO77" i="21" s="1"/>
  <c r="V77" i="34"/>
  <c r="V116" i="34" s="1"/>
  <c r="AE35" i="33"/>
  <c r="V35" i="33" s="1"/>
  <c r="J78" i="31"/>
  <c r="J77" i="31" s="1"/>
  <c r="G23" i="31"/>
  <c r="N78" i="31"/>
  <c r="F95" i="31"/>
  <c r="J97" i="31"/>
  <c r="AA78" i="31"/>
  <c r="AA77" i="31" s="1"/>
  <c r="F106" i="31"/>
  <c r="E106" i="31" s="1"/>
  <c r="AR106" i="31" s="1"/>
  <c r="AH106" i="31" s="1"/>
  <c r="F107" i="31"/>
  <c r="E107" i="31" s="1"/>
  <c r="AR107" i="31" s="1"/>
  <c r="AA77" i="30"/>
  <c r="P87" i="40"/>
  <c r="AR87" i="40" s="1"/>
  <c r="O87" i="40" s="1"/>
  <c r="AR83" i="38"/>
  <c r="K83" i="38" s="1"/>
  <c r="M116" i="37"/>
  <c r="AS85" i="37" s="1"/>
  <c r="M117" i="37" s="1"/>
  <c r="BH51" i="88"/>
  <c r="BH51" i="87"/>
  <c r="BI51" i="87" s="1"/>
  <c r="T67" i="37"/>
  <c r="BM23" i="37" s="1"/>
  <c r="BN23" i="37" s="1"/>
  <c r="AC67" i="31"/>
  <c r="D20" i="56" s="1"/>
  <c r="P81" i="23"/>
  <c r="J116" i="22"/>
  <c r="AS82" i="22" s="1"/>
  <c r="J117" i="22" s="1"/>
  <c r="E115" i="22"/>
  <c r="AR115" i="22" s="1"/>
  <c r="AJ108" i="32"/>
  <c r="AO34" i="40"/>
  <c r="AO25" i="40" s="1"/>
  <c r="AO7" i="40" s="1"/>
  <c r="AE44" i="40"/>
  <c r="V44" i="40" s="1"/>
  <c r="L67" i="40"/>
  <c r="BM15" i="40" s="1"/>
  <c r="BN15" i="40" s="1"/>
  <c r="L78" i="40"/>
  <c r="R10" i="40"/>
  <c r="AS84" i="27"/>
  <c r="L117" i="27" s="1"/>
  <c r="AR107" i="19"/>
  <c r="AS107" i="19" s="1"/>
  <c r="AI117" i="19" s="1"/>
  <c r="AE35" i="25"/>
  <c r="V35" i="25" s="1"/>
  <c r="R78" i="24"/>
  <c r="R117" i="24" s="1"/>
  <c r="AS91" i="24" s="1"/>
  <c r="I89" i="23"/>
  <c r="I117" i="23" s="1"/>
  <c r="AS82" i="23" s="1"/>
  <c r="I118" i="23" s="1"/>
  <c r="AE45" i="34"/>
  <c r="V45" i="34" s="1"/>
  <c r="G18" i="34"/>
  <c r="Y95" i="31"/>
  <c r="BL65" i="38"/>
  <c r="BM65" i="38" s="1"/>
  <c r="E79" i="27"/>
  <c r="AE37" i="24"/>
  <c r="V37" i="24" s="1"/>
  <c r="D77" i="32"/>
  <c r="Y109" i="31"/>
  <c r="Q10" i="30"/>
  <c r="K78" i="30"/>
  <c r="K88" i="30"/>
  <c r="AN77" i="30"/>
  <c r="E79" i="40"/>
  <c r="S67" i="33"/>
  <c r="BM22" i="33" s="1"/>
  <c r="BN22" i="33" s="1"/>
  <c r="R15" i="13" s="1"/>
  <c r="BM40" i="34"/>
  <c r="BN40" i="34" s="1"/>
  <c r="AS94" i="37"/>
  <c r="AD78" i="24"/>
  <c r="P86" i="21"/>
  <c r="AR86" i="21" s="1"/>
  <c r="G30" i="31"/>
  <c r="AK97" i="31"/>
  <c r="E112" i="30"/>
  <c r="AR112" i="30" s="1"/>
  <c r="AN112" i="30" s="1"/>
  <c r="AP77" i="40"/>
  <c r="V58" i="39"/>
  <c r="BC25" i="39"/>
  <c r="BC7" i="39" s="1"/>
  <c r="N67" i="32"/>
  <c r="D92" i="46" s="1"/>
  <c r="AB77" i="29"/>
  <c r="AR113" i="25"/>
  <c r="P80" i="23"/>
  <c r="AR80" i="23" s="1"/>
  <c r="AS80" i="23" s="1"/>
  <c r="G118" i="23" s="1"/>
  <c r="I88" i="30"/>
  <c r="I116" i="30" s="1"/>
  <c r="R77" i="30"/>
  <c r="V26" i="40"/>
  <c r="W25" i="40"/>
  <c r="W7" i="40" s="1"/>
  <c r="P82" i="40"/>
  <c r="AG8" i="31"/>
  <c r="I67" i="32"/>
  <c r="K68" i="33"/>
  <c r="D89" i="24"/>
  <c r="W77" i="29"/>
  <c r="AN34" i="25"/>
  <c r="AN25" i="25" s="1"/>
  <c r="AN7" i="25" s="1"/>
  <c r="AR98" i="40"/>
  <c r="H88" i="39"/>
  <c r="H116" i="39" s="1"/>
  <c r="AS80" i="39" s="1"/>
  <c r="H117" i="39" s="1"/>
  <c r="E94" i="38"/>
  <c r="Y30" i="88"/>
  <c r="Y29" i="88" s="1"/>
  <c r="X27" i="84"/>
  <c r="W24" i="88"/>
  <c r="V22" i="84"/>
  <c r="AS8" i="40"/>
  <c r="AJ8" i="30"/>
  <c r="AR8" i="34"/>
  <c r="BL47" i="22"/>
  <c r="BG68" i="24"/>
  <c r="AU8" i="24"/>
  <c r="AQ8" i="25"/>
  <c r="P84" i="39"/>
  <c r="AP8" i="31"/>
  <c r="F66" i="39"/>
  <c r="AS8" i="30"/>
  <c r="Y80" i="31"/>
  <c r="P80" i="31" s="1"/>
  <c r="AT67" i="33"/>
  <c r="D216" i="47" s="1"/>
  <c r="BJ8" i="19"/>
  <c r="Z8" i="22"/>
  <c r="BL62" i="26"/>
  <c r="AE77" i="38"/>
  <c r="AE116" i="38" s="1"/>
  <c r="AS103" i="38" s="1"/>
  <c r="AE117" i="38" s="1"/>
  <c r="AZ67" i="37"/>
  <c r="BA67" i="30"/>
  <c r="D20" i="74" s="1"/>
  <c r="I20" i="74" s="1"/>
  <c r="N20" i="74" s="1"/>
  <c r="BL28" i="34"/>
  <c r="Y67" i="22"/>
  <c r="BE68" i="24"/>
  <c r="AI8" i="31"/>
  <c r="G65" i="37"/>
  <c r="AE63" i="37"/>
  <c r="V24" i="19"/>
  <c r="V21" i="38"/>
  <c r="V21" i="39"/>
  <c r="V24" i="27"/>
  <c r="J67" i="38"/>
  <c r="BI67" i="22"/>
  <c r="BL47" i="34"/>
  <c r="AR47" i="34" s="1"/>
  <c r="BL62" i="24"/>
  <c r="AC8" i="26"/>
  <c r="AC67" i="26" s="1"/>
  <c r="AQ25" i="40"/>
  <c r="AQ7" i="40" s="1"/>
  <c r="AG34" i="40"/>
  <c r="AG25" i="40" s="1"/>
  <c r="V63" i="39"/>
  <c r="Y100" i="25"/>
  <c r="AE63" i="39"/>
  <c r="Y8" i="38"/>
  <c r="Y67" i="38" s="1"/>
  <c r="V63" i="25"/>
  <c r="N97" i="37"/>
  <c r="E97" i="37" s="1"/>
  <c r="C49" i="46"/>
  <c r="C7" i="86"/>
  <c r="C24" i="86" s="1"/>
  <c r="BF68" i="24"/>
  <c r="D12" i="77" s="1"/>
  <c r="H12" i="77" s="1"/>
  <c r="AY68" i="24"/>
  <c r="D12" i="76" s="1"/>
  <c r="AS8" i="37"/>
  <c r="X8" i="32"/>
  <c r="X67" i="32" s="1"/>
  <c r="D19" i="54" s="1"/>
  <c r="V24" i="34"/>
  <c r="V24" i="22"/>
  <c r="V24" i="24"/>
  <c r="V24" i="26"/>
  <c r="AV8" i="33"/>
  <c r="E64" i="28"/>
  <c r="BL64" i="28" s="1"/>
  <c r="AA8" i="21"/>
  <c r="AX68" i="23"/>
  <c r="BM53" i="23" s="1"/>
  <c r="BN53" i="23" s="1"/>
  <c r="BL29" i="27"/>
  <c r="BB8" i="29"/>
  <c r="BB67" i="29" s="1"/>
  <c r="D8" i="73" s="1"/>
  <c r="E65" i="28"/>
  <c r="AZ8" i="21"/>
  <c r="AZ68" i="21" s="1"/>
  <c r="D15" i="75" s="1"/>
  <c r="I15" i="75" s="1"/>
  <c r="N15" i="75" s="1"/>
  <c r="P15" i="75" s="1"/>
  <c r="X8" i="21"/>
  <c r="AZ8" i="22"/>
  <c r="Z8" i="26"/>
  <c r="AS8" i="29"/>
  <c r="AS67" i="29" s="1"/>
  <c r="D7" i="65" s="1"/>
  <c r="I7" i="65" s="1"/>
  <c r="N7" i="65" s="1"/>
  <c r="P7" i="65" s="1"/>
  <c r="I67" i="34"/>
  <c r="D40" i="46" s="1"/>
  <c r="M68" i="23"/>
  <c r="K67" i="25"/>
  <c r="BM14" i="25" s="1"/>
  <c r="BN14" i="25" s="1"/>
  <c r="BL20" i="29"/>
  <c r="Q20" i="29" s="1"/>
  <c r="BB53" i="88"/>
  <c r="AP40" i="84"/>
  <c r="AS26" i="88"/>
  <c r="AG24" i="84"/>
  <c r="BB22" i="88"/>
  <c r="AP20" i="84"/>
  <c r="AQ8" i="26"/>
  <c r="Y8" i="26"/>
  <c r="AY8" i="27"/>
  <c r="BF67" i="28"/>
  <c r="D8" i="77" s="1"/>
  <c r="BL47" i="19"/>
  <c r="AU43" i="88"/>
  <c r="AI30" i="84"/>
  <c r="AX41" i="88"/>
  <c r="AL28" i="84"/>
  <c r="AZ19" i="88"/>
  <c r="AN17" i="84"/>
  <c r="AB8" i="37"/>
  <c r="BD8" i="28"/>
  <c r="AZ8" i="28"/>
  <c r="AZ67" i="28" s="1"/>
  <c r="D8" i="75" s="1"/>
  <c r="BL53" i="28"/>
  <c r="AX53" i="28" s="1"/>
  <c r="AU8" i="29"/>
  <c r="AU67" i="29" s="1"/>
  <c r="BC8" i="19"/>
  <c r="BC67" i="19" s="1"/>
  <c r="D7" i="79" s="1"/>
  <c r="I7" i="79" s="1"/>
  <c r="AT8" i="19"/>
  <c r="V21" i="21"/>
  <c r="J68" i="21"/>
  <c r="Q67" i="22"/>
  <c r="BM20" i="22" s="1"/>
  <c r="BN20" i="22" s="1"/>
  <c r="K67" i="22"/>
  <c r="BM14" i="22" s="1"/>
  <c r="BN14" i="22" s="1"/>
  <c r="BL23" i="25"/>
  <c r="AX48" i="88"/>
  <c r="AL35" i="84"/>
  <c r="BA25" i="88"/>
  <c r="AO23" i="84"/>
  <c r="AA8" i="24"/>
  <c r="BG67" i="27"/>
  <c r="BM62" i="27" s="1"/>
  <c r="BN62" i="27" s="1"/>
  <c r="AA67" i="27"/>
  <c r="BM30" i="27" s="1"/>
  <c r="BN30" i="27" s="1"/>
  <c r="AY8" i="29"/>
  <c r="AY67" i="29" s="1"/>
  <c r="D7" i="76" s="1"/>
  <c r="BE67" i="19"/>
  <c r="Y57" i="88"/>
  <c r="X44" i="84"/>
  <c r="AT8" i="30"/>
  <c r="Y8" i="33"/>
  <c r="AT8" i="38"/>
  <c r="X8" i="34"/>
  <c r="X67" i="34" s="1"/>
  <c r="D17" i="54" s="1"/>
  <c r="AY8" i="22"/>
  <c r="AU8" i="23"/>
  <c r="AU68" i="23" s="1"/>
  <c r="BD8" i="25"/>
  <c r="AD8" i="26"/>
  <c r="AA8" i="29"/>
  <c r="AQ67" i="19"/>
  <c r="Q68" i="21"/>
  <c r="BM20" i="21" s="1"/>
  <c r="BN20" i="21" s="1"/>
  <c r="Q67" i="27"/>
  <c r="BM20" i="27" s="1"/>
  <c r="BN20" i="27" s="1"/>
  <c r="AO54" i="88"/>
  <c r="AC41" i="84"/>
  <c r="S53" i="88"/>
  <c r="R40" i="84"/>
  <c r="X21" i="88"/>
  <c r="W19" i="84"/>
  <c r="V21" i="23"/>
  <c r="AZ45" i="88"/>
  <c r="AN32" i="84"/>
  <c r="U42" i="88"/>
  <c r="T29" i="84"/>
  <c r="AZ8" i="32"/>
  <c r="AZ67" i="32" s="1"/>
  <c r="D18" i="75" s="1"/>
  <c r="AC8" i="37"/>
  <c r="AC67" i="37" s="1"/>
  <c r="AD116" i="39"/>
  <c r="AS102" i="39" s="1"/>
  <c r="AD117" i="39" s="1"/>
  <c r="AT8" i="40"/>
  <c r="AB8" i="34"/>
  <c r="AS8" i="23"/>
  <c r="AS68" i="23" s="1"/>
  <c r="D13" i="65" s="1"/>
  <c r="AY8" i="28"/>
  <c r="AY67" i="28" s="1"/>
  <c r="D8" i="76" s="1"/>
  <c r="I8" i="76" s="1"/>
  <c r="N8" i="76" s="1"/>
  <c r="AX8" i="28"/>
  <c r="AV8" i="28"/>
  <c r="AV67" i="28" s="1"/>
  <c r="D8" i="70" s="1"/>
  <c r="I8" i="70" s="1"/>
  <c r="N8" i="70" s="1"/>
  <c r="AV8" i="29"/>
  <c r="BL49" i="19"/>
  <c r="R67" i="27"/>
  <c r="D133" i="46" s="1"/>
  <c r="AW53" i="88"/>
  <c r="AK40" i="84"/>
  <c r="V55" i="88"/>
  <c r="U42" i="84"/>
  <c r="P28" i="88"/>
  <c r="O26" i="84"/>
  <c r="AY17" i="88"/>
  <c r="AM15" i="84"/>
  <c r="D149" i="48"/>
  <c r="F149" i="48" s="1"/>
  <c r="BM43" i="19"/>
  <c r="BN43" i="19" s="1"/>
  <c r="AS8" i="25"/>
  <c r="AS67" i="25" s="1"/>
  <c r="D11" i="65" s="1"/>
  <c r="AS8" i="26"/>
  <c r="AW8" i="27"/>
  <c r="AW7" i="27" s="1"/>
  <c r="AS8" i="28"/>
  <c r="AS67" i="28" s="1"/>
  <c r="D8" i="65" s="1"/>
  <c r="I8" i="65" s="1"/>
  <c r="N8" i="65" s="1"/>
  <c r="O8" i="65" s="1"/>
  <c r="Y8" i="29"/>
  <c r="Y67" i="29" s="1"/>
  <c r="AS8" i="19"/>
  <c r="AO34" i="84"/>
  <c r="AC33" i="84"/>
  <c r="AB39" i="84"/>
  <c r="AB33" i="84"/>
  <c r="AD28" i="84"/>
  <c r="Z30" i="84"/>
  <c r="X36" i="84"/>
  <c r="AF25" i="84"/>
  <c r="AG23" i="84"/>
  <c r="U34" i="84"/>
  <c r="T23" i="84"/>
  <c r="AI21" i="84"/>
  <c r="AH20" i="84"/>
  <c r="D20" i="84"/>
  <c r="Q38" i="84"/>
  <c r="Q26" i="84"/>
  <c r="AF17" i="84"/>
  <c r="BB18" i="88"/>
  <c r="AP16" i="84"/>
  <c r="M31" i="13"/>
  <c r="AM8" i="39"/>
  <c r="BL26" i="37"/>
  <c r="BL31" i="39"/>
  <c r="T16" i="89"/>
  <c r="U16" i="89" s="1"/>
  <c r="H16" i="59"/>
  <c r="T13" i="89"/>
  <c r="U13" i="89" s="1"/>
  <c r="H13" i="59"/>
  <c r="M18" i="88"/>
  <c r="L16" i="84"/>
  <c r="K28" i="88"/>
  <c r="J26" i="84"/>
  <c r="AF67" i="26"/>
  <c r="D11" i="61" s="1"/>
  <c r="AG10" i="28"/>
  <c r="AG9" i="28" s="1"/>
  <c r="AG8" i="28" s="1"/>
  <c r="AG10" i="33"/>
  <c r="AG9" i="33" s="1"/>
  <c r="AG8" i="33" s="1"/>
  <c r="AP67" i="27"/>
  <c r="D10" i="67" s="1"/>
  <c r="I10" i="67" s="1"/>
  <c r="N10" i="67" s="1"/>
  <c r="Y85" i="30"/>
  <c r="P85" i="30" s="1"/>
  <c r="P49" i="88"/>
  <c r="O36" i="84"/>
  <c r="O19" i="88"/>
  <c r="N17" i="84"/>
  <c r="AG10" i="23"/>
  <c r="AG9" i="23" s="1"/>
  <c r="AG8" i="23" s="1"/>
  <c r="V19" i="29"/>
  <c r="V21" i="24"/>
  <c r="V21" i="28"/>
  <c r="BL31" i="34"/>
  <c r="AK97" i="25"/>
  <c r="AK116" i="25" s="1"/>
  <c r="AS109" i="25" s="1"/>
  <c r="AK117" i="25" s="1"/>
  <c r="BA8" i="27"/>
  <c r="BA67" i="27" s="1"/>
  <c r="D9" i="74" s="1"/>
  <c r="AH35" i="84"/>
  <c r="AC37" i="84"/>
  <c r="AE30" i="84"/>
  <c r="AB43" i="84"/>
  <c r="AB31" i="84"/>
  <c r="AH28" i="84"/>
  <c r="Z56" i="88"/>
  <c r="X40" i="84"/>
  <c r="AJ25" i="84"/>
  <c r="AH71" i="88"/>
  <c r="X25" i="84"/>
  <c r="AC24" i="84"/>
  <c r="V35" i="84"/>
  <c r="V28" i="84"/>
  <c r="AK23" i="84"/>
  <c r="U38" i="84"/>
  <c r="AL20" i="84"/>
  <c r="R24" i="84"/>
  <c r="AK19" i="84"/>
  <c r="AJ17" i="84"/>
  <c r="T19" i="88"/>
  <c r="S17" i="84"/>
  <c r="K50" i="88"/>
  <c r="E50" i="88" s="1"/>
  <c r="J37" i="84"/>
  <c r="J51" i="88"/>
  <c r="I38" i="84"/>
  <c r="AH8" i="33"/>
  <c r="AO8" i="27"/>
  <c r="BL24" i="26"/>
  <c r="H11" i="49" s="1"/>
  <c r="BL24" i="28"/>
  <c r="AI43" i="84"/>
  <c r="AE42" i="84"/>
  <c r="AE36" i="84"/>
  <c r="AF29" i="84"/>
  <c r="AP25" i="84"/>
  <c r="AO24" i="84"/>
  <c r="W24" i="84"/>
  <c r="V41" i="84"/>
  <c r="U26" i="84"/>
  <c r="AC22" i="84"/>
  <c r="T37" i="84"/>
  <c r="R35" i="84"/>
  <c r="R28" i="84"/>
  <c r="AC19" i="84"/>
  <c r="X19" i="84"/>
  <c r="AG10" i="32"/>
  <c r="AG9" i="32" s="1"/>
  <c r="AG8" i="32" s="1"/>
  <c r="AO67" i="29"/>
  <c r="V19" i="37"/>
  <c r="V19" i="30"/>
  <c r="V19" i="21"/>
  <c r="BL26" i="28"/>
  <c r="T22" i="89"/>
  <c r="U22" i="89" s="1"/>
  <c r="H22" i="59"/>
  <c r="AN38" i="84"/>
  <c r="AH43" i="84"/>
  <c r="AB35" i="84"/>
  <c r="Z39" i="84"/>
  <c r="X32" i="84"/>
  <c r="W39" i="84"/>
  <c r="AC23" i="84"/>
  <c r="U30" i="84"/>
  <c r="AO22" i="84"/>
  <c r="T25" i="84"/>
  <c r="AK21" i="84"/>
  <c r="AD20" i="84"/>
  <c r="R32" i="88"/>
  <c r="AB17" i="84"/>
  <c r="W14" i="88"/>
  <c r="V12" i="84"/>
  <c r="G24" i="61"/>
  <c r="V24" i="29"/>
  <c r="AC71" i="88"/>
  <c r="Y18" i="88"/>
  <c r="X16" i="84"/>
  <c r="U15" i="88"/>
  <c r="T13" i="84"/>
  <c r="AT14" i="88"/>
  <c r="AH12" i="84"/>
  <c r="AM8" i="22"/>
  <c r="AM67" i="22" s="1"/>
  <c r="BM42" i="22" s="1"/>
  <c r="BN42" i="22" s="1"/>
  <c r="AM68" i="22" s="1"/>
  <c r="BL26" i="33"/>
  <c r="M24" i="84"/>
  <c r="L32" i="84"/>
  <c r="L22" i="84"/>
  <c r="AJ13" i="84"/>
  <c r="K16" i="84"/>
  <c r="J29" i="84"/>
  <c r="J17" i="84"/>
  <c r="AO11" i="84"/>
  <c r="I30" i="84"/>
  <c r="BB9" i="88"/>
  <c r="F56" i="88"/>
  <c r="E56" i="88" s="1"/>
  <c r="F48" i="88"/>
  <c r="F40" i="88"/>
  <c r="E40" i="88" s="1"/>
  <c r="BE40" i="88" s="1"/>
  <c r="AK40" i="88" s="1"/>
  <c r="Z40" i="88" s="1"/>
  <c r="Q40" i="88" s="1"/>
  <c r="F32" i="88"/>
  <c r="E32" i="88" s="1"/>
  <c r="F23" i="88"/>
  <c r="AG10" i="34"/>
  <c r="AG9" i="34" s="1"/>
  <c r="AG8" i="34" s="1"/>
  <c r="AG10" i="38"/>
  <c r="AG9" i="38" s="1"/>
  <c r="AG8" i="38" s="1"/>
  <c r="AL8" i="30"/>
  <c r="AL67" i="30" s="1"/>
  <c r="D21" i="64" s="1"/>
  <c r="I21" i="64" s="1"/>
  <c r="N21" i="64" s="1"/>
  <c r="P21" i="64" s="1"/>
  <c r="AM8" i="30"/>
  <c r="AM67" i="30" s="1"/>
  <c r="D21" i="63" s="1"/>
  <c r="AP8" i="40"/>
  <c r="V19" i="19"/>
  <c r="V19" i="40"/>
  <c r="V19" i="34"/>
  <c r="V21" i="33"/>
  <c r="V21" i="27"/>
  <c r="V22" i="29"/>
  <c r="BL26" i="21"/>
  <c r="F14" i="53"/>
  <c r="P14" i="53"/>
  <c r="J10" i="57"/>
  <c r="O10" i="57" s="1"/>
  <c r="BL37" i="27"/>
  <c r="AM67" i="25"/>
  <c r="AN67" i="25"/>
  <c r="D12" i="62" s="1"/>
  <c r="I12" i="62" s="1"/>
  <c r="N12" i="62" s="1"/>
  <c r="I20" i="54"/>
  <c r="N20" i="54" s="1"/>
  <c r="O20" i="54" s="1"/>
  <c r="D12" i="53"/>
  <c r="AB15" i="84"/>
  <c r="M40" i="84"/>
  <c r="L37" i="84"/>
  <c r="AB13" i="84"/>
  <c r="AO10" i="84"/>
  <c r="AH10" i="84"/>
  <c r="AA10" i="84"/>
  <c r="H44" i="84"/>
  <c r="F50" i="88"/>
  <c r="F25" i="88"/>
  <c r="E25" i="88" s="1"/>
  <c r="AG10" i="25"/>
  <c r="AG9" i="25" s="1"/>
  <c r="AG8" i="25" s="1"/>
  <c r="AL8" i="19"/>
  <c r="AL7" i="19" s="1"/>
  <c r="AL8" i="40"/>
  <c r="AL7" i="40" s="1"/>
  <c r="AN8" i="28"/>
  <c r="BL26" i="34"/>
  <c r="H14" i="53"/>
  <c r="U14" i="53"/>
  <c r="D13" i="53"/>
  <c r="T12" i="89"/>
  <c r="U12" i="89" s="1"/>
  <c r="H12" i="59"/>
  <c r="AG10" i="26"/>
  <c r="AG9" i="26" s="1"/>
  <c r="AG8" i="26" s="1"/>
  <c r="AG10" i="40"/>
  <c r="AG9" i="40" s="1"/>
  <c r="AG8" i="40" s="1"/>
  <c r="G24" i="58"/>
  <c r="AP8" i="39"/>
  <c r="AP67" i="39" s="1"/>
  <c r="D23" i="67" s="1"/>
  <c r="I23" i="67" s="1"/>
  <c r="N23" i="67" s="1"/>
  <c r="P23" i="67" s="1"/>
  <c r="V22" i="39"/>
  <c r="K14" i="89"/>
  <c r="U14" i="89" s="1"/>
  <c r="C14" i="59"/>
  <c r="I14" i="59" s="1"/>
  <c r="N14" i="59" s="1"/>
  <c r="P14" i="59" s="1"/>
  <c r="BL37" i="30"/>
  <c r="BM37" i="30" s="1"/>
  <c r="BN37" i="30" s="1"/>
  <c r="AF16" i="84"/>
  <c r="N21" i="84"/>
  <c r="AG15" i="84"/>
  <c r="M32" i="84"/>
  <c r="AO14" i="84"/>
  <c r="AA14" i="84"/>
  <c r="V14" i="84"/>
  <c r="N14" i="84"/>
  <c r="N13" i="84"/>
  <c r="J14" i="84"/>
  <c r="F18" i="88"/>
  <c r="I23" i="54"/>
  <c r="N23" i="54" s="1"/>
  <c r="P23" i="54" s="1"/>
  <c r="J22" i="57"/>
  <c r="O22" i="57" s="1"/>
  <c r="S8" i="89"/>
  <c r="L8" i="89" s="1"/>
  <c r="F16" i="88"/>
  <c r="AG10" i="27"/>
  <c r="AG9" i="27" s="1"/>
  <c r="AG8" i="27" s="1"/>
  <c r="AG10" i="30"/>
  <c r="AG9" i="30" s="1"/>
  <c r="AG8" i="30" s="1"/>
  <c r="AI8" i="21"/>
  <c r="AL8" i="27"/>
  <c r="AL67" i="27" s="1"/>
  <c r="BM41" i="27" s="1"/>
  <c r="BN41" i="27" s="1"/>
  <c r="AL68" i="27" s="1"/>
  <c r="AL8" i="22"/>
  <c r="V22" i="23"/>
  <c r="BL26" i="39"/>
  <c r="L14" i="53"/>
  <c r="E24" i="61"/>
  <c r="AZ9" i="88"/>
  <c r="AN67" i="33"/>
  <c r="D18" i="62" s="1"/>
  <c r="M14" i="53"/>
  <c r="G24" i="56"/>
  <c r="I18" i="61"/>
  <c r="N18" i="61" s="1"/>
  <c r="O18" i="61" s="1"/>
  <c r="C7" i="59"/>
  <c r="C13" i="59"/>
  <c r="C8" i="59"/>
  <c r="BL44" i="37"/>
  <c r="BL46" i="25"/>
  <c r="F24" i="56"/>
  <c r="U7" i="89"/>
  <c r="C16" i="59"/>
  <c r="C12" i="59"/>
  <c r="U18" i="89"/>
  <c r="U23" i="89"/>
  <c r="BL44" i="38"/>
  <c r="D17" i="68"/>
  <c r="H17" i="68" s="1"/>
  <c r="M18" i="68" s="1"/>
  <c r="E23" i="68"/>
  <c r="C20" i="59"/>
  <c r="F19" i="63"/>
  <c r="K19" i="63" s="1"/>
  <c r="I22" i="61"/>
  <c r="N22" i="61" s="1"/>
  <c r="O22" i="61" s="1"/>
  <c r="C15" i="59"/>
  <c r="C11" i="59"/>
  <c r="K11" i="89"/>
  <c r="U11" i="89" s="1"/>
  <c r="F24" i="58"/>
  <c r="I15" i="61"/>
  <c r="N15" i="61" s="1"/>
  <c r="F25" i="60"/>
  <c r="I16" i="60"/>
  <c r="N16" i="60" s="1"/>
  <c r="O16" i="60" s="1"/>
  <c r="I15" i="58"/>
  <c r="N15" i="58" s="1"/>
  <c r="P15" i="58" s="1"/>
  <c r="BL46" i="37"/>
  <c r="H18" i="68"/>
  <c r="M19" i="68" s="1"/>
  <c r="N19" i="68" s="1"/>
  <c r="J26" i="66"/>
  <c r="D9" i="66"/>
  <c r="O9" i="66" s="1"/>
  <c r="T9" i="66" s="1"/>
  <c r="D17" i="66"/>
  <c r="D25" i="66"/>
  <c r="BL49" i="32"/>
  <c r="Y102" i="28"/>
  <c r="F23" i="68"/>
  <c r="BL51" i="24"/>
  <c r="BL56" i="24"/>
  <c r="I11" i="62"/>
  <c r="N11" i="62" s="1"/>
  <c r="P11" i="62" s="1"/>
  <c r="I19" i="62"/>
  <c r="N19" i="62" s="1"/>
  <c r="D13" i="68"/>
  <c r="I7" i="67"/>
  <c r="N7" i="67" s="1"/>
  <c r="I15" i="67"/>
  <c r="N15" i="67" s="1"/>
  <c r="O15" i="67" s="1"/>
  <c r="D11" i="66"/>
  <c r="D19" i="66"/>
  <c r="Y103" i="21"/>
  <c r="BL52" i="26"/>
  <c r="BL55" i="32"/>
  <c r="I16" i="67"/>
  <c r="N16" i="67" s="1"/>
  <c r="D12" i="66"/>
  <c r="D20" i="66"/>
  <c r="I21" i="62"/>
  <c r="N21" i="62" s="1"/>
  <c r="D13" i="66"/>
  <c r="O13" i="66" s="1"/>
  <c r="T13" i="66" s="1"/>
  <c r="V13" i="66" s="1"/>
  <c r="D21" i="66"/>
  <c r="BL54" i="23"/>
  <c r="Y107" i="37"/>
  <c r="BL56" i="27"/>
  <c r="I18" i="67"/>
  <c r="N18" i="67" s="1"/>
  <c r="P18" i="67" s="1"/>
  <c r="D14" i="66"/>
  <c r="D22" i="66"/>
  <c r="O22" i="66" s="1"/>
  <c r="T22" i="66" s="1"/>
  <c r="V22" i="66" s="1"/>
  <c r="I16" i="74"/>
  <c r="N16" i="74" s="1"/>
  <c r="O16" i="74" s="1"/>
  <c r="E23" i="86"/>
  <c r="D23" i="86" s="1"/>
  <c r="E23" i="83"/>
  <c r="D23" i="83" s="1"/>
  <c r="BL58" i="24"/>
  <c r="V13" i="19"/>
  <c r="BL13" i="19" s="1"/>
  <c r="V13" i="32"/>
  <c r="V16" i="29"/>
  <c r="V17" i="37"/>
  <c r="I10" i="74"/>
  <c r="N10" i="74" s="1"/>
  <c r="P10" i="74" s="1"/>
  <c r="I18" i="74"/>
  <c r="N18" i="74" s="1"/>
  <c r="D14" i="82"/>
  <c r="V13" i="24"/>
  <c r="BL13" i="24" s="1"/>
  <c r="J13" i="24" s="1"/>
  <c r="BL57" i="23"/>
  <c r="BL57" i="25"/>
  <c r="BL60" i="30"/>
  <c r="Y112" i="34"/>
  <c r="E12" i="86"/>
  <c r="D12" i="86" s="1"/>
  <c r="E12" i="83"/>
  <c r="D12" i="83" s="1"/>
  <c r="G61" i="25"/>
  <c r="V16" i="40"/>
  <c r="D22" i="82"/>
  <c r="F24" i="55"/>
  <c r="BL55" i="34"/>
  <c r="BL57" i="21"/>
  <c r="BL58" i="23"/>
  <c r="BL60" i="28"/>
  <c r="V16" i="38"/>
  <c r="BL61" i="23"/>
  <c r="G13" i="77" s="1"/>
  <c r="E7" i="86"/>
  <c r="E7" i="83"/>
  <c r="G61" i="19"/>
  <c r="V16" i="19"/>
  <c r="V13" i="30"/>
  <c r="Y80" i="24"/>
  <c r="P80" i="24" s="1"/>
  <c r="AR80" i="24" s="1"/>
  <c r="V13" i="28"/>
  <c r="V11" i="28" s="1"/>
  <c r="E8" i="83"/>
  <c r="D8" i="83" s="1"/>
  <c r="D18" i="86"/>
  <c r="V17" i="39"/>
  <c r="D25" i="27"/>
  <c r="V25" i="27" s="1"/>
  <c r="E24" i="55"/>
  <c r="H15" i="77"/>
  <c r="Y112" i="32"/>
  <c r="Y113" i="23"/>
  <c r="V13" i="40"/>
  <c r="BL13" i="40" s="1"/>
  <c r="V13" i="21"/>
  <c r="V12" i="22"/>
  <c r="V12" i="23"/>
  <c r="V13" i="27"/>
  <c r="BL13" i="27" s="1"/>
  <c r="Y79" i="29"/>
  <c r="P79" i="29" s="1"/>
  <c r="AR79" i="29" s="1"/>
  <c r="G79" i="29" s="1"/>
  <c r="F7" i="83"/>
  <c r="F11" i="83"/>
  <c r="D11" i="83" s="1"/>
  <c r="F15" i="83"/>
  <c r="D15" i="83" s="1"/>
  <c r="F19" i="83"/>
  <c r="D19" i="83" s="1"/>
  <c r="E14" i="83"/>
  <c r="D14" i="83" s="1"/>
  <c r="D19" i="86"/>
  <c r="G61" i="38"/>
  <c r="V17" i="19"/>
  <c r="V17" i="22"/>
  <c r="F24" i="86"/>
  <c r="V16" i="30"/>
  <c r="V16" i="22"/>
  <c r="V17" i="30"/>
  <c r="H14" i="80"/>
  <c r="D15" i="86"/>
  <c r="L9" i="89"/>
  <c r="M24" i="89"/>
  <c r="D10" i="86"/>
  <c r="E16" i="83"/>
  <c r="D16" i="83" s="1"/>
  <c r="E22" i="83"/>
  <c r="D22" i="83" s="1"/>
  <c r="V17" i="21"/>
  <c r="V17" i="28"/>
  <c r="D11" i="86"/>
  <c r="I7" i="73"/>
  <c r="F24" i="89"/>
  <c r="D17" i="86"/>
  <c r="V17" i="32"/>
  <c r="AB67" i="34"/>
  <c r="D17" i="57" s="1"/>
  <c r="AZ7" i="24"/>
  <c r="AZ68" i="24"/>
  <c r="D12" i="75" s="1"/>
  <c r="I12" i="75" s="1"/>
  <c r="N12" i="75" s="1"/>
  <c r="O12" i="75" s="1"/>
  <c r="AI78" i="32"/>
  <c r="AW67" i="27"/>
  <c r="D9" i="69" s="1"/>
  <c r="P78" i="27"/>
  <c r="AD77" i="34"/>
  <c r="P78" i="34"/>
  <c r="AR78" i="34" s="1"/>
  <c r="AC116" i="40"/>
  <c r="AS101" i="40" s="1"/>
  <c r="AC117" i="40" s="1"/>
  <c r="AT67" i="37"/>
  <c r="AU68" i="39"/>
  <c r="BL24" i="25"/>
  <c r="H12" i="49" s="1"/>
  <c r="BC8" i="25"/>
  <c r="BC67" i="25" s="1"/>
  <c r="BL32" i="26"/>
  <c r="BC8" i="26"/>
  <c r="BC67" i="26" s="1"/>
  <c r="V19" i="31"/>
  <c r="AL76" i="31"/>
  <c r="BC8" i="31"/>
  <c r="BC67" i="31" s="1"/>
  <c r="D20" i="79" s="1"/>
  <c r="AL12" i="84"/>
  <c r="AU8" i="31"/>
  <c r="AD77" i="26"/>
  <c r="AD116" i="26" s="1"/>
  <c r="AG71" i="88"/>
  <c r="V19" i="25"/>
  <c r="AD116" i="31"/>
  <c r="AS102" i="31" s="1"/>
  <c r="AD117" i="31" s="1"/>
  <c r="P115" i="31"/>
  <c r="G16" i="72"/>
  <c r="AO72" i="88"/>
  <c r="BL60" i="26"/>
  <c r="BL50" i="25"/>
  <c r="O87" i="25"/>
  <c r="AS87" i="25"/>
  <c r="O117" i="25" s="1"/>
  <c r="D485" i="47"/>
  <c r="W116" i="38"/>
  <c r="AS95" i="38" s="1"/>
  <c r="W117" i="38" s="1"/>
  <c r="AC8" i="25"/>
  <c r="AC67" i="25" s="1"/>
  <c r="D12" i="56" s="1"/>
  <c r="I12" i="56" s="1"/>
  <c r="N12" i="56" s="1"/>
  <c r="P12" i="56" s="1"/>
  <c r="BK66" i="22"/>
  <c r="BM66" i="22"/>
  <c r="BN66" i="22" s="1"/>
  <c r="I23" i="79"/>
  <c r="P68" i="22"/>
  <c r="BL64" i="22"/>
  <c r="V63" i="22"/>
  <c r="BM31" i="22"/>
  <c r="BN31" i="22" s="1"/>
  <c r="D384" i="47"/>
  <c r="F384" i="47" s="1"/>
  <c r="BM57" i="26"/>
  <c r="BN57" i="26" s="1"/>
  <c r="I11" i="73"/>
  <c r="AK15" i="84"/>
  <c r="H80" i="33"/>
  <c r="V16" i="33"/>
  <c r="M68" i="32"/>
  <c r="M16" i="32"/>
  <c r="AS85" i="32"/>
  <c r="M117" i="32" s="1"/>
  <c r="M85" i="32"/>
  <c r="V22" i="32"/>
  <c r="S10" i="13"/>
  <c r="W31" i="13"/>
  <c r="W45" i="13"/>
  <c r="BC68" i="39"/>
  <c r="BE60" i="39"/>
  <c r="W47" i="13"/>
  <c r="BE68" i="39"/>
  <c r="G22" i="80"/>
  <c r="H22" i="80" s="1"/>
  <c r="F471" i="47"/>
  <c r="AL8" i="26"/>
  <c r="AL67" i="26" s="1"/>
  <c r="AU8" i="26"/>
  <c r="AE41" i="25"/>
  <c r="V41" i="25" s="1"/>
  <c r="Y112" i="25"/>
  <c r="AL8" i="25"/>
  <c r="AL67" i="25" s="1"/>
  <c r="D12" i="64" s="1"/>
  <c r="I12" i="64" s="1"/>
  <c r="N12" i="64" s="1"/>
  <c r="P12" i="64" s="1"/>
  <c r="AS80" i="25"/>
  <c r="H117" i="25" s="1"/>
  <c r="AU8" i="25"/>
  <c r="AU67" i="25" s="1"/>
  <c r="BM50" i="25" s="1"/>
  <c r="BN50" i="25" s="1"/>
  <c r="L37" i="13" s="1"/>
  <c r="AD12" i="84"/>
  <c r="BL64" i="25"/>
  <c r="BL60" i="25"/>
  <c r="V22" i="25"/>
  <c r="AH67" i="25"/>
  <c r="T33" i="13"/>
  <c r="AQ68" i="31"/>
  <c r="F168" i="47"/>
  <c r="P81" i="39"/>
  <c r="AR81" i="39" s="1"/>
  <c r="I81" i="39" s="1"/>
  <c r="W77" i="39"/>
  <c r="W116" i="39" s="1"/>
  <c r="AS95" i="39" s="1"/>
  <c r="E482" i="47"/>
  <c r="P113" i="38"/>
  <c r="AO88" i="38"/>
  <c r="AO76" i="38" s="1"/>
  <c r="V19" i="84"/>
  <c r="AS84" i="28"/>
  <c r="L117" i="28" s="1"/>
  <c r="BM48" i="25"/>
  <c r="BN48" i="25" s="1"/>
  <c r="AS67" i="32"/>
  <c r="D18" i="65" s="1"/>
  <c r="I18" i="65" s="1"/>
  <c r="N18" i="65" s="1"/>
  <c r="J14" i="53"/>
  <c r="T17" i="88"/>
  <c r="U77" i="29"/>
  <c r="AA67" i="29"/>
  <c r="BM30" i="29" s="1"/>
  <c r="BN30" i="29" s="1"/>
  <c r="AA7" i="29"/>
  <c r="U14" i="84"/>
  <c r="Y85" i="34"/>
  <c r="AN67" i="34"/>
  <c r="D17" i="62" s="1"/>
  <c r="V12" i="25"/>
  <c r="AN67" i="32"/>
  <c r="D19" i="62" s="1"/>
  <c r="AN7" i="32"/>
  <c r="Y85" i="33"/>
  <c r="D160" i="48"/>
  <c r="F160" i="48" s="1"/>
  <c r="Y79" i="33"/>
  <c r="P79" i="33" s="1"/>
  <c r="AR79" i="33" s="1"/>
  <c r="G79" i="33" s="1"/>
  <c r="W88" i="37"/>
  <c r="AR97" i="37"/>
  <c r="Y97" i="37" s="1"/>
  <c r="Y88" i="37" s="1"/>
  <c r="AN44" i="84"/>
  <c r="AO41" i="84"/>
  <c r="AP38" i="84"/>
  <c r="AL38" i="84"/>
  <c r="AP37" i="84"/>
  <c r="AL37" i="84"/>
  <c r="P41" i="88"/>
  <c r="O28" i="84"/>
  <c r="AQ12" i="84"/>
  <c r="AN39" i="84"/>
  <c r="AK44" i="84"/>
  <c r="AJ40" i="84"/>
  <c r="AI41" i="84"/>
  <c r="AO36" i="84"/>
  <c r="AK36" i="84"/>
  <c r="AH41" i="84"/>
  <c r="AH37" i="84"/>
  <c r="AN35" i="84"/>
  <c r="AJ35" i="84"/>
  <c r="AG44" i="84"/>
  <c r="AG40" i="84"/>
  <c r="AG36" i="84"/>
  <c r="AM34" i="84"/>
  <c r="AP33" i="84"/>
  <c r="AN33" i="84"/>
  <c r="AL33" i="84"/>
  <c r="AJ33" i="84"/>
  <c r="AH33" i="84"/>
  <c r="AF33" i="84"/>
  <c r="AE40" i="84"/>
  <c r="AP32" i="84"/>
  <c r="AJ31" i="84"/>
  <c r="AH31" i="84"/>
  <c r="AF31" i="84"/>
  <c r="AD31" i="84"/>
  <c r="AC43" i="84"/>
  <c r="AC39" i="84"/>
  <c r="AC35" i="84"/>
  <c r="AO30" i="84"/>
  <c r="AK30" i="84"/>
  <c r="AG30" i="84"/>
  <c r="AB41" i="84"/>
  <c r="AB37" i="84"/>
  <c r="AP29" i="84"/>
  <c r="AL29" i="84"/>
  <c r="AH29" i="84"/>
  <c r="AD29" i="84"/>
  <c r="AN28" i="84"/>
  <c r="AJ28" i="84"/>
  <c r="AF28" i="84"/>
  <c r="AB28" i="84"/>
  <c r="Z43" i="84"/>
  <c r="Z42" i="84"/>
  <c r="Z41" i="84"/>
  <c r="Z37" i="84"/>
  <c r="Z33" i="84"/>
  <c r="Z32" i="84"/>
  <c r="AG26" i="84"/>
  <c r="AE26" i="84"/>
  <c r="AC26" i="84"/>
  <c r="AA26" i="84"/>
  <c r="X42" i="84"/>
  <c r="X38" i="84"/>
  <c r="X34" i="84"/>
  <c r="X30" i="84"/>
  <c r="AN25" i="84"/>
  <c r="AH25" i="84"/>
  <c r="AD25" i="84"/>
  <c r="AB25" i="84"/>
  <c r="Z25" i="84"/>
  <c r="W44" i="84"/>
  <c r="W41" i="84"/>
  <c r="W34" i="84"/>
  <c r="AM24" i="84"/>
  <c r="AI24" i="84"/>
  <c r="AE24" i="84"/>
  <c r="AA24" i="84"/>
  <c r="V44" i="84"/>
  <c r="V43" i="84"/>
  <c r="V39" i="84"/>
  <c r="V33" i="84"/>
  <c r="V30" i="84"/>
  <c r="V26" i="84"/>
  <c r="AM23" i="84"/>
  <c r="AI23" i="84"/>
  <c r="AE23" i="84"/>
  <c r="AA23" i="84"/>
  <c r="X23" i="84"/>
  <c r="U44" i="84"/>
  <c r="U40" i="84"/>
  <c r="U36" i="84"/>
  <c r="U32" i="84"/>
  <c r="U28" i="84"/>
  <c r="U24" i="84"/>
  <c r="AM22" i="84"/>
  <c r="AI22" i="84"/>
  <c r="AE22" i="84"/>
  <c r="AA22" i="84"/>
  <c r="X22" i="84"/>
  <c r="T43" i="84"/>
  <c r="T39" i="84"/>
  <c r="T35" i="84"/>
  <c r="T31" i="84"/>
  <c r="S43" i="84"/>
  <c r="S39" i="84"/>
  <c r="S38" i="84"/>
  <c r="S34" i="84"/>
  <c r="S31" i="84"/>
  <c r="S23" i="84"/>
  <c r="AN20" i="84"/>
  <c r="AJ20" i="84"/>
  <c r="AF20" i="84"/>
  <c r="AB20" i="84"/>
  <c r="X20" i="84"/>
  <c r="T20" i="84"/>
  <c r="R38" i="84"/>
  <c r="R37" i="84"/>
  <c r="R33" i="84"/>
  <c r="R30" i="84"/>
  <c r="R26" i="84"/>
  <c r="R22" i="84"/>
  <c r="AP19" i="84"/>
  <c r="AO19" i="84"/>
  <c r="AN19" i="84"/>
  <c r="AG19" i="84"/>
  <c r="AA19" i="84"/>
  <c r="Z19" i="84"/>
  <c r="T19" i="84"/>
  <c r="Q44" i="84"/>
  <c r="Q43" i="84"/>
  <c r="Q29" i="84"/>
  <c r="Q28" i="84"/>
  <c r="Q22" i="84"/>
  <c r="AP17" i="84"/>
  <c r="AL17" i="84"/>
  <c r="AH17" i="84"/>
  <c r="AD17" i="84"/>
  <c r="Z17" i="84"/>
  <c r="V17" i="84"/>
  <c r="O42" i="84"/>
  <c r="O38" i="84"/>
  <c r="O34" i="84"/>
  <c r="O30" i="84"/>
  <c r="AH16" i="84"/>
  <c r="AD16" i="84"/>
  <c r="Z16" i="84"/>
  <c r="V16" i="84"/>
  <c r="R16" i="84"/>
  <c r="Q16" i="84"/>
  <c r="N23" i="84"/>
  <c r="AP15" i="84"/>
  <c r="AO15" i="84"/>
  <c r="AT9" i="88"/>
  <c r="F36" i="88"/>
  <c r="O24" i="84"/>
  <c r="O20" i="84"/>
  <c r="AN16" i="84"/>
  <c r="AJ16" i="84"/>
  <c r="T15" i="84"/>
  <c r="M44" i="84"/>
  <c r="M38" i="84"/>
  <c r="M34" i="84"/>
  <c r="M30" i="84"/>
  <c r="M26" i="84"/>
  <c r="M22" i="84"/>
  <c r="M16" i="84"/>
  <c r="AM14" i="84"/>
  <c r="AG14" i="84"/>
  <c r="AD14" i="84"/>
  <c r="AC14" i="84"/>
  <c r="S14" i="84"/>
  <c r="L43" i="84"/>
  <c r="L39" i="84"/>
  <c r="L35" i="84"/>
  <c r="L34" i="84"/>
  <c r="L30" i="84"/>
  <c r="L24" i="84"/>
  <c r="L20" i="84"/>
  <c r="L19" i="84"/>
  <c r="AP13" i="84"/>
  <c r="AL13" i="84"/>
  <c r="AH13" i="84"/>
  <c r="AD13" i="84"/>
  <c r="Z13" i="84"/>
  <c r="V13" i="84"/>
  <c r="R13" i="84"/>
  <c r="Q13" i="84"/>
  <c r="K14" i="84"/>
  <c r="AN12" i="84"/>
  <c r="AJ12" i="84"/>
  <c r="AF12" i="84"/>
  <c r="AB12" i="84"/>
  <c r="X12" i="84"/>
  <c r="T12" i="84"/>
  <c r="N12" i="84"/>
  <c r="J43" i="84"/>
  <c r="J39" i="84"/>
  <c r="J35" i="84"/>
  <c r="J31" i="84"/>
  <c r="J24" i="84"/>
  <c r="J20" i="84"/>
  <c r="AI11" i="84"/>
  <c r="AA11" i="84"/>
  <c r="T11" i="84"/>
  <c r="L11" i="84"/>
  <c r="I44" i="84"/>
  <c r="I40" i="84"/>
  <c r="I36" i="84"/>
  <c r="I32" i="84"/>
  <c r="I28" i="84"/>
  <c r="AM10" i="84"/>
  <c r="AJ10" i="84"/>
  <c r="AF10" i="84"/>
  <c r="AE10" i="84"/>
  <c r="H42" i="84"/>
  <c r="H38" i="84"/>
  <c r="H35" i="84"/>
  <c r="H31" i="84"/>
  <c r="F43" i="88"/>
  <c r="E43" i="88" s="1"/>
  <c r="F33" i="88"/>
  <c r="F31" i="88"/>
  <c r="E31" i="88" s="1"/>
  <c r="BE31" i="88" s="1"/>
  <c r="AQ11" i="84"/>
  <c r="AD45" i="84"/>
  <c r="AP58" i="88"/>
  <c r="AN45" i="84"/>
  <c r="AG45" i="84"/>
  <c r="Q45" i="84"/>
  <c r="AO45" i="84"/>
  <c r="BJ41" i="87"/>
  <c r="C27" i="66"/>
  <c r="BJ39" i="87"/>
  <c r="BJ37" i="87"/>
  <c r="BJ35" i="87"/>
  <c r="AD67" i="88"/>
  <c r="AD63" i="88"/>
  <c r="AC66" i="88"/>
  <c r="BJ31" i="87"/>
  <c r="AF29" i="88"/>
  <c r="AF20" i="88" s="1"/>
  <c r="Z34" i="88"/>
  <c r="Q34" i="88" s="1"/>
  <c r="BJ30" i="87"/>
  <c r="BJ57" i="87"/>
  <c r="AM43" i="84"/>
  <c r="AK41" i="84"/>
  <c r="AO38" i="84"/>
  <c r="AM38" i="84"/>
  <c r="AK38" i="84"/>
  <c r="AJ44" i="84"/>
  <c r="AJ41" i="84"/>
  <c r="AJ39" i="84"/>
  <c r="C24" i="74"/>
  <c r="BJ51" i="87"/>
  <c r="AO37" i="84"/>
  <c r="AM37" i="84"/>
  <c r="AK37" i="84"/>
  <c r="AJ37" i="84"/>
  <c r="AI44" i="84"/>
  <c r="AI42" i="84"/>
  <c r="AI40" i="84"/>
  <c r="AI38" i="84"/>
  <c r="AP36" i="84"/>
  <c r="AN36" i="84"/>
  <c r="AL36" i="84"/>
  <c r="AJ36" i="84"/>
  <c r="AH44" i="84"/>
  <c r="AH42" i="84"/>
  <c r="AH40" i="84"/>
  <c r="AH38" i="84"/>
  <c r="AO35" i="84"/>
  <c r="AM35" i="84"/>
  <c r="AK35" i="84"/>
  <c r="AI35" i="84"/>
  <c r="AG43" i="84"/>
  <c r="AG41" i="84"/>
  <c r="AG39" i="84"/>
  <c r="AG37" i="84"/>
  <c r="AP34" i="84"/>
  <c r="AN34" i="84"/>
  <c r="AL34" i="84"/>
  <c r="AK34" i="84"/>
  <c r="AI34" i="84"/>
  <c r="AG34" i="84"/>
  <c r="AF44" i="84"/>
  <c r="AF42" i="84"/>
  <c r="AF40" i="84"/>
  <c r="AF38" i="84"/>
  <c r="AF36" i="84"/>
  <c r="AI32" i="84"/>
  <c r="AG32" i="84"/>
  <c r="AE32" i="84"/>
  <c r="AD44" i="84"/>
  <c r="AD40" i="84"/>
  <c r="AD39" i="84"/>
  <c r="AP52" i="88"/>
  <c r="AD38" i="84"/>
  <c r="AD36" i="84"/>
  <c r="AO31" i="84"/>
  <c r="AM31" i="84"/>
  <c r="AK31" i="84"/>
  <c r="AO58" i="88"/>
  <c r="AC44" i="84"/>
  <c r="AA43" i="84"/>
  <c r="AA41" i="84"/>
  <c r="AA39" i="84"/>
  <c r="AA37" i="84"/>
  <c r="AA35" i="84"/>
  <c r="AA33" i="84"/>
  <c r="AA31" i="84"/>
  <c r="BB29" i="88"/>
  <c r="AZ29" i="88"/>
  <c r="AV29" i="88"/>
  <c r="AR29" i="88"/>
  <c r="AN29" i="88"/>
  <c r="AL66" i="88"/>
  <c r="AL29" i="88"/>
  <c r="Z57" i="88"/>
  <c r="Z53" i="88"/>
  <c r="Z51" i="88"/>
  <c r="Z49" i="88"/>
  <c r="Z47" i="88"/>
  <c r="Z45" i="88"/>
  <c r="Z42" i="88"/>
  <c r="AO26" i="84"/>
  <c r="AM26" i="84"/>
  <c r="AK26" i="84"/>
  <c r="AI26" i="84"/>
  <c r="BJ28" i="87"/>
  <c r="AC25" i="84"/>
  <c r="AA25" i="84"/>
  <c r="AH67" i="88"/>
  <c r="W43" i="84"/>
  <c r="W40" i="84"/>
  <c r="W38" i="84"/>
  <c r="W37" i="84"/>
  <c r="W35" i="84"/>
  <c r="W33" i="84"/>
  <c r="W32" i="84"/>
  <c r="W31" i="84"/>
  <c r="Z25" i="88"/>
  <c r="V29" i="88"/>
  <c r="BJ25" i="87"/>
  <c r="Z24" i="88"/>
  <c r="U29" i="88"/>
  <c r="BJ24" i="87"/>
  <c r="BJ45" i="87"/>
  <c r="C17" i="72"/>
  <c r="BJ44" i="87"/>
  <c r="R45" i="84"/>
  <c r="N45" i="84"/>
  <c r="BJ36" i="87"/>
  <c r="BJ40" i="87"/>
  <c r="BJ38" i="87"/>
  <c r="BJ34" i="87"/>
  <c r="BJ33" i="87"/>
  <c r="BJ32" i="87"/>
  <c r="AE29" i="88"/>
  <c r="AE20" i="88" s="1"/>
  <c r="Z35" i="88"/>
  <c r="Q35" i="88" s="1"/>
  <c r="AP43" i="84"/>
  <c r="AO44" i="84"/>
  <c r="AP42" i="84"/>
  <c r="AN43" i="84"/>
  <c r="AP41" i="84"/>
  <c r="AN41" i="84"/>
  <c r="AM44" i="84"/>
  <c r="AM42" i="84"/>
  <c r="BJ54" i="87"/>
  <c r="AO40" i="84"/>
  <c r="AM40" i="84"/>
  <c r="AL44" i="84"/>
  <c r="AL43" i="84"/>
  <c r="AL41" i="84"/>
  <c r="BJ53" i="87"/>
  <c r="AO39" i="84"/>
  <c r="AM39" i="84"/>
  <c r="AK43" i="84"/>
  <c r="AK42" i="84"/>
  <c r="AJ43" i="84"/>
  <c r="BJ48" i="87"/>
  <c r="AJ34" i="84"/>
  <c r="AH34" i="84"/>
  <c r="AF43" i="84"/>
  <c r="AF41" i="84"/>
  <c r="AF39" i="84"/>
  <c r="AF37" i="84"/>
  <c r="AF35" i="84"/>
  <c r="D34" i="84"/>
  <c r="BJ47" i="87"/>
  <c r="AO33" i="84"/>
  <c r="AM33" i="84"/>
  <c r="AK33" i="84"/>
  <c r="AI33" i="84"/>
  <c r="AG33" i="84"/>
  <c r="AE43" i="84"/>
  <c r="AE41" i="84"/>
  <c r="AE39" i="84"/>
  <c r="AE37" i="84"/>
  <c r="AE35" i="84"/>
  <c r="AO32" i="84"/>
  <c r="AM32" i="84"/>
  <c r="AK32" i="84"/>
  <c r="AJ32" i="84"/>
  <c r="AF32" i="84"/>
  <c r="AD43" i="84"/>
  <c r="AD41" i="84"/>
  <c r="AD37" i="84"/>
  <c r="AD35" i="84"/>
  <c r="AP31" i="84"/>
  <c r="AN31" i="84"/>
  <c r="AI31" i="84"/>
  <c r="AG31" i="84"/>
  <c r="AE31" i="84"/>
  <c r="AC40" i="84"/>
  <c r="AC38" i="84"/>
  <c r="AC36" i="84"/>
  <c r="AC34" i="84"/>
  <c r="AC32" i="84"/>
  <c r="AP30" i="84"/>
  <c r="AN30" i="84"/>
  <c r="AL30" i="84"/>
  <c r="AJ30" i="84"/>
  <c r="AH30" i="84"/>
  <c r="AF30" i="84"/>
  <c r="AD30" i="84"/>
  <c r="AC30" i="84"/>
  <c r="AB44" i="84"/>
  <c r="AB42" i="84"/>
  <c r="AB40" i="84"/>
  <c r="AB38" i="84"/>
  <c r="AB36" i="84"/>
  <c r="AB34" i="84"/>
  <c r="AB32" i="84"/>
  <c r="AO29" i="84"/>
  <c r="AM29" i="84"/>
  <c r="AK29" i="84"/>
  <c r="AI29" i="84"/>
  <c r="AG29" i="84"/>
  <c r="AE29" i="84"/>
  <c r="AC29" i="84"/>
  <c r="AA44" i="84"/>
  <c r="AA42" i="84"/>
  <c r="AA40" i="84"/>
  <c r="AA38" i="84"/>
  <c r="AA36" i="84"/>
  <c r="AA34" i="84"/>
  <c r="AA32" i="84"/>
  <c r="AA30" i="84"/>
  <c r="BJ42" i="87"/>
  <c r="AO28" i="84"/>
  <c r="AM28" i="84"/>
  <c r="AK28" i="84"/>
  <c r="AI28" i="84"/>
  <c r="AG28" i="84"/>
  <c r="AE28" i="84"/>
  <c r="AC28" i="84"/>
  <c r="AA28" i="84"/>
  <c r="Z44" i="84"/>
  <c r="Z40" i="84"/>
  <c r="Z38" i="84"/>
  <c r="Z36" i="84"/>
  <c r="Z34" i="84"/>
  <c r="Z31" i="84"/>
  <c r="Z29" i="84"/>
  <c r="BA29" i="88"/>
  <c r="AY29" i="88"/>
  <c r="AX29" i="88"/>
  <c r="AW29" i="88"/>
  <c r="AU29" i="88"/>
  <c r="AU66" i="88" s="1"/>
  <c r="AT29" i="88"/>
  <c r="AS29" i="88"/>
  <c r="AQ29" i="88"/>
  <c r="AO29" i="88"/>
  <c r="AO66" i="88"/>
  <c r="AM29" i="88"/>
  <c r="AM20" i="88" s="1"/>
  <c r="Z54" i="88"/>
  <c r="Z52" i="88"/>
  <c r="Z46" i="88"/>
  <c r="Z44" i="88"/>
  <c r="Z43" i="88"/>
  <c r="Z41" i="88"/>
  <c r="AP26" i="84"/>
  <c r="AN26" i="84"/>
  <c r="AL26" i="84"/>
  <c r="AJ26" i="84"/>
  <c r="AH26" i="84"/>
  <c r="AF26" i="84"/>
  <c r="AD26" i="84"/>
  <c r="AB26" i="84"/>
  <c r="Z26" i="84"/>
  <c r="Z28" i="88"/>
  <c r="X43" i="84"/>
  <c r="X41" i="84"/>
  <c r="X39" i="84"/>
  <c r="X37" i="84"/>
  <c r="X35" i="84"/>
  <c r="X33" i="84"/>
  <c r="X31" i="84"/>
  <c r="X29" i="84"/>
  <c r="AO25" i="84"/>
  <c r="AM25" i="84"/>
  <c r="AK25" i="84"/>
  <c r="AI25" i="84"/>
  <c r="AG25" i="84"/>
  <c r="AE25" i="84"/>
  <c r="Z27" i="88"/>
  <c r="W30" i="84"/>
  <c r="W28" i="84"/>
  <c r="X29" i="88"/>
  <c r="W26" i="84"/>
  <c r="AP24" i="84"/>
  <c r="AN24" i="84"/>
  <c r="AL24" i="84"/>
  <c r="AJ24" i="84"/>
  <c r="AH24" i="84"/>
  <c r="AF24" i="84"/>
  <c r="AD24" i="84"/>
  <c r="AB24" i="84"/>
  <c r="Z24" i="84"/>
  <c r="Z26" i="88"/>
  <c r="X24" i="84"/>
  <c r="V40" i="84"/>
  <c r="V36" i="84"/>
  <c r="V34" i="84"/>
  <c r="V32" i="84"/>
  <c r="V31" i="84"/>
  <c r="V29" i="84"/>
  <c r="AP23" i="84"/>
  <c r="AN23" i="84"/>
  <c r="AL23" i="84"/>
  <c r="AJ23" i="84"/>
  <c r="AH23" i="84"/>
  <c r="AF23" i="84"/>
  <c r="AD23" i="84"/>
  <c r="AB23" i="84"/>
  <c r="Z23" i="84"/>
  <c r="Y23" i="84"/>
  <c r="W23" i="84"/>
  <c r="U43" i="84"/>
  <c r="U41" i="84"/>
  <c r="U39" i="84"/>
  <c r="U37" i="84"/>
  <c r="U35" i="84"/>
  <c r="U33" i="84"/>
  <c r="U31" i="84"/>
  <c r="U29" i="84"/>
  <c r="AP22" i="84"/>
  <c r="AN22" i="84"/>
  <c r="AL22" i="84"/>
  <c r="AJ22" i="84"/>
  <c r="AH22" i="84"/>
  <c r="AF22" i="84"/>
  <c r="AD22" i="84"/>
  <c r="AB22" i="84"/>
  <c r="Z22" i="84"/>
  <c r="Y22" i="84"/>
  <c r="W22" i="84"/>
  <c r="U22" i="84"/>
  <c r="T44" i="84"/>
  <c r="T42" i="84"/>
  <c r="T40" i="84"/>
  <c r="T38" i="84"/>
  <c r="T36" i="84"/>
  <c r="T34" i="84"/>
  <c r="T32" i="84"/>
  <c r="T30" i="84"/>
  <c r="T28" i="84"/>
  <c r="T26" i="84"/>
  <c r="T24" i="84"/>
  <c r="AN21" i="84"/>
  <c r="AL21" i="84"/>
  <c r="AJ21" i="84"/>
  <c r="AH21" i="84"/>
  <c r="AF21" i="84"/>
  <c r="AD21" i="84"/>
  <c r="AB21" i="84"/>
  <c r="Z23" i="88"/>
  <c r="V21" i="84"/>
  <c r="S44" i="84"/>
  <c r="Z22" i="88"/>
  <c r="R34" i="84"/>
  <c r="S47" i="88"/>
  <c r="R32" i="84"/>
  <c r="S45" i="88"/>
  <c r="AB19" i="84"/>
  <c r="AN21" i="88"/>
  <c r="Z21" i="88"/>
  <c r="Q37" i="84"/>
  <c r="R50" i="88"/>
  <c r="BJ21" i="87"/>
  <c r="Z19" i="88"/>
  <c r="P29" i="88"/>
  <c r="Z18" i="88"/>
  <c r="BJ18" i="87"/>
  <c r="AJ15" i="84"/>
  <c r="AV17" i="88"/>
  <c r="O15" i="84"/>
  <c r="P17" i="88"/>
  <c r="N29" i="88"/>
  <c r="AB14" i="84"/>
  <c r="AN16" i="88"/>
  <c r="M29" i="88"/>
  <c r="AG21" i="84"/>
  <c r="AE21" i="84"/>
  <c r="AC21" i="84"/>
  <c r="AA21" i="84"/>
  <c r="W21" i="84"/>
  <c r="U21" i="84"/>
  <c r="S40" i="84"/>
  <c r="S33" i="84"/>
  <c r="S32" i="84"/>
  <c r="S30" i="84"/>
  <c r="T29" i="88"/>
  <c r="S24" i="84"/>
  <c r="BJ23" i="87"/>
  <c r="AO20" i="84"/>
  <c r="AM20" i="84"/>
  <c r="AK20" i="84"/>
  <c r="AI20" i="84"/>
  <c r="AE20" i="84"/>
  <c r="AC20" i="84"/>
  <c r="W20" i="84"/>
  <c r="U20" i="84"/>
  <c r="S20" i="84"/>
  <c r="R39" i="84"/>
  <c r="R36" i="84"/>
  <c r="R31" i="84"/>
  <c r="S29" i="88"/>
  <c r="R25" i="84"/>
  <c r="R23" i="84"/>
  <c r="R21" i="84"/>
  <c r="BJ22" i="87"/>
  <c r="C25" i="54"/>
  <c r="AJ19" i="84"/>
  <c r="AI19" i="84"/>
  <c r="AF19" i="84"/>
  <c r="AE19" i="84"/>
  <c r="AD19" i="84"/>
  <c r="AP21" i="88"/>
  <c r="S19" i="84"/>
  <c r="Q39" i="84"/>
  <c r="Q34" i="84"/>
  <c r="Q33" i="84"/>
  <c r="Q32" i="84"/>
  <c r="Q31" i="84"/>
  <c r="Q30" i="84"/>
  <c r="R37" i="88"/>
  <c r="AO17" i="84"/>
  <c r="AM17" i="84"/>
  <c r="AK17" i="84"/>
  <c r="AI17" i="84"/>
  <c r="AG17" i="84"/>
  <c r="AE17" i="84"/>
  <c r="AC17" i="84"/>
  <c r="AA17" i="84"/>
  <c r="W17" i="84"/>
  <c r="U17" i="84"/>
  <c r="R17" i="84"/>
  <c r="O44" i="84"/>
  <c r="O43" i="84"/>
  <c r="O41" i="84"/>
  <c r="O39" i="84"/>
  <c r="O37" i="84"/>
  <c r="O35" i="84"/>
  <c r="O33" i="84"/>
  <c r="O31" i="84"/>
  <c r="O29" i="84"/>
  <c r="O25" i="84"/>
  <c r="O23" i="84"/>
  <c r="O21" i="84"/>
  <c r="AO16" i="84"/>
  <c r="AM16" i="84"/>
  <c r="AK16" i="84"/>
  <c r="AI16" i="84"/>
  <c r="AG16" i="84"/>
  <c r="AE16" i="84"/>
  <c r="AC16" i="84"/>
  <c r="AA16" i="84"/>
  <c r="W16" i="84"/>
  <c r="U16" i="84"/>
  <c r="O16" i="84"/>
  <c r="AN15" i="84"/>
  <c r="AI15" i="84"/>
  <c r="AF15" i="84"/>
  <c r="AE15" i="84"/>
  <c r="AA15" i="84"/>
  <c r="Z15" i="84"/>
  <c r="X15" i="84"/>
  <c r="U15" i="84"/>
  <c r="M43" i="84"/>
  <c r="M41" i="84"/>
  <c r="M39" i="84"/>
  <c r="M37" i="84"/>
  <c r="M35" i="84"/>
  <c r="M33" i="84"/>
  <c r="M31" i="84"/>
  <c r="M29" i="84"/>
  <c r="M25" i="84"/>
  <c r="M23" i="84"/>
  <c r="M21" i="84"/>
  <c r="M17" i="84"/>
  <c r="AP14" i="84"/>
  <c r="AN14" i="84"/>
  <c r="AL14" i="84"/>
  <c r="AF14" i="84"/>
  <c r="Z14" i="84"/>
  <c r="X14" i="84"/>
  <c r="T14" i="84"/>
  <c r="O14" i="84"/>
  <c r="L44" i="84"/>
  <c r="L42" i="84"/>
  <c r="L40" i="84"/>
  <c r="L38" i="84"/>
  <c r="L36" i="84"/>
  <c r="L33" i="84"/>
  <c r="L31" i="84"/>
  <c r="L29" i="84"/>
  <c r="L25" i="84"/>
  <c r="L23" i="84"/>
  <c r="L17" i="84"/>
  <c r="L15" i="84"/>
  <c r="AO13" i="84"/>
  <c r="AM13" i="84"/>
  <c r="AK13" i="84"/>
  <c r="AI13" i="84"/>
  <c r="AG13" i="84"/>
  <c r="AE13" i="84"/>
  <c r="AC13" i="84"/>
  <c r="AA13" i="84"/>
  <c r="W13" i="84"/>
  <c r="U13" i="84"/>
  <c r="O13" i="84"/>
  <c r="BJ15" i="87"/>
  <c r="K29" i="88"/>
  <c r="AB11" i="84"/>
  <c r="AN13" i="88"/>
  <c r="J29" i="88"/>
  <c r="R10" i="84"/>
  <c r="S12" i="88"/>
  <c r="H37" i="84"/>
  <c r="K15" i="84"/>
  <c r="AM12" i="84"/>
  <c r="AK12" i="84"/>
  <c r="AI12" i="84"/>
  <c r="AG12" i="84"/>
  <c r="AE12" i="84"/>
  <c r="U12" i="84"/>
  <c r="R12" i="84"/>
  <c r="O12" i="84"/>
  <c r="J42" i="84"/>
  <c r="J36" i="84"/>
  <c r="J34" i="84"/>
  <c r="J32" i="84"/>
  <c r="J30" i="84"/>
  <c r="J28" i="84"/>
  <c r="J15" i="84"/>
  <c r="AP11" i="84"/>
  <c r="AN11" i="84"/>
  <c r="AK11" i="84"/>
  <c r="AJ11" i="84"/>
  <c r="AH11" i="84"/>
  <c r="AE11" i="84"/>
  <c r="AQ13" i="88"/>
  <c r="AC11" i="84"/>
  <c r="AO13" i="88"/>
  <c r="Z11" i="84"/>
  <c r="X11" i="84"/>
  <c r="W11" i="84"/>
  <c r="U11" i="84"/>
  <c r="M11" i="84"/>
  <c r="I43" i="84"/>
  <c r="I41" i="84"/>
  <c r="I39" i="84"/>
  <c r="I37" i="84"/>
  <c r="AI10" i="84"/>
  <c r="AC10" i="84"/>
  <c r="AO12" i="88"/>
  <c r="AB10" i="84"/>
  <c r="W10" i="84"/>
  <c r="V10" i="84"/>
  <c r="Q10" i="84"/>
  <c r="R12" i="88"/>
  <c r="M10" i="84"/>
  <c r="I49" i="88"/>
  <c r="BJ12" i="87"/>
  <c r="AR9" i="88"/>
  <c r="AR8" i="88" s="1"/>
  <c r="AN9" i="88"/>
  <c r="AL9" i="88"/>
  <c r="AL8" i="88" s="1"/>
  <c r="AF9" i="88"/>
  <c r="AF8" i="88" s="1"/>
  <c r="AF60" i="88" s="1"/>
  <c r="AD9" i="88"/>
  <c r="AD8" i="88" s="1"/>
  <c r="Y9" i="88"/>
  <c r="W9" i="88"/>
  <c r="U9" i="88"/>
  <c r="U8" i="88" s="1"/>
  <c r="N9" i="88"/>
  <c r="L9" i="88"/>
  <c r="L60" i="88" s="1"/>
  <c r="J9" i="88"/>
  <c r="F55" i="88"/>
  <c r="F51" i="88"/>
  <c r="E51" i="88" s="1"/>
  <c r="F49" i="88"/>
  <c r="F46" i="88"/>
  <c r="F44" i="88"/>
  <c r="E44" i="88" s="1"/>
  <c r="E36" i="88"/>
  <c r="BE36" i="88" s="1"/>
  <c r="E35" i="88"/>
  <c r="BE35" i="88" s="1"/>
  <c r="G24" i="84"/>
  <c r="F24" i="88"/>
  <c r="F21" i="88"/>
  <c r="F12" i="88"/>
  <c r="D43" i="84"/>
  <c r="BJ56" i="87"/>
  <c r="D42" i="84"/>
  <c r="BJ55" i="87"/>
  <c r="C25" i="56"/>
  <c r="BJ27" i="87"/>
  <c r="BJ49" i="87"/>
  <c r="BJ14" i="87"/>
  <c r="D9" i="84"/>
  <c r="BJ10" i="87"/>
  <c r="C29" i="50"/>
  <c r="BJ17" i="87"/>
  <c r="BJ16" i="87"/>
  <c r="AH15" i="84"/>
  <c r="H34" i="84"/>
  <c r="I29" i="88"/>
  <c r="BA9" i="88"/>
  <c r="BA8" i="88" s="1"/>
  <c r="AX9" i="88"/>
  <c r="AV9" i="88"/>
  <c r="AS9" i="88"/>
  <c r="AS8" i="88" s="1"/>
  <c r="AF9" i="84"/>
  <c r="AK9" i="88"/>
  <c r="AK8" i="88" s="1"/>
  <c r="AE9" i="88"/>
  <c r="AE8" i="88" s="1"/>
  <c r="AE60" i="88" s="1"/>
  <c r="AA9" i="88"/>
  <c r="AA8" i="88" s="1"/>
  <c r="E48" i="88"/>
  <c r="F47" i="88"/>
  <c r="F42" i="88"/>
  <c r="E42" i="88" s="1"/>
  <c r="F39" i="88"/>
  <c r="E39" i="88" s="1"/>
  <c r="BE39" i="88" s="1"/>
  <c r="AJ39" i="88" s="1"/>
  <c r="AJ29" i="88" s="1"/>
  <c r="AJ20" i="88" s="1"/>
  <c r="F34" i="88"/>
  <c r="E34" i="88" s="1"/>
  <c r="BE34" i="88" s="1"/>
  <c r="H29" i="88"/>
  <c r="H20" i="88" s="1"/>
  <c r="H60" i="88" s="1"/>
  <c r="F26" i="88"/>
  <c r="E26" i="88" s="1"/>
  <c r="E23" i="88"/>
  <c r="F22" i="88"/>
  <c r="C24" i="75"/>
  <c r="BJ50" i="87"/>
  <c r="C24" i="65"/>
  <c r="BJ43" i="87"/>
  <c r="C25" i="57"/>
  <c r="BJ26" i="87"/>
  <c r="BJ19" i="87"/>
  <c r="BJ11" i="87"/>
  <c r="BJ46" i="87"/>
  <c r="BJ52" i="87"/>
  <c r="C26" i="81"/>
  <c r="BJ13" i="87"/>
  <c r="AD33" i="84"/>
  <c r="AD34" i="84"/>
  <c r="O10" i="84"/>
  <c r="P12" i="88"/>
  <c r="AN67" i="27"/>
  <c r="D10" i="62" s="1"/>
  <c r="I10" i="62" s="1"/>
  <c r="N10" i="62" s="1"/>
  <c r="AH10" i="88"/>
  <c r="AH9" i="88" s="1"/>
  <c r="F10" i="63"/>
  <c r="K10" i="63" s="1"/>
  <c r="D128" i="48"/>
  <c r="F128" i="48" s="1"/>
  <c r="AM7" i="27"/>
  <c r="Y79" i="32"/>
  <c r="BL60" i="40"/>
  <c r="P101" i="30"/>
  <c r="AC88" i="30"/>
  <c r="AG67" i="88"/>
  <c r="BL49" i="30"/>
  <c r="Y79" i="30"/>
  <c r="P79" i="30" s="1"/>
  <c r="AR79" i="30" s="1"/>
  <c r="AS79" i="30" s="1"/>
  <c r="G117" i="30" s="1"/>
  <c r="BL60" i="19"/>
  <c r="V22" i="19"/>
  <c r="V12" i="19"/>
  <c r="AM68" i="28"/>
  <c r="E9" i="63"/>
  <c r="F9" i="63" s="1"/>
  <c r="K9" i="63" s="1"/>
  <c r="L9" i="63" s="1"/>
  <c r="F127" i="48"/>
  <c r="AL97" i="28"/>
  <c r="BF25" i="28"/>
  <c r="BF7" i="28" s="1"/>
  <c r="V61" i="28"/>
  <c r="V63" i="28"/>
  <c r="AL11" i="84"/>
  <c r="AL10" i="84"/>
  <c r="BC67" i="28"/>
  <c r="D9" i="79" s="1"/>
  <c r="I9" i="79" s="1"/>
  <c r="W77" i="37"/>
  <c r="W116" i="37" s="1"/>
  <c r="AS95" i="37" s="1"/>
  <c r="W117" i="37" s="1"/>
  <c r="V22" i="28"/>
  <c r="Y67" i="33"/>
  <c r="Y7" i="33"/>
  <c r="D10" i="53"/>
  <c r="W10" i="53" s="1"/>
  <c r="V12" i="27"/>
  <c r="V17" i="27"/>
  <c r="O11" i="84"/>
  <c r="P13" i="88"/>
  <c r="AI67" i="31"/>
  <c r="V11" i="84"/>
  <c r="Y67" i="28"/>
  <c r="AY67" i="22"/>
  <c r="D14" i="76" s="1"/>
  <c r="W8" i="29"/>
  <c r="Q11" i="84"/>
  <c r="R13" i="88"/>
  <c r="V17" i="31"/>
  <c r="M77" i="37"/>
  <c r="M76" i="37" s="1"/>
  <c r="E85" i="37"/>
  <c r="Q15" i="84"/>
  <c r="R17" i="88"/>
  <c r="P83" i="29"/>
  <c r="AR83" i="29" s="1"/>
  <c r="AS83" i="29" s="1"/>
  <c r="K117" i="29" s="1"/>
  <c r="AZ8" i="29"/>
  <c r="AZ67" i="29" s="1"/>
  <c r="D7" i="75" s="1"/>
  <c r="I7" i="75" s="1"/>
  <c r="N7" i="75" s="1"/>
  <c r="O7" i="75" s="1"/>
  <c r="Q14" i="84"/>
  <c r="R16" i="88"/>
  <c r="W8" i="28"/>
  <c r="Y85" i="22"/>
  <c r="BL60" i="38"/>
  <c r="D118" i="48"/>
  <c r="F118" i="48" s="1"/>
  <c r="AI117" i="21"/>
  <c r="AS108" i="21" s="1"/>
  <c r="AI118" i="21" s="1"/>
  <c r="AI9" i="84"/>
  <c r="AU10" i="88"/>
  <c r="U67" i="33"/>
  <c r="D18" i="49" s="1"/>
  <c r="O116" i="33"/>
  <c r="AS87" i="33" s="1"/>
  <c r="O117" i="33" s="1"/>
  <c r="O77" i="33"/>
  <c r="O76" i="33" s="1"/>
  <c r="S11" i="84"/>
  <c r="D7" i="53"/>
  <c r="O8" i="86"/>
  <c r="N8" i="86"/>
  <c r="S10" i="84"/>
  <c r="BJ65" i="33"/>
  <c r="BM65" i="33"/>
  <c r="R116" i="32"/>
  <c r="G19" i="86"/>
  <c r="H19" i="86" s="1"/>
  <c r="M19" i="86" s="1"/>
  <c r="BJ65" i="29"/>
  <c r="BM65" i="29"/>
  <c r="BN65" i="29" s="1"/>
  <c r="BL63" i="29"/>
  <c r="G7" i="95" s="1"/>
  <c r="H7" i="95" s="1"/>
  <c r="BN64" i="29"/>
  <c r="D7" i="51"/>
  <c r="BM27" i="37"/>
  <c r="BN27" i="37" s="1"/>
  <c r="Y20" i="13" s="1"/>
  <c r="D48" i="47"/>
  <c r="AJ14" i="84"/>
  <c r="AN7" i="28"/>
  <c r="AN67" i="28"/>
  <c r="D9" i="62" s="1"/>
  <c r="BM12" i="28"/>
  <c r="BN12" i="28" s="1"/>
  <c r="I9" i="13" s="1"/>
  <c r="Y79" i="28"/>
  <c r="P79" i="28" s="1"/>
  <c r="AR79" i="28" s="1"/>
  <c r="AS79" i="28" s="1"/>
  <c r="G117" i="28" s="1"/>
  <c r="V22" i="38"/>
  <c r="AH14" i="84"/>
  <c r="AT16" i="88"/>
  <c r="AL32" i="84"/>
  <c r="U67" i="25"/>
  <c r="D12" i="49" s="1"/>
  <c r="O9" i="84"/>
  <c r="P10" i="88"/>
  <c r="P9" i="88" s="1"/>
  <c r="BB67" i="25"/>
  <c r="D12" i="73" s="1"/>
  <c r="BB68" i="24"/>
  <c r="D13" i="73" s="1"/>
  <c r="I13" i="73" s="1"/>
  <c r="BB7" i="24"/>
  <c r="AW9" i="88"/>
  <c r="AW8" i="88" s="1"/>
  <c r="AY67" i="39"/>
  <c r="D22" i="76" s="1"/>
  <c r="I22" i="76" s="1"/>
  <c r="N22" i="76" s="1"/>
  <c r="O22" i="76" s="1"/>
  <c r="AI7" i="39"/>
  <c r="AI67" i="39"/>
  <c r="D23" i="58" s="1"/>
  <c r="I23" i="58" s="1"/>
  <c r="N23" i="58" s="1"/>
  <c r="P23" i="58" s="1"/>
  <c r="AF68" i="39"/>
  <c r="G24" i="89"/>
  <c r="Y115" i="39"/>
  <c r="AE67" i="39"/>
  <c r="AD9" i="84"/>
  <c r="AP10" i="88"/>
  <c r="AP9" i="88" s="1"/>
  <c r="V22" i="21"/>
  <c r="BL12" i="21"/>
  <c r="V17" i="26"/>
  <c r="AH7" i="21"/>
  <c r="Y81" i="21"/>
  <c r="G11" i="82"/>
  <c r="H11" i="82" s="1"/>
  <c r="M11" i="82" s="1"/>
  <c r="AH67" i="27"/>
  <c r="D10" i="59" s="1"/>
  <c r="Y80" i="27"/>
  <c r="AH67" i="32"/>
  <c r="D19" i="59" s="1"/>
  <c r="AF67" i="31"/>
  <c r="D20" i="61" s="1"/>
  <c r="I20" i="61" s="1"/>
  <c r="N20" i="61" s="1"/>
  <c r="P20" i="61" s="1"/>
  <c r="AF7" i="31"/>
  <c r="D9" i="48"/>
  <c r="F9" i="48" s="1"/>
  <c r="BM35" i="26"/>
  <c r="BN35" i="26" s="1"/>
  <c r="K29" i="13" s="1"/>
  <c r="AP67" i="34"/>
  <c r="D17" i="67" s="1"/>
  <c r="I17" i="67" s="1"/>
  <c r="N17" i="67" s="1"/>
  <c r="O17" i="67" s="1"/>
  <c r="AP7" i="34"/>
  <c r="V12" i="34"/>
  <c r="V12" i="39"/>
  <c r="V22" i="37"/>
  <c r="AP67" i="37"/>
  <c r="AP7" i="37"/>
  <c r="V12" i="37"/>
  <c r="AP67" i="31"/>
  <c r="D20" i="67" s="1"/>
  <c r="AE7" i="38"/>
  <c r="AE67" i="38"/>
  <c r="Y77" i="38"/>
  <c r="Y116" i="38" s="1"/>
  <c r="P78" i="38"/>
  <c r="AR78" i="38" s="1"/>
  <c r="AP7" i="38"/>
  <c r="AP67" i="38"/>
  <c r="Y79" i="38"/>
  <c r="P79" i="38" s="1"/>
  <c r="AR79" i="38" s="1"/>
  <c r="AS79" i="38" s="1"/>
  <c r="G117" i="38" s="1"/>
  <c r="AP7" i="40"/>
  <c r="AP67" i="40"/>
  <c r="D22" i="67" s="1"/>
  <c r="Y79" i="40"/>
  <c r="P79" i="40" s="1"/>
  <c r="AR79" i="40" s="1"/>
  <c r="V21" i="29"/>
  <c r="AP8" i="29"/>
  <c r="Y81" i="29"/>
  <c r="E24" i="58"/>
  <c r="S42" i="84"/>
  <c r="T55" i="88"/>
  <c r="J45" i="84"/>
  <c r="K58" i="88"/>
  <c r="E29" i="17"/>
  <c r="AJ88" i="31"/>
  <c r="AJ76" i="31" s="1"/>
  <c r="P108" i="31"/>
  <c r="AB67" i="31"/>
  <c r="V77" i="31"/>
  <c r="P78" i="31"/>
  <c r="G79" i="31"/>
  <c r="V12" i="31"/>
  <c r="E31" i="17"/>
  <c r="AC42" i="84"/>
  <c r="AC15" i="84"/>
  <c r="AO17" i="88"/>
  <c r="E11" i="17"/>
  <c r="AC9" i="84"/>
  <c r="AO10" i="88"/>
  <c r="G24" i="79"/>
  <c r="AC88" i="31"/>
  <c r="AC76" i="31" s="1"/>
  <c r="P101" i="31"/>
  <c r="S24" i="89"/>
  <c r="L20" i="89"/>
  <c r="AC63" i="88"/>
  <c r="E24" i="89"/>
  <c r="V22" i="31"/>
  <c r="BL22" i="31" s="1"/>
  <c r="E168" i="46" s="1"/>
  <c r="BM22" i="26"/>
  <c r="BN22" i="26" s="1"/>
  <c r="Y102" i="26"/>
  <c r="V12" i="26"/>
  <c r="AD42" i="84"/>
  <c r="AP55" i="88"/>
  <c r="AU67" i="26"/>
  <c r="D234" i="47" s="1"/>
  <c r="F234" i="47" s="1"/>
  <c r="AP29" i="88"/>
  <c r="AD15" i="84"/>
  <c r="AP17" i="88"/>
  <c r="BM58" i="26"/>
  <c r="BN58" i="26" s="1"/>
  <c r="BC68" i="26" s="1"/>
  <c r="BC7" i="26"/>
  <c r="AL45" i="84"/>
  <c r="AL15" i="84"/>
  <c r="AX17" i="88"/>
  <c r="BM37" i="26"/>
  <c r="BN37" i="26" s="1"/>
  <c r="K31" i="13" s="1"/>
  <c r="I12" i="50"/>
  <c r="J12" i="50" s="1"/>
  <c r="O12" i="50" s="1"/>
  <c r="Q12" i="50" s="1"/>
  <c r="S22" i="26"/>
  <c r="Y85" i="26"/>
  <c r="H12" i="68"/>
  <c r="M13" i="68" s="1"/>
  <c r="N8" i="68"/>
  <c r="I11" i="61"/>
  <c r="N11" i="61" s="1"/>
  <c r="O11" i="61" s="1"/>
  <c r="I21" i="61"/>
  <c r="N21" i="61" s="1"/>
  <c r="O21" i="61" s="1"/>
  <c r="I23" i="61"/>
  <c r="N23" i="61" s="1"/>
  <c r="P23" i="61" s="1"/>
  <c r="O19" i="70"/>
  <c r="BH26" i="88"/>
  <c r="BH57" i="87"/>
  <c r="BI57" i="87" s="1"/>
  <c r="BH57" i="88"/>
  <c r="AE9" i="84"/>
  <c r="AQ10" i="88"/>
  <c r="AQ9" i="88" s="1"/>
  <c r="R42" i="84"/>
  <c r="S55" i="88"/>
  <c r="AE14" i="84"/>
  <c r="BM35" i="31"/>
  <c r="BN35" i="31" s="1"/>
  <c r="R14" i="84"/>
  <c r="X8" i="28"/>
  <c r="X67" i="28" s="1"/>
  <c r="D9" i="54" s="1"/>
  <c r="AN112" i="31"/>
  <c r="AN88" i="31" s="1"/>
  <c r="AN76" i="31" s="1"/>
  <c r="AS112" i="31"/>
  <c r="AN117" i="31" s="1"/>
  <c r="BE60" i="31"/>
  <c r="BM60" i="31"/>
  <c r="BN60" i="31" s="1"/>
  <c r="T47" i="13" s="1"/>
  <c r="E468" i="47"/>
  <c r="M42" i="84"/>
  <c r="N55" i="88"/>
  <c r="AG17" i="88"/>
  <c r="AL8" i="31"/>
  <c r="AL67" i="31" s="1"/>
  <c r="D20" i="64" s="1"/>
  <c r="I20" i="64" s="1"/>
  <c r="N20" i="64" s="1"/>
  <c r="P20" i="64" s="1"/>
  <c r="W37" i="88"/>
  <c r="E24" i="57"/>
  <c r="V42" i="84"/>
  <c r="W55" i="88"/>
  <c r="AB67" i="38"/>
  <c r="F47" i="46"/>
  <c r="P77" i="38"/>
  <c r="W42" i="84"/>
  <c r="W9" i="84"/>
  <c r="X10" i="88"/>
  <c r="X9" i="88" s="1"/>
  <c r="X8" i="88" s="1"/>
  <c r="V15" i="84"/>
  <c r="W17" i="88"/>
  <c r="AS86" i="23"/>
  <c r="M118" i="23" s="1"/>
  <c r="BF68" i="34"/>
  <c r="G16" i="77"/>
  <c r="F490" i="47"/>
  <c r="AR112" i="34"/>
  <c r="Z55" i="88"/>
  <c r="BH19" i="88"/>
  <c r="BH19" i="87"/>
  <c r="BI19" i="87" s="1"/>
  <c r="BH54" i="88"/>
  <c r="BH54" i="87"/>
  <c r="BI54" i="87" s="1"/>
  <c r="BH50" i="88"/>
  <c r="BH50" i="87"/>
  <c r="BI50" i="87" s="1"/>
  <c r="BH49" i="88"/>
  <c r="BH49" i="87"/>
  <c r="BI49" i="87" s="1"/>
  <c r="BH46" i="88"/>
  <c r="BL46" i="88" s="1"/>
  <c r="BH46" i="87"/>
  <c r="BI46" i="87" s="1"/>
  <c r="BH45" i="88"/>
  <c r="BH45" i="87"/>
  <c r="BI45" i="87" s="1"/>
  <c r="BH27" i="88"/>
  <c r="BH27" i="87"/>
  <c r="BI27" i="87" s="1"/>
  <c r="BH21" i="88"/>
  <c r="BH21" i="87"/>
  <c r="BI21" i="87" s="1"/>
  <c r="BH16" i="88"/>
  <c r="BH16" i="87"/>
  <c r="BI16" i="87" s="1"/>
  <c r="BH13" i="87"/>
  <c r="BH13" i="88"/>
  <c r="BH55" i="88"/>
  <c r="BH55" i="87"/>
  <c r="BI55" i="87" s="1"/>
  <c r="BH56" i="88"/>
  <c r="BH56" i="87"/>
  <c r="BI56" i="87" s="1"/>
  <c r="BH58" i="88"/>
  <c r="BH58" i="87"/>
  <c r="BI58" i="87" s="1"/>
  <c r="AG9" i="88"/>
  <c r="AC9" i="88"/>
  <c r="AC8" i="88" s="1"/>
  <c r="N13" i="71"/>
  <c r="P13" i="71" s="1"/>
  <c r="I11" i="67"/>
  <c r="N11" i="67" s="1"/>
  <c r="P11" i="67" s="1"/>
  <c r="I22" i="67"/>
  <c r="N22" i="67" s="1"/>
  <c r="O22" i="67" s="1"/>
  <c r="P19" i="67"/>
  <c r="O19" i="67"/>
  <c r="I9" i="62"/>
  <c r="N9" i="62" s="1"/>
  <c r="P9" i="62" s="1"/>
  <c r="I7" i="62"/>
  <c r="N7" i="62" s="1"/>
  <c r="F17" i="63"/>
  <c r="K17" i="63" s="1"/>
  <c r="M17" i="63" s="1"/>
  <c r="E27" i="50"/>
  <c r="I20" i="79"/>
  <c r="I22" i="79"/>
  <c r="I19" i="73"/>
  <c r="I20" i="73"/>
  <c r="O13" i="74"/>
  <c r="P16" i="74"/>
  <c r="O21" i="74"/>
  <c r="I20" i="75"/>
  <c r="N20" i="75" s="1"/>
  <c r="O20" i="75" s="1"/>
  <c r="I13" i="75"/>
  <c r="N13" i="75" s="1"/>
  <c r="O13" i="75" s="1"/>
  <c r="P7" i="75"/>
  <c r="I8" i="75"/>
  <c r="N8" i="75" s="1"/>
  <c r="P8" i="75" s="1"/>
  <c r="O11" i="75"/>
  <c r="I12" i="76"/>
  <c r="N12" i="76" s="1"/>
  <c r="O12" i="76" s="1"/>
  <c r="I22" i="70"/>
  <c r="N22" i="70" s="1"/>
  <c r="O19" i="66"/>
  <c r="T19" i="66" s="1"/>
  <c r="U19" i="66" s="1"/>
  <c r="O8" i="66"/>
  <c r="T8" i="66" s="1"/>
  <c r="V8" i="66" s="1"/>
  <c r="O10" i="66"/>
  <c r="T10" i="66" s="1"/>
  <c r="V10" i="66" s="1"/>
  <c r="G26" i="66"/>
  <c r="O20" i="66"/>
  <c r="T20" i="66" s="1"/>
  <c r="U20" i="66" s="1"/>
  <c r="O21" i="66"/>
  <c r="T21" i="66" s="1"/>
  <c r="V21" i="66" s="1"/>
  <c r="O23" i="66"/>
  <c r="T23" i="66" s="1"/>
  <c r="V23" i="66" s="1"/>
  <c r="O11" i="66"/>
  <c r="T11" i="66" s="1"/>
  <c r="V11" i="66" s="1"/>
  <c r="H26" i="66"/>
  <c r="O7" i="66"/>
  <c r="V24" i="66"/>
  <c r="U24" i="66"/>
  <c r="F26" i="66"/>
  <c r="V19" i="66"/>
  <c r="I14" i="65"/>
  <c r="N14" i="65" s="1"/>
  <c r="P14" i="65" s="1"/>
  <c r="I8" i="58"/>
  <c r="N8" i="58" s="1"/>
  <c r="O8" i="58" s="1"/>
  <c r="I12" i="58"/>
  <c r="N12" i="58" s="1"/>
  <c r="P12" i="58" s="1"/>
  <c r="I10" i="58"/>
  <c r="N10" i="58" s="1"/>
  <c r="P10" i="58" s="1"/>
  <c r="P14" i="60"/>
  <c r="I12" i="61"/>
  <c r="N12" i="61" s="1"/>
  <c r="P12" i="61" s="1"/>
  <c r="I13" i="61"/>
  <c r="N13" i="61" s="1"/>
  <c r="AL42" i="84"/>
  <c r="W88" i="19"/>
  <c r="P95" i="19"/>
  <c r="H7" i="56"/>
  <c r="BM41" i="29"/>
  <c r="BN41" i="29" s="1"/>
  <c r="AL68" i="29" s="1"/>
  <c r="BH9" i="87"/>
  <c r="BH53" i="87"/>
  <c r="BI53" i="87" s="1"/>
  <c r="BH52" i="87"/>
  <c r="BI52" i="87" s="1"/>
  <c r="AS89" i="19"/>
  <c r="Q117" i="19" s="1"/>
  <c r="AF88" i="19"/>
  <c r="AF76" i="19" s="1"/>
  <c r="P104" i="19"/>
  <c r="C26" i="55"/>
  <c r="D17" i="84"/>
  <c r="C26" i="82"/>
  <c r="C26" i="41"/>
  <c r="J68" i="37"/>
  <c r="H13" i="37"/>
  <c r="G13" i="37" s="1"/>
  <c r="F13" i="37" s="1"/>
  <c r="E13" i="37" s="1"/>
  <c r="J11" i="37"/>
  <c r="J10" i="37" s="1"/>
  <c r="J9" i="37" s="1"/>
  <c r="J8" i="37" s="1"/>
  <c r="J7" i="37" s="1"/>
  <c r="AC67" i="38"/>
  <c r="AC7" i="38"/>
  <c r="AB116" i="29"/>
  <c r="AS67" i="40"/>
  <c r="D21" i="65" s="1"/>
  <c r="I21" i="65" s="1"/>
  <c r="N21" i="65" s="1"/>
  <c r="O21" i="65" s="1"/>
  <c r="I68" i="38"/>
  <c r="AC116" i="31"/>
  <c r="AS101" i="31" s="1"/>
  <c r="AC117" i="31" s="1"/>
  <c r="G80" i="23"/>
  <c r="I11" i="28"/>
  <c r="I10" i="28" s="1"/>
  <c r="I9" i="28" s="1"/>
  <c r="H12" i="28"/>
  <c r="G12" i="28" s="1"/>
  <c r="F12" i="28" s="1"/>
  <c r="E12" i="28" s="1"/>
  <c r="V11" i="31"/>
  <c r="BL12" i="31"/>
  <c r="AM34" i="25"/>
  <c r="AM25" i="25" s="1"/>
  <c r="AM7" i="25" s="1"/>
  <c r="AE42" i="25"/>
  <c r="V42" i="25" s="1"/>
  <c r="AT8" i="31"/>
  <c r="AT67" i="31" s="1"/>
  <c r="AT70" i="31" s="1"/>
  <c r="I82" i="23"/>
  <c r="AS81" i="37"/>
  <c r="I117" i="37" s="1"/>
  <c r="I81" i="37"/>
  <c r="AB77" i="37"/>
  <c r="AB116" i="37" s="1"/>
  <c r="AS100" i="37" s="1"/>
  <c r="AB117" i="37" s="1"/>
  <c r="I77" i="38"/>
  <c r="I76" i="38" s="1"/>
  <c r="E81" i="38"/>
  <c r="AT67" i="38"/>
  <c r="AT7" i="38"/>
  <c r="AT67" i="39"/>
  <c r="AT70" i="39" s="1"/>
  <c r="AT7" i="39"/>
  <c r="AT67" i="40"/>
  <c r="I81" i="40"/>
  <c r="AS81" i="40"/>
  <c r="I117" i="40" s="1"/>
  <c r="AU67" i="34"/>
  <c r="D8" i="72" s="1"/>
  <c r="AU68" i="21"/>
  <c r="D7" i="72" s="1"/>
  <c r="I82" i="21"/>
  <c r="AU67" i="22"/>
  <c r="BM50" i="23"/>
  <c r="BN50" i="23" s="1"/>
  <c r="N37" i="13" s="1"/>
  <c r="D237" i="47"/>
  <c r="AU68" i="24"/>
  <c r="AD117" i="24"/>
  <c r="AS103" i="24" s="1"/>
  <c r="AD118" i="24" s="1"/>
  <c r="AS67" i="19"/>
  <c r="D6" i="65" s="1"/>
  <c r="I6" i="65" s="1"/>
  <c r="N6" i="65" s="1"/>
  <c r="O6" i="65" s="1"/>
  <c r="AS7" i="19"/>
  <c r="J68" i="31"/>
  <c r="J11" i="31"/>
  <c r="J10" i="31" s="1"/>
  <c r="H13" i="31"/>
  <c r="G13" i="31" s="1"/>
  <c r="F13" i="31" s="1"/>
  <c r="E13" i="31" s="1"/>
  <c r="AS67" i="31"/>
  <c r="D19" i="65" s="1"/>
  <c r="AB116" i="31"/>
  <c r="AS100" i="31" s="1"/>
  <c r="AB117" i="31" s="1"/>
  <c r="AS67" i="30"/>
  <c r="D20" i="65" s="1"/>
  <c r="E41" i="46"/>
  <c r="AS7" i="33"/>
  <c r="AS67" i="33"/>
  <c r="BL11" i="28"/>
  <c r="AS7" i="37"/>
  <c r="AS67" i="37"/>
  <c r="AS67" i="39"/>
  <c r="D22" i="65" s="1"/>
  <c r="I22" i="65" s="1"/>
  <c r="N22" i="65" s="1"/>
  <c r="O22" i="65" s="1"/>
  <c r="AS7" i="39"/>
  <c r="AS67" i="34"/>
  <c r="D16" i="65" s="1"/>
  <c r="AB116" i="34"/>
  <c r="AS100" i="34" s="1"/>
  <c r="AB117" i="34" s="1"/>
  <c r="AB76" i="34"/>
  <c r="AS68" i="24"/>
  <c r="AS7" i="24"/>
  <c r="AB116" i="26"/>
  <c r="AS100" i="26" s="1"/>
  <c r="AB117" i="26" s="1"/>
  <c r="R116" i="28"/>
  <c r="AW68" i="28"/>
  <c r="AW25" i="28"/>
  <c r="AW7" i="28" s="1"/>
  <c r="V52" i="28"/>
  <c r="AV67" i="38"/>
  <c r="AV7" i="38"/>
  <c r="G79" i="38"/>
  <c r="W7" i="29"/>
  <c r="W67" i="29"/>
  <c r="D8" i="55" s="1"/>
  <c r="I8" i="55" s="1"/>
  <c r="N8" i="55" s="1"/>
  <c r="W67" i="28"/>
  <c r="D9" i="55" s="1"/>
  <c r="W68" i="27"/>
  <c r="AV67" i="22"/>
  <c r="D14" i="70" s="1"/>
  <c r="AE41" i="32"/>
  <c r="V41" i="32" s="1"/>
  <c r="AL34" i="32"/>
  <c r="AL25" i="32" s="1"/>
  <c r="AL7" i="32" s="1"/>
  <c r="BM52" i="26"/>
  <c r="BN52" i="26" s="1"/>
  <c r="K39" i="13" s="1"/>
  <c r="E284" i="47"/>
  <c r="AW52" i="26"/>
  <c r="V50" i="26"/>
  <c r="AU25" i="26"/>
  <c r="AR102" i="26"/>
  <c r="AR112" i="32"/>
  <c r="H19" i="58"/>
  <c r="AS81" i="32"/>
  <c r="I117" i="32" s="1"/>
  <c r="I81" i="32"/>
  <c r="BL17" i="32"/>
  <c r="AR80" i="32"/>
  <c r="V11" i="32"/>
  <c r="BL13" i="32"/>
  <c r="Y116" i="32"/>
  <c r="Y33" i="84"/>
  <c r="H18" i="70"/>
  <c r="F267" i="47"/>
  <c r="BM41" i="32"/>
  <c r="BN41" i="32" s="1"/>
  <c r="D113" i="48"/>
  <c r="F113" i="48" s="1"/>
  <c r="I19" i="64"/>
  <c r="N19" i="64" s="1"/>
  <c r="P19" i="64" s="1"/>
  <c r="AM68" i="32"/>
  <c r="E217" i="47"/>
  <c r="AT49" i="32"/>
  <c r="P102" i="22"/>
  <c r="AD88" i="22"/>
  <c r="AD76" i="22" s="1"/>
  <c r="I81" i="22"/>
  <c r="V11" i="22"/>
  <c r="BL12" i="22"/>
  <c r="AU50" i="19"/>
  <c r="V50" i="19" s="1"/>
  <c r="AH67" i="34"/>
  <c r="D17" i="59" s="1"/>
  <c r="X68" i="21"/>
  <c r="D16" i="54" s="1"/>
  <c r="G80" i="21"/>
  <c r="X67" i="27"/>
  <c r="D10" i="54" s="1"/>
  <c r="R89" i="24"/>
  <c r="AR98" i="24"/>
  <c r="X68" i="24"/>
  <c r="D13" i="54" s="1"/>
  <c r="I12" i="24"/>
  <c r="V11" i="24"/>
  <c r="R77" i="23"/>
  <c r="R116" i="34"/>
  <c r="AS90" i="34" s="1"/>
  <c r="R117" i="34" s="1"/>
  <c r="AS80" i="34"/>
  <c r="H80" i="34"/>
  <c r="AL67" i="40"/>
  <c r="D22" i="64" s="1"/>
  <c r="I22" i="64" s="1"/>
  <c r="N22" i="64" s="1"/>
  <c r="P22" i="64" s="1"/>
  <c r="AE67" i="32"/>
  <c r="D19" i="89" s="1"/>
  <c r="AI7" i="32"/>
  <c r="AI67" i="32"/>
  <c r="D19" i="58" s="1"/>
  <c r="P79" i="32"/>
  <c r="AR79" i="32" s="1"/>
  <c r="G79" i="32" s="1"/>
  <c r="E166" i="46"/>
  <c r="S22" i="33"/>
  <c r="M85" i="29"/>
  <c r="AS85" i="29"/>
  <c r="M117" i="29" s="1"/>
  <c r="W116" i="29"/>
  <c r="AS95" i="29" s="1"/>
  <c r="W117" i="29" s="1"/>
  <c r="I20" i="56"/>
  <c r="N20" i="56" s="1"/>
  <c r="P20" i="56" s="1"/>
  <c r="W11" i="53"/>
  <c r="W9" i="53"/>
  <c r="AB10" i="53" s="1"/>
  <c r="C14" i="53"/>
  <c r="I11" i="55"/>
  <c r="N11" i="55" s="1"/>
  <c r="O11" i="55" s="1"/>
  <c r="I15" i="55"/>
  <c r="N15" i="55" s="1"/>
  <c r="O15" i="55" s="1"/>
  <c r="I19" i="55"/>
  <c r="N19" i="55" s="1"/>
  <c r="P19" i="55" s="1"/>
  <c r="O19" i="41"/>
  <c r="N19" i="41"/>
  <c r="AC7" i="21"/>
  <c r="AC68" i="21"/>
  <c r="D16" i="56" s="1"/>
  <c r="I16" i="56" s="1"/>
  <c r="N16" i="56" s="1"/>
  <c r="P16" i="56" s="1"/>
  <c r="M85" i="38"/>
  <c r="AS85" i="38"/>
  <c r="V116" i="39"/>
  <c r="AS94" i="39" s="1"/>
  <c r="V117" i="39" s="1"/>
  <c r="AB67" i="39"/>
  <c r="Y115" i="37"/>
  <c r="BE68" i="37"/>
  <c r="I14" i="72"/>
  <c r="P101" i="37"/>
  <c r="AC88" i="37"/>
  <c r="AC76" i="37" s="1"/>
  <c r="P78" i="37"/>
  <c r="Y77" i="37"/>
  <c r="AE7" i="37"/>
  <c r="AE67" i="37"/>
  <c r="AL7" i="37"/>
  <c r="AL67" i="37"/>
  <c r="D119" i="48" s="1"/>
  <c r="F119" i="48" s="1"/>
  <c r="BL22" i="37"/>
  <c r="G79" i="37"/>
  <c r="AB67" i="37"/>
  <c r="AB7" i="37"/>
  <c r="AL68" i="38"/>
  <c r="D120" i="47"/>
  <c r="F120" i="47" s="1"/>
  <c r="BM32" i="40"/>
  <c r="W117" i="40"/>
  <c r="AS80" i="30"/>
  <c r="H80" i="30"/>
  <c r="D139" i="48"/>
  <c r="AC76" i="30"/>
  <c r="AT67" i="30"/>
  <c r="AC117" i="30"/>
  <c r="BL66" i="31"/>
  <c r="V63" i="31"/>
  <c r="AG58" i="88"/>
  <c r="AE67" i="31"/>
  <c r="D20" i="89" s="1"/>
  <c r="E81" i="31"/>
  <c r="I77" i="31"/>
  <c r="I76" i="31" s="1"/>
  <c r="BL17" i="31"/>
  <c r="BA68" i="31"/>
  <c r="AJ117" i="31"/>
  <c r="AC117" i="32"/>
  <c r="AT67" i="32"/>
  <c r="G79" i="34"/>
  <c r="AS79" i="34"/>
  <c r="G117" i="34" s="1"/>
  <c r="AE67" i="34"/>
  <c r="D17" i="89" s="1"/>
  <c r="BL12" i="34"/>
  <c r="V11" i="34"/>
  <c r="AL67" i="34"/>
  <c r="D17" i="64" s="1"/>
  <c r="I17" i="64" s="1"/>
  <c r="N17" i="64" s="1"/>
  <c r="O17" i="64" s="1"/>
  <c r="AI88" i="34"/>
  <c r="AI76" i="34" s="1"/>
  <c r="P107" i="34"/>
  <c r="AZ55" i="34"/>
  <c r="BM55" i="34"/>
  <c r="E340" i="47"/>
  <c r="BE68" i="34"/>
  <c r="AZ67" i="22"/>
  <c r="AI27" i="84"/>
  <c r="V60" i="23"/>
  <c r="BE25" i="23"/>
  <c r="BE7" i="23" s="1"/>
  <c r="AS113" i="25"/>
  <c r="AO117" i="25" s="1"/>
  <c r="AO113" i="25"/>
  <c r="G79" i="25"/>
  <c r="V11" i="25"/>
  <c r="BL12" i="25"/>
  <c r="BM41" i="25"/>
  <c r="BN41" i="25" s="1"/>
  <c r="AI34" i="26"/>
  <c r="AI25" i="26" s="1"/>
  <c r="AI7" i="26" s="1"/>
  <c r="G79" i="26"/>
  <c r="V11" i="26"/>
  <c r="BL12" i="26"/>
  <c r="E11" i="63"/>
  <c r="G24" i="64"/>
  <c r="V63" i="26"/>
  <c r="BL64" i="26"/>
  <c r="BJ63" i="27"/>
  <c r="AS8" i="27"/>
  <c r="AS7" i="27" s="1"/>
  <c r="AB117" i="27"/>
  <c r="I81" i="28"/>
  <c r="AS81" i="28"/>
  <c r="I117" i="28" s="1"/>
  <c r="AU67" i="28"/>
  <c r="AU7" i="28"/>
  <c r="M85" i="28"/>
  <c r="AB68" i="28"/>
  <c r="E8" i="63"/>
  <c r="AL34" i="29"/>
  <c r="AL25" i="29" s="1"/>
  <c r="AL7" i="29" s="1"/>
  <c r="AE41" i="29"/>
  <c r="V41" i="29" s="1"/>
  <c r="I8" i="64"/>
  <c r="N8" i="64" s="1"/>
  <c r="P8" i="64" s="1"/>
  <c r="H12" i="29"/>
  <c r="G12" i="29" s="1"/>
  <c r="F12" i="29" s="1"/>
  <c r="E12" i="29" s="1"/>
  <c r="I11" i="29"/>
  <c r="I10" i="29" s="1"/>
  <c r="AS79" i="29"/>
  <c r="G117" i="29" s="1"/>
  <c r="S117" i="29"/>
  <c r="BL16" i="19"/>
  <c r="AR97" i="19"/>
  <c r="AD88" i="19"/>
  <c r="AD76" i="19" s="1"/>
  <c r="AD116" i="19"/>
  <c r="AS102" i="19" s="1"/>
  <c r="AD117" i="19" s="1"/>
  <c r="AU67" i="19"/>
  <c r="D230" i="47" s="1"/>
  <c r="AM68" i="19"/>
  <c r="W67" i="19"/>
  <c r="H6" i="75"/>
  <c r="I6" i="75" s="1"/>
  <c r="F330" i="47"/>
  <c r="AI107" i="19"/>
  <c r="P107" i="19" s="1"/>
  <c r="H80" i="19"/>
  <c r="AS80" i="19"/>
  <c r="H117" i="19" s="1"/>
  <c r="I11" i="65"/>
  <c r="C23" i="65"/>
  <c r="C24" i="49"/>
  <c r="C10" i="83"/>
  <c r="C24" i="56"/>
  <c r="I22" i="56"/>
  <c r="N22" i="56" s="1"/>
  <c r="C21" i="83"/>
  <c r="C23" i="74"/>
  <c r="I19" i="74"/>
  <c r="N19" i="74" s="1"/>
  <c r="M8" i="31"/>
  <c r="AJ88" i="32"/>
  <c r="AJ76" i="32" s="1"/>
  <c r="P108" i="32"/>
  <c r="C24" i="47"/>
  <c r="C26" i="49"/>
  <c r="D8" i="32"/>
  <c r="F9" i="32"/>
  <c r="C16" i="72"/>
  <c r="AT7" i="33"/>
  <c r="C25" i="82"/>
  <c r="C23" i="80"/>
  <c r="H16" i="80"/>
  <c r="F9" i="34"/>
  <c r="E9" i="34" s="1"/>
  <c r="D8" i="34"/>
  <c r="C17" i="83"/>
  <c r="C16" i="83"/>
  <c r="D88" i="22"/>
  <c r="C24" i="41"/>
  <c r="H15" i="41"/>
  <c r="M15" i="41" s="1"/>
  <c r="C15" i="83"/>
  <c r="H12" i="69"/>
  <c r="C23" i="77"/>
  <c r="D8" i="25"/>
  <c r="F9" i="25"/>
  <c r="E9" i="25" s="1"/>
  <c r="C149" i="46"/>
  <c r="M8" i="28"/>
  <c r="G16" i="28"/>
  <c r="F16" i="28" s="1"/>
  <c r="E16" i="28" s="1"/>
  <c r="E80" i="28"/>
  <c r="W7" i="53"/>
  <c r="AB7" i="53" s="1"/>
  <c r="AC7" i="53" s="1"/>
  <c r="I9" i="29"/>
  <c r="C23" i="75"/>
  <c r="C24" i="63"/>
  <c r="C23" i="76"/>
  <c r="C24" i="64"/>
  <c r="C25" i="81"/>
  <c r="D9" i="19"/>
  <c r="I9" i="32"/>
  <c r="U9" i="32"/>
  <c r="U67" i="27"/>
  <c r="D10" i="49" s="1"/>
  <c r="AR78" i="27"/>
  <c r="O116" i="27"/>
  <c r="AS79" i="27"/>
  <c r="G117" i="27" s="1"/>
  <c r="E163" i="46"/>
  <c r="BM22" i="22"/>
  <c r="S22" i="22"/>
  <c r="P85" i="22"/>
  <c r="AS85" i="19"/>
  <c r="M85" i="19"/>
  <c r="S67" i="25"/>
  <c r="D13" i="50" s="1"/>
  <c r="U67" i="39"/>
  <c r="D23" i="49" s="1"/>
  <c r="I23" i="49" s="1"/>
  <c r="U8" i="39"/>
  <c r="U7" i="39" s="1"/>
  <c r="E117" i="48"/>
  <c r="AL41" i="39"/>
  <c r="BM41" i="39"/>
  <c r="BN41" i="39" s="1"/>
  <c r="BJ65" i="39"/>
  <c r="M116" i="31"/>
  <c r="AS85" i="31" s="1"/>
  <c r="M117" i="31" s="1"/>
  <c r="V117" i="37"/>
  <c r="AB12" i="53"/>
  <c r="AR84" i="39"/>
  <c r="AC8" i="39"/>
  <c r="AC67" i="39" s="1"/>
  <c r="D23" i="56" s="1"/>
  <c r="I23" i="56" s="1"/>
  <c r="N23" i="56" s="1"/>
  <c r="O23" i="56" s="1"/>
  <c r="G79" i="39"/>
  <c r="E115" i="25"/>
  <c r="J116" i="25"/>
  <c r="AS82" i="25" s="1"/>
  <c r="E115" i="31"/>
  <c r="E45" i="88" l="1"/>
  <c r="AM8" i="88"/>
  <c r="AD60" i="88"/>
  <c r="AS104" i="21"/>
  <c r="AE118" i="21" s="1"/>
  <c r="BM42" i="30"/>
  <c r="BN42" i="30" s="1"/>
  <c r="BC7" i="30"/>
  <c r="AV7" i="30"/>
  <c r="X58" i="88"/>
  <c r="P90" i="30"/>
  <c r="V55" i="33"/>
  <c r="BM12" i="33"/>
  <c r="BN12" i="33" s="1"/>
  <c r="R9" i="13" s="1"/>
  <c r="AD76" i="33"/>
  <c r="AS102" i="33"/>
  <c r="AD117" i="33" s="1"/>
  <c r="AS84" i="21"/>
  <c r="K118" i="21" s="1"/>
  <c r="K78" i="21"/>
  <c r="K77" i="21" s="1"/>
  <c r="AE68" i="21"/>
  <c r="D16" i="89" s="1"/>
  <c r="AL68" i="21"/>
  <c r="BM41" i="21" s="1"/>
  <c r="BN41" i="21" s="1"/>
  <c r="AL69" i="21" s="1"/>
  <c r="D14" i="47"/>
  <c r="Y78" i="22"/>
  <c r="AE10" i="22"/>
  <c r="AE9" i="22" s="1"/>
  <c r="AE8" i="22" s="1"/>
  <c r="AE67" i="22" s="1"/>
  <c r="D15" i="89" s="1"/>
  <c r="AL68" i="24"/>
  <c r="BM41" i="24" s="1"/>
  <c r="AS83" i="27"/>
  <c r="K117" i="27" s="1"/>
  <c r="AS83" i="28"/>
  <c r="K117" i="28" s="1"/>
  <c r="P77" i="28"/>
  <c r="G20" i="88"/>
  <c r="G60" i="88" s="1"/>
  <c r="AM45" i="84"/>
  <c r="E22" i="88"/>
  <c r="E47" i="88"/>
  <c r="Y13" i="84"/>
  <c r="AK8" i="84"/>
  <c r="F37" i="88"/>
  <c r="E37" i="88" s="1"/>
  <c r="Y8" i="88"/>
  <c r="AN58" i="88"/>
  <c r="AJ60" i="88"/>
  <c r="E46" i="88"/>
  <c r="BE51" i="88"/>
  <c r="M20" i="88"/>
  <c r="M60" i="88" s="1"/>
  <c r="I28" i="67"/>
  <c r="AE41" i="28"/>
  <c r="V41" i="28" s="1"/>
  <c r="P101" i="21"/>
  <c r="V49" i="28"/>
  <c r="AS81" i="30"/>
  <c r="I117" i="30" s="1"/>
  <c r="BM26" i="30"/>
  <c r="BN26" i="30" s="1"/>
  <c r="AU50" i="33"/>
  <c r="AE8" i="33"/>
  <c r="AE67" i="33" s="1"/>
  <c r="D141" i="47" s="1"/>
  <c r="V76" i="33"/>
  <c r="AS81" i="33"/>
  <c r="I117" i="33" s="1"/>
  <c r="N58" i="88"/>
  <c r="U16" i="66"/>
  <c r="V16" i="66"/>
  <c r="F15" i="84"/>
  <c r="AK60" i="88"/>
  <c r="AI7" i="21"/>
  <c r="BE56" i="88"/>
  <c r="BA56" i="88" s="1"/>
  <c r="Q56" i="88" s="1"/>
  <c r="AX69" i="21"/>
  <c r="V32" i="21"/>
  <c r="AF89" i="21"/>
  <c r="AF77" i="21" s="1"/>
  <c r="AC77" i="21"/>
  <c r="AM34" i="21"/>
  <c r="AM25" i="21" s="1"/>
  <c r="V16" i="53"/>
  <c r="J8" i="84"/>
  <c r="F20" i="84"/>
  <c r="AT25" i="21"/>
  <c r="AT7" i="21" s="1"/>
  <c r="V49" i="21"/>
  <c r="AX25" i="21"/>
  <c r="AX7" i="21" s="1"/>
  <c r="V53" i="21"/>
  <c r="P58" i="88"/>
  <c r="T45" i="84"/>
  <c r="AK45" i="84"/>
  <c r="AZ8" i="88"/>
  <c r="AZ60" i="88" s="1"/>
  <c r="S45" i="84"/>
  <c r="AB77" i="21"/>
  <c r="AP89" i="21"/>
  <c r="AP77" i="21" s="1"/>
  <c r="F30" i="84"/>
  <c r="E158" i="48"/>
  <c r="AN43" i="21"/>
  <c r="F38" i="84"/>
  <c r="Y9" i="84"/>
  <c r="AL77" i="21"/>
  <c r="AJ45" i="84"/>
  <c r="AC102" i="23"/>
  <c r="AC89" i="23" s="1"/>
  <c r="AC77" i="23" s="1"/>
  <c r="AS102" i="23"/>
  <c r="AC118" i="23" s="1"/>
  <c r="AS84" i="23"/>
  <c r="K118" i="23" s="1"/>
  <c r="K84" i="23"/>
  <c r="AA30" i="23"/>
  <c r="T8" i="88"/>
  <c r="T60" i="88" s="1"/>
  <c r="BF23" i="88" s="1"/>
  <c r="BG23" i="88" s="1"/>
  <c r="AA60" i="88"/>
  <c r="E24" i="88"/>
  <c r="AE45" i="84"/>
  <c r="N17" i="13"/>
  <c r="P99" i="23"/>
  <c r="O27" i="84"/>
  <c r="D23" i="68"/>
  <c r="AS112" i="23"/>
  <c r="AM118" i="23" s="1"/>
  <c r="BK66" i="23"/>
  <c r="F287" i="47"/>
  <c r="O60" i="88"/>
  <c r="O14" i="67"/>
  <c r="BE22" i="88"/>
  <c r="S22" i="88" s="1"/>
  <c r="Q22" i="88" s="1"/>
  <c r="F437" i="47"/>
  <c r="AB8" i="88"/>
  <c r="AB60" i="88" s="1"/>
  <c r="E9" i="84"/>
  <c r="Z58" i="88"/>
  <c r="E21" i="88"/>
  <c r="E33" i="88"/>
  <c r="BE33" i="88" s="1"/>
  <c r="AD33" i="88" s="1"/>
  <c r="AD29" i="88" s="1"/>
  <c r="AD20" i="88" s="1"/>
  <c r="Q11" i="88"/>
  <c r="BE11" i="88" s="1"/>
  <c r="H11" i="88" s="1"/>
  <c r="F11" i="88" s="1"/>
  <c r="E11" i="88" s="1"/>
  <c r="AQ77" i="23"/>
  <c r="Y45" i="84"/>
  <c r="BM30" i="23"/>
  <c r="BN30" i="23" s="1"/>
  <c r="N23" i="13" s="1"/>
  <c r="E262" i="47"/>
  <c r="AV51" i="23"/>
  <c r="E156" i="48"/>
  <c r="H14" i="62" s="1"/>
  <c r="AN43" i="23"/>
  <c r="BL23" i="23"/>
  <c r="T23" i="23" s="1"/>
  <c r="U77" i="23"/>
  <c r="AN8" i="84"/>
  <c r="F26" i="84"/>
  <c r="AQ27" i="84"/>
  <c r="AH8" i="88"/>
  <c r="AH60" i="88" s="1"/>
  <c r="E28" i="88"/>
  <c r="E53" i="88"/>
  <c r="BE53" i="88" s="1"/>
  <c r="AX53" i="88" s="1"/>
  <c r="Q53" i="88" s="1"/>
  <c r="J20" i="88"/>
  <c r="J60" i="88" s="1"/>
  <c r="P20" i="88"/>
  <c r="AW20" i="88"/>
  <c r="AX8" i="88"/>
  <c r="AS20" i="88"/>
  <c r="F17" i="84"/>
  <c r="K27" i="84"/>
  <c r="BE42" i="88"/>
  <c r="AM42" i="88" s="1"/>
  <c r="Q42" i="88" s="1"/>
  <c r="AV8" i="88"/>
  <c r="AL60" i="88"/>
  <c r="AI45" i="84"/>
  <c r="Q15" i="88"/>
  <c r="M8" i="84"/>
  <c r="F36" i="84"/>
  <c r="N27" i="84"/>
  <c r="AW25" i="24"/>
  <c r="AW7" i="24" s="1"/>
  <c r="V52" i="24"/>
  <c r="F26" i="24"/>
  <c r="E203" i="48"/>
  <c r="AP45" i="24"/>
  <c r="BM45" i="24"/>
  <c r="BN45" i="24" s="1"/>
  <c r="AP69" i="24" s="1"/>
  <c r="AR94" i="24"/>
  <c r="U94" i="24" s="1"/>
  <c r="BE45" i="88"/>
  <c r="AP45" i="88" s="1"/>
  <c r="Q45" i="88" s="1"/>
  <c r="I13" i="59"/>
  <c r="N13" i="59" s="1"/>
  <c r="I14" i="88"/>
  <c r="G117" i="24"/>
  <c r="AS80" i="24" s="1"/>
  <c r="G118" i="24" s="1"/>
  <c r="G77" i="24"/>
  <c r="G34" i="24"/>
  <c r="G25" i="24" s="1"/>
  <c r="G68" i="24" s="1"/>
  <c r="Z29" i="24"/>
  <c r="H25" i="24"/>
  <c r="H68" i="24" s="1"/>
  <c r="D11" i="46" s="1"/>
  <c r="E38" i="24"/>
  <c r="F34" i="24"/>
  <c r="AB7" i="25"/>
  <c r="R116" i="26"/>
  <c r="AS90" i="26" s="1"/>
  <c r="R117" i="26" s="1"/>
  <c r="R76" i="26"/>
  <c r="AS81" i="27"/>
  <c r="I117" i="27" s="1"/>
  <c r="AE42" i="28"/>
  <c r="V42" i="28" s="1"/>
  <c r="AT7" i="28"/>
  <c r="W76" i="28"/>
  <c r="AL67" i="19"/>
  <c r="D7" i="64" s="1"/>
  <c r="I7" i="64" s="1"/>
  <c r="N7" i="64" s="1"/>
  <c r="O7" i="64" s="1"/>
  <c r="D20" i="70"/>
  <c r="I20" i="70" s="1"/>
  <c r="N20" i="70" s="1"/>
  <c r="P20" i="70" s="1"/>
  <c r="D269" i="47"/>
  <c r="F269" i="47" s="1"/>
  <c r="E23" i="30"/>
  <c r="I21" i="55"/>
  <c r="N21" i="55" s="1"/>
  <c r="O21" i="55" s="1"/>
  <c r="AS94" i="32"/>
  <c r="V117" i="32" s="1"/>
  <c r="AK7" i="39"/>
  <c r="E9" i="39"/>
  <c r="BM36" i="39"/>
  <c r="BN36" i="39" s="1"/>
  <c r="AP7" i="39"/>
  <c r="D45" i="48"/>
  <c r="D171" i="47"/>
  <c r="F171" i="47" s="1"/>
  <c r="BM46" i="39"/>
  <c r="BN46" i="39" s="1"/>
  <c r="P22" i="65"/>
  <c r="Q88" i="40"/>
  <c r="Q76" i="40" s="1"/>
  <c r="D21" i="69"/>
  <c r="H21" i="69" s="1"/>
  <c r="D295" i="47"/>
  <c r="F295" i="47" s="1"/>
  <c r="BM52" i="40"/>
  <c r="BN52" i="40" s="1"/>
  <c r="D22" i="49"/>
  <c r="D195" i="46"/>
  <c r="I13" i="72"/>
  <c r="D116" i="47"/>
  <c r="BM32" i="33"/>
  <c r="BN32" i="33" s="1"/>
  <c r="R25" i="13" s="1"/>
  <c r="AS79" i="33"/>
  <c r="G117" i="33" s="1"/>
  <c r="R43" i="13"/>
  <c r="D17" i="77"/>
  <c r="D16" i="48"/>
  <c r="F16" i="48" s="1"/>
  <c r="BM49" i="33"/>
  <c r="BM43" i="33"/>
  <c r="BN43" i="33" s="1"/>
  <c r="P18" i="61"/>
  <c r="V45" i="84"/>
  <c r="D214" i="47"/>
  <c r="F214" i="47" s="1"/>
  <c r="AI68" i="21"/>
  <c r="D16" i="58" s="1"/>
  <c r="I16" i="58" s="1"/>
  <c r="N16" i="58" s="1"/>
  <c r="P16" i="58" s="1"/>
  <c r="D264" i="47"/>
  <c r="AJ8" i="84"/>
  <c r="BB8" i="88"/>
  <c r="BB60" i="88" s="1"/>
  <c r="D16" i="41"/>
  <c r="D114" i="46"/>
  <c r="AQ8" i="84"/>
  <c r="K11" i="21"/>
  <c r="K10" i="21" s="1"/>
  <c r="K9" i="21" s="1"/>
  <c r="K8" i="21" s="1"/>
  <c r="K7" i="21" s="1"/>
  <c r="H14" i="21"/>
  <c r="G14" i="21" s="1"/>
  <c r="F14" i="21" s="1"/>
  <c r="E14" i="21" s="1"/>
  <c r="Q9" i="21"/>
  <c r="O10" i="21"/>
  <c r="D15" i="78"/>
  <c r="H15" i="78" s="1"/>
  <c r="BM59" i="21"/>
  <c r="BN59" i="21" s="1"/>
  <c r="D439" i="47"/>
  <c r="F439" i="47" s="1"/>
  <c r="O47" i="13"/>
  <c r="D163" i="47"/>
  <c r="BM46" i="22"/>
  <c r="BN46" i="22" s="1"/>
  <c r="BM38" i="22"/>
  <c r="BN38" i="22" s="1"/>
  <c r="AI68" i="22" s="1"/>
  <c r="D85" i="48"/>
  <c r="F85" i="48" s="1"/>
  <c r="AI7" i="22"/>
  <c r="AW7" i="22"/>
  <c r="W7" i="23"/>
  <c r="N31" i="13"/>
  <c r="BJ7" i="23"/>
  <c r="AO7" i="23"/>
  <c r="BM60" i="24"/>
  <c r="BN60" i="24" s="1"/>
  <c r="AL7" i="24"/>
  <c r="O13" i="71"/>
  <c r="Y69" i="24"/>
  <c r="BA60" i="88"/>
  <c r="M85" i="25"/>
  <c r="M77" i="25" s="1"/>
  <c r="M76" i="25" s="1"/>
  <c r="BM43" i="25"/>
  <c r="BN43" i="25" s="1"/>
  <c r="BM65" i="26"/>
  <c r="BN65" i="26" s="1"/>
  <c r="BJ68" i="26" s="1"/>
  <c r="BM50" i="26"/>
  <c r="BN50" i="26" s="1"/>
  <c r="K37" i="13" s="1"/>
  <c r="D159" i="46"/>
  <c r="F159" i="46" s="1"/>
  <c r="BB7" i="26"/>
  <c r="AA7" i="26"/>
  <c r="AH76" i="27"/>
  <c r="BJ7" i="27"/>
  <c r="J40" i="13"/>
  <c r="J45" i="13"/>
  <c r="BF68" i="27"/>
  <c r="AN7" i="27"/>
  <c r="F58" i="46"/>
  <c r="J47" i="13"/>
  <c r="J48" i="13"/>
  <c r="BM16" i="27"/>
  <c r="BN16" i="27" s="1"/>
  <c r="J10" i="13" s="1"/>
  <c r="AT7" i="27"/>
  <c r="D11" i="50"/>
  <c r="X45" i="84"/>
  <c r="Z12" i="88"/>
  <c r="D103" i="48"/>
  <c r="AS7" i="29"/>
  <c r="N68" i="29"/>
  <c r="BG68" i="29"/>
  <c r="Y7" i="29"/>
  <c r="AN7" i="29"/>
  <c r="H49" i="13"/>
  <c r="BE68" i="29"/>
  <c r="BM15" i="29"/>
  <c r="BN15" i="29" s="1"/>
  <c r="L68" i="29" s="1"/>
  <c r="AC67" i="29"/>
  <c r="D8" i="56" s="1"/>
  <c r="I8" i="56" s="1"/>
  <c r="N8" i="56" s="1"/>
  <c r="O8" i="56" s="1"/>
  <c r="AQ68" i="29"/>
  <c r="O7" i="61"/>
  <c r="P7" i="61"/>
  <c r="AH68" i="19"/>
  <c r="O8" i="76"/>
  <c r="P8" i="76"/>
  <c r="AS79" i="40"/>
  <c r="G117" i="40" s="1"/>
  <c r="G79" i="40"/>
  <c r="D338" i="47"/>
  <c r="D14" i="75"/>
  <c r="I14" i="75" s="1"/>
  <c r="N14" i="75" s="1"/>
  <c r="P14" i="75" s="1"/>
  <c r="BG62" i="24"/>
  <c r="BM41" i="23"/>
  <c r="BN41" i="23" s="1"/>
  <c r="AL69" i="23" s="1"/>
  <c r="D14" i="64"/>
  <c r="I14" i="64" s="1"/>
  <c r="N14" i="64" s="1"/>
  <c r="O14" i="64" s="1"/>
  <c r="I24" i="60"/>
  <c r="N24" i="60" s="1"/>
  <c r="N17" i="25"/>
  <c r="BM17" i="25"/>
  <c r="BN17" i="25" s="1"/>
  <c r="E159" i="48"/>
  <c r="H17" i="62" s="1"/>
  <c r="I17" i="62" s="1"/>
  <c r="N17" i="62" s="1"/>
  <c r="AN43" i="34"/>
  <c r="E54" i="48"/>
  <c r="AH37" i="29"/>
  <c r="E298" i="47"/>
  <c r="AW52" i="37"/>
  <c r="AK67" i="32"/>
  <c r="BM40" i="32" s="1"/>
  <c r="BN40" i="32" s="1"/>
  <c r="AK68" i="32" s="1"/>
  <c r="AK7" i="32"/>
  <c r="AR67" i="33"/>
  <c r="BM47" i="33" s="1"/>
  <c r="BN47" i="33" s="1"/>
  <c r="AQ97" i="25"/>
  <c r="AQ88" i="25" s="1"/>
  <c r="AQ116" i="25" s="1"/>
  <c r="BH25" i="25"/>
  <c r="BH67" i="25" s="1"/>
  <c r="P99" i="37"/>
  <c r="AA88" i="37"/>
  <c r="AA76" i="37" s="1"/>
  <c r="D118" i="46"/>
  <c r="D20" i="41"/>
  <c r="Z88" i="19"/>
  <c r="Z76" i="19" s="1"/>
  <c r="P98" i="19"/>
  <c r="V54" i="30"/>
  <c r="AY25" i="30"/>
  <c r="AY7" i="30" s="1"/>
  <c r="O20" i="38"/>
  <c r="E20" i="38" s="1"/>
  <c r="Q18" i="38"/>
  <c r="Q8" i="38" s="1"/>
  <c r="Q7" i="38" s="1"/>
  <c r="BL22" i="19"/>
  <c r="I68" i="29"/>
  <c r="BM12" i="24"/>
  <c r="BN12" i="24" s="1"/>
  <c r="M9" i="13" s="1"/>
  <c r="R77" i="24"/>
  <c r="D17" i="65"/>
  <c r="I17" i="65" s="1"/>
  <c r="N17" i="65" s="1"/>
  <c r="I12" i="65"/>
  <c r="N12" i="65" s="1"/>
  <c r="P12" i="65" s="1"/>
  <c r="W76" i="19"/>
  <c r="O7" i="65"/>
  <c r="P15" i="67"/>
  <c r="AF68" i="37"/>
  <c r="D90" i="48"/>
  <c r="D20" i="58"/>
  <c r="AJ7" i="88"/>
  <c r="U60" i="88"/>
  <c r="D154" i="48"/>
  <c r="F154" i="48" s="1"/>
  <c r="S22" i="34"/>
  <c r="AS7" i="25"/>
  <c r="BM64" i="22"/>
  <c r="BM42" i="25"/>
  <c r="BN42" i="25" s="1"/>
  <c r="AM68" i="25" s="1"/>
  <c r="D12" i="63"/>
  <c r="F12" i="63" s="1"/>
  <c r="K12" i="63" s="1"/>
  <c r="L12" i="63" s="1"/>
  <c r="BM33" i="23"/>
  <c r="BN33" i="23" s="1"/>
  <c r="D14" i="56"/>
  <c r="D99" i="46"/>
  <c r="AS82" i="37"/>
  <c r="J117" i="37" s="1"/>
  <c r="AS99" i="37"/>
  <c r="AA117" i="37" s="1"/>
  <c r="AX68" i="34"/>
  <c r="AD77" i="24"/>
  <c r="AE7" i="27"/>
  <c r="AJ76" i="28"/>
  <c r="R42" i="13"/>
  <c r="AZ68" i="33"/>
  <c r="W88" i="27"/>
  <c r="W76" i="27" s="1"/>
  <c r="P95" i="27"/>
  <c r="E308" i="47"/>
  <c r="H9" i="76" s="1"/>
  <c r="AY54" i="27"/>
  <c r="E183" i="46"/>
  <c r="H10" i="49"/>
  <c r="U24" i="27"/>
  <c r="AX67" i="19"/>
  <c r="BM53" i="19" s="1"/>
  <c r="BN53" i="19" s="1"/>
  <c r="AX7" i="19"/>
  <c r="E58" i="47"/>
  <c r="Y28" i="27"/>
  <c r="BG62" i="25"/>
  <c r="BM62" i="25"/>
  <c r="BN62" i="25" s="1"/>
  <c r="D261" i="47"/>
  <c r="D12" i="70"/>
  <c r="BM52" i="22"/>
  <c r="BN52" i="22" s="1"/>
  <c r="D14" i="69"/>
  <c r="H14" i="69" s="1"/>
  <c r="BC67" i="34"/>
  <c r="BC7" i="34"/>
  <c r="AQ7" i="38"/>
  <c r="AQ67" i="38"/>
  <c r="AX7" i="25"/>
  <c r="AX67" i="25"/>
  <c r="BM53" i="25" s="1"/>
  <c r="BN53" i="25" s="1"/>
  <c r="AE39" i="24"/>
  <c r="V39" i="24" s="1"/>
  <c r="AJ34" i="24"/>
  <c r="AJ25" i="24" s="1"/>
  <c r="AJ7" i="24" s="1"/>
  <c r="D22" i="73"/>
  <c r="I22" i="73" s="1"/>
  <c r="D395" i="47"/>
  <c r="F395" i="47" s="1"/>
  <c r="BM58" i="32"/>
  <c r="BN58" i="32" s="1"/>
  <c r="D19" i="79"/>
  <c r="I19" i="79" s="1"/>
  <c r="D417" i="47"/>
  <c r="F417" i="47" s="1"/>
  <c r="AK34" i="26"/>
  <c r="AK25" i="26" s="1"/>
  <c r="AE40" i="26"/>
  <c r="V40" i="26" s="1"/>
  <c r="D15" i="73"/>
  <c r="BM57" i="22"/>
  <c r="BN57" i="22" s="1"/>
  <c r="D388" i="47"/>
  <c r="BG62" i="34"/>
  <c r="F116" i="21"/>
  <c r="E116" i="21" s="1"/>
  <c r="AR116" i="21" s="1"/>
  <c r="AQ116" i="21" s="1"/>
  <c r="AQ77" i="21" s="1"/>
  <c r="BF67" i="32"/>
  <c r="BF7" i="32"/>
  <c r="F115" i="37"/>
  <c r="E115" i="37" s="1"/>
  <c r="E116" i="37" s="1"/>
  <c r="H67" i="37"/>
  <c r="D23" i="46" s="1"/>
  <c r="AD68" i="40"/>
  <c r="V26" i="13"/>
  <c r="E83" i="24"/>
  <c r="J78" i="24"/>
  <c r="J77" i="24" s="1"/>
  <c r="AO116" i="37"/>
  <c r="AS113" i="37" s="1"/>
  <c r="AO117" i="37" s="1"/>
  <c r="AO76" i="37"/>
  <c r="BH25" i="30"/>
  <c r="BH67" i="30" s="1"/>
  <c r="AQ97" i="30"/>
  <c r="AQ88" i="30" s="1"/>
  <c r="BL34" i="30"/>
  <c r="AE34" i="30" s="1"/>
  <c r="AE25" i="30" s="1"/>
  <c r="AC101" i="38"/>
  <c r="AS101" i="38"/>
  <c r="AC117" i="38" s="1"/>
  <c r="E83" i="34"/>
  <c r="K77" i="34"/>
  <c r="K76" i="34" s="1"/>
  <c r="BM37" i="29"/>
  <c r="BN37" i="29" s="1"/>
  <c r="AC25" i="40"/>
  <c r="AC7" i="40" s="1"/>
  <c r="V32" i="40"/>
  <c r="AO7" i="21"/>
  <c r="P95" i="38"/>
  <c r="W88" i="38"/>
  <c r="W76" i="38" s="1"/>
  <c r="AD68" i="25"/>
  <c r="L26" i="13"/>
  <c r="G116" i="26"/>
  <c r="AS79" i="26" s="1"/>
  <c r="G117" i="26" s="1"/>
  <c r="G76" i="26"/>
  <c r="AH76" i="19"/>
  <c r="AA68" i="34"/>
  <c r="Q23" i="13"/>
  <c r="I20" i="65"/>
  <c r="N20" i="65" s="1"/>
  <c r="O20" i="65" s="1"/>
  <c r="AS84" i="22"/>
  <c r="L117" i="22" s="1"/>
  <c r="L84" i="22"/>
  <c r="BM24" i="19"/>
  <c r="BN24" i="19" s="1"/>
  <c r="D7" i="49"/>
  <c r="I7" i="49" s="1"/>
  <c r="N7" i="49" s="1"/>
  <c r="O7" i="49" s="1"/>
  <c r="BA68" i="29"/>
  <c r="H43" i="13"/>
  <c r="E142" i="48"/>
  <c r="F142" i="48" s="1"/>
  <c r="AM42" i="38"/>
  <c r="E38" i="48"/>
  <c r="AG36" i="21"/>
  <c r="BM36" i="21"/>
  <c r="BN36" i="21" s="1"/>
  <c r="E347" i="47"/>
  <c r="AZ55" i="38"/>
  <c r="AQ97" i="32"/>
  <c r="AQ88" i="32" s="1"/>
  <c r="BH25" i="32"/>
  <c r="BH67" i="32" s="1"/>
  <c r="AD33" i="37"/>
  <c r="BM33" i="37"/>
  <c r="BN33" i="37" s="1"/>
  <c r="F97" i="22"/>
  <c r="H25" i="22"/>
  <c r="H67" i="22" s="1"/>
  <c r="D13" i="46" s="1"/>
  <c r="U77" i="39"/>
  <c r="U116" i="39" s="1"/>
  <c r="AS93" i="39" s="1"/>
  <c r="U117" i="39" s="1"/>
  <c r="P78" i="39"/>
  <c r="AR78" i="39" s="1"/>
  <c r="Z116" i="22"/>
  <c r="AS98" i="22" s="1"/>
  <c r="Z117" i="22" s="1"/>
  <c r="Z76" i="22"/>
  <c r="P114" i="39"/>
  <c r="AP88" i="39"/>
  <c r="AP76" i="39" s="1"/>
  <c r="AK109" i="39"/>
  <c r="AS109" i="39"/>
  <c r="AK117" i="39" s="1"/>
  <c r="D68" i="46"/>
  <c r="BM16" i="31"/>
  <c r="BN16" i="31" s="1"/>
  <c r="P93" i="29"/>
  <c r="U88" i="29"/>
  <c r="X116" i="38"/>
  <c r="AS96" i="38" s="1"/>
  <c r="X117" i="38" s="1"/>
  <c r="S91" i="39"/>
  <c r="AS91" i="39"/>
  <c r="S117" i="39" s="1"/>
  <c r="AE88" i="33"/>
  <c r="AE76" i="33" s="1"/>
  <c r="P103" i="33"/>
  <c r="P79" i="23"/>
  <c r="AR79" i="23" s="1"/>
  <c r="F79" i="23" s="1"/>
  <c r="Y78" i="23"/>
  <c r="I12" i="40"/>
  <c r="H12" i="40" s="1"/>
  <c r="G12" i="40" s="1"/>
  <c r="F12" i="40" s="1"/>
  <c r="E12" i="40" s="1"/>
  <c r="BM12" i="40"/>
  <c r="BN12" i="40" s="1"/>
  <c r="V9" i="13" s="1"/>
  <c r="O19" i="22"/>
  <c r="E19" i="22" s="1"/>
  <c r="P18" i="22"/>
  <c r="P8" i="22" s="1"/>
  <c r="P7" i="22" s="1"/>
  <c r="AS101" i="19"/>
  <c r="AC117" i="19" s="1"/>
  <c r="AC101" i="19"/>
  <c r="P101" i="19" s="1"/>
  <c r="V50" i="24"/>
  <c r="AU25" i="24"/>
  <c r="AU7" i="24" s="1"/>
  <c r="E34" i="32"/>
  <c r="BL34" i="32" s="1"/>
  <c r="BL39" i="32"/>
  <c r="V28" i="23"/>
  <c r="Y25" i="23"/>
  <c r="Y7" i="23" s="1"/>
  <c r="BK63" i="37"/>
  <c r="BK7" i="37" s="1"/>
  <c r="BH66" i="37"/>
  <c r="G22" i="51"/>
  <c r="H22" i="51" s="1"/>
  <c r="E145" i="46"/>
  <c r="R21" i="40"/>
  <c r="I10" i="49"/>
  <c r="N10" i="49" s="1"/>
  <c r="P10" i="49" s="1"/>
  <c r="M77" i="31"/>
  <c r="M76" i="31" s="1"/>
  <c r="BL16" i="22"/>
  <c r="E63" i="46" s="1"/>
  <c r="AD7" i="53"/>
  <c r="BL21" i="27"/>
  <c r="G10" i="51" s="1"/>
  <c r="F32" i="46"/>
  <c r="I20" i="67"/>
  <c r="N20" i="67" s="1"/>
  <c r="BE54" i="88"/>
  <c r="AS60" i="88"/>
  <c r="AY8" i="88"/>
  <c r="AY60" i="88" s="1"/>
  <c r="E41" i="88"/>
  <c r="K20" i="88"/>
  <c r="BM22" i="34"/>
  <c r="BN22" i="34" s="1"/>
  <c r="D185" i="47"/>
  <c r="F185" i="47" s="1"/>
  <c r="D130" i="48"/>
  <c r="F130" i="48" s="1"/>
  <c r="BM24" i="28"/>
  <c r="BN24" i="28" s="1"/>
  <c r="H9" i="49"/>
  <c r="AA7" i="27"/>
  <c r="AF116" i="31"/>
  <c r="AS104" i="31" s="1"/>
  <c r="AF117" i="31" s="1"/>
  <c r="AS100" i="32"/>
  <c r="AB117" i="32" s="1"/>
  <c r="V77" i="23"/>
  <c r="D11" i="58"/>
  <c r="I11" i="58" s="1"/>
  <c r="D81" i="48"/>
  <c r="F81" i="48" s="1"/>
  <c r="AK7" i="26"/>
  <c r="I10" i="75"/>
  <c r="N10" i="75" s="1"/>
  <c r="P10" i="75" s="1"/>
  <c r="W96" i="24"/>
  <c r="P96" i="24" s="1"/>
  <c r="AS103" i="33"/>
  <c r="AE117" i="33" s="1"/>
  <c r="AD88" i="32"/>
  <c r="AD76" i="32" s="1"/>
  <c r="J11" i="23"/>
  <c r="J10" i="23" s="1"/>
  <c r="J9" i="23" s="1"/>
  <c r="J8" i="23" s="1"/>
  <c r="J7" i="23" s="1"/>
  <c r="H13" i="23"/>
  <c r="G13" i="23" s="1"/>
  <c r="F13" i="23" s="1"/>
  <c r="E13" i="23" s="1"/>
  <c r="D14" i="63"/>
  <c r="F14" i="63" s="1"/>
  <c r="K14" i="63" s="1"/>
  <c r="M14" i="63" s="1"/>
  <c r="D132" i="48"/>
  <c r="F132" i="48" s="1"/>
  <c r="J9" i="57"/>
  <c r="O9" i="57" s="1"/>
  <c r="P9" i="57" s="1"/>
  <c r="D288" i="47"/>
  <c r="F288" i="47" s="1"/>
  <c r="E104" i="48"/>
  <c r="H10" i="64" s="1"/>
  <c r="AL41" i="27"/>
  <c r="E45" i="48"/>
  <c r="H24" i="60" s="1"/>
  <c r="AG36" i="39"/>
  <c r="E33" i="47"/>
  <c r="H10" i="54" s="1"/>
  <c r="I10" i="54" s="1"/>
  <c r="N10" i="54" s="1"/>
  <c r="X27" i="27"/>
  <c r="E37" i="47"/>
  <c r="H14" i="54" s="1"/>
  <c r="X27" i="23"/>
  <c r="E41" i="47"/>
  <c r="H18" i="54" s="1"/>
  <c r="X27" i="33"/>
  <c r="D25" i="81"/>
  <c r="E494" i="47"/>
  <c r="BF61" i="30"/>
  <c r="E435" i="47"/>
  <c r="G11" i="78" s="1"/>
  <c r="BD59" i="25"/>
  <c r="E398" i="47"/>
  <c r="BB57" i="37"/>
  <c r="E112" i="47"/>
  <c r="AC32" i="23"/>
  <c r="BM32" i="23"/>
  <c r="BN32" i="23" s="1"/>
  <c r="E42" i="47"/>
  <c r="H19" i="54" s="1"/>
  <c r="I19" i="54" s="1"/>
  <c r="N19" i="54" s="1"/>
  <c r="X27" i="32"/>
  <c r="E197" i="46"/>
  <c r="F197" i="46" s="1"/>
  <c r="U24" i="38"/>
  <c r="BM24" i="38"/>
  <c r="BN24" i="38" s="1"/>
  <c r="E131" i="48"/>
  <c r="E13" i="63" s="1"/>
  <c r="AM42" i="24"/>
  <c r="E47" i="48"/>
  <c r="F47" i="48" s="1"/>
  <c r="AG36" i="37"/>
  <c r="BM36" i="37"/>
  <c r="BN36" i="37" s="1"/>
  <c r="E195" i="46"/>
  <c r="F195" i="46" s="1"/>
  <c r="H22" i="49"/>
  <c r="U24" i="40"/>
  <c r="BM24" i="40"/>
  <c r="BN24" i="40" s="1"/>
  <c r="D173" i="48"/>
  <c r="F173" i="48" s="1"/>
  <c r="BM44" i="19"/>
  <c r="BN44" i="19" s="1"/>
  <c r="AO68" i="19" s="1"/>
  <c r="D134" i="48"/>
  <c r="F134" i="48" s="1"/>
  <c r="D16" i="63"/>
  <c r="F16" i="63" s="1"/>
  <c r="K16" i="63" s="1"/>
  <c r="L16" i="63" s="1"/>
  <c r="BM42" i="21"/>
  <c r="BN42" i="21" s="1"/>
  <c r="AM69" i="21" s="1"/>
  <c r="D22" i="58"/>
  <c r="I22" i="58" s="1"/>
  <c r="N22" i="58" s="1"/>
  <c r="O22" i="58" s="1"/>
  <c r="D92" i="48"/>
  <c r="F92" i="48" s="1"/>
  <c r="AF67" i="32"/>
  <c r="AF7" i="32"/>
  <c r="F41" i="84"/>
  <c r="E390" i="47"/>
  <c r="H17" i="73" s="1"/>
  <c r="I17" i="73" s="1"/>
  <c r="BB57" i="34"/>
  <c r="E305" i="47"/>
  <c r="H6" i="76" s="1"/>
  <c r="AY54" i="19"/>
  <c r="H15" i="65"/>
  <c r="I15" i="65" s="1"/>
  <c r="N15" i="65" s="1"/>
  <c r="F189" i="47"/>
  <c r="E88" i="47"/>
  <c r="H15" i="57" s="1"/>
  <c r="I15" i="57"/>
  <c r="AB31" i="22"/>
  <c r="D182" i="48"/>
  <c r="F182" i="48" s="1"/>
  <c r="BM44" i="21"/>
  <c r="BN44" i="21" s="1"/>
  <c r="AO69" i="21" s="1"/>
  <c r="BM43" i="23"/>
  <c r="BN43" i="23" s="1"/>
  <c r="AN69" i="23" s="1"/>
  <c r="D14" i="62"/>
  <c r="I14" i="62" s="1"/>
  <c r="N14" i="62" s="1"/>
  <c r="O14" i="62" s="1"/>
  <c r="D156" i="48"/>
  <c r="F156" i="48" s="1"/>
  <c r="AI67" i="38"/>
  <c r="D18" i="57"/>
  <c r="BM31" i="33"/>
  <c r="BN31" i="33" s="1"/>
  <c r="AA68" i="33"/>
  <c r="AP116" i="31"/>
  <c r="AS114" i="31" s="1"/>
  <c r="AP117" i="31" s="1"/>
  <c r="R9" i="31"/>
  <c r="O9" i="31" s="1"/>
  <c r="O67" i="31" s="1"/>
  <c r="O10" i="31"/>
  <c r="D20" i="55"/>
  <c r="D18" i="47"/>
  <c r="J77" i="34"/>
  <c r="J76" i="34" s="1"/>
  <c r="E82" i="34"/>
  <c r="Z88" i="27"/>
  <c r="Z76" i="27" s="1"/>
  <c r="P98" i="27"/>
  <c r="X88" i="38"/>
  <c r="X76" i="38" s="1"/>
  <c r="P96" i="38"/>
  <c r="P107" i="24"/>
  <c r="AH89" i="24"/>
  <c r="AH77" i="24" s="1"/>
  <c r="U117" i="24"/>
  <c r="AF116" i="32"/>
  <c r="AS104" i="32" s="1"/>
  <c r="AF117" i="32" s="1"/>
  <c r="AF76" i="32"/>
  <c r="O9" i="32"/>
  <c r="O67" i="32" s="1"/>
  <c r="BM18" i="32" s="1"/>
  <c r="Q8" i="32"/>
  <c r="BL66" i="34"/>
  <c r="E63" i="34"/>
  <c r="AC25" i="19"/>
  <c r="AC7" i="19" s="1"/>
  <c r="V32" i="19"/>
  <c r="V48" i="40"/>
  <c r="AS25" i="40"/>
  <c r="AS7" i="40" s="1"/>
  <c r="V51" i="28"/>
  <c r="AV25" i="28"/>
  <c r="V49" i="37"/>
  <c r="AT25" i="37"/>
  <c r="AD102" i="40"/>
  <c r="AS102" i="40"/>
  <c r="AD117" i="40" s="1"/>
  <c r="P99" i="21"/>
  <c r="Z89" i="21"/>
  <c r="Z77" i="21" s="1"/>
  <c r="V30" i="28"/>
  <c r="AA25" i="28"/>
  <c r="Y25" i="31"/>
  <c r="Y7" i="31" s="1"/>
  <c r="V28" i="31"/>
  <c r="F290" i="47"/>
  <c r="AE39" i="28"/>
  <c r="V39" i="28" s="1"/>
  <c r="AJ34" i="28"/>
  <c r="AJ25" i="28" s="1"/>
  <c r="AJ7" i="28" s="1"/>
  <c r="P6" i="65"/>
  <c r="AB70" i="39"/>
  <c r="D23" i="57"/>
  <c r="AS90" i="28"/>
  <c r="R117" i="28" s="1"/>
  <c r="D18" i="48"/>
  <c r="F18" i="48" s="1"/>
  <c r="E45" i="46"/>
  <c r="BE25" i="88"/>
  <c r="V25" i="88" s="1"/>
  <c r="V20" i="88" s="1"/>
  <c r="Q18" i="88"/>
  <c r="BE18" i="88" s="1"/>
  <c r="BF18" i="88" s="1"/>
  <c r="BG18" i="88" s="1"/>
  <c r="BK18" i="88" s="1"/>
  <c r="D45" i="84"/>
  <c r="U76" i="29"/>
  <c r="BL17" i="22"/>
  <c r="I17" i="57"/>
  <c r="AR47" i="19"/>
  <c r="D109" i="47"/>
  <c r="D11" i="56"/>
  <c r="AS84" i="34"/>
  <c r="L117" i="34" s="1"/>
  <c r="K77" i="33"/>
  <c r="K76" i="33" s="1"/>
  <c r="AS112" i="33"/>
  <c r="AN117" i="33" s="1"/>
  <c r="V58" i="88"/>
  <c r="V60" i="88" s="1"/>
  <c r="E447" i="47"/>
  <c r="BD59" i="38"/>
  <c r="E313" i="47"/>
  <c r="H14" i="76" s="1"/>
  <c r="AY54" i="22"/>
  <c r="E211" i="48"/>
  <c r="H21" i="67" s="1"/>
  <c r="I21" i="67" s="1"/>
  <c r="N21" i="67" s="1"/>
  <c r="O21" i="67" s="1"/>
  <c r="AP45" i="30"/>
  <c r="AD33" i="22"/>
  <c r="BM33" i="22"/>
  <c r="BN33" i="22" s="1"/>
  <c r="V62" i="21"/>
  <c r="BG25" i="21"/>
  <c r="BG7" i="21" s="1"/>
  <c r="AW67" i="37"/>
  <c r="E71" i="47"/>
  <c r="Y28" i="39"/>
  <c r="F115" i="29"/>
  <c r="E115" i="29" s="1"/>
  <c r="AR115" i="29" s="1"/>
  <c r="AQ115" i="29" s="1"/>
  <c r="BG67" i="40"/>
  <c r="BM62" i="40" s="1"/>
  <c r="BN62" i="40" s="1"/>
  <c r="BG7" i="40"/>
  <c r="AK67" i="31"/>
  <c r="BM40" i="31" s="1"/>
  <c r="BN40" i="31" s="1"/>
  <c r="AK68" i="31" s="1"/>
  <c r="AK7" i="31"/>
  <c r="AL111" i="23"/>
  <c r="AS111" i="23"/>
  <c r="AL118" i="23" s="1"/>
  <c r="AM88" i="29"/>
  <c r="AM76" i="29" s="1"/>
  <c r="P111" i="29"/>
  <c r="E90" i="48"/>
  <c r="H20" i="58" s="1"/>
  <c r="AI38" i="31"/>
  <c r="R88" i="19"/>
  <c r="P90" i="19"/>
  <c r="AA76" i="33"/>
  <c r="G15" i="34"/>
  <c r="F15" i="34" s="1"/>
  <c r="E15" i="34" s="1"/>
  <c r="L10" i="34"/>
  <c r="L9" i="34" s="1"/>
  <c r="L8" i="34" s="1"/>
  <c r="L7" i="34" s="1"/>
  <c r="AB88" i="22"/>
  <c r="AB76" i="22" s="1"/>
  <c r="P100" i="22"/>
  <c r="AF104" i="22"/>
  <c r="AS104" i="22"/>
  <c r="AF117" i="22" s="1"/>
  <c r="AS111" i="28"/>
  <c r="AM117" i="28" s="1"/>
  <c r="AM111" i="28"/>
  <c r="AM88" i="28" s="1"/>
  <c r="AM76" i="28" s="1"/>
  <c r="P98" i="29"/>
  <c r="Z88" i="29"/>
  <c r="Z76" i="29" s="1"/>
  <c r="AW68" i="32"/>
  <c r="S39" i="13"/>
  <c r="T23" i="29"/>
  <c r="BM23" i="29"/>
  <c r="BN23" i="29" s="1"/>
  <c r="AW68" i="21"/>
  <c r="AW7" i="21"/>
  <c r="F66" i="28"/>
  <c r="G63" i="28"/>
  <c r="G67" i="28" s="1"/>
  <c r="AE41" i="23"/>
  <c r="V41" i="23" s="1"/>
  <c r="AL34" i="23"/>
  <c r="AL25" i="23" s="1"/>
  <c r="AL7" i="23" s="1"/>
  <c r="V54" i="39"/>
  <c r="AY25" i="39"/>
  <c r="AY7" i="39" s="1"/>
  <c r="AV68" i="39"/>
  <c r="BK66" i="33"/>
  <c r="BM66" i="33"/>
  <c r="BN66" i="33" s="1"/>
  <c r="BK68" i="33" s="1"/>
  <c r="D333" i="47"/>
  <c r="F333" i="47" s="1"/>
  <c r="D9" i="75"/>
  <c r="F35" i="47"/>
  <c r="AL7" i="34"/>
  <c r="AT49" i="26"/>
  <c r="AT25" i="26" s="1"/>
  <c r="E381" i="47"/>
  <c r="H8" i="73" s="1"/>
  <c r="I8" i="73" s="1"/>
  <c r="BB57" i="29"/>
  <c r="E322" i="47"/>
  <c r="F322" i="47" s="1"/>
  <c r="AY54" i="38"/>
  <c r="BM54" i="38"/>
  <c r="BN54" i="38" s="1"/>
  <c r="E173" i="48"/>
  <c r="G6" i="68" s="1"/>
  <c r="AO44" i="19"/>
  <c r="E446" i="47"/>
  <c r="G22" i="78" s="1"/>
  <c r="H22" i="78" s="1"/>
  <c r="BD59" i="39"/>
  <c r="E187" i="48"/>
  <c r="G20" i="68" s="1"/>
  <c r="H20" i="68" s="1"/>
  <c r="AO44" i="30"/>
  <c r="E165" i="48"/>
  <c r="AN43" i="39"/>
  <c r="E63" i="48"/>
  <c r="AH37" i="34"/>
  <c r="F61" i="29"/>
  <c r="G25" i="29"/>
  <c r="G67" i="29" s="1"/>
  <c r="E356" i="47"/>
  <c r="H7" i="74" s="1"/>
  <c r="I7" i="74" s="1"/>
  <c r="N7" i="74" s="1"/>
  <c r="BA56" i="29"/>
  <c r="E316" i="47"/>
  <c r="AY54" i="33"/>
  <c r="E187" i="47"/>
  <c r="H13" i="65" s="1"/>
  <c r="I13" i="65" s="1"/>
  <c r="N13" i="65" s="1"/>
  <c r="AS48" i="23"/>
  <c r="E84" i="48"/>
  <c r="AI38" i="23"/>
  <c r="E29" i="48"/>
  <c r="BM36" i="19"/>
  <c r="BN36" i="19" s="1"/>
  <c r="AG36" i="19"/>
  <c r="E34" i="47"/>
  <c r="H11" i="54" s="1"/>
  <c r="X27" i="26"/>
  <c r="E38" i="47"/>
  <c r="X27" i="22"/>
  <c r="BM27" i="22"/>
  <c r="BN27" i="22" s="1"/>
  <c r="E48" i="47"/>
  <c r="F48" i="47" s="1"/>
  <c r="X27" i="37"/>
  <c r="AB31" i="38"/>
  <c r="E97" i="47"/>
  <c r="E61" i="40"/>
  <c r="F25" i="40"/>
  <c r="E133" i="48"/>
  <c r="E15" i="63" s="1"/>
  <c r="AM42" i="22"/>
  <c r="AD33" i="19"/>
  <c r="E363" i="47"/>
  <c r="BA56" i="22"/>
  <c r="BM56" i="22"/>
  <c r="BN56" i="22" s="1"/>
  <c r="E125" i="48"/>
  <c r="AM42" i="19"/>
  <c r="E73" i="47"/>
  <c r="V13" i="53" s="1"/>
  <c r="W13" i="53" s="1"/>
  <c r="AB14" i="53" s="1"/>
  <c r="Y28" i="37"/>
  <c r="D8" i="61"/>
  <c r="I8" i="61" s="1"/>
  <c r="N8" i="61" s="1"/>
  <c r="P8" i="61" s="1"/>
  <c r="BM35" i="29"/>
  <c r="BN35" i="29" s="1"/>
  <c r="D6" i="48"/>
  <c r="F6" i="48" s="1"/>
  <c r="D10" i="77"/>
  <c r="D484" i="47"/>
  <c r="W68" i="24"/>
  <c r="W7" i="24"/>
  <c r="D411" i="47"/>
  <c r="D13" i="79"/>
  <c r="BM39" i="21"/>
  <c r="BN39" i="21" s="1"/>
  <c r="AJ69" i="21" s="1"/>
  <c r="BG62" i="29"/>
  <c r="D11" i="76"/>
  <c r="I11" i="76" s="1"/>
  <c r="N11" i="76" s="1"/>
  <c r="O11" i="76" s="1"/>
  <c r="D310" i="47"/>
  <c r="F310" i="47" s="1"/>
  <c r="BM54" i="25"/>
  <c r="BN54" i="25" s="1"/>
  <c r="D12" i="74"/>
  <c r="D361" i="47"/>
  <c r="BG62" i="23"/>
  <c r="BM62" i="34"/>
  <c r="BN62" i="34" s="1"/>
  <c r="AE40" i="33"/>
  <c r="V40" i="33" s="1"/>
  <c r="AK34" i="33"/>
  <c r="AK25" i="33" s="1"/>
  <c r="AK7" i="33" s="1"/>
  <c r="D312" i="47"/>
  <c r="D13" i="76"/>
  <c r="D22" i="69"/>
  <c r="H22" i="69" s="1"/>
  <c r="D296" i="47"/>
  <c r="F296" i="47" s="1"/>
  <c r="BM52" i="39"/>
  <c r="BN52" i="39" s="1"/>
  <c r="D372" i="47"/>
  <c r="F372" i="47" s="1"/>
  <c r="BM56" i="38"/>
  <c r="BN56" i="38" s="1"/>
  <c r="BM27" i="38"/>
  <c r="BN27" i="38" s="1"/>
  <c r="D47" i="47"/>
  <c r="F47" i="47" s="1"/>
  <c r="BG25" i="28"/>
  <c r="BG7" i="28" s="1"/>
  <c r="V62" i="28"/>
  <c r="Y67" i="39"/>
  <c r="V33" i="40"/>
  <c r="AD25" i="40"/>
  <c r="AD7" i="40" s="1"/>
  <c r="P98" i="39"/>
  <c r="Z88" i="39"/>
  <c r="Z76" i="39" s="1"/>
  <c r="F89" i="23"/>
  <c r="F117" i="23" s="1"/>
  <c r="E93" i="23"/>
  <c r="AR93" i="23" s="1"/>
  <c r="V30" i="33"/>
  <c r="AA25" i="33"/>
  <c r="AA7" i="33" s="1"/>
  <c r="Z25" i="38"/>
  <c r="Z7" i="38" s="1"/>
  <c r="V29" i="38"/>
  <c r="BM65" i="40"/>
  <c r="BN65" i="40" s="1"/>
  <c r="BJ68" i="40" s="1"/>
  <c r="P98" i="37"/>
  <c r="Z88" i="37"/>
  <c r="Z76" i="37" s="1"/>
  <c r="D17" i="55"/>
  <c r="D15" i="47"/>
  <c r="BM65" i="23"/>
  <c r="BN65" i="23" s="1"/>
  <c r="BJ69" i="23" s="1"/>
  <c r="F65" i="21"/>
  <c r="G63" i="21"/>
  <c r="V29" i="40"/>
  <c r="Z25" i="40"/>
  <c r="Z7" i="40" s="1"/>
  <c r="AM116" i="38"/>
  <c r="AS111" i="38" s="1"/>
  <c r="AM117" i="38" s="1"/>
  <c r="AM76" i="38"/>
  <c r="F39" i="22"/>
  <c r="G34" i="22"/>
  <c r="G25" i="22" s="1"/>
  <c r="G67" i="22" s="1"/>
  <c r="D20" i="62"/>
  <c r="D162" i="48"/>
  <c r="X116" i="25"/>
  <c r="AS96" i="25" s="1"/>
  <c r="X117" i="25" s="1"/>
  <c r="X76" i="25"/>
  <c r="AS98" i="19"/>
  <c r="Z117" i="19" s="1"/>
  <c r="E86" i="38"/>
  <c r="N77" i="38"/>
  <c r="N76" i="38" s="1"/>
  <c r="AX68" i="37"/>
  <c r="AS104" i="39"/>
  <c r="AF117" i="39" s="1"/>
  <c r="E93" i="47"/>
  <c r="H20" i="57" s="1"/>
  <c r="F88" i="37"/>
  <c r="E93" i="37"/>
  <c r="AR93" i="37" s="1"/>
  <c r="AO113" i="32"/>
  <c r="AS113" i="32"/>
  <c r="AO117" i="32" s="1"/>
  <c r="Q88" i="38"/>
  <c r="Q76" i="38" s="1"/>
  <c r="P89" i="38"/>
  <c r="O77" i="34"/>
  <c r="O76" i="34" s="1"/>
  <c r="E87" i="34"/>
  <c r="BG68" i="31"/>
  <c r="BH64" i="38"/>
  <c r="BI63" i="38"/>
  <c r="BI7" i="38" s="1"/>
  <c r="V30" i="24"/>
  <c r="AA25" i="24"/>
  <c r="G116" i="37"/>
  <c r="AS79" i="37" s="1"/>
  <c r="G117" i="37" s="1"/>
  <c r="G76" i="37"/>
  <c r="K116" i="40"/>
  <c r="AS83" i="40" s="1"/>
  <c r="K117" i="40" s="1"/>
  <c r="E115" i="40"/>
  <c r="AR115" i="40" s="1"/>
  <c r="AQ115" i="40" s="1"/>
  <c r="AQ76" i="40" s="1"/>
  <c r="E39" i="19"/>
  <c r="F34" i="19"/>
  <c r="AE38" i="38"/>
  <c r="V38" i="38" s="1"/>
  <c r="AI34" i="38"/>
  <c r="AI25" i="38" s="1"/>
  <c r="AI7" i="38" s="1"/>
  <c r="BM15" i="33"/>
  <c r="BN15" i="33" s="1"/>
  <c r="L68" i="33" s="1"/>
  <c r="V52" i="19"/>
  <c r="AW25" i="19"/>
  <c r="H20" i="76"/>
  <c r="I20" i="76" s="1"/>
  <c r="N20" i="76" s="1"/>
  <c r="O20" i="76" s="1"/>
  <c r="F319" i="47"/>
  <c r="AC7" i="32"/>
  <c r="V33" i="23"/>
  <c r="AD25" i="23"/>
  <c r="AD7" i="23" s="1"/>
  <c r="AQ97" i="28"/>
  <c r="AQ88" i="28" s="1"/>
  <c r="BH25" i="28"/>
  <c r="BH67" i="28" s="1"/>
  <c r="H25" i="33"/>
  <c r="H67" i="33" s="1"/>
  <c r="D16" i="46" s="1"/>
  <c r="F97" i="33"/>
  <c r="D20" i="50"/>
  <c r="D167" i="46"/>
  <c r="D122" i="46"/>
  <c r="F122" i="46" s="1"/>
  <c r="BM19" i="38"/>
  <c r="BN19" i="38" s="1"/>
  <c r="X116" i="40"/>
  <c r="AS96" i="40" s="1"/>
  <c r="X117" i="40" s="1"/>
  <c r="X76" i="40"/>
  <c r="X88" i="27"/>
  <c r="X76" i="27" s="1"/>
  <c r="P96" i="27"/>
  <c r="AR68" i="27"/>
  <c r="S88" i="22"/>
  <c r="S76" i="22" s="1"/>
  <c r="P91" i="22"/>
  <c r="BM62" i="23"/>
  <c r="BN62" i="23" s="1"/>
  <c r="BM43" i="39"/>
  <c r="BN43" i="39" s="1"/>
  <c r="AN68" i="39" s="1"/>
  <c r="AS114" i="39"/>
  <c r="AP117" i="39" s="1"/>
  <c r="Z68" i="33"/>
  <c r="AX7" i="26"/>
  <c r="Z76" i="31"/>
  <c r="O77" i="37"/>
  <c r="O76" i="37" s="1"/>
  <c r="E87" i="37"/>
  <c r="Y69" i="23"/>
  <c r="AS100" i="38"/>
  <c r="AB117" i="38" s="1"/>
  <c r="BA7" i="37"/>
  <c r="AA69" i="23"/>
  <c r="AQ7" i="31"/>
  <c r="V28" i="32"/>
  <c r="Y25" i="32"/>
  <c r="Y7" i="32" s="1"/>
  <c r="D258" i="47"/>
  <c r="D9" i="70"/>
  <c r="I9" i="70" s="1"/>
  <c r="N9" i="70" s="1"/>
  <c r="O9" i="70" s="1"/>
  <c r="D138" i="48"/>
  <c r="F138" i="48" s="1"/>
  <c r="D20" i="63"/>
  <c r="F20" i="63" s="1"/>
  <c r="K20" i="63" s="1"/>
  <c r="AL7" i="33"/>
  <c r="W76" i="29"/>
  <c r="BC7" i="32"/>
  <c r="H6" i="68"/>
  <c r="M7" i="68" s="1"/>
  <c r="N7" i="68" s="1"/>
  <c r="AY7" i="21"/>
  <c r="AN7" i="40"/>
  <c r="I16" i="57"/>
  <c r="F356" i="47"/>
  <c r="E103" i="48"/>
  <c r="H9" i="64" s="1"/>
  <c r="I9" i="64" s="1"/>
  <c r="N9" i="64" s="1"/>
  <c r="E388" i="47"/>
  <c r="H15" i="73" s="1"/>
  <c r="BB57" i="22"/>
  <c r="E297" i="47"/>
  <c r="F297" i="47" s="1"/>
  <c r="AW52" i="38"/>
  <c r="BM52" i="38"/>
  <c r="BN52" i="38" s="1"/>
  <c r="E260" i="47"/>
  <c r="AV51" i="25"/>
  <c r="BM51" i="25"/>
  <c r="BN51" i="25" s="1"/>
  <c r="E162" i="47"/>
  <c r="N14" i="66" s="1"/>
  <c r="O14" i="66" s="1"/>
  <c r="T14" i="66" s="1"/>
  <c r="AQ46" i="23"/>
  <c r="E155" i="48"/>
  <c r="AN43" i="24"/>
  <c r="BM43" i="24"/>
  <c r="BN43" i="24" s="1"/>
  <c r="AN69" i="24" s="1"/>
  <c r="E167" i="48"/>
  <c r="F167" i="48" s="1"/>
  <c r="AN43" i="37"/>
  <c r="E105" i="48"/>
  <c r="H11" i="64" s="1"/>
  <c r="AL41" i="26"/>
  <c r="E65" i="48"/>
  <c r="AH37" i="32"/>
  <c r="E360" i="47"/>
  <c r="H11" i="74" s="1"/>
  <c r="I11" i="74" s="1"/>
  <c r="N11" i="74" s="1"/>
  <c r="BA56" i="25"/>
  <c r="E190" i="47"/>
  <c r="H16" i="65" s="1"/>
  <c r="I16" i="65" s="1"/>
  <c r="N16" i="65" s="1"/>
  <c r="AS48" i="34"/>
  <c r="E139" i="48"/>
  <c r="E21" i="63" s="1"/>
  <c r="F21" i="63" s="1"/>
  <c r="K21" i="63" s="1"/>
  <c r="M21" i="63" s="1"/>
  <c r="AM42" i="30"/>
  <c r="E55" i="48"/>
  <c r="AH37" i="28"/>
  <c r="E31" i="47"/>
  <c r="H8" i="54" s="1"/>
  <c r="I8" i="54" s="1"/>
  <c r="N8" i="54" s="1"/>
  <c r="X27" i="29"/>
  <c r="E35" i="47"/>
  <c r="H12" i="54" s="1"/>
  <c r="I12" i="54" s="1"/>
  <c r="N12" i="54" s="1"/>
  <c r="X27" i="25"/>
  <c r="E39" i="47"/>
  <c r="H16" i="54" s="1"/>
  <c r="I16" i="54" s="1"/>
  <c r="N16" i="54" s="1"/>
  <c r="P16" i="54" s="1"/>
  <c r="X27" i="21"/>
  <c r="E8" i="47"/>
  <c r="W26" i="27"/>
  <c r="E317" i="47"/>
  <c r="H18" i="76" s="1"/>
  <c r="I18" i="76" s="1"/>
  <c r="N18" i="76" s="1"/>
  <c r="AY54" i="32"/>
  <c r="BM54" i="32"/>
  <c r="BN54" i="32" s="1"/>
  <c r="E188" i="46"/>
  <c r="F188" i="46" s="1"/>
  <c r="H15" i="49"/>
  <c r="I15" i="49" s="1"/>
  <c r="N15" i="49" s="1"/>
  <c r="U24" i="22"/>
  <c r="BM24" i="22"/>
  <c r="BN24" i="22" s="1"/>
  <c r="E109" i="48"/>
  <c r="H15" i="64" s="1"/>
  <c r="AL41" i="22"/>
  <c r="E47" i="47"/>
  <c r="X27" i="38"/>
  <c r="D187" i="48"/>
  <c r="F187" i="48" s="1"/>
  <c r="BM44" i="30"/>
  <c r="BN44" i="30" s="1"/>
  <c r="AO68" i="30" s="1"/>
  <c r="Y28" i="25"/>
  <c r="BM28" i="25"/>
  <c r="BN28" i="25" s="1"/>
  <c r="E60" i="47"/>
  <c r="F60" i="47" s="1"/>
  <c r="E315" i="47"/>
  <c r="AY54" i="34"/>
  <c r="BM54" i="34"/>
  <c r="BN54" i="34" s="1"/>
  <c r="E86" i="47"/>
  <c r="H13" i="57" s="1"/>
  <c r="J13" i="57" s="1"/>
  <c r="O13" i="57" s="1"/>
  <c r="P13" i="57" s="1"/>
  <c r="I13" i="57"/>
  <c r="AB31" i="24"/>
  <c r="D143" i="48"/>
  <c r="F143" i="48" s="1"/>
  <c r="BM42" i="37"/>
  <c r="BN42" i="37" s="1"/>
  <c r="AM68" i="37" s="1"/>
  <c r="D13" i="58"/>
  <c r="D83" i="48"/>
  <c r="D10" i="69"/>
  <c r="D284" i="47"/>
  <c r="AK34" i="34"/>
  <c r="AK25" i="34" s="1"/>
  <c r="AK7" i="34" s="1"/>
  <c r="AE40" i="34"/>
  <c r="V40" i="34" s="1"/>
  <c r="E57" i="47"/>
  <c r="Y28" i="28"/>
  <c r="D13" i="56"/>
  <c r="D111" i="47"/>
  <c r="AJ34" i="21"/>
  <c r="AJ25" i="21" s="1"/>
  <c r="AJ7" i="21" s="1"/>
  <c r="AE39" i="21"/>
  <c r="V39" i="21" s="1"/>
  <c r="D169" i="47"/>
  <c r="F169" i="47" s="1"/>
  <c r="BM46" i="30"/>
  <c r="BN46" i="30" s="1"/>
  <c r="D347" i="47"/>
  <c r="F347" i="47" s="1"/>
  <c r="BM55" i="38"/>
  <c r="BN55" i="38" s="1"/>
  <c r="Q68" i="34"/>
  <c r="AD33" i="25"/>
  <c r="BM59" i="22"/>
  <c r="BN59" i="22" s="1"/>
  <c r="D14" i="78"/>
  <c r="H14" i="78" s="1"/>
  <c r="D438" i="47"/>
  <c r="F438" i="47" s="1"/>
  <c r="H67" i="32"/>
  <c r="D17" i="46" s="1"/>
  <c r="D22" i="54"/>
  <c r="I22" i="54" s="1"/>
  <c r="N22" i="54" s="1"/>
  <c r="P22" i="54" s="1"/>
  <c r="D45" i="47"/>
  <c r="F45" i="47" s="1"/>
  <c r="BM27" i="40"/>
  <c r="BN27" i="40" s="1"/>
  <c r="F115" i="32"/>
  <c r="E115" i="32" s="1"/>
  <c r="AR115" i="32" s="1"/>
  <c r="AQ115" i="32" s="1"/>
  <c r="H25" i="32"/>
  <c r="F97" i="32"/>
  <c r="AP114" i="37"/>
  <c r="AS114" i="37"/>
  <c r="AP117" i="37" s="1"/>
  <c r="R88" i="37"/>
  <c r="R76" i="37" s="1"/>
  <c r="P90" i="37"/>
  <c r="L10" i="33"/>
  <c r="L9" i="33" s="1"/>
  <c r="L8" i="33" s="1"/>
  <c r="L7" i="33" s="1"/>
  <c r="G15" i="33"/>
  <c r="F15" i="33" s="1"/>
  <c r="E15" i="33" s="1"/>
  <c r="F29" i="23"/>
  <c r="G25" i="23"/>
  <c r="G68" i="23" s="1"/>
  <c r="AD68" i="33"/>
  <c r="AA68" i="38"/>
  <c r="P92" i="37"/>
  <c r="T88" i="37"/>
  <c r="T76" i="37" s="1"/>
  <c r="D10" i="78"/>
  <c r="H10" i="78" s="1"/>
  <c r="BM59" i="26"/>
  <c r="BN59" i="26" s="1"/>
  <c r="D434" i="47"/>
  <c r="F434" i="47" s="1"/>
  <c r="P106" i="38"/>
  <c r="AH88" i="38"/>
  <c r="AH76" i="38" s="1"/>
  <c r="E92" i="26"/>
  <c r="AR92" i="26" s="1"/>
  <c r="T92" i="26" s="1"/>
  <c r="F88" i="26"/>
  <c r="F116" i="26" s="1"/>
  <c r="F66" i="30"/>
  <c r="G63" i="30"/>
  <c r="G67" i="30" s="1"/>
  <c r="E343" i="47"/>
  <c r="H19" i="75" s="1"/>
  <c r="I19" i="75" s="1"/>
  <c r="N19" i="75" s="1"/>
  <c r="AZ55" i="31"/>
  <c r="V53" i="31"/>
  <c r="AX25" i="31"/>
  <c r="AX7" i="31" s="1"/>
  <c r="L10" i="22"/>
  <c r="L9" i="22" s="1"/>
  <c r="L8" i="22" s="1"/>
  <c r="L7" i="22" s="1"/>
  <c r="G15" i="22"/>
  <c r="F15" i="22" s="1"/>
  <c r="E15" i="22" s="1"/>
  <c r="AP88" i="31"/>
  <c r="AP76" i="31" s="1"/>
  <c r="P114" i="31"/>
  <c r="F98" i="21"/>
  <c r="H25" i="21"/>
  <c r="H68" i="21" s="1"/>
  <c r="D14" i="46" s="1"/>
  <c r="BH10" i="23"/>
  <c r="BH9" i="23" s="1"/>
  <c r="BH8" i="23" s="1"/>
  <c r="BH68" i="23" s="1"/>
  <c r="AJ108" i="30"/>
  <c r="AS108" i="30"/>
  <c r="AJ117" i="30" s="1"/>
  <c r="V28" i="24"/>
  <c r="Y25" i="24"/>
  <c r="Y7" i="24" s="1"/>
  <c r="F30" i="37"/>
  <c r="G25" i="37"/>
  <c r="X96" i="37"/>
  <c r="AS96" i="37"/>
  <c r="X117" i="37" s="1"/>
  <c r="P96" i="33"/>
  <c r="X88" i="33"/>
  <c r="X76" i="33" s="1"/>
  <c r="AG36" i="31"/>
  <c r="E42" i="48"/>
  <c r="H21" i="60" s="1"/>
  <c r="AO76" i="28"/>
  <c r="O21" i="25"/>
  <c r="E21" i="25" s="1"/>
  <c r="R18" i="25"/>
  <c r="R8" i="25" s="1"/>
  <c r="R7" i="25" s="1"/>
  <c r="AF76" i="28"/>
  <c r="AF7" i="29"/>
  <c r="AS98" i="39"/>
  <c r="Z117" i="39" s="1"/>
  <c r="AE41" i="38"/>
  <c r="V41" i="38" s="1"/>
  <c r="AL34" i="38"/>
  <c r="AL25" i="38" s="1"/>
  <c r="AL7" i="38" s="1"/>
  <c r="AJ88" i="38"/>
  <c r="AJ76" i="38" s="1"/>
  <c r="AA116" i="19"/>
  <c r="AS99" i="19" s="1"/>
  <c r="AA117" i="19" s="1"/>
  <c r="I17" i="49"/>
  <c r="N17" i="49" s="1"/>
  <c r="P9" i="19"/>
  <c r="O9" i="19" s="1"/>
  <c r="O67" i="19" s="1"/>
  <c r="P67" i="19"/>
  <c r="AQ97" i="34"/>
  <c r="BH25" i="34"/>
  <c r="BH67" i="34" s="1"/>
  <c r="F39" i="33"/>
  <c r="G34" i="33"/>
  <c r="G25" i="33" s="1"/>
  <c r="G67" i="33" s="1"/>
  <c r="AD68" i="32"/>
  <c r="G63" i="38"/>
  <c r="F66" i="38"/>
  <c r="AM7" i="37"/>
  <c r="P96" i="40"/>
  <c r="X88" i="40"/>
  <c r="G76" i="39"/>
  <c r="V47" i="27"/>
  <c r="AR25" i="27"/>
  <c r="AR7" i="27" s="1"/>
  <c r="H9" i="67"/>
  <c r="AQ7" i="30"/>
  <c r="BE7" i="27"/>
  <c r="AS93" i="38"/>
  <c r="U117" i="38" s="1"/>
  <c r="F317" i="47"/>
  <c r="AD25" i="29"/>
  <c r="AD7" i="29" s="1"/>
  <c r="V33" i="29"/>
  <c r="Z76" i="33"/>
  <c r="BF7" i="37"/>
  <c r="AA76" i="38"/>
  <c r="AS113" i="38"/>
  <c r="AO117" i="38" s="1"/>
  <c r="AS89" i="38"/>
  <c r="Q117" i="38" s="1"/>
  <c r="BJ7" i="32"/>
  <c r="N77" i="32"/>
  <c r="N76" i="32" s="1"/>
  <c r="E86" i="32"/>
  <c r="AD69" i="24"/>
  <c r="AE39" i="38"/>
  <c r="V39" i="38" s="1"/>
  <c r="AJ34" i="38"/>
  <c r="AJ25" i="38" s="1"/>
  <c r="AJ7" i="38" s="1"/>
  <c r="AQ116" i="30"/>
  <c r="BI7" i="24"/>
  <c r="L10" i="24"/>
  <c r="L9" i="24" s="1"/>
  <c r="L8" i="24" s="1"/>
  <c r="L7" i="24" s="1"/>
  <c r="G15" i="24"/>
  <c r="F15" i="24" s="1"/>
  <c r="E15" i="24" s="1"/>
  <c r="AK34" i="37"/>
  <c r="AK25" i="37" s="1"/>
  <c r="AK7" i="37" s="1"/>
  <c r="AE40" i="37"/>
  <c r="V40" i="37" s="1"/>
  <c r="AJ34" i="40"/>
  <c r="AJ25" i="40" s="1"/>
  <c r="AJ7" i="40" s="1"/>
  <c r="AE39" i="40"/>
  <c r="V39" i="40" s="1"/>
  <c r="BM51" i="24"/>
  <c r="BN51" i="24" s="1"/>
  <c r="AV69" i="24" s="1"/>
  <c r="I23" i="57"/>
  <c r="AS7" i="26"/>
  <c r="E88" i="37"/>
  <c r="BM62" i="24"/>
  <c r="BN62" i="24" s="1"/>
  <c r="M49" i="13" s="1"/>
  <c r="BM15" i="19"/>
  <c r="BN15" i="19" s="1"/>
  <c r="AS82" i="34"/>
  <c r="J117" i="34" s="1"/>
  <c r="BM37" i="38"/>
  <c r="BN37" i="38" s="1"/>
  <c r="AS81" i="34"/>
  <c r="I117" i="34" s="1"/>
  <c r="D211" i="48"/>
  <c r="BM55" i="27"/>
  <c r="BN55" i="27" s="1"/>
  <c r="J42" i="13" s="1"/>
  <c r="G67" i="32"/>
  <c r="AB76" i="19"/>
  <c r="AG77" i="21"/>
  <c r="X76" i="19"/>
  <c r="BM32" i="28"/>
  <c r="BN32" i="28" s="1"/>
  <c r="S76" i="28"/>
  <c r="J11" i="26"/>
  <c r="J10" i="26" s="1"/>
  <c r="J9" i="26" s="1"/>
  <c r="J8" i="26" s="1"/>
  <c r="J7" i="26" s="1"/>
  <c r="E9" i="31"/>
  <c r="AS107" i="30"/>
  <c r="AI117" i="30" s="1"/>
  <c r="C25" i="83"/>
  <c r="AM7" i="26"/>
  <c r="AC89" i="24"/>
  <c r="AC77" i="24" s="1"/>
  <c r="V61" i="24"/>
  <c r="I76" i="33"/>
  <c r="V57" i="30"/>
  <c r="W88" i="30"/>
  <c r="W76" i="30" s="1"/>
  <c r="AF7" i="21"/>
  <c r="AM7" i="21"/>
  <c r="I8" i="57"/>
  <c r="H76" i="28"/>
  <c r="O18" i="22"/>
  <c r="E18" i="22" s="1"/>
  <c r="S22" i="30"/>
  <c r="S8" i="30" s="1"/>
  <c r="S7" i="30" s="1"/>
  <c r="BM31" i="30"/>
  <c r="BN31" i="30" s="1"/>
  <c r="AB68" i="30" s="1"/>
  <c r="W26" i="30"/>
  <c r="AS85" i="40"/>
  <c r="E334" i="47"/>
  <c r="H10" i="75" s="1"/>
  <c r="AZ55" i="26"/>
  <c r="AQ78" i="29"/>
  <c r="AQ77" i="29" s="1"/>
  <c r="BH10" i="29"/>
  <c r="BH9" i="29" s="1"/>
  <c r="BH8" i="29" s="1"/>
  <c r="BH67" i="29" s="1"/>
  <c r="E355" i="47"/>
  <c r="H6" i="74" s="1"/>
  <c r="I6" i="74" s="1"/>
  <c r="N6" i="74" s="1"/>
  <c r="O6" i="74" s="1"/>
  <c r="BA56" i="19"/>
  <c r="E165" i="47"/>
  <c r="AQ46" i="34"/>
  <c r="BM46" i="34"/>
  <c r="BN46" i="34" s="1"/>
  <c r="E157" i="48"/>
  <c r="AN43" i="22"/>
  <c r="AM42" i="40"/>
  <c r="E140" i="48"/>
  <c r="E22" i="63" s="1"/>
  <c r="F22" i="63" s="1"/>
  <c r="K22" i="63" s="1"/>
  <c r="E87" i="48"/>
  <c r="H17" i="58" s="1"/>
  <c r="I17" i="58" s="1"/>
  <c r="N17" i="58" s="1"/>
  <c r="P17" i="58" s="1"/>
  <c r="AI38" i="34"/>
  <c r="E30" i="48"/>
  <c r="BM36" i="29"/>
  <c r="BN36" i="29" s="1"/>
  <c r="AG36" i="29"/>
  <c r="AQ78" i="33"/>
  <c r="AQ77" i="33" s="1"/>
  <c r="AQ116" i="33" s="1"/>
  <c r="AS115" i="33" s="1"/>
  <c r="AQ117" i="33" s="1"/>
  <c r="BH10" i="33"/>
  <c r="BH9" i="33" s="1"/>
  <c r="BH8" i="33" s="1"/>
  <c r="BH67" i="33" s="1"/>
  <c r="E61" i="48"/>
  <c r="F61" i="48" s="1"/>
  <c r="AH37" i="22"/>
  <c r="E32" i="47"/>
  <c r="H9" i="54" s="1"/>
  <c r="I9" i="54" s="1"/>
  <c r="N9" i="54" s="1"/>
  <c r="X27" i="28"/>
  <c r="E36" i="47"/>
  <c r="H13" i="54" s="1"/>
  <c r="I13" i="54" s="1"/>
  <c r="N13" i="54" s="1"/>
  <c r="X27" i="24"/>
  <c r="E40" i="47"/>
  <c r="H17" i="54" s="1"/>
  <c r="X27" i="34"/>
  <c r="E10" i="47"/>
  <c r="W26" i="25"/>
  <c r="BM26" i="25"/>
  <c r="BN26" i="25" s="1"/>
  <c r="E413" i="47"/>
  <c r="H15" i="79" s="1"/>
  <c r="I15" i="79" s="1"/>
  <c r="BC58" i="22"/>
  <c r="E72" i="47"/>
  <c r="V12" i="53" s="1"/>
  <c r="W12" i="53" s="1"/>
  <c r="Y28" i="38"/>
  <c r="E192" i="46"/>
  <c r="H19" i="49"/>
  <c r="U24" i="32"/>
  <c r="E24" i="32" s="1"/>
  <c r="D10" i="83"/>
  <c r="E263" i="47"/>
  <c r="H14" i="70" s="1"/>
  <c r="I14" i="70" s="1"/>
  <c r="N14" i="70" s="1"/>
  <c r="AV51" i="22"/>
  <c r="E34" i="48"/>
  <c r="H13" i="60" s="1"/>
  <c r="AG36" i="25"/>
  <c r="E190" i="46"/>
  <c r="F190" i="46" s="1"/>
  <c r="H17" i="49"/>
  <c r="U24" i="34"/>
  <c r="BM24" i="34"/>
  <c r="BN24" i="34" s="1"/>
  <c r="D180" i="48"/>
  <c r="F180" i="48" s="1"/>
  <c r="BM44" i="23"/>
  <c r="BN44" i="23" s="1"/>
  <c r="AO69" i="23" s="1"/>
  <c r="BM43" i="29"/>
  <c r="BN43" i="29" s="1"/>
  <c r="AN68" i="29" s="1"/>
  <c r="D8" i="62"/>
  <c r="I8" i="62" s="1"/>
  <c r="D150" i="48"/>
  <c r="F150" i="48" s="1"/>
  <c r="BM35" i="38"/>
  <c r="BN35" i="38" s="1"/>
  <c r="D22" i="48"/>
  <c r="F22" i="48" s="1"/>
  <c r="D30" i="47"/>
  <c r="D7" i="54"/>
  <c r="AD33" i="26"/>
  <c r="C23" i="95"/>
  <c r="E382" i="47"/>
  <c r="H9" i="73" s="1"/>
  <c r="I9" i="73" s="1"/>
  <c r="BB57" i="28"/>
  <c r="E320" i="47"/>
  <c r="AY54" i="40"/>
  <c r="BM54" i="40"/>
  <c r="BN54" i="40" s="1"/>
  <c r="E87" i="47"/>
  <c r="H14" i="57" s="1"/>
  <c r="J14" i="57" s="1"/>
  <c r="I14" i="57"/>
  <c r="AB31" i="23"/>
  <c r="D79" i="48"/>
  <c r="F79" i="48" s="1"/>
  <c r="D9" i="58"/>
  <c r="I9" i="58" s="1"/>
  <c r="N9" i="58" s="1"/>
  <c r="O9" i="58" s="1"/>
  <c r="N15" i="66"/>
  <c r="O15" i="66" s="1"/>
  <c r="T15" i="66" s="1"/>
  <c r="F163" i="47"/>
  <c r="AW67" i="19"/>
  <c r="AW7" i="19"/>
  <c r="D309" i="47"/>
  <c r="F309" i="47" s="1"/>
  <c r="D10" i="76"/>
  <c r="I10" i="76" s="1"/>
  <c r="N10" i="76" s="1"/>
  <c r="O10" i="76" s="1"/>
  <c r="BM54" i="26"/>
  <c r="BN54" i="26" s="1"/>
  <c r="T117" i="25"/>
  <c r="D210" i="47"/>
  <c r="F210" i="47" s="1"/>
  <c r="BM39" i="28"/>
  <c r="BN39" i="28" s="1"/>
  <c r="AJ68" i="28" s="1"/>
  <c r="AA30" i="25"/>
  <c r="BM30" i="25"/>
  <c r="BN30" i="25" s="1"/>
  <c r="BM39" i="24"/>
  <c r="BN39" i="24" s="1"/>
  <c r="AJ69" i="24" s="1"/>
  <c r="V53" i="23"/>
  <c r="AX25" i="23"/>
  <c r="AX7" i="23" s="1"/>
  <c r="D16" i="70"/>
  <c r="I16" i="70" s="1"/>
  <c r="N16" i="70" s="1"/>
  <c r="O16" i="70" s="1"/>
  <c r="BM51" i="34"/>
  <c r="BN51" i="34" s="1"/>
  <c r="D265" i="47"/>
  <c r="F265" i="47" s="1"/>
  <c r="AX67" i="40"/>
  <c r="BM53" i="40" s="1"/>
  <c r="BN53" i="40" s="1"/>
  <c r="AX7" i="40"/>
  <c r="BD67" i="38"/>
  <c r="D305" i="47"/>
  <c r="F305" i="47" s="1"/>
  <c r="D6" i="76"/>
  <c r="I6" i="76" s="1"/>
  <c r="E59" i="47"/>
  <c r="Y28" i="26"/>
  <c r="D436" i="47"/>
  <c r="D12" i="78"/>
  <c r="AX7" i="22"/>
  <c r="F115" i="27"/>
  <c r="E115" i="27" s="1"/>
  <c r="AR115" i="27" s="1"/>
  <c r="D19" i="56"/>
  <c r="I19" i="56" s="1"/>
  <c r="N19" i="56" s="1"/>
  <c r="D117" i="47"/>
  <c r="F117" i="47" s="1"/>
  <c r="BM32" i="32"/>
  <c r="BN32" i="32" s="1"/>
  <c r="D18" i="54"/>
  <c r="I18" i="54" s="1"/>
  <c r="N18" i="54" s="1"/>
  <c r="P18" i="54" s="1"/>
  <c r="D41" i="47"/>
  <c r="F41" i="47" s="1"/>
  <c r="BM27" i="33"/>
  <c r="BN27" i="33" s="1"/>
  <c r="T68" i="32"/>
  <c r="D21" i="54"/>
  <c r="D44" i="47"/>
  <c r="E63" i="47"/>
  <c r="Y28" i="22"/>
  <c r="AR47" i="30"/>
  <c r="BM47" i="30"/>
  <c r="BN47" i="30" s="1"/>
  <c r="P105" i="37"/>
  <c r="AG88" i="37"/>
  <c r="AG76" i="37" s="1"/>
  <c r="V47" i="33"/>
  <c r="AR25" i="33"/>
  <c r="AR7" i="33" s="1"/>
  <c r="V30" i="38"/>
  <c r="AA25" i="38"/>
  <c r="AA7" i="38" s="1"/>
  <c r="P108" i="37"/>
  <c r="AJ88" i="37"/>
  <c r="AJ76" i="37" s="1"/>
  <c r="Z67" i="40"/>
  <c r="BM29" i="40" s="1"/>
  <c r="BN29" i="40" s="1"/>
  <c r="P104" i="37"/>
  <c r="AF88" i="37"/>
  <c r="AF76" i="37" s="1"/>
  <c r="F29" i="26"/>
  <c r="G25" i="26"/>
  <c r="G67" i="26" s="1"/>
  <c r="V30" i="34"/>
  <c r="AA25" i="34"/>
  <c r="AA7" i="34" s="1"/>
  <c r="F115" i="30"/>
  <c r="E115" i="30" s="1"/>
  <c r="AR115" i="30" s="1"/>
  <c r="AQ115" i="30" s="1"/>
  <c r="AQ76" i="30" s="1"/>
  <c r="P93" i="38"/>
  <c r="U88" i="38"/>
  <c r="U76" i="38" s="1"/>
  <c r="AY67" i="31"/>
  <c r="AY7" i="31"/>
  <c r="E218" i="47"/>
  <c r="AT49" i="31"/>
  <c r="P91" i="29"/>
  <c r="S88" i="29"/>
  <c r="S76" i="29" s="1"/>
  <c r="P94" i="37"/>
  <c r="V88" i="37"/>
  <c r="V76" i="37" s="1"/>
  <c r="G34" i="21"/>
  <c r="G25" i="21" s="1"/>
  <c r="G68" i="21" s="1"/>
  <c r="F40" i="21"/>
  <c r="BM56" i="37"/>
  <c r="BN56" i="37" s="1"/>
  <c r="D373" i="47"/>
  <c r="F373" i="47" s="1"/>
  <c r="D145" i="46"/>
  <c r="F145" i="46" s="1"/>
  <c r="BM21" i="40"/>
  <c r="BN21" i="40" s="1"/>
  <c r="AS99" i="27"/>
  <c r="AA117" i="27" s="1"/>
  <c r="BK67" i="29"/>
  <c r="BK7" i="29"/>
  <c r="BG25" i="31"/>
  <c r="BG7" i="31" s="1"/>
  <c r="V62" i="31"/>
  <c r="BG25" i="33"/>
  <c r="BG7" i="33" s="1"/>
  <c r="V62" i="33"/>
  <c r="E210" i="48"/>
  <c r="H20" i="67" s="1"/>
  <c r="AP45" i="31"/>
  <c r="D21" i="50"/>
  <c r="D168" i="46"/>
  <c r="AR89" i="39"/>
  <c r="E88" i="39"/>
  <c r="AY7" i="26"/>
  <c r="BA25" i="34"/>
  <c r="BA7" i="34" s="1"/>
  <c r="V56" i="34"/>
  <c r="V54" i="28"/>
  <c r="AY25" i="28"/>
  <c r="AY7" i="28" s="1"/>
  <c r="BM29" i="38"/>
  <c r="BN29" i="38" s="1"/>
  <c r="E97" i="29"/>
  <c r="F88" i="29"/>
  <c r="F116" i="29" s="1"/>
  <c r="BH65" i="31"/>
  <c r="BJ63" i="31"/>
  <c r="BJ7" i="31" s="1"/>
  <c r="L116" i="29"/>
  <c r="AS84" i="29" s="1"/>
  <c r="L117" i="29" s="1"/>
  <c r="BD7" i="22"/>
  <c r="AS86" i="38"/>
  <c r="N117" i="38" s="1"/>
  <c r="P99" i="19"/>
  <c r="AA88" i="19"/>
  <c r="AA76" i="19" s="1"/>
  <c r="BM37" i="22"/>
  <c r="BN37" i="22" s="1"/>
  <c r="E34" i="25"/>
  <c r="BL34" i="25" s="1"/>
  <c r="AE34" i="25" s="1"/>
  <c r="AE25" i="25" s="1"/>
  <c r="BL39" i="25"/>
  <c r="O10" i="27"/>
  <c r="Q9" i="27"/>
  <c r="O9" i="27" s="1"/>
  <c r="O67" i="27" s="1"/>
  <c r="AP116" i="22"/>
  <c r="AS114" i="22" s="1"/>
  <c r="AP117" i="22" s="1"/>
  <c r="AS105" i="21"/>
  <c r="AF118" i="21" s="1"/>
  <c r="F115" i="28"/>
  <c r="BH66" i="23"/>
  <c r="BK63" i="23"/>
  <c r="BK7" i="23" s="1"/>
  <c r="BL20" i="33"/>
  <c r="AD25" i="32"/>
  <c r="AD7" i="32" s="1"/>
  <c r="V33" i="32"/>
  <c r="F115" i="38"/>
  <c r="E115" i="38" s="1"/>
  <c r="AR115" i="38" s="1"/>
  <c r="P91" i="40"/>
  <c r="S88" i="40"/>
  <c r="S76" i="40" s="1"/>
  <c r="P114" i="27"/>
  <c r="AP88" i="27"/>
  <c r="AP76" i="27" s="1"/>
  <c r="P105" i="27"/>
  <c r="AG88" i="27"/>
  <c r="AG76" i="27" s="1"/>
  <c r="AS98" i="27"/>
  <c r="Z117" i="27" s="1"/>
  <c r="AU68" i="37"/>
  <c r="BA7" i="38"/>
  <c r="F164" i="47"/>
  <c r="BC25" i="27"/>
  <c r="BC7" i="27" s="1"/>
  <c r="V58" i="27"/>
  <c r="AP88" i="34"/>
  <c r="AP76" i="34" s="1"/>
  <c r="P114" i="34"/>
  <c r="BM43" i="22"/>
  <c r="BN43" i="22" s="1"/>
  <c r="AN68" i="22" s="1"/>
  <c r="BM65" i="31"/>
  <c r="BN65" i="31" s="1"/>
  <c r="BJ68" i="31" s="1"/>
  <c r="AS110" i="22"/>
  <c r="AL117" i="22" s="1"/>
  <c r="E97" i="38"/>
  <c r="AR97" i="38" s="1"/>
  <c r="Y97" i="38" s="1"/>
  <c r="F88" i="38"/>
  <c r="F116" i="38" s="1"/>
  <c r="AS90" i="38"/>
  <c r="R117" i="38" s="1"/>
  <c r="Q8" i="26"/>
  <c r="Q7" i="26" s="1"/>
  <c r="V33" i="24"/>
  <c r="AD25" i="24"/>
  <c r="AD7" i="24" s="1"/>
  <c r="T76" i="39"/>
  <c r="BL34" i="28"/>
  <c r="U68" i="37"/>
  <c r="H67" i="27"/>
  <c r="D8" i="46" s="1"/>
  <c r="AF88" i="38"/>
  <c r="AF76" i="38" s="1"/>
  <c r="F25" i="27"/>
  <c r="G25" i="40"/>
  <c r="BJ29" i="87"/>
  <c r="E146" i="47"/>
  <c r="H23" i="89" s="1"/>
  <c r="V55" i="30"/>
  <c r="AS84" i="30"/>
  <c r="L117" i="30" s="1"/>
  <c r="AS102" i="30"/>
  <c r="AD117" i="30" s="1"/>
  <c r="AL7" i="30"/>
  <c r="AL7" i="25"/>
  <c r="AS116" i="24"/>
  <c r="AQ118" i="24" s="1"/>
  <c r="D11" i="69"/>
  <c r="H11" i="69" s="1"/>
  <c r="BM52" i="25"/>
  <c r="BN52" i="25" s="1"/>
  <c r="D285" i="47"/>
  <c r="F285" i="47" s="1"/>
  <c r="U19" i="13"/>
  <c r="F19" i="47"/>
  <c r="BM51" i="30"/>
  <c r="BN51" i="30" s="1"/>
  <c r="U38" i="13" s="1"/>
  <c r="F444" i="47"/>
  <c r="P109" i="30"/>
  <c r="U8" i="84"/>
  <c r="I21" i="57"/>
  <c r="BM32" i="30"/>
  <c r="BN32" i="30" s="1"/>
  <c r="U25" i="13" s="1"/>
  <c r="BL17" i="30"/>
  <c r="BM17" i="30" s="1"/>
  <c r="BN17" i="30" s="1"/>
  <c r="U11" i="13" s="1"/>
  <c r="BL16" i="30"/>
  <c r="E69" i="46" s="1"/>
  <c r="D19" i="57"/>
  <c r="J19" i="57" s="1"/>
  <c r="O19" i="57" s="1"/>
  <c r="Q19" i="57" s="1"/>
  <c r="D92" i="47"/>
  <c r="F92" i="47" s="1"/>
  <c r="BM31" i="32"/>
  <c r="BN31" i="32" s="1"/>
  <c r="P101" i="29"/>
  <c r="J11" i="29"/>
  <c r="J10" i="29" s="1"/>
  <c r="J9" i="29" s="1"/>
  <c r="J8" i="29" s="1"/>
  <c r="J7" i="29" s="1"/>
  <c r="H9" i="72"/>
  <c r="D416" i="47"/>
  <c r="F416" i="47" s="1"/>
  <c r="BM60" i="33"/>
  <c r="BN60" i="33" s="1"/>
  <c r="BE68" i="33" s="1"/>
  <c r="G17" i="77"/>
  <c r="I18" i="57"/>
  <c r="D91" i="47"/>
  <c r="BL11" i="33"/>
  <c r="H11" i="33" s="1"/>
  <c r="G11" i="33" s="1"/>
  <c r="F11" i="33" s="1"/>
  <c r="E11" i="33" s="1"/>
  <c r="H8" i="72"/>
  <c r="I8" i="72" s="1"/>
  <c r="BM42" i="23"/>
  <c r="BN42" i="23" s="1"/>
  <c r="AM69" i="23" s="1"/>
  <c r="BL21" i="23"/>
  <c r="G14" i="51" s="1"/>
  <c r="H14" i="51" s="1"/>
  <c r="M14" i="51" s="1"/>
  <c r="N14" i="51" s="1"/>
  <c r="M16" i="23"/>
  <c r="E62" i="46"/>
  <c r="G15" i="82" s="1"/>
  <c r="H15" i="82" s="1"/>
  <c r="M15" i="82" s="1"/>
  <c r="O15" i="82" s="1"/>
  <c r="BL22" i="21"/>
  <c r="L85" i="21"/>
  <c r="AV60" i="88"/>
  <c r="BF51" i="88" s="1"/>
  <c r="BG51" i="88" s="1"/>
  <c r="BK51" i="88" s="1"/>
  <c r="E85" i="46"/>
  <c r="G10" i="77"/>
  <c r="I11" i="57"/>
  <c r="BM42" i="27"/>
  <c r="BN42" i="27" s="1"/>
  <c r="AM68" i="27" s="1"/>
  <c r="AS112" i="28"/>
  <c r="AN117" i="28" s="1"/>
  <c r="D107" i="47"/>
  <c r="F82" i="47"/>
  <c r="V10" i="28"/>
  <c r="Z17" i="88"/>
  <c r="E256" i="47"/>
  <c r="H7" i="70" s="1"/>
  <c r="AV51" i="29"/>
  <c r="E81" i="46"/>
  <c r="E255" i="47"/>
  <c r="H6" i="70" s="1"/>
  <c r="I6" i="70" s="1"/>
  <c r="N6" i="70" s="1"/>
  <c r="O6" i="70" s="1"/>
  <c r="AV51" i="19"/>
  <c r="Z16" i="88"/>
  <c r="Q16" i="88" s="1"/>
  <c r="BE16" i="88" s="1"/>
  <c r="W68" i="30"/>
  <c r="W8" i="88"/>
  <c r="AH68" i="39"/>
  <c r="D22" i="62"/>
  <c r="D164" i="48"/>
  <c r="F164" i="48" s="1"/>
  <c r="BM43" i="40"/>
  <c r="BN43" i="40" s="1"/>
  <c r="AN68" i="40" s="1"/>
  <c r="BI64" i="30"/>
  <c r="BI63" i="30" s="1"/>
  <c r="BI7" i="30" s="1"/>
  <c r="BM22" i="30"/>
  <c r="BN22" i="30" s="1"/>
  <c r="D18" i="63"/>
  <c r="F18" i="63" s="1"/>
  <c r="K18" i="63" s="1"/>
  <c r="M18" i="63" s="1"/>
  <c r="D136" i="48"/>
  <c r="F136" i="48" s="1"/>
  <c r="I7" i="72"/>
  <c r="BM64" i="23"/>
  <c r="BI64" i="23"/>
  <c r="BL63" i="23"/>
  <c r="G13" i="95" s="1"/>
  <c r="H13" i="95" s="1"/>
  <c r="BJ65" i="24"/>
  <c r="BL63" i="24"/>
  <c r="G12" i="95" s="1"/>
  <c r="H12" i="95" s="1"/>
  <c r="BM65" i="24"/>
  <c r="AR115" i="26"/>
  <c r="AQ115" i="26" s="1"/>
  <c r="V49" i="26"/>
  <c r="BM19" i="26"/>
  <c r="BN19" i="26" s="1"/>
  <c r="E109" i="46"/>
  <c r="P19" i="26"/>
  <c r="AS84" i="26"/>
  <c r="L117" i="26" s="1"/>
  <c r="AC116" i="26"/>
  <c r="AS101" i="26" s="1"/>
  <c r="AC117" i="26" s="1"/>
  <c r="D10" i="89"/>
  <c r="I10" i="89" s="1"/>
  <c r="D133" i="47"/>
  <c r="F133" i="47" s="1"/>
  <c r="BM34" i="27"/>
  <c r="Z13" i="88"/>
  <c r="Q13" i="88" s="1"/>
  <c r="BE13" i="88" s="1"/>
  <c r="Y14" i="84"/>
  <c r="BM41" i="28"/>
  <c r="BN41" i="28" s="1"/>
  <c r="AL68" i="28" s="1"/>
  <c r="AL7" i="28"/>
  <c r="M36" i="13"/>
  <c r="BD25" i="21"/>
  <c r="BD7" i="21" s="1"/>
  <c r="AZ25" i="22"/>
  <c r="AZ7" i="22" s="1"/>
  <c r="P111" i="21"/>
  <c r="AB88" i="28"/>
  <c r="AB76" i="28" s="1"/>
  <c r="AU25" i="31"/>
  <c r="AB25" i="31"/>
  <c r="AB7" i="31" s="1"/>
  <c r="V32" i="29"/>
  <c r="F8" i="63"/>
  <c r="K8" i="63" s="1"/>
  <c r="M8" i="63" s="1"/>
  <c r="F17" i="29"/>
  <c r="E17" i="29" s="1"/>
  <c r="D171" i="46"/>
  <c r="D24" i="50"/>
  <c r="D146" i="47"/>
  <c r="D23" i="89"/>
  <c r="D169" i="46"/>
  <c r="F169" i="46" s="1"/>
  <c r="D22" i="50"/>
  <c r="J22" i="50" s="1"/>
  <c r="O22" i="50" s="1"/>
  <c r="Q22" i="50" s="1"/>
  <c r="D119" i="47"/>
  <c r="D21" i="56"/>
  <c r="D94" i="47"/>
  <c r="D21" i="57"/>
  <c r="AU50" i="30"/>
  <c r="H12" i="72"/>
  <c r="BM50" i="30"/>
  <c r="BN50" i="30" s="1"/>
  <c r="AU68" i="30" s="1"/>
  <c r="D12" i="72"/>
  <c r="BM64" i="30"/>
  <c r="BM58" i="30"/>
  <c r="BN58" i="30" s="1"/>
  <c r="D21" i="79"/>
  <c r="I21" i="79" s="1"/>
  <c r="AB70" i="31"/>
  <c r="D20" i="57"/>
  <c r="BM50" i="33"/>
  <c r="BN50" i="33" s="1"/>
  <c r="D9" i="72"/>
  <c r="I9" i="72" s="1"/>
  <c r="BM58" i="33"/>
  <c r="BN58" i="33" s="1"/>
  <c r="R45" i="13" s="1"/>
  <c r="BL24" i="33"/>
  <c r="BM24" i="33" s="1"/>
  <c r="BN24" i="33" s="1"/>
  <c r="R17" i="13" s="1"/>
  <c r="D18" i="89"/>
  <c r="P102" i="33"/>
  <c r="D166" i="46"/>
  <c r="F166" i="46" s="1"/>
  <c r="D19" i="50"/>
  <c r="AD8" i="84"/>
  <c r="D314" i="47"/>
  <c r="F314" i="47" s="1"/>
  <c r="D15" i="76"/>
  <c r="I15" i="76" s="1"/>
  <c r="N15" i="76" s="1"/>
  <c r="O15" i="76" s="1"/>
  <c r="BM58" i="21"/>
  <c r="BN58" i="21" s="1"/>
  <c r="P45" i="13" s="1"/>
  <c r="D16" i="79"/>
  <c r="BL24" i="21"/>
  <c r="BE27" i="88"/>
  <c r="X27" i="88" s="1"/>
  <c r="E264" i="47"/>
  <c r="H15" i="70" s="1"/>
  <c r="I15" i="70" s="1"/>
  <c r="N15" i="70" s="1"/>
  <c r="O15" i="70" s="1"/>
  <c r="AV51" i="21"/>
  <c r="BF25" i="21"/>
  <c r="BF7" i="21" s="1"/>
  <c r="D110" i="48"/>
  <c r="F110" i="48" s="1"/>
  <c r="D16" i="64"/>
  <c r="I16" i="64" s="1"/>
  <c r="N16" i="64" s="1"/>
  <c r="P16" i="64" s="1"/>
  <c r="AL34" i="21"/>
  <c r="AL25" i="21" s="1"/>
  <c r="AL7" i="21" s="1"/>
  <c r="D14" i="48"/>
  <c r="D16" i="61"/>
  <c r="I16" i="61" s="1"/>
  <c r="N16" i="61" s="1"/>
  <c r="BM28" i="21"/>
  <c r="BN28" i="21" s="1"/>
  <c r="P21" i="13" s="1"/>
  <c r="D16" i="53"/>
  <c r="W16" i="53" s="1"/>
  <c r="D164" i="46"/>
  <c r="D17" i="50"/>
  <c r="I14" i="76"/>
  <c r="N14" i="76" s="1"/>
  <c r="BM49" i="22"/>
  <c r="BN49" i="22" s="1"/>
  <c r="O36" i="13" s="1"/>
  <c r="D15" i="71"/>
  <c r="I15" i="71" s="1"/>
  <c r="N15" i="71" s="1"/>
  <c r="D133" i="48"/>
  <c r="F133" i="48" s="1"/>
  <c r="D15" i="63"/>
  <c r="F15" i="63" s="1"/>
  <c r="K15" i="63" s="1"/>
  <c r="D88" i="47"/>
  <c r="F88" i="47" s="1"/>
  <c r="D15" i="57"/>
  <c r="J15" i="57" s="1"/>
  <c r="O15" i="57" s="1"/>
  <c r="BM49" i="23"/>
  <c r="BN49" i="23" s="1"/>
  <c r="D14" i="71"/>
  <c r="AT49" i="23"/>
  <c r="H14" i="71"/>
  <c r="P78" i="23"/>
  <c r="AR78" i="23" s="1"/>
  <c r="O14" i="51"/>
  <c r="BM27" i="23"/>
  <c r="BN27" i="23" s="1"/>
  <c r="D14" i="54"/>
  <c r="I14" i="54" s="1"/>
  <c r="N14" i="54" s="1"/>
  <c r="BM26" i="23"/>
  <c r="BN26" i="23" s="1"/>
  <c r="N19" i="13" s="1"/>
  <c r="D14" i="55"/>
  <c r="BL24" i="24"/>
  <c r="D161" i="46"/>
  <c r="D14" i="50"/>
  <c r="BC70" i="25"/>
  <c r="D12" i="79"/>
  <c r="L10" i="13"/>
  <c r="M68" i="25"/>
  <c r="AU70" i="25"/>
  <c r="AV70" i="25" s="1"/>
  <c r="D15" i="72"/>
  <c r="I15" i="72" s="1"/>
  <c r="AH70" i="25"/>
  <c r="D12" i="59"/>
  <c r="AB70" i="25"/>
  <c r="D12" i="57"/>
  <c r="J12" i="57" s="1"/>
  <c r="O12" i="57" s="1"/>
  <c r="Q12" i="57" s="1"/>
  <c r="D409" i="47"/>
  <c r="F409" i="47" s="1"/>
  <c r="D11" i="79"/>
  <c r="I11" i="79" s="1"/>
  <c r="BM49" i="26"/>
  <c r="BN49" i="26" s="1"/>
  <c r="D11" i="71"/>
  <c r="I11" i="71" s="1"/>
  <c r="N11" i="71" s="1"/>
  <c r="AO88" i="26"/>
  <c r="AO76" i="26" s="1"/>
  <c r="P113" i="26"/>
  <c r="AL70" i="26"/>
  <c r="D11" i="64"/>
  <c r="I11" i="64" s="1"/>
  <c r="N11" i="64" s="1"/>
  <c r="AH70" i="26"/>
  <c r="D11" i="59"/>
  <c r="I11" i="59" s="1"/>
  <c r="N11" i="59" s="1"/>
  <c r="D184" i="46"/>
  <c r="D11" i="49"/>
  <c r="BM49" i="27"/>
  <c r="BN49" i="27" s="1"/>
  <c r="D10" i="71"/>
  <c r="I10" i="71" s="1"/>
  <c r="N10" i="71" s="1"/>
  <c r="P10" i="71" s="1"/>
  <c r="D104" i="48"/>
  <c r="D10" i="64"/>
  <c r="I10" i="64" s="1"/>
  <c r="N10" i="64" s="1"/>
  <c r="P94" i="27"/>
  <c r="V88" i="27"/>
  <c r="O10" i="49"/>
  <c r="BA7" i="28"/>
  <c r="D357" i="47"/>
  <c r="F357" i="47" s="1"/>
  <c r="D8" i="74"/>
  <c r="I8" i="74" s="1"/>
  <c r="N8" i="74" s="1"/>
  <c r="P8" i="74" s="1"/>
  <c r="BM49" i="28"/>
  <c r="BN49" i="28" s="1"/>
  <c r="D9" i="71"/>
  <c r="I9" i="71" s="1"/>
  <c r="N9" i="71" s="1"/>
  <c r="D157" i="46"/>
  <c r="D10" i="50"/>
  <c r="BM49" i="29"/>
  <c r="BN49" i="29" s="1"/>
  <c r="H36" i="13" s="1"/>
  <c r="D8" i="71"/>
  <c r="AC45" i="84"/>
  <c r="AT49" i="29"/>
  <c r="H8" i="71"/>
  <c r="D181" i="46"/>
  <c r="D8" i="49"/>
  <c r="BM26" i="19"/>
  <c r="BN26" i="19" s="1"/>
  <c r="G19" i="13" s="1"/>
  <c r="D7" i="55"/>
  <c r="D180" i="46"/>
  <c r="F180" i="46" s="1"/>
  <c r="U25" i="89"/>
  <c r="BL21" i="19"/>
  <c r="G7" i="51" s="1"/>
  <c r="G32" i="13"/>
  <c r="AI68" i="19"/>
  <c r="D77" i="48"/>
  <c r="F77" i="48" s="1"/>
  <c r="D7" i="58"/>
  <c r="I7" i="58" s="1"/>
  <c r="N7" i="58" s="1"/>
  <c r="P7" i="58" s="1"/>
  <c r="D130" i="47"/>
  <c r="D7" i="89"/>
  <c r="AT49" i="19"/>
  <c r="AT25" i="19" s="1"/>
  <c r="H7" i="71"/>
  <c r="AT49" i="25"/>
  <c r="H12" i="71"/>
  <c r="I12" i="71" s="1"/>
  <c r="D106" i="48"/>
  <c r="F106" i="48" s="1"/>
  <c r="BE50" i="88"/>
  <c r="AU50" i="88" s="1"/>
  <c r="E220" i="47"/>
  <c r="AT49" i="40"/>
  <c r="P101" i="40"/>
  <c r="AC88" i="40"/>
  <c r="AC76" i="40" s="1"/>
  <c r="E95" i="46"/>
  <c r="N17" i="40"/>
  <c r="D131" i="48"/>
  <c r="F131" i="48" s="1"/>
  <c r="D13" i="63"/>
  <c r="E111" i="47"/>
  <c r="AC32" i="24"/>
  <c r="BM32" i="24"/>
  <c r="BN32" i="24" s="1"/>
  <c r="BM42" i="24"/>
  <c r="BN42" i="24" s="1"/>
  <c r="D13" i="64"/>
  <c r="I13" i="64" s="1"/>
  <c r="N13" i="64" s="1"/>
  <c r="D107" i="48"/>
  <c r="F107" i="48" s="1"/>
  <c r="E111" i="46"/>
  <c r="BM19" i="24"/>
  <c r="BN19" i="24" s="1"/>
  <c r="I21" i="73"/>
  <c r="P18" i="76"/>
  <c r="O18" i="76"/>
  <c r="N22" i="68"/>
  <c r="O22" i="68"/>
  <c r="I17" i="61"/>
  <c r="N17" i="61" s="1"/>
  <c r="O17" i="61" s="1"/>
  <c r="F24" i="83"/>
  <c r="D25" i="82"/>
  <c r="I23" i="59"/>
  <c r="N23" i="59" s="1"/>
  <c r="O23" i="59" s="1"/>
  <c r="AR112" i="40"/>
  <c r="E88" i="40"/>
  <c r="D20" i="48"/>
  <c r="F20" i="48" s="1"/>
  <c r="BM35" i="40"/>
  <c r="BN35" i="40" s="1"/>
  <c r="AE7" i="40"/>
  <c r="AF7" i="40"/>
  <c r="AS115" i="30"/>
  <c r="AQ117" i="30" s="1"/>
  <c r="BE26" i="88"/>
  <c r="W26" i="88" s="1"/>
  <c r="Q26" i="88" s="1"/>
  <c r="E94" i="47"/>
  <c r="H21" i="57" s="1"/>
  <c r="AB31" i="30"/>
  <c r="E44" i="47"/>
  <c r="X27" i="30"/>
  <c r="BM27" i="30"/>
  <c r="BN27" i="30" s="1"/>
  <c r="E119" i="47"/>
  <c r="AC32" i="30"/>
  <c r="AE10" i="30"/>
  <c r="AE9" i="30" s="1"/>
  <c r="AE8" i="30" s="1"/>
  <c r="AE67" i="30" s="1"/>
  <c r="Y78" i="30"/>
  <c r="I12" i="30"/>
  <c r="E44" i="46"/>
  <c r="G21" i="86" s="1"/>
  <c r="H21" i="86" s="1"/>
  <c r="M21" i="86" s="1"/>
  <c r="N21" i="86" s="1"/>
  <c r="AQ8" i="88"/>
  <c r="AQ60" i="88" s="1"/>
  <c r="BF33" i="88"/>
  <c r="BG33" i="88" s="1"/>
  <c r="BK33" i="88" s="1"/>
  <c r="F144" i="46"/>
  <c r="E491" i="47"/>
  <c r="BF61" i="33"/>
  <c r="V61" i="33" s="1"/>
  <c r="BM61" i="33"/>
  <c r="BN61" i="33" s="1"/>
  <c r="E116" i="47"/>
  <c r="H18" i="56" s="1"/>
  <c r="I18" i="56" s="1"/>
  <c r="N18" i="56" s="1"/>
  <c r="P18" i="56" s="1"/>
  <c r="AC32" i="33"/>
  <c r="BL19" i="33"/>
  <c r="E91" i="47"/>
  <c r="AB31" i="33"/>
  <c r="BM11" i="33"/>
  <c r="BI64" i="34"/>
  <c r="BM64" i="34"/>
  <c r="BL63" i="34"/>
  <c r="G16" i="95" s="1"/>
  <c r="H16" i="95" s="1"/>
  <c r="AS109" i="21"/>
  <c r="AJ118" i="21" s="1"/>
  <c r="E414" i="47"/>
  <c r="H16" i="79" s="1"/>
  <c r="I16" i="79" s="1"/>
  <c r="BC58" i="21"/>
  <c r="E89" i="47"/>
  <c r="H16" i="57" s="1"/>
  <c r="J16" i="57" s="1"/>
  <c r="O16" i="57" s="1"/>
  <c r="AB31" i="21"/>
  <c r="I16" i="59"/>
  <c r="N16" i="59" s="1"/>
  <c r="O16" i="59" s="1"/>
  <c r="D489" i="47"/>
  <c r="F489" i="47" s="1"/>
  <c r="BM61" i="21"/>
  <c r="BN61" i="21" s="1"/>
  <c r="D364" i="47"/>
  <c r="F364" i="47" s="1"/>
  <c r="BM56" i="21"/>
  <c r="BN56" i="21" s="1"/>
  <c r="BA7" i="21"/>
  <c r="AZ7" i="21"/>
  <c r="BM54" i="21"/>
  <c r="BN54" i="21" s="1"/>
  <c r="AS112" i="21"/>
  <c r="AM118" i="21" s="1"/>
  <c r="D64" i="47"/>
  <c r="F64" i="47" s="1"/>
  <c r="Y7" i="21"/>
  <c r="AT7" i="22"/>
  <c r="E138" i="46"/>
  <c r="F138" i="46" s="1"/>
  <c r="BM21" i="22"/>
  <c r="BN21" i="22" s="1"/>
  <c r="R21" i="22"/>
  <c r="D13" i="47"/>
  <c r="F13" i="47" s="1"/>
  <c r="BM26" i="22"/>
  <c r="BN26" i="22" s="1"/>
  <c r="N20" i="13"/>
  <c r="X69" i="23"/>
  <c r="I14" i="55"/>
  <c r="N14" i="55" s="1"/>
  <c r="P14" i="55" s="1"/>
  <c r="M27" i="84"/>
  <c r="BE60" i="24"/>
  <c r="E461" i="47"/>
  <c r="V78" i="24"/>
  <c r="V117" i="24" s="1"/>
  <c r="AS95" i="24" s="1"/>
  <c r="V118" i="24" s="1"/>
  <c r="Y78" i="25"/>
  <c r="Y77" i="25" s="1"/>
  <c r="Y116" i="25" s="1"/>
  <c r="BM49" i="25"/>
  <c r="BN49" i="25" s="1"/>
  <c r="M16" i="25"/>
  <c r="E60" i="46"/>
  <c r="AE7" i="25"/>
  <c r="Y8" i="84"/>
  <c r="AO27" i="84"/>
  <c r="D360" i="47"/>
  <c r="F360" i="47" s="1"/>
  <c r="BM56" i="25"/>
  <c r="BN56" i="25" s="1"/>
  <c r="V77" i="25"/>
  <c r="V116" i="25" s="1"/>
  <c r="AS94" i="25" s="1"/>
  <c r="V117" i="25" s="1"/>
  <c r="D57" i="48"/>
  <c r="F57" i="48" s="1"/>
  <c r="AJ88" i="26"/>
  <c r="AJ76" i="26" s="1"/>
  <c r="P108" i="26"/>
  <c r="V18" i="26"/>
  <c r="BL18" i="26" s="1"/>
  <c r="BL21" i="26"/>
  <c r="G11" i="51" s="1"/>
  <c r="H11" i="51" s="1"/>
  <c r="M11" i="51" s="1"/>
  <c r="O11" i="51" s="1"/>
  <c r="BJ63" i="26"/>
  <c r="BJ7" i="26" s="1"/>
  <c r="E84" i="47"/>
  <c r="H11" i="57" s="1"/>
  <c r="AB31" i="26"/>
  <c r="AE103" i="26"/>
  <c r="P103" i="26" s="1"/>
  <c r="AS103" i="26"/>
  <c r="AE117" i="26" s="1"/>
  <c r="E259" i="47"/>
  <c r="BM51" i="26"/>
  <c r="BN51" i="26" s="1"/>
  <c r="AV51" i="26"/>
  <c r="BM61" i="26"/>
  <c r="BN61" i="26" s="1"/>
  <c r="BF61" i="26"/>
  <c r="E484" i="47"/>
  <c r="BL16" i="26"/>
  <c r="AH7" i="26"/>
  <c r="Y78" i="26"/>
  <c r="P78" i="26" s="1"/>
  <c r="AR78" i="26" s="1"/>
  <c r="AE10" i="26"/>
  <c r="AE9" i="26" s="1"/>
  <c r="AE8" i="26" s="1"/>
  <c r="BM13" i="26"/>
  <c r="BN13" i="26" s="1"/>
  <c r="J68" i="26" s="1"/>
  <c r="BA7" i="26"/>
  <c r="D359" i="47"/>
  <c r="F359" i="47" s="1"/>
  <c r="BM56" i="26"/>
  <c r="BN56" i="26" s="1"/>
  <c r="P115" i="26"/>
  <c r="BL17" i="26"/>
  <c r="BF40" i="88"/>
  <c r="BG40" i="88" s="1"/>
  <c r="BK40" i="88" s="1"/>
  <c r="BL19" i="27"/>
  <c r="F83" i="47"/>
  <c r="BL19" i="28"/>
  <c r="BM56" i="28"/>
  <c r="BN56" i="28" s="1"/>
  <c r="AS7" i="28"/>
  <c r="E81" i="47"/>
  <c r="H8" i="57" s="1"/>
  <c r="J8" i="57" s="1"/>
  <c r="O8" i="57" s="1"/>
  <c r="AB31" i="29"/>
  <c r="BM13" i="29"/>
  <c r="BN13" i="29" s="1"/>
  <c r="AE10" i="29"/>
  <c r="AE9" i="29" s="1"/>
  <c r="AE8" i="29" s="1"/>
  <c r="AE67" i="29" s="1"/>
  <c r="D8" i="89" s="1"/>
  <c r="Y78" i="29"/>
  <c r="P78" i="29" s="1"/>
  <c r="AR78" i="29" s="1"/>
  <c r="F78" i="29" s="1"/>
  <c r="V11" i="29"/>
  <c r="AC76" i="29"/>
  <c r="Y116" i="19"/>
  <c r="AS97" i="19" s="1"/>
  <c r="AR115" i="19"/>
  <c r="AQ115" i="19" s="1"/>
  <c r="AQ76" i="19" s="1"/>
  <c r="R21" i="19"/>
  <c r="P105" i="25"/>
  <c r="AG88" i="25"/>
  <c r="AG76" i="25" s="1"/>
  <c r="AF88" i="26"/>
  <c r="AF76" i="26" s="1"/>
  <c r="Q32" i="13"/>
  <c r="AA88" i="25"/>
  <c r="AA76" i="25" s="1"/>
  <c r="P114" i="40"/>
  <c r="P113" i="40"/>
  <c r="E86" i="19"/>
  <c r="AB88" i="33"/>
  <c r="AB76" i="33" s="1"/>
  <c r="N77" i="40"/>
  <c r="N76" i="40" s="1"/>
  <c r="N77" i="28"/>
  <c r="E86" i="28"/>
  <c r="P109" i="32"/>
  <c r="C24" i="73"/>
  <c r="F9" i="26"/>
  <c r="E9" i="26" s="1"/>
  <c r="H77" i="39"/>
  <c r="H76" i="39" s="1"/>
  <c r="P103" i="39"/>
  <c r="K78" i="24"/>
  <c r="K77" i="24" s="1"/>
  <c r="E84" i="24"/>
  <c r="P99" i="33"/>
  <c r="P106" i="23"/>
  <c r="AI68" i="34"/>
  <c r="D88" i="40"/>
  <c r="D76" i="40" s="1"/>
  <c r="P100" i="39"/>
  <c r="AB88" i="39"/>
  <c r="AB76" i="39" s="1"/>
  <c r="AF89" i="23"/>
  <c r="AF77" i="23" s="1"/>
  <c r="AC88" i="33"/>
  <c r="AC76" i="33" s="1"/>
  <c r="P101" i="33"/>
  <c r="E82" i="30"/>
  <c r="I22" i="62"/>
  <c r="N22" i="62" s="1"/>
  <c r="O22" i="62" s="1"/>
  <c r="H77" i="25"/>
  <c r="H76" i="25" s="1"/>
  <c r="AN88" i="29"/>
  <c r="AN76" i="29" s="1"/>
  <c r="C24" i="55"/>
  <c r="AV7" i="28"/>
  <c r="AY68" i="33"/>
  <c r="Q88" i="26"/>
  <c r="Q76" i="26" s="1"/>
  <c r="C24" i="61"/>
  <c r="C30" i="61" s="1"/>
  <c r="P102" i="30"/>
  <c r="R88" i="40"/>
  <c r="R76" i="40" s="1"/>
  <c r="AH88" i="34"/>
  <c r="AH76" i="34" s="1"/>
  <c r="AP7" i="29"/>
  <c r="E84" i="28"/>
  <c r="P94" i="29"/>
  <c r="P106" i="40"/>
  <c r="R88" i="34"/>
  <c r="R76" i="34" s="1"/>
  <c r="P17" i="75"/>
  <c r="N10" i="82"/>
  <c r="O8" i="64"/>
  <c r="P11" i="61"/>
  <c r="N16" i="68"/>
  <c r="AC88" i="28"/>
  <c r="AC76" i="28" s="1"/>
  <c r="E81" i="33"/>
  <c r="Q88" i="30"/>
  <c r="Q76" i="30" s="1"/>
  <c r="AS78" i="39"/>
  <c r="F117" i="39" s="1"/>
  <c r="P114" i="25"/>
  <c r="I68" i="28"/>
  <c r="P12" i="75"/>
  <c r="P17" i="67"/>
  <c r="D8" i="24"/>
  <c r="D7" i="24" s="1"/>
  <c r="P110" i="32"/>
  <c r="W88" i="39"/>
  <c r="W76" i="39" s="1"/>
  <c r="AM88" i="27"/>
  <c r="AM76" i="27" s="1"/>
  <c r="P111" i="26"/>
  <c r="AM88" i="26"/>
  <c r="AM76" i="26" s="1"/>
  <c r="AZ68" i="19"/>
  <c r="P107" i="30"/>
  <c r="AO89" i="24"/>
  <c r="AO77" i="24" s="1"/>
  <c r="P92" i="21"/>
  <c r="P113" i="21"/>
  <c r="N10" i="68"/>
  <c r="P90" i="21"/>
  <c r="W10" i="13"/>
  <c r="R41" i="13"/>
  <c r="AE88" i="40"/>
  <c r="AE76" i="40" s="1"/>
  <c r="AH88" i="33"/>
  <c r="AH76" i="33" s="1"/>
  <c r="AB89" i="24"/>
  <c r="AB77" i="24" s="1"/>
  <c r="M68" i="28"/>
  <c r="O12" i="67"/>
  <c r="R88" i="33"/>
  <c r="R76" i="33" s="1"/>
  <c r="AD88" i="31"/>
  <c r="AD76" i="31" s="1"/>
  <c r="AM88" i="30"/>
  <c r="AM76" i="30" s="1"/>
  <c r="P105" i="40"/>
  <c r="E87" i="24"/>
  <c r="N78" i="24"/>
  <c r="N77" i="24" s="1"/>
  <c r="AF88" i="40"/>
  <c r="AF76" i="40" s="1"/>
  <c r="P104" i="40"/>
  <c r="D8" i="23"/>
  <c r="D7" i="23" s="1"/>
  <c r="P103" i="30"/>
  <c r="P112" i="31"/>
  <c r="O12" i="56"/>
  <c r="P107" i="39"/>
  <c r="P95" i="26"/>
  <c r="P94" i="31"/>
  <c r="P110" i="40"/>
  <c r="P99" i="40"/>
  <c r="AA88" i="40"/>
  <c r="AA76" i="40" s="1"/>
  <c r="N77" i="33"/>
  <c r="N76" i="33" s="1"/>
  <c r="E86" i="33"/>
  <c r="F9" i="21"/>
  <c r="O16" i="56"/>
  <c r="F78" i="28"/>
  <c r="E78" i="28" s="1"/>
  <c r="P16" i="60"/>
  <c r="N11" i="68"/>
  <c r="AE88" i="19"/>
  <c r="AE76" i="19" s="1"/>
  <c r="G24" i="13"/>
  <c r="P94" i="26"/>
  <c r="H32" i="13"/>
  <c r="P110" i="25"/>
  <c r="AM88" i="25"/>
  <c r="AM76" i="25" s="1"/>
  <c r="AH88" i="25"/>
  <c r="AH76" i="25" s="1"/>
  <c r="F9" i="33"/>
  <c r="E9" i="33" s="1"/>
  <c r="AH68" i="26"/>
  <c r="P14" i="64"/>
  <c r="P103" i="32"/>
  <c r="O10" i="74"/>
  <c r="P109" i="27"/>
  <c r="O32" i="13"/>
  <c r="V32" i="13"/>
  <c r="L77" i="27"/>
  <c r="L76" i="27" s="1"/>
  <c r="P100" i="30"/>
  <c r="C23" i="68"/>
  <c r="E83" i="23"/>
  <c r="J78" i="23"/>
  <c r="J77" i="23" s="1"/>
  <c r="P21" i="62"/>
  <c r="O21" i="62"/>
  <c r="P16" i="67"/>
  <c r="O16" i="67"/>
  <c r="O18" i="68"/>
  <c r="N18" i="68"/>
  <c r="W89" i="24"/>
  <c r="W77" i="24" s="1"/>
  <c r="P104" i="21"/>
  <c r="AE89" i="21"/>
  <c r="AE77" i="21" s="1"/>
  <c r="I77" i="30"/>
  <c r="I76" i="30" s="1"/>
  <c r="E81" i="30"/>
  <c r="P89" i="22"/>
  <c r="Q88" i="22"/>
  <c r="Q76" i="22" s="1"/>
  <c r="AC88" i="26"/>
  <c r="AC76" i="26" s="1"/>
  <c r="P101" i="26"/>
  <c r="C24" i="62"/>
  <c r="P15" i="74"/>
  <c r="O15" i="74"/>
  <c r="P16" i="70"/>
  <c r="N68" i="40"/>
  <c r="N12" i="68"/>
  <c r="O12" i="68"/>
  <c r="P101" i="25"/>
  <c r="AC88" i="25"/>
  <c r="AC76" i="25" s="1"/>
  <c r="P22" i="55"/>
  <c r="O22" i="55"/>
  <c r="AN88" i="26"/>
  <c r="AN76" i="26" s="1"/>
  <c r="P112" i="26"/>
  <c r="O15" i="58"/>
  <c r="O21" i="75"/>
  <c r="AO88" i="33"/>
  <c r="AO76" i="33" s="1"/>
  <c r="P111" i="32"/>
  <c r="AU7" i="31"/>
  <c r="H13" i="68"/>
  <c r="M14" i="68" s="1"/>
  <c r="O14" i="68" s="1"/>
  <c r="AE88" i="27"/>
  <c r="AE76" i="27" s="1"/>
  <c r="P103" i="27"/>
  <c r="AN88" i="28"/>
  <c r="AN76" i="28" s="1"/>
  <c r="P7" i="49"/>
  <c r="C23" i="69"/>
  <c r="U22" i="66"/>
  <c r="O22" i="74"/>
  <c r="O23" i="67"/>
  <c r="I22" i="89"/>
  <c r="J32" i="13"/>
  <c r="P103" i="28"/>
  <c r="P17" i="56"/>
  <c r="I78" i="24"/>
  <c r="I77" i="24" s="1"/>
  <c r="M9" i="63"/>
  <c r="T38" i="13"/>
  <c r="P99" i="26"/>
  <c r="P107" i="26"/>
  <c r="V89" i="21"/>
  <c r="V77" i="21" s="1"/>
  <c r="P95" i="21"/>
  <c r="P91" i="34"/>
  <c r="S88" i="34"/>
  <c r="S76" i="34" s="1"/>
  <c r="AC88" i="39"/>
  <c r="AC76" i="39" s="1"/>
  <c r="P101" i="39"/>
  <c r="P109" i="23"/>
  <c r="AJ89" i="23"/>
  <c r="AJ77" i="23" s="1"/>
  <c r="P89" i="27"/>
  <c r="P22" i="76"/>
  <c r="AE88" i="22"/>
  <c r="AE76" i="22" s="1"/>
  <c r="P103" i="22"/>
  <c r="P104" i="23"/>
  <c r="AE89" i="23"/>
  <c r="AE77" i="23" s="1"/>
  <c r="AP89" i="23"/>
  <c r="AP77" i="23" s="1"/>
  <c r="P115" i="23"/>
  <c r="E83" i="40"/>
  <c r="K77" i="40"/>
  <c r="K76" i="40" s="1"/>
  <c r="P110" i="29"/>
  <c r="AL88" i="29"/>
  <c r="AL76" i="29" s="1"/>
  <c r="C24" i="46"/>
  <c r="P8" i="65"/>
  <c r="P95" i="25"/>
  <c r="F9" i="27"/>
  <c r="AV68" i="31"/>
  <c r="D8" i="40"/>
  <c r="D7" i="40" s="1"/>
  <c r="P94" i="21"/>
  <c r="U89" i="21"/>
  <c r="U77" i="21" s="1"/>
  <c r="AA89" i="21"/>
  <c r="AA77" i="21" s="1"/>
  <c r="P100" i="21"/>
  <c r="P99" i="39"/>
  <c r="AA88" i="39"/>
  <c r="AA76" i="39" s="1"/>
  <c r="O77" i="29"/>
  <c r="O76" i="29" s="1"/>
  <c r="E87" i="29"/>
  <c r="P111" i="39"/>
  <c r="AD88" i="39"/>
  <c r="AD76" i="39" s="1"/>
  <c r="D8" i="39"/>
  <c r="D7" i="39" s="1"/>
  <c r="P106" i="39"/>
  <c r="O23" i="61"/>
  <c r="P23" i="56"/>
  <c r="J77" i="39"/>
  <c r="J76" i="39" s="1"/>
  <c r="E82" i="39"/>
  <c r="O24" i="82"/>
  <c r="D76" i="39"/>
  <c r="AK88" i="40"/>
  <c r="AK76" i="40" s="1"/>
  <c r="AS115" i="40"/>
  <c r="AQ117" i="40" s="1"/>
  <c r="P22" i="61"/>
  <c r="AH68" i="40"/>
  <c r="P21" i="61"/>
  <c r="O21" i="64"/>
  <c r="O20" i="61"/>
  <c r="P103" i="31"/>
  <c r="W68" i="32"/>
  <c r="O19" i="68"/>
  <c r="P93" i="32"/>
  <c r="U88" i="32"/>
  <c r="U76" i="32" s="1"/>
  <c r="AN88" i="33"/>
  <c r="AN76" i="33" s="1"/>
  <c r="P112" i="33"/>
  <c r="P107" i="33"/>
  <c r="AI88" i="33"/>
  <c r="AI76" i="33" s="1"/>
  <c r="W88" i="33"/>
  <c r="W76" i="33" s="1"/>
  <c r="P95" i="33"/>
  <c r="D76" i="33"/>
  <c r="I77" i="34"/>
  <c r="I76" i="34" s="1"/>
  <c r="P107" i="21"/>
  <c r="AH89" i="21"/>
  <c r="AH77" i="21" s="1"/>
  <c r="P96" i="21"/>
  <c r="W89" i="21"/>
  <c r="W77" i="21" s="1"/>
  <c r="P108" i="21"/>
  <c r="AI89" i="21"/>
  <c r="AI77" i="21" s="1"/>
  <c r="F79" i="21"/>
  <c r="E79" i="21" s="1"/>
  <c r="F9" i="22"/>
  <c r="E9" i="22" s="1"/>
  <c r="BE68" i="22"/>
  <c r="O15" i="68"/>
  <c r="P15" i="56"/>
  <c r="D76" i="22"/>
  <c r="BE69" i="23"/>
  <c r="I14" i="61"/>
  <c r="N14" i="61" s="1"/>
  <c r="P14" i="61" s="1"/>
  <c r="E88" i="23"/>
  <c r="O78" i="23"/>
  <c r="O77" i="23" s="1"/>
  <c r="E84" i="23"/>
  <c r="K78" i="23"/>
  <c r="K77" i="23" s="1"/>
  <c r="W89" i="23"/>
  <c r="W77" i="23" s="1"/>
  <c r="P96" i="23"/>
  <c r="O14" i="59"/>
  <c r="N32" i="13"/>
  <c r="AK89" i="23"/>
  <c r="AK77" i="23" s="1"/>
  <c r="P110" i="23"/>
  <c r="P112" i="24"/>
  <c r="AM89" i="24"/>
  <c r="AM77" i="24" s="1"/>
  <c r="P106" i="24"/>
  <c r="AG89" i="24"/>
  <c r="AG77" i="24" s="1"/>
  <c r="I12" i="59"/>
  <c r="N12" i="59" s="1"/>
  <c r="P12" i="59" s="1"/>
  <c r="H13" i="25"/>
  <c r="G13" i="25" s="1"/>
  <c r="F13" i="25" s="1"/>
  <c r="E13" i="25" s="1"/>
  <c r="V88" i="25"/>
  <c r="V76" i="25" s="1"/>
  <c r="P94" i="25"/>
  <c r="X88" i="26"/>
  <c r="X76" i="26" s="1"/>
  <c r="P96" i="26"/>
  <c r="Y97" i="27"/>
  <c r="P97" i="27" s="1"/>
  <c r="E85" i="27"/>
  <c r="AI68" i="27"/>
  <c r="O10" i="61"/>
  <c r="J24" i="13"/>
  <c r="P111" i="28"/>
  <c r="P108" i="28"/>
  <c r="I32" i="13"/>
  <c r="P94" i="28"/>
  <c r="V88" i="28"/>
  <c r="V76" i="28" s="1"/>
  <c r="Q88" i="28"/>
  <c r="Q76" i="28" s="1"/>
  <c r="P89" i="28"/>
  <c r="D8" i="28"/>
  <c r="D7" i="28" s="1"/>
  <c r="D8" i="29"/>
  <c r="D7" i="29" s="1"/>
  <c r="D77" i="29"/>
  <c r="D76" i="29" s="1"/>
  <c r="AD88" i="29"/>
  <c r="AD76" i="29" s="1"/>
  <c r="P102" i="29"/>
  <c r="C24" i="58"/>
  <c r="P6" i="70"/>
  <c r="Q88" i="19"/>
  <c r="Q76" i="19" s="1"/>
  <c r="O76" i="19"/>
  <c r="P112" i="39"/>
  <c r="AO88" i="19"/>
  <c r="AO76" i="19" s="1"/>
  <c r="AZ68" i="39"/>
  <c r="Y97" i="39"/>
  <c r="Y88" i="39" s="1"/>
  <c r="Y76" i="39" s="1"/>
  <c r="P107" i="40"/>
  <c r="AI88" i="40"/>
  <c r="AI76" i="40" s="1"/>
  <c r="P97" i="40"/>
  <c r="O22" i="64"/>
  <c r="I22" i="59"/>
  <c r="N22" i="59" s="1"/>
  <c r="P21" i="70"/>
  <c r="H77" i="40"/>
  <c r="H76" i="40" s="1"/>
  <c r="E80" i="40"/>
  <c r="I68" i="40"/>
  <c r="D76" i="30"/>
  <c r="V88" i="30"/>
  <c r="V76" i="30" s="1"/>
  <c r="P94" i="30"/>
  <c r="D8" i="30"/>
  <c r="D7" i="30" s="1"/>
  <c r="BE68" i="32"/>
  <c r="S47" i="13"/>
  <c r="D76" i="32"/>
  <c r="O18" i="67"/>
  <c r="P110" i="33"/>
  <c r="AL88" i="33"/>
  <c r="AL76" i="33" s="1"/>
  <c r="P89" i="33"/>
  <c r="Q88" i="33"/>
  <c r="Q76" i="33" s="1"/>
  <c r="L77" i="33"/>
  <c r="L76" i="33" s="1"/>
  <c r="E84" i="33"/>
  <c r="D76" i="34"/>
  <c r="P17" i="61"/>
  <c r="AE88" i="34"/>
  <c r="AE76" i="34" s="1"/>
  <c r="P103" i="34"/>
  <c r="AD88" i="34"/>
  <c r="AD76" i="34" s="1"/>
  <c r="P102" i="34"/>
  <c r="P114" i="21"/>
  <c r="BE69" i="21"/>
  <c r="P91" i="21"/>
  <c r="R89" i="21"/>
  <c r="R77" i="21" s="1"/>
  <c r="P38" i="13"/>
  <c r="AU25" i="21"/>
  <c r="D77" i="21"/>
  <c r="AO88" i="22"/>
  <c r="AO76" i="22" s="1"/>
  <c r="P113" i="22"/>
  <c r="AM88" i="22"/>
  <c r="AM76" i="22" s="1"/>
  <c r="P111" i="22"/>
  <c r="D7" i="22"/>
  <c r="P15" i="55"/>
  <c r="AC88" i="22"/>
  <c r="AC76" i="22" s="1"/>
  <c r="P101" i="22"/>
  <c r="L77" i="22"/>
  <c r="L76" i="22" s="1"/>
  <c r="E84" i="22"/>
  <c r="P112" i="23"/>
  <c r="AM89" i="23"/>
  <c r="AM77" i="23" s="1"/>
  <c r="D77" i="23"/>
  <c r="Y98" i="23"/>
  <c r="Q89" i="23"/>
  <c r="Q77" i="23" s="1"/>
  <c r="P90" i="23"/>
  <c r="L78" i="23"/>
  <c r="L77" i="23" s="1"/>
  <c r="E85" i="23"/>
  <c r="P110" i="24"/>
  <c r="AK89" i="24"/>
  <c r="AK77" i="24" s="1"/>
  <c r="U13" i="66"/>
  <c r="O78" i="24"/>
  <c r="O77" i="24" s="1"/>
  <c r="E88" i="24"/>
  <c r="D77" i="24"/>
  <c r="E85" i="24"/>
  <c r="L78" i="24"/>
  <c r="L77" i="24" s="1"/>
  <c r="D7" i="25"/>
  <c r="D76" i="25"/>
  <c r="D88" i="26"/>
  <c r="D76" i="26" s="1"/>
  <c r="C24" i="89"/>
  <c r="Y88" i="26"/>
  <c r="P12" i="50"/>
  <c r="L77" i="26"/>
  <c r="L76" i="26" s="1"/>
  <c r="AN88" i="27"/>
  <c r="AN76" i="27" s="1"/>
  <c r="P112" i="27"/>
  <c r="P107" i="27"/>
  <c r="AI88" i="27"/>
  <c r="AI76" i="27" s="1"/>
  <c r="D7" i="27"/>
  <c r="D76" i="27"/>
  <c r="J77" i="27"/>
  <c r="J76" i="27" s="1"/>
  <c r="E82" i="27"/>
  <c r="D76" i="28"/>
  <c r="P109" i="28"/>
  <c r="AK88" i="28"/>
  <c r="AK76" i="28" s="1"/>
  <c r="P9" i="58"/>
  <c r="D27" i="84"/>
  <c r="E84" i="29"/>
  <c r="L77" i="29"/>
  <c r="L76" i="29" s="1"/>
  <c r="D76" i="19"/>
  <c r="P109" i="19"/>
  <c r="C149" i="47"/>
  <c r="T88" i="19"/>
  <c r="T76" i="19" s="1"/>
  <c r="P92" i="19"/>
  <c r="E84" i="19"/>
  <c r="L77" i="19"/>
  <c r="L76" i="19" s="1"/>
  <c r="BM28" i="37"/>
  <c r="BN28" i="37" s="1"/>
  <c r="D73" i="47"/>
  <c r="BL12" i="37"/>
  <c r="BM12" i="37" s="1"/>
  <c r="BN12" i="37" s="1"/>
  <c r="V11" i="37"/>
  <c r="P97" i="37"/>
  <c r="AC32" i="37"/>
  <c r="E123" i="47"/>
  <c r="BL16" i="37"/>
  <c r="BM41" i="37"/>
  <c r="BN41" i="37" s="1"/>
  <c r="C24" i="83"/>
  <c r="C25" i="86"/>
  <c r="BJ9" i="87"/>
  <c r="D8" i="84"/>
  <c r="D422" i="47"/>
  <c r="F422" i="47" s="1"/>
  <c r="BM58" i="38"/>
  <c r="BN58" i="38" s="1"/>
  <c r="BM57" i="38"/>
  <c r="BN57" i="38" s="1"/>
  <c r="D397" i="47"/>
  <c r="F397" i="47" s="1"/>
  <c r="BL22" i="38"/>
  <c r="BM43" i="38"/>
  <c r="BN43" i="38" s="1"/>
  <c r="D166" i="48"/>
  <c r="F166" i="48" s="1"/>
  <c r="L77" i="38"/>
  <c r="L76" i="38" s="1"/>
  <c r="E84" i="38"/>
  <c r="E82" i="38"/>
  <c r="J77" i="38"/>
  <c r="J76" i="38" s="1"/>
  <c r="BL13" i="38"/>
  <c r="J13" i="38" s="1"/>
  <c r="V11" i="38"/>
  <c r="V10" i="38" s="1"/>
  <c r="G15" i="38"/>
  <c r="F15" i="38" s="1"/>
  <c r="E15" i="38" s="1"/>
  <c r="L10" i="38"/>
  <c r="L9" i="38" s="1"/>
  <c r="L8" i="38" s="1"/>
  <c r="L7" i="38" s="1"/>
  <c r="H12" i="38"/>
  <c r="G12" i="38" s="1"/>
  <c r="F12" i="38" s="1"/>
  <c r="E12" i="38" s="1"/>
  <c r="I11" i="38"/>
  <c r="I10" i="38" s="1"/>
  <c r="BL17" i="38"/>
  <c r="AS112" i="39"/>
  <c r="AN117" i="39" s="1"/>
  <c r="G16" i="39"/>
  <c r="F16" i="39" s="1"/>
  <c r="E16" i="39" s="1"/>
  <c r="BL19" i="39"/>
  <c r="H13" i="39"/>
  <c r="G13" i="39" s="1"/>
  <c r="F13" i="39" s="1"/>
  <c r="E13" i="39" s="1"/>
  <c r="H14" i="39"/>
  <c r="G14" i="39" s="1"/>
  <c r="F14" i="39" s="1"/>
  <c r="E14" i="39" s="1"/>
  <c r="K11" i="39"/>
  <c r="K10" i="39" s="1"/>
  <c r="K9" i="39" s="1"/>
  <c r="K8" i="39" s="1"/>
  <c r="K7" i="39" s="1"/>
  <c r="F78" i="39"/>
  <c r="F77" i="39" s="1"/>
  <c r="F76" i="39" s="1"/>
  <c r="P77" i="39"/>
  <c r="AR77" i="39" s="1"/>
  <c r="BM13" i="39"/>
  <c r="BN13" i="39" s="1"/>
  <c r="BM14" i="39"/>
  <c r="BN14" i="39" s="1"/>
  <c r="W8" i="84"/>
  <c r="BC68" i="40"/>
  <c r="BB68" i="40"/>
  <c r="AZ68" i="40"/>
  <c r="Y77" i="40"/>
  <c r="P22" i="58"/>
  <c r="BF68" i="30"/>
  <c r="AI76" i="30"/>
  <c r="AZ68" i="30"/>
  <c r="P21" i="55"/>
  <c r="BM42" i="31"/>
  <c r="BN42" i="31" s="1"/>
  <c r="V20" i="66"/>
  <c r="BM55" i="31"/>
  <c r="BN55" i="31" s="1"/>
  <c r="D343" i="47"/>
  <c r="F343" i="47" s="1"/>
  <c r="BC7" i="31"/>
  <c r="BM38" i="31"/>
  <c r="BN38" i="31" s="1"/>
  <c r="AI68" i="31" s="1"/>
  <c r="X68" i="31"/>
  <c r="T20" i="13"/>
  <c r="P20" i="54"/>
  <c r="D7" i="31"/>
  <c r="D76" i="31"/>
  <c r="V60" i="32"/>
  <c r="BE25" i="32"/>
  <c r="BE7" i="32" s="1"/>
  <c r="O19" i="55"/>
  <c r="P17" i="74"/>
  <c r="O17" i="74"/>
  <c r="BB57" i="33"/>
  <c r="BM57" i="33"/>
  <c r="BN57" i="33" s="1"/>
  <c r="E391" i="47"/>
  <c r="BL13" i="33"/>
  <c r="J13" i="33" s="1"/>
  <c r="BL17" i="33"/>
  <c r="P18" i="64"/>
  <c r="O18" i="64"/>
  <c r="S88" i="33"/>
  <c r="S76" i="33" s="1"/>
  <c r="S116" i="33"/>
  <c r="AS91" i="33" s="1"/>
  <c r="S117" i="33" s="1"/>
  <c r="V60" i="34"/>
  <c r="BE25" i="34"/>
  <c r="BE7" i="34" s="1"/>
  <c r="E240" i="47"/>
  <c r="AU50" i="34"/>
  <c r="D390" i="47"/>
  <c r="F390" i="47" s="1"/>
  <c r="BM57" i="34"/>
  <c r="BN57" i="34" s="1"/>
  <c r="BL17" i="34"/>
  <c r="P17" i="64"/>
  <c r="BL16" i="34"/>
  <c r="O17" i="58"/>
  <c r="BM16" i="21"/>
  <c r="BN16" i="21" s="1"/>
  <c r="E64" i="46"/>
  <c r="BN64" i="21"/>
  <c r="BI64" i="21"/>
  <c r="F464" i="47"/>
  <c r="G15" i="80"/>
  <c r="H15" i="80" s="1"/>
  <c r="M86" i="21"/>
  <c r="AS86" i="21"/>
  <c r="M118" i="21" s="1"/>
  <c r="BE25" i="22"/>
  <c r="BE7" i="22" s="1"/>
  <c r="V60" i="22"/>
  <c r="AN112" i="22"/>
  <c r="AS112" i="22"/>
  <c r="AN117" i="22" s="1"/>
  <c r="BM58" i="22"/>
  <c r="BN58" i="22" s="1"/>
  <c r="D413" i="47"/>
  <c r="BM55" i="22"/>
  <c r="BN55" i="22" s="1"/>
  <c r="O42" i="13" s="1"/>
  <c r="AL67" i="22"/>
  <c r="D15" i="64" s="1"/>
  <c r="I15" i="64" s="1"/>
  <c r="N15" i="64" s="1"/>
  <c r="O15" i="64" s="1"/>
  <c r="D37" i="48"/>
  <c r="F37" i="48" s="1"/>
  <c r="BM36" i="22"/>
  <c r="BN36" i="22" s="1"/>
  <c r="AG7" i="22"/>
  <c r="E87" i="22"/>
  <c r="O77" i="22"/>
  <c r="O76" i="22" s="1"/>
  <c r="E237" i="47"/>
  <c r="AU50" i="23"/>
  <c r="BM46" i="23"/>
  <c r="BN46" i="23" s="1"/>
  <c r="D162" i="47"/>
  <c r="F162" i="47" s="1"/>
  <c r="AZ69" i="23"/>
  <c r="BL17" i="23"/>
  <c r="AB69" i="23"/>
  <c r="P14" i="62"/>
  <c r="P12" i="76"/>
  <c r="BL22" i="24"/>
  <c r="E161" i="46" s="1"/>
  <c r="D26" i="66"/>
  <c r="D161" i="47"/>
  <c r="F161" i="47" s="1"/>
  <c r="BM46" i="24"/>
  <c r="BN46" i="24" s="1"/>
  <c r="P81" i="24"/>
  <c r="AR81" i="24" s="1"/>
  <c r="BL17" i="24"/>
  <c r="AS86" i="24"/>
  <c r="M118" i="24" s="1"/>
  <c r="E86" i="24"/>
  <c r="M78" i="24"/>
  <c r="M77" i="24" s="1"/>
  <c r="BM31" i="24"/>
  <c r="BN31" i="24" s="1"/>
  <c r="D86" i="47"/>
  <c r="F86" i="47" s="1"/>
  <c r="M12" i="63"/>
  <c r="AP8" i="88"/>
  <c r="AP60" i="88" s="1"/>
  <c r="BM13" i="25"/>
  <c r="BN13" i="25" s="1"/>
  <c r="AS81" i="25"/>
  <c r="I117" i="25" s="1"/>
  <c r="X68" i="25"/>
  <c r="P107" i="25"/>
  <c r="AI88" i="25"/>
  <c r="AI76" i="25" s="1"/>
  <c r="AF88" i="25"/>
  <c r="AF76" i="25" s="1"/>
  <c r="P104" i="25"/>
  <c r="D334" i="47"/>
  <c r="F334" i="47" s="1"/>
  <c r="BM55" i="26"/>
  <c r="BN55" i="26" s="1"/>
  <c r="AP67" i="88"/>
  <c r="AN7" i="26"/>
  <c r="BM42" i="26"/>
  <c r="BN42" i="26" s="1"/>
  <c r="D129" i="48"/>
  <c r="F129" i="48" s="1"/>
  <c r="D153" i="48"/>
  <c r="F153" i="48" s="1"/>
  <c r="BM43" i="26"/>
  <c r="BN43" i="26" s="1"/>
  <c r="O87" i="26"/>
  <c r="AS87" i="26"/>
  <c r="O117" i="26" s="1"/>
  <c r="AO7" i="26"/>
  <c r="T23" i="26"/>
  <c r="BM23" i="26"/>
  <c r="BN23" i="26" s="1"/>
  <c r="Q12" i="88"/>
  <c r="BE12" i="88" s="1"/>
  <c r="K32" i="13"/>
  <c r="AN8" i="88"/>
  <c r="AB67" i="26"/>
  <c r="D11" i="57" s="1"/>
  <c r="J82" i="26"/>
  <c r="AS82" i="26"/>
  <c r="J117" i="26" s="1"/>
  <c r="H80" i="26"/>
  <c r="D34" i="47"/>
  <c r="F34" i="47" s="1"/>
  <c r="BM27" i="26"/>
  <c r="BN27" i="26" s="1"/>
  <c r="P11" i="55"/>
  <c r="U10" i="66"/>
  <c r="BM51" i="27"/>
  <c r="BN51" i="27" s="1"/>
  <c r="J38" i="13" s="1"/>
  <c r="BM50" i="27"/>
  <c r="BN50" i="27" s="1"/>
  <c r="BC68" i="27"/>
  <c r="D383" i="47"/>
  <c r="F383" i="47" s="1"/>
  <c r="BM57" i="27"/>
  <c r="BN57" i="27" s="1"/>
  <c r="BL22" i="27"/>
  <c r="O20" i="27"/>
  <c r="E20" i="27" s="1"/>
  <c r="Q18" i="27"/>
  <c r="Y67" i="27"/>
  <c r="AC67" i="27"/>
  <c r="D10" i="56" s="1"/>
  <c r="I10" i="56" s="1"/>
  <c r="N10" i="56" s="1"/>
  <c r="AC7" i="27"/>
  <c r="V50" i="27"/>
  <c r="AU25" i="27"/>
  <c r="P115" i="27"/>
  <c r="I25" i="13"/>
  <c r="AC68" i="28"/>
  <c r="P115" i="28"/>
  <c r="P116" i="28" s="1"/>
  <c r="AS107" i="28"/>
  <c r="AI117" i="28" s="1"/>
  <c r="AI107" i="28"/>
  <c r="E107" i="47"/>
  <c r="H9" i="56" s="1"/>
  <c r="I9" i="56" s="1"/>
  <c r="N9" i="56" s="1"/>
  <c r="O9" i="56" s="1"/>
  <c r="AC32" i="28"/>
  <c r="AH67" i="28"/>
  <c r="D9" i="59" s="1"/>
  <c r="BM57" i="28"/>
  <c r="BN57" i="28" s="1"/>
  <c r="D382" i="47"/>
  <c r="F57" i="46"/>
  <c r="D7" i="48"/>
  <c r="F7" i="48" s="1"/>
  <c r="BM35" i="28"/>
  <c r="BN35" i="28" s="1"/>
  <c r="AA7" i="28"/>
  <c r="Q20" i="28"/>
  <c r="BM20" i="28"/>
  <c r="BN20" i="28" s="1"/>
  <c r="E87" i="28"/>
  <c r="O77" i="28"/>
  <c r="O76" i="28" s="1"/>
  <c r="AA68" i="28"/>
  <c r="X76" i="28"/>
  <c r="G79" i="28"/>
  <c r="E231" i="47"/>
  <c r="AU50" i="29"/>
  <c r="BM63" i="29"/>
  <c r="P107" i="29"/>
  <c r="AK88" i="29"/>
  <c r="AK76" i="29" s="1"/>
  <c r="P109" i="29"/>
  <c r="AE88" i="29"/>
  <c r="AE76" i="29" s="1"/>
  <c r="P103" i="29"/>
  <c r="AX68" i="29"/>
  <c r="AM7" i="29"/>
  <c r="D126" i="48"/>
  <c r="F126" i="48" s="1"/>
  <c r="BM42" i="29"/>
  <c r="BN42" i="29" s="1"/>
  <c r="P8" i="58"/>
  <c r="D24" i="62"/>
  <c r="BM27" i="29"/>
  <c r="BN27" i="29" s="1"/>
  <c r="D31" i="47"/>
  <c r="BM31" i="29"/>
  <c r="BN31" i="29" s="1"/>
  <c r="D81" i="47"/>
  <c r="F81" i="47" s="1"/>
  <c r="BL22" i="29"/>
  <c r="S22" i="29" s="1"/>
  <c r="K83" i="29"/>
  <c r="E86" i="29"/>
  <c r="N77" i="29"/>
  <c r="N76" i="29" s="1"/>
  <c r="H77" i="29"/>
  <c r="H76" i="29" s="1"/>
  <c r="E80" i="29"/>
  <c r="BM32" i="29"/>
  <c r="BN32" i="29" s="1"/>
  <c r="AU25" i="19"/>
  <c r="BE47" i="88"/>
  <c r="AR47" i="88" s="1"/>
  <c r="E5" i="47"/>
  <c r="H7" i="55" s="1"/>
  <c r="W26" i="19"/>
  <c r="BM50" i="19"/>
  <c r="BN50" i="19" s="1"/>
  <c r="G37" i="13" s="1"/>
  <c r="BC7" i="19"/>
  <c r="D380" i="47"/>
  <c r="F380" i="47" s="1"/>
  <c r="BM57" i="19"/>
  <c r="BN57" i="19" s="1"/>
  <c r="AX60" i="88"/>
  <c r="D355" i="47"/>
  <c r="F355" i="47" s="1"/>
  <c r="BM56" i="19"/>
  <c r="BN56" i="19" s="1"/>
  <c r="AS79" i="19"/>
  <c r="G117" i="19" s="1"/>
  <c r="T116" i="19"/>
  <c r="AS92" i="19" s="1"/>
  <c r="U76" i="19"/>
  <c r="U116" i="19"/>
  <c r="AS93" i="19" s="1"/>
  <c r="U117" i="19" s="1"/>
  <c r="G15" i="19"/>
  <c r="F15" i="19" s="1"/>
  <c r="E15" i="19" s="1"/>
  <c r="L10" i="19"/>
  <c r="L9" i="19" s="1"/>
  <c r="L8" i="19" s="1"/>
  <c r="L7" i="19" s="1"/>
  <c r="AD68" i="19"/>
  <c r="R77" i="19"/>
  <c r="P78" i="19"/>
  <c r="AS81" i="19"/>
  <c r="I117" i="19" s="1"/>
  <c r="D105" i="47"/>
  <c r="F105" i="47" s="1"/>
  <c r="BM32" i="19"/>
  <c r="BN32" i="19" s="1"/>
  <c r="D5" i="47"/>
  <c r="BN64" i="22"/>
  <c r="BI68" i="22" s="1"/>
  <c r="O7" i="67"/>
  <c r="P7" i="67"/>
  <c r="I17" i="13"/>
  <c r="U68" i="28"/>
  <c r="N77" i="34"/>
  <c r="N76" i="34" s="1"/>
  <c r="E86" i="34"/>
  <c r="P10" i="67"/>
  <c r="O10" i="67"/>
  <c r="O8" i="55"/>
  <c r="P8" i="55"/>
  <c r="P20" i="74"/>
  <c r="O20" i="74"/>
  <c r="O19" i="62"/>
  <c r="P19" i="62"/>
  <c r="N87" i="23"/>
  <c r="AS87" i="23"/>
  <c r="N118" i="23" s="1"/>
  <c r="L19" i="63"/>
  <c r="M19" i="63"/>
  <c r="P13" i="59"/>
  <c r="O13" i="59"/>
  <c r="E84" i="31"/>
  <c r="L77" i="31"/>
  <c r="L76" i="31" s="1"/>
  <c r="U31" i="13"/>
  <c r="AH68" i="30"/>
  <c r="O18" i="74"/>
  <c r="P18" i="74"/>
  <c r="P15" i="61"/>
  <c r="O15" i="61"/>
  <c r="BM64" i="28"/>
  <c r="BN64" i="28" s="1"/>
  <c r="BI64" i="28"/>
  <c r="P112" i="21"/>
  <c r="AM89" i="21"/>
  <c r="AM77" i="21" s="1"/>
  <c r="BM28" i="38"/>
  <c r="BN28" i="38" s="1"/>
  <c r="D72" i="47"/>
  <c r="F72" i="47" s="1"/>
  <c r="BN65" i="38"/>
  <c r="P114" i="23"/>
  <c r="AO89" i="23"/>
  <c r="AO77" i="23" s="1"/>
  <c r="AD12" i="53"/>
  <c r="AC12" i="53"/>
  <c r="F61" i="19"/>
  <c r="G25" i="19"/>
  <c r="G67" i="19" s="1"/>
  <c r="AG67" i="27"/>
  <c r="D11" i="60" s="1"/>
  <c r="I11" i="60" s="1"/>
  <c r="N11" i="60" s="1"/>
  <c r="AG7" i="27"/>
  <c r="AR47" i="22"/>
  <c r="BM47" i="22"/>
  <c r="BN47" i="22" s="1"/>
  <c r="BH43" i="87"/>
  <c r="BI43" i="87" s="1"/>
  <c r="BH43" i="88"/>
  <c r="P98" i="34"/>
  <c r="Z88" i="34"/>
  <c r="Z76" i="34" s="1"/>
  <c r="AI108" i="23"/>
  <c r="AS108" i="23"/>
  <c r="AI118" i="23" s="1"/>
  <c r="T10" i="13"/>
  <c r="M68" i="31"/>
  <c r="AQ77" i="26"/>
  <c r="T8" i="33"/>
  <c r="T7" i="33" s="1"/>
  <c r="E23" i="33"/>
  <c r="X89" i="21"/>
  <c r="X77" i="21" s="1"/>
  <c r="P97" i="21"/>
  <c r="D445" i="47"/>
  <c r="F445" i="47" s="1"/>
  <c r="BM59" i="40"/>
  <c r="BN59" i="40" s="1"/>
  <c r="O77" i="27"/>
  <c r="O76" i="27" s="1"/>
  <c r="C24" i="59"/>
  <c r="F11" i="63"/>
  <c r="K11" i="63" s="1"/>
  <c r="G79" i="30"/>
  <c r="I18" i="62"/>
  <c r="N18" i="62" s="1"/>
  <c r="I20" i="88"/>
  <c r="J13" i="40"/>
  <c r="BM13" i="40"/>
  <c r="BN13" i="40" s="1"/>
  <c r="BL13" i="30"/>
  <c r="V11" i="30"/>
  <c r="D7" i="83"/>
  <c r="E24" i="83"/>
  <c r="E469" i="47"/>
  <c r="BE60" i="30"/>
  <c r="BL17" i="37"/>
  <c r="E411" i="47"/>
  <c r="BC58" i="24"/>
  <c r="BM58" i="24"/>
  <c r="BN58" i="24" s="1"/>
  <c r="E358" i="47"/>
  <c r="BA56" i="27"/>
  <c r="AR102" i="28"/>
  <c r="Y116" i="28"/>
  <c r="K24" i="89"/>
  <c r="AG67" i="26"/>
  <c r="D12" i="60" s="1"/>
  <c r="I12" i="60" s="1"/>
  <c r="N12" i="60" s="1"/>
  <c r="O12" i="60" s="1"/>
  <c r="AG67" i="25"/>
  <c r="D13" i="60" s="1"/>
  <c r="I13" i="60" s="1"/>
  <c r="N13" i="60" s="1"/>
  <c r="V18" i="27"/>
  <c r="BL18" i="27" s="1"/>
  <c r="AG67" i="38"/>
  <c r="AG7" i="38"/>
  <c r="AO67" i="27"/>
  <c r="AO7" i="27"/>
  <c r="AG68" i="23"/>
  <c r="D15" i="60" s="1"/>
  <c r="I15" i="60" s="1"/>
  <c r="N15" i="60" s="1"/>
  <c r="P15" i="60" s="1"/>
  <c r="AG7" i="23"/>
  <c r="E23" i="47"/>
  <c r="W26" i="37"/>
  <c r="BM26" i="37"/>
  <c r="BN26" i="37" s="1"/>
  <c r="AX67" i="28"/>
  <c r="BM53" i="28" s="1"/>
  <c r="BN53" i="28" s="1"/>
  <c r="D155" i="47"/>
  <c r="BM46" i="19"/>
  <c r="BN46" i="19" s="1"/>
  <c r="J23" i="13"/>
  <c r="AA68" i="27"/>
  <c r="K68" i="22"/>
  <c r="AX25" i="28"/>
  <c r="AX7" i="28" s="1"/>
  <c r="V53" i="28"/>
  <c r="D62" i="46"/>
  <c r="BM16" i="23"/>
  <c r="BN16" i="23" s="1"/>
  <c r="BM13" i="24"/>
  <c r="BN13" i="24" s="1"/>
  <c r="BN11" i="24" s="1"/>
  <c r="D311" i="47"/>
  <c r="F311" i="47" s="1"/>
  <c r="BM54" i="24"/>
  <c r="BN54" i="24" s="1"/>
  <c r="BL21" i="39"/>
  <c r="G23" i="51" s="1"/>
  <c r="H23" i="51" s="1"/>
  <c r="V18" i="39"/>
  <c r="BL18" i="39" s="1"/>
  <c r="M47" i="13"/>
  <c r="BE69" i="24"/>
  <c r="BG62" i="26"/>
  <c r="BM62" i="26"/>
  <c r="BN62" i="26" s="1"/>
  <c r="AR67" i="34"/>
  <c r="BM47" i="34" s="1"/>
  <c r="BN47" i="34" s="1"/>
  <c r="N88" i="37"/>
  <c r="L77" i="40"/>
  <c r="L76" i="40" s="1"/>
  <c r="AR78" i="40"/>
  <c r="L116" i="40"/>
  <c r="AS84" i="40" s="1"/>
  <c r="L117" i="40" s="1"/>
  <c r="BH22" i="88"/>
  <c r="BH22" i="87"/>
  <c r="BI22" i="87" s="1"/>
  <c r="AI107" i="31"/>
  <c r="AS107" i="31"/>
  <c r="AI117" i="31" s="1"/>
  <c r="AH67" i="31"/>
  <c r="D20" i="59" s="1"/>
  <c r="AH7" i="31"/>
  <c r="AR100" i="29"/>
  <c r="AB100" i="29" s="1"/>
  <c r="E88" i="29"/>
  <c r="P100" i="24"/>
  <c r="AA89" i="24"/>
  <c r="AA77" i="24" s="1"/>
  <c r="AO113" i="34"/>
  <c r="AS113" i="34"/>
  <c r="AO117" i="34" s="1"/>
  <c r="X116" i="22"/>
  <c r="AS96" i="22" s="1"/>
  <c r="X117" i="22" s="1"/>
  <c r="X76" i="22"/>
  <c r="AO68" i="32"/>
  <c r="N117" i="24"/>
  <c r="AS87" i="24" s="1"/>
  <c r="N118" i="24" s="1"/>
  <c r="AM111" i="34"/>
  <c r="AS111" i="34"/>
  <c r="AM117" i="34" s="1"/>
  <c r="AE103" i="25"/>
  <c r="AS86" i="34"/>
  <c r="N117" i="34" s="1"/>
  <c r="F91" i="48"/>
  <c r="H21" i="58"/>
  <c r="I21" i="58" s="1"/>
  <c r="N21" i="58" s="1"/>
  <c r="E30" i="47"/>
  <c r="X27" i="19"/>
  <c r="BM27" i="19"/>
  <c r="BN27" i="19" s="1"/>
  <c r="AE36" i="26"/>
  <c r="V36" i="26" s="1"/>
  <c r="AG34" i="26"/>
  <c r="AG25" i="26" s="1"/>
  <c r="AG7" i="26" s="1"/>
  <c r="F258" i="47"/>
  <c r="V53" i="24"/>
  <c r="AX25" i="24"/>
  <c r="AX7" i="24" s="1"/>
  <c r="V116" i="27"/>
  <c r="AS94" i="27" s="1"/>
  <c r="V117" i="27" s="1"/>
  <c r="V76" i="27"/>
  <c r="AP68" i="30"/>
  <c r="AS94" i="19"/>
  <c r="V117" i="19" s="1"/>
  <c r="F68" i="46"/>
  <c r="G21" i="82"/>
  <c r="H21" i="82" s="1"/>
  <c r="M21" i="82" s="1"/>
  <c r="O19" i="23"/>
  <c r="E19" i="23" s="1"/>
  <c r="P18" i="23"/>
  <c r="P8" i="23" s="1"/>
  <c r="AE68" i="23"/>
  <c r="D14" i="89" s="1"/>
  <c r="I14" i="89" s="1"/>
  <c r="AE7" i="23"/>
  <c r="AS87" i="21"/>
  <c r="N118" i="21" s="1"/>
  <c r="G76" i="31"/>
  <c r="I33" i="13"/>
  <c r="AQ68" i="28"/>
  <c r="V52" i="29"/>
  <c r="AW25" i="29"/>
  <c r="AW7" i="29" s="1"/>
  <c r="AS83" i="38"/>
  <c r="K117" i="38" s="1"/>
  <c r="R16" i="13"/>
  <c r="T68" i="33"/>
  <c r="AU7" i="40"/>
  <c r="BL66" i="19"/>
  <c r="E63" i="19"/>
  <c r="V47" i="25"/>
  <c r="AR25" i="25"/>
  <c r="AR7" i="25" s="1"/>
  <c r="H22" i="75"/>
  <c r="I22" i="75" s="1"/>
  <c r="N22" i="75" s="1"/>
  <c r="O22" i="75" s="1"/>
  <c r="F346" i="47"/>
  <c r="W20" i="13"/>
  <c r="X68" i="39"/>
  <c r="AJ68" i="37"/>
  <c r="M77" i="39"/>
  <c r="M76" i="39" s="1"/>
  <c r="E85" i="39"/>
  <c r="H46" i="13"/>
  <c r="BD68" i="29"/>
  <c r="D446" i="47"/>
  <c r="BM59" i="39"/>
  <c r="BN59" i="39" s="1"/>
  <c r="AG7" i="40"/>
  <c r="AG67" i="40"/>
  <c r="D23" i="60" s="1"/>
  <c r="I23" i="60" s="1"/>
  <c r="N23" i="60" s="1"/>
  <c r="P13" i="13"/>
  <c r="Q69" i="21"/>
  <c r="AQ67" i="26"/>
  <c r="AQ7" i="26"/>
  <c r="Y16" i="13"/>
  <c r="T68" i="37"/>
  <c r="Z116" i="34"/>
  <c r="AS98" i="34" s="1"/>
  <c r="Z117" i="34" s="1"/>
  <c r="E82" i="19"/>
  <c r="J77" i="19"/>
  <c r="J76" i="19" s="1"/>
  <c r="G16" i="27"/>
  <c r="F16" i="27" s="1"/>
  <c r="E16" i="27" s="1"/>
  <c r="M10" i="27"/>
  <c r="M9" i="27" s="1"/>
  <c r="M8" i="27" s="1"/>
  <c r="M7" i="27" s="1"/>
  <c r="O21" i="30"/>
  <c r="E21" i="30" s="1"/>
  <c r="R18" i="30"/>
  <c r="R8" i="30" s="1"/>
  <c r="R7" i="30" s="1"/>
  <c r="AJ88" i="34"/>
  <c r="AJ76" i="34" s="1"/>
  <c r="P108" i="34"/>
  <c r="T8" i="28"/>
  <c r="T7" i="28" s="1"/>
  <c r="E23" i="28"/>
  <c r="AG88" i="30"/>
  <c r="AG76" i="30" s="1"/>
  <c r="P105" i="30"/>
  <c r="I7" i="76"/>
  <c r="N7" i="76" s="1"/>
  <c r="P7" i="76" s="1"/>
  <c r="BH44" i="88"/>
  <c r="E28" i="17"/>
  <c r="T29" i="13"/>
  <c r="Q19" i="88"/>
  <c r="BE19" i="88" s="1"/>
  <c r="P19" i="88" s="1"/>
  <c r="E19" i="88" s="1"/>
  <c r="BL17" i="19"/>
  <c r="AR113" i="23"/>
  <c r="Y117" i="23"/>
  <c r="AS98" i="23" s="1"/>
  <c r="Y118" i="23" s="1"/>
  <c r="E24" i="86"/>
  <c r="D7" i="86"/>
  <c r="D24" i="86" s="1"/>
  <c r="BL16" i="40"/>
  <c r="E385" i="47"/>
  <c r="BB57" i="25"/>
  <c r="J11" i="24"/>
  <c r="J10" i="24" s="1"/>
  <c r="J9" i="24" s="1"/>
  <c r="J8" i="24" s="1"/>
  <c r="J7" i="24" s="1"/>
  <c r="H13" i="24"/>
  <c r="G13" i="24" s="1"/>
  <c r="F13" i="24" s="1"/>
  <c r="E13" i="24" s="1"/>
  <c r="AR107" i="37"/>
  <c r="E21" i="47"/>
  <c r="H23" i="55" s="1"/>
  <c r="I23" i="55" s="1"/>
  <c r="N23" i="55" s="1"/>
  <c r="W26" i="39"/>
  <c r="F22" i="84"/>
  <c r="BL21" i="33"/>
  <c r="G18" i="51" s="1"/>
  <c r="H18" i="51" s="1"/>
  <c r="V18" i="33"/>
  <c r="BL18" i="33" s="1"/>
  <c r="AG67" i="34"/>
  <c r="D18" i="60" s="1"/>
  <c r="I18" i="60" s="1"/>
  <c r="N18" i="60" s="1"/>
  <c r="P18" i="60" s="1"/>
  <c r="AG7" i="34"/>
  <c r="E156" i="46"/>
  <c r="I9" i="50" s="1"/>
  <c r="J9" i="50" s="1"/>
  <c r="O9" i="50" s="1"/>
  <c r="V18" i="37"/>
  <c r="BL18" i="37" s="1"/>
  <c r="BL19" i="37"/>
  <c r="AH67" i="33"/>
  <c r="D18" i="59" s="1"/>
  <c r="I18" i="59" s="1"/>
  <c r="N18" i="59" s="1"/>
  <c r="AH7" i="33"/>
  <c r="E90" i="47"/>
  <c r="H17" i="57" s="1"/>
  <c r="J17" i="57" s="1"/>
  <c r="O17" i="57" s="1"/>
  <c r="AB31" i="34"/>
  <c r="D200" i="48"/>
  <c r="F200" i="48" s="1"/>
  <c r="BM45" i="27"/>
  <c r="BN45" i="27" s="1"/>
  <c r="AN68" i="19"/>
  <c r="D307" i="47"/>
  <c r="F307" i="47" s="1"/>
  <c r="BM54" i="28"/>
  <c r="BN54" i="28" s="1"/>
  <c r="J49" i="13"/>
  <c r="BG68" i="27"/>
  <c r="O13" i="13"/>
  <c r="Q68" i="22"/>
  <c r="BM55" i="28"/>
  <c r="BN55" i="28" s="1"/>
  <c r="D332" i="47"/>
  <c r="F332" i="47" s="1"/>
  <c r="BM57" i="29"/>
  <c r="BN57" i="29" s="1"/>
  <c r="D381" i="47"/>
  <c r="F381" i="47" s="1"/>
  <c r="D486" i="47"/>
  <c r="F486" i="47" s="1"/>
  <c r="BM61" i="24"/>
  <c r="BN61" i="24" s="1"/>
  <c r="AR100" i="25"/>
  <c r="BL21" i="38"/>
  <c r="V18" i="38"/>
  <c r="BL18" i="38" s="1"/>
  <c r="D63" i="47"/>
  <c r="F63" i="47" s="1"/>
  <c r="BM28" i="22"/>
  <c r="BN28" i="22" s="1"/>
  <c r="Z67" i="22"/>
  <c r="BM29" i="22" s="1"/>
  <c r="BN29" i="22" s="1"/>
  <c r="Z7" i="22"/>
  <c r="E66" i="39"/>
  <c r="F63" i="39"/>
  <c r="F67" i="39" s="1"/>
  <c r="AJ67" i="30"/>
  <c r="BM39" i="30" s="1"/>
  <c r="BN39" i="30" s="1"/>
  <c r="AJ7" i="30"/>
  <c r="Z98" i="40"/>
  <c r="AS98" i="40"/>
  <c r="D42" i="46"/>
  <c r="F42" i="46" s="1"/>
  <c r="BM12" i="32"/>
  <c r="BN12" i="32" s="1"/>
  <c r="BM60" i="30"/>
  <c r="BN60" i="30" s="1"/>
  <c r="F18" i="34"/>
  <c r="G67" i="34"/>
  <c r="L68" i="40"/>
  <c r="AH88" i="31"/>
  <c r="AH76" i="31" s="1"/>
  <c r="P106" i="31"/>
  <c r="AR90" i="32"/>
  <c r="R90" i="32" s="1"/>
  <c r="E82" i="29"/>
  <c r="J77" i="29"/>
  <c r="J76" i="29" s="1"/>
  <c r="J78" i="21"/>
  <c r="J77" i="21" s="1"/>
  <c r="E83" i="21"/>
  <c r="I77" i="25"/>
  <c r="I76" i="25" s="1"/>
  <c r="E81" i="25"/>
  <c r="U116" i="28"/>
  <c r="AS93" i="28" s="1"/>
  <c r="U117" i="28" s="1"/>
  <c r="U76" i="28"/>
  <c r="P105" i="34"/>
  <c r="AG88" i="34"/>
  <c r="AG76" i="34" s="1"/>
  <c r="AH107" i="23"/>
  <c r="AS107" i="23"/>
  <c r="AH118" i="23" s="1"/>
  <c r="AK116" i="27"/>
  <c r="AS109" i="27" s="1"/>
  <c r="AK117" i="27" s="1"/>
  <c r="AK76" i="27"/>
  <c r="AE44" i="25"/>
  <c r="V44" i="25" s="1"/>
  <c r="AO34" i="25"/>
  <c r="AO25" i="25" s="1"/>
  <c r="AO7" i="25" s="1"/>
  <c r="AP116" i="26"/>
  <c r="AS114" i="26" s="1"/>
  <c r="AP117" i="26" s="1"/>
  <c r="AP76" i="26"/>
  <c r="AS83" i="19"/>
  <c r="K117" i="19" s="1"/>
  <c r="L84" i="25"/>
  <c r="AS84" i="25"/>
  <c r="L117" i="25" s="1"/>
  <c r="T116" i="31"/>
  <c r="AS92" i="31" s="1"/>
  <c r="T117" i="31" s="1"/>
  <c r="T76" i="31"/>
  <c r="E86" i="22"/>
  <c r="N77" i="22"/>
  <c r="N76" i="22" s="1"/>
  <c r="AO68" i="25"/>
  <c r="L68" i="34"/>
  <c r="AG88" i="26"/>
  <c r="AG76" i="26" s="1"/>
  <c r="P105" i="26"/>
  <c r="U32" i="13"/>
  <c r="AI68" i="30"/>
  <c r="V31" i="19"/>
  <c r="AB25" i="19"/>
  <c r="AB7" i="19" s="1"/>
  <c r="V59" i="34"/>
  <c r="BD25" i="34"/>
  <c r="BD7" i="34" s="1"/>
  <c r="O48" i="13"/>
  <c r="BF68" i="22"/>
  <c r="BM20" i="30"/>
  <c r="BN20" i="30" s="1"/>
  <c r="Q20" i="30"/>
  <c r="H116" i="29"/>
  <c r="AS80" i="29" s="1"/>
  <c r="H117" i="29" s="1"/>
  <c r="AS94" i="26"/>
  <c r="V117" i="26" s="1"/>
  <c r="AS83" i="25"/>
  <c r="K117" i="25" s="1"/>
  <c r="AS108" i="29"/>
  <c r="AJ117" i="29" s="1"/>
  <c r="BL53" i="38"/>
  <c r="G7" i="69"/>
  <c r="H7" i="69" s="1"/>
  <c r="F281" i="47"/>
  <c r="AS101" i="27"/>
  <c r="AC117" i="27" s="1"/>
  <c r="V56" i="31"/>
  <c r="BA25" i="31"/>
  <c r="BA7" i="31" s="1"/>
  <c r="T117" i="27"/>
  <c r="D208" i="47"/>
  <c r="F208" i="47" s="1"/>
  <c r="D19" i="48"/>
  <c r="F19" i="48" s="1"/>
  <c r="BM35" i="30"/>
  <c r="BN35" i="30" s="1"/>
  <c r="Y48" i="13"/>
  <c r="BF68" i="37"/>
  <c r="L34" i="13"/>
  <c r="AR68" i="25"/>
  <c r="V61" i="27"/>
  <c r="BF25" i="27"/>
  <c r="BF7" i="27" s="1"/>
  <c r="E29" i="32"/>
  <c r="F25" i="32"/>
  <c r="F67" i="32" s="1"/>
  <c r="AF104" i="33"/>
  <c r="AS104" i="33"/>
  <c r="AF117" i="33" s="1"/>
  <c r="BM22" i="29"/>
  <c r="BN22" i="29" s="1"/>
  <c r="O9" i="62"/>
  <c r="BL13" i="21"/>
  <c r="J13" i="21" s="1"/>
  <c r="V11" i="21"/>
  <c r="P108" i="29"/>
  <c r="AJ88" i="29"/>
  <c r="AJ76" i="29" s="1"/>
  <c r="AW25" i="39"/>
  <c r="AW7" i="39" s="1"/>
  <c r="V52" i="39"/>
  <c r="AS108" i="25"/>
  <c r="AJ117" i="25" s="1"/>
  <c r="AJ108" i="25"/>
  <c r="H39" i="13"/>
  <c r="AW68" i="29"/>
  <c r="BM34" i="39"/>
  <c r="AI88" i="19"/>
  <c r="AI76" i="19" s="1"/>
  <c r="G80" i="24"/>
  <c r="BL65" i="28"/>
  <c r="O18" i="58"/>
  <c r="AY7" i="29"/>
  <c r="AR60" i="88"/>
  <c r="S17" i="88"/>
  <c r="S8" i="88" s="1"/>
  <c r="S60" i="88" s="1"/>
  <c r="BF22" i="88" s="1"/>
  <c r="BG22" i="88" s="1"/>
  <c r="F61" i="38"/>
  <c r="G25" i="38"/>
  <c r="G67" i="38" s="1"/>
  <c r="BM13" i="27"/>
  <c r="BN13" i="27" s="1"/>
  <c r="J13" i="27"/>
  <c r="BL17" i="39"/>
  <c r="BL16" i="38"/>
  <c r="E389" i="47"/>
  <c r="H16" i="73" s="1"/>
  <c r="I16" i="73" s="1"/>
  <c r="BB57" i="21"/>
  <c r="E387" i="47"/>
  <c r="BB57" i="23"/>
  <c r="BM57" i="23"/>
  <c r="BN57" i="23" s="1"/>
  <c r="BL16" i="29"/>
  <c r="BL22" i="23"/>
  <c r="BL19" i="34"/>
  <c r="V18" i="34"/>
  <c r="E7" i="47"/>
  <c r="W26" i="28"/>
  <c r="V18" i="28"/>
  <c r="BL18" i="28" s="1"/>
  <c r="BL21" i="28"/>
  <c r="G9" i="51" s="1"/>
  <c r="AG7" i="33"/>
  <c r="AG67" i="33"/>
  <c r="D19" i="60" s="1"/>
  <c r="I19" i="60" s="1"/>
  <c r="N19" i="60" s="1"/>
  <c r="O19" i="60" s="1"/>
  <c r="BL24" i="29"/>
  <c r="H8" i="49" s="1"/>
  <c r="AA68" i="24"/>
  <c r="BM30" i="24" s="1"/>
  <c r="BN30" i="24" s="1"/>
  <c r="AA7" i="24"/>
  <c r="BD67" i="28"/>
  <c r="D8" i="78" s="1"/>
  <c r="H8" i="78" s="1"/>
  <c r="BD7" i="28"/>
  <c r="Z29" i="27"/>
  <c r="BM29" i="27"/>
  <c r="BN29" i="27" s="1"/>
  <c r="BG25" i="24"/>
  <c r="BG7" i="24" s="1"/>
  <c r="V62" i="24"/>
  <c r="E65" i="47"/>
  <c r="Y28" i="34"/>
  <c r="BM28" i="34"/>
  <c r="BN28" i="34" s="1"/>
  <c r="BJ67" i="19"/>
  <c r="BM65" i="19" s="1"/>
  <c r="BJ7" i="19"/>
  <c r="AG67" i="31"/>
  <c r="D21" i="60" s="1"/>
  <c r="AN116" i="30"/>
  <c r="AS112" i="30" s="1"/>
  <c r="AN117" i="30" s="1"/>
  <c r="AA116" i="31"/>
  <c r="AS99" i="31" s="1"/>
  <c r="AA117" i="31" s="1"/>
  <c r="AA76" i="31"/>
  <c r="AG116" i="33"/>
  <c r="AS105" i="33" s="1"/>
  <c r="AG117" i="33" s="1"/>
  <c r="P114" i="19"/>
  <c r="W116" i="22"/>
  <c r="AS95" i="22" s="1"/>
  <c r="W117" i="22" s="1"/>
  <c r="W76" i="22"/>
  <c r="E193" i="47"/>
  <c r="AS48" i="31"/>
  <c r="AO88" i="29"/>
  <c r="AO76" i="29" s="1"/>
  <c r="P113" i="29"/>
  <c r="D393" i="47"/>
  <c r="F393" i="47" s="1"/>
  <c r="BM57" i="31"/>
  <c r="BN57" i="31" s="1"/>
  <c r="N86" i="26"/>
  <c r="AS86" i="26"/>
  <c r="N117" i="26" s="1"/>
  <c r="Z116" i="25"/>
  <c r="AS98" i="25" s="1"/>
  <c r="Z117" i="25" s="1"/>
  <c r="Z76" i="25"/>
  <c r="E18" i="47"/>
  <c r="W26" i="31"/>
  <c r="BM26" i="31"/>
  <c r="BN26" i="31" s="1"/>
  <c r="O116" i="34"/>
  <c r="AS87" i="34" s="1"/>
  <c r="O117" i="34" s="1"/>
  <c r="K83" i="26"/>
  <c r="AS83" i="26"/>
  <c r="K117" i="26" s="1"/>
  <c r="S33" i="13"/>
  <c r="AQ68" i="32"/>
  <c r="E88" i="21"/>
  <c r="O78" i="21"/>
  <c r="O77" i="21" s="1"/>
  <c r="V11" i="40"/>
  <c r="H7" i="57"/>
  <c r="M46" i="13"/>
  <c r="BD69" i="24"/>
  <c r="AS114" i="19"/>
  <c r="AP117" i="19" s="1"/>
  <c r="AS107" i="22"/>
  <c r="AI117" i="22" s="1"/>
  <c r="AS83" i="21"/>
  <c r="J118" i="21" s="1"/>
  <c r="V21" i="13"/>
  <c r="Y68" i="40"/>
  <c r="BM64" i="33"/>
  <c r="BN64" i="33" s="1"/>
  <c r="AS114" i="29"/>
  <c r="AP117" i="29" s="1"/>
  <c r="X19" i="13"/>
  <c r="W68" i="38"/>
  <c r="AS114" i="23"/>
  <c r="AO118" i="23" s="1"/>
  <c r="O25" i="13"/>
  <c r="AC68" i="22"/>
  <c r="T88" i="27"/>
  <c r="T76" i="27" s="1"/>
  <c r="P92" i="27"/>
  <c r="AS82" i="33"/>
  <c r="J117" i="33" s="1"/>
  <c r="BM57" i="21"/>
  <c r="BN57" i="21" s="1"/>
  <c r="U88" i="30"/>
  <c r="U76" i="30" s="1"/>
  <c r="P93" i="30"/>
  <c r="E97" i="30"/>
  <c r="F88" i="30"/>
  <c r="F116" i="30" s="1"/>
  <c r="P96" i="31"/>
  <c r="X88" i="31"/>
  <c r="X76" i="31" s="1"/>
  <c r="BM47" i="19"/>
  <c r="BN47" i="19" s="1"/>
  <c r="F368" i="47"/>
  <c r="AS106" i="31"/>
  <c r="AH117" i="31" s="1"/>
  <c r="T26" i="13"/>
  <c r="AD68" i="31"/>
  <c r="L13" i="13"/>
  <c r="Q68" i="25"/>
  <c r="E81" i="26"/>
  <c r="I77" i="26"/>
  <c r="I76" i="26" s="1"/>
  <c r="AS100" i="24"/>
  <c r="AA118" i="24" s="1"/>
  <c r="L42" i="13"/>
  <c r="AZ68" i="25"/>
  <c r="S23" i="13"/>
  <c r="AA68" i="32"/>
  <c r="BM52" i="24"/>
  <c r="BN52" i="24" s="1"/>
  <c r="D286" i="47"/>
  <c r="F286" i="47" s="1"/>
  <c r="F18" i="40"/>
  <c r="G67" i="40"/>
  <c r="K68" i="25"/>
  <c r="AA116" i="30"/>
  <c r="AS99" i="30" s="1"/>
  <c r="AA117" i="30" s="1"/>
  <c r="AR103" i="21"/>
  <c r="AD103" i="21" s="1"/>
  <c r="AD89" i="21" s="1"/>
  <c r="AD77" i="21" s="1"/>
  <c r="K77" i="32"/>
  <c r="K76" i="32" s="1"/>
  <c r="E83" i="32"/>
  <c r="F431" i="47"/>
  <c r="AE34" i="39"/>
  <c r="AE25" i="39" s="1"/>
  <c r="AE7" i="39" s="1"/>
  <c r="Q7" i="84"/>
  <c r="O23" i="54"/>
  <c r="AD10" i="53"/>
  <c r="AC10" i="53"/>
  <c r="P29" i="13"/>
  <c r="D23" i="74"/>
  <c r="L17" i="63"/>
  <c r="AR78" i="31"/>
  <c r="AP67" i="29"/>
  <c r="D8" i="67" s="1"/>
  <c r="I8" i="67" s="1"/>
  <c r="N8" i="67" s="1"/>
  <c r="P8" i="67" s="1"/>
  <c r="I23" i="89"/>
  <c r="G17" i="95"/>
  <c r="BE32" i="88"/>
  <c r="AC32" i="88" s="1"/>
  <c r="AC29" i="88" s="1"/>
  <c r="AC20" i="88" s="1"/>
  <c r="AC7" i="88" s="1"/>
  <c r="Y60" i="88"/>
  <c r="R29" i="88"/>
  <c r="AS84" i="31"/>
  <c r="L117" i="31" s="1"/>
  <c r="E487" i="47"/>
  <c r="BF61" i="23"/>
  <c r="F61" i="25"/>
  <c r="G25" i="25"/>
  <c r="G67" i="25" s="1"/>
  <c r="E312" i="47"/>
  <c r="AY54" i="23"/>
  <c r="E15" i="47"/>
  <c r="W26" i="34"/>
  <c r="BM26" i="34"/>
  <c r="BN26" i="34" s="1"/>
  <c r="I11" i="54"/>
  <c r="N11" i="54" s="1"/>
  <c r="BL19" i="40"/>
  <c r="V18" i="40"/>
  <c r="F23" i="84"/>
  <c r="D174" i="48"/>
  <c r="BM44" i="29"/>
  <c r="BN44" i="29" s="1"/>
  <c r="AM67" i="39"/>
  <c r="D23" i="63" s="1"/>
  <c r="F23" i="63" s="1"/>
  <c r="K23" i="63" s="1"/>
  <c r="AM7" i="39"/>
  <c r="D149" i="46"/>
  <c r="AD67" i="26"/>
  <c r="BM33" i="26" s="1"/>
  <c r="BN33" i="26" s="1"/>
  <c r="BL21" i="21"/>
  <c r="G16" i="51" s="1"/>
  <c r="Z67" i="26"/>
  <c r="N40" i="13"/>
  <c r="AX69" i="23"/>
  <c r="N26" i="13"/>
  <c r="AD69" i="23"/>
  <c r="D369" i="47"/>
  <c r="F369" i="47" s="1"/>
  <c r="BM56" i="30"/>
  <c r="BN56" i="30" s="1"/>
  <c r="AR94" i="38"/>
  <c r="E88" i="38"/>
  <c r="AR82" i="40"/>
  <c r="P77" i="40"/>
  <c r="J88" i="31"/>
  <c r="J76" i="31" s="1"/>
  <c r="E97" i="31"/>
  <c r="AR97" i="31" s="1"/>
  <c r="Y97" i="31" s="1"/>
  <c r="AC88" i="27"/>
  <c r="AC76" i="27" s="1"/>
  <c r="P101" i="27"/>
  <c r="AS112" i="19"/>
  <c r="AN117" i="19" s="1"/>
  <c r="AN112" i="19"/>
  <c r="BM44" i="31"/>
  <c r="BN44" i="31" s="1"/>
  <c r="E186" i="48"/>
  <c r="AO44" i="31"/>
  <c r="P110" i="26"/>
  <c r="AL88" i="26"/>
  <c r="AL76" i="26" s="1"/>
  <c r="AB88" i="31"/>
  <c r="AB76" i="31" s="1"/>
  <c r="P100" i="31"/>
  <c r="L69" i="21"/>
  <c r="AN113" i="24"/>
  <c r="AS113" i="24"/>
  <c r="AN118" i="24" s="1"/>
  <c r="AK116" i="31"/>
  <c r="AS109" i="31" s="1"/>
  <c r="AK117" i="31" s="1"/>
  <c r="AI116" i="27"/>
  <c r="AS107" i="27" s="1"/>
  <c r="AI117" i="27" s="1"/>
  <c r="Z67" i="31"/>
  <c r="BM29" i="31" s="1"/>
  <c r="BN29" i="31" s="1"/>
  <c r="Z7" i="31"/>
  <c r="K77" i="25"/>
  <c r="K76" i="25" s="1"/>
  <c r="E83" i="25"/>
  <c r="AS89" i="31"/>
  <c r="Q117" i="31" s="1"/>
  <c r="Q89" i="31"/>
  <c r="P109" i="21"/>
  <c r="AJ89" i="21"/>
  <c r="AJ77" i="21" s="1"/>
  <c r="K116" i="22"/>
  <c r="AS83" i="22" s="1"/>
  <c r="K117" i="22" s="1"/>
  <c r="K77" i="22"/>
  <c r="K76" i="22" s="1"/>
  <c r="AO116" i="27"/>
  <c r="AS113" i="27" s="1"/>
  <c r="AO117" i="27" s="1"/>
  <c r="O116" i="30"/>
  <c r="AS87" i="30" s="1"/>
  <c r="O117" i="30" s="1"/>
  <c r="O76" i="30"/>
  <c r="AR99" i="22"/>
  <c r="P93" i="27"/>
  <c r="U88" i="27"/>
  <c r="U76" i="27" s="1"/>
  <c r="P18" i="24"/>
  <c r="P8" i="24" s="1"/>
  <c r="O19" i="24"/>
  <c r="E19" i="24" s="1"/>
  <c r="G16" i="21"/>
  <c r="F16" i="21" s="1"/>
  <c r="E16" i="21" s="1"/>
  <c r="M10" i="21"/>
  <c r="M9" i="21" s="1"/>
  <c r="M8" i="21" s="1"/>
  <c r="M7" i="21" s="1"/>
  <c r="X31" i="13"/>
  <c r="AH68" i="38"/>
  <c r="V59" i="24"/>
  <c r="BD25" i="24"/>
  <c r="BD7" i="24" s="1"/>
  <c r="AO68" i="22"/>
  <c r="AS86" i="22"/>
  <c r="N117" i="22" s="1"/>
  <c r="BB7" i="31"/>
  <c r="AS88" i="21"/>
  <c r="O118" i="21" s="1"/>
  <c r="BM16" i="24"/>
  <c r="BN16" i="24" s="1"/>
  <c r="M16" i="24"/>
  <c r="E61" i="46"/>
  <c r="AZ25" i="27"/>
  <c r="AZ7" i="27" s="1"/>
  <c r="V55" i="27"/>
  <c r="D396" i="47"/>
  <c r="F396" i="47" s="1"/>
  <c r="BM57" i="39"/>
  <c r="BN57" i="39" s="1"/>
  <c r="F22" i="47"/>
  <c r="BM20" i="29"/>
  <c r="BN20" i="29" s="1"/>
  <c r="F80" i="47"/>
  <c r="D95" i="47"/>
  <c r="F95" i="47" s="1"/>
  <c r="BM31" i="40"/>
  <c r="BN31" i="40" s="1"/>
  <c r="BL29" i="19"/>
  <c r="D255" i="47"/>
  <c r="F255" i="47" s="1"/>
  <c r="BM51" i="19"/>
  <c r="BN51" i="19" s="1"/>
  <c r="AD25" i="31"/>
  <c r="AD7" i="31" s="1"/>
  <c r="V33" i="31"/>
  <c r="O20" i="25"/>
  <c r="E20" i="25" s="1"/>
  <c r="Q18" i="25"/>
  <c r="Q8" i="25" s="1"/>
  <c r="Q7" i="25" s="1"/>
  <c r="U46" i="13"/>
  <c r="BD68" i="30"/>
  <c r="BI68" i="31"/>
  <c r="W34" i="13"/>
  <c r="AR68" i="39"/>
  <c r="BL25" i="34"/>
  <c r="V25" i="34" s="1"/>
  <c r="E67" i="34"/>
  <c r="AO88" i="30"/>
  <c r="AO76" i="30" s="1"/>
  <c r="P113" i="30"/>
  <c r="AA30" i="40"/>
  <c r="BM30" i="40"/>
  <c r="BN30" i="40" s="1"/>
  <c r="E466" i="47"/>
  <c r="BE60" i="33"/>
  <c r="V60" i="33" s="1"/>
  <c r="E96" i="47"/>
  <c r="H23" i="57" s="1"/>
  <c r="J23" i="57" s="1"/>
  <c r="O23" i="57" s="1"/>
  <c r="AB31" i="39"/>
  <c r="AM117" i="24"/>
  <c r="AS112" i="24" s="1"/>
  <c r="AM118" i="24" s="1"/>
  <c r="AK109" i="33"/>
  <c r="AS109" i="33"/>
  <c r="AK117" i="33" s="1"/>
  <c r="M40" i="13"/>
  <c r="AX69" i="24"/>
  <c r="Y25" i="40"/>
  <c r="Y7" i="40" s="1"/>
  <c r="V28" i="40"/>
  <c r="D188" i="47"/>
  <c r="F188" i="47" s="1"/>
  <c r="BM48" i="22"/>
  <c r="BN48" i="22" s="1"/>
  <c r="U93" i="26"/>
  <c r="AS93" i="26"/>
  <c r="U117" i="26" s="1"/>
  <c r="BI63" i="33"/>
  <c r="BI7" i="33" s="1"/>
  <c r="BH64" i="33"/>
  <c r="AL7" i="31"/>
  <c r="Y77" i="31"/>
  <c r="Y116" i="31" s="1"/>
  <c r="AE76" i="38"/>
  <c r="AS67" i="26"/>
  <c r="D10" i="65" s="1"/>
  <c r="I10" i="65" s="1"/>
  <c r="N10" i="65" s="1"/>
  <c r="O10" i="65" s="1"/>
  <c r="O10" i="58"/>
  <c r="P22" i="67"/>
  <c r="X60" i="88"/>
  <c r="H52" i="13"/>
  <c r="BE24" i="88"/>
  <c r="U24" i="88" s="1"/>
  <c r="U20" i="88" s="1"/>
  <c r="U7" i="88" s="1"/>
  <c r="AA45" i="84"/>
  <c r="BL17" i="28"/>
  <c r="V11" i="23"/>
  <c r="BL12" i="23"/>
  <c r="BM60" i="28"/>
  <c r="BN60" i="28" s="1"/>
  <c r="BE60" i="28"/>
  <c r="E457" i="47"/>
  <c r="E361" i="47"/>
  <c r="BA56" i="24"/>
  <c r="BM56" i="24"/>
  <c r="BN56" i="24" s="1"/>
  <c r="J7" i="57"/>
  <c r="O7" i="57" s="1"/>
  <c r="BL22" i="39"/>
  <c r="E14" i="47"/>
  <c r="W26" i="21"/>
  <c r="BM26" i="21"/>
  <c r="BN26" i="21" s="1"/>
  <c r="BL19" i="19"/>
  <c r="V18" i="19"/>
  <c r="BL18" i="19" s="1"/>
  <c r="E16" i="47"/>
  <c r="W26" i="33"/>
  <c r="BM26" i="33"/>
  <c r="BN26" i="33" s="1"/>
  <c r="AG67" i="32"/>
  <c r="D20" i="60" s="1"/>
  <c r="I20" i="60" s="1"/>
  <c r="N20" i="60" s="1"/>
  <c r="O20" i="60" s="1"/>
  <c r="AG7" i="32"/>
  <c r="BL21" i="24"/>
  <c r="G13" i="51" s="1"/>
  <c r="V18" i="24"/>
  <c r="BL18" i="24" s="1"/>
  <c r="AG7" i="28"/>
  <c r="AG67" i="28"/>
  <c r="D10" i="60" s="1"/>
  <c r="BD67" i="25"/>
  <c r="D11" i="78" s="1"/>
  <c r="D23" i="78" s="1"/>
  <c r="D482" i="47"/>
  <c r="BM61" i="28"/>
  <c r="BN61" i="28" s="1"/>
  <c r="AA68" i="21"/>
  <c r="BM30" i="21" s="1"/>
  <c r="BN30" i="21" s="1"/>
  <c r="AA7" i="21"/>
  <c r="AR88" i="37"/>
  <c r="AR25" i="34"/>
  <c r="AR7" i="34" s="1"/>
  <c r="V47" i="34"/>
  <c r="D348" i="47"/>
  <c r="F348" i="47" s="1"/>
  <c r="BM55" i="37"/>
  <c r="BN55" i="37" s="1"/>
  <c r="AQ67" i="25"/>
  <c r="AP116" i="40"/>
  <c r="AS114" i="40" s="1"/>
  <c r="AP117" i="40" s="1"/>
  <c r="AP76" i="40"/>
  <c r="K116" i="30"/>
  <c r="AS83" i="30" s="1"/>
  <c r="K117" i="30" s="1"/>
  <c r="K77" i="30"/>
  <c r="K76" i="30" s="1"/>
  <c r="F88" i="31"/>
  <c r="E95" i="31"/>
  <c r="E82" i="33"/>
  <c r="J77" i="33"/>
  <c r="J76" i="33" s="1"/>
  <c r="E82" i="22"/>
  <c r="J77" i="22"/>
  <c r="J76" i="22" s="1"/>
  <c r="AG116" i="19"/>
  <c r="AS105" i="19" s="1"/>
  <c r="AG117" i="19" s="1"/>
  <c r="AG76" i="19"/>
  <c r="P100" i="32"/>
  <c r="AB88" i="32"/>
  <c r="AB76" i="32" s="1"/>
  <c r="AO116" i="22"/>
  <c r="AS113" i="22" s="1"/>
  <c r="AO117" i="22" s="1"/>
  <c r="AL111" i="24"/>
  <c r="AS111" i="24"/>
  <c r="AL118" i="24" s="1"/>
  <c r="AL110" i="19"/>
  <c r="AS110" i="19"/>
  <c r="AL117" i="19" s="1"/>
  <c r="AH116" i="33"/>
  <c r="AS106" i="33" s="1"/>
  <c r="AH117" i="33" s="1"/>
  <c r="AR97" i="24"/>
  <c r="E89" i="24"/>
  <c r="AR90" i="27"/>
  <c r="E88" i="27"/>
  <c r="AP114" i="32"/>
  <c r="AS114" i="32"/>
  <c r="AP117" i="32" s="1"/>
  <c r="AS86" i="25"/>
  <c r="N117" i="25" s="1"/>
  <c r="E87" i="21"/>
  <c r="N78" i="21"/>
  <c r="N77" i="21" s="1"/>
  <c r="AR92" i="23"/>
  <c r="S92" i="23" s="1"/>
  <c r="E89" i="23"/>
  <c r="AC116" i="28"/>
  <c r="AS101" i="28" s="1"/>
  <c r="AC117" i="28" s="1"/>
  <c r="L84" i="32"/>
  <c r="AS84" i="32"/>
  <c r="L117" i="32" s="1"/>
  <c r="L68" i="22"/>
  <c r="AS82" i="29"/>
  <c r="J117" i="29" s="1"/>
  <c r="V48" i="30"/>
  <c r="AS25" i="30"/>
  <c r="AS7" i="30" s="1"/>
  <c r="V51" i="27"/>
  <c r="AV25" i="27"/>
  <c r="AV7" i="27" s="1"/>
  <c r="L77" i="34"/>
  <c r="L76" i="34" s="1"/>
  <c r="E84" i="34"/>
  <c r="G12" i="78"/>
  <c r="F436" i="47"/>
  <c r="V31" i="27"/>
  <c r="AB25" i="27"/>
  <c r="AB7" i="27" s="1"/>
  <c r="BM54" i="23"/>
  <c r="BN54" i="23" s="1"/>
  <c r="AP68" i="26"/>
  <c r="U9" i="13"/>
  <c r="I68" i="30"/>
  <c r="V58" i="25"/>
  <c r="BC25" i="25"/>
  <c r="BC7" i="25" s="1"/>
  <c r="BM57" i="37"/>
  <c r="BN57" i="37" s="1"/>
  <c r="D398" i="47"/>
  <c r="F398" i="47" s="1"/>
  <c r="BM42" i="40"/>
  <c r="BN42" i="40" s="1"/>
  <c r="D140" i="48"/>
  <c r="F140" i="48" s="1"/>
  <c r="AS105" i="26"/>
  <c r="AG117" i="26" s="1"/>
  <c r="N52" i="13"/>
  <c r="BH63" i="23"/>
  <c r="BH7" i="23" s="1"/>
  <c r="J82" i="32"/>
  <c r="AS82" i="32"/>
  <c r="J117" i="32" s="1"/>
  <c r="AO88" i="39"/>
  <c r="AO76" i="39" s="1"/>
  <c r="P113" i="39"/>
  <c r="AS105" i="34"/>
  <c r="AG117" i="34" s="1"/>
  <c r="W23" i="13"/>
  <c r="AA68" i="39"/>
  <c r="AS113" i="29"/>
  <c r="AO117" i="29" s="1"/>
  <c r="AJ34" i="26"/>
  <c r="AJ25" i="26" s="1"/>
  <c r="AJ7" i="26" s="1"/>
  <c r="AE39" i="26"/>
  <c r="V39" i="26" s="1"/>
  <c r="BI63" i="31"/>
  <c r="BI7" i="31" s="1"/>
  <c r="BH64" i="31"/>
  <c r="E140" i="47"/>
  <c r="H17" i="89" s="1"/>
  <c r="I17" i="89" s="1"/>
  <c r="AE34" i="34"/>
  <c r="AE25" i="34" s="1"/>
  <c r="AE7" i="34" s="1"/>
  <c r="BM26" i="39"/>
  <c r="BN26" i="39" s="1"/>
  <c r="F63" i="27"/>
  <c r="E66" i="27"/>
  <c r="L29" i="13"/>
  <c r="AF68" i="25"/>
  <c r="V18" i="30"/>
  <c r="BL18" i="30" s="1"/>
  <c r="O18" i="30" s="1"/>
  <c r="E18" i="30" s="1"/>
  <c r="BL19" i="30"/>
  <c r="T23" i="25"/>
  <c r="BM23" i="25"/>
  <c r="BN23" i="25" s="1"/>
  <c r="F30" i="31"/>
  <c r="G25" i="31"/>
  <c r="R9" i="40"/>
  <c r="O10" i="40"/>
  <c r="AF105" i="24"/>
  <c r="AS105" i="24"/>
  <c r="AF118" i="24" s="1"/>
  <c r="AE44" i="34"/>
  <c r="V44" i="34" s="1"/>
  <c r="AO34" i="34"/>
  <c r="AO25" i="34" s="1"/>
  <c r="AO7" i="34" s="1"/>
  <c r="BM56" i="40"/>
  <c r="BN56" i="40" s="1"/>
  <c r="D370" i="47"/>
  <c r="F370" i="47" s="1"/>
  <c r="AS67" i="27"/>
  <c r="D9" i="65" s="1"/>
  <c r="N14" i="41"/>
  <c r="I28" i="58"/>
  <c r="I26" i="61"/>
  <c r="AB76" i="37"/>
  <c r="P21" i="65"/>
  <c r="O12" i="58"/>
  <c r="O14" i="65"/>
  <c r="Z71" i="88"/>
  <c r="O9" i="68"/>
  <c r="AS90" i="32"/>
  <c r="R117" i="32" s="1"/>
  <c r="AM58" i="88"/>
  <c r="AM60" i="88" s="1"/>
  <c r="BF42" i="88" s="1"/>
  <c r="BG42" i="88" s="1"/>
  <c r="BK42" i="88" s="1"/>
  <c r="BI68" i="39"/>
  <c r="AI68" i="26"/>
  <c r="BL17" i="21"/>
  <c r="E342" i="47"/>
  <c r="AZ55" i="32"/>
  <c r="E261" i="47"/>
  <c r="AV51" i="24"/>
  <c r="E190" i="48"/>
  <c r="AO44" i="38"/>
  <c r="BM44" i="38"/>
  <c r="BN44" i="38" s="1"/>
  <c r="E160" i="47"/>
  <c r="AQ46" i="25"/>
  <c r="E67" i="48"/>
  <c r="F67" i="48" s="1"/>
  <c r="AH37" i="30"/>
  <c r="E56" i="48"/>
  <c r="AH37" i="27"/>
  <c r="BL13" i="28"/>
  <c r="V18" i="21"/>
  <c r="BL18" i="21" s="1"/>
  <c r="BL19" i="21"/>
  <c r="V49" i="19"/>
  <c r="V18" i="23"/>
  <c r="BL18" i="23" s="1"/>
  <c r="AT67" i="19"/>
  <c r="AY67" i="27"/>
  <c r="D9" i="76" s="1"/>
  <c r="I9" i="76" s="1"/>
  <c r="N9" i="76" s="1"/>
  <c r="BH52" i="88"/>
  <c r="F65" i="37"/>
  <c r="G63" i="37"/>
  <c r="G67" i="37" s="1"/>
  <c r="AN88" i="30"/>
  <c r="AN76" i="30" s="1"/>
  <c r="P112" i="30"/>
  <c r="AK68" i="34"/>
  <c r="Q9" i="30"/>
  <c r="O10" i="30"/>
  <c r="BH18" i="87"/>
  <c r="BI18" i="87" s="1"/>
  <c r="K77" i="38"/>
  <c r="K76" i="38" s="1"/>
  <c r="E83" i="38"/>
  <c r="N116" i="31"/>
  <c r="AS86" i="31" s="1"/>
  <c r="N117" i="31" s="1"/>
  <c r="N77" i="31"/>
  <c r="N76" i="31" s="1"/>
  <c r="AR81" i="23"/>
  <c r="S117" i="23"/>
  <c r="AG88" i="33"/>
  <c r="AG76" i="33" s="1"/>
  <c r="P105" i="33"/>
  <c r="P107" i="22"/>
  <c r="AI88" i="22"/>
  <c r="AI76" i="22" s="1"/>
  <c r="AR91" i="19"/>
  <c r="E88" i="19"/>
  <c r="AV25" i="32"/>
  <c r="AV7" i="32" s="1"/>
  <c r="V51" i="32"/>
  <c r="Q117" i="24"/>
  <c r="AS90" i="24" s="1"/>
  <c r="Q118" i="24" s="1"/>
  <c r="Q77" i="24"/>
  <c r="V94" i="32"/>
  <c r="AR90" i="25"/>
  <c r="E88" i="25"/>
  <c r="AR88" i="25" s="1"/>
  <c r="AI89" i="24"/>
  <c r="AI77" i="24" s="1"/>
  <c r="P108" i="24"/>
  <c r="AF116" i="29"/>
  <c r="AS104" i="29" s="1"/>
  <c r="AF117" i="29" s="1"/>
  <c r="AF76" i="29"/>
  <c r="P94" i="19"/>
  <c r="V88" i="19"/>
  <c r="V76" i="19" s="1"/>
  <c r="BL21" i="31"/>
  <c r="L32" i="13"/>
  <c r="AI68" i="25"/>
  <c r="AM111" i="19"/>
  <c r="AS111" i="19"/>
  <c r="AM117" i="19" s="1"/>
  <c r="AZ7" i="28"/>
  <c r="D13" i="89"/>
  <c r="V50" i="22"/>
  <c r="AU25" i="22"/>
  <c r="H12" i="79"/>
  <c r="BM30" i="22"/>
  <c r="BN30" i="22" s="1"/>
  <c r="AA30" i="22"/>
  <c r="BL65" i="22"/>
  <c r="E63" i="22"/>
  <c r="F85" i="46"/>
  <c r="G13" i="81"/>
  <c r="H13" i="81" s="1"/>
  <c r="M13" i="81" s="1"/>
  <c r="AG88" i="39"/>
  <c r="AG76" i="39" s="1"/>
  <c r="P105" i="39"/>
  <c r="E53" i="30"/>
  <c r="F25" i="30"/>
  <c r="BL64" i="40"/>
  <c r="E63" i="40"/>
  <c r="AE34" i="29"/>
  <c r="AE25" i="29" s="1"/>
  <c r="E131" i="47"/>
  <c r="U88" i="39"/>
  <c r="U76" i="39" s="1"/>
  <c r="P93" i="39"/>
  <c r="V30" i="39"/>
  <c r="AA25" i="39"/>
  <c r="AA7" i="39" s="1"/>
  <c r="F440" i="47"/>
  <c r="AJ68" i="26"/>
  <c r="E184" i="46"/>
  <c r="U24" i="26"/>
  <c r="BM24" i="26"/>
  <c r="BN24" i="26" s="1"/>
  <c r="AV7" i="33"/>
  <c r="AV67" i="33"/>
  <c r="D17" i="70" s="1"/>
  <c r="I17" i="70" s="1"/>
  <c r="N17" i="70" s="1"/>
  <c r="P17" i="70" s="1"/>
  <c r="L68" i="19"/>
  <c r="BJ65" i="38"/>
  <c r="AN43" i="31"/>
  <c r="BM43" i="31"/>
  <c r="BN43" i="31" s="1"/>
  <c r="E162" i="48"/>
  <c r="AI34" i="30"/>
  <c r="AI25" i="30" s="1"/>
  <c r="AI7" i="30" s="1"/>
  <c r="AE38" i="30"/>
  <c r="V38" i="30" s="1"/>
  <c r="AQ88" i="29"/>
  <c r="AR97" i="29"/>
  <c r="Y97" i="29" s="1"/>
  <c r="N11" i="51"/>
  <c r="D14" i="53"/>
  <c r="AS87" i="27"/>
  <c r="O117" i="27" s="1"/>
  <c r="BE68" i="31"/>
  <c r="AS100" i="29"/>
  <c r="AB117" i="29" s="1"/>
  <c r="P10" i="76"/>
  <c r="BH44" i="87"/>
  <c r="BI44" i="87" s="1"/>
  <c r="E49" i="88"/>
  <c r="BE49" i="88" s="1"/>
  <c r="AT49" i="88" s="1"/>
  <c r="BH26" i="87"/>
  <c r="BI26" i="87" s="1"/>
  <c r="E412" i="47"/>
  <c r="E424" i="47" s="1"/>
  <c r="BC58" i="23"/>
  <c r="BM58" i="23"/>
  <c r="BN58" i="23" s="1"/>
  <c r="BM13" i="19"/>
  <c r="BN13" i="19" s="1"/>
  <c r="J13" i="19"/>
  <c r="H9" i="69"/>
  <c r="E173" i="47"/>
  <c r="AQ46" i="37"/>
  <c r="BM46" i="37"/>
  <c r="BN46" i="37" s="1"/>
  <c r="E191" i="48"/>
  <c r="BM44" i="37"/>
  <c r="BN44" i="37" s="1"/>
  <c r="AO44" i="37"/>
  <c r="AG67" i="30"/>
  <c r="D22" i="60" s="1"/>
  <c r="I22" i="60" s="1"/>
  <c r="N22" i="60" s="1"/>
  <c r="AG7" i="30"/>
  <c r="F19" i="84"/>
  <c r="E182" i="46"/>
  <c r="I9" i="49" s="1"/>
  <c r="N9" i="49" s="1"/>
  <c r="U24" i="28"/>
  <c r="AR97" i="25"/>
  <c r="Y97" i="25" s="1"/>
  <c r="AK88" i="25"/>
  <c r="AK76" i="25" s="1"/>
  <c r="BL19" i="29"/>
  <c r="AV67" i="29"/>
  <c r="D7" i="70" s="1"/>
  <c r="J13" i="13"/>
  <c r="Q68" i="27"/>
  <c r="D405" i="47"/>
  <c r="F405" i="47" s="1"/>
  <c r="BM58" i="19"/>
  <c r="BN58" i="19" s="1"/>
  <c r="Y67" i="26"/>
  <c r="O20" i="29"/>
  <c r="E20" i="29" s="1"/>
  <c r="Q18" i="29"/>
  <c r="Q8" i="29" s="1"/>
  <c r="Q7" i="29" s="1"/>
  <c r="BH15" i="87"/>
  <c r="BI15" i="87" s="1"/>
  <c r="BH15" i="88"/>
  <c r="R116" i="30"/>
  <c r="AS90" i="30" s="1"/>
  <c r="R117" i="30" s="1"/>
  <c r="R76" i="30"/>
  <c r="AR109" i="31"/>
  <c r="AK109" i="31" s="1"/>
  <c r="AK88" i="31" s="1"/>
  <c r="AK76" i="31" s="1"/>
  <c r="BM32" i="31"/>
  <c r="BN32" i="31" s="1"/>
  <c r="D118" i="47"/>
  <c r="F118" i="47" s="1"/>
  <c r="O77" i="40"/>
  <c r="O76" i="40" s="1"/>
  <c r="E87" i="40"/>
  <c r="F23" i="31"/>
  <c r="G67" i="31"/>
  <c r="P99" i="30"/>
  <c r="AA88" i="30"/>
  <c r="AA76" i="30" s="1"/>
  <c r="AP115" i="24"/>
  <c r="AS115" i="24"/>
  <c r="AP118" i="24" s="1"/>
  <c r="N116" i="28"/>
  <c r="AS86" i="28" s="1"/>
  <c r="N117" i="28" s="1"/>
  <c r="N76" i="28"/>
  <c r="X117" i="23"/>
  <c r="AS97" i="23" s="1"/>
  <c r="X118" i="23" s="1"/>
  <c r="X77" i="23"/>
  <c r="E83" i="19"/>
  <c r="K77" i="19"/>
  <c r="K76" i="19" s="1"/>
  <c r="V56" i="32"/>
  <c r="BA25" i="32"/>
  <c r="BA7" i="32" s="1"/>
  <c r="H80" i="22"/>
  <c r="AS80" i="22"/>
  <c r="H117" i="22" s="1"/>
  <c r="AE44" i="32"/>
  <c r="V44" i="32" s="1"/>
  <c r="AO34" i="32"/>
  <c r="AO25" i="32" s="1"/>
  <c r="AO7" i="32" s="1"/>
  <c r="E86" i="25"/>
  <c r="N77" i="25"/>
  <c r="N76" i="25" s="1"/>
  <c r="R88" i="28"/>
  <c r="R76" i="28" s="1"/>
  <c r="P90" i="28"/>
  <c r="AR94" i="34"/>
  <c r="V94" i="34" s="1"/>
  <c r="E88" i="34"/>
  <c r="AP88" i="29"/>
  <c r="AP76" i="29" s="1"/>
  <c r="P114" i="29"/>
  <c r="I7" i="59"/>
  <c r="N7" i="59" s="1"/>
  <c r="F116" i="31"/>
  <c r="BF25" i="22"/>
  <c r="BF7" i="22" s="1"/>
  <c r="V61" i="22"/>
  <c r="AK117" i="21"/>
  <c r="AS110" i="21" s="1"/>
  <c r="AK118" i="21" s="1"/>
  <c r="AK77" i="21"/>
  <c r="P113" i="27"/>
  <c r="AO88" i="27"/>
  <c r="AO76" i="27" s="1"/>
  <c r="W88" i="32"/>
  <c r="W76" i="32" s="1"/>
  <c r="P95" i="32"/>
  <c r="G16" i="68"/>
  <c r="H16" i="68" s="1"/>
  <c r="M17" i="68" s="1"/>
  <c r="E192" i="48"/>
  <c r="F183" i="48"/>
  <c r="AL110" i="34"/>
  <c r="AS110" i="34"/>
  <c r="AL117" i="34" s="1"/>
  <c r="E170" i="46"/>
  <c r="S22" i="40"/>
  <c r="BM22" i="40"/>
  <c r="BN22" i="40" s="1"/>
  <c r="BI64" i="32"/>
  <c r="BM64" i="32"/>
  <c r="BL63" i="32"/>
  <c r="G18" i="95" s="1"/>
  <c r="H18" i="95" s="1"/>
  <c r="O68" i="32"/>
  <c r="AS82" i="19"/>
  <c r="J117" i="19" s="1"/>
  <c r="AS82" i="24"/>
  <c r="I118" i="24" s="1"/>
  <c r="AX25" i="34"/>
  <c r="AX7" i="34" s="1"/>
  <c r="V53" i="34"/>
  <c r="W30" i="13"/>
  <c r="AG68" i="39"/>
  <c r="T23" i="39"/>
  <c r="BM23" i="39"/>
  <c r="BN23" i="39" s="1"/>
  <c r="F112" i="46"/>
  <c r="AS93" i="27"/>
  <c r="U117" i="27" s="1"/>
  <c r="BM61" i="23"/>
  <c r="BN61" i="23" s="1"/>
  <c r="BM47" i="28"/>
  <c r="BN47" i="28" s="1"/>
  <c r="AR47" i="28"/>
  <c r="E88" i="26"/>
  <c r="P93" i="34"/>
  <c r="U88" i="34"/>
  <c r="U76" i="34" s="1"/>
  <c r="AS87" i="40"/>
  <c r="O117" i="40" s="1"/>
  <c r="AA88" i="28"/>
  <c r="AA76" i="28" s="1"/>
  <c r="P99" i="28"/>
  <c r="W25" i="38"/>
  <c r="W7" i="38" s="1"/>
  <c r="V26" i="38"/>
  <c r="I16" i="13"/>
  <c r="T68" i="28"/>
  <c r="P102" i="37"/>
  <c r="AD88" i="37"/>
  <c r="AD76" i="37" s="1"/>
  <c r="G20" i="82"/>
  <c r="H20" i="82" s="1"/>
  <c r="M20" i="82" s="1"/>
  <c r="F67" i="46"/>
  <c r="AR83" i="31"/>
  <c r="U14" i="13"/>
  <c r="R68" i="30"/>
  <c r="BL25" i="39"/>
  <c r="BI63" i="39"/>
  <c r="BI7" i="39" s="1"/>
  <c r="BH64" i="39"/>
  <c r="AK68" i="27"/>
  <c r="D90" i="47"/>
  <c r="BM31" i="34"/>
  <c r="BN31" i="34" s="1"/>
  <c r="D336" i="47"/>
  <c r="F336" i="47" s="1"/>
  <c r="BM55" i="24"/>
  <c r="BN55" i="24" s="1"/>
  <c r="P78" i="32"/>
  <c r="AI77" i="32"/>
  <c r="BM55" i="32"/>
  <c r="BN55" i="32" s="1"/>
  <c r="D342" i="47"/>
  <c r="F342" i="47" s="1"/>
  <c r="I20" i="89"/>
  <c r="D283" i="47"/>
  <c r="BM52" i="27"/>
  <c r="BN52" i="27" s="1"/>
  <c r="F78" i="34"/>
  <c r="AS78" i="34"/>
  <c r="F117" i="34" s="1"/>
  <c r="AD116" i="34"/>
  <c r="AS102" i="34" s="1"/>
  <c r="AD117" i="34" s="1"/>
  <c r="AS81" i="39"/>
  <c r="I117" i="39" s="1"/>
  <c r="E81" i="39"/>
  <c r="I77" i="39"/>
  <c r="I76" i="39" s="1"/>
  <c r="D223" i="47"/>
  <c r="F223" i="47" s="1"/>
  <c r="BM49" i="37"/>
  <c r="BN49" i="37" s="1"/>
  <c r="E185" i="46"/>
  <c r="U24" i="25"/>
  <c r="BM32" i="26"/>
  <c r="BN32" i="26" s="1"/>
  <c r="E109" i="47"/>
  <c r="AC32" i="26"/>
  <c r="BL19" i="31"/>
  <c r="V18" i="31"/>
  <c r="BL18" i="31" s="1"/>
  <c r="BM58" i="31"/>
  <c r="BN58" i="31" s="1"/>
  <c r="D418" i="47"/>
  <c r="F418" i="47" s="1"/>
  <c r="AU67" i="31"/>
  <c r="V18" i="25"/>
  <c r="BL18" i="25" s="1"/>
  <c r="BL19" i="25"/>
  <c r="O12" i="64"/>
  <c r="D235" i="47"/>
  <c r="E459" i="47"/>
  <c r="BE60" i="26"/>
  <c r="BM60" i="26"/>
  <c r="BN60" i="26" s="1"/>
  <c r="AP72" i="88"/>
  <c r="AL63" i="88"/>
  <c r="AL72" i="88"/>
  <c r="P15" i="64"/>
  <c r="E235" i="47"/>
  <c r="AU50" i="25"/>
  <c r="E87" i="25"/>
  <c r="O77" i="25"/>
  <c r="O76" i="25" s="1"/>
  <c r="I28" i="62"/>
  <c r="Z63" i="88"/>
  <c r="AC7" i="25"/>
  <c r="D110" i="47"/>
  <c r="F110" i="47" s="1"/>
  <c r="BM32" i="25"/>
  <c r="BN32" i="25" s="1"/>
  <c r="X64" i="88"/>
  <c r="X72" i="88"/>
  <c r="BK68" i="22"/>
  <c r="BH66" i="22"/>
  <c r="BK63" i="22"/>
  <c r="BK7" i="22" s="1"/>
  <c r="AQ115" i="22"/>
  <c r="AQ76" i="22" s="1"/>
  <c r="AS115" i="22"/>
  <c r="AQ117" i="22" s="1"/>
  <c r="BI64" i="22"/>
  <c r="BL63" i="22"/>
  <c r="G14" i="95" s="1"/>
  <c r="H14" i="95" s="1"/>
  <c r="O24" i="13"/>
  <c r="AB68" i="22"/>
  <c r="K44" i="13"/>
  <c r="BB68" i="26"/>
  <c r="H77" i="33"/>
  <c r="H76" i="33" s="1"/>
  <c r="E80" i="33"/>
  <c r="D112" i="48"/>
  <c r="F112" i="48" s="1"/>
  <c r="BM41" i="33"/>
  <c r="BN41" i="33" s="1"/>
  <c r="V10" i="33"/>
  <c r="BL16" i="33"/>
  <c r="G16" i="32"/>
  <c r="F16" i="32" s="1"/>
  <c r="E16" i="32" s="1"/>
  <c r="M10" i="32"/>
  <c r="M9" i="32" s="1"/>
  <c r="M8" i="32" s="1"/>
  <c r="M7" i="32" s="1"/>
  <c r="M77" i="32"/>
  <c r="M76" i="32" s="1"/>
  <c r="E85" i="32"/>
  <c r="BL22" i="32"/>
  <c r="BE25" i="39"/>
  <c r="BE7" i="39" s="1"/>
  <c r="V60" i="39"/>
  <c r="K45" i="13"/>
  <c r="S68" i="26"/>
  <c r="K15" i="13"/>
  <c r="AR112" i="25"/>
  <c r="D85" i="47"/>
  <c r="F85" i="47" s="1"/>
  <c r="BM31" i="25"/>
  <c r="BN31" i="25" s="1"/>
  <c r="D410" i="47"/>
  <c r="F410" i="47" s="1"/>
  <c r="BM58" i="25"/>
  <c r="BN58" i="25" s="1"/>
  <c r="BL63" i="25"/>
  <c r="G11" i="95" s="1"/>
  <c r="H11" i="95" s="1"/>
  <c r="BI64" i="25"/>
  <c r="BM64" i="25"/>
  <c r="BE60" i="25"/>
  <c r="BM60" i="25"/>
  <c r="BN60" i="25" s="1"/>
  <c r="E460" i="47"/>
  <c r="BL22" i="25"/>
  <c r="BM37" i="25"/>
  <c r="BN37" i="25" s="1"/>
  <c r="D58" i="48"/>
  <c r="F58" i="48" s="1"/>
  <c r="G24" i="59"/>
  <c r="AC7" i="39"/>
  <c r="F482" i="47"/>
  <c r="G8" i="77"/>
  <c r="H8" i="77" s="1"/>
  <c r="Y68" i="38"/>
  <c r="L35" i="13"/>
  <c r="AS68" i="25"/>
  <c r="P18" i="65"/>
  <c r="O18" i="65"/>
  <c r="D192" i="47"/>
  <c r="F192" i="47" s="1"/>
  <c r="BM48" i="32"/>
  <c r="BN48" i="32" s="1"/>
  <c r="AS79" i="32"/>
  <c r="G117" i="32" s="1"/>
  <c r="U116" i="29"/>
  <c r="AS93" i="29" s="1"/>
  <c r="U117" i="29" s="1"/>
  <c r="H23" i="13"/>
  <c r="AA68" i="29"/>
  <c r="P85" i="34"/>
  <c r="Y77" i="34"/>
  <c r="Y116" i="34" s="1"/>
  <c r="Q15" i="13"/>
  <c r="S8" i="34"/>
  <c r="S7" i="34" s="1"/>
  <c r="E22" i="34"/>
  <c r="F165" i="46"/>
  <c r="I18" i="50"/>
  <c r="J18" i="50" s="1"/>
  <c r="O18" i="50" s="1"/>
  <c r="D159" i="48"/>
  <c r="F159" i="48" s="1"/>
  <c r="BM43" i="34"/>
  <c r="BN43" i="34" s="1"/>
  <c r="AN68" i="25"/>
  <c r="BM43" i="32"/>
  <c r="BN43" i="32" s="1"/>
  <c r="D161" i="48"/>
  <c r="F161" i="48" s="1"/>
  <c r="P85" i="33"/>
  <c r="Y77" i="33"/>
  <c r="AN68" i="33"/>
  <c r="BE21" i="88"/>
  <c r="R21" i="88" s="1"/>
  <c r="Q21" i="88" s="1"/>
  <c r="BE28" i="88"/>
  <c r="Y28" i="88" s="1"/>
  <c r="Y20" i="88" s="1"/>
  <c r="Y7" i="88" s="1"/>
  <c r="BE41" i="88"/>
  <c r="AL41" i="88" s="1"/>
  <c r="Q41" i="88" s="1"/>
  <c r="BE44" i="88"/>
  <c r="AO44" i="88" s="1"/>
  <c r="AO20" i="88" s="1"/>
  <c r="BE48" i="88"/>
  <c r="AS48" i="88" s="1"/>
  <c r="Q48" i="88" s="1"/>
  <c r="BE57" i="88"/>
  <c r="BB57" i="88" s="1"/>
  <c r="Q57" i="88" s="1"/>
  <c r="K19" i="84"/>
  <c r="K18" i="84"/>
  <c r="K60" i="88"/>
  <c r="AD7" i="88"/>
  <c r="BE23" i="88"/>
  <c r="T23" i="88" s="1"/>
  <c r="Q23" i="88" s="1"/>
  <c r="BE43" i="88"/>
  <c r="AN43" i="88" s="1"/>
  <c r="Q43" i="88" s="1"/>
  <c r="BE46" i="88"/>
  <c r="AQ46" i="88" s="1"/>
  <c r="Q46" i="88" s="1"/>
  <c r="BE52" i="88"/>
  <c r="Q25" i="88"/>
  <c r="AI29" i="88"/>
  <c r="AI20" i="88" s="1"/>
  <c r="AI7" i="88" s="1"/>
  <c r="Z38" i="88"/>
  <c r="Q38" i="88" s="1"/>
  <c r="Q28" i="88"/>
  <c r="BF34" i="88"/>
  <c r="BG34" i="88" s="1"/>
  <c r="BK34" i="88" s="1"/>
  <c r="AT20" i="88"/>
  <c r="Q49" i="88"/>
  <c r="F14" i="84"/>
  <c r="AY54" i="88"/>
  <c r="H30" i="84"/>
  <c r="BE15" i="88"/>
  <c r="L15" i="88" s="1"/>
  <c r="L8" i="88" s="1"/>
  <c r="L7" i="88" s="1"/>
  <c r="G20" i="84"/>
  <c r="E30" i="88"/>
  <c r="F29" i="88"/>
  <c r="F20" i="88" s="1"/>
  <c r="BF39" i="88"/>
  <c r="BG39" i="88" s="1"/>
  <c r="BK39" i="88" s="1"/>
  <c r="H36" i="84"/>
  <c r="K10" i="84"/>
  <c r="T10" i="84"/>
  <c r="Z10" i="84"/>
  <c r="AG10" i="84"/>
  <c r="AK10" i="84"/>
  <c r="AP10" i="84"/>
  <c r="I31" i="84"/>
  <c r="E31" i="84"/>
  <c r="I35" i="84"/>
  <c r="AF11" i="84"/>
  <c r="AM11" i="84"/>
  <c r="J19" i="84"/>
  <c r="J23" i="84"/>
  <c r="J27" i="84"/>
  <c r="J38" i="84"/>
  <c r="E38" i="84"/>
  <c r="D13" i="84"/>
  <c r="K17" i="84"/>
  <c r="H39" i="84"/>
  <c r="H43" i="84"/>
  <c r="E43" i="84"/>
  <c r="U10" i="84"/>
  <c r="N20" i="84"/>
  <c r="N24" i="84"/>
  <c r="S16" i="84"/>
  <c r="P16" i="84"/>
  <c r="Q17" i="84"/>
  <c r="P17" i="84"/>
  <c r="Q36" i="84"/>
  <c r="Q40" i="84"/>
  <c r="U19" i="84"/>
  <c r="AS7" i="88"/>
  <c r="R44" i="84"/>
  <c r="AA20" i="84"/>
  <c r="Z66" i="88"/>
  <c r="T21" i="84"/>
  <c r="X21" i="84"/>
  <c r="Z21" i="84"/>
  <c r="AP21" i="84"/>
  <c r="D26" i="84"/>
  <c r="Z33" i="88"/>
  <c r="Q33" i="88" s="1"/>
  <c r="Z39" i="88"/>
  <c r="Q39" i="88" s="1"/>
  <c r="AK29" i="88"/>
  <c r="AK20" i="88" s="1"/>
  <c r="AK7" i="88" s="1"/>
  <c r="X66" i="88"/>
  <c r="Z32" i="88"/>
  <c r="Q32" i="88" s="1"/>
  <c r="BJ58" i="87"/>
  <c r="S20" i="88"/>
  <c r="H28" i="84"/>
  <c r="H32" i="84"/>
  <c r="BF35" i="88"/>
  <c r="BG35" i="88" s="1"/>
  <c r="BK35" i="88" s="1"/>
  <c r="X10" i="84"/>
  <c r="AN10" i="84"/>
  <c r="I29" i="84"/>
  <c r="I33" i="84"/>
  <c r="J13" i="84"/>
  <c r="J16" i="84"/>
  <c r="J21" i="84"/>
  <c r="J25" i="84"/>
  <c r="E25" i="84"/>
  <c r="J40" i="84"/>
  <c r="J44" i="84"/>
  <c r="AA12" i="84"/>
  <c r="AO12" i="84"/>
  <c r="H41" i="84"/>
  <c r="L10" i="84"/>
  <c r="S13" i="84"/>
  <c r="P13" i="84"/>
  <c r="L21" i="84"/>
  <c r="L18" i="84"/>
  <c r="N19" i="84"/>
  <c r="N22" i="84"/>
  <c r="N26" i="84"/>
  <c r="O19" i="84"/>
  <c r="Q21" i="84"/>
  <c r="Q23" i="84"/>
  <c r="AF7" i="88"/>
  <c r="AH19" i="84"/>
  <c r="AM19" i="84"/>
  <c r="R29" i="84"/>
  <c r="R41" i="84"/>
  <c r="AG20" i="84"/>
  <c r="S22" i="84"/>
  <c r="S26" i="84"/>
  <c r="S28" i="84"/>
  <c r="S35" i="84"/>
  <c r="AE7" i="88"/>
  <c r="Y30" i="84"/>
  <c r="P10" i="62"/>
  <c r="O10" i="62"/>
  <c r="D152" i="48"/>
  <c r="F152" i="48" s="1"/>
  <c r="BM43" i="27"/>
  <c r="BN43" i="27" s="1"/>
  <c r="M10" i="63"/>
  <c r="L10" i="63"/>
  <c r="BE60" i="40"/>
  <c r="BM60" i="40"/>
  <c r="BN60" i="40" s="1"/>
  <c r="V47" i="13" s="1"/>
  <c r="E470" i="47"/>
  <c r="G22" i="86"/>
  <c r="H22" i="86" s="1"/>
  <c r="M22" i="86" s="1"/>
  <c r="F45" i="46"/>
  <c r="AT49" i="30"/>
  <c r="E219" i="47"/>
  <c r="BM60" i="19"/>
  <c r="BN60" i="19" s="1"/>
  <c r="G47" i="13" s="1"/>
  <c r="BE60" i="19"/>
  <c r="E455" i="47"/>
  <c r="BL12" i="19"/>
  <c r="V11" i="19"/>
  <c r="AL88" i="28"/>
  <c r="AL76" i="28" s="1"/>
  <c r="AL116" i="28"/>
  <c r="AS110" i="28" s="1"/>
  <c r="AL117" i="28" s="1"/>
  <c r="AR97" i="28"/>
  <c r="BM58" i="28"/>
  <c r="BN58" i="28" s="1"/>
  <c r="I45" i="13" s="1"/>
  <c r="D407" i="47"/>
  <c r="W76" i="37"/>
  <c r="BL22" i="28"/>
  <c r="AB11" i="53"/>
  <c r="AD11" i="53" s="1"/>
  <c r="D66" i="47"/>
  <c r="F66" i="47" s="1"/>
  <c r="BM28" i="33"/>
  <c r="BN28" i="33" s="1"/>
  <c r="R21" i="13" s="1"/>
  <c r="V11" i="27"/>
  <c r="BL12" i="27"/>
  <c r="BL17" i="27"/>
  <c r="BM28" i="28"/>
  <c r="BN28" i="28" s="1"/>
  <c r="I21" i="13" s="1"/>
  <c r="D57" i="47"/>
  <c r="BM54" i="22"/>
  <c r="BN54" i="22" s="1"/>
  <c r="O41" i="13" s="1"/>
  <c r="D313" i="47"/>
  <c r="F313" i="47" s="1"/>
  <c r="R8" i="88"/>
  <c r="AZ7" i="29"/>
  <c r="D331" i="47"/>
  <c r="F331" i="47" s="1"/>
  <c r="BM55" i="29"/>
  <c r="BN55" i="29" s="1"/>
  <c r="H42" i="13" s="1"/>
  <c r="E472" i="47"/>
  <c r="BE60" i="38"/>
  <c r="BM60" i="38"/>
  <c r="BN60" i="38" s="1"/>
  <c r="X47" i="13" s="1"/>
  <c r="AU9" i="88"/>
  <c r="AU8" i="88" s="1"/>
  <c r="AU60" i="88" s="1"/>
  <c r="D339" i="47"/>
  <c r="F339" i="47" s="1"/>
  <c r="BM55" i="21"/>
  <c r="BN55" i="21" s="1"/>
  <c r="P42" i="13" s="1"/>
  <c r="F41" i="46"/>
  <c r="G18" i="86"/>
  <c r="H18" i="86" s="1"/>
  <c r="M18" i="86" s="1"/>
  <c r="D191" i="46"/>
  <c r="BN65" i="33"/>
  <c r="BH65" i="33"/>
  <c r="BJ63" i="33"/>
  <c r="BJ7" i="33" s="1"/>
  <c r="N19" i="86"/>
  <c r="O19" i="86"/>
  <c r="D42" i="47"/>
  <c r="F42" i="47" s="1"/>
  <c r="BM27" i="32"/>
  <c r="BN27" i="32" s="1"/>
  <c r="S20" i="13" s="1"/>
  <c r="X70" i="32"/>
  <c r="BH63" i="29"/>
  <c r="BH7" i="29" s="1"/>
  <c r="BJ68" i="29"/>
  <c r="BH65" i="29"/>
  <c r="BJ63" i="29"/>
  <c r="BJ7" i="29" s="1"/>
  <c r="BN63" i="29"/>
  <c r="H50" i="13" s="1"/>
  <c r="H51" i="13" s="1"/>
  <c r="BI68" i="29"/>
  <c r="X68" i="37"/>
  <c r="BM56" i="27"/>
  <c r="BN56" i="27" s="1"/>
  <c r="J43" i="13" s="1"/>
  <c r="D358" i="47"/>
  <c r="AI60" i="88"/>
  <c r="BF38" i="88" s="1"/>
  <c r="BG38" i="88" s="1"/>
  <c r="BK38" i="88" s="1"/>
  <c r="D151" i="48"/>
  <c r="BM43" i="28"/>
  <c r="BN43" i="28" s="1"/>
  <c r="D132" i="47"/>
  <c r="BM34" i="28"/>
  <c r="BO34" i="28" s="1"/>
  <c r="AT8" i="88"/>
  <c r="BM54" i="29"/>
  <c r="BN54" i="29" s="1"/>
  <c r="H41" i="13" s="1"/>
  <c r="D306" i="47"/>
  <c r="F306" i="47" s="1"/>
  <c r="P60" i="88"/>
  <c r="BM24" i="25"/>
  <c r="BN24" i="25" s="1"/>
  <c r="L17" i="13" s="1"/>
  <c r="D185" i="46"/>
  <c r="BM57" i="25"/>
  <c r="BN57" i="25" s="1"/>
  <c r="L44" i="13" s="1"/>
  <c r="D385" i="47"/>
  <c r="F385" i="47" s="1"/>
  <c r="AW60" i="88"/>
  <c r="AW7" i="88"/>
  <c r="D386" i="47"/>
  <c r="BM57" i="24"/>
  <c r="BN57" i="24" s="1"/>
  <c r="M44" i="13" s="1"/>
  <c r="BM54" i="39"/>
  <c r="BN54" i="39" s="1"/>
  <c r="W41" i="13" s="1"/>
  <c r="D321" i="47"/>
  <c r="BM38" i="39"/>
  <c r="BN38" i="39" s="1"/>
  <c r="W32" i="13" s="1"/>
  <c r="D93" i="48"/>
  <c r="F93" i="48" s="1"/>
  <c r="O23" i="58"/>
  <c r="AR115" i="39"/>
  <c r="P115" i="39"/>
  <c r="Y116" i="39"/>
  <c r="AS97" i="39" s="1"/>
  <c r="Y117" i="39" s="1"/>
  <c r="BI33" i="88"/>
  <c r="D86" i="48"/>
  <c r="F86" i="48" s="1"/>
  <c r="BM38" i="21"/>
  <c r="BN38" i="21" s="1"/>
  <c r="P32" i="13" s="1"/>
  <c r="I12" i="21"/>
  <c r="BM12" i="21"/>
  <c r="BN12" i="21" s="1"/>
  <c r="P9" i="13" s="1"/>
  <c r="E39" i="46"/>
  <c r="D62" i="48"/>
  <c r="F62" i="48" s="1"/>
  <c r="BM37" i="21"/>
  <c r="BN37" i="21" s="1"/>
  <c r="P31" i="13" s="1"/>
  <c r="P81" i="21"/>
  <c r="Y78" i="21"/>
  <c r="Y117" i="21" s="1"/>
  <c r="P80" i="27"/>
  <c r="Y77" i="27"/>
  <c r="Y116" i="27" s="1"/>
  <c r="AS97" i="27" s="1"/>
  <c r="D56" i="48"/>
  <c r="BM37" i="27"/>
  <c r="BN37" i="27" s="1"/>
  <c r="J31" i="13" s="1"/>
  <c r="O11" i="82"/>
  <c r="N11" i="82"/>
  <c r="D65" i="48"/>
  <c r="F65" i="48" s="1"/>
  <c r="BM37" i="32"/>
  <c r="BN37" i="32" s="1"/>
  <c r="S31" i="13" s="1"/>
  <c r="AF68" i="26"/>
  <c r="D207" i="48"/>
  <c r="F207" i="48" s="1"/>
  <c r="BM45" i="34"/>
  <c r="BN45" i="34" s="1"/>
  <c r="V11" i="39"/>
  <c r="BL12" i="39"/>
  <c r="D213" i="48"/>
  <c r="F213" i="48" s="1"/>
  <c r="BM45" i="39"/>
  <c r="BN45" i="39" s="1"/>
  <c r="BM45" i="37"/>
  <c r="BN45" i="37" s="1"/>
  <c r="D215" i="48"/>
  <c r="F215" i="48" s="1"/>
  <c r="D210" i="48"/>
  <c r="F210" i="48" s="1"/>
  <c r="BM45" i="31"/>
  <c r="BN45" i="31" s="1"/>
  <c r="D214" i="48"/>
  <c r="F214" i="48" s="1"/>
  <c r="BM45" i="38"/>
  <c r="BN45" i="38" s="1"/>
  <c r="F78" i="38"/>
  <c r="AS78" i="38"/>
  <c r="F117" i="38" s="1"/>
  <c r="BM34" i="38"/>
  <c r="D147" i="47"/>
  <c r="F147" i="47" s="1"/>
  <c r="D212" i="48"/>
  <c r="F212" i="48" s="1"/>
  <c r="BM45" i="40"/>
  <c r="BN45" i="40" s="1"/>
  <c r="BL21" i="29"/>
  <c r="G8" i="51" s="1"/>
  <c r="V18" i="29"/>
  <c r="BL18" i="29" s="1"/>
  <c r="Y77" i="29"/>
  <c r="Y116" i="29" s="1"/>
  <c r="P81" i="29"/>
  <c r="D198" i="48"/>
  <c r="F36" i="46"/>
  <c r="G13" i="86"/>
  <c r="H13" i="86" s="1"/>
  <c r="M13" i="86" s="1"/>
  <c r="D187" i="47"/>
  <c r="F187" i="47" s="1"/>
  <c r="BM48" i="23"/>
  <c r="S15" i="84"/>
  <c r="E20" i="17"/>
  <c r="V38" i="84"/>
  <c r="AV51" i="88"/>
  <c r="D93" i="47"/>
  <c r="F93" i="47" s="1"/>
  <c r="BM31" i="31"/>
  <c r="BN31" i="31" s="1"/>
  <c r="T24" i="13" s="1"/>
  <c r="V76" i="31"/>
  <c r="V116" i="31"/>
  <c r="AS94" i="31" s="1"/>
  <c r="V117" i="31" s="1"/>
  <c r="L20" i="63"/>
  <c r="M20" i="63"/>
  <c r="Z14" i="88"/>
  <c r="Q14" i="88" s="1"/>
  <c r="Y12" i="84"/>
  <c r="AC12" i="84"/>
  <c r="AO9" i="88"/>
  <c r="AO8" i="88" s="1"/>
  <c r="AO60" i="88" s="1"/>
  <c r="AL31" i="84"/>
  <c r="U20" i="89"/>
  <c r="L24" i="89"/>
  <c r="AG8" i="88"/>
  <c r="AG60" i="88" s="1"/>
  <c r="BF36" i="88" s="1"/>
  <c r="BG36" i="88" s="1"/>
  <c r="AO64" i="88"/>
  <c r="AH37" i="88"/>
  <c r="AG36" i="88"/>
  <c r="AA36" i="17"/>
  <c r="AB36" i="17" s="1"/>
  <c r="E36" i="17"/>
  <c r="AA46" i="17"/>
  <c r="AB46" i="17" s="1"/>
  <c r="E46" i="17"/>
  <c r="AA44" i="17"/>
  <c r="AB44" i="17" s="1"/>
  <c r="E44" i="17"/>
  <c r="S8" i="26"/>
  <c r="S7" i="26" s="1"/>
  <c r="E22" i="26"/>
  <c r="E30" i="17"/>
  <c r="P85" i="26"/>
  <c r="AA14" i="17"/>
  <c r="AB14" i="17" s="1"/>
  <c r="N13" i="68"/>
  <c r="O13" i="68"/>
  <c r="M21" i="68"/>
  <c r="P22" i="70"/>
  <c r="O22" i="70"/>
  <c r="P8" i="70"/>
  <c r="O8" i="70"/>
  <c r="O9" i="86"/>
  <c r="N9" i="86"/>
  <c r="E83" i="28"/>
  <c r="K77" i="28"/>
  <c r="K76" i="28" s="1"/>
  <c r="D257" i="47"/>
  <c r="F257" i="47" s="1"/>
  <c r="BM51" i="28"/>
  <c r="BN51" i="28" s="1"/>
  <c r="I38" i="13" s="1"/>
  <c r="AF68" i="31"/>
  <c r="AR77" i="28"/>
  <c r="E42" i="84"/>
  <c r="F468" i="47"/>
  <c r="G19" i="80"/>
  <c r="V60" i="31"/>
  <c r="BE25" i="31"/>
  <c r="BE7" i="31" s="1"/>
  <c r="N20" i="88"/>
  <c r="E55" i="88"/>
  <c r="BE55" i="88" s="1"/>
  <c r="S22" i="31"/>
  <c r="BM22" i="31"/>
  <c r="BN22" i="31" s="1"/>
  <c r="T15" i="13" s="1"/>
  <c r="O20" i="64"/>
  <c r="W29" i="88"/>
  <c r="W71" i="88" s="1"/>
  <c r="BE37" i="88"/>
  <c r="D89" i="47"/>
  <c r="F89" i="47" s="1"/>
  <c r="BM31" i="21"/>
  <c r="BN31" i="21" s="1"/>
  <c r="P24" i="13" s="1"/>
  <c r="D97" i="47"/>
  <c r="F97" i="47" s="1"/>
  <c r="BM31" i="38"/>
  <c r="BN31" i="38" s="1"/>
  <c r="X24" i="13" s="1"/>
  <c r="AR77" i="38"/>
  <c r="P116" i="38"/>
  <c r="D123" i="47"/>
  <c r="BM32" i="37"/>
  <c r="BN32" i="37" s="1"/>
  <c r="Y25" i="13" s="1"/>
  <c r="E86" i="23"/>
  <c r="M78" i="23"/>
  <c r="M77" i="23" s="1"/>
  <c r="H16" i="77"/>
  <c r="BA20" i="88"/>
  <c r="BA7" i="88" s="1"/>
  <c r="AS112" i="34"/>
  <c r="AN112" i="34"/>
  <c r="Z9" i="88"/>
  <c r="Q10" i="88"/>
  <c r="AC60" i="88"/>
  <c r="O11" i="67"/>
  <c r="O11" i="62"/>
  <c r="P12" i="62"/>
  <c r="O12" i="62"/>
  <c r="N8" i="62"/>
  <c r="P7" i="62"/>
  <c r="O7" i="62"/>
  <c r="O20" i="56"/>
  <c r="O14" i="57"/>
  <c r="Q22" i="57"/>
  <c r="P22" i="57"/>
  <c r="Q10" i="57"/>
  <c r="P10" i="57"/>
  <c r="P19" i="57"/>
  <c r="P6" i="74"/>
  <c r="O8" i="75"/>
  <c r="P13" i="75"/>
  <c r="O15" i="75"/>
  <c r="O14" i="75"/>
  <c r="P20" i="75"/>
  <c r="P20" i="76"/>
  <c r="U11" i="66"/>
  <c r="U23" i="66"/>
  <c r="U8" i="66"/>
  <c r="V18" i="66"/>
  <c r="U9" i="66"/>
  <c r="V9" i="66"/>
  <c r="U21" i="66"/>
  <c r="T7" i="66"/>
  <c r="P10" i="65"/>
  <c r="O16" i="58"/>
  <c r="O8" i="61"/>
  <c r="O12" i="61"/>
  <c r="P13" i="61"/>
  <c r="O13" i="61"/>
  <c r="I9" i="61"/>
  <c r="N9" i="61" s="1"/>
  <c r="AL25" i="84"/>
  <c r="I7" i="56"/>
  <c r="N7" i="56" s="1"/>
  <c r="AB31" i="88"/>
  <c r="AB29" i="88" s="1"/>
  <c r="BF31" i="88"/>
  <c r="BG31" i="88" s="1"/>
  <c r="BK31" i="88" s="1"/>
  <c r="BJ65" i="28"/>
  <c r="BM65" i="28"/>
  <c r="D122" i="47"/>
  <c r="F122" i="47" s="1"/>
  <c r="BM32" i="38"/>
  <c r="BN32" i="38" s="1"/>
  <c r="X25" i="13" s="1"/>
  <c r="D181" i="47"/>
  <c r="F181" i="47" s="1"/>
  <c r="BM48" i="29"/>
  <c r="BN48" i="29" s="1"/>
  <c r="H35" i="13" s="1"/>
  <c r="D195" i="47"/>
  <c r="F195" i="47" s="1"/>
  <c r="BM48" i="40"/>
  <c r="BN48" i="40" s="1"/>
  <c r="V35" i="13" s="1"/>
  <c r="V10" i="31"/>
  <c r="BL11" i="31"/>
  <c r="BM12" i="31"/>
  <c r="BN12" i="31" s="1"/>
  <c r="T9" i="13" s="1"/>
  <c r="E43" i="46"/>
  <c r="I12" i="31"/>
  <c r="E82" i="23"/>
  <c r="I78" i="23"/>
  <c r="I77" i="23" s="1"/>
  <c r="I77" i="37"/>
  <c r="I76" i="37" s="1"/>
  <c r="E81" i="37"/>
  <c r="BM49" i="38"/>
  <c r="BN49" i="38" s="1"/>
  <c r="X36" i="13" s="1"/>
  <c r="D222" i="47"/>
  <c r="F222" i="47" s="1"/>
  <c r="D221" i="47"/>
  <c r="F221" i="47" s="1"/>
  <c r="BM49" i="39"/>
  <c r="BN49" i="39" s="1"/>
  <c r="W36" i="13" s="1"/>
  <c r="I77" i="40"/>
  <c r="I76" i="40" s="1"/>
  <c r="E81" i="40"/>
  <c r="D220" i="47"/>
  <c r="F220" i="47" s="1"/>
  <c r="BM49" i="40"/>
  <c r="BN49" i="40" s="1"/>
  <c r="V36" i="13" s="1"/>
  <c r="D240" i="47"/>
  <c r="F240" i="47" s="1"/>
  <c r="BM50" i="34"/>
  <c r="BN50" i="34" s="1"/>
  <c r="Q37" i="13" s="1"/>
  <c r="I78" i="21"/>
  <c r="I77" i="21" s="1"/>
  <c r="E82" i="21"/>
  <c r="BM50" i="21"/>
  <c r="BN50" i="21" s="1"/>
  <c r="P37" i="13" s="1"/>
  <c r="D239" i="47"/>
  <c r="F239" i="47" s="1"/>
  <c r="D238" i="47"/>
  <c r="F238" i="47" s="1"/>
  <c r="BM50" i="22"/>
  <c r="BN50" i="22" s="1"/>
  <c r="O37" i="13" s="1"/>
  <c r="AU69" i="23"/>
  <c r="BM50" i="24"/>
  <c r="BN50" i="24" s="1"/>
  <c r="M37" i="13" s="1"/>
  <c r="D236" i="47"/>
  <c r="F236" i="47" s="1"/>
  <c r="AU68" i="25"/>
  <c r="D180" i="47"/>
  <c r="F180" i="47" s="1"/>
  <c r="BM48" i="19"/>
  <c r="BN48" i="19" s="1"/>
  <c r="G35" i="13" s="1"/>
  <c r="J9" i="31"/>
  <c r="BM48" i="31"/>
  <c r="BN48" i="31" s="1"/>
  <c r="T35" i="13" s="1"/>
  <c r="D193" i="47"/>
  <c r="F193" i="47" s="1"/>
  <c r="D194" i="47"/>
  <c r="F194" i="47" s="1"/>
  <c r="BM48" i="30"/>
  <c r="BN48" i="30" s="1"/>
  <c r="U35" i="13" s="1"/>
  <c r="I68" i="33"/>
  <c r="D191" i="47"/>
  <c r="F191" i="47" s="1"/>
  <c r="BM48" i="33"/>
  <c r="BN48" i="33" s="1"/>
  <c r="H12" i="33"/>
  <c r="G12" i="33" s="1"/>
  <c r="F12" i="33" s="1"/>
  <c r="E12" i="33" s="1"/>
  <c r="I11" i="33"/>
  <c r="I10" i="33" s="1"/>
  <c r="H11" i="28"/>
  <c r="G11" i="28" s="1"/>
  <c r="F11" i="28" s="1"/>
  <c r="E11" i="28" s="1"/>
  <c r="BM11" i="28"/>
  <c r="BM10" i="28" s="1"/>
  <c r="E7" i="46"/>
  <c r="BM48" i="28"/>
  <c r="BN48" i="28" s="1"/>
  <c r="I35" i="13" s="1"/>
  <c r="D182" i="47"/>
  <c r="F182" i="47" s="1"/>
  <c r="D198" i="47"/>
  <c r="F198" i="47" s="1"/>
  <c r="BM48" i="37"/>
  <c r="BN48" i="37" s="1"/>
  <c r="Y35" i="13" s="1"/>
  <c r="BM48" i="39"/>
  <c r="BN48" i="39" s="1"/>
  <c r="W35" i="13" s="1"/>
  <c r="D196" i="47"/>
  <c r="F196" i="47" s="1"/>
  <c r="D190" i="47"/>
  <c r="F190" i="47" s="1"/>
  <c r="BM48" i="34"/>
  <c r="BN48" i="34" s="1"/>
  <c r="Q35" i="13" s="1"/>
  <c r="BM48" i="24"/>
  <c r="BN48" i="24" s="1"/>
  <c r="M35" i="13" s="1"/>
  <c r="D186" i="47"/>
  <c r="F186" i="47" s="1"/>
  <c r="D184" i="47"/>
  <c r="F184" i="47" s="1"/>
  <c r="BM48" i="26"/>
  <c r="BN48" i="26" s="1"/>
  <c r="K35" i="13" s="1"/>
  <c r="I8" i="28"/>
  <c r="D272" i="47"/>
  <c r="F272" i="47" s="1"/>
  <c r="BM51" i="38"/>
  <c r="BM26" i="29"/>
  <c r="BN26" i="29" s="1"/>
  <c r="H19" i="13" s="1"/>
  <c r="D6" i="47"/>
  <c r="F6" i="47" s="1"/>
  <c r="D7" i="47"/>
  <c r="F7" i="47" s="1"/>
  <c r="BM26" i="28"/>
  <c r="BN26" i="28" s="1"/>
  <c r="I19" i="13" s="1"/>
  <c r="BN65" i="27"/>
  <c r="AF69" i="21"/>
  <c r="F14" i="48"/>
  <c r="BM27" i="28"/>
  <c r="BN27" i="28" s="1"/>
  <c r="I20" i="13" s="1"/>
  <c r="D32" i="47"/>
  <c r="D231" i="47"/>
  <c r="F231" i="47" s="1"/>
  <c r="BM50" i="29"/>
  <c r="BN50" i="29" s="1"/>
  <c r="H37" i="13" s="1"/>
  <c r="AY68" i="19"/>
  <c r="D263" i="47"/>
  <c r="BM51" i="22"/>
  <c r="BN51" i="22" s="1"/>
  <c r="O38" i="13" s="1"/>
  <c r="G10" i="69"/>
  <c r="F284" i="47"/>
  <c r="E299" i="47"/>
  <c r="AW25" i="26"/>
  <c r="AW7" i="26" s="1"/>
  <c r="V52" i="26"/>
  <c r="AW68" i="26"/>
  <c r="AD102" i="26"/>
  <c r="AS102" i="26"/>
  <c r="AU7" i="26"/>
  <c r="AN112" i="32"/>
  <c r="AS112" i="32"/>
  <c r="AN117" i="32" s="1"/>
  <c r="I19" i="58"/>
  <c r="N19" i="58" s="1"/>
  <c r="I77" i="32"/>
  <c r="I76" i="32" s="1"/>
  <c r="E81" i="32"/>
  <c r="N17" i="32"/>
  <c r="E92" i="46"/>
  <c r="BM17" i="32"/>
  <c r="BN17" i="32" s="1"/>
  <c r="S11" i="13" s="1"/>
  <c r="H80" i="32"/>
  <c r="AS80" i="32"/>
  <c r="V10" i="32"/>
  <c r="BL11" i="32"/>
  <c r="BM13" i="32"/>
  <c r="BN13" i="32" s="1"/>
  <c r="J13" i="32"/>
  <c r="AL68" i="32"/>
  <c r="O19" i="64"/>
  <c r="I18" i="70"/>
  <c r="V49" i="32"/>
  <c r="AT25" i="32"/>
  <c r="BM17" i="22"/>
  <c r="BN17" i="22" s="1"/>
  <c r="O11" i="13" s="1"/>
  <c r="N17" i="22"/>
  <c r="E88" i="46"/>
  <c r="I77" i="22"/>
  <c r="I76" i="22" s="1"/>
  <c r="E81" i="22"/>
  <c r="M16" i="22"/>
  <c r="BM16" i="22"/>
  <c r="BN16" i="22" s="1"/>
  <c r="O10" i="13" s="1"/>
  <c r="V10" i="22"/>
  <c r="BL11" i="22"/>
  <c r="D109" i="48"/>
  <c r="F109" i="48" s="1"/>
  <c r="BM41" i="22"/>
  <c r="BN41" i="22" s="1"/>
  <c r="D138" i="47"/>
  <c r="BM12" i="22"/>
  <c r="BN12" i="22" s="1"/>
  <c r="O9" i="13" s="1"/>
  <c r="E38" i="46"/>
  <c r="I12" i="22"/>
  <c r="BM37" i="34"/>
  <c r="BN37" i="34" s="1"/>
  <c r="D63" i="48"/>
  <c r="D39" i="47"/>
  <c r="F39" i="47" s="1"/>
  <c r="BM27" i="21"/>
  <c r="BN27" i="21" s="1"/>
  <c r="P20" i="13" s="1"/>
  <c r="D33" i="47"/>
  <c r="F33" i="47" s="1"/>
  <c r="BM27" i="27"/>
  <c r="BN27" i="27" s="1"/>
  <c r="J20" i="13" s="1"/>
  <c r="F79" i="24"/>
  <c r="AS79" i="24"/>
  <c r="Y98" i="24"/>
  <c r="AS98" i="24"/>
  <c r="Y118" i="24" s="1"/>
  <c r="R118" i="24"/>
  <c r="BL11" i="24"/>
  <c r="V10" i="24"/>
  <c r="H12" i="24"/>
  <c r="G12" i="24" s="1"/>
  <c r="F12" i="24" s="1"/>
  <c r="E12" i="24" s="1"/>
  <c r="I11" i="24"/>
  <c r="I10" i="24" s="1"/>
  <c r="I69" i="24"/>
  <c r="BM27" i="24"/>
  <c r="D36" i="47"/>
  <c r="F36" i="47" s="1"/>
  <c r="H77" i="34"/>
  <c r="H76" i="34" s="1"/>
  <c r="E80" i="34"/>
  <c r="H117" i="34"/>
  <c r="I17" i="54"/>
  <c r="D40" i="47"/>
  <c r="BM27" i="34"/>
  <c r="BN27" i="34" s="1"/>
  <c r="Q20" i="13" s="1"/>
  <c r="D116" i="48"/>
  <c r="F116" i="48" s="1"/>
  <c r="BM41" i="40"/>
  <c r="BN41" i="40" s="1"/>
  <c r="BM34" i="40"/>
  <c r="D145" i="47"/>
  <c r="F145" i="47" s="1"/>
  <c r="BM38" i="32"/>
  <c r="BN38" i="32" s="1"/>
  <c r="D89" i="48"/>
  <c r="D142" i="47"/>
  <c r="BM34" i="32"/>
  <c r="I25" i="58"/>
  <c r="I19" i="50"/>
  <c r="J19" i="50" s="1"/>
  <c r="O19" i="50" s="1"/>
  <c r="Q19" i="50" s="1"/>
  <c r="S8" i="33"/>
  <c r="S7" i="33" s="1"/>
  <c r="E22" i="33"/>
  <c r="S68" i="33"/>
  <c r="M77" i="29"/>
  <c r="M76" i="29" s="1"/>
  <c r="E85" i="29"/>
  <c r="D114" i="47"/>
  <c r="F114" i="47" s="1"/>
  <c r="BM32" i="21"/>
  <c r="BN32" i="21" s="1"/>
  <c r="P25" i="13" s="1"/>
  <c r="M117" i="38"/>
  <c r="M77" i="38"/>
  <c r="M76" i="38" s="1"/>
  <c r="E85" i="38"/>
  <c r="D96" i="47"/>
  <c r="F96" i="47" s="1"/>
  <c r="BM31" i="39"/>
  <c r="BN31" i="39" s="1"/>
  <c r="W24" i="13" s="1"/>
  <c r="P115" i="37"/>
  <c r="AR115" i="37"/>
  <c r="I12" i="37"/>
  <c r="D148" i="47"/>
  <c r="F148" i="47" s="1"/>
  <c r="BM34" i="37"/>
  <c r="Y116" i="37"/>
  <c r="AS97" i="37" s="1"/>
  <c r="Y76" i="37"/>
  <c r="V10" i="37"/>
  <c r="BL11" i="37"/>
  <c r="AR78" i="37"/>
  <c r="P77" i="37"/>
  <c r="BN34" i="37"/>
  <c r="Y27" i="13" s="1"/>
  <c r="AL68" i="37"/>
  <c r="S22" i="37"/>
  <c r="E173" i="46"/>
  <c r="BM22" i="37"/>
  <c r="D98" i="47"/>
  <c r="BM31" i="37"/>
  <c r="S22" i="38"/>
  <c r="E172" i="46"/>
  <c r="BM22" i="38"/>
  <c r="M117" i="40"/>
  <c r="BN32" i="40"/>
  <c r="V25" i="13" s="1"/>
  <c r="E85" i="40"/>
  <c r="M77" i="40"/>
  <c r="M76" i="40" s="1"/>
  <c r="AR85" i="30"/>
  <c r="E80" i="30"/>
  <c r="H77" i="30"/>
  <c r="H76" i="30" s="1"/>
  <c r="H117" i="30"/>
  <c r="BM41" i="30"/>
  <c r="BN41" i="30" s="1"/>
  <c r="D115" i="48"/>
  <c r="F115" i="48" s="1"/>
  <c r="AM68" i="30"/>
  <c r="D219" i="47"/>
  <c r="F219" i="47" s="1"/>
  <c r="BM49" i="30"/>
  <c r="BK66" i="31"/>
  <c r="BM66" i="31"/>
  <c r="BL63" i="31"/>
  <c r="BM49" i="31"/>
  <c r="BN49" i="31" s="1"/>
  <c r="D218" i="47"/>
  <c r="F218" i="47" s="1"/>
  <c r="I21" i="50"/>
  <c r="J21" i="50" s="1"/>
  <c r="O21" i="50" s="1"/>
  <c r="Q21" i="50" s="1"/>
  <c r="F168" i="46"/>
  <c r="BM34" i="31"/>
  <c r="D143" i="47"/>
  <c r="F143" i="47" s="1"/>
  <c r="P77" i="31"/>
  <c r="AR80" i="31"/>
  <c r="BM41" i="31"/>
  <c r="BN41" i="31" s="1"/>
  <c r="D114" i="48"/>
  <c r="F114" i="48" s="1"/>
  <c r="BM17" i="31"/>
  <c r="N17" i="31"/>
  <c r="E93" i="46"/>
  <c r="D217" i="47"/>
  <c r="F217" i="47" s="1"/>
  <c r="BM49" i="32"/>
  <c r="BN49" i="32" s="1"/>
  <c r="S36" i="13" s="1"/>
  <c r="F216" i="47"/>
  <c r="BN49" i="33"/>
  <c r="R36" i="13" s="1"/>
  <c r="BM41" i="34"/>
  <c r="BN41" i="34" s="1"/>
  <c r="D111" i="48"/>
  <c r="F111" i="48" s="1"/>
  <c r="E40" i="46"/>
  <c r="BM12" i="34"/>
  <c r="BN12" i="34" s="1"/>
  <c r="Q9" i="13" s="1"/>
  <c r="I12" i="34"/>
  <c r="D140" i="47"/>
  <c r="F140" i="47" s="1"/>
  <c r="BM34" i="34"/>
  <c r="V10" i="34"/>
  <c r="BL11" i="34"/>
  <c r="BN55" i="34"/>
  <c r="Q42" i="13" s="1"/>
  <c r="H16" i="75"/>
  <c r="I16" i="75" s="1"/>
  <c r="N16" i="75" s="1"/>
  <c r="F340" i="47"/>
  <c r="AZ25" i="34"/>
  <c r="AZ7" i="34" s="1"/>
  <c r="V55" i="34"/>
  <c r="BM22" i="21"/>
  <c r="E164" i="46"/>
  <c r="S22" i="21"/>
  <c r="D139" i="47"/>
  <c r="F338" i="47"/>
  <c r="P113" i="25"/>
  <c r="AO88" i="25"/>
  <c r="AO76" i="25" s="1"/>
  <c r="Y43" i="84"/>
  <c r="BM34" i="25"/>
  <c r="D135" i="47"/>
  <c r="AL68" i="25"/>
  <c r="I12" i="25"/>
  <c r="E35" i="46"/>
  <c r="BM12" i="25"/>
  <c r="BN12" i="25" s="1"/>
  <c r="L9" i="13" s="1"/>
  <c r="V10" i="25"/>
  <c r="BL11" i="25"/>
  <c r="N11" i="58"/>
  <c r="E84" i="46"/>
  <c r="BM17" i="26"/>
  <c r="BN17" i="26" s="1"/>
  <c r="K11" i="13" s="1"/>
  <c r="N17" i="26"/>
  <c r="V10" i="26"/>
  <c r="BL11" i="26"/>
  <c r="BM41" i="26"/>
  <c r="BN41" i="26" s="1"/>
  <c r="D105" i="48"/>
  <c r="F105" i="48" s="1"/>
  <c r="BM12" i="26"/>
  <c r="BN12" i="26" s="1"/>
  <c r="K9" i="13" s="1"/>
  <c r="E34" i="46"/>
  <c r="G11" i="86" s="1"/>
  <c r="H11" i="86" s="1"/>
  <c r="M11" i="86" s="1"/>
  <c r="I12" i="26"/>
  <c r="BL63" i="26"/>
  <c r="BI64" i="26"/>
  <c r="BM64" i="26"/>
  <c r="I77" i="27"/>
  <c r="I76" i="27" s="1"/>
  <c r="E81" i="27"/>
  <c r="E133" i="46"/>
  <c r="BM21" i="27"/>
  <c r="BN21" i="27" s="1"/>
  <c r="J14" i="13" s="1"/>
  <c r="R21" i="27"/>
  <c r="E83" i="27"/>
  <c r="K77" i="27"/>
  <c r="K76" i="27" s="1"/>
  <c r="E81" i="28"/>
  <c r="I77" i="28"/>
  <c r="I76" i="28" s="1"/>
  <c r="BM50" i="28"/>
  <c r="D232" i="47"/>
  <c r="F232" i="47" s="1"/>
  <c r="M77" i="28"/>
  <c r="M76" i="28" s="1"/>
  <c r="E85" i="28"/>
  <c r="M117" i="28"/>
  <c r="D56" i="47"/>
  <c r="BM28" i="29"/>
  <c r="E55" i="46"/>
  <c r="BM16" i="19"/>
  <c r="M16" i="19"/>
  <c r="Y97" i="19"/>
  <c r="AU68" i="19"/>
  <c r="F230" i="47"/>
  <c r="Q27" i="84"/>
  <c r="H77" i="19"/>
  <c r="H76" i="19" s="1"/>
  <c r="E80" i="19"/>
  <c r="E81" i="19"/>
  <c r="I77" i="19"/>
  <c r="I76" i="19" s="1"/>
  <c r="F5" i="47"/>
  <c r="W68" i="19"/>
  <c r="N11" i="65"/>
  <c r="P22" i="56"/>
  <c r="O22" i="56"/>
  <c r="P19" i="74"/>
  <c r="O19" i="74"/>
  <c r="M7" i="31"/>
  <c r="D7" i="32"/>
  <c r="D7" i="33"/>
  <c r="D7" i="34"/>
  <c r="D7" i="21"/>
  <c r="O15" i="41"/>
  <c r="N15" i="41"/>
  <c r="D7" i="26"/>
  <c r="D30" i="84"/>
  <c r="D14" i="84"/>
  <c r="D24" i="84"/>
  <c r="M7" i="28"/>
  <c r="I8" i="29"/>
  <c r="N6" i="75"/>
  <c r="N6" i="76"/>
  <c r="AU7" i="19"/>
  <c r="D32" i="84"/>
  <c r="D10" i="84"/>
  <c r="F9" i="19"/>
  <c r="E9" i="19" s="1"/>
  <c r="D8" i="19"/>
  <c r="D7" i="19" s="1"/>
  <c r="U8" i="32"/>
  <c r="U7" i="32" s="1"/>
  <c r="U67" i="32"/>
  <c r="D19" i="49" s="1"/>
  <c r="I19" i="49" s="1"/>
  <c r="N19" i="49" s="1"/>
  <c r="I8" i="32"/>
  <c r="BM24" i="27"/>
  <c r="D183" i="46"/>
  <c r="F183" i="46" s="1"/>
  <c r="F78" i="27"/>
  <c r="AR85" i="22"/>
  <c r="BN22" i="22"/>
  <c r="S8" i="22"/>
  <c r="S7" i="22" s="1"/>
  <c r="E22" i="22"/>
  <c r="F163" i="46"/>
  <c r="I16" i="50"/>
  <c r="J16" i="50" s="1"/>
  <c r="O16" i="50" s="1"/>
  <c r="Q16" i="50" s="1"/>
  <c r="E155" i="46"/>
  <c r="S22" i="19"/>
  <c r="BM22" i="19"/>
  <c r="M117" i="19"/>
  <c r="Y15" i="84"/>
  <c r="D101" i="48"/>
  <c r="BM41" i="19"/>
  <c r="BN41" i="19" s="1"/>
  <c r="M77" i="19"/>
  <c r="M76" i="19" s="1"/>
  <c r="E85" i="19"/>
  <c r="D160" i="46"/>
  <c r="BM22" i="25"/>
  <c r="N23" i="49"/>
  <c r="D196" i="46"/>
  <c r="BM24" i="39"/>
  <c r="BN24" i="39" s="1"/>
  <c r="AL68" i="39"/>
  <c r="H23" i="64"/>
  <c r="F117" i="48"/>
  <c r="AE41" i="39"/>
  <c r="V41" i="39" s="1"/>
  <c r="AL34" i="39"/>
  <c r="AL25" i="39" s="1"/>
  <c r="AL7" i="39" s="1"/>
  <c r="F146" i="47"/>
  <c r="BJ63" i="39"/>
  <c r="BJ7" i="39" s="1"/>
  <c r="BH65" i="39"/>
  <c r="BN65" i="39"/>
  <c r="L84" i="39"/>
  <c r="AS84" i="39"/>
  <c r="W117" i="39"/>
  <c r="BM32" i="39"/>
  <c r="D121" i="47"/>
  <c r="J117" i="25"/>
  <c r="E116" i="25"/>
  <c r="AR115" i="25"/>
  <c r="AR115" i="31"/>
  <c r="AM7" i="88" l="1"/>
  <c r="BF56" i="88"/>
  <c r="BG56" i="88" s="1"/>
  <c r="BK56" i="88" s="1"/>
  <c r="I60" i="88"/>
  <c r="P11" i="76"/>
  <c r="BI38" i="88"/>
  <c r="N15" i="82"/>
  <c r="H10" i="29"/>
  <c r="I25" i="62"/>
  <c r="W69" i="23"/>
  <c r="M16" i="63"/>
  <c r="Q9" i="57"/>
  <c r="E144" i="47"/>
  <c r="H21" i="89" s="1"/>
  <c r="BF32" i="88"/>
  <c r="BG32" i="88" s="1"/>
  <c r="BK32" i="88" s="1"/>
  <c r="P9" i="84"/>
  <c r="BM16" i="30"/>
  <c r="M16" i="30"/>
  <c r="H9" i="88"/>
  <c r="H8" i="88" s="1"/>
  <c r="H7" i="88" s="1"/>
  <c r="P78" i="22"/>
  <c r="Y77" i="22"/>
  <c r="Y116" i="22" s="1"/>
  <c r="BN41" i="24"/>
  <c r="AL69" i="24" s="1"/>
  <c r="BO41" i="24"/>
  <c r="F103" i="48"/>
  <c r="BF16" i="88"/>
  <c r="BG16" i="88" s="1"/>
  <c r="BK16" i="88" s="1"/>
  <c r="E58" i="88"/>
  <c r="AN60" i="88"/>
  <c r="BF43" i="88" s="1"/>
  <c r="BG43" i="88" s="1"/>
  <c r="BK43" i="88" s="1"/>
  <c r="V7" i="84"/>
  <c r="AE7" i="84"/>
  <c r="BB20" i="88"/>
  <c r="AC68" i="33"/>
  <c r="I25" i="67"/>
  <c r="M38" i="13"/>
  <c r="O20" i="70"/>
  <c r="P102" i="23"/>
  <c r="E85" i="25"/>
  <c r="BI40" i="88"/>
  <c r="P7" i="64"/>
  <c r="I11" i="40"/>
  <c r="I10" i="40" s="1"/>
  <c r="I9" i="40" s="1"/>
  <c r="BI57" i="88"/>
  <c r="P20" i="65"/>
  <c r="O22" i="54"/>
  <c r="D24" i="83"/>
  <c r="R35" i="13"/>
  <c r="AP20" i="88"/>
  <c r="AP7" i="88" s="1"/>
  <c r="U24" i="13"/>
  <c r="BM34" i="30"/>
  <c r="AU25" i="33"/>
  <c r="V50" i="33"/>
  <c r="E16" i="46"/>
  <c r="G18" i="83" s="1"/>
  <c r="H18" i="83" s="1"/>
  <c r="M18" i="83" s="1"/>
  <c r="Q58" i="88"/>
  <c r="BE58" i="88" s="1"/>
  <c r="BF58" i="88" s="1"/>
  <c r="BG58" i="88" s="1"/>
  <c r="BK58" i="88" s="1"/>
  <c r="H16" i="62"/>
  <c r="I16" i="62" s="1"/>
  <c r="N16" i="62" s="1"/>
  <c r="F158" i="48"/>
  <c r="T20" i="88"/>
  <c r="T7" i="88" s="1"/>
  <c r="V7" i="88"/>
  <c r="AE43" i="21"/>
  <c r="V43" i="21" s="1"/>
  <c r="AN34" i="21"/>
  <c r="AN25" i="21" s="1"/>
  <c r="AN7" i="21" s="1"/>
  <c r="BF11" i="88"/>
  <c r="BG11" i="88" s="1"/>
  <c r="BK11" i="88" s="1"/>
  <c r="H13" i="70"/>
  <c r="I13" i="70" s="1"/>
  <c r="N13" i="70" s="1"/>
  <c r="F262" i="47"/>
  <c r="BM23" i="23"/>
  <c r="BN23" i="23" s="1"/>
  <c r="BF57" i="88"/>
  <c r="BG57" i="88" s="1"/>
  <c r="BK57" i="88" s="1"/>
  <c r="AE43" i="23"/>
  <c r="V43" i="23" s="1"/>
  <c r="AN34" i="23"/>
  <c r="AN25" i="23" s="1"/>
  <c r="AN7" i="23" s="1"/>
  <c r="D24" i="54"/>
  <c r="AA25" i="23"/>
  <c r="AA7" i="23" s="1"/>
  <c r="V30" i="23"/>
  <c r="E23" i="23"/>
  <c r="T8" i="23"/>
  <c r="T7" i="23" s="1"/>
  <c r="V51" i="23"/>
  <c r="AV25" i="23"/>
  <c r="AV7" i="23" s="1"/>
  <c r="E41" i="84"/>
  <c r="AQ7" i="84"/>
  <c r="E36" i="84"/>
  <c r="AD7" i="84"/>
  <c r="BF27" i="88"/>
  <c r="BG27" i="88" s="1"/>
  <c r="BK27" i="88" s="1"/>
  <c r="BF45" i="88"/>
  <c r="BG45" i="88" s="1"/>
  <c r="BK45" i="88" s="1"/>
  <c r="E19" i="84"/>
  <c r="AK61" i="88"/>
  <c r="BB7" i="88"/>
  <c r="BF47" i="88"/>
  <c r="BG47" i="88" s="1"/>
  <c r="BK47" i="88" s="1"/>
  <c r="BF25" i="88"/>
  <c r="BG25" i="88" s="1"/>
  <c r="BK25" i="88" s="1"/>
  <c r="U89" i="24"/>
  <c r="U77" i="24" s="1"/>
  <c r="P94" i="24"/>
  <c r="E26" i="24"/>
  <c r="F25" i="24"/>
  <c r="F68" i="24" s="1"/>
  <c r="BF24" i="88"/>
  <c r="BG24" i="88" s="1"/>
  <c r="BK24" i="88" s="1"/>
  <c r="BL38" i="24"/>
  <c r="E34" i="24"/>
  <c r="BL34" i="24" s="1"/>
  <c r="BF28" i="88"/>
  <c r="BG28" i="88" s="1"/>
  <c r="BK28" i="88" s="1"/>
  <c r="AE45" i="24"/>
  <c r="V45" i="24" s="1"/>
  <c r="AP34" i="24"/>
  <c r="AP25" i="24" s="1"/>
  <c r="AP7" i="24" s="1"/>
  <c r="AS94" i="24"/>
  <c r="U118" i="24" s="1"/>
  <c r="Z25" i="24"/>
  <c r="Z7" i="24" s="1"/>
  <c r="V29" i="24"/>
  <c r="H13" i="67"/>
  <c r="I13" i="67" s="1"/>
  <c r="N13" i="67" s="1"/>
  <c r="F203" i="48"/>
  <c r="P45" i="84"/>
  <c r="AT7" i="26"/>
  <c r="O10" i="75"/>
  <c r="AU68" i="26"/>
  <c r="AR14" i="84"/>
  <c r="F139" i="48"/>
  <c r="I12" i="72"/>
  <c r="E94" i="46"/>
  <c r="F94" i="46" s="1"/>
  <c r="N17" i="30"/>
  <c r="F17" i="30" s="1"/>
  <c r="E17" i="30" s="1"/>
  <c r="L21" i="63"/>
  <c r="E22" i="30"/>
  <c r="P116" i="39"/>
  <c r="O18" i="88"/>
  <c r="AQ68" i="39"/>
  <c r="W33" i="13"/>
  <c r="I22" i="49"/>
  <c r="N22" i="49" s="1"/>
  <c r="AW68" i="40"/>
  <c r="V39" i="13"/>
  <c r="BM63" i="33"/>
  <c r="R47" i="13"/>
  <c r="BC68" i="33"/>
  <c r="O18" i="54"/>
  <c r="D23" i="70"/>
  <c r="I28" i="59"/>
  <c r="BF54" i="88"/>
  <c r="BG54" i="88" s="1"/>
  <c r="BK54" i="88" s="1"/>
  <c r="AS116" i="21"/>
  <c r="AQ118" i="21" s="1"/>
  <c r="P15" i="70"/>
  <c r="O16" i="54"/>
  <c r="BI48" i="88"/>
  <c r="D24" i="46"/>
  <c r="BF13" i="88"/>
  <c r="BG13" i="88" s="1"/>
  <c r="BK13" i="88" s="1"/>
  <c r="O9" i="21"/>
  <c r="O68" i="21" s="1"/>
  <c r="Q8" i="21"/>
  <c r="Q7" i="21" s="1"/>
  <c r="BD69" i="21"/>
  <c r="P46" i="13"/>
  <c r="O33" i="13"/>
  <c r="AQ68" i="22"/>
  <c r="BM21" i="23"/>
  <c r="BN21" i="23" s="1"/>
  <c r="R21" i="23"/>
  <c r="E137" i="46"/>
  <c r="F137" i="46" s="1"/>
  <c r="F13" i="63"/>
  <c r="K13" i="63" s="1"/>
  <c r="L13" i="63" s="1"/>
  <c r="BG69" i="24"/>
  <c r="AD61" i="88"/>
  <c r="BL33" i="88"/>
  <c r="BJ33" i="88"/>
  <c r="N68" i="25"/>
  <c r="L11" i="13"/>
  <c r="D23" i="65"/>
  <c r="AZ68" i="27"/>
  <c r="M68" i="27"/>
  <c r="AS97" i="29"/>
  <c r="O8" i="67"/>
  <c r="P8" i="56"/>
  <c r="H9" i="29"/>
  <c r="BM45" i="29"/>
  <c r="BN45" i="29" s="1"/>
  <c r="D106" i="47"/>
  <c r="F106" i="47" s="1"/>
  <c r="D24" i="67"/>
  <c r="AC88" i="19"/>
  <c r="AC76" i="19" s="1"/>
  <c r="V14" i="66"/>
  <c r="U14" i="66"/>
  <c r="P19" i="54"/>
  <c r="O19" i="54"/>
  <c r="P10" i="54"/>
  <c r="O10" i="54"/>
  <c r="P13" i="54"/>
  <c r="O13" i="54"/>
  <c r="P11" i="74"/>
  <c r="O11" i="74"/>
  <c r="M22" i="63"/>
  <c r="L22" i="63"/>
  <c r="AD14" i="53"/>
  <c r="AC14" i="53"/>
  <c r="I9" i="59"/>
  <c r="N9" i="59" s="1"/>
  <c r="O9" i="59" s="1"/>
  <c r="P14" i="70"/>
  <c r="O14" i="70"/>
  <c r="P9" i="54"/>
  <c r="O9" i="54"/>
  <c r="P19" i="75"/>
  <c r="O19" i="75"/>
  <c r="M15" i="63"/>
  <c r="L15" i="63"/>
  <c r="AB13" i="53"/>
  <c r="W14" i="53"/>
  <c r="O16" i="65"/>
  <c r="P16" i="65"/>
  <c r="O9" i="64"/>
  <c r="P9" i="64"/>
  <c r="O17" i="62"/>
  <c r="P17" i="62"/>
  <c r="E115" i="28"/>
  <c r="F116" i="28"/>
  <c r="AS78" i="28" s="1"/>
  <c r="F117" i="28" s="1"/>
  <c r="O31" i="13"/>
  <c r="AH68" i="22"/>
  <c r="V49" i="31"/>
  <c r="AT25" i="31"/>
  <c r="X68" i="33"/>
  <c r="R20" i="13"/>
  <c r="AY68" i="26"/>
  <c r="K41" i="13"/>
  <c r="H12" i="55"/>
  <c r="I12" i="55" s="1"/>
  <c r="N12" i="55" s="1"/>
  <c r="F10" i="47"/>
  <c r="X25" i="24"/>
  <c r="X7" i="24" s="1"/>
  <c r="V27" i="24"/>
  <c r="F30" i="48"/>
  <c r="H9" i="60"/>
  <c r="AQ25" i="34"/>
  <c r="AQ7" i="34" s="1"/>
  <c r="V46" i="34"/>
  <c r="V55" i="26"/>
  <c r="AZ25" i="26"/>
  <c r="AZ7" i="26" s="1"/>
  <c r="AQ68" i="30"/>
  <c r="U33" i="13"/>
  <c r="V31" i="24"/>
  <c r="AB25" i="24"/>
  <c r="AB7" i="24" s="1"/>
  <c r="Q41" i="13"/>
  <c r="AY68" i="34"/>
  <c r="AE41" i="22"/>
  <c r="V41" i="22" s="1"/>
  <c r="AL34" i="22"/>
  <c r="AL25" i="22" s="1"/>
  <c r="AL7" i="22" s="1"/>
  <c r="E24" i="22"/>
  <c r="U8" i="22"/>
  <c r="U7" i="22" s="1"/>
  <c r="V54" i="32"/>
  <c r="AY25" i="32"/>
  <c r="AY7" i="32" s="1"/>
  <c r="H10" i="55"/>
  <c r="I10" i="55" s="1"/>
  <c r="N10" i="55" s="1"/>
  <c r="F8" i="47"/>
  <c r="V27" i="25"/>
  <c r="X25" i="25"/>
  <c r="X7" i="25" s="1"/>
  <c r="AM34" i="30"/>
  <c r="AM25" i="30" s="1"/>
  <c r="AM7" i="30" s="1"/>
  <c r="AE42" i="30"/>
  <c r="V42" i="30" s="1"/>
  <c r="AE37" i="32"/>
  <c r="V37" i="32" s="1"/>
  <c r="AH34" i="32"/>
  <c r="AH25" i="32" s="1"/>
  <c r="AH7" i="32" s="1"/>
  <c r="AE43" i="37"/>
  <c r="V43" i="37" s="1"/>
  <c r="AN34" i="37"/>
  <c r="AN25" i="37" s="1"/>
  <c r="AN7" i="37" s="1"/>
  <c r="H13" i="62"/>
  <c r="I13" i="62" s="1"/>
  <c r="N13" i="62" s="1"/>
  <c r="F155" i="48"/>
  <c r="AV68" i="25"/>
  <c r="L38" i="13"/>
  <c r="V52" i="38"/>
  <c r="AW25" i="38"/>
  <c r="AW7" i="38" s="1"/>
  <c r="W39" i="13"/>
  <c r="AW68" i="39"/>
  <c r="V62" i="23"/>
  <c r="BG25" i="23"/>
  <c r="BG7" i="23" s="1"/>
  <c r="AY68" i="25"/>
  <c r="L41" i="13"/>
  <c r="V62" i="29"/>
  <c r="BG25" i="29"/>
  <c r="BG7" i="29" s="1"/>
  <c r="BA25" i="22"/>
  <c r="BA7" i="22" s="1"/>
  <c r="V56" i="22"/>
  <c r="BL61" i="40"/>
  <c r="E25" i="40"/>
  <c r="BL25" i="40" s="1"/>
  <c r="AE36" i="19"/>
  <c r="V36" i="19" s="1"/>
  <c r="AG34" i="19"/>
  <c r="AG25" i="19" s="1"/>
  <c r="AG7" i="19" s="1"/>
  <c r="H14" i="58"/>
  <c r="I14" i="58" s="1"/>
  <c r="N14" i="58" s="1"/>
  <c r="F84" i="48"/>
  <c r="AY25" i="33"/>
  <c r="AY7" i="33" s="1"/>
  <c r="V54" i="33"/>
  <c r="AE37" i="34"/>
  <c r="V37" i="34" s="1"/>
  <c r="AH34" i="34"/>
  <c r="AH25" i="34" s="1"/>
  <c r="AH7" i="34" s="1"/>
  <c r="AE44" i="30"/>
  <c r="V44" i="30" s="1"/>
  <c r="AO34" i="30"/>
  <c r="AO25" i="30" s="1"/>
  <c r="AO7" i="30" s="1"/>
  <c r="V54" i="38"/>
  <c r="AY25" i="38"/>
  <c r="AY7" i="38" s="1"/>
  <c r="BH66" i="33"/>
  <c r="BK63" i="33"/>
  <c r="BK7" i="33" s="1"/>
  <c r="T68" i="29"/>
  <c r="H16" i="13"/>
  <c r="BM52" i="37"/>
  <c r="BN52" i="37" s="1"/>
  <c r="D298" i="47"/>
  <c r="F298" i="47" s="1"/>
  <c r="AD68" i="22"/>
  <c r="O26" i="13"/>
  <c r="V59" i="38"/>
  <c r="BD25" i="38"/>
  <c r="BD7" i="38" s="1"/>
  <c r="V47" i="19"/>
  <c r="AR25" i="19"/>
  <c r="AR7" i="19" s="1"/>
  <c r="AD88" i="40"/>
  <c r="AD76" i="40" s="1"/>
  <c r="P102" i="40"/>
  <c r="D94" i="48"/>
  <c r="F94" i="48" s="1"/>
  <c r="BM38" i="38"/>
  <c r="BN38" i="38" s="1"/>
  <c r="P15" i="65"/>
  <c r="O15" i="65"/>
  <c r="V57" i="34"/>
  <c r="BB25" i="34"/>
  <c r="BB7" i="34" s="1"/>
  <c r="AM34" i="24"/>
  <c r="AM25" i="24" s="1"/>
  <c r="AM7" i="24" s="1"/>
  <c r="AE42" i="24"/>
  <c r="V42" i="24" s="1"/>
  <c r="E24" i="38"/>
  <c r="U8" i="38"/>
  <c r="U7" i="38" s="1"/>
  <c r="V57" i="37"/>
  <c r="BB25" i="37"/>
  <c r="BB7" i="37" s="1"/>
  <c r="X25" i="33"/>
  <c r="X7" i="33" s="1"/>
  <c r="V27" i="33"/>
  <c r="P20" i="67"/>
  <c r="O20" i="67"/>
  <c r="R18" i="40"/>
  <c r="R8" i="40" s="1"/>
  <c r="R7" i="40" s="1"/>
  <c r="O21" i="40"/>
  <c r="E21" i="40" s="1"/>
  <c r="E142" i="47"/>
  <c r="H19" i="89" s="1"/>
  <c r="I19" i="89" s="1"/>
  <c r="AE34" i="32"/>
  <c r="AE25" i="32" s="1"/>
  <c r="AE7" i="32" s="1"/>
  <c r="P91" i="39"/>
  <c r="S88" i="39"/>
  <c r="S76" i="39" s="1"/>
  <c r="P109" i="39"/>
  <c r="AK88" i="39"/>
  <c r="AK76" i="39" s="1"/>
  <c r="F88" i="22"/>
  <c r="F116" i="22" s="1"/>
  <c r="E97" i="22"/>
  <c r="AG69" i="21"/>
  <c r="P30" i="13"/>
  <c r="BB68" i="22"/>
  <c r="O44" i="13"/>
  <c r="D17" i="79"/>
  <c r="I17" i="79" s="1"/>
  <c r="D415" i="47"/>
  <c r="F415" i="47" s="1"/>
  <c r="BM58" i="34"/>
  <c r="BN58" i="34" s="1"/>
  <c r="Y25" i="27"/>
  <c r="Y7" i="27" s="1"/>
  <c r="V28" i="27"/>
  <c r="AX68" i="19"/>
  <c r="G40" i="13"/>
  <c r="AW25" i="37"/>
  <c r="AW7" i="37" s="1"/>
  <c r="V52" i="37"/>
  <c r="AN34" i="34"/>
  <c r="AN25" i="34" s="1"/>
  <c r="AN7" i="34" s="1"/>
  <c r="AE43" i="34"/>
  <c r="V43" i="34" s="1"/>
  <c r="O24" i="60"/>
  <c r="P24" i="60"/>
  <c r="O13" i="65"/>
  <c r="P13" i="65"/>
  <c r="E120" i="48"/>
  <c r="E9" i="32"/>
  <c r="D183" i="47"/>
  <c r="D199" i="47" s="1"/>
  <c r="T52" i="13"/>
  <c r="G19" i="95"/>
  <c r="H19" i="95" s="1"/>
  <c r="AS77" i="38"/>
  <c r="E117" i="38" s="1"/>
  <c r="I7" i="55"/>
  <c r="N7" i="55" s="1"/>
  <c r="F32" i="47"/>
  <c r="P12" i="57"/>
  <c r="D24" i="56"/>
  <c r="P9" i="70"/>
  <c r="AN20" i="88"/>
  <c r="AN7" i="88" s="1"/>
  <c r="BF41" i="88"/>
  <c r="BG41" i="88" s="1"/>
  <c r="BK41" i="88" s="1"/>
  <c r="Q24" i="88"/>
  <c r="AS97" i="34"/>
  <c r="Y117" i="34" s="1"/>
  <c r="X21" i="13"/>
  <c r="P20" i="60"/>
  <c r="F67" i="27"/>
  <c r="E449" i="47"/>
  <c r="P117" i="23"/>
  <c r="F21" i="47"/>
  <c r="F446" i="47"/>
  <c r="D24" i="73"/>
  <c r="F31" i="47"/>
  <c r="Q8" i="27"/>
  <c r="Q7" i="27" s="1"/>
  <c r="AS79" i="23"/>
  <c r="F118" i="23" s="1"/>
  <c r="F413" i="47"/>
  <c r="P21" i="67"/>
  <c r="F73" i="47"/>
  <c r="P12" i="60"/>
  <c r="O12" i="65"/>
  <c r="O18" i="60"/>
  <c r="E9" i="27"/>
  <c r="O7" i="68"/>
  <c r="D27" i="50"/>
  <c r="F104" i="48"/>
  <c r="I14" i="71"/>
  <c r="N14" i="71" s="1"/>
  <c r="J20" i="57"/>
  <c r="O20" i="57" s="1"/>
  <c r="E135" i="47"/>
  <c r="H12" i="89" s="1"/>
  <c r="I12" i="89" s="1"/>
  <c r="E132" i="47"/>
  <c r="H9" i="89" s="1"/>
  <c r="I9" i="89" s="1"/>
  <c r="AE34" i="28"/>
  <c r="AE25" i="28" s="1"/>
  <c r="AE7" i="28" s="1"/>
  <c r="P97" i="38"/>
  <c r="Y88" i="38"/>
  <c r="Y76" i="38" s="1"/>
  <c r="AR88" i="39"/>
  <c r="E116" i="39"/>
  <c r="AE45" i="31"/>
  <c r="V45" i="31" s="1"/>
  <c r="AP34" i="31"/>
  <c r="AP25" i="31" s="1"/>
  <c r="AP7" i="31" s="1"/>
  <c r="BA68" i="37"/>
  <c r="Y43" i="13"/>
  <c r="AR25" i="30"/>
  <c r="AR7" i="30" s="1"/>
  <c r="V47" i="30"/>
  <c r="P19" i="56"/>
  <c r="O19" i="56"/>
  <c r="BM59" i="38"/>
  <c r="BN59" i="38" s="1"/>
  <c r="D447" i="47"/>
  <c r="F447" i="47" s="1"/>
  <c r="AV68" i="34"/>
  <c r="Q38" i="13"/>
  <c r="V14" i="53"/>
  <c r="U68" i="34"/>
  <c r="Q17" i="13"/>
  <c r="AE36" i="25"/>
  <c r="V36" i="25" s="1"/>
  <c r="AG34" i="25"/>
  <c r="AG25" i="25" s="1"/>
  <c r="AG7" i="25" s="1"/>
  <c r="V28" i="38"/>
  <c r="Y25" i="38"/>
  <c r="Y7" i="38" s="1"/>
  <c r="W68" i="25"/>
  <c r="L19" i="13"/>
  <c r="X25" i="34"/>
  <c r="X7" i="34" s="1"/>
  <c r="V27" i="34"/>
  <c r="AE38" i="34"/>
  <c r="V38" i="34" s="1"/>
  <c r="AI34" i="34"/>
  <c r="AI25" i="34" s="1"/>
  <c r="AI7" i="34" s="1"/>
  <c r="AN34" i="22"/>
  <c r="AN25" i="22" s="1"/>
  <c r="AN7" i="22" s="1"/>
  <c r="AE43" i="22"/>
  <c r="V43" i="22" s="1"/>
  <c r="N17" i="66"/>
  <c r="O17" i="66" s="1"/>
  <c r="T17" i="66" s="1"/>
  <c r="F165" i="47"/>
  <c r="F37" i="47"/>
  <c r="F87" i="48"/>
  <c r="E216" i="48"/>
  <c r="F63" i="38"/>
  <c r="E66" i="38"/>
  <c r="D7" i="41"/>
  <c r="D24" i="41" s="1"/>
  <c r="D105" i="46"/>
  <c r="D124" i="46" s="1"/>
  <c r="BH17" i="87"/>
  <c r="BH17" i="88"/>
  <c r="AE36" i="31"/>
  <c r="V36" i="31" s="1"/>
  <c r="AG34" i="31"/>
  <c r="AG25" i="31" s="1"/>
  <c r="AG7" i="31" s="1"/>
  <c r="P96" i="37"/>
  <c r="X88" i="37"/>
  <c r="X76" i="37" s="1"/>
  <c r="V55" i="31"/>
  <c r="AZ25" i="31"/>
  <c r="AZ7" i="31" s="1"/>
  <c r="AP88" i="37"/>
  <c r="AP76" i="37" s="1"/>
  <c r="P114" i="37"/>
  <c r="O46" i="13"/>
  <c r="BD68" i="22"/>
  <c r="V54" i="34"/>
  <c r="AY25" i="34"/>
  <c r="AY7" i="34" s="1"/>
  <c r="Y68" i="25"/>
  <c r="L21" i="13"/>
  <c r="P15" i="49"/>
  <c r="O15" i="49"/>
  <c r="V27" i="21"/>
  <c r="X25" i="21"/>
  <c r="X7" i="21" s="1"/>
  <c r="O12" i="54"/>
  <c r="P12" i="54"/>
  <c r="BA25" i="25"/>
  <c r="BA7" i="25" s="1"/>
  <c r="V56" i="25"/>
  <c r="T19" i="89"/>
  <c r="U19" i="89" s="1"/>
  <c r="H19" i="59"/>
  <c r="I19" i="59" s="1"/>
  <c r="N19" i="59" s="1"/>
  <c r="O19" i="59" s="1"/>
  <c r="AQ25" i="23"/>
  <c r="AQ7" i="23" s="1"/>
  <c r="V46" i="23"/>
  <c r="V51" i="25"/>
  <c r="AV25" i="25"/>
  <c r="AV7" i="25" s="1"/>
  <c r="N49" i="13"/>
  <c r="BG69" i="23"/>
  <c r="AQ116" i="28"/>
  <c r="AR88" i="28"/>
  <c r="BL39" i="19"/>
  <c r="E34" i="19"/>
  <c r="BL34" i="19" s="1"/>
  <c r="P113" i="32"/>
  <c r="AO88" i="32"/>
  <c r="AO76" i="32" s="1"/>
  <c r="E39" i="22"/>
  <c r="F34" i="22"/>
  <c r="F25" i="22" s="1"/>
  <c r="F67" i="22" s="1"/>
  <c r="D71" i="47"/>
  <c r="F71" i="47" s="1"/>
  <c r="BM28" i="39"/>
  <c r="BN28" i="39" s="1"/>
  <c r="X68" i="38"/>
  <c r="X20" i="13"/>
  <c r="D13" i="55"/>
  <c r="I13" i="55" s="1"/>
  <c r="N13" i="55" s="1"/>
  <c r="BM26" i="24"/>
  <c r="BN26" i="24" s="1"/>
  <c r="D11" i="47"/>
  <c r="F11" i="47" s="1"/>
  <c r="AF68" i="29"/>
  <c r="H29" i="13"/>
  <c r="AM34" i="19"/>
  <c r="AM25" i="19" s="1"/>
  <c r="AM7" i="19" s="1"/>
  <c r="AE42" i="19"/>
  <c r="V42" i="19" s="1"/>
  <c r="AM34" i="22"/>
  <c r="AM25" i="22" s="1"/>
  <c r="AM7" i="22" s="1"/>
  <c r="AE42" i="22"/>
  <c r="V42" i="22" s="1"/>
  <c r="X68" i="22"/>
  <c r="O20" i="13"/>
  <c r="X25" i="26"/>
  <c r="X7" i="26" s="1"/>
  <c r="V27" i="26"/>
  <c r="AG68" i="19"/>
  <c r="G30" i="13"/>
  <c r="V48" i="23"/>
  <c r="AS25" i="23"/>
  <c r="AS7" i="23" s="1"/>
  <c r="P7" i="74"/>
  <c r="O7" i="74"/>
  <c r="H17" i="59"/>
  <c r="I17" i="59" s="1"/>
  <c r="N17" i="59" s="1"/>
  <c r="O17" i="59" s="1"/>
  <c r="T17" i="89"/>
  <c r="U17" i="89" s="1"/>
  <c r="AE44" i="19"/>
  <c r="V44" i="19" s="1"/>
  <c r="AO34" i="19"/>
  <c r="AO25" i="19" s="1"/>
  <c r="AO7" i="19" s="1"/>
  <c r="I9" i="75"/>
  <c r="N9" i="75" s="1"/>
  <c r="D23" i="75"/>
  <c r="F63" i="28"/>
  <c r="F67" i="28" s="1"/>
  <c r="E66" i="28"/>
  <c r="T8" i="29"/>
  <c r="T7" i="29" s="1"/>
  <c r="E23" i="29"/>
  <c r="AD25" i="22"/>
  <c r="AD7" i="22" s="1"/>
  <c r="V33" i="22"/>
  <c r="V54" i="22"/>
  <c r="AY25" i="22"/>
  <c r="AY7" i="22" s="1"/>
  <c r="AS97" i="38"/>
  <c r="Y117" i="38" s="1"/>
  <c r="AT7" i="37"/>
  <c r="AB68" i="33"/>
  <c r="R24" i="13"/>
  <c r="V54" i="19"/>
  <c r="AY25" i="19"/>
  <c r="AY7" i="19" s="1"/>
  <c r="D19" i="61"/>
  <c r="D17" i="48"/>
  <c r="BM35" i="32"/>
  <c r="BN35" i="32" s="1"/>
  <c r="V17" i="13"/>
  <c r="U68" i="40"/>
  <c r="Y30" i="13"/>
  <c r="AG68" i="37"/>
  <c r="N25" i="13"/>
  <c r="AC69" i="23"/>
  <c r="V61" i="30"/>
  <c r="BF25" i="30"/>
  <c r="BF7" i="30" s="1"/>
  <c r="AE36" i="39"/>
  <c r="V36" i="39" s="1"/>
  <c r="AG34" i="39"/>
  <c r="AG25" i="39" s="1"/>
  <c r="AG7" i="39" s="1"/>
  <c r="AS92" i="26"/>
  <c r="AQ116" i="32"/>
  <c r="AS115" i="32" s="1"/>
  <c r="AQ117" i="32" s="1"/>
  <c r="AQ76" i="32"/>
  <c r="AG34" i="21"/>
  <c r="AG25" i="21" s="1"/>
  <c r="AG7" i="21" s="1"/>
  <c r="AE36" i="21"/>
  <c r="V36" i="21" s="1"/>
  <c r="BG25" i="34"/>
  <c r="BG7" i="34" s="1"/>
  <c r="V62" i="34"/>
  <c r="I15" i="73"/>
  <c r="BM46" i="38"/>
  <c r="BN46" i="38" s="1"/>
  <c r="D172" i="47"/>
  <c r="F172" i="47" s="1"/>
  <c r="BG68" i="25"/>
  <c r="L49" i="13"/>
  <c r="E24" i="27"/>
  <c r="U8" i="27"/>
  <c r="U7" i="27" s="1"/>
  <c r="V54" i="27"/>
  <c r="AY25" i="27"/>
  <c r="AY7" i="27" s="1"/>
  <c r="F45" i="48"/>
  <c r="BH12" i="88"/>
  <c r="BH12" i="87"/>
  <c r="P17" i="65"/>
  <c r="O17" i="65"/>
  <c r="AR68" i="33"/>
  <c r="R34" i="13"/>
  <c r="U34" i="13"/>
  <c r="AR68" i="30"/>
  <c r="BM52" i="19"/>
  <c r="BN52" i="19" s="1"/>
  <c r="D6" i="69"/>
  <c r="D280" i="47"/>
  <c r="F280" i="47" s="1"/>
  <c r="V54" i="40"/>
  <c r="AY25" i="40"/>
  <c r="AY7" i="40" s="1"/>
  <c r="AE42" i="40"/>
  <c r="V42" i="40" s="1"/>
  <c r="V34" i="40" s="1"/>
  <c r="AM34" i="40"/>
  <c r="AM25" i="40" s="1"/>
  <c r="AM7" i="40" s="1"/>
  <c r="W25" i="30"/>
  <c r="W7" i="30" s="1"/>
  <c r="V26" i="30"/>
  <c r="AQ88" i="34"/>
  <c r="AR97" i="34"/>
  <c r="Y97" i="34" s="1"/>
  <c r="Y88" i="34" s="1"/>
  <c r="Y76" i="34" s="1"/>
  <c r="P17" i="49"/>
  <c r="O17" i="49"/>
  <c r="E66" i="30"/>
  <c r="F63" i="30"/>
  <c r="BM48" i="27"/>
  <c r="BN48" i="27" s="1"/>
  <c r="J35" i="13" s="1"/>
  <c r="I9" i="65"/>
  <c r="N9" i="65" s="1"/>
  <c r="O9" i="65" s="1"/>
  <c r="K52" i="13"/>
  <c r="G10" i="95"/>
  <c r="E48" i="46"/>
  <c r="P9" i="56"/>
  <c r="F123" i="47"/>
  <c r="K47" i="84"/>
  <c r="AL20" i="88"/>
  <c r="AL7" i="88" s="1"/>
  <c r="S68" i="34"/>
  <c r="F67" i="30"/>
  <c r="D49" i="46"/>
  <c r="O23" i="60"/>
  <c r="P23" i="60"/>
  <c r="AR10" i="84"/>
  <c r="F382" i="47"/>
  <c r="AE88" i="26"/>
  <c r="AE76" i="26" s="1"/>
  <c r="O8" i="74"/>
  <c r="O15" i="60"/>
  <c r="E130" i="46"/>
  <c r="F130" i="46" s="1"/>
  <c r="Q13" i="57"/>
  <c r="D24" i="49"/>
  <c r="AJ39" i="25"/>
  <c r="BM39" i="25"/>
  <c r="BN39" i="25" s="1"/>
  <c r="AJ68" i="25" s="1"/>
  <c r="Q89" i="39"/>
  <c r="AS89" i="39"/>
  <c r="Q117" i="39" s="1"/>
  <c r="R68" i="40"/>
  <c r="V14" i="13"/>
  <c r="F34" i="21"/>
  <c r="F25" i="21" s="1"/>
  <c r="E40" i="21"/>
  <c r="V28" i="22"/>
  <c r="Y25" i="22"/>
  <c r="Y7" i="22" s="1"/>
  <c r="AA68" i="25"/>
  <c r="L23" i="13"/>
  <c r="V31" i="23"/>
  <c r="AB25" i="23"/>
  <c r="AB7" i="23" s="1"/>
  <c r="H21" i="76"/>
  <c r="I21" i="76" s="1"/>
  <c r="N21" i="76" s="1"/>
  <c r="F320" i="47"/>
  <c r="V33" i="26"/>
  <c r="AD25" i="26"/>
  <c r="AD7" i="26" s="1"/>
  <c r="E24" i="34"/>
  <c r="U8" i="34"/>
  <c r="U7" i="34" s="1"/>
  <c r="W25" i="25"/>
  <c r="W7" i="25" s="1"/>
  <c r="V26" i="25"/>
  <c r="AE37" i="22"/>
  <c r="V37" i="22" s="1"/>
  <c r="AH34" i="22"/>
  <c r="AH25" i="22" s="1"/>
  <c r="AH7" i="22" s="1"/>
  <c r="AE36" i="29"/>
  <c r="V36" i="29" s="1"/>
  <c r="AG34" i="29"/>
  <c r="AG25" i="29" s="1"/>
  <c r="AG7" i="29" s="1"/>
  <c r="H15" i="62"/>
  <c r="I15" i="62" s="1"/>
  <c r="N15" i="62" s="1"/>
  <c r="F157" i="48"/>
  <c r="I9" i="67"/>
  <c r="H24" i="67"/>
  <c r="E39" i="33"/>
  <c r="F34" i="33"/>
  <c r="F25" i="33" s="1"/>
  <c r="F67" i="33" s="1"/>
  <c r="F89" i="21"/>
  <c r="F117" i="21" s="1"/>
  <c r="AS79" i="21" s="1"/>
  <c r="F118" i="21" s="1"/>
  <c r="E98" i="21"/>
  <c r="T88" i="26"/>
  <c r="T76" i="26" s="1"/>
  <c r="P92" i="26"/>
  <c r="BD68" i="26"/>
  <c r="K46" i="13"/>
  <c r="E97" i="32"/>
  <c r="F88" i="32"/>
  <c r="F116" i="32" s="1"/>
  <c r="V33" i="25"/>
  <c r="AD25" i="25"/>
  <c r="AD7" i="25" s="1"/>
  <c r="X42" i="13"/>
  <c r="AZ68" i="38"/>
  <c r="V28" i="28"/>
  <c r="Y25" i="28"/>
  <c r="Y7" i="28" s="1"/>
  <c r="Y25" i="25"/>
  <c r="Y7" i="25" s="1"/>
  <c r="V28" i="25"/>
  <c r="V27" i="38"/>
  <c r="X25" i="38"/>
  <c r="X7" i="38" s="1"/>
  <c r="V26" i="27"/>
  <c r="W25" i="27"/>
  <c r="W7" i="27" s="1"/>
  <c r="AE37" i="28"/>
  <c r="V37" i="28" s="1"/>
  <c r="V34" i="28" s="1"/>
  <c r="AH34" i="28"/>
  <c r="AH25" i="28" s="1"/>
  <c r="AH7" i="28" s="1"/>
  <c r="V48" i="34"/>
  <c r="AS25" i="34"/>
  <c r="AS7" i="34" s="1"/>
  <c r="AE41" i="26"/>
  <c r="V41" i="26" s="1"/>
  <c r="AL34" i="26"/>
  <c r="AL25" i="26" s="1"/>
  <c r="AL7" i="26" s="1"/>
  <c r="H11" i="70"/>
  <c r="I11" i="70" s="1"/>
  <c r="N11" i="70" s="1"/>
  <c r="F260" i="47"/>
  <c r="V57" i="22"/>
  <c r="BB25" i="22"/>
  <c r="BB7" i="22" s="1"/>
  <c r="P68" i="38"/>
  <c r="X12" i="13"/>
  <c r="F88" i="33"/>
  <c r="F116" i="33" s="1"/>
  <c r="E97" i="33"/>
  <c r="U93" i="37"/>
  <c r="AS93" i="37"/>
  <c r="U117" i="37" s="1"/>
  <c r="T93" i="23"/>
  <c r="AS93" i="23"/>
  <c r="X43" i="13"/>
  <c r="BA68" i="38"/>
  <c r="E144" i="48"/>
  <c r="E7" i="63"/>
  <c r="F125" i="48"/>
  <c r="H14" i="74"/>
  <c r="I14" i="74" s="1"/>
  <c r="N14" i="74" s="1"/>
  <c r="F363" i="47"/>
  <c r="AB25" i="38"/>
  <c r="AB7" i="38" s="1"/>
  <c r="V31" i="38"/>
  <c r="V27" i="22"/>
  <c r="X25" i="22"/>
  <c r="X7" i="22" s="1"/>
  <c r="H8" i="60"/>
  <c r="I8" i="60" s="1"/>
  <c r="N8" i="60" s="1"/>
  <c r="F29" i="48"/>
  <c r="E48" i="48"/>
  <c r="H17" i="76"/>
  <c r="I17" i="76" s="1"/>
  <c r="N17" i="76" s="1"/>
  <c r="F316" i="47"/>
  <c r="AN34" i="39"/>
  <c r="AN25" i="39" s="1"/>
  <c r="AN7" i="39" s="1"/>
  <c r="AE43" i="39"/>
  <c r="V43" i="39" s="1"/>
  <c r="V59" i="39"/>
  <c r="BD25" i="39"/>
  <c r="BD7" i="39" s="1"/>
  <c r="V57" i="29"/>
  <c r="BB25" i="29"/>
  <c r="BB7" i="29" s="1"/>
  <c r="P104" i="22"/>
  <c r="AF88" i="22"/>
  <c r="AF76" i="22" s="1"/>
  <c r="AI34" i="31"/>
  <c r="AI25" i="31" s="1"/>
  <c r="AI7" i="31" s="1"/>
  <c r="AE38" i="31"/>
  <c r="V38" i="31" s="1"/>
  <c r="V28" i="39"/>
  <c r="Y25" i="39"/>
  <c r="Y7" i="39" s="1"/>
  <c r="F116" i="27"/>
  <c r="AS78" i="27" s="1"/>
  <c r="BK66" i="34"/>
  <c r="BM66" i="34"/>
  <c r="BN66" i="34" s="1"/>
  <c r="BK68" i="34" s="1"/>
  <c r="E24" i="40"/>
  <c r="U8" i="40"/>
  <c r="U7" i="40" s="1"/>
  <c r="AG34" i="37"/>
  <c r="AG25" i="37" s="1"/>
  <c r="AG7" i="37" s="1"/>
  <c r="AE36" i="37"/>
  <c r="V36" i="37" s="1"/>
  <c r="V27" i="32"/>
  <c r="X25" i="32"/>
  <c r="X7" i="32" s="1"/>
  <c r="AC25" i="23"/>
  <c r="AC7" i="23" s="1"/>
  <c r="V32" i="23"/>
  <c r="BD25" i="25"/>
  <c r="BD7" i="25" s="1"/>
  <c r="V59" i="25"/>
  <c r="G20" i="77"/>
  <c r="H20" i="77" s="1"/>
  <c r="F494" i="47"/>
  <c r="V27" i="27"/>
  <c r="X25" i="27"/>
  <c r="X7" i="27" s="1"/>
  <c r="AD68" i="37"/>
  <c r="Y26" i="13"/>
  <c r="V55" i="38"/>
  <c r="AZ25" i="38"/>
  <c r="AZ7" i="38" s="1"/>
  <c r="H17" i="60"/>
  <c r="I17" i="60" s="1"/>
  <c r="N17" i="60" s="1"/>
  <c r="F38" i="48"/>
  <c r="U68" i="19"/>
  <c r="G17" i="13"/>
  <c r="D18" i="77"/>
  <c r="D492" i="47"/>
  <c r="BM61" i="32"/>
  <c r="BN61" i="32" s="1"/>
  <c r="BC68" i="32"/>
  <c r="S45" i="13"/>
  <c r="O39" i="13"/>
  <c r="AW68" i="22"/>
  <c r="V62" i="25"/>
  <c r="BG25" i="25"/>
  <c r="BG7" i="25" s="1"/>
  <c r="I20" i="58"/>
  <c r="N20" i="58" s="1"/>
  <c r="AE37" i="29"/>
  <c r="V37" i="29" s="1"/>
  <c r="AH34" i="29"/>
  <c r="AH25" i="29" s="1"/>
  <c r="AH7" i="29" s="1"/>
  <c r="V34" i="39"/>
  <c r="BM50" i="31"/>
  <c r="BN50" i="31" s="1"/>
  <c r="T37" i="13" s="1"/>
  <c r="D11" i="72"/>
  <c r="I11" i="72" s="1"/>
  <c r="AD25" i="19"/>
  <c r="AD7" i="19" s="1"/>
  <c r="V33" i="19"/>
  <c r="O19" i="49"/>
  <c r="P19" i="49"/>
  <c r="D24" i="64"/>
  <c r="F142" i="47"/>
  <c r="P16" i="59"/>
  <c r="Y77" i="26"/>
  <c r="Y116" i="26" s="1"/>
  <c r="AS97" i="26" s="1"/>
  <c r="Y117" i="26" s="1"/>
  <c r="P8" i="88"/>
  <c r="P7" i="88" s="1"/>
  <c r="F57" i="47"/>
  <c r="J116" i="31"/>
  <c r="AS82" i="31" s="1"/>
  <c r="J117" i="31" s="1"/>
  <c r="O9" i="76"/>
  <c r="P9" i="76"/>
  <c r="H11" i="78"/>
  <c r="I21" i="60"/>
  <c r="N21" i="60" s="1"/>
  <c r="P11" i="60"/>
  <c r="O11" i="60"/>
  <c r="BF12" i="88"/>
  <c r="BG12" i="88" s="1"/>
  <c r="BK12" i="88" s="1"/>
  <c r="P23" i="59"/>
  <c r="L14" i="63"/>
  <c r="BM21" i="19"/>
  <c r="BN21" i="19" s="1"/>
  <c r="J21" i="57"/>
  <c r="O21" i="57" s="1"/>
  <c r="P21" i="57" s="1"/>
  <c r="D24" i="58"/>
  <c r="I7" i="70"/>
  <c r="N7" i="70" s="1"/>
  <c r="AQ115" i="38"/>
  <c r="AQ76" i="38" s="1"/>
  <c r="AS115" i="38"/>
  <c r="AQ117" i="38" s="1"/>
  <c r="Q20" i="33"/>
  <c r="BM20" i="33"/>
  <c r="BN20" i="33" s="1"/>
  <c r="Z68" i="38"/>
  <c r="X22" i="13"/>
  <c r="D318" i="47"/>
  <c r="F318" i="47" s="1"/>
  <c r="D19" i="76"/>
  <c r="I19" i="76" s="1"/>
  <c r="N19" i="76" s="1"/>
  <c r="BM54" i="31"/>
  <c r="BN54" i="31" s="1"/>
  <c r="E29" i="26"/>
  <c r="F25" i="26"/>
  <c r="F67" i="26" s="1"/>
  <c r="Z68" i="40"/>
  <c r="V22" i="13"/>
  <c r="AC68" i="32"/>
  <c r="S25" i="13"/>
  <c r="Y25" i="26"/>
  <c r="Y7" i="26" s="1"/>
  <c r="V28" i="26"/>
  <c r="AX68" i="40"/>
  <c r="V40" i="13"/>
  <c r="AA25" i="25"/>
  <c r="AA7" i="25" s="1"/>
  <c r="V30" i="25"/>
  <c r="U15" i="66"/>
  <c r="V15" i="66"/>
  <c r="AY68" i="40"/>
  <c r="V41" i="13"/>
  <c r="V57" i="28"/>
  <c r="BB25" i="28"/>
  <c r="BB7" i="28" s="1"/>
  <c r="AF68" i="38"/>
  <c r="X29" i="13"/>
  <c r="V51" i="22"/>
  <c r="AV25" i="22"/>
  <c r="AV7" i="22" s="1"/>
  <c r="V58" i="22"/>
  <c r="BC25" i="22"/>
  <c r="BC7" i="22" s="1"/>
  <c r="V27" i="28"/>
  <c r="X25" i="28"/>
  <c r="X7" i="28" s="1"/>
  <c r="H15" i="59"/>
  <c r="I15" i="59" s="1"/>
  <c r="N15" i="59" s="1"/>
  <c r="T15" i="89"/>
  <c r="U15" i="89" s="1"/>
  <c r="H30" i="13"/>
  <c r="AG68" i="29"/>
  <c r="AQ68" i="34"/>
  <c r="Q33" i="13"/>
  <c r="BA25" i="19"/>
  <c r="BA7" i="19" s="1"/>
  <c r="V56" i="19"/>
  <c r="BL25" i="28"/>
  <c r="V25" i="28" s="1"/>
  <c r="F211" i="48"/>
  <c r="F87" i="47"/>
  <c r="E30" i="37"/>
  <c r="F25" i="37"/>
  <c r="AJ88" i="30"/>
  <c r="AJ76" i="30" s="1"/>
  <c r="P108" i="30"/>
  <c r="E29" i="23"/>
  <c r="F25" i="23"/>
  <c r="F68" i="23" s="1"/>
  <c r="X68" i="40"/>
  <c r="V20" i="13"/>
  <c r="H16" i="76"/>
  <c r="I16" i="76" s="1"/>
  <c r="N16" i="76" s="1"/>
  <c r="F315" i="47"/>
  <c r="U68" i="22"/>
  <c r="O17" i="13"/>
  <c r="AY68" i="32"/>
  <c r="S41" i="13"/>
  <c r="X25" i="29"/>
  <c r="X7" i="29" s="1"/>
  <c r="V27" i="29"/>
  <c r="T9" i="89"/>
  <c r="U9" i="89" s="1"/>
  <c r="H9" i="59"/>
  <c r="AN34" i="24"/>
  <c r="AN25" i="24" s="1"/>
  <c r="AN7" i="24" s="1"/>
  <c r="AE43" i="24"/>
  <c r="V43" i="24" s="1"/>
  <c r="AW68" i="38"/>
  <c r="X39" i="13"/>
  <c r="F116" i="37"/>
  <c r="E65" i="21"/>
  <c r="F63" i="21"/>
  <c r="BG68" i="34"/>
  <c r="Q49" i="13"/>
  <c r="V28" i="37"/>
  <c r="Y25" i="37"/>
  <c r="Y7" i="37" s="1"/>
  <c r="BA68" i="22"/>
  <c r="O43" i="13"/>
  <c r="X25" i="37"/>
  <c r="X7" i="37" s="1"/>
  <c r="V27" i="37"/>
  <c r="H15" i="54"/>
  <c r="I15" i="54" s="1"/>
  <c r="N15" i="54" s="1"/>
  <c r="F38" i="47"/>
  <c r="AE38" i="23"/>
  <c r="V38" i="23" s="1"/>
  <c r="V34" i="23" s="1"/>
  <c r="AI34" i="23"/>
  <c r="AI25" i="23" s="1"/>
  <c r="AI7" i="23" s="1"/>
  <c r="V56" i="29"/>
  <c r="BA25" i="29"/>
  <c r="BA7" i="29" s="1"/>
  <c r="E61" i="29"/>
  <c r="F25" i="29"/>
  <c r="F67" i="29" s="1"/>
  <c r="H23" i="62"/>
  <c r="I23" i="62" s="1"/>
  <c r="N23" i="62" s="1"/>
  <c r="P23" i="62" s="1"/>
  <c r="F165" i="48"/>
  <c r="AY68" i="38"/>
  <c r="X41" i="13"/>
  <c r="AR78" i="33"/>
  <c r="F78" i="33" s="1"/>
  <c r="D15" i="69"/>
  <c r="H15" i="69" s="1"/>
  <c r="BM52" i="21"/>
  <c r="BN52" i="21" s="1"/>
  <c r="D289" i="47"/>
  <c r="F289" i="47" s="1"/>
  <c r="P111" i="23"/>
  <c r="AL89" i="23"/>
  <c r="AL77" i="23" s="1"/>
  <c r="BG68" i="40"/>
  <c r="V49" i="13"/>
  <c r="AP34" i="30"/>
  <c r="AP25" i="30" s="1"/>
  <c r="AP7" i="30" s="1"/>
  <c r="AE45" i="30"/>
  <c r="V45" i="30" s="1"/>
  <c r="Q7" i="32"/>
  <c r="O8" i="32"/>
  <c r="O7" i="32" s="1"/>
  <c r="V31" i="22"/>
  <c r="AB25" i="22"/>
  <c r="AB7" i="22" s="1"/>
  <c r="X17" i="13"/>
  <c r="U68" i="38"/>
  <c r="H14" i="56"/>
  <c r="I14" i="56" s="1"/>
  <c r="N14" i="56" s="1"/>
  <c r="F112" i="47"/>
  <c r="V27" i="23"/>
  <c r="X25" i="23"/>
  <c r="X7" i="23" s="1"/>
  <c r="AL34" i="27"/>
  <c r="AL25" i="27" s="1"/>
  <c r="AL7" i="27" s="1"/>
  <c r="AE41" i="27"/>
  <c r="V41" i="27" s="1"/>
  <c r="AJ39" i="32"/>
  <c r="BM39" i="32"/>
  <c r="BN39" i="32" s="1"/>
  <c r="AJ68" i="32" s="1"/>
  <c r="AD25" i="37"/>
  <c r="AD7" i="37" s="1"/>
  <c r="V33" i="37"/>
  <c r="AM34" i="38"/>
  <c r="AM25" i="38" s="1"/>
  <c r="AM7" i="38" s="1"/>
  <c r="AE42" i="38"/>
  <c r="V42" i="38" s="1"/>
  <c r="AQ76" i="33"/>
  <c r="H31" i="13"/>
  <c r="AH68" i="29"/>
  <c r="P101" i="38"/>
  <c r="AC88" i="38"/>
  <c r="AC76" i="38" s="1"/>
  <c r="F388" i="47"/>
  <c r="L40" i="13"/>
  <c r="AX68" i="25"/>
  <c r="F90" i="48"/>
  <c r="F54" i="48"/>
  <c r="H8" i="59"/>
  <c r="I8" i="59" s="1"/>
  <c r="N8" i="59" s="1"/>
  <c r="O8" i="59" s="1"/>
  <c r="T8" i="89"/>
  <c r="U8" i="89" s="1"/>
  <c r="N9" i="25"/>
  <c r="N8" i="25" s="1"/>
  <c r="N7" i="25" s="1"/>
  <c r="F17" i="25"/>
  <c r="E17" i="25" s="1"/>
  <c r="BC69" i="21"/>
  <c r="V25" i="40"/>
  <c r="AC68" i="30"/>
  <c r="P78" i="25"/>
  <c r="AR78" i="25" s="1"/>
  <c r="F78" i="25" s="1"/>
  <c r="L39" i="13"/>
  <c r="AW68" i="25"/>
  <c r="D24" i="57"/>
  <c r="V25" i="39"/>
  <c r="BF46" i="88"/>
  <c r="BG46" i="88" s="1"/>
  <c r="BK46" i="88" s="1"/>
  <c r="AV68" i="30"/>
  <c r="I24" i="57"/>
  <c r="C27" i="57" s="1"/>
  <c r="BH64" i="30"/>
  <c r="S24" i="13"/>
  <c r="AB68" i="32"/>
  <c r="AS78" i="29"/>
  <c r="F117" i="29" s="1"/>
  <c r="L18" i="63"/>
  <c r="D24" i="63"/>
  <c r="O18" i="56"/>
  <c r="M10" i="23"/>
  <c r="M9" i="23" s="1"/>
  <c r="M8" i="23" s="1"/>
  <c r="M7" i="23" s="1"/>
  <c r="G16" i="23"/>
  <c r="F16" i="23" s="1"/>
  <c r="E16" i="23" s="1"/>
  <c r="P15" i="76"/>
  <c r="E85" i="21"/>
  <c r="L78" i="21"/>
  <c r="L77" i="21" s="1"/>
  <c r="AJ7" i="84"/>
  <c r="BL40" i="88"/>
  <c r="BJ40" i="88"/>
  <c r="O10" i="71"/>
  <c r="BL10" i="28"/>
  <c r="G10" i="28" s="1"/>
  <c r="F10" i="28" s="1"/>
  <c r="E10" i="28" s="1"/>
  <c r="V9" i="28"/>
  <c r="V51" i="29"/>
  <c r="AV25" i="29"/>
  <c r="AV7" i="29" s="1"/>
  <c r="G9" i="81"/>
  <c r="H9" i="81" s="1"/>
  <c r="M9" i="81" s="1"/>
  <c r="F81" i="46"/>
  <c r="AV25" i="19"/>
  <c r="AV7" i="19" s="1"/>
  <c r="V51" i="19"/>
  <c r="W60" i="88"/>
  <c r="BF26" i="88" s="1"/>
  <c r="BG26" i="88" s="1"/>
  <c r="BK26" i="88" s="1"/>
  <c r="H26" i="82"/>
  <c r="H10" i="95"/>
  <c r="H17" i="95"/>
  <c r="U15" i="13"/>
  <c r="S68" i="30"/>
  <c r="BF19" i="88"/>
  <c r="BG19" i="88" s="1"/>
  <c r="BK19" i="88" s="1"/>
  <c r="Y69" i="21"/>
  <c r="BH64" i="23"/>
  <c r="BI63" i="23"/>
  <c r="BI7" i="23" s="1"/>
  <c r="BM63" i="23"/>
  <c r="BN64" i="23"/>
  <c r="BH63" i="24"/>
  <c r="BH7" i="24" s="1"/>
  <c r="M52" i="13"/>
  <c r="BN65" i="24"/>
  <c r="BM63" i="24"/>
  <c r="BH65" i="24"/>
  <c r="BJ63" i="24"/>
  <c r="BJ7" i="24" s="1"/>
  <c r="G11" i="41"/>
  <c r="H11" i="41" s="1"/>
  <c r="M11" i="41" s="1"/>
  <c r="F109" i="46"/>
  <c r="O19" i="26"/>
  <c r="E19" i="26" s="1"/>
  <c r="P18" i="26"/>
  <c r="P8" i="26" s="1"/>
  <c r="P7" i="26" s="1"/>
  <c r="K12" i="13"/>
  <c r="P68" i="26"/>
  <c r="I25" i="59"/>
  <c r="BI32" i="88"/>
  <c r="BJ32" i="88" s="1"/>
  <c r="O14" i="55"/>
  <c r="AT68" i="28"/>
  <c r="I36" i="13"/>
  <c r="AE7" i="29"/>
  <c r="L8" i="63"/>
  <c r="AT68" i="29"/>
  <c r="O21" i="86"/>
  <c r="O22" i="60"/>
  <c r="P22" i="60"/>
  <c r="D144" i="47"/>
  <c r="F144" i="47" s="1"/>
  <c r="D21" i="89"/>
  <c r="I21" i="89" s="1"/>
  <c r="F44" i="46"/>
  <c r="AU25" i="30"/>
  <c r="AU7" i="30" s="1"/>
  <c r="V50" i="30"/>
  <c r="U37" i="13"/>
  <c r="BN64" i="30"/>
  <c r="BC68" i="30"/>
  <c r="U45" i="13"/>
  <c r="AU68" i="33"/>
  <c r="R37" i="13"/>
  <c r="O18" i="59"/>
  <c r="P18" i="59"/>
  <c r="H18" i="49"/>
  <c r="I18" i="49" s="1"/>
  <c r="N18" i="49" s="1"/>
  <c r="E191" i="46"/>
  <c r="F191" i="46" s="1"/>
  <c r="U24" i="33"/>
  <c r="P19" i="60"/>
  <c r="D23" i="76"/>
  <c r="H16" i="49"/>
  <c r="I16" i="49" s="1"/>
  <c r="N16" i="49" s="1"/>
  <c r="E189" i="46"/>
  <c r="F189" i="46" s="1"/>
  <c r="U24" i="21"/>
  <c r="BM24" i="21"/>
  <c r="BN24" i="21" s="1"/>
  <c r="AV25" i="21"/>
  <c r="AV7" i="21" s="1"/>
  <c r="V51" i="21"/>
  <c r="F264" i="47"/>
  <c r="O16" i="64"/>
  <c r="O14" i="76"/>
  <c r="P14" i="76"/>
  <c r="O15" i="71"/>
  <c r="P15" i="71"/>
  <c r="AT68" i="22"/>
  <c r="P15" i="57"/>
  <c r="Q15" i="57"/>
  <c r="N36" i="13"/>
  <c r="AT69" i="23"/>
  <c r="V49" i="23"/>
  <c r="AT25" i="23"/>
  <c r="AT7" i="23" s="1"/>
  <c r="O14" i="54"/>
  <c r="P14" i="54"/>
  <c r="S22" i="24"/>
  <c r="H13" i="49"/>
  <c r="I13" i="49" s="1"/>
  <c r="N13" i="49" s="1"/>
  <c r="U24" i="24"/>
  <c r="BM24" i="24"/>
  <c r="BN24" i="24" s="1"/>
  <c r="E186" i="46"/>
  <c r="F186" i="46" s="1"/>
  <c r="P13" i="60"/>
  <c r="O13" i="60"/>
  <c r="I27" i="70"/>
  <c r="AT68" i="26"/>
  <c r="K36" i="13"/>
  <c r="J11" i="57"/>
  <c r="O11" i="57" s="1"/>
  <c r="P11" i="57" s="1"/>
  <c r="J36" i="13"/>
  <c r="AT68" i="27"/>
  <c r="P10" i="64"/>
  <c r="O10" i="64"/>
  <c r="D26" i="49"/>
  <c r="D25" i="54"/>
  <c r="BI28" i="88"/>
  <c r="BI68" i="28"/>
  <c r="I8" i="71"/>
  <c r="N8" i="71" s="1"/>
  <c r="V49" i="29"/>
  <c r="AT25" i="29"/>
  <c r="AT7" i="29" s="1"/>
  <c r="BM49" i="19"/>
  <c r="BN49" i="19" s="1"/>
  <c r="G36" i="13" s="1"/>
  <c r="D7" i="71"/>
  <c r="D16" i="71" s="1"/>
  <c r="I20" i="72"/>
  <c r="Q44" i="88"/>
  <c r="AT25" i="25"/>
  <c r="AT7" i="25" s="1"/>
  <c r="V49" i="25"/>
  <c r="BF50" i="88"/>
  <c r="BG50" i="88" s="1"/>
  <c r="BK50" i="88" s="1"/>
  <c r="BM22" i="24"/>
  <c r="BN22" i="24" s="1"/>
  <c r="S69" i="24" s="1"/>
  <c r="G24" i="51"/>
  <c r="H16" i="51"/>
  <c r="AT25" i="40"/>
  <c r="V49" i="40"/>
  <c r="F17" i="40"/>
  <c r="E17" i="40" s="1"/>
  <c r="N9" i="40"/>
  <c r="N8" i="40" s="1"/>
  <c r="N7" i="40" s="1"/>
  <c r="G23" i="81"/>
  <c r="H23" i="81" s="1"/>
  <c r="M23" i="81" s="1"/>
  <c r="F95" i="46"/>
  <c r="AC69" i="24"/>
  <c r="M25" i="13"/>
  <c r="H13" i="56"/>
  <c r="I13" i="56" s="1"/>
  <c r="N13" i="56" s="1"/>
  <c r="F111" i="47"/>
  <c r="M13" i="63"/>
  <c r="AM69" i="24"/>
  <c r="AC25" i="24"/>
  <c r="AC7" i="24" s="1"/>
  <c r="V32" i="24"/>
  <c r="P13" i="64"/>
  <c r="O13" i="64"/>
  <c r="G13" i="41"/>
  <c r="H13" i="41" s="1"/>
  <c r="M13" i="41" s="1"/>
  <c r="F111" i="46"/>
  <c r="P69" i="24"/>
  <c r="M12" i="13"/>
  <c r="M8" i="13"/>
  <c r="BO10" i="24"/>
  <c r="O7" i="58"/>
  <c r="BI16" i="88"/>
  <c r="I26" i="55"/>
  <c r="E116" i="40"/>
  <c r="AR88" i="40"/>
  <c r="AN112" i="40"/>
  <c r="AS112" i="40"/>
  <c r="AN117" i="40" s="1"/>
  <c r="AF68" i="40"/>
  <c r="V29" i="13"/>
  <c r="V31" i="30"/>
  <c r="AB25" i="30"/>
  <c r="AB7" i="30" s="1"/>
  <c r="F94" i="47"/>
  <c r="X25" i="30"/>
  <c r="X7" i="30" s="1"/>
  <c r="V27" i="30"/>
  <c r="X68" i="30"/>
  <c r="U20" i="13"/>
  <c r="H21" i="54"/>
  <c r="I21" i="54" s="1"/>
  <c r="N21" i="54" s="1"/>
  <c r="F44" i="47"/>
  <c r="AC25" i="30"/>
  <c r="AC7" i="30" s="1"/>
  <c r="V32" i="30"/>
  <c r="H21" i="56"/>
  <c r="I21" i="56" s="1"/>
  <c r="N21" i="56" s="1"/>
  <c r="F119" i="47"/>
  <c r="AE7" i="30"/>
  <c r="P78" i="30"/>
  <c r="Y77" i="30"/>
  <c r="Y116" i="30" s="1"/>
  <c r="H12" i="30"/>
  <c r="G12" i="30" s="1"/>
  <c r="F12" i="30" s="1"/>
  <c r="E12" i="30" s="1"/>
  <c r="I11" i="30"/>
  <c r="I10" i="30" s="1"/>
  <c r="I9" i="30" s="1"/>
  <c r="I8" i="30" s="1"/>
  <c r="I7" i="30" s="1"/>
  <c r="AE47" i="84"/>
  <c r="BF25" i="33"/>
  <c r="BF7" i="33" s="1"/>
  <c r="R48" i="13"/>
  <c r="BF68" i="33"/>
  <c r="H17" i="77"/>
  <c r="F491" i="47"/>
  <c r="AC25" i="33"/>
  <c r="AC7" i="33" s="1"/>
  <c r="V32" i="33"/>
  <c r="F116" i="47"/>
  <c r="P19" i="33"/>
  <c r="BM19" i="33"/>
  <c r="BN19" i="33" s="1"/>
  <c r="E116" i="46"/>
  <c r="Y7" i="84"/>
  <c r="F16" i="46"/>
  <c r="V31" i="33"/>
  <c r="AB25" i="33"/>
  <c r="AB7" i="33" s="1"/>
  <c r="H18" i="57"/>
  <c r="J18" i="57" s="1"/>
  <c r="O18" i="57" s="1"/>
  <c r="F91" i="47"/>
  <c r="BM13" i="33"/>
  <c r="BN13" i="33" s="1"/>
  <c r="AS94" i="34"/>
  <c r="V117" i="34" s="1"/>
  <c r="BN64" i="34"/>
  <c r="BM63" i="34"/>
  <c r="BH63" i="34"/>
  <c r="BH7" i="34" s="1"/>
  <c r="Q52" i="13"/>
  <c r="BI63" i="34"/>
  <c r="BI7" i="34" s="1"/>
  <c r="BH64" i="34"/>
  <c r="BC25" i="21"/>
  <c r="BC7" i="21" s="1"/>
  <c r="V58" i="21"/>
  <c r="F414" i="47"/>
  <c r="P16" i="57"/>
  <c r="Q16" i="57"/>
  <c r="AB25" i="21"/>
  <c r="AB7" i="21" s="1"/>
  <c r="V31" i="21"/>
  <c r="BF69" i="21"/>
  <c r="P48" i="13"/>
  <c r="BA69" i="21"/>
  <c r="P43" i="13"/>
  <c r="AY69" i="21"/>
  <c r="P41" i="13"/>
  <c r="F389" i="47"/>
  <c r="BM13" i="21"/>
  <c r="BN13" i="21" s="1"/>
  <c r="J69" i="21" s="1"/>
  <c r="V47" i="84"/>
  <c r="O21" i="22"/>
  <c r="E21" i="22" s="1"/>
  <c r="R18" i="22"/>
  <c r="R8" i="22" s="1"/>
  <c r="R68" i="22"/>
  <c r="O14" i="13"/>
  <c r="BN18" i="22"/>
  <c r="O68" i="22" s="1"/>
  <c r="W68" i="22"/>
  <c r="O19" i="13"/>
  <c r="M18" i="84"/>
  <c r="G12" i="80"/>
  <c r="H12" i="80" s="1"/>
  <c r="F461" i="47"/>
  <c r="V60" i="24"/>
  <c r="BE25" i="24"/>
  <c r="BE7" i="24" s="1"/>
  <c r="P78" i="24"/>
  <c r="AR78" i="24" s="1"/>
  <c r="V77" i="24"/>
  <c r="AS97" i="25"/>
  <c r="Y117" i="25" s="1"/>
  <c r="AT68" i="25"/>
  <c r="L36" i="13"/>
  <c r="G13" i="82"/>
  <c r="H13" i="82" s="1"/>
  <c r="M13" i="82" s="1"/>
  <c r="F60" i="46"/>
  <c r="G16" i="25"/>
  <c r="F16" i="25" s="1"/>
  <c r="E16" i="25" s="1"/>
  <c r="M10" i="25"/>
  <c r="M9" i="25" s="1"/>
  <c r="M8" i="25" s="1"/>
  <c r="M7" i="25" s="1"/>
  <c r="BA68" i="25"/>
  <c r="L43" i="13"/>
  <c r="BM18" i="26"/>
  <c r="O18" i="26"/>
  <c r="E18" i="26" s="1"/>
  <c r="R21" i="26"/>
  <c r="E134" i="46"/>
  <c r="BM21" i="26"/>
  <c r="BN21" i="26" s="1"/>
  <c r="V31" i="26"/>
  <c r="AB25" i="26"/>
  <c r="AB7" i="26" s="1"/>
  <c r="AV68" i="26"/>
  <c r="K38" i="13"/>
  <c r="AV25" i="26"/>
  <c r="AV7" i="26" s="1"/>
  <c r="V51" i="26"/>
  <c r="H10" i="70"/>
  <c r="I10" i="70" s="1"/>
  <c r="N10" i="70" s="1"/>
  <c r="F259" i="47"/>
  <c r="BF25" i="26"/>
  <c r="BF7" i="26" s="1"/>
  <c r="V61" i="26"/>
  <c r="H10" i="77"/>
  <c r="F484" i="47"/>
  <c r="K48" i="13"/>
  <c r="BF68" i="26"/>
  <c r="E59" i="46"/>
  <c r="M16" i="26"/>
  <c r="BM16" i="26"/>
  <c r="BN16" i="26" s="1"/>
  <c r="AE7" i="26"/>
  <c r="AE67" i="26"/>
  <c r="D11" i="89" s="1"/>
  <c r="I11" i="89" s="1"/>
  <c r="BA68" i="26"/>
  <c r="K43" i="13"/>
  <c r="I12" i="88"/>
  <c r="E12" i="88" s="1"/>
  <c r="E108" i="46"/>
  <c r="P19" i="27"/>
  <c r="BM19" i="27"/>
  <c r="BN19" i="27" s="1"/>
  <c r="BN18" i="27" s="1"/>
  <c r="E107" i="46"/>
  <c r="P19" i="28"/>
  <c r="BM19" i="28"/>
  <c r="BN19" i="28" s="1"/>
  <c r="BA68" i="28"/>
  <c r="I43" i="13"/>
  <c r="Q8" i="57"/>
  <c r="P8" i="57"/>
  <c r="AB25" i="29"/>
  <c r="AB7" i="29" s="1"/>
  <c r="V31" i="29"/>
  <c r="F77" i="29"/>
  <c r="F76" i="29" s="1"/>
  <c r="E78" i="29"/>
  <c r="J68" i="29"/>
  <c r="BN11" i="29"/>
  <c r="V10" i="29"/>
  <c r="BL11" i="29"/>
  <c r="BM34" i="29"/>
  <c r="D131" i="47"/>
  <c r="F131" i="47" s="1"/>
  <c r="AS115" i="19"/>
  <c r="AQ117" i="19" s="1"/>
  <c r="G14" i="13"/>
  <c r="O21" i="19"/>
  <c r="E21" i="19" s="1"/>
  <c r="R18" i="19"/>
  <c r="R8" i="19" s="1"/>
  <c r="R7" i="19" s="1"/>
  <c r="P22" i="50"/>
  <c r="P22" i="62"/>
  <c r="F77" i="28"/>
  <c r="F76" i="28" s="1"/>
  <c r="O17" i="70"/>
  <c r="P97" i="34"/>
  <c r="O14" i="61"/>
  <c r="P19" i="59"/>
  <c r="F78" i="21"/>
  <c r="F77" i="21" s="1"/>
  <c r="N14" i="68"/>
  <c r="P17" i="59"/>
  <c r="O12" i="59"/>
  <c r="AZ68" i="22"/>
  <c r="E78" i="39"/>
  <c r="P109" i="31"/>
  <c r="Y88" i="27"/>
  <c r="Y76" i="27" s="1"/>
  <c r="AT7" i="19"/>
  <c r="P97" i="39"/>
  <c r="P22" i="59"/>
  <c r="O22" i="59"/>
  <c r="AU7" i="21"/>
  <c r="P98" i="23"/>
  <c r="Y89" i="23"/>
  <c r="Y77" i="23" s="1"/>
  <c r="BJ20" i="87"/>
  <c r="D18" i="84"/>
  <c r="D7" i="84"/>
  <c r="Y68" i="37"/>
  <c r="Y21" i="13"/>
  <c r="V32" i="37"/>
  <c r="AC25" i="37"/>
  <c r="AC7" i="37" s="1"/>
  <c r="E73" i="46"/>
  <c r="M16" i="37"/>
  <c r="BM16" i="37"/>
  <c r="BN16" i="37" s="1"/>
  <c r="X44" i="13"/>
  <c r="BB68" i="38"/>
  <c r="BC68" i="38"/>
  <c r="X45" i="13"/>
  <c r="AC7" i="84"/>
  <c r="AN68" i="38"/>
  <c r="BM13" i="38"/>
  <c r="BN13" i="38" s="1"/>
  <c r="E97" i="46"/>
  <c r="N17" i="38"/>
  <c r="BM17" i="38"/>
  <c r="BN17" i="38" s="1"/>
  <c r="BL11" i="38"/>
  <c r="I9" i="38"/>
  <c r="J11" i="38"/>
  <c r="J10" i="38" s="1"/>
  <c r="J9" i="38" s="1"/>
  <c r="J8" i="38" s="1"/>
  <c r="J7" i="38" s="1"/>
  <c r="H13" i="38"/>
  <c r="G13" i="38" s="1"/>
  <c r="F13" i="38" s="1"/>
  <c r="E13" i="38" s="1"/>
  <c r="L23" i="63"/>
  <c r="M23" i="63"/>
  <c r="P19" i="39"/>
  <c r="BM19" i="39"/>
  <c r="BN19" i="39" s="1"/>
  <c r="E121" i="46"/>
  <c r="K68" i="39"/>
  <c r="J68" i="39"/>
  <c r="P22" i="75"/>
  <c r="Y116" i="40"/>
  <c r="AS97" i="40" s="1"/>
  <c r="Y117" i="40" s="1"/>
  <c r="Y76" i="40"/>
  <c r="AM68" i="31"/>
  <c r="T32" i="13"/>
  <c r="AZ68" i="31"/>
  <c r="T42" i="13"/>
  <c r="H18" i="73"/>
  <c r="I18" i="73" s="1"/>
  <c r="F391" i="47"/>
  <c r="BB68" i="33"/>
  <c r="R44" i="13"/>
  <c r="BB25" i="33"/>
  <c r="BB7" i="33" s="1"/>
  <c r="V57" i="33"/>
  <c r="E91" i="46"/>
  <c r="N17" i="33"/>
  <c r="BM17" i="33"/>
  <c r="BN17" i="33" s="1"/>
  <c r="R11" i="13" s="1"/>
  <c r="H13" i="33"/>
  <c r="G13" i="33" s="1"/>
  <c r="F13" i="33" s="1"/>
  <c r="E13" i="33" s="1"/>
  <c r="J11" i="33"/>
  <c r="J10" i="33" s="1"/>
  <c r="J9" i="33" s="1"/>
  <c r="J8" i="33" s="1"/>
  <c r="J7" i="33" s="1"/>
  <c r="BL56" i="88"/>
  <c r="AC11" i="53"/>
  <c r="V50" i="34"/>
  <c r="AU25" i="34"/>
  <c r="BB68" i="34"/>
  <c r="Q44" i="13"/>
  <c r="N17" i="34"/>
  <c r="BM17" i="34"/>
  <c r="BN17" i="34" s="1"/>
  <c r="E90" i="46"/>
  <c r="P10" i="84"/>
  <c r="BM16" i="34"/>
  <c r="BN16" i="34" s="1"/>
  <c r="E65" i="46"/>
  <c r="M16" i="34"/>
  <c r="G17" i="82"/>
  <c r="H17" i="82" s="1"/>
  <c r="M17" i="82" s="1"/>
  <c r="F64" i="46"/>
  <c r="P10" i="13"/>
  <c r="M69" i="21"/>
  <c r="D349" i="47"/>
  <c r="AI8" i="84"/>
  <c r="BH64" i="21"/>
  <c r="BI63" i="21"/>
  <c r="BI7" i="21" s="1"/>
  <c r="BI69" i="21"/>
  <c r="AS103" i="21"/>
  <c r="AD118" i="21" s="1"/>
  <c r="E86" i="21"/>
  <c r="M78" i="21"/>
  <c r="M77" i="21" s="1"/>
  <c r="AN88" i="22"/>
  <c r="AN76" i="22" s="1"/>
  <c r="P112" i="22"/>
  <c r="O45" i="13"/>
  <c r="BC68" i="22"/>
  <c r="D249" i="47"/>
  <c r="Q17" i="88"/>
  <c r="BE17" i="88" s="1"/>
  <c r="N17" i="88" s="1"/>
  <c r="E17" i="88" s="1"/>
  <c r="AG68" i="22"/>
  <c r="O30" i="13"/>
  <c r="AU25" i="23"/>
  <c r="V50" i="23"/>
  <c r="F237" i="47"/>
  <c r="AQ69" i="23"/>
  <c r="N33" i="13"/>
  <c r="BM17" i="23"/>
  <c r="BN17" i="23" s="1"/>
  <c r="E87" i="46"/>
  <c r="N17" i="23"/>
  <c r="F25" i="63"/>
  <c r="F78" i="23"/>
  <c r="F77" i="23" s="1"/>
  <c r="E79" i="23"/>
  <c r="AQ69" i="24"/>
  <c r="M33" i="13"/>
  <c r="H81" i="24"/>
  <c r="AS81" i="24"/>
  <c r="H118" i="24" s="1"/>
  <c r="E86" i="46"/>
  <c r="BM17" i="24"/>
  <c r="BN17" i="24" s="1"/>
  <c r="N17" i="24"/>
  <c r="S8" i="24"/>
  <c r="S7" i="24" s="1"/>
  <c r="E22" i="24"/>
  <c r="I14" i="50"/>
  <c r="J14" i="50" s="1"/>
  <c r="O14" i="50" s="1"/>
  <c r="F161" i="46"/>
  <c r="AB69" i="24"/>
  <c r="M24" i="13"/>
  <c r="J68" i="25"/>
  <c r="Z8" i="88"/>
  <c r="Z60" i="88" s="1"/>
  <c r="AZ68" i="26"/>
  <c r="K42" i="13"/>
  <c r="O77" i="26"/>
  <c r="O76" i="26" s="1"/>
  <c r="E87" i="26"/>
  <c r="AN68" i="26"/>
  <c r="T68" i="26"/>
  <c r="K16" i="13"/>
  <c r="AM68" i="26"/>
  <c r="E23" i="26"/>
  <c r="T8" i="26"/>
  <c r="T7" i="26" s="1"/>
  <c r="E82" i="26"/>
  <c r="J77" i="26"/>
  <c r="J76" i="26" s="1"/>
  <c r="AB70" i="26"/>
  <c r="BM31" i="26"/>
  <c r="BN31" i="26" s="1"/>
  <c r="D84" i="47"/>
  <c r="F84" i="47" s="1"/>
  <c r="K20" i="13"/>
  <c r="X68" i="26"/>
  <c r="E80" i="26"/>
  <c r="H77" i="26"/>
  <c r="H76" i="26" s="1"/>
  <c r="R20" i="88"/>
  <c r="R7" i="88" s="1"/>
  <c r="AV68" i="27"/>
  <c r="J37" i="13"/>
  <c r="AU68" i="27"/>
  <c r="BB68" i="27"/>
  <c r="J44" i="13"/>
  <c r="BM22" i="27"/>
  <c r="BN22" i="27" s="1"/>
  <c r="E158" i="46"/>
  <c r="S22" i="27"/>
  <c r="P15" i="84"/>
  <c r="BM32" i="27"/>
  <c r="BN32" i="27" s="1"/>
  <c r="D108" i="47"/>
  <c r="F108" i="47" s="1"/>
  <c r="BM28" i="27"/>
  <c r="BN28" i="27" s="1"/>
  <c r="D58" i="47"/>
  <c r="F58" i="47" s="1"/>
  <c r="F56" i="48"/>
  <c r="AU7" i="27"/>
  <c r="AQ115" i="27"/>
  <c r="AQ76" i="27" s="1"/>
  <c r="AS115" i="27"/>
  <c r="AQ117" i="27" s="1"/>
  <c r="P107" i="28"/>
  <c r="AI88" i="28"/>
  <c r="AI76" i="28" s="1"/>
  <c r="F28" i="63"/>
  <c r="AC25" i="28"/>
  <c r="AC7" i="28" s="1"/>
  <c r="V32" i="28"/>
  <c r="F107" i="47"/>
  <c r="D55" i="48"/>
  <c r="F55" i="48" s="1"/>
  <c r="BM37" i="28"/>
  <c r="BN37" i="28" s="1"/>
  <c r="BA61" i="88"/>
  <c r="BI37" i="88"/>
  <c r="P11" i="84"/>
  <c r="I29" i="13"/>
  <c r="AF68" i="28"/>
  <c r="BB68" i="28"/>
  <c r="I44" i="13"/>
  <c r="Q68" i="28"/>
  <c r="I13" i="13"/>
  <c r="Q18" i="28"/>
  <c r="Q8" i="28" s="1"/>
  <c r="Q7" i="28" s="1"/>
  <c r="O20" i="28"/>
  <c r="E20" i="28" s="1"/>
  <c r="V50" i="29"/>
  <c r="AU25" i="29"/>
  <c r="F349" i="47"/>
  <c r="AM68" i="29"/>
  <c r="F156" i="46"/>
  <c r="K77" i="29"/>
  <c r="K76" i="29" s="1"/>
  <c r="E83" i="29"/>
  <c r="H24" i="13"/>
  <c r="AB68" i="29"/>
  <c r="X68" i="29"/>
  <c r="H20" i="13"/>
  <c r="H25" i="13"/>
  <c r="AC68" i="29"/>
  <c r="BI30" i="88"/>
  <c r="I25" i="61"/>
  <c r="W25" i="19"/>
  <c r="W7" i="19" s="1"/>
  <c r="V26" i="19"/>
  <c r="BA68" i="19"/>
  <c r="G43" i="13"/>
  <c r="G44" i="13"/>
  <c r="BB68" i="19"/>
  <c r="BK22" i="88"/>
  <c r="BL22" i="88"/>
  <c r="S61" i="88"/>
  <c r="R60" i="88"/>
  <c r="BF21" i="88" s="1"/>
  <c r="BG21" i="88" s="1"/>
  <c r="BK21" i="88" s="1"/>
  <c r="G25" i="13"/>
  <c r="AC68" i="19"/>
  <c r="BI23" i="88"/>
  <c r="BJ23" i="88" s="1"/>
  <c r="S7" i="88"/>
  <c r="AR78" i="19"/>
  <c r="P77" i="19"/>
  <c r="R116" i="19"/>
  <c r="AS90" i="19" s="1"/>
  <c r="R117" i="19" s="1"/>
  <c r="R76" i="19"/>
  <c r="D205" i="47"/>
  <c r="F205" i="47" s="1"/>
  <c r="T117" i="19"/>
  <c r="P23" i="57"/>
  <c r="Q23" i="57"/>
  <c r="P23" i="55"/>
  <c r="O23" i="55"/>
  <c r="O18" i="19"/>
  <c r="E18" i="19" s="1"/>
  <c r="BM18" i="19"/>
  <c r="R21" i="28"/>
  <c r="E132" i="46"/>
  <c r="BM21" i="28"/>
  <c r="BN21" i="28" s="1"/>
  <c r="AJ88" i="25"/>
  <c r="AJ76" i="25" s="1"/>
  <c r="P108" i="25"/>
  <c r="U29" i="13"/>
  <c r="AF68" i="30"/>
  <c r="O20" i="30"/>
  <c r="E20" i="30" s="1"/>
  <c r="Q18" i="30"/>
  <c r="Q8" i="30" s="1"/>
  <c r="Q7" i="30" s="1"/>
  <c r="U47" i="13"/>
  <c r="BE68" i="30"/>
  <c r="D46" i="48"/>
  <c r="F46" i="48" s="1"/>
  <c r="BM36" i="38"/>
  <c r="BN36" i="38" s="1"/>
  <c r="I34" i="13"/>
  <c r="AR68" i="28"/>
  <c r="S8" i="40"/>
  <c r="S7" i="40" s="1"/>
  <c r="E22" i="40"/>
  <c r="P7" i="59"/>
  <c r="O7" i="59"/>
  <c r="E24" i="28"/>
  <c r="U8" i="28"/>
  <c r="U7" i="28" s="1"/>
  <c r="AO34" i="37"/>
  <c r="AO25" i="37" s="1"/>
  <c r="AO7" i="37" s="1"/>
  <c r="AE44" i="37"/>
  <c r="V44" i="37" s="1"/>
  <c r="V34" i="37" s="1"/>
  <c r="H13" i="19"/>
  <c r="G13" i="19" s="1"/>
  <c r="F13" i="19" s="1"/>
  <c r="E13" i="19" s="1"/>
  <c r="J11" i="19"/>
  <c r="J10" i="19" s="1"/>
  <c r="J9" i="19" s="1"/>
  <c r="J8" i="19" s="1"/>
  <c r="J7" i="19" s="1"/>
  <c r="Y88" i="29"/>
  <c r="Y76" i="29" s="1"/>
  <c r="P97" i="29"/>
  <c r="BJ63" i="38"/>
  <c r="BJ7" i="38" s="1"/>
  <c r="BH65" i="38"/>
  <c r="I12" i="79"/>
  <c r="AE37" i="27"/>
  <c r="V37" i="27" s="1"/>
  <c r="V34" i="27" s="1"/>
  <c r="AH34" i="27"/>
  <c r="AH25" i="27" s="1"/>
  <c r="AH7" i="27" s="1"/>
  <c r="F190" i="48"/>
  <c r="BM17" i="21"/>
  <c r="BN17" i="21" s="1"/>
  <c r="E89" i="46"/>
  <c r="N17" i="21"/>
  <c r="I29" i="61"/>
  <c r="O9" i="40"/>
  <c r="W19" i="13"/>
  <c r="W68" i="39"/>
  <c r="X97" i="24"/>
  <c r="AS97" i="24"/>
  <c r="R69" i="23"/>
  <c r="BM19" i="19"/>
  <c r="BN19" i="19" s="1"/>
  <c r="E105" i="46"/>
  <c r="P19" i="19"/>
  <c r="O15" i="59"/>
  <c r="P15" i="59"/>
  <c r="G17" i="80"/>
  <c r="H17" i="80" s="1"/>
  <c r="F466" i="47"/>
  <c r="H13" i="13"/>
  <c r="Q68" i="29"/>
  <c r="M10" i="13"/>
  <c r="M69" i="24"/>
  <c r="AO34" i="31"/>
  <c r="AO25" i="31" s="1"/>
  <c r="AO7" i="31" s="1"/>
  <c r="AE44" i="31"/>
  <c r="V44" i="31" s="1"/>
  <c r="M39" i="13"/>
  <c r="AW69" i="24"/>
  <c r="BL11" i="40"/>
  <c r="V10" i="40"/>
  <c r="V9" i="40" s="1"/>
  <c r="H19" i="65"/>
  <c r="E199" i="47"/>
  <c r="F65" i="47"/>
  <c r="E74" i="47"/>
  <c r="BM18" i="28"/>
  <c r="O18" i="28"/>
  <c r="E18" i="28" s="1"/>
  <c r="AF88" i="33"/>
  <c r="AF76" i="33" s="1"/>
  <c r="P104" i="33"/>
  <c r="U13" i="13"/>
  <c r="Q68" i="30"/>
  <c r="P90" i="32"/>
  <c r="R88" i="32"/>
  <c r="R76" i="32" s="1"/>
  <c r="S9" i="13"/>
  <c r="I68" i="32"/>
  <c r="AB100" i="25"/>
  <c r="AS100" i="25"/>
  <c r="AB117" i="25" s="1"/>
  <c r="I41" i="13"/>
  <c r="AY68" i="28"/>
  <c r="D39" i="48"/>
  <c r="F39" i="48" s="1"/>
  <c r="BM36" i="34"/>
  <c r="BN36" i="34" s="1"/>
  <c r="BN34" i="34" s="1"/>
  <c r="V26" i="39"/>
  <c r="W25" i="39"/>
  <c r="W7" i="39" s="1"/>
  <c r="V57" i="25"/>
  <c r="BB25" i="25"/>
  <c r="BB7" i="25" s="1"/>
  <c r="F182" i="46"/>
  <c r="AE88" i="25"/>
  <c r="AE76" i="25" s="1"/>
  <c r="P103" i="25"/>
  <c r="BM37" i="31"/>
  <c r="BN37" i="31" s="1"/>
  <c r="AH70" i="31"/>
  <c r="D66" i="48"/>
  <c r="F66" i="48" s="1"/>
  <c r="F78" i="40"/>
  <c r="AS78" i="40"/>
  <c r="J69" i="24"/>
  <c r="V26" i="37"/>
  <c r="W25" i="37"/>
  <c r="W7" i="37" s="1"/>
  <c r="AD102" i="28"/>
  <c r="AS102" i="28"/>
  <c r="AD117" i="28" s="1"/>
  <c r="BE25" i="30"/>
  <c r="BE7" i="30" s="1"/>
  <c r="V60" i="30"/>
  <c r="J11" i="40"/>
  <c r="J10" i="40" s="1"/>
  <c r="H13" i="40"/>
  <c r="G13" i="40" s="1"/>
  <c r="F13" i="40" s="1"/>
  <c r="E13" i="40" s="1"/>
  <c r="AQ116" i="26"/>
  <c r="AS115" i="26" s="1"/>
  <c r="AQ117" i="26" s="1"/>
  <c r="AQ76" i="26"/>
  <c r="D32" i="48"/>
  <c r="F32" i="48" s="1"/>
  <c r="BM36" i="27"/>
  <c r="BN36" i="27" s="1"/>
  <c r="BJ68" i="38"/>
  <c r="BI63" i="28"/>
  <c r="BI7" i="28" s="1"/>
  <c r="BH64" i="28"/>
  <c r="W17" i="13"/>
  <c r="D136" i="47"/>
  <c r="BM34" i="24"/>
  <c r="BP34" i="24" s="1"/>
  <c r="E117" i="24"/>
  <c r="AR89" i="24"/>
  <c r="AS25" i="31"/>
  <c r="AS7" i="31" s="1"/>
  <c r="V48" i="31"/>
  <c r="BL66" i="39"/>
  <c r="E63" i="39"/>
  <c r="E67" i="39" s="1"/>
  <c r="D24" i="47"/>
  <c r="O7" i="76"/>
  <c r="AX20" i="88"/>
  <c r="AX7" i="88" s="1"/>
  <c r="N48" i="13"/>
  <c r="BF69" i="23"/>
  <c r="BH63" i="32"/>
  <c r="BH7" i="32" s="1"/>
  <c r="S52" i="13"/>
  <c r="F170" i="46"/>
  <c r="I23" i="50"/>
  <c r="J23" i="50" s="1"/>
  <c r="O23" i="50" s="1"/>
  <c r="P9" i="49"/>
  <c r="O9" i="49"/>
  <c r="AO68" i="37"/>
  <c r="J68" i="19"/>
  <c r="AQ116" i="29"/>
  <c r="AS115" i="29" s="1"/>
  <c r="AQ117" i="29" s="1"/>
  <c r="AQ76" i="29"/>
  <c r="H8" i="89"/>
  <c r="O13" i="81"/>
  <c r="N13" i="81"/>
  <c r="T10" i="89"/>
  <c r="H10" i="59"/>
  <c r="E72" i="48"/>
  <c r="AV25" i="24"/>
  <c r="AV7" i="24" s="1"/>
  <c r="V51" i="24"/>
  <c r="AM68" i="40"/>
  <c r="E88" i="31"/>
  <c r="AR95" i="31"/>
  <c r="BM46" i="25"/>
  <c r="BN46" i="25" s="1"/>
  <c r="D160" i="47"/>
  <c r="F160" i="47" s="1"/>
  <c r="O21" i="23"/>
  <c r="E21" i="23" s="1"/>
  <c r="R18" i="23"/>
  <c r="R8" i="23" s="1"/>
  <c r="R7" i="23" s="1"/>
  <c r="D41" i="48"/>
  <c r="F41" i="48" s="1"/>
  <c r="BM36" i="32"/>
  <c r="BN36" i="32" s="1"/>
  <c r="M43" i="13"/>
  <c r="BA69" i="24"/>
  <c r="V10" i="23"/>
  <c r="BL11" i="23"/>
  <c r="V23" i="13"/>
  <c r="AA68" i="40"/>
  <c r="G38" i="13"/>
  <c r="AV68" i="19"/>
  <c r="P7" i="24"/>
  <c r="P113" i="24"/>
  <c r="AN89" i="24"/>
  <c r="AN77" i="24" s="1"/>
  <c r="G19" i="68"/>
  <c r="H19" i="68" s="1"/>
  <c r="F186" i="48"/>
  <c r="D141" i="48"/>
  <c r="BM42" i="39"/>
  <c r="BN42" i="39" s="1"/>
  <c r="P11" i="54"/>
  <c r="O11" i="54"/>
  <c r="M23" i="13"/>
  <c r="AA69" i="24"/>
  <c r="J11" i="27"/>
  <c r="J10" i="27" s="1"/>
  <c r="J9" i="27" s="1"/>
  <c r="J8" i="27" s="1"/>
  <c r="J7" i="27" s="1"/>
  <c r="H13" i="27"/>
  <c r="G13" i="27" s="1"/>
  <c r="F13" i="27" s="1"/>
  <c r="E13" i="27" s="1"/>
  <c r="BL11" i="21"/>
  <c r="V10" i="21"/>
  <c r="O22" i="13"/>
  <c r="Z68" i="22"/>
  <c r="M48" i="13"/>
  <c r="BF69" i="24"/>
  <c r="D64" i="48"/>
  <c r="F64" i="48" s="1"/>
  <c r="BM37" i="33"/>
  <c r="BN37" i="33" s="1"/>
  <c r="BM18" i="33"/>
  <c r="O18" i="33"/>
  <c r="E18" i="33" s="1"/>
  <c r="H12" i="73"/>
  <c r="E399" i="47"/>
  <c r="E80" i="46"/>
  <c r="N17" i="19"/>
  <c r="BM17" i="19"/>
  <c r="BN17" i="19" s="1"/>
  <c r="BM34" i="23"/>
  <c r="D137" i="47"/>
  <c r="F137" i="47" s="1"/>
  <c r="V34" i="26"/>
  <c r="N10" i="13"/>
  <c r="M69" i="23"/>
  <c r="F23" i="47"/>
  <c r="BM18" i="27"/>
  <c r="O18" i="27"/>
  <c r="E18" i="27" s="1"/>
  <c r="BA25" i="27"/>
  <c r="BA7" i="27" s="1"/>
  <c r="V56" i="27"/>
  <c r="G20" i="80"/>
  <c r="H20" i="80" s="1"/>
  <c r="F469" i="47"/>
  <c r="V46" i="13"/>
  <c r="BD68" i="40"/>
  <c r="P97" i="25"/>
  <c r="Y88" i="25"/>
  <c r="Y76" i="25" s="1"/>
  <c r="I12" i="23"/>
  <c r="BM12" i="23"/>
  <c r="BN12" i="23" s="1"/>
  <c r="E37" i="46"/>
  <c r="V57" i="21"/>
  <c r="BB25" i="21"/>
  <c r="BB7" i="21" s="1"/>
  <c r="AN113" i="23"/>
  <c r="AS113" i="23"/>
  <c r="AN118" i="23" s="1"/>
  <c r="D159" i="47"/>
  <c r="F159" i="47" s="1"/>
  <c r="BM46" i="26"/>
  <c r="BN46" i="26" s="1"/>
  <c r="Y19" i="13"/>
  <c r="W68" i="37"/>
  <c r="E98" i="46"/>
  <c r="BM17" i="37"/>
  <c r="BN17" i="37" s="1"/>
  <c r="N17" i="37"/>
  <c r="J68" i="40"/>
  <c r="BN11" i="40"/>
  <c r="P18" i="62"/>
  <c r="O18" i="62"/>
  <c r="AS78" i="26"/>
  <c r="F117" i="26" s="1"/>
  <c r="F78" i="26"/>
  <c r="S32" i="13"/>
  <c r="BF53" i="88"/>
  <c r="BG53" i="88" s="1"/>
  <c r="F90" i="47"/>
  <c r="BN64" i="32"/>
  <c r="BM63" i="32"/>
  <c r="BL23" i="31"/>
  <c r="D256" i="47"/>
  <c r="F256" i="47" s="1"/>
  <c r="BM51" i="29"/>
  <c r="BN51" i="29" s="1"/>
  <c r="M23" i="68"/>
  <c r="F191" i="48"/>
  <c r="P111" i="19"/>
  <c r="AM88" i="19"/>
  <c r="AM76" i="19" s="1"/>
  <c r="AS92" i="23"/>
  <c r="AH34" i="30"/>
  <c r="AH25" i="30" s="1"/>
  <c r="AH7" i="30" s="1"/>
  <c r="AE37" i="30"/>
  <c r="V37" i="30" s="1"/>
  <c r="H12" i="70"/>
  <c r="F261" i="47"/>
  <c r="E274" i="47"/>
  <c r="V43" i="13"/>
  <c r="BA68" i="40"/>
  <c r="E30" i="31"/>
  <c r="F25" i="31"/>
  <c r="F67" i="31" s="1"/>
  <c r="Y42" i="13"/>
  <c r="AZ68" i="37"/>
  <c r="P19" i="13"/>
  <c r="W69" i="21"/>
  <c r="V56" i="24"/>
  <c r="BA25" i="24"/>
  <c r="BA7" i="24" s="1"/>
  <c r="P109" i="33"/>
  <c r="AK88" i="33"/>
  <c r="AK76" i="33" s="1"/>
  <c r="AA25" i="40"/>
  <c r="AA7" i="40" s="1"/>
  <c r="V30" i="40"/>
  <c r="W44" i="13"/>
  <c r="BB68" i="39"/>
  <c r="AO68" i="31"/>
  <c r="AO68" i="29"/>
  <c r="Q19" i="13"/>
  <c r="W68" i="34"/>
  <c r="E61" i="25"/>
  <c r="F25" i="25"/>
  <c r="F67" i="25" s="1"/>
  <c r="R52" i="13"/>
  <c r="BH63" i="33"/>
  <c r="BH7" i="33" s="1"/>
  <c r="E83" i="26"/>
  <c r="K77" i="26"/>
  <c r="K76" i="26" s="1"/>
  <c r="N77" i="26"/>
  <c r="N76" i="26" s="1"/>
  <c r="E86" i="26"/>
  <c r="V26" i="28"/>
  <c r="W25" i="28"/>
  <c r="W7" i="28" s="1"/>
  <c r="BM16" i="29"/>
  <c r="BN16" i="29" s="1"/>
  <c r="E56" i="46"/>
  <c r="M16" i="29"/>
  <c r="V9" i="38"/>
  <c r="BL10" i="38"/>
  <c r="G10" i="38" s="1"/>
  <c r="F10" i="38" s="1"/>
  <c r="E10" i="38" s="1"/>
  <c r="J68" i="27"/>
  <c r="J11" i="21"/>
  <c r="J10" i="21" s="1"/>
  <c r="J9" i="21" s="1"/>
  <c r="J8" i="21" s="1"/>
  <c r="J7" i="21" s="1"/>
  <c r="H13" i="21"/>
  <c r="G13" i="21" s="1"/>
  <c r="F13" i="21" s="1"/>
  <c r="E13" i="21" s="1"/>
  <c r="BL29" i="32"/>
  <c r="E25" i="32"/>
  <c r="AX53" i="38"/>
  <c r="BM53" i="38"/>
  <c r="BN53" i="38" s="1"/>
  <c r="Z117" i="40"/>
  <c r="O21" i="13"/>
  <c r="Y68" i="22"/>
  <c r="E123" i="46"/>
  <c r="BM19" i="37"/>
  <c r="BN19" i="37" s="1"/>
  <c r="P19" i="37"/>
  <c r="R21" i="33"/>
  <c r="BM21" i="33"/>
  <c r="BN21" i="33" s="1"/>
  <c r="E141" i="46"/>
  <c r="P103" i="21"/>
  <c r="BM66" i="19"/>
  <c r="BN66" i="19" s="1"/>
  <c r="BK66" i="19"/>
  <c r="BL63" i="19"/>
  <c r="G6" i="95" s="1"/>
  <c r="H6" i="95" s="1"/>
  <c r="P117" i="24"/>
  <c r="G20" i="13"/>
  <c r="X68" i="19"/>
  <c r="AM88" i="34"/>
  <c r="AM76" i="34" s="1"/>
  <c r="P111" i="34"/>
  <c r="AO88" i="34"/>
  <c r="AO76" i="34" s="1"/>
  <c r="P113" i="34"/>
  <c r="AI88" i="31"/>
  <c r="AI76" i="31" s="1"/>
  <c r="P107" i="31"/>
  <c r="N76" i="37"/>
  <c r="N116" i="37"/>
  <c r="AS86" i="37" s="1"/>
  <c r="N117" i="37" s="1"/>
  <c r="F62" i="46"/>
  <c r="D74" i="46"/>
  <c r="H9" i="74"/>
  <c r="E374" i="47"/>
  <c r="E61" i="19"/>
  <c r="F25" i="19"/>
  <c r="F67" i="19" s="1"/>
  <c r="AR25" i="28"/>
  <c r="AR7" i="28" s="1"/>
  <c r="V47" i="28"/>
  <c r="I11" i="49"/>
  <c r="N11" i="49" s="1"/>
  <c r="F184" i="46"/>
  <c r="BM13" i="28"/>
  <c r="BN13" i="28" s="1"/>
  <c r="J13" i="28"/>
  <c r="N41" i="13"/>
  <c r="AY69" i="23"/>
  <c r="Y88" i="31"/>
  <c r="Y76" i="31" s="1"/>
  <c r="P97" i="31"/>
  <c r="H13" i="76"/>
  <c r="F312" i="47"/>
  <c r="E324" i="47"/>
  <c r="Y25" i="34"/>
  <c r="Y7" i="34" s="1"/>
  <c r="V28" i="34"/>
  <c r="P17" i="57"/>
  <c r="Q17" i="57"/>
  <c r="F185" i="46"/>
  <c r="AQ20" i="88"/>
  <c r="AQ7" i="88" s="1"/>
  <c r="AS83" i="31"/>
  <c r="K117" i="31" s="1"/>
  <c r="K83" i="31"/>
  <c r="BH64" i="32"/>
  <c r="BI63" i="32"/>
  <c r="BI7" i="32" s="1"/>
  <c r="AL88" i="34"/>
  <c r="AL76" i="34" s="1"/>
  <c r="P110" i="34"/>
  <c r="E116" i="34"/>
  <c r="D59" i="47"/>
  <c r="F59" i="47" s="1"/>
  <c r="BM28" i="26"/>
  <c r="BN28" i="26" s="1"/>
  <c r="Y33" i="13"/>
  <c r="AQ68" i="37"/>
  <c r="N45" i="13"/>
  <c r="BC69" i="23"/>
  <c r="BM51" i="33"/>
  <c r="D266" i="47"/>
  <c r="F266" i="47" s="1"/>
  <c r="BI18" i="88"/>
  <c r="BJ18" i="88" s="1"/>
  <c r="R21" i="31"/>
  <c r="E143" i="46"/>
  <c r="BM21" i="31"/>
  <c r="BN21" i="31" s="1"/>
  <c r="E116" i="19"/>
  <c r="AR88" i="19"/>
  <c r="H81" i="23"/>
  <c r="AS81" i="23"/>
  <c r="D308" i="47"/>
  <c r="F308" i="47" s="1"/>
  <c r="BM54" i="27"/>
  <c r="BN54" i="27" s="1"/>
  <c r="I10" i="60"/>
  <c r="N10" i="60" s="1"/>
  <c r="D25" i="60"/>
  <c r="T21" i="89"/>
  <c r="U21" i="89" s="1"/>
  <c r="H21" i="59"/>
  <c r="I21" i="59" s="1"/>
  <c r="N21" i="59" s="1"/>
  <c r="AZ25" i="32"/>
  <c r="AZ7" i="32" s="1"/>
  <c r="V55" i="32"/>
  <c r="L16" i="13"/>
  <c r="T68" i="25"/>
  <c r="E82" i="32"/>
  <c r="J77" i="32"/>
  <c r="J76" i="32" s="1"/>
  <c r="E84" i="32"/>
  <c r="L77" i="32"/>
  <c r="L76" i="32" s="1"/>
  <c r="P23" i="13"/>
  <c r="AA69" i="21"/>
  <c r="BM36" i="28"/>
  <c r="BN36" i="28" s="1"/>
  <c r="D31" i="48"/>
  <c r="V26" i="21"/>
  <c r="W25" i="21"/>
  <c r="W7" i="21" s="1"/>
  <c r="H12" i="74"/>
  <c r="I12" i="74" s="1"/>
  <c r="N12" i="74" s="1"/>
  <c r="F361" i="47"/>
  <c r="BM17" i="28"/>
  <c r="BN17" i="28" s="1"/>
  <c r="N17" i="28"/>
  <c r="E82" i="46"/>
  <c r="AN88" i="19"/>
  <c r="AN76" i="19" s="1"/>
  <c r="P112" i="19"/>
  <c r="AR77" i="40"/>
  <c r="P116" i="40"/>
  <c r="BM21" i="21"/>
  <c r="BN21" i="21" s="1"/>
  <c r="R21" i="21"/>
  <c r="E139" i="46"/>
  <c r="F139" i="46" s="1"/>
  <c r="F174" i="48"/>
  <c r="W25" i="34"/>
  <c r="W7" i="34" s="1"/>
  <c r="V26" i="34"/>
  <c r="V61" i="23"/>
  <c r="BF25" i="23"/>
  <c r="BF7" i="23" s="1"/>
  <c r="AR97" i="30"/>
  <c r="E88" i="30"/>
  <c r="T44" i="13"/>
  <c r="BB68" i="31"/>
  <c r="D42" i="48"/>
  <c r="F42" i="48" s="1"/>
  <c r="BM36" i="31"/>
  <c r="BN36" i="31" s="1"/>
  <c r="J22" i="13"/>
  <c r="Z68" i="27"/>
  <c r="H9" i="55"/>
  <c r="E24" i="47"/>
  <c r="E72" i="46"/>
  <c r="BM16" i="38"/>
  <c r="M16" i="38"/>
  <c r="L77" i="25"/>
  <c r="L76" i="25" s="1"/>
  <c r="E84" i="25"/>
  <c r="P98" i="40"/>
  <c r="Z88" i="40"/>
  <c r="Z76" i="40" s="1"/>
  <c r="BM18" i="37"/>
  <c r="O18" i="37"/>
  <c r="E18" i="37" s="1"/>
  <c r="E70" i="46"/>
  <c r="BM16" i="40"/>
  <c r="BN16" i="40" s="1"/>
  <c r="M16" i="40"/>
  <c r="P7" i="23"/>
  <c r="V27" i="19"/>
  <c r="X25" i="19"/>
  <c r="X7" i="19" s="1"/>
  <c r="O18" i="39"/>
  <c r="E18" i="39" s="1"/>
  <c r="BM18" i="39"/>
  <c r="G33" i="13"/>
  <c r="AQ68" i="19"/>
  <c r="D36" i="48"/>
  <c r="F36" i="48" s="1"/>
  <c r="BM36" i="23"/>
  <c r="BN36" i="23" s="1"/>
  <c r="D34" i="48"/>
  <c r="F34" i="48" s="1"/>
  <c r="BM36" i="25"/>
  <c r="BN36" i="25" s="1"/>
  <c r="M45" i="13"/>
  <c r="BC69" i="24"/>
  <c r="V15" i="13"/>
  <c r="S68" i="40"/>
  <c r="S89" i="23"/>
  <c r="S77" i="23" s="1"/>
  <c r="P92" i="23"/>
  <c r="M10" i="24"/>
  <c r="M9" i="24" s="1"/>
  <c r="M8" i="24" s="1"/>
  <c r="M7" i="24" s="1"/>
  <c r="G16" i="24"/>
  <c r="F16" i="24" s="1"/>
  <c r="E16" i="24" s="1"/>
  <c r="Q88" i="31"/>
  <c r="Q76" i="31" s="1"/>
  <c r="P89" i="31"/>
  <c r="U43" i="13"/>
  <c r="BA68" i="30"/>
  <c r="BM22" i="23"/>
  <c r="BN22" i="23" s="1"/>
  <c r="E162" i="46"/>
  <c r="S22" i="23"/>
  <c r="J13" i="88"/>
  <c r="J8" i="88" s="1"/>
  <c r="J7" i="88" s="1"/>
  <c r="AM61" i="88"/>
  <c r="W16" i="13"/>
  <c r="T68" i="39"/>
  <c r="V88" i="34"/>
  <c r="V76" i="34" s="1"/>
  <c r="P94" i="34"/>
  <c r="H77" i="22"/>
  <c r="H76" i="22" s="1"/>
  <c r="E80" i="22"/>
  <c r="G45" i="13"/>
  <c r="BC68" i="19"/>
  <c r="E106" i="46"/>
  <c r="P19" i="29"/>
  <c r="BM19" i="29"/>
  <c r="BN19" i="29" s="1"/>
  <c r="V46" i="37"/>
  <c r="AQ25" i="37"/>
  <c r="AQ7" i="37" s="1"/>
  <c r="BC25" i="23"/>
  <c r="BC7" i="23" s="1"/>
  <c r="V58" i="23"/>
  <c r="H20" i="62"/>
  <c r="E168" i="48"/>
  <c r="F162" i="48"/>
  <c r="BI64" i="40"/>
  <c r="BL63" i="40"/>
  <c r="G21" i="95" s="1"/>
  <c r="H21" i="95" s="1"/>
  <c r="BM64" i="40"/>
  <c r="BJ65" i="22"/>
  <c r="BM65" i="22"/>
  <c r="AU7" i="22"/>
  <c r="R90" i="25"/>
  <c r="AS90" i="25"/>
  <c r="R117" i="25" s="1"/>
  <c r="S91" i="19"/>
  <c r="AS91" i="19"/>
  <c r="S117" i="19" s="1"/>
  <c r="BM19" i="21"/>
  <c r="BN19" i="21" s="1"/>
  <c r="P19" i="21"/>
  <c r="E114" i="46"/>
  <c r="V46" i="25"/>
  <c r="AQ25" i="25"/>
  <c r="AQ7" i="25" s="1"/>
  <c r="H18" i="75"/>
  <c r="I18" i="75" s="1"/>
  <c r="N18" i="75" s="1"/>
  <c r="E349" i="47"/>
  <c r="E23" i="25"/>
  <c r="T8" i="25"/>
  <c r="T7" i="25" s="1"/>
  <c r="Y44" i="13"/>
  <c r="BB68" i="37"/>
  <c r="AP88" i="32"/>
  <c r="AP76" i="32" s="1"/>
  <c r="P114" i="32"/>
  <c r="P110" i="19"/>
  <c r="AL88" i="19"/>
  <c r="AL76" i="19" s="1"/>
  <c r="I48" i="13"/>
  <c r="BF68" i="28"/>
  <c r="R19" i="13"/>
  <c r="W68" i="33"/>
  <c r="H16" i="55"/>
  <c r="I16" i="55" s="1"/>
  <c r="N16" i="55" s="1"/>
  <c r="F14" i="47"/>
  <c r="F457" i="47"/>
  <c r="G8" i="80"/>
  <c r="H8" i="80" s="1"/>
  <c r="P93" i="26"/>
  <c r="U88" i="26"/>
  <c r="U76" i="26" s="1"/>
  <c r="Z29" i="19"/>
  <c r="BM29" i="19"/>
  <c r="BN29" i="19" s="1"/>
  <c r="T22" i="13"/>
  <c r="Z68" i="31"/>
  <c r="J82" i="40"/>
  <c r="AS82" i="40"/>
  <c r="J117" i="40" s="1"/>
  <c r="H17" i="55"/>
  <c r="I17" i="55" s="1"/>
  <c r="N17" i="55" s="1"/>
  <c r="F15" i="47"/>
  <c r="H13" i="77"/>
  <c r="F487" i="47"/>
  <c r="BI68" i="33"/>
  <c r="T19" i="13"/>
  <c r="W68" i="31"/>
  <c r="Z25" i="27"/>
  <c r="Z7" i="27" s="1"/>
  <c r="V29" i="27"/>
  <c r="U24" i="29"/>
  <c r="E181" i="46"/>
  <c r="BM24" i="29"/>
  <c r="BN24" i="29" s="1"/>
  <c r="N44" i="13"/>
  <c r="BB69" i="23"/>
  <c r="E61" i="38"/>
  <c r="F25" i="38"/>
  <c r="F67" i="38" s="1"/>
  <c r="P107" i="23"/>
  <c r="AH89" i="23"/>
  <c r="AH77" i="23" s="1"/>
  <c r="O18" i="38"/>
  <c r="E18" i="38" s="1"/>
  <c r="BM18" i="38"/>
  <c r="H44" i="13"/>
  <c r="BB68" i="29"/>
  <c r="AP68" i="27"/>
  <c r="D44" i="48"/>
  <c r="F44" i="48" s="1"/>
  <c r="BM36" i="40"/>
  <c r="BN36" i="40" s="1"/>
  <c r="BN34" i="40" s="1"/>
  <c r="H7" i="54"/>
  <c r="E49" i="47"/>
  <c r="F30" i="47"/>
  <c r="Q34" i="13"/>
  <c r="AR68" i="34"/>
  <c r="BM21" i="39"/>
  <c r="BN21" i="39" s="1"/>
  <c r="E146" i="46"/>
  <c r="F146" i="46" s="1"/>
  <c r="F155" i="47"/>
  <c r="BC25" i="24"/>
  <c r="BC7" i="24" s="1"/>
  <c r="V58" i="24"/>
  <c r="AE44" i="38"/>
  <c r="V44" i="38" s="1"/>
  <c r="AO34" i="38"/>
  <c r="AO25" i="38" s="1"/>
  <c r="AO7" i="38" s="1"/>
  <c r="Q7" i="57"/>
  <c r="P7" i="57"/>
  <c r="BE25" i="33"/>
  <c r="BE7" i="33" s="1"/>
  <c r="E120" i="46"/>
  <c r="P19" i="40"/>
  <c r="BM19" i="40"/>
  <c r="BN19" i="40" s="1"/>
  <c r="AH8" i="84"/>
  <c r="I42" i="13"/>
  <c r="AZ68" i="28"/>
  <c r="Q31" i="13"/>
  <c r="O20" i="82"/>
  <c r="N20" i="82"/>
  <c r="E23" i="39"/>
  <c r="T8" i="39"/>
  <c r="T7" i="39" s="1"/>
  <c r="D43" i="48"/>
  <c r="F43" i="48" s="1"/>
  <c r="BM36" i="30"/>
  <c r="BN36" i="30" s="1"/>
  <c r="N25" i="66"/>
  <c r="O25" i="66" s="1"/>
  <c r="T25" i="66" s="1"/>
  <c r="F173" i="47"/>
  <c r="H14" i="79"/>
  <c r="I14" i="79" s="1"/>
  <c r="F412" i="47"/>
  <c r="AN68" i="31"/>
  <c r="K17" i="13"/>
  <c r="U68" i="26"/>
  <c r="V30" i="22"/>
  <c r="AA25" i="22"/>
  <c r="AA7" i="22" s="1"/>
  <c r="V88" i="32"/>
  <c r="V76" i="32" s="1"/>
  <c r="P94" i="32"/>
  <c r="O9" i="30"/>
  <c r="E65" i="37"/>
  <c r="F63" i="37"/>
  <c r="F67" i="37" s="1"/>
  <c r="N12" i="66"/>
  <c r="E174" i="47"/>
  <c r="E119" i="46"/>
  <c r="P19" i="30"/>
  <c r="BM19" i="30"/>
  <c r="BN19" i="30" s="1"/>
  <c r="E63" i="27"/>
  <c r="E67" i="27" s="1"/>
  <c r="BL66" i="27"/>
  <c r="E116" i="27"/>
  <c r="AR88" i="27"/>
  <c r="BM18" i="24"/>
  <c r="O18" i="24"/>
  <c r="E18" i="24" s="1"/>
  <c r="W25" i="33"/>
  <c r="W7" i="33" s="1"/>
  <c r="V26" i="33"/>
  <c r="E171" i="46"/>
  <c r="S22" i="39"/>
  <c r="BM22" i="39"/>
  <c r="BN22" i="39" s="1"/>
  <c r="V60" i="28"/>
  <c r="BE25" i="28"/>
  <c r="BE7" i="28" s="1"/>
  <c r="AS97" i="31"/>
  <c r="Y117" i="31" s="1"/>
  <c r="O35" i="13"/>
  <c r="AS68" i="22"/>
  <c r="V31" i="39"/>
  <c r="AB25" i="39"/>
  <c r="AB7" i="39" s="1"/>
  <c r="V24" i="13"/>
  <c r="AB68" i="40"/>
  <c r="AA99" i="22"/>
  <c r="AS99" i="22"/>
  <c r="AA117" i="22" s="1"/>
  <c r="E116" i="38"/>
  <c r="AR88" i="38"/>
  <c r="K26" i="13"/>
  <c r="AD68" i="26"/>
  <c r="P8" i="59"/>
  <c r="AS78" i="31"/>
  <c r="F117" i="31" s="1"/>
  <c r="F78" i="31"/>
  <c r="V26" i="31"/>
  <c r="W25" i="31"/>
  <c r="W7" i="31" s="1"/>
  <c r="BN65" i="19"/>
  <c r="BM63" i="19"/>
  <c r="D40" i="48"/>
  <c r="F40" i="48" s="1"/>
  <c r="BM36" i="33"/>
  <c r="BN36" i="33" s="1"/>
  <c r="V57" i="23"/>
  <c r="BB25" i="23"/>
  <c r="BB7" i="23" s="1"/>
  <c r="R15" i="84"/>
  <c r="AJ68" i="30"/>
  <c r="R21" i="38"/>
  <c r="E147" i="46"/>
  <c r="F147" i="46" s="1"/>
  <c r="BM21" i="38"/>
  <c r="BN21" i="38" s="1"/>
  <c r="Q9" i="50"/>
  <c r="P9" i="50"/>
  <c r="AI107" i="37"/>
  <c r="AS107" i="37"/>
  <c r="AI117" i="37" s="1"/>
  <c r="O21" i="82"/>
  <c r="N21" i="82"/>
  <c r="P21" i="58"/>
  <c r="O21" i="58"/>
  <c r="E116" i="29"/>
  <c r="AR88" i="29"/>
  <c r="K49" i="13"/>
  <c r="F49" i="13" s="1"/>
  <c r="BG68" i="26"/>
  <c r="I40" i="13"/>
  <c r="AX68" i="28"/>
  <c r="D176" i="48"/>
  <c r="F176" i="48" s="1"/>
  <c r="BM44" i="27"/>
  <c r="BN44" i="27" s="1"/>
  <c r="D33" i="48"/>
  <c r="F33" i="48" s="1"/>
  <c r="BM36" i="26"/>
  <c r="BN36" i="26" s="1"/>
  <c r="H13" i="79"/>
  <c r="I13" i="79" s="1"/>
  <c r="F411" i="47"/>
  <c r="BL11" i="30"/>
  <c r="V10" i="30"/>
  <c r="L11" i="63"/>
  <c r="M11" i="63"/>
  <c r="O34" i="13"/>
  <c r="AR68" i="22"/>
  <c r="N17" i="39"/>
  <c r="E96" i="46"/>
  <c r="BM17" i="39"/>
  <c r="BN17" i="39" s="1"/>
  <c r="I23" i="75"/>
  <c r="BF48" i="88"/>
  <c r="BG48" i="88" s="1"/>
  <c r="AR88" i="26"/>
  <c r="E116" i="26"/>
  <c r="N17" i="68"/>
  <c r="O17" i="68"/>
  <c r="AP89" i="24"/>
  <c r="AP77" i="24" s="1"/>
  <c r="P115" i="24"/>
  <c r="T25" i="13"/>
  <c r="AC68" i="31"/>
  <c r="G23" i="68"/>
  <c r="AE43" i="31"/>
  <c r="V43" i="31" s="1"/>
  <c r="V34" i="31" s="1"/>
  <c r="AN34" i="31"/>
  <c r="AN25" i="31" s="1"/>
  <c r="AN7" i="31" s="1"/>
  <c r="U8" i="26"/>
  <c r="U7" i="26" s="1"/>
  <c r="E24" i="26"/>
  <c r="BL53" i="30"/>
  <c r="E25" i="30"/>
  <c r="O23" i="13"/>
  <c r="AA68" i="22"/>
  <c r="O18" i="23"/>
  <c r="E18" i="23" s="1"/>
  <c r="BM18" i="23"/>
  <c r="O18" i="21"/>
  <c r="E18" i="21" s="1"/>
  <c r="BM18" i="21"/>
  <c r="AO68" i="38"/>
  <c r="P105" i="24"/>
  <c r="AF89" i="24"/>
  <c r="AF77" i="24" s="1"/>
  <c r="H12" i="78"/>
  <c r="H23" i="78" s="1"/>
  <c r="G23" i="78"/>
  <c r="AR89" i="23"/>
  <c r="E117" i="23"/>
  <c r="R90" i="27"/>
  <c r="AS90" i="27"/>
  <c r="R117" i="27" s="1"/>
  <c r="P111" i="24"/>
  <c r="AL89" i="24"/>
  <c r="AL77" i="24" s="1"/>
  <c r="BH14" i="87"/>
  <c r="BI14" i="87" s="1"/>
  <c r="BH14" i="88"/>
  <c r="BM59" i="25"/>
  <c r="BN59" i="25" s="1"/>
  <c r="D435" i="47"/>
  <c r="F435" i="47" s="1"/>
  <c r="R21" i="24"/>
  <c r="E136" i="46"/>
  <c r="BM21" i="24"/>
  <c r="BN21" i="24" s="1"/>
  <c r="BO18" i="24" s="1"/>
  <c r="H18" i="55"/>
  <c r="I18" i="55" s="1"/>
  <c r="N18" i="55" s="1"/>
  <c r="F16" i="47"/>
  <c r="I47" i="13"/>
  <c r="BE68" i="28"/>
  <c r="G14" i="82"/>
  <c r="H14" i="82" s="1"/>
  <c r="M14" i="82" s="1"/>
  <c r="F61" i="46"/>
  <c r="V94" i="38"/>
  <c r="AS94" i="38"/>
  <c r="AY25" i="23"/>
  <c r="AY7" i="23" s="1"/>
  <c r="V54" i="23"/>
  <c r="F67" i="40"/>
  <c r="BL18" i="40"/>
  <c r="O18" i="40" s="1"/>
  <c r="E18" i="40" s="1"/>
  <c r="G34" i="13"/>
  <c r="AR68" i="19"/>
  <c r="P44" i="13"/>
  <c r="BB69" i="21"/>
  <c r="E99" i="47"/>
  <c r="H20" i="55"/>
  <c r="I20" i="55" s="1"/>
  <c r="N20" i="55" s="1"/>
  <c r="F18" i="47"/>
  <c r="Q21" i="13"/>
  <c r="Y68" i="34"/>
  <c r="D432" i="47"/>
  <c r="BM59" i="28"/>
  <c r="BN59" i="28" s="1"/>
  <c r="E115" i="46"/>
  <c r="P19" i="34"/>
  <c r="BM19" i="34"/>
  <c r="BN19" i="34" s="1"/>
  <c r="H14" i="73"/>
  <c r="I14" i="73" s="1"/>
  <c r="F387" i="47"/>
  <c r="S68" i="29"/>
  <c r="H15" i="13"/>
  <c r="BL18" i="34"/>
  <c r="F67" i="34"/>
  <c r="V31" i="34"/>
  <c r="AB25" i="34"/>
  <c r="AB7" i="34" s="1"/>
  <c r="E22" i="29"/>
  <c r="S8" i="29"/>
  <c r="S7" i="29" s="1"/>
  <c r="BI35" i="88"/>
  <c r="BJ35" i="88" s="1"/>
  <c r="W46" i="13"/>
  <c r="BD68" i="39"/>
  <c r="AB88" i="29"/>
  <c r="AB76" i="29" s="1"/>
  <c r="P100" i="29"/>
  <c r="V62" i="26"/>
  <c r="BG25" i="26"/>
  <c r="BG7" i="26" s="1"/>
  <c r="M41" i="13"/>
  <c r="AY69" i="24"/>
  <c r="BM13" i="30"/>
  <c r="BN13" i="30" s="1"/>
  <c r="J13" i="30"/>
  <c r="AI89" i="23"/>
  <c r="AI77" i="23" s="1"/>
  <c r="P108" i="23"/>
  <c r="AR25" i="22"/>
  <c r="AR7" i="22" s="1"/>
  <c r="V47" i="22"/>
  <c r="N78" i="23"/>
  <c r="N77" i="23" s="1"/>
  <c r="E87" i="23"/>
  <c r="Q24" i="13"/>
  <c r="AB68" i="34"/>
  <c r="M42" i="13"/>
  <c r="AZ69" i="24"/>
  <c r="BF52" i="88"/>
  <c r="BG52" i="88" s="1"/>
  <c r="S42" i="13"/>
  <c r="AZ68" i="32"/>
  <c r="AR78" i="32"/>
  <c r="P77" i="32"/>
  <c r="AI76" i="32"/>
  <c r="AI116" i="32"/>
  <c r="AS107" i="32" s="1"/>
  <c r="P11" i="71"/>
  <c r="O11" i="71"/>
  <c r="J39" i="13"/>
  <c r="AW68" i="27"/>
  <c r="F283" i="47"/>
  <c r="E78" i="34"/>
  <c r="F77" i="34"/>
  <c r="F76" i="34" s="1"/>
  <c r="Y36" i="13"/>
  <c r="AT68" i="37"/>
  <c r="E24" i="25"/>
  <c r="U8" i="25"/>
  <c r="U7" i="25" s="1"/>
  <c r="F109" i="47"/>
  <c r="H11" i="56"/>
  <c r="E124" i="47"/>
  <c r="V32" i="26"/>
  <c r="AC25" i="26"/>
  <c r="AC7" i="26" s="1"/>
  <c r="K25" i="13"/>
  <c r="AC68" i="26"/>
  <c r="BM19" i="31"/>
  <c r="BN19" i="31" s="1"/>
  <c r="P19" i="31"/>
  <c r="E118" i="46"/>
  <c r="O18" i="31"/>
  <c r="E18" i="31" s="1"/>
  <c r="BM18" i="31"/>
  <c r="T45" i="13"/>
  <c r="BC68" i="31"/>
  <c r="BC70" i="31" s="1"/>
  <c r="BD70" i="31" s="1"/>
  <c r="E110" i="46"/>
  <c r="P19" i="25"/>
  <c r="BM19" i="25"/>
  <c r="BN19" i="25" s="1"/>
  <c r="H12" i="41" s="1"/>
  <c r="O18" i="25"/>
  <c r="E18" i="25" s="1"/>
  <c r="BM18" i="25"/>
  <c r="BE14" i="88"/>
  <c r="K14" i="88" s="1"/>
  <c r="V60" i="26"/>
  <c r="BE25" i="26"/>
  <c r="BE7" i="26" s="1"/>
  <c r="K47" i="13"/>
  <c r="BE68" i="26"/>
  <c r="F459" i="47"/>
  <c r="G10" i="80"/>
  <c r="H10" i="80" s="1"/>
  <c r="H16" i="71"/>
  <c r="C20" i="71" s="1"/>
  <c r="E249" i="47"/>
  <c r="AU25" i="25"/>
  <c r="V50" i="25"/>
  <c r="F235" i="47"/>
  <c r="I28" i="49"/>
  <c r="L25" i="13"/>
  <c r="AC68" i="25"/>
  <c r="BL23" i="88"/>
  <c r="BK23" i="88"/>
  <c r="W64" i="88"/>
  <c r="BL36" i="88"/>
  <c r="BK36" i="88"/>
  <c r="O52" i="13"/>
  <c r="BH63" i="22"/>
  <c r="BH7" i="22" s="1"/>
  <c r="BI63" i="22"/>
  <c r="BI7" i="22" s="1"/>
  <c r="BH64" i="22"/>
  <c r="O15" i="13"/>
  <c r="E66" i="46"/>
  <c r="BM16" i="33"/>
  <c r="M16" i="33"/>
  <c r="V9" i="33"/>
  <c r="BL10" i="33"/>
  <c r="G10" i="33" s="1"/>
  <c r="F10" i="33" s="1"/>
  <c r="E10" i="33" s="1"/>
  <c r="AL68" i="33"/>
  <c r="E167" i="46"/>
  <c r="BM22" i="32"/>
  <c r="BN22" i="32" s="1"/>
  <c r="S22" i="32"/>
  <c r="AN112" i="25"/>
  <c r="AS112" i="25"/>
  <c r="AN117" i="25" s="1"/>
  <c r="AG61" i="88"/>
  <c r="L24" i="13"/>
  <c r="AB68" i="25"/>
  <c r="L45" i="13"/>
  <c r="BC68" i="25"/>
  <c r="BI63" i="25"/>
  <c r="BI7" i="25" s="1"/>
  <c r="BH64" i="25"/>
  <c r="BN64" i="25"/>
  <c r="BM63" i="25"/>
  <c r="BH63" i="25"/>
  <c r="BH7" i="25" s="1"/>
  <c r="L52" i="13"/>
  <c r="F460" i="47"/>
  <c r="G11" i="80"/>
  <c r="H11" i="80" s="1"/>
  <c r="BE25" i="25"/>
  <c r="BE7" i="25" s="1"/>
  <c r="V60" i="25"/>
  <c r="L47" i="13"/>
  <c r="BE68" i="25"/>
  <c r="E160" i="46"/>
  <c r="I13" i="50" s="1"/>
  <c r="J13" i="50" s="1"/>
  <c r="O13" i="50" s="1"/>
  <c r="S22" i="25"/>
  <c r="L31" i="13"/>
  <c r="AH68" i="25"/>
  <c r="E35" i="17"/>
  <c r="T36" i="13"/>
  <c r="D24" i="59"/>
  <c r="I20" i="59"/>
  <c r="Y9" i="13"/>
  <c r="S35" i="13"/>
  <c r="AS68" i="32"/>
  <c r="AB8" i="84"/>
  <c r="Q18" i="50"/>
  <c r="P18" i="50"/>
  <c r="P77" i="34"/>
  <c r="AR85" i="34"/>
  <c r="AN68" i="34"/>
  <c r="AN68" i="32"/>
  <c r="AR85" i="33"/>
  <c r="P77" i="33"/>
  <c r="Y116" i="33"/>
  <c r="P12" i="84"/>
  <c r="AR16" i="84"/>
  <c r="BF15" i="88"/>
  <c r="BG15" i="88" s="1"/>
  <c r="BK15" i="88" s="1"/>
  <c r="F45" i="84"/>
  <c r="AQ25" i="84"/>
  <c r="AQ18" i="84"/>
  <c r="O18" i="84"/>
  <c r="E26" i="84"/>
  <c r="E22" i="84"/>
  <c r="N18" i="84"/>
  <c r="L47" i="84"/>
  <c r="AO7" i="84"/>
  <c r="AO47" i="84"/>
  <c r="AA7" i="84"/>
  <c r="E44" i="84"/>
  <c r="E40" i="84"/>
  <c r="E21" i="84"/>
  <c r="E33" i="84"/>
  <c r="I47" i="84"/>
  <c r="I18" i="84"/>
  <c r="AN7" i="84"/>
  <c r="AN47" i="84"/>
  <c r="X7" i="84"/>
  <c r="BB61" i="88"/>
  <c r="BL35" i="88"/>
  <c r="AF61" i="88"/>
  <c r="F29" i="84"/>
  <c r="O8" i="88"/>
  <c r="O7" i="88" s="1"/>
  <c r="E18" i="88"/>
  <c r="E32" i="84"/>
  <c r="H18" i="84"/>
  <c r="H47" i="84"/>
  <c r="AL8" i="84"/>
  <c r="BL11" i="88"/>
  <c r="H61" i="88"/>
  <c r="E23" i="84"/>
  <c r="AM7" i="84"/>
  <c r="BL39" i="88"/>
  <c r="AJ61" i="88"/>
  <c r="G47" i="84"/>
  <c r="G18" i="84"/>
  <c r="E15" i="88"/>
  <c r="E30" i="84"/>
  <c r="Q54" i="88"/>
  <c r="AY20" i="88"/>
  <c r="AY7" i="88" s="1"/>
  <c r="O61" i="88"/>
  <c r="F10" i="84"/>
  <c r="E28" i="84"/>
  <c r="E24" i="84"/>
  <c r="E20" i="84"/>
  <c r="U7" i="84"/>
  <c r="E39" i="84"/>
  <c r="AF7" i="84"/>
  <c r="E35" i="84"/>
  <c r="AP7" i="84"/>
  <c r="AK7" i="84"/>
  <c r="AG7" i="84"/>
  <c r="Z7" i="84"/>
  <c r="T7" i="84"/>
  <c r="F37" i="84"/>
  <c r="F34" i="84"/>
  <c r="E29" i="88"/>
  <c r="E20" i="88" s="1"/>
  <c r="BE30" i="88"/>
  <c r="AE61" i="88"/>
  <c r="AR20" i="88"/>
  <c r="AR7" i="88" s="1"/>
  <c r="Q47" i="88"/>
  <c r="AR61" i="88"/>
  <c r="AN68" i="27"/>
  <c r="BE68" i="40"/>
  <c r="G21" i="80"/>
  <c r="H21" i="80" s="1"/>
  <c r="F470" i="47"/>
  <c r="V60" i="40"/>
  <c r="BE25" i="40"/>
  <c r="BE7" i="40" s="1"/>
  <c r="V8" i="40"/>
  <c r="N22" i="86"/>
  <c r="O22" i="86"/>
  <c r="E224" i="47"/>
  <c r="V49" i="30"/>
  <c r="AT25" i="30"/>
  <c r="F455" i="47"/>
  <c r="G6" i="80"/>
  <c r="H6" i="80" s="1"/>
  <c r="BE68" i="19"/>
  <c r="V60" i="19"/>
  <c r="BE25" i="19"/>
  <c r="BE7" i="19" s="1"/>
  <c r="BL11" i="19"/>
  <c r="V10" i="19"/>
  <c r="BM12" i="19"/>
  <c r="BN12" i="19" s="1"/>
  <c r="G9" i="13" s="1"/>
  <c r="E30" i="46"/>
  <c r="I12" i="19"/>
  <c r="Y97" i="28"/>
  <c r="AS97" i="28"/>
  <c r="BC68" i="28"/>
  <c r="F407" i="47"/>
  <c r="BM22" i="28"/>
  <c r="BN22" i="28" s="1"/>
  <c r="I15" i="13" s="1"/>
  <c r="E157" i="46"/>
  <c r="N18" i="83"/>
  <c r="O18" i="83"/>
  <c r="Y68" i="33"/>
  <c r="E33" i="46"/>
  <c r="BM12" i="27"/>
  <c r="BN12" i="27" s="1"/>
  <c r="J9" i="13" s="1"/>
  <c r="I12" i="27"/>
  <c r="BL11" i="27"/>
  <c r="V10" i="27"/>
  <c r="BM17" i="27"/>
  <c r="E83" i="46"/>
  <c r="N17" i="27"/>
  <c r="Y68" i="28"/>
  <c r="F38" i="46"/>
  <c r="G15" i="86"/>
  <c r="H15" i="86" s="1"/>
  <c r="M15" i="86" s="1"/>
  <c r="AY68" i="22"/>
  <c r="M16" i="88"/>
  <c r="AZ68" i="29"/>
  <c r="BL16" i="88"/>
  <c r="V60" i="38"/>
  <c r="BE25" i="38"/>
  <c r="BE7" i="38" s="1"/>
  <c r="BE68" i="38"/>
  <c r="F472" i="47"/>
  <c r="E474" i="47"/>
  <c r="AZ69" i="21"/>
  <c r="U68" i="33"/>
  <c r="E78" i="33"/>
  <c r="F77" i="33"/>
  <c r="N18" i="86"/>
  <c r="O18" i="86"/>
  <c r="BJ68" i="33"/>
  <c r="BN63" i="33"/>
  <c r="R50" i="13" s="1"/>
  <c r="R51" i="13" s="1"/>
  <c r="X68" i="32"/>
  <c r="BH68" i="29"/>
  <c r="D374" i="47"/>
  <c r="F358" i="47"/>
  <c r="F374" i="47" s="1"/>
  <c r="BA68" i="27"/>
  <c r="AN68" i="28"/>
  <c r="F151" i="48"/>
  <c r="D168" i="48"/>
  <c r="BL38" i="88"/>
  <c r="BJ38" i="88"/>
  <c r="AI61" i="88"/>
  <c r="AT7" i="88"/>
  <c r="AT60" i="88"/>
  <c r="BF49" i="88" s="1"/>
  <c r="BG49" i="88" s="1"/>
  <c r="AY68" i="29"/>
  <c r="Y76" i="26"/>
  <c r="BI19" i="88"/>
  <c r="U68" i="25"/>
  <c r="F35" i="46"/>
  <c r="G12" i="86"/>
  <c r="H12" i="86" s="1"/>
  <c r="M12" i="86" s="1"/>
  <c r="BB68" i="25"/>
  <c r="BB69" i="24"/>
  <c r="F386" i="47"/>
  <c r="D399" i="47"/>
  <c r="F321" i="47"/>
  <c r="AY68" i="39"/>
  <c r="AI68" i="39"/>
  <c r="AQ115" i="39"/>
  <c r="AQ76" i="39" s="1"/>
  <c r="AS115" i="39"/>
  <c r="AQ117" i="39" s="1"/>
  <c r="G16" i="86"/>
  <c r="H16" i="86" s="1"/>
  <c r="M16" i="86" s="1"/>
  <c r="F39" i="46"/>
  <c r="I11" i="21"/>
  <c r="I10" i="21" s="1"/>
  <c r="H12" i="21"/>
  <c r="G12" i="21" s="1"/>
  <c r="F12" i="21" s="1"/>
  <c r="E12" i="21" s="1"/>
  <c r="AI69" i="21"/>
  <c r="I69" i="21"/>
  <c r="AR81" i="21"/>
  <c r="P78" i="21"/>
  <c r="AH69" i="21"/>
  <c r="AH68" i="27"/>
  <c r="Y117" i="27"/>
  <c r="AS88" i="27"/>
  <c r="P117" i="27" s="1"/>
  <c r="AR80" i="27"/>
  <c r="P77" i="27"/>
  <c r="AH68" i="32"/>
  <c r="AP68" i="34"/>
  <c r="AU20" i="88"/>
  <c r="AU7" i="88" s="1"/>
  <c r="Q50" i="88"/>
  <c r="AP68" i="39"/>
  <c r="E46" i="46"/>
  <c r="BM12" i="39"/>
  <c r="BN12" i="39" s="1"/>
  <c r="W9" i="13" s="1"/>
  <c r="I12" i="39"/>
  <c r="BL11" i="39"/>
  <c r="V10" i="39"/>
  <c r="AP68" i="37"/>
  <c r="AP68" i="31"/>
  <c r="AP68" i="38"/>
  <c r="BN34" i="38"/>
  <c r="X27" i="13" s="1"/>
  <c r="F77" i="38"/>
  <c r="F76" i="38" s="1"/>
  <c r="E78" i="38"/>
  <c r="E77" i="38" s="1"/>
  <c r="E76" i="38" s="1"/>
  <c r="AP68" i="40"/>
  <c r="BM18" i="29"/>
  <c r="O18" i="29"/>
  <c r="E18" i="29" s="1"/>
  <c r="E131" i="46"/>
  <c r="R21" i="29"/>
  <c r="BM21" i="29"/>
  <c r="BN21" i="29" s="1"/>
  <c r="H14" i="13" s="1"/>
  <c r="AP68" i="29"/>
  <c r="BN34" i="29"/>
  <c r="H27" i="13" s="1"/>
  <c r="P77" i="29"/>
  <c r="AR81" i="29"/>
  <c r="F198" i="48"/>
  <c r="D216" i="48"/>
  <c r="Y117" i="29"/>
  <c r="AS88" i="29"/>
  <c r="P117" i="29" s="1"/>
  <c r="O13" i="86"/>
  <c r="N13" i="86"/>
  <c r="BN48" i="23"/>
  <c r="N35" i="13" s="1"/>
  <c r="S7" i="84"/>
  <c r="T61" i="88"/>
  <c r="AV20" i="88"/>
  <c r="AV7" i="88" s="1"/>
  <c r="Q51" i="88"/>
  <c r="BL51" i="88"/>
  <c r="AV61" i="88"/>
  <c r="AR38" i="84"/>
  <c r="E23" i="17"/>
  <c r="AB68" i="31"/>
  <c r="AO7" i="88"/>
  <c r="F43" i="46"/>
  <c r="G20" i="86"/>
  <c r="H20" i="86" s="1"/>
  <c r="M20" i="86" s="1"/>
  <c r="AO62" i="88"/>
  <c r="BF44" i="88"/>
  <c r="BG44" i="88" s="1"/>
  <c r="BK44" i="88" s="1"/>
  <c r="AR31" i="84"/>
  <c r="AG29" i="88"/>
  <c r="AG20" i="88" s="1"/>
  <c r="Z36" i="88"/>
  <c r="Q36" i="88" s="1"/>
  <c r="AH29" i="88"/>
  <c r="AH20" i="88" s="1"/>
  <c r="AH7" i="88" s="1"/>
  <c r="Z37" i="88"/>
  <c r="Q37" i="88" s="1"/>
  <c r="N11" i="86"/>
  <c r="O11" i="86"/>
  <c r="AA8" i="17"/>
  <c r="AB8" i="17" s="1"/>
  <c r="E8" i="17"/>
  <c r="BH63" i="26"/>
  <c r="BH7" i="26" s="1"/>
  <c r="E51" i="17"/>
  <c r="AR85" i="26"/>
  <c r="P77" i="26"/>
  <c r="W20" i="88"/>
  <c r="W7" i="88" s="1"/>
  <c r="N60" i="88"/>
  <c r="AB61" i="88"/>
  <c r="BL31" i="88"/>
  <c r="N21" i="68"/>
  <c r="O21" i="68"/>
  <c r="N18" i="70"/>
  <c r="AV68" i="28"/>
  <c r="H19" i="80"/>
  <c r="BH63" i="31"/>
  <c r="BH7" i="31" s="1"/>
  <c r="S8" i="31"/>
  <c r="S7" i="31" s="1"/>
  <c r="E22" i="31"/>
  <c r="S68" i="31"/>
  <c r="AB69" i="21"/>
  <c r="AB68" i="38"/>
  <c r="AC68" i="37"/>
  <c r="F48" i="46"/>
  <c r="AN117" i="34"/>
  <c r="AS88" i="34"/>
  <c r="AN88" i="34"/>
  <c r="AN76" i="34" s="1"/>
  <c r="P112" i="34"/>
  <c r="Y42" i="84"/>
  <c r="F40" i="46"/>
  <c r="G17" i="86"/>
  <c r="Q9" i="88"/>
  <c r="BE10" i="88"/>
  <c r="BL32" i="88"/>
  <c r="AC61" i="88"/>
  <c r="P8" i="62"/>
  <c r="O8" i="62"/>
  <c r="Q14" i="57"/>
  <c r="P14" i="57"/>
  <c r="U7" i="66"/>
  <c r="V7" i="66"/>
  <c r="P9" i="61"/>
  <c r="O9" i="61"/>
  <c r="P7" i="56"/>
  <c r="O7" i="56"/>
  <c r="Q27" i="88"/>
  <c r="X20" i="88"/>
  <c r="X7" i="88" s="1"/>
  <c r="X61" i="88"/>
  <c r="AB20" i="88"/>
  <c r="AB7" i="88" s="1"/>
  <c r="Z31" i="88"/>
  <c r="Q31" i="88" s="1"/>
  <c r="BN65" i="28"/>
  <c r="BJ63" i="28"/>
  <c r="BJ7" i="28" s="1"/>
  <c r="BH65" i="28"/>
  <c r="AC68" i="38"/>
  <c r="AS68" i="29"/>
  <c r="AS68" i="40"/>
  <c r="I8" i="40"/>
  <c r="E18" i="46"/>
  <c r="BM11" i="31"/>
  <c r="BM10" i="31" s="1"/>
  <c r="BM9" i="31" s="1"/>
  <c r="H11" i="31"/>
  <c r="G11" i="31" s="1"/>
  <c r="F11" i="31" s="1"/>
  <c r="E11" i="31" s="1"/>
  <c r="I11" i="31"/>
  <c r="I10" i="31" s="1"/>
  <c r="H12" i="31"/>
  <c r="G12" i="31" s="1"/>
  <c r="F12" i="31" s="1"/>
  <c r="E12" i="31" s="1"/>
  <c r="I68" i="31"/>
  <c r="BN11" i="31"/>
  <c r="T8" i="13" s="1"/>
  <c r="BL10" i="31"/>
  <c r="G10" i="31" s="1"/>
  <c r="F10" i="31" s="1"/>
  <c r="E10" i="31" s="1"/>
  <c r="V9" i="31"/>
  <c r="AT68" i="38"/>
  <c r="AT68" i="39"/>
  <c r="AT68" i="40"/>
  <c r="AU68" i="34"/>
  <c r="AU69" i="21"/>
  <c r="AU68" i="22"/>
  <c r="AU69" i="24"/>
  <c r="AS68" i="19"/>
  <c r="J8" i="31"/>
  <c r="AS68" i="31"/>
  <c r="AS68" i="30"/>
  <c r="BM25" i="34"/>
  <c r="I9" i="33"/>
  <c r="AS68" i="33"/>
  <c r="AS68" i="28"/>
  <c r="G9" i="83"/>
  <c r="H9" i="83" s="1"/>
  <c r="M9" i="83" s="1"/>
  <c r="F7" i="46"/>
  <c r="AS68" i="37"/>
  <c r="AS68" i="39"/>
  <c r="AS68" i="34"/>
  <c r="AS69" i="24"/>
  <c r="AS68" i="26"/>
  <c r="I7" i="28"/>
  <c r="BN51" i="38"/>
  <c r="X38" i="13" s="1"/>
  <c r="W68" i="29"/>
  <c r="W68" i="28"/>
  <c r="BJ68" i="27"/>
  <c r="P16" i="61"/>
  <c r="O16" i="61"/>
  <c r="X68" i="28"/>
  <c r="AU68" i="29"/>
  <c r="F263" i="47"/>
  <c r="D274" i="47"/>
  <c r="AV68" i="22"/>
  <c r="H10" i="69"/>
  <c r="G23" i="69"/>
  <c r="AD117" i="26"/>
  <c r="AS88" i="26"/>
  <c r="AD88" i="26"/>
  <c r="AD76" i="26" s="1"/>
  <c r="P102" i="26"/>
  <c r="P88" i="26" s="1"/>
  <c r="AN88" i="32"/>
  <c r="AN76" i="32" s="1"/>
  <c r="P112" i="32"/>
  <c r="O19" i="58"/>
  <c r="P19" i="58"/>
  <c r="N68" i="32"/>
  <c r="F17" i="32"/>
  <c r="E17" i="32" s="1"/>
  <c r="N9" i="32"/>
  <c r="N8" i="32" s="1"/>
  <c r="N7" i="32" s="1"/>
  <c r="F92" i="46"/>
  <c r="G20" i="81"/>
  <c r="H20" i="81" s="1"/>
  <c r="M20" i="81" s="1"/>
  <c r="H117" i="32"/>
  <c r="H77" i="32"/>
  <c r="H76" i="32" s="1"/>
  <c r="E80" i="32"/>
  <c r="J68" i="32"/>
  <c r="BM11" i="32"/>
  <c r="BM10" i="32" s="1"/>
  <c r="BM9" i="32" s="1"/>
  <c r="BN9" i="32" s="1"/>
  <c r="H11" i="32"/>
  <c r="G11" i="32" s="1"/>
  <c r="F11" i="32" s="1"/>
  <c r="E11" i="32" s="1"/>
  <c r="E17" i="46"/>
  <c r="H13" i="32"/>
  <c r="G13" i="32" s="1"/>
  <c r="F13" i="32" s="1"/>
  <c r="E13" i="32" s="1"/>
  <c r="J11" i="32"/>
  <c r="J10" i="32" s="1"/>
  <c r="V9" i="32"/>
  <c r="BL10" i="32"/>
  <c r="G10" i="32" s="1"/>
  <c r="F10" i="32" s="1"/>
  <c r="E10" i="32" s="1"/>
  <c r="BN11" i="32"/>
  <c r="S8" i="13" s="1"/>
  <c r="AT7" i="32"/>
  <c r="F17" i="22"/>
  <c r="E17" i="22" s="1"/>
  <c r="N9" i="22"/>
  <c r="N8" i="22" s="1"/>
  <c r="N7" i="22" s="1"/>
  <c r="F88" i="46"/>
  <c r="G16" i="81"/>
  <c r="H16" i="81" s="1"/>
  <c r="M16" i="81" s="1"/>
  <c r="N68" i="22"/>
  <c r="M68" i="22"/>
  <c r="G16" i="82"/>
  <c r="H16" i="82" s="1"/>
  <c r="M16" i="82" s="1"/>
  <c r="F63" i="46"/>
  <c r="M10" i="22"/>
  <c r="M9" i="22" s="1"/>
  <c r="M8" i="22" s="1"/>
  <c r="M7" i="22" s="1"/>
  <c r="G16" i="22"/>
  <c r="F16" i="22" s="1"/>
  <c r="E16" i="22" s="1"/>
  <c r="BL10" i="22"/>
  <c r="G10" i="22" s="1"/>
  <c r="F10" i="22" s="1"/>
  <c r="E10" i="22" s="1"/>
  <c r="V9" i="22"/>
  <c r="H12" i="22"/>
  <c r="G12" i="22" s="1"/>
  <c r="F12" i="22" s="1"/>
  <c r="E12" i="22" s="1"/>
  <c r="I11" i="22"/>
  <c r="I10" i="22" s="1"/>
  <c r="I68" i="22"/>
  <c r="BN11" i="22"/>
  <c r="O8" i="13" s="1"/>
  <c r="AL68" i="22"/>
  <c r="E13" i="46"/>
  <c r="BM11" i="22"/>
  <c r="BM10" i="22" s="1"/>
  <c r="BM9" i="22" s="1"/>
  <c r="H11" i="22"/>
  <c r="G11" i="22" s="1"/>
  <c r="F11" i="22" s="1"/>
  <c r="E11" i="22" s="1"/>
  <c r="F63" i="48"/>
  <c r="AH68" i="34"/>
  <c r="X69" i="21"/>
  <c r="X68" i="27"/>
  <c r="F78" i="24"/>
  <c r="F77" i="24" s="1"/>
  <c r="E79" i="24"/>
  <c r="F118" i="24"/>
  <c r="Y89" i="24"/>
  <c r="Y77" i="24" s="1"/>
  <c r="P98" i="24"/>
  <c r="BN27" i="24"/>
  <c r="M20" i="13" s="1"/>
  <c r="H11" i="24"/>
  <c r="G11" i="24" s="1"/>
  <c r="F11" i="24" s="1"/>
  <c r="E11" i="24" s="1"/>
  <c r="E11" i="46"/>
  <c r="BM11" i="24"/>
  <c r="BM10" i="24" s="1"/>
  <c r="H69" i="24"/>
  <c r="BN10" i="24"/>
  <c r="H10" i="24"/>
  <c r="I9" i="24"/>
  <c r="V9" i="24"/>
  <c r="BL10" i="24"/>
  <c r="G10" i="24" s="1"/>
  <c r="F10" i="24" s="1"/>
  <c r="E10" i="24" s="1"/>
  <c r="F40" i="47"/>
  <c r="D49" i="47"/>
  <c r="X68" i="34"/>
  <c r="N17" i="54"/>
  <c r="AL68" i="40"/>
  <c r="F89" i="48"/>
  <c r="AI68" i="32"/>
  <c r="P19" i="50"/>
  <c r="O10" i="56"/>
  <c r="P10" i="56"/>
  <c r="P8" i="54"/>
  <c r="O8" i="54"/>
  <c r="AC69" i="21"/>
  <c r="AB68" i="39"/>
  <c r="AQ115" i="37"/>
  <c r="AQ76" i="37" s="1"/>
  <c r="AS115" i="37"/>
  <c r="AQ117" i="37" s="1"/>
  <c r="F78" i="37"/>
  <c r="AS78" i="37"/>
  <c r="H11" i="37"/>
  <c r="G11" i="37" s="1"/>
  <c r="F11" i="37" s="1"/>
  <c r="E11" i="37" s="1"/>
  <c r="BM11" i="37"/>
  <c r="BM10" i="37" s="1"/>
  <c r="E23" i="46"/>
  <c r="Y117" i="37"/>
  <c r="AS88" i="37"/>
  <c r="P117" i="37" s="1"/>
  <c r="I68" i="37"/>
  <c r="BN11" i="37"/>
  <c r="AR77" i="37"/>
  <c r="P116" i="37"/>
  <c r="BL10" i="37"/>
  <c r="G10" i="37" s="1"/>
  <c r="F10" i="37" s="1"/>
  <c r="E10" i="37" s="1"/>
  <c r="V9" i="37"/>
  <c r="I11" i="37"/>
  <c r="I10" i="37" s="1"/>
  <c r="H12" i="37"/>
  <c r="G12" i="37" s="1"/>
  <c r="F12" i="37" s="1"/>
  <c r="E12" i="37" s="1"/>
  <c r="F173" i="46"/>
  <c r="AE68" i="37"/>
  <c r="BN22" i="37"/>
  <c r="E22" i="37"/>
  <c r="S8" i="37"/>
  <c r="S7" i="37" s="1"/>
  <c r="BN31" i="37"/>
  <c r="F98" i="47"/>
  <c r="D99" i="47"/>
  <c r="BN22" i="38"/>
  <c r="X15" i="13" s="1"/>
  <c r="S8" i="38"/>
  <c r="S7" i="38" s="1"/>
  <c r="E22" i="38"/>
  <c r="F172" i="46"/>
  <c r="AC68" i="40"/>
  <c r="M85" i="30"/>
  <c r="AS85" i="30"/>
  <c r="N68" i="30"/>
  <c r="G16" i="30"/>
  <c r="F16" i="30" s="1"/>
  <c r="E16" i="30" s="1"/>
  <c r="M10" i="30"/>
  <c r="M9" i="30" s="1"/>
  <c r="M8" i="30" s="1"/>
  <c r="M7" i="30" s="1"/>
  <c r="BN16" i="30"/>
  <c r="U10" i="13" s="1"/>
  <c r="F69" i="46"/>
  <c r="G22" i="82"/>
  <c r="H22" i="82" s="1"/>
  <c r="M22" i="82" s="1"/>
  <c r="AL68" i="30"/>
  <c r="BN49" i="30"/>
  <c r="BN66" i="31"/>
  <c r="BM63" i="31"/>
  <c r="BH66" i="31"/>
  <c r="BK63" i="31"/>
  <c r="BK7" i="31" s="1"/>
  <c r="AT68" i="31"/>
  <c r="P21" i="50"/>
  <c r="P116" i="31"/>
  <c r="AR77" i="31"/>
  <c r="H80" i="31"/>
  <c r="AS80" i="31"/>
  <c r="F93" i="46"/>
  <c r="G21" i="81"/>
  <c r="H21" i="81" s="1"/>
  <c r="M21" i="81" s="1"/>
  <c r="BN17" i="31"/>
  <c r="T11" i="13" s="1"/>
  <c r="F17" i="31"/>
  <c r="E17" i="31" s="1"/>
  <c r="N9" i="31"/>
  <c r="N8" i="31" s="1"/>
  <c r="N7" i="31" s="1"/>
  <c r="AL68" i="31"/>
  <c r="AJ47" i="84"/>
  <c r="AT68" i="33"/>
  <c r="AC47" i="84"/>
  <c r="E15" i="46"/>
  <c r="H11" i="34"/>
  <c r="G11" i="34" s="1"/>
  <c r="F11" i="34" s="1"/>
  <c r="E11" i="34" s="1"/>
  <c r="BM11" i="34"/>
  <c r="BM10" i="34" s="1"/>
  <c r="BL10" i="34"/>
  <c r="G10" i="34" s="1"/>
  <c r="F10" i="34" s="1"/>
  <c r="E10" i="34" s="1"/>
  <c r="V9" i="34"/>
  <c r="BN11" i="34"/>
  <c r="Q8" i="13" s="1"/>
  <c r="I68" i="34"/>
  <c r="H12" i="34"/>
  <c r="G12" i="34" s="1"/>
  <c r="F12" i="34" s="1"/>
  <c r="E12" i="34" s="1"/>
  <c r="I11" i="34"/>
  <c r="I10" i="34" s="1"/>
  <c r="AL68" i="34"/>
  <c r="P16" i="75"/>
  <c r="O16" i="75"/>
  <c r="H23" i="75"/>
  <c r="AZ68" i="34"/>
  <c r="E22" i="21"/>
  <c r="S8" i="21"/>
  <c r="S7" i="21" s="1"/>
  <c r="BN22" i="21"/>
  <c r="P15" i="13" s="1"/>
  <c r="I17" i="50"/>
  <c r="J17" i="50" s="1"/>
  <c r="O17" i="50" s="1"/>
  <c r="Q17" i="50" s="1"/>
  <c r="F164" i="46"/>
  <c r="AR43" i="84"/>
  <c r="I68" i="25"/>
  <c r="BN11" i="25"/>
  <c r="L8" i="13" s="1"/>
  <c r="H12" i="25"/>
  <c r="G12" i="25" s="1"/>
  <c r="F12" i="25" s="1"/>
  <c r="E12" i="25" s="1"/>
  <c r="I11" i="25"/>
  <c r="I10" i="25" s="1"/>
  <c r="E10" i="46"/>
  <c r="H11" i="25"/>
  <c r="G11" i="25" s="1"/>
  <c r="F11" i="25" s="1"/>
  <c r="E11" i="25" s="1"/>
  <c r="BM11" i="25"/>
  <c r="BM10" i="25" s="1"/>
  <c r="BM9" i="25" s="1"/>
  <c r="BN9" i="25" s="1"/>
  <c r="BL10" i="25"/>
  <c r="G10" i="25" s="1"/>
  <c r="F10" i="25" s="1"/>
  <c r="E10" i="25" s="1"/>
  <c r="V9" i="25"/>
  <c r="P11" i="58"/>
  <c r="O11" i="58"/>
  <c r="N68" i="26"/>
  <c r="N9" i="26"/>
  <c r="N8" i="26" s="1"/>
  <c r="N7" i="26" s="1"/>
  <c r="F17" i="26"/>
  <c r="E17" i="26" s="1"/>
  <c r="F84" i="46"/>
  <c r="G12" i="81"/>
  <c r="F34" i="46"/>
  <c r="BL10" i="26"/>
  <c r="G10" i="26" s="1"/>
  <c r="F10" i="26" s="1"/>
  <c r="E10" i="26" s="1"/>
  <c r="V9" i="26"/>
  <c r="I11" i="26"/>
  <c r="I10" i="26" s="1"/>
  <c r="H12" i="26"/>
  <c r="G12" i="26" s="1"/>
  <c r="F12" i="26" s="1"/>
  <c r="E12" i="26" s="1"/>
  <c r="BN11" i="26"/>
  <c r="K8" i="13" s="1"/>
  <c r="I68" i="26"/>
  <c r="AL68" i="26"/>
  <c r="H11" i="26"/>
  <c r="G11" i="26" s="1"/>
  <c r="F11" i="26" s="1"/>
  <c r="E11" i="26" s="1"/>
  <c r="E9" i="46"/>
  <c r="BM11" i="26"/>
  <c r="BH64" i="26"/>
  <c r="BI63" i="26"/>
  <c r="BI7" i="26" s="1"/>
  <c r="BM63" i="26"/>
  <c r="BN64" i="26"/>
  <c r="O11" i="64"/>
  <c r="P11" i="64"/>
  <c r="F183" i="47"/>
  <c r="F199" i="47" s="1"/>
  <c r="O21" i="27"/>
  <c r="E21" i="27" s="1"/>
  <c r="R18" i="27"/>
  <c r="R8" i="27" s="1"/>
  <c r="F133" i="46"/>
  <c r="R68" i="27"/>
  <c r="E77" i="28"/>
  <c r="BN50" i="28"/>
  <c r="I37" i="13" s="1"/>
  <c r="AA37" i="13" s="1"/>
  <c r="AB37" i="13" s="1"/>
  <c r="BN28" i="29"/>
  <c r="H21" i="13" s="1"/>
  <c r="F56" i="47"/>
  <c r="BN16" i="19"/>
  <c r="G10" i="13" s="1"/>
  <c r="G16" i="19"/>
  <c r="F16" i="19" s="1"/>
  <c r="E16" i="19" s="1"/>
  <c r="M10" i="19"/>
  <c r="M9" i="19" s="1"/>
  <c r="M8" i="19" s="1"/>
  <c r="M7" i="19" s="1"/>
  <c r="F55" i="46"/>
  <c r="G8" i="82"/>
  <c r="P97" i="19"/>
  <c r="Y88" i="19"/>
  <c r="Y76" i="19" s="1"/>
  <c r="Y117" i="19"/>
  <c r="AR11" i="84"/>
  <c r="Q47" i="84"/>
  <c r="P11" i="65"/>
  <c r="O11" i="65"/>
  <c r="O11" i="59"/>
  <c r="P11" i="59"/>
  <c r="P9" i="71"/>
  <c r="O9" i="71"/>
  <c r="H8" i="29"/>
  <c r="I7" i="29"/>
  <c r="N23" i="75"/>
  <c r="O6" i="75"/>
  <c r="P6" i="75"/>
  <c r="P6" i="76"/>
  <c r="O6" i="76"/>
  <c r="I7" i="32"/>
  <c r="BM24" i="32"/>
  <c r="BN24" i="32" s="1"/>
  <c r="S17" i="13" s="1"/>
  <c r="D192" i="46"/>
  <c r="F192" i="46" s="1"/>
  <c r="F77" i="27"/>
  <c r="F76" i="27" s="1"/>
  <c r="E78" i="27"/>
  <c r="BN24" i="27"/>
  <c r="F117" i="27"/>
  <c r="P16" i="50"/>
  <c r="S68" i="22"/>
  <c r="AS85" i="22"/>
  <c r="M85" i="22"/>
  <c r="AL68" i="19"/>
  <c r="BN22" i="19"/>
  <c r="F155" i="46"/>
  <c r="I8" i="50"/>
  <c r="F101" i="48"/>
  <c r="F120" i="48" s="1"/>
  <c r="D120" i="48"/>
  <c r="S8" i="19"/>
  <c r="S7" i="19" s="1"/>
  <c r="E22" i="19"/>
  <c r="BN22" i="25"/>
  <c r="D174" i="46"/>
  <c r="F196" i="46"/>
  <c r="U68" i="39"/>
  <c r="P23" i="49"/>
  <c r="O23" i="49"/>
  <c r="I23" i="64"/>
  <c r="H24" i="64"/>
  <c r="C28" i="64" s="1"/>
  <c r="BJ68" i="39"/>
  <c r="L117" i="39"/>
  <c r="AS77" i="39"/>
  <c r="E117" i="39" s="1"/>
  <c r="L77" i="39"/>
  <c r="L76" i="39" s="1"/>
  <c r="E84" i="39"/>
  <c r="BM25" i="39"/>
  <c r="BN32" i="39"/>
  <c r="F121" i="47"/>
  <c r="AQ115" i="25"/>
  <c r="AQ76" i="25" s="1"/>
  <c r="AS115" i="25"/>
  <c r="AQ117" i="25" s="1"/>
  <c r="AQ115" i="31"/>
  <c r="AQ76" i="31" s="1"/>
  <c r="AS115" i="31"/>
  <c r="AQ117" i="31" s="1"/>
  <c r="G22" i="81" l="1"/>
  <c r="H22" i="81" s="1"/>
  <c r="M22" i="81" s="1"/>
  <c r="AR9" i="84"/>
  <c r="AD47" i="84"/>
  <c r="BJ16" i="88"/>
  <c r="M61" i="88"/>
  <c r="BI4" i="88"/>
  <c r="P14" i="84"/>
  <c r="P77" i="22"/>
  <c r="AR78" i="22"/>
  <c r="AC48" i="84"/>
  <c r="I31" i="64"/>
  <c r="BI36" i="88"/>
  <c r="BJ36" i="88" s="1"/>
  <c r="I25" i="64"/>
  <c r="H29" i="81"/>
  <c r="U61" i="88"/>
  <c r="BJ57" i="88"/>
  <c r="BL43" i="88"/>
  <c r="AN61" i="88"/>
  <c r="L14" i="84"/>
  <c r="Y61" i="88"/>
  <c r="H26" i="81"/>
  <c r="BI13" i="88"/>
  <c r="I26" i="49"/>
  <c r="BJ28" i="88"/>
  <c r="V34" i="34"/>
  <c r="V34" i="29"/>
  <c r="N9" i="30"/>
  <c r="N8" i="30" s="1"/>
  <c r="N7" i="30" s="1"/>
  <c r="BL27" i="88"/>
  <c r="AU7" i="33"/>
  <c r="BL12" i="88"/>
  <c r="AP61" i="88"/>
  <c r="BL45" i="88"/>
  <c r="O16" i="62"/>
  <c r="P16" i="62"/>
  <c r="F68" i="21"/>
  <c r="E9" i="21"/>
  <c r="BN11" i="21"/>
  <c r="P8" i="13" s="1"/>
  <c r="P14" i="71"/>
  <c r="O14" i="71"/>
  <c r="N16" i="13"/>
  <c r="T69" i="23"/>
  <c r="AR25" i="84"/>
  <c r="V61" i="88"/>
  <c r="BN18" i="23"/>
  <c r="D26" i="54"/>
  <c r="P13" i="70"/>
  <c r="O13" i="70"/>
  <c r="N14" i="13"/>
  <c r="BL19" i="88"/>
  <c r="O31" i="66"/>
  <c r="BI41" i="88"/>
  <c r="O27" i="66"/>
  <c r="J61" i="88"/>
  <c r="BI15" i="88"/>
  <c r="BJ15" i="88" s="1"/>
  <c r="O13" i="67"/>
  <c r="P13" i="67"/>
  <c r="F136" i="47"/>
  <c r="E136" i="47"/>
  <c r="H13" i="89" s="1"/>
  <c r="I13" i="89" s="1"/>
  <c r="AE34" i="24"/>
  <c r="AE25" i="24" s="1"/>
  <c r="AE7" i="24" s="1"/>
  <c r="E25" i="24"/>
  <c r="AI38" i="24"/>
  <c r="E83" i="48"/>
  <c r="BM38" i="24"/>
  <c r="BN38" i="24" s="1"/>
  <c r="BL13" i="88"/>
  <c r="BJ13" i="88"/>
  <c r="L48" i="84"/>
  <c r="V34" i="30"/>
  <c r="AY61" i="88"/>
  <c r="O23" i="62"/>
  <c r="E67" i="40"/>
  <c r="O22" i="49"/>
  <c r="P22" i="49"/>
  <c r="BL9" i="40"/>
  <c r="AS78" i="33"/>
  <c r="F117" i="33" s="1"/>
  <c r="W7" i="84"/>
  <c r="BI51" i="88"/>
  <c r="BJ51" i="88" s="1"/>
  <c r="I27" i="74"/>
  <c r="BJ48" i="88"/>
  <c r="I24" i="74"/>
  <c r="F299" i="47"/>
  <c r="AA23" i="13"/>
  <c r="AB23" i="13" s="1"/>
  <c r="H10" i="84"/>
  <c r="F249" i="47"/>
  <c r="M47" i="84"/>
  <c r="D74" i="47"/>
  <c r="BL41" i="88"/>
  <c r="F132" i="47"/>
  <c r="H24" i="78"/>
  <c r="N16" i="84"/>
  <c r="AS77" i="28"/>
  <c r="E117" i="28" s="1"/>
  <c r="J25" i="57"/>
  <c r="AL61" i="88"/>
  <c r="P61" i="88"/>
  <c r="BJ41" i="88"/>
  <c r="I61" i="88"/>
  <c r="P14" i="56"/>
  <c r="O14" i="56"/>
  <c r="T41" i="13"/>
  <c r="AY68" i="31"/>
  <c r="S48" i="13"/>
  <c r="BF68" i="32"/>
  <c r="P14" i="74"/>
  <c r="O14" i="74"/>
  <c r="P93" i="23"/>
  <c r="T89" i="23"/>
  <c r="T77" i="23" s="1"/>
  <c r="AR97" i="32"/>
  <c r="E88" i="32"/>
  <c r="BL66" i="28"/>
  <c r="E63" i="28"/>
  <c r="E67" i="28" s="1"/>
  <c r="W69" i="24"/>
  <c r="M19" i="13"/>
  <c r="BL39" i="22"/>
  <c r="E34" i="22"/>
  <c r="BL66" i="38"/>
  <c r="E63" i="38"/>
  <c r="BD68" i="38"/>
  <c r="X46" i="13"/>
  <c r="AR97" i="22"/>
  <c r="E88" i="22"/>
  <c r="X32" i="13"/>
  <c r="AI68" i="38"/>
  <c r="AW68" i="37"/>
  <c r="Y39" i="13"/>
  <c r="E116" i="28"/>
  <c r="AR115" i="28"/>
  <c r="F74" i="47"/>
  <c r="BM9" i="24"/>
  <c r="BN9" i="24" s="1"/>
  <c r="F216" i="48"/>
  <c r="AS88" i="39"/>
  <c r="P117" i="39" s="1"/>
  <c r="AS78" i="25"/>
  <c r="F117" i="25" s="1"/>
  <c r="D16" i="72"/>
  <c r="P19" i="76"/>
  <c r="O19" i="76"/>
  <c r="F492" i="47"/>
  <c r="D499" i="47"/>
  <c r="N9" i="67"/>
  <c r="I24" i="67"/>
  <c r="Q88" i="39"/>
  <c r="Q76" i="39" s="1"/>
  <c r="P89" i="39"/>
  <c r="G39" i="13"/>
  <c r="AW68" i="19"/>
  <c r="F17" i="48"/>
  <c r="F24" i="48" s="1"/>
  <c r="D24" i="48"/>
  <c r="P13" i="55"/>
  <c r="O13" i="55"/>
  <c r="Y68" i="39"/>
  <c r="W21" i="13"/>
  <c r="O13" i="62"/>
  <c r="P13" i="62"/>
  <c r="D24" i="55"/>
  <c r="P9" i="65"/>
  <c r="D96" i="48"/>
  <c r="BH4" i="88"/>
  <c r="AU68" i="31"/>
  <c r="V34" i="38"/>
  <c r="H30" i="78"/>
  <c r="BM25" i="24"/>
  <c r="BP25" i="24" s="1"/>
  <c r="P88" i="39"/>
  <c r="P76" i="39" s="1"/>
  <c r="P9" i="59"/>
  <c r="R68" i="19"/>
  <c r="Q11" i="57"/>
  <c r="O24" i="57"/>
  <c r="F135" i="47"/>
  <c r="D24" i="79"/>
  <c r="AE39" i="32"/>
  <c r="V39" i="32" s="1"/>
  <c r="V34" i="32" s="1"/>
  <c r="AJ34" i="32"/>
  <c r="AJ25" i="32" s="1"/>
  <c r="AJ7" i="32" s="1"/>
  <c r="E25" i="29"/>
  <c r="BL61" i="29"/>
  <c r="BL65" i="21"/>
  <c r="E63" i="21"/>
  <c r="BL29" i="23"/>
  <c r="E25" i="23"/>
  <c r="BL30" i="37"/>
  <c r="E25" i="37"/>
  <c r="BL25" i="37" s="1"/>
  <c r="V25" i="37" s="1"/>
  <c r="Q68" i="33"/>
  <c r="R13" i="13"/>
  <c r="P7" i="70"/>
  <c r="O7" i="70"/>
  <c r="H18" i="77"/>
  <c r="D23" i="77"/>
  <c r="P8" i="60"/>
  <c r="O8" i="60"/>
  <c r="F7" i="63"/>
  <c r="E24" i="63"/>
  <c r="C29" i="63" s="1"/>
  <c r="U88" i="37"/>
  <c r="U76" i="37" s="1"/>
  <c r="P93" i="37"/>
  <c r="AR98" i="21"/>
  <c r="E89" i="21"/>
  <c r="AQ68" i="38"/>
  <c r="X33" i="13"/>
  <c r="D209" i="47"/>
  <c r="T117" i="26"/>
  <c r="I19" i="61"/>
  <c r="D24" i="61"/>
  <c r="V17" i="66"/>
  <c r="U17" i="66"/>
  <c r="O14" i="58"/>
  <c r="P14" i="58"/>
  <c r="BF61" i="40"/>
  <c r="E495" i="47"/>
  <c r="BM61" i="40"/>
  <c r="H25" i="60"/>
  <c r="I9" i="60"/>
  <c r="N9" i="60" s="1"/>
  <c r="N25" i="60" s="1"/>
  <c r="AT7" i="31"/>
  <c r="P15" i="54"/>
  <c r="O15" i="54"/>
  <c r="BH66" i="34"/>
  <c r="BK63" i="34"/>
  <c r="BK7" i="34" s="1"/>
  <c r="BL66" i="30"/>
  <c r="E63" i="30"/>
  <c r="AQ116" i="34"/>
  <c r="AS115" i="34" s="1"/>
  <c r="AQ117" i="34" s="1"/>
  <c r="AQ76" i="34"/>
  <c r="H6" i="69"/>
  <c r="H23" i="69" s="1"/>
  <c r="D23" i="69"/>
  <c r="AF68" i="32"/>
  <c r="S29" i="13"/>
  <c r="BM39" i="19"/>
  <c r="BN39" i="19" s="1"/>
  <c r="AJ39" i="19"/>
  <c r="Q20" i="57"/>
  <c r="P20" i="57"/>
  <c r="E76" i="28"/>
  <c r="BM25" i="27"/>
  <c r="BM9" i="34"/>
  <c r="F49" i="47"/>
  <c r="AQ61" i="88"/>
  <c r="AR88" i="34"/>
  <c r="AW69" i="21"/>
  <c r="P39" i="13"/>
  <c r="O16" i="76"/>
  <c r="P16" i="76"/>
  <c r="AS11" i="84"/>
  <c r="BM25" i="28"/>
  <c r="BM9" i="37"/>
  <c r="BN9" i="37" s="1"/>
  <c r="F68" i="37" s="1"/>
  <c r="F76" i="33"/>
  <c r="D424" i="47"/>
  <c r="D299" i="47"/>
  <c r="BN34" i="32"/>
  <c r="S27" i="13" s="1"/>
  <c r="S18" i="13" s="1"/>
  <c r="Q21" i="57"/>
  <c r="P77" i="25"/>
  <c r="AR77" i="25" s="1"/>
  <c r="E25" i="26"/>
  <c r="BL29" i="26"/>
  <c r="O20" i="33"/>
  <c r="E20" i="33" s="1"/>
  <c r="Q18" i="33"/>
  <c r="Q8" i="33" s="1"/>
  <c r="Q7" i="33" s="1"/>
  <c r="O21" i="60"/>
  <c r="P21" i="60"/>
  <c r="P20" i="58"/>
  <c r="O20" i="58"/>
  <c r="P17" i="60"/>
  <c r="O17" i="60"/>
  <c r="P17" i="76"/>
  <c r="O17" i="76"/>
  <c r="T118" i="23"/>
  <c r="D212" i="47"/>
  <c r="F212" i="47" s="1"/>
  <c r="AR97" i="33"/>
  <c r="Y97" i="33" s="1"/>
  <c r="E88" i="33"/>
  <c r="P11" i="70"/>
  <c r="O11" i="70"/>
  <c r="BL39" i="33"/>
  <c r="E34" i="33"/>
  <c r="P15" i="62"/>
  <c r="O15" i="62"/>
  <c r="P21" i="76"/>
  <c r="O21" i="76"/>
  <c r="BL40" i="21"/>
  <c r="E34" i="21"/>
  <c r="AJ34" i="25"/>
  <c r="AJ25" i="25" s="1"/>
  <c r="AJ7" i="25" s="1"/>
  <c r="AE39" i="25"/>
  <c r="V39" i="25" s="1"/>
  <c r="V34" i="25" s="1"/>
  <c r="P9" i="75"/>
  <c r="P23" i="75" s="1"/>
  <c r="O9" i="75"/>
  <c r="AE34" i="19"/>
  <c r="AE25" i="19" s="1"/>
  <c r="AE7" i="19" s="1"/>
  <c r="E130" i="47"/>
  <c r="BM34" i="19"/>
  <c r="Q45" i="13"/>
  <c r="BC68" i="34"/>
  <c r="P10" i="55"/>
  <c r="O10" i="55"/>
  <c r="P12" i="55"/>
  <c r="O12" i="55"/>
  <c r="AC13" i="53"/>
  <c r="AC15" i="53" s="1"/>
  <c r="AD13" i="53"/>
  <c r="AD15" i="53" s="1"/>
  <c r="AB15" i="53"/>
  <c r="J28" i="57"/>
  <c r="BI56" i="88"/>
  <c r="BJ56" i="88" s="1"/>
  <c r="BI46" i="88"/>
  <c r="BJ46" i="88" s="1"/>
  <c r="BI26" i="88"/>
  <c r="BJ26" i="88" s="1"/>
  <c r="BI54" i="88"/>
  <c r="BJ54" i="88" s="1"/>
  <c r="H29" i="82"/>
  <c r="BI12" i="88"/>
  <c r="BJ12" i="88" s="1"/>
  <c r="V8" i="28"/>
  <c r="BL9" i="28"/>
  <c r="BI27" i="88"/>
  <c r="BJ27" i="88" s="1"/>
  <c r="O9" i="81"/>
  <c r="N9" i="81"/>
  <c r="I24" i="65"/>
  <c r="BI43" i="88"/>
  <c r="I27" i="65"/>
  <c r="BI69" i="23"/>
  <c r="BN63" i="23"/>
  <c r="BJ69" i="24"/>
  <c r="BN63" i="24"/>
  <c r="BM10" i="26"/>
  <c r="BM9" i="26" s="1"/>
  <c r="BN9" i="26" s="1"/>
  <c r="O11" i="41"/>
  <c r="N11" i="41"/>
  <c r="I28" i="73"/>
  <c r="AT68" i="19"/>
  <c r="M15" i="13"/>
  <c r="BI21" i="88"/>
  <c r="BJ21" i="88" s="1"/>
  <c r="BI68" i="30"/>
  <c r="I24" i="70"/>
  <c r="AE48" i="84"/>
  <c r="E24" i="33"/>
  <c r="U8" i="33"/>
  <c r="U7" i="33" s="1"/>
  <c r="O18" i="49"/>
  <c r="P18" i="49"/>
  <c r="BN11" i="33"/>
  <c r="BO11" i="33"/>
  <c r="U69" i="21"/>
  <c r="P17" i="13"/>
  <c r="E24" i="21"/>
  <c r="U8" i="21"/>
  <c r="U7" i="21" s="1"/>
  <c r="P16" i="49"/>
  <c r="O16" i="49"/>
  <c r="I25" i="73"/>
  <c r="U8" i="24"/>
  <c r="U7" i="24" s="1"/>
  <c r="E24" i="24"/>
  <c r="E199" i="46"/>
  <c r="U69" i="24"/>
  <c r="M17" i="13"/>
  <c r="P13" i="49"/>
  <c r="O13" i="49"/>
  <c r="BO9" i="24"/>
  <c r="AA36" i="13"/>
  <c r="AB36" i="13" s="1"/>
  <c r="D24" i="89"/>
  <c r="BI52" i="88"/>
  <c r="BJ52" i="88" s="1"/>
  <c r="AS24" i="84"/>
  <c r="BL50" i="88"/>
  <c r="W61" i="88"/>
  <c r="I28" i="54"/>
  <c r="BI44" i="88"/>
  <c r="BJ44" i="88" s="1"/>
  <c r="P8" i="71"/>
  <c r="O8" i="71"/>
  <c r="I17" i="72"/>
  <c r="I7" i="71"/>
  <c r="N7" i="71" s="1"/>
  <c r="AU61" i="88"/>
  <c r="BL58" i="88"/>
  <c r="AT7" i="40"/>
  <c r="O23" i="81"/>
  <c r="N23" i="81"/>
  <c r="O13" i="56"/>
  <c r="P13" i="56"/>
  <c r="I28" i="56"/>
  <c r="N13" i="41"/>
  <c r="O13" i="41"/>
  <c r="H28" i="86"/>
  <c r="J24" i="57"/>
  <c r="BI45" i="88"/>
  <c r="BJ45" i="88" s="1"/>
  <c r="I28" i="55"/>
  <c r="AN88" i="40"/>
  <c r="AN76" i="40" s="1"/>
  <c r="P112" i="40"/>
  <c r="P88" i="40" s="1"/>
  <c r="P76" i="40" s="1"/>
  <c r="BC61" i="88"/>
  <c r="BC58" i="88"/>
  <c r="BC7" i="88" s="1"/>
  <c r="F29" i="13"/>
  <c r="E29" i="13" s="1"/>
  <c r="P21" i="54"/>
  <c r="O21" i="54"/>
  <c r="Y47" i="84"/>
  <c r="P21" i="56"/>
  <c r="O21" i="56"/>
  <c r="AR78" i="30"/>
  <c r="P77" i="30"/>
  <c r="I25" i="56"/>
  <c r="P68" i="33"/>
  <c r="R12" i="13"/>
  <c r="G18" i="41"/>
  <c r="H18" i="41" s="1"/>
  <c r="M18" i="41" s="1"/>
  <c r="F116" i="46"/>
  <c r="O19" i="33"/>
  <c r="E19" i="33" s="1"/>
  <c r="P18" i="33"/>
  <c r="P8" i="33" s="1"/>
  <c r="P7" i="33" s="1"/>
  <c r="BI11" i="88"/>
  <c r="BJ11" i="88" s="1"/>
  <c r="P18" i="57"/>
  <c r="Q18" i="57"/>
  <c r="H24" i="57"/>
  <c r="J68" i="33"/>
  <c r="H68" i="33"/>
  <c r="BI68" i="34"/>
  <c r="BN63" i="34"/>
  <c r="R7" i="22"/>
  <c r="O8" i="22"/>
  <c r="O7" i="22" s="1"/>
  <c r="I8" i="88"/>
  <c r="I7" i="88" s="1"/>
  <c r="O13" i="82"/>
  <c r="N13" i="82"/>
  <c r="F77" i="25"/>
  <c r="F76" i="25" s="1"/>
  <c r="E78" i="25"/>
  <c r="E77" i="25" s="1"/>
  <c r="E76" i="25" s="1"/>
  <c r="H10" i="51"/>
  <c r="M10" i="51" s="1"/>
  <c r="F134" i="46"/>
  <c r="R68" i="26"/>
  <c r="BN18" i="26"/>
  <c r="O68" i="26" s="1"/>
  <c r="K14" i="13"/>
  <c r="R18" i="26"/>
  <c r="R8" i="26" s="1"/>
  <c r="O21" i="26"/>
  <c r="E21" i="26" s="1"/>
  <c r="O10" i="70"/>
  <c r="P10" i="70"/>
  <c r="M10" i="26"/>
  <c r="M9" i="26" s="1"/>
  <c r="M8" i="26" s="1"/>
  <c r="M7" i="26" s="1"/>
  <c r="G16" i="26"/>
  <c r="F16" i="26" s="1"/>
  <c r="E16" i="26" s="1"/>
  <c r="K10" i="13"/>
  <c r="K7" i="13" s="1"/>
  <c r="M68" i="26"/>
  <c r="G12" i="82"/>
  <c r="H12" i="82" s="1"/>
  <c r="M12" i="82" s="1"/>
  <c r="F59" i="46"/>
  <c r="BM34" i="26"/>
  <c r="D134" i="47"/>
  <c r="F134" i="47" s="1"/>
  <c r="P18" i="27"/>
  <c r="P8" i="27" s="1"/>
  <c r="P7" i="27" s="1"/>
  <c r="O19" i="27"/>
  <c r="E19" i="27" s="1"/>
  <c r="P68" i="27"/>
  <c r="J12" i="13"/>
  <c r="G10" i="41"/>
  <c r="H10" i="41" s="1"/>
  <c r="M10" i="41" s="1"/>
  <c r="F108" i="46"/>
  <c r="D124" i="47"/>
  <c r="P18" i="28"/>
  <c r="P8" i="28" s="1"/>
  <c r="P7" i="28" s="1"/>
  <c r="O19" i="28"/>
  <c r="E19" i="28" s="1"/>
  <c r="P68" i="28"/>
  <c r="I12" i="13"/>
  <c r="G9" i="41"/>
  <c r="H9" i="41" s="1"/>
  <c r="M9" i="41" s="1"/>
  <c r="F107" i="46"/>
  <c r="H8" i="13"/>
  <c r="H68" i="29"/>
  <c r="H11" i="29"/>
  <c r="G11" i="29" s="1"/>
  <c r="F11" i="29" s="1"/>
  <c r="E11" i="29" s="1"/>
  <c r="BM11" i="29"/>
  <c r="BM10" i="29" s="1"/>
  <c r="BM9" i="29" s="1"/>
  <c r="BN9" i="29" s="1"/>
  <c r="F68" i="29" s="1"/>
  <c r="E6" i="46"/>
  <c r="V9" i="29"/>
  <c r="BL10" i="29"/>
  <c r="G10" i="29" s="1"/>
  <c r="F10" i="29" s="1"/>
  <c r="E10" i="29" s="1"/>
  <c r="AA16" i="13"/>
  <c r="AB16" i="13" s="1"/>
  <c r="BN34" i="28"/>
  <c r="I27" i="13" s="1"/>
  <c r="H10" i="33"/>
  <c r="F168" i="48"/>
  <c r="BN34" i="27"/>
  <c r="E77" i="39"/>
  <c r="E76" i="39" s="1"/>
  <c r="P88" i="34"/>
  <c r="P76" i="34" s="1"/>
  <c r="F99" i="47"/>
  <c r="AS78" i="24"/>
  <c r="E118" i="24" s="1"/>
  <c r="AS88" i="40"/>
  <c r="P117" i="40" s="1"/>
  <c r="BI22" i="88"/>
  <c r="BJ22" i="88" s="1"/>
  <c r="F399" i="47"/>
  <c r="AA19" i="13"/>
  <c r="AB19" i="13" s="1"/>
  <c r="D16" i="93"/>
  <c r="G16" i="93" s="1"/>
  <c r="H16" i="93" s="1"/>
  <c r="F19" i="13"/>
  <c r="E19" i="13" s="1"/>
  <c r="O8" i="23"/>
  <c r="O7" i="23" s="1"/>
  <c r="F274" i="47"/>
  <c r="D6" i="84"/>
  <c r="E14" i="84"/>
  <c r="AS88" i="19"/>
  <c r="P117" i="19" s="1"/>
  <c r="AR15" i="84"/>
  <c r="M68" i="37"/>
  <c r="Y10" i="13"/>
  <c r="M10" i="37"/>
  <c r="M9" i="37" s="1"/>
  <c r="M8" i="37" s="1"/>
  <c r="M7" i="37" s="1"/>
  <c r="G16" i="37"/>
  <c r="F16" i="37" s="1"/>
  <c r="E16" i="37" s="1"/>
  <c r="F73" i="46"/>
  <c r="H9" i="38"/>
  <c r="I8" i="38"/>
  <c r="H10" i="38"/>
  <c r="H11" i="38"/>
  <c r="G11" i="38" s="1"/>
  <c r="F11" i="38" s="1"/>
  <c r="E11" i="38" s="1"/>
  <c r="E22" i="46"/>
  <c r="BM11" i="38"/>
  <c r="BM10" i="38" s="1"/>
  <c r="BM9" i="38" s="1"/>
  <c r="N68" i="38"/>
  <c r="X11" i="13"/>
  <c r="F17" i="38"/>
  <c r="E17" i="38" s="1"/>
  <c r="N9" i="38"/>
  <c r="N8" i="38" s="1"/>
  <c r="N7" i="38" s="1"/>
  <c r="F97" i="46"/>
  <c r="BN11" i="38"/>
  <c r="J68" i="38"/>
  <c r="G23" i="41"/>
  <c r="H23" i="41" s="1"/>
  <c r="M23" i="41" s="1"/>
  <c r="F121" i="46"/>
  <c r="W12" i="13"/>
  <c r="P68" i="39"/>
  <c r="O19" i="39"/>
  <c r="E19" i="39" s="1"/>
  <c r="P18" i="39"/>
  <c r="P8" i="39" s="1"/>
  <c r="P7" i="39" s="1"/>
  <c r="F43" i="13"/>
  <c r="E43" i="13" s="1"/>
  <c r="F72" i="48"/>
  <c r="D72" i="48"/>
  <c r="N68" i="33"/>
  <c r="F17" i="33"/>
  <c r="E17" i="33" s="1"/>
  <c r="N9" i="33"/>
  <c r="N8" i="33" s="1"/>
  <c r="N7" i="33" s="1"/>
  <c r="G19" i="81"/>
  <c r="H19" i="81" s="1"/>
  <c r="M19" i="81" s="1"/>
  <c r="F91" i="46"/>
  <c r="F24" i="47"/>
  <c r="AU7" i="34"/>
  <c r="N8" i="88"/>
  <c r="N7" i="88" s="1"/>
  <c r="E99" i="46"/>
  <c r="G18" i="81"/>
  <c r="H18" i="81" s="1"/>
  <c r="M18" i="81" s="1"/>
  <c r="F90" i="46"/>
  <c r="N68" i="34"/>
  <c r="Q11" i="13"/>
  <c r="F17" i="34"/>
  <c r="E17" i="34" s="1"/>
  <c r="N9" i="34"/>
  <c r="N8" i="34" s="1"/>
  <c r="N7" i="34" s="1"/>
  <c r="M10" i="34"/>
  <c r="M9" i="34" s="1"/>
  <c r="M8" i="34" s="1"/>
  <c r="M7" i="34" s="1"/>
  <c r="G16" i="34"/>
  <c r="F16" i="34" s="1"/>
  <c r="E16" i="34" s="1"/>
  <c r="G18" i="82"/>
  <c r="H18" i="82" s="1"/>
  <c r="M18" i="82" s="1"/>
  <c r="F65" i="46"/>
  <c r="M68" i="34"/>
  <c r="Q10" i="13"/>
  <c r="O17" i="82"/>
  <c r="N17" i="82"/>
  <c r="AS9" i="84"/>
  <c r="G9" i="84"/>
  <c r="AI7" i="84"/>
  <c r="AI47" i="84"/>
  <c r="BF17" i="88"/>
  <c r="BG17" i="88" s="1"/>
  <c r="BK17" i="88" s="1"/>
  <c r="Q8" i="88"/>
  <c r="Q60" i="88" s="1"/>
  <c r="AA35" i="13"/>
  <c r="AB35" i="13" s="1"/>
  <c r="AU7" i="23"/>
  <c r="N9" i="23"/>
  <c r="N8" i="23" s="1"/>
  <c r="N7" i="23" s="1"/>
  <c r="F17" i="23"/>
  <c r="E17" i="23" s="1"/>
  <c r="G15" i="81"/>
  <c r="H15" i="81" s="1"/>
  <c r="M15" i="81" s="1"/>
  <c r="F87" i="46"/>
  <c r="N69" i="23"/>
  <c r="N11" i="13"/>
  <c r="F424" i="47"/>
  <c r="AA43" i="13"/>
  <c r="AB43" i="13" s="1"/>
  <c r="I24" i="79"/>
  <c r="E81" i="24"/>
  <c r="E78" i="24" s="1"/>
  <c r="E77" i="24" s="1"/>
  <c r="H78" i="24"/>
  <c r="H77" i="24" s="1"/>
  <c r="N9" i="24"/>
  <c r="N8" i="24" s="1"/>
  <c r="N7" i="24" s="1"/>
  <c r="F17" i="24"/>
  <c r="E17" i="24" s="1"/>
  <c r="M11" i="13"/>
  <c r="N69" i="24"/>
  <c r="G14" i="81"/>
  <c r="H14" i="81" s="1"/>
  <c r="M14" i="81" s="1"/>
  <c r="F86" i="46"/>
  <c r="Q14" i="50"/>
  <c r="P14" i="50"/>
  <c r="D174" i="47"/>
  <c r="BJ8" i="87"/>
  <c r="AB68" i="26"/>
  <c r="K24" i="13"/>
  <c r="AA24" i="13" s="1"/>
  <c r="AB24" i="13" s="1"/>
  <c r="I25" i="54"/>
  <c r="F124" i="47"/>
  <c r="F35" i="13"/>
  <c r="E35" i="13" s="1"/>
  <c r="BL21" i="88"/>
  <c r="R61" i="88"/>
  <c r="D324" i="47"/>
  <c r="S8" i="27"/>
  <c r="S7" i="27" s="1"/>
  <c r="E22" i="27"/>
  <c r="I11" i="50"/>
  <c r="J11" i="50" s="1"/>
  <c r="O11" i="50" s="1"/>
  <c r="F158" i="46"/>
  <c r="J15" i="13"/>
  <c r="S68" i="27"/>
  <c r="E13" i="88"/>
  <c r="Y68" i="27"/>
  <c r="Y69" i="33" s="1"/>
  <c r="J21" i="13"/>
  <c r="J25" i="13"/>
  <c r="AA25" i="13" s="1"/>
  <c r="AB25" i="13" s="1"/>
  <c r="AC68" i="27"/>
  <c r="E49" i="46"/>
  <c r="AH68" i="28"/>
  <c r="I31" i="13"/>
  <c r="L61" i="88"/>
  <c r="BL15" i="88"/>
  <c r="AU7" i="29"/>
  <c r="L7" i="84"/>
  <c r="AA44" i="13"/>
  <c r="AB44" i="13" s="1"/>
  <c r="I8" i="89"/>
  <c r="F20" i="13"/>
  <c r="AC20" i="13" s="1"/>
  <c r="P116" i="19"/>
  <c r="AR77" i="19"/>
  <c r="AS78" i="19"/>
  <c r="F78" i="19"/>
  <c r="BK52" i="88"/>
  <c r="AW61" i="88"/>
  <c r="D36" i="93"/>
  <c r="G36" i="93" s="1"/>
  <c r="H36" i="93" s="1"/>
  <c r="E49" i="13"/>
  <c r="AC49" i="13"/>
  <c r="D20" i="93"/>
  <c r="G20" i="93" s="1"/>
  <c r="H20" i="93" s="1"/>
  <c r="D13" i="93"/>
  <c r="G13" i="93" s="1"/>
  <c r="H13" i="93" s="1"/>
  <c r="H24" i="54"/>
  <c r="I7" i="54"/>
  <c r="H17" i="13"/>
  <c r="U68" i="29"/>
  <c r="O17" i="55"/>
  <c r="P17" i="55"/>
  <c r="P16" i="55"/>
  <c r="O16" i="55"/>
  <c r="P18" i="75"/>
  <c r="O18" i="75"/>
  <c r="BN64" i="40"/>
  <c r="BM63" i="40"/>
  <c r="N30" i="13"/>
  <c r="AG69" i="23"/>
  <c r="BN34" i="23"/>
  <c r="F72" i="46"/>
  <c r="J41" i="13"/>
  <c r="AY68" i="27"/>
  <c r="T14" i="13"/>
  <c r="R68" i="31"/>
  <c r="H23" i="76"/>
  <c r="I13" i="76"/>
  <c r="J68" i="28"/>
  <c r="BN11" i="28"/>
  <c r="H23" i="74"/>
  <c r="C27" i="74" s="1"/>
  <c r="I9" i="74"/>
  <c r="O19" i="37"/>
  <c r="E19" i="37" s="1"/>
  <c r="P18" i="37"/>
  <c r="P8" i="37" s="1"/>
  <c r="F141" i="48"/>
  <c r="F144" i="48" s="1"/>
  <c r="D144" i="48"/>
  <c r="J30" i="13"/>
  <c r="AG68" i="27"/>
  <c r="H23" i="65"/>
  <c r="I19" i="65"/>
  <c r="F105" i="46"/>
  <c r="G7" i="41"/>
  <c r="H7" i="41" s="1"/>
  <c r="M7" i="41" s="1"/>
  <c r="X89" i="24"/>
  <c r="X77" i="24" s="1"/>
  <c r="P97" i="24"/>
  <c r="P89" i="24" s="1"/>
  <c r="P77" i="24" s="1"/>
  <c r="BL10" i="40"/>
  <c r="G10" i="40" s="1"/>
  <c r="F10" i="40" s="1"/>
  <c r="E10" i="40" s="1"/>
  <c r="AA40" i="13"/>
  <c r="AB40" i="13" s="1"/>
  <c r="O21" i="39"/>
  <c r="E21" i="39" s="1"/>
  <c r="R18" i="39"/>
  <c r="R8" i="39" s="1"/>
  <c r="P10" i="60"/>
  <c r="O10" i="60"/>
  <c r="H38" i="13"/>
  <c r="AA38" i="13" s="1"/>
  <c r="AB38" i="13" s="1"/>
  <c r="AV68" i="29"/>
  <c r="G8" i="81"/>
  <c r="H8" i="81" s="1"/>
  <c r="M8" i="81" s="1"/>
  <c r="F80" i="46"/>
  <c r="P18" i="19"/>
  <c r="P8" i="19" s="1"/>
  <c r="O19" i="19"/>
  <c r="E19" i="19" s="1"/>
  <c r="G17" i="41"/>
  <c r="H17" i="41" s="1"/>
  <c r="M17" i="41" s="1"/>
  <c r="F115" i="46"/>
  <c r="O20" i="55"/>
  <c r="P20" i="55"/>
  <c r="V88" i="38"/>
  <c r="V76" i="38" s="1"/>
  <c r="P94" i="38"/>
  <c r="P88" i="38" s="1"/>
  <c r="P76" i="38" s="1"/>
  <c r="P18" i="55"/>
  <c r="O18" i="55"/>
  <c r="AX53" i="30"/>
  <c r="BM53" i="30"/>
  <c r="AG68" i="26"/>
  <c r="K30" i="13"/>
  <c r="X14" i="13"/>
  <c r="R68" i="38"/>
  <c r="BN18" i="38"/>
  <c r="AA26" i="13"/>
  <c r="AB26" i="13" s="1"/>
  <c r="F26" i="13"/>
  <c r="U30" i="13"/>
  <c r="AG68" i="30"/>
  <c r="BN34" i="30"/>
  <c r="I25" i="60"/>
  <c r="AA20" i="13"/>
  <c r="AB20" i="13" s="1"/>
  <c r="F42" i="13"/>
  <c r="I46" i="13"/>
  <c r="BD68" i="28"/>
  <c r="F34" i="13"/>
  <c r="AA34" i="13"/>
  <c r="AB34" i="13" s="1"/>
  <c r="M14" i="13"/>
  <c r="R69" i="24"/>
  <c r="BN18" i="24"/>
  <c r="BK48" i="88"/>
  <c r="AS61" i="88"/>
  <c r="D46" i="93"/>
  <c r="G46" i="93" s="1"/>
  <c r="H46" i="93" s="1"/>
  <c r="E78" i="31"/>
  <c r="F77" i="31"/>
  <c r="F76" i="31" s="1"/>
  <c r="N26" i="66"/>
  <c r="O12" i="66"/>
  <c r="BM9" i="28"/>
  <c r="V12" i="13"/>
  <c r="P68" i="40"/>
  <c r="BN18" i="40"/>
  <c r="W14" i="13"/>
  <c r="R68" i="39"/>
  <c r="BN18" i="39"/>
  <c r="V30" i="13"/>
  <c r="AG68" i="40"/>
  <c r="I8" i="49"/>
  <c r="N8" i="49" s="1"/>
  <c r="F181" i="46"/>
  <c r="F199" i="46" s="1"/>
  <c r="G22" i="13"/>
  <c r="Z68" i="19"/>
  <c r="P90" i="25"/>
  <c r="R88" i="25"/>
  <c r="R76" i="25" s="1"/>
  <c r="V52" i="13"/>
  <c r="BH63" i="40"/>
  <c r="BH7" i="40" s="1"/>
  <c r="P12" i="74"/>
  <c r="O12" i="74"/>
  <c r="H15" i="51"/>
  <c r="M15" i="51" s="1"/>
  <c r="F143" i="46"/>
  <c r="BN51" i="33"/>
  <c r="G52" i="13"/>
  <c r="BH63" i="19"/>
  <c r="BH7" i="19" s="1"/>
  <c r="Y12" i="13"/>
  <c r="BN18" i="37"/>
  <c r="P68" i="37"/>
  <c r="X40" i="13"/>
  <c r="AX68" i="38"/>
  <c r="BL61" i="25"/>
  <c r="E25" i="25"/>
  <c r="BK53" i="88"/>
  <c r="AX61" i="88"/>
  <c r="I12" i="73"/>
  <c r="I24" i="73" s="1"/>
  <c r="H24" i="73"/>
  <c r="BL10" i="23"/>
  <c r="G10" i="23" s="1"/>
  <c r="F10" i="23" s="1"/>
  <c r="E10" i="23" s="1"/>
  <c r="V9" i="23"/>
  <c r="P102" i="28"/>
  <c r="AD88" i="28"/>
  <c r="AD76" i="28" s="1"/>
  <c r="G12" i="13"/>
  <c r="P68" i="19"/>
  <c r="BN18" i="19"/>
  <c r="AA49" i="13"/>
  <c r="AB49" i="13" s="1"/>
  <c r="P88" i="29"/>
  <c r="P76" i="29" s="1"/>
  <c r="AO68" i="27"/>
  <c r="O21" i="38"/>
  <c r="E21" i="38" s="1"/>
  <c r="R18" i="38"/>
  <c r="R8" i="38" s="1"/>
  <c r="W15" i="13"/>
  <c r="S68" i="39"/>
  <c r="P18" i="40"/>
  <c r="P8" i="40" s="1"/>
  <c r="O19" i="40"/>
  <c r="E19" i="40" s="1"/>
  <c r="E24" i="29"/>
  <c r="U8" i="29"/>
  <c r="U7" i="29" s="1"/>
  <c r="J77" i="40"/>
  <c r="J76" i="40" s="1"/>
  <c r="E82" i="40"/>
  <c r="Z25" i="19"/>
  <c r="Z7" i="19" s="1"/>
  <c r="V29" i="19"/>
  <c r="BH64" i="40"/>
  <c r="BI63" i="40"/>
  <c r="BI7" i="40" s="1"/>
  <c r="H12" i="13"/>
  <c r="P68" i="29"/>
  <c r="I9" i="55"/>
  <c r="H24" i="55"/>
  <c r="C29" i="55" s="1"/>
  <c r="BH29" i="88"/>
  <c r="BH29" i="87"/>
  <c r="R18" i="31"/>
  <c r="R8" i="31" s="1"/>
  <c r="R7" i="31" s="1"/>
  <c r="O21" i="31"/>
  <c r="E21" i="31" s="1"/>
  <c r="P11" i="49"/>
  <c r="O11" i="49"/>
  <c r="BH66" i="19"/>
  <c r="BK63" i="19"/>
  <c r="BK7" i="19" s="1"/>
  <c r="F123" i="46"/>
  <c r="V53" i="38"/>
  <c r="AX25" i="38"/>
  <c r="AX7" i="38" s="1"/>
  <c r="BL9" i="38"/>
  <c r="V8" i="38"/>
  <c r="V8" i="13"/>
  <c r="H68" i="40"/>
  <c r="BN10" i="40"/>
  <c r="M20" i="68"/>
  <c r="H23" i="68"/>
  <c r="BK66" i="39"/>
  <c r="BM66" i="39"/>
  <c r="BL63" i="39"/>
  <c r="G22" i="95" s="1"/>
  <c r="H22" i="95" s="1"/>
  <c r="T31" i="13"/>
  <c r="AH68" i="31"/>
  <c r="AA13" i="13"/>
  <c r="AB13" i="13" s="1"/>
  <c r="F13" i="13"/>
  <c r="O69" i="23"/>
  <c r="G21" i="41"/>
  <c r="H21" i="41" s="1"/>
  <c r="M21" i="41" s="1"/>
  <c r="F119" i="46"/>
  <c r="P91" i="19"/>
  <c r="S88" i="19"/>
  <c r="S76" i="19" s="1"/>
  <c r="F70" i="46"/>
  <c r="G23" i="82"/>
  <c r="H23" i="82" s="1"/>
  <c r="M23" i="82" s="1"/>
  <c r="P14" i="13"/>
  <c r="R69" i="21"/>
  <c r="H13" i="28"/>
  <c r="G13" i="28" s="1"/>
  <c r="F13" i="28" s="1"/>
  <c r="E13" i="28" s="1"/>
  <c r="J11" i="28"/>
  <c r="J10" i="28" s="1"/>
  <c r="F432" i="47"/>
  <c r="F449" i="47" s="1"/>
  <c r="D449" i="47"/>
  <c r="H12" i="51"/>
  <c r="M12" i="51" s="1"/>
  <c r="F136" i="46"/>
  <c r="AS43" i="84"/>
  <c r="BF14" i="88"/>
  <c r="BG14" i="88" s="1"/>
  <c r="BK14" i="88" s="1"/>
  <c r="AQ47" i="84"/>
  <c r="AS88" i="25"/>
  <c r="P117" i="25" s="1"/>
  <c r="F44" i="13"/>
  <c r="E44" i="13" s="1"/>
  <c r="O21" i="24"/>
  <c r="E21" i="24" s="1"/>
  <c r="R18" i="24"/>
  <c r="R8" i="24" s="1"/>
  <c r="N68" i="39"/>
  <c r="W11" i="13"/>
  <c r="V9" i="30"/>
  <c r="V8" i="30" s="1"/>
  <c r="BL10" i="30"/>
  <c r="G10" i="30" s="1"/>
  <c r="F10" i="30" s="1"/>
  <c r="E10" i="30" s="1"/>
  <c r="R30" i="13"/>
  <c r="AG68" i="33"/>
  <c r="S8" i="39"/>
  <c r="S7" i="39" s="1"/>
  <c r="E22" i="39"/>
  <c r="BK66" i="27"/>
  <c r="BM66" i="27"/>
  <c r="BL63" i="27"/>
  <c r="G9" i="95" s="1"/>
  <c r="H9" i="95" s="1"/>
  <c r="D33" i="93"/>
  <c r="G33" i="93" s="1"/>
  <c r="H33" i="93" s="1"/>
  <c r="G22" i="41"/>
  <c r="H22" i="41" s="1"/>
  <c r="M22" i="41" s="1"/>
  <c r="F120" i="46"/>
  <c r="F114" i="46"/>
  <c r="G16" i="41"/>
  <c r="H16" i="41" s="1"/>
  <c r="M16" i="41" s="1"/>
  <c r="P18" i="29"/>
  <c r="P8" i="29" s="1"/>
  <c r="P7" i="29" s="1"/>
  <c r="O19" i="29"/>
  <c r="E19" i="29" s="1"/>
  <c r="D192" i="48"/>
  <c r="K21" i="13"/>
  <c r="F21" i="13" s="1"/>
  <c r="Y68" i="26"/>
  <c r="K77" i="31"/>
  <c r="K76" i="31" s="1"/>
  <c r="E83" i="31"/>
  <c r="BK68" i="19"/>
  <c r="E67" i="32"/>
  <c r="BL25" i="32"/>
  <c r="V25" i="32" s="1"/>
  <c r="M10" i="29"/>
  <c r="M9" i="29" s="1"/>
  <c r="G16" i="29"/>
  <c r="F16" i="29" s="1"/>
  <c r="E16" i="29" s="1"/>
  <c r="I12" i="70"/>
  <c r="H23" i="70"/>
  <c r="T23" i="31"/>
  <c r="BM23" i="31"/>
  <c r="BN23" i="31" s="1"/>
  <c r="L33" i="13"/>
  <c r="AQ68" i="25"/>
  <c r="I10" i="59"/>
  <c r="N10" i="59" s="1"/>
  <c r="H24" i="59"/>
  <c r="Q23" i="50"/>
  <c r="P23" i="50"/>
  <c r="E20" i="46"/>
  <c r="BM11" i="40"/>
  <c r="BM10" i="40" s="1"/>
  <c r="BM9" i="40" s="1"/>
  <c r="H11" i="40"/>
  <c r="G11" i="40" s="1"/>
  <c r="F11" i="40" s="1"/>
  <c r="E11" i="40" s="1"/>
  <c r="X30" i="13"/>
  <c r="AG68" i="38"/>
  <c r="R68" i="28"/>
  <c r="BN18" i="28"/>
  <c r="I14" i="13"/>
  <c r="Z22" i="89"/>
  <c r="AA22" i="89" s="1"/>
  <c r="V27" i="13"/>
  <c r="E67" i="30"/>
  <c r="BL25" i="30"/>
  <c r="BL65" i="37"/>
  <c r="E63" i="37"/>
  <c r="E67" i="37" s="1"/>
  <c r="BN16" i="38"/>
  <c r="I11" i="13"/>
  <c r="N68" i="28"/>
  <c r="F98" i="46"/>
  <c r="BM11" i="21"/>
  <c r="BM10" i="21" s="1"/>
  <c r="BM9" i="21" s="1"/>
  <c r="H11" i="21"/>
  <c r="G11" i="21" s="1"/>
  <c r="F11" i="21" s="1"/>
  <c r="E11" i="21" s="1"/>
  <c r="E14" i="46"/>
  <c r="E12" i="46"/>
  <c r="H11" i="23"/>
  <c r="G11" i="23" s="1"/>
  <c r="F11" i="23" s="1"/>
  <c r="E11" i="23" s="1"/>
  <c r="BM11" i="23"/>
  <c r="BM10" i="23" s="1"/>
  <c r="BM9" i="23" s="1"/>
  <c r="F160" i="46"/>
  <c r="BN34" i="26"/>
  <c r="K27" i="13" s="1"/>
  <c r="H23" i="80"/>
  <c r="H13" i="30"/>
  <c r="G13" i="30" s="1"/>
  <c r="F13" i="30" s="1"/>
  <c r="E13" i="30" s="1"/>
  <c r="J11" i="30"/>
  <c r="J10" i="30" s="1"/>
  <c r="F96" i="46"/>
  <c r="G24" i="81"/>
  <c r="H24" i="81" s="1"/>
  <c r="M24" i="81" s="1"/>
  <c r="BM11" i="30"/>
  <c r="BM10" i="30" s="1"/>
  <c r="BM9" i="30" s="1"/>
  <c r="BN9" i="30" s="1"/>
  <c r="H11" i="30"/>
  <c r="G11" i="30" s="1"/>
  <c r="F11" i="30" s="1"/>
  <c r="E11" i="30" s="1"/>
  <c r="E19" i="46"/>
  <c r="P99" i="22"/>
  <c r="AA88" i="22"/>
  <c r="AA76" i="22" s="1"/>
  <c r="F171" i="46"/>
  <c r="I24" i="50"/>
  <c r="J24" i="50" s="1"/>
  <c r="O24" i="50" s="1"/>
  <c r="O19" i="21"/>
  <c r="E19" i="21" s="1"/>
  <c r="P18" i="21"/>
  <c r="P8" i="21" s="1"/>
  <c r="G8" i="41"/>
  <c r="H8" i="41" s="1"/>
  <c r="M8" i="41" s="1"/>
  <c r="F106" i="46"/>
  <c r="E22" i="23"/>
  <c r="S8" i="23"/>
  <c r="S7" i="23" s="1"/>
  <c r="F192" i="48"/>
  <c r="F31" i="48"/>
  <c r="F48" i="48" s="1"/>
  <c r="D48" i="48"/>
  <c r="P21" i="59"/>
  <c r="O21" i="59"/>
  <c r="H118" i="23"/>
  <c r="AS78" i="23"/>
  <c r="Z29" i="32"/>
  <c r="BM29" i="32"/>
  <c r="F56" i="46"/>
  <c r="G9" i="82"/>
  <c r="H9" i="82" s="1"/>
  <c r="M9" i="82" s="1"/>
  <c r="BL30" i="31"/>
  <c r="E25" i="31"/>
  <c r="K33" i="13"/>
  <c r="AQ68" i="26"/>
  <c r="G14" i="86"/>
  <c r="H14" i="86" s="1"/>
  <c r="M14" i="86" s="1"/>
  <c r="F37" i="46"/>
  <c r="R31" i="13"/>
  <c r="AH68" i="33"/>
  <c r="W95" i="31"/>
  <c r="AS95" i="31"/>
  <c r="U10" i="89"/>
  <c r="U24" i="89" s="1"/>
  <c r="T24" i="89"/>
  <c r="N9" i="21"/>
  <c r="N8" i="21" s="1"/>
  <c r="N7" i="21" s="1"/>
  <c r="F17" i="21"/>
  <c r="E17" i="21" s="1"/>
  <c r="H8" i="51"/>
  <c r="M8" i="51" s="1"/>
  <c r="F132" i="46"/>
  <c r="P88" i="19"/>
  <c r="P76" i="19" s="1"/>
  <c r="O19" i="34"/>
  <c r="E19" i="34" s="1"/>
  <c r="P18" i="34"/>
  <c r="P8" i="34" s="1"/>
  <c r="U25" i="66"/>
  <c r="V25" i="66"/>
  <c r="BL61" i="38"/>
  <c r="E25" i="38"/>
  <c r="BJ63" i="22"/>
  <c r="BJ7" i="22" s="1"/>
  <c r="BH65" i="22"/>
  <c r="T30" i="13"/>
  <c r="AG68" i="31"/>
  <c r="R18" i="33"/>
  <c r="R8" i="33" s="1"/>
  <c r="O21" i="33"/>
  <c r="E21" i="33" s="1"/>
  <c r="F77" i="40"/>
  <c r="F76" i="40" s="1"/>
  <c r="E78" i="40"/>
  <c r="X118" i="24"/>
  <c r="AS89" i="24"/>
  <c r="P118" i="24" s="1"/>
  <c r="J17" i="13"/>
  <c r="BN34" i="31"/>
  <c r="T27" i="13" s="1"/>
  <c r="O67" i="30"/>
  <c r="BM18" i="30" s="1"/>
  <c r="E9" i="30"/>
  <c r="E74" i="46"/>
  <c r="Y24" i="13"/>
  <c r="E174" i="46"/>
  <c r="Y15" i="13"/>
  <c r="BI24" i="88"/>
  <c r="BJ24" i="88" s="1"/>
  <c r="F37" i="13"/>
  <c r="J68" i="30"/>
  <c r="BN11" i="30"/>
  <c r="BN10" i="30" s="1"/>
  <c r="O18" i="34"/>
  <c r="E18" i="34" s="1"/>
  <c r="BM18" i="34"/>
  <c r="BM8" i="34" s="1"/>
  <c r="BM7" i="34" s="1"/>
  <c r="L46" i="13"/>
  <c r="BD68" i="25"/>
  <c r="F17" i="39"/>
  <c r="E17" i="39" s="1"/>
  <c r="N9" i="39"/>
  <c r="N8" i="39" s="1"/>
  <c r="N7" i="39" s="1"/>
  <c r="AI88" i="37"/>
  <c r="AI76" i="37" s="1"/>
  <c r="P107" i="37"/>
  <c r="P88" i="37" s="1"/>
  <c r="P76" i="37" s="1"/>
  <c r="R7" i="84"/>
  <c r="U12" i="13"/>
  <c r="P68" i="30"/>
  <c r="BN18" i="30"/>
  <c r="AH7" i="84"/>
  <c r="P69" i="21"/>
  <c r="P12" i="13"/>
  <c r="BN18" i="21"/>
  <c r="H24" i="62"/>
  <c r="I20" i="62"/>
  <c r="I15" i="50"/>
  <c r="J15" i="50" s="1"/>
  <c r="O15" i="50" s="1"/>
  <c r="F162" i="46"/>
  <c r="M10" i="40"/>
  <c r="M9" i="40" s="1"/>
  <c r="M8" i="40" s="1"/>
  <c r="M7" i="40" s="1"/>
  <c r="G16" i="40"/>
  <c r="F16" i="40" s="1"/>
  <c r="E16" i="40" s="1"/>
  <c r="AR88" i="30"/>
  <c r="E116" i="30"/>
  <c r="G10" i="81"/>
  <c r="H10" i="81" s="1"/>
  <c r="M10" i="81" s="1"/>
  <c r="F82" i="46"/>
  <c r="I30" i="13"/>
  <c r="AG68" i="28"/>
  <c r="E81" i="23"/>
  <c r="E78" i="23" s="1"/>
  <c r="E77" i="23" s="1"/>
  <c r="H78" i="23"/>
  <c r="H77" i="23" s="1"/>
  <c r="H13" i="51"/>
  <c r="M13" i="51" s="1"/>
  <c r="F141" i="46"/>
  <c r="H10" i="13"/>
  <c r="M68" i="29"/>
  <c r="BN10" i="29"/>
  <c r="BI68" i="32"/>
  <c r="BN63" i="32"/>
  <c r="N9" i="37"/>
  <c r="N8" i="37" s="1"/>
  <c r="N7" i="37" s="1"/>
  <c r="F17" i="37"/>
  <c r="E17" i="37" s="1"/>
  <c r="N9" i="13"/>
  <c r="F9" i="13" s="1"/>
  <c r="E9" i="13" s="1"/>
  <c r="BN11" i="23"/>
  <c r="I69" i="23"/>
  <c r="G11" i="13"/>
  <c r="N68" i="19"/>
  <c r="AR88" i="31"/>
  <c r="E116" i="31"/>
  <c r="J9" i="40"/>
  <c r="H10" i="40"/>
  <c r="AB88" i="25"/>
  <c r="AB76" i="25" s="1"/>
  <c r="P100" i="25"/>
  <c r="G17" i="81"/>
  <c r="H17" i="81" s="1"/>
  <c r="M17" i="81" s="1"/>
  <c r="F89" i="46"/>
  <c r="O21" i="28"/>
  <c r="E21" i="28" s="1"/>
  <c r="R18" i="28"/>
  <c r="R8" i="28" s="1"/>
  <c r="V117" i="38"/>
  <c r="AS88" i="38"/>
  <c r="P113" i="23"/>
  <c r="AN89" i="23"/>
  <c r="AN77" i="23" s="1"/>
  <c r="AM68" i="39"/>
  <c r="BN34" i="39"/>
  <c r="BN25" i="39" s="1"/>
  <c r="N14" i="82"/>
  <c r="O14" i="82"/>
  <c r="AS10" i="84"/>
  <c r="E149" i="46"/>
  <c r="F324" i="47"/>
  <c r="E7" i="90"/>
  <c r="F7" i="90" s="1"/>
  <c r="H6" i="92"/>
  <c r="Q12" i="13"/>
  <c r="BN18" i="34"/>
  <c r="P68" i="34"/>
  <c r="BH8" i="88"/>
  <c r="BH8" i="87"/>
  <c r="P90" i="27"/>
  <c r="P88" i="27" s="1"/>
  <c r="P76" i="27" s="1"/>
  <c r="R88" i="27"/>
  <c r="R76" i="27" s="1"/>
  <c r="BJ68" i="19"/>
  <c r="BN63" i="19"/>
  <c r="O19" i="30"/>
  <c r="E19" i="30" s="1"/>
  <c r="P18" i="30"/>
  <c r="P8" i="30" s="1"/>
  <c r="F174" i="47"/>
  <c r="BN65" i="22"/>
  <c r="BM63" i="22"/>
  <c r="N15" i="13"/>
  <c r="S69" i="23"/>
  <c r="L30" i="13"/>
  <c r="AG68" i="25"/>
  <c r="BN34" i="25"/>
  <c r="V10" i="13"/>
  <c r="M68" i="40"/>
  <c r="M10" i="38"/>
  <c r="M9" i="38" s="1"/>
  <c r="G16" i="38"/>
  <c r="F16" i="38" s="1"/>
  <c r="E16" i="38" s="1"/>
  <c r="Y97" i="30"/>
  <c r="AS97" i="30"/>
  <c r="R18" i="21"/>
  <c r="R8" i="21" s="1"/>
  <c r="R7" i="21" s="1"/>
  <c r="O21" i="21"/>
  <c r="E21" i="21" s="1"/>
  <c r="F17" i="28"/>
  <c r="E17" i="28" s="1"/>
  <c r="N9" i="28"/>
  <c r="N8" i="28" s="1"/>
  <c r="N7" i="28" s="1"/>
  <c r="BL61" i="19"/>
  <c r="E25" i="19"/>
  <c r="R14" i="13"/>
  <c r="BN18" i="33"/>
  <c r="R68" i="33"/>
  <c r="S118" i="23"/>
  <c r="AS89" i="23"/>
  <c r="P118" i="23" s="1"/>
  <c r="N23" i="68"/>
  <c r="O23" i="68"/>
  <c r="E78" i="26"/>
  <c r="F77" i="26"/>
  <c r="F76" i="26" s="1"/>
  <c r="Y11" i="13"/>
  <c r="N68" i="37"/>
  <c r="I11" i="23"/>
  <c r="I10" i="23" s="1"/>
  <c r="H12" i="23"/>
  <c r="G12" i="23" s="1"/>
  <c r="F12" i="23" s="1"/>
  <c r="E12" i="23" s="1"/>
  <c r="N9" i="19"/>
  <c r="N8" i="19" s="1"/>
  <c r="N7" i="19" s="1"/>
  <c r="F17" i="19"/>
  <c r="E17" i="19" s="1"/>
  <c r="BL10" i="21"/>
  <c r="G10" i="21" s="1"/>
  <c r="F10" i="21" s="1"/>
  <c r="E10" i="21" s="1"/>
  <c r="V9" i="21"/>
  <c r="S30" i="13"/>
  <c r="AG68" i="32"/>
  <c r="F117" i="40"/>
  <c r="AS77" i="40"/>
  <c r="Q30" i="13"/>
  <c r="AG68" i="34"/>
  <c r="O67" i="40"/>
  <c r="BM18" i="40" s="1"/>
  <c r="E9" i="40"/>
  <c r="P11" i="13"/>
  <c r="N69" i="21"/>
  <c r="H24" i="79"/>
  <c r="AA42" i="13"/>
  <c r="AB42" i="13" s="1"/>
  <c r="AI117" i="32"/>
  <c r="AR77" i="32"/>
  <c r="P116" i="32"/>
  <c r="AS78" i="32"/>
  <c r="F78" i="32"/>
  <c r="I27" i="75"/>
  <c r="I28" i="75" s="1"/>
  <c r="O7" i="13"/>
  <c r="H27" i="69"/>
  <c r="F39" i="13"/>
  <c r="U36" i="13"/>
  <c r="H24" i="49"/>
  <c r="I12" i="49"/>
  <c r="H24" i="56"/>
  <c r="C28" i="56" s="1"/>
  <c r="I11" i="56"/>
  <c r="G20" i="41"/>
  <c r="H20" i="41" s="1"/>
  <c r="M20" i="41" s="1"/>
  <c r="F118" i="46"/>
  <c r="T12" i="13"/>
  <c r="P68" i="31"/>
  <c r="BN18" i="31"/>
  <c r="O19" i="31"/>
  <c r="E19" i="31" s="1"/>
  <c r="P18" i="31"/>
  <c r="P8" i="31" s="1"/>
  <c r="G23" i="80"/>
  <c r="L12" i="13"/>
  <c r="BN18" i="25"/>
  <c r="BO8" i="25" s="1"/>
  <c r="P68" i="25"/>
  <c r="G12" i="41"/>
  <c r="F110" i="46"/>
  <c r="E124" i="46"/>
  <c r="P18" i="25"/>
  <c r="P8" i="25" s="1"/>
  <c r="O19" i="25"/>
  <c r="E19" i="25" s="1"/>
  <c r="AU7" i="25"/>
  <c r="I29" i="60"/>
  <c r="BK49" i="88"/>
  <c r="V8" i="33"/>
  <c r="BL9" i="33"/>
  <c r="BN16" i="33"/>
  <c r="BM10" i="33"/>
  <c r="BM9" i="33" s="1"/>
  <c r="G16" i="33"/>
  <c r="F16" i="33" s="1"/>
  <c r="E16" i="33" s="1"/>
  <c r="M10" i="33"/>
  <c r="M9" i="33" s="1"/>
  <c r="M8" i="33" s="1"/>
  <c r="M7" i="33" s="1"/>
  <c r="G19" i="82"/>
  <c r="H19" i="82" s="1"/>
  <c r="M19" i="82" s="1"/>
  <c r="F66" i="46"/>
  <c r="S15" i="13"/>
  <c r="S7" i="13" s="1"/>
  <c r="S68" i="32"/>
  <c r="E22" i="32"/>
  <c r="S8" i="32"/>
  <c r="S7" i="32" s="1"/>
  <c r="F167" i="46"/>
  <c r="I20" i="50"/>
  <c r="J20" i="50" s="1"/>
  <c r="O20" i="50" s="1"/>
  <c r="P112" i="25"/>
  <c r="AN88" i="25"/>
  <c r="AN76" i="25" s="1"/>
  <c r="AA45" i="13"/>
  <c r="AB45" i="13" s="1"/>
  <c r="F45" i="13"/>
  <c r="BI68" i="25"/>
  <c r="BN63" i="25"/>
  <c r="AA47" i="13"/>
  <c r="AB47" i="13" s="1"/>
  <c r="F47" i="13"/>
  <c r="L15" i="13"/>
  <c r="E22" i="25"/>
  <c r="S8" i="25"/>
  <c r="S7" i="25" s="1"/>
  <c r="Q13" i="50"/>
  <c r="P13" i="50"/>
  <c r="N20" i="59"/>
  <c r="W25" i="13"/>
  <c r="G15" i="13"/>
  <c r="Y8" i="13"/>
  <c r="AB7" i="84"/>
  <c r="P116" i="34"/>
  <c r="AR77" i="34"/>
  <c r="AS85" i="34"/>
  <c r="M85" i="34"/>
  <c r="Z17" i="89"/>
  <c r="AB17" i="89" s="1"/>
  <c r="Q27" i="13"/>
  <c r="Q18" i="13" s="1"/>
  <c r="Z19" i="89"/>
  <c r="AB19" i="89" s="1"/>
  <c r="AR77" i="33"/>
  <c r="P116" i="33"/>
  <c r="M85" i="33"/>
  <c r="AS85" i="33"/>
  <c r="E45" i="84"/>
  <c r="AG47" i="84"/>
  <c r="AP47" i="84"/>
  <c r="AR17" i="84"/>
  <c r="AR24" i="84"/>
  <c r="BI25" i="88"/>
  <c r="AR28" i="84"/>
  <c r="AR36" i="84"/>
  <c r="AR23" i="84"/>
  <c r="P8" i="84"/>
  <c r="F27" i="84"/>
  <c r="E29" i="84"/>
  <c r="X47" i="84"/>
  <c r="AR21" i="84"/>
  <c r="AR40" i="84"/>
  <c r="AR44" i="84"/>
  <c r="AA47" i="84"/>
  <c r="N47" i="84"/>
  <c r="O47" i="84"/>
  <c r="AA30" i="88"/>
  <c r="BF30" i="88"/>
  <c r="BG30" i="88" s="1"/>
  <c r="BK30" i="88" s="1"/>
  <c r="E34" i="84"/>
  <c r="E37" i="84"/>
  <c r="T47" i="84"/>
  <c r="Z47" i="84"/>
  <c r="AK47" i="84"/>
  <c r="AR35" i="84"/>
  <c r="AF47" i="84"/>
  <c r="J18" i="84"/>
  <c r="J47" i="84"/>
  <c r="AR39" i="84"/>
  <c r="U47" i="84"/>
  <c r="AR20" i="84"/>
  <c r="BI42" i="88"/>
  <c r="BI31" i="88"/>
  <c r="I26" i="60"/>
  <c r="BI34" i="88"/>
  <c r="AR30" i="84"/>
  <c r="BI47" i="88"/>
  <c r="H24" i="69"/>
  <c r="I24" i="75"/>
  <c r="BI50" i="88"/>
  <c r="AM47" i="84"/>
  <c r="AR19" i="84"/>
  <c r="W47" i="84"/>
  <c r="AL7" i="84"/>
  <c r="AR32" i="84"/>
  <c r="AR33" i="84"/>
  <c r="AR13" i="84"/>
  <c r="AR41" i="84"/>
  <c r="AR22" i="84"/>
  <c r="AR26" i="84"/>
  <c r="BL8" i="40"/>
  <c r="E8" i="40" s="1"/>
  <c r="E7" i="40" s="1"/>
  <c r="V7" i="40"/>
  <c r="V67" i="40"/>
  <c r="AT7" i="30"/>
  <c r="I10" i="72"/>
  <c r="I16" i="72" s="1"/>
  <c r="H16" i="72"/>
  <c r="C21" i="72" s="1"/>
  <c r="F474" i="47"/>
  <c r="G7" i="86"/>
  <c r="H7" i="86" s="1"/>
  <c r="M7" i="86" s="1"/>
  <c r="F30" i="46"/>
  <c r="BL10" i="19"/>
  <c r="G10" i="19" s="1"/>
  <c r="F10" i="19" s="1"/>
  <c r="E10" i="19" s="1"/>
  <c r="V9" i="19"/>
  <c r="E5" i="46"/>
  <c r="H11" i="19"/>
  <c r="G11" i="19" s="1"/>
  <c r="F11" i="19" s="1"/>
  <c r="E11" i="19" s="1"/>
  <c r="BM11" i="19"/>
  <c r="BM10" i="19" s="1"/>
  <c r="BM9" i="19" s="1"/>
  <c r="H12" i="19"/>
  <c r="G12" i="19" s="1"/>
  <c r="F12" i="19" s="1"/>
  <c r="E12" i="19" s="1"/>
  <c r="I11" i="19"/>
  <c r="I10" i="19" s="1"/>
  <c r="BN11" i="19"/>
  <c r="G8" i="13" s="1"/>
  <c r="I68" i="19"/>
  <c r="Y117" i="28"/>
  <c r="AS88" i="28"/>
  <c r="P97" i="28"/>
  <c r="Y88" i="28"/>
  <c r="Y76" i="28" s="1"/>
  <c r="F157" i="46"/>
  <c r="I10" i="50"/>
  <c r="J10" i="50" s="1"/>
  <c r="O10" i="50" s="1"/>
  <c r="S68" i="28"/>
  <c r="E22" i="28"/>
  <c r="S8" i="28"/>
  <c r="S7" i="28" s="1"/>
  <c r="BM11" i="27"/>
  <c r="BM10" i="27" s="1"/>
  <c r="BM9" i="27" s="1"/>
  <c r="E8" i="46"/>
  <c r="H11" i="27"/>
  <c r="G11" i="27" s="1"/>
  <c r="F11" i="27" s="1"/>
  <c r="E11" i="27" s="1"/>
  <c r="H12" i="27"/>
  <c r="G12" i="27" s="1"/>
  <c r="F12" i="27" s="1"/>
  <c r="E12" i="27" s="1"/>
  <c r="I11" i="27"/>
  <c r="I10" i="27" s="1"/>
  <c r="G10" i="86"/>
  <c r="H10" i="86" s="1"/>
  <c r="M10" i="86" s="1"/>
  <c r="F33" i="46"/>
  <c r="BL10" i="27"/>
  <c r="G10" i="27" s="1"/>
  <c r="F10" i="27" s="1"/>
  <c r="E10" i="27" s="1"/>
  <c r="V9" i="27"/>
  <c r="I68" i="27"/>
  <c r="BN11" i="27"/>
  <c r="N9" i="27"/>
  <c r="N8" i="27" s="1"/>
  <c r="N7" i="27" s="1"/>
  <c r="F17" i="27"/>
  <c r="E17" i="27" s="1"/>
  <c r="BN17" i="27"/>
  <c r="J11" i="13" s="1"/>
  <c r="F83" i="46"/>
  <c r="G11" i="81"/>
  <c r="H11" i="81" s="1"/>
  <c r="M11" i="81" s="1"/>
  <c r="BJ19" i="88"/>
  <c r="N15" i="86"/>
  <c r="O15" i="86"/>
  <c r="M8" i="88"/>
  <c r="M7" i="88" s="1"/>
  <c r="E16" i="88"/>
  <c r="BM8" i="37"/>
  <c r="H16" i="92"/>
  <c r="BH68" i="33"/>
  <c r="AT61" i="88"/>
  <c r="BL49" i="88"/>
  <c r="N12" i="86"/>
  <c r="O12" i="86"/>
  <c r="BN10" i="21"/>
  <c r="H69" i="21"/>
  <c r="I9" i="21"/>
  <c r="H10" i="21"/>
  <c r="N16" i="86"/>
  <c r="O16" i="86"/>
  <c r="AS81" i="21"/>
  <c r="H81" i="21"/>
  <c r="P117" i="21"/>
  <c r="AR78" i="21"/>
  <c r="AR77" i="27"/>
  <c r="P116" i="27"/>
  <c r="AS80" i="27"/>
  <c r="H80" i="27"/>
  <c r="E21" i="46"/>
  <c r="BM11" i="39"/>
  <c r="BM10" i="39" s="1"/>
  <c r="BM9" i="39" s="1"/>
  <c r="H11" i="39"/>
  <c r="G11" i="39" s="1"/>
  <c r="F11" i="39" s="1"/>
  <c r="E11" i="39" s="1"/>
  <c r="BN11" i="39"/>
  <c r="W8" i="13" s="1"/>
  <c r="I68" i="39"/>
  <c r="BL10" i="39"/>
  <c r="G10" i="39" s="1"/>
  <c r="F10" i="39" s="1"/>
  <c r="E10" i="39" s="1"/>
  <c r="V9" i="39"/>
  <c r="I11" i="39"/>
  <c r="I10" i="39" s="1"/>
  <c r="H12" i="39"/>
  <c r="G12" i="39" s="1"/>
  <c r="F12" i="39" s="1"/>
  <c r="E12" i="39" s="1"/>
  <c r="F46" i="46"/>
  <c r="G23" i="86"/>
  <c r="H23" i="86" s="1"/>
  <c r="M23" i="86" s="1"/>
  <c r="AE68" i="38"/>
  <c r="R18" i="29"/>
  <c r="R8" i="29" s="1"/>
  <c r="O21" i="29"/>
  <c r="E21" i="29" s="1"/>
  <c r="BN18" i="29"/>
  <c r="R68" i="29"/>
  <c r="H7" i="51"/>
  <c r="M7" i="51" s="1"/>
  <c r="F131" i="46"/>
  <c r="P116" i="29"/>
  <c r="AR77" i="29"/>
  <c r="Z8" i="89"/>
  <c r="AE68" i="29"/>
  <c r="I81" i="29"/>
  <c r="AS81" i="29"/>
  <c r="BJ43" i="88"/>
  <c r="AS69" i="23"/>
  <c r="E14" i="17"/>
  <c r="S47" i="84"/>
  <c r="AJ38" i="84"/>
  <c r="P38" i="84"/>
  <c r="K8" i="88"/>
  <c r="K7" i="88" s="1"/>
  <c r="E14" i="88"/>
  <c r="AO61" i="88"/>
  <c r="BL44" i="88"/>
  <c r="O20" i="86"/>
  <c r="N20" i="86"/>
  <c r="P31" i="84"/>
  <c r="AC31" i="84"/>
  <c r="AG63" i="88"/>
  <c r="AG7" i="88"/>
  <c r="AA7" i="17"/>
  <c r="AB7" i="17" s="1"/>
  <c r="AA6" i="17"/>
  <c r="AB6" i="17" s="1"/>
  <c r="P76" i="26"/>
  <c r="AR77" i="26"/>
  <c r="P116" i="26"/>
  <c r="M85" i="26"/>
  <c r="AS85" i="26"/>
  <c r="P18" i="70"/>
  <c r="O18" i="70"/>
  <c r="BF55" i="88"/>
  <c r="BG55" i="88" s="1"/>
  <c r="BK55" i="88" s="1"/>
  <c r="AZ55" i="88"/>
  <c r="Q55" i="88" s="1"/>
  <c r="BA73" i="88" s="1"/>
  <c r="P117" i="34"/>
  <c r="AR42" i="84"/>
  <c r="BF10" i="88"/>
  <c r="BG10" i="88" s="1"/>
  <c r="BK10" i="88" s="1"/>
  <c r="G10" i="88"/>
  <c r="H17" i="86"/>
  <c r="BI10" i="88"/>
  <c r="H25" i="86"/>
  <c r="BE9" i="88"/>
  <c r="F9" i="88" s="1"/>
  <c r="P25" i="84"/>
  <c r="W25" i="84"/>
  <c r="P9" i="60"/>
  <c r="O9" i="60"/>
  <c r="BJ68" i="28"/>
  <c r="I7" i="40"/>
  <c r="I9" i="31"/>
  <c r="H10" i="31"/>
  <c r="V8" i="31"/>
  <c r="BL9" i="31"/>
  <c r="H68" i="31"/>
  <c r="BN10" i="31"/>
  <c r="G20" i="83"/>
  <c r="H20" i="83" s="1"/>
  <c r="M20" i="83" s="1"/>
  <c r="F18" i="46"/>
  <c r="J7" i="31"/>
  <c r="I8" i="33"/>
  <c r="H9" i="33"/>
  <c r="O9" i="83"/>
  <c r="N9" i="83"/>
  <c r="AV68" i="38"/>
  <c r="P117" i="26"/>
  <c r="N20" i="81"/>
  <c r="O20" i="81"/>
  <c r="J9" i="32"/>
  <c r="H10" i="32"/>
  <c r="BN10" i="32"/>
  <c r="H68" i="32"/>
  <c r="V8" i="32"/>
  <c r="BL9" i="32"/>
  <c r="F17" i="46"/>
  <c r="G19" i="83"/>
  <c r="H19" i="83" s="1"/>
  <c r="M19" i="83" s="1"/>
  <c r="BN8" i="32"/>
  <c r="F68" i="32"/>
  <c r="N16" i="81"/>
  <c r="O16" i="81"/>
  <c r="N16" i="82"/>
  <c r="O16" i="82"/>
  <c r="G15" i="83"/>
  <c r="H15" i="83" s="1"/>
  <c r="M15" i="83" s="1"/>
  <c r="F13" i="46"/>
  <c r="H68" i="22"/>
  <c r="D13" i="92"/>
  <c r="BN10" i="22"/>
  <c r="H10" i="22"/>
  <c r="I9" i="22"/>
  <c r="BL9" i="22"/>
  <c r="V8" i="22"/>
  <c r="BN9" i="22"/>
  <c r="BM8" i="22"/>
  <c r="BL9" i="24"/>
  <c r="V8" i="24"/>
  <c r="V68" i="24" s="1"/>
  <c r="G13" i="83"/>
  <c r="H13" i="83" s="1"/>
  <c r="M13" i="83" s="1"/>
  <c r="F11" i="46"/>
  <c r="H9" i="24"/>
  <c r="G9" i="24" s="1"/>
  <c r="I8" i="24"/>
  <c r="G69" i="24"/>
  <c r="X69" i="24"/>
  <c r="P17" i="54"/>
  <c r="O17" i="54"/>
  <c r="AE68" i="40"/>
  <c r="AE68" i="32"/>
  <c r="O7" i="55"/>
  <c r="P7" i="55"/>
  <c r="I9" i="37"/>
  <c r="H10" i="37"/>
  <c r="BN10" i="37"/>
  <c r="H68" i="37"/>
  <c r="F23" i="46"/>
  <c r="F77" i="37"/>
  <c r="F76" i="37" s="1"/>
  <c r="E78" i="37"/>
  <c r="E77" i="37" s="1"/>
  <c r="E76" i="37" s="1"/>
  <c r="BL9" i="37"/>
  <c r="V8" i="37"/>
  <c r="F117" i="37"/>
  <c r="AS77" i="37"/>
  <c r="S68" i="37"/>
  <c r="BN8" i="37"/>
  <c r="AB68" i="37"/>
  <c r="S68" i="38"/>
  <c r="M77" i="30"/>
  <c r="M76" i="30" s="1"/>
  <c r="E85" i="30"/>
  <c r="M117" i="30"/>
  <c r="N22" i="81"/>
  <c r="O22" i="81"/>
  <c r="N22" i="82"/>
  <c r="O22" i="82"/>
  <c r="M68" i="30"/>
  <c r="AT68" i="30"/>
  <c r="BK68" i="31"/>
  <c r="BN63" i="31"/>
  <c r="T50" i="13" s="1"/>
  <c r="H77" i="31"/>
  <c r="H76" i="31" s="1"/>
  <c r="E80" i="31"/>
  <c r="E77" i="31" s="1"/>
  <c r="E76" i="31" s="1"/>
  <c r="H117" i="31"/>
  <c r="AS77" i="31"/>
  <c r="E117" i="31" s="1"/>
  <c r="BN9" i="31"/>
  <c r="BM8" i="31"/>
  <c r="O21" i="81"/>
  <c r="N21" i="81"/>
  <c r="N68" i="31"/>
  <c r="AJ48" i="84"/>
  <c r="AS38" i="84"/>
  <c r="AT68" i="32"/>
  <c r="AS31" i="84"/>
  <c r="AE68" i="34"/>
  <c r="BN25" i="34"/>
  <c r="I9" i="34"/>
  <c r="H10" i="34"/>
  <c r="BN10" i="34"/>
  <c r="H68" i="34"/>
  <c r="V8" i="34"/>
  <c r="BL9" i="34"/>
  <c r="BN9" i="34"/>
  <c r="G17" i="83"/>
  <c r="H17" i="83" s="1"/>
  <c r="M17" i="83" s="1"/>
  <c r="F15" i="46"/>
  <c r="P17" i="50"/>
  <c r="S69" i="21"/>
  <c r="AO43" i="84"/>
  <c r="P43" i="84"/>
  <c r="I9" i="25"/>
  <c r="H10" i="25"/>
  <c r="V8" i="25"/>
  <c r="BL9" i="25"/>
  <c r="F68" i="25"/>
  <c r="G12" i="83"/>
  <c r="H12" i="83" s="1"/>
  <c r="M12" i="83" s="1"/>
  <c r="F10" i="46"/>
  <c r="H68" i="25"/>
  <c r="BN10" i="25"/>
  <c r="BO9" i="25" s="1"/>
  <c r="H12" i="81"/>
  <c r="BN10" i="26"/>
  <c r="H68" i="26"/>
  <c r="G11" i="83"/>
  <c r="H11" i="83" s="1"/>
  <c r="M11" i="83" s="1"/>
  <c r="F9" i="46"/>
  <c r="I9" i="26"/>
  <c r="H10" i="26"/>
  <c r="BL9" i="26"/>
  <c r="V8" i="26"/>
  <c r="BN63" i="26"/>
  <c r="K50" i="13" s="1"/>
  <c r="K51" i="13" s="1"/>
  <c r="BI68" i="26"/>
  <c r="O68" i="27"/>
  <c r="H9" i="51"/>
  <c r="AS68" i="27"/>
  <c r="R7" i="27"/>
  <c r="O8" i="27"/>
  <c r="O7" i="27" s="1"/>
  <c r="AU68" i="28"/>
  <c r="Y68" i="29"/>
  <c r="H8" i="82"/>
  <c r="M68" i="19"/>
  <c r="E11" i="84"/>
  <c r="I11" i="84"/>
  <c r="Q48" i="84"/>
  <c r="AS19" i="84"/>
  <c r="H7" i="29"/>
  <c r="D199" i="46"/>
  <c r="BM8" i="32"/>
  <c r="U68" i="27"/>
  <c r="M117" i="22"/>
  <c r="M77" i="22"/>
  <c r="M76" i="22" s="1"/>
  <c r="E85" i="22"/>
  <c r="S68" i="19"/>
  <c r="J8" i="50"/>
  <c r="S68" i="25"/>
  <c r="N23" i="64"/>
  <c r="I24" i="64"/>
  <c r="M15" i="84"/>
  <c r="AS76" i="39"/>
  <c r="D117" i="39" s="1"/>
  <c r="AC68" i="39"/>
  <c r="F78" i="22" l="1"/>
  <c r="AS78" i="22"/>
  <c r="AR77" i="22"/>
  <c r="P116" i="22"/>
  <c r="J8" i="13"/>
  <c r="BO8" i="27"/>
  <c r="J27" i="13"/>
  <c r="BO25" i="27"/>
  <c r="R8" i="13"/>
  <c r="BO8" i="33"/>
  <c r="H7" i="84"/>
  <c r="AS14" i="84"/>
  <c r="BO34" i="24"/>
  <c r="AI69" i="24"/>
  <c r="BN34" i="24"/>
  <c r="M32" i="13"/>
  <c r="F32" i="13" s="1"/>
  <c r="BL25" i="24"/>
  <c r="V25" i="24" s="1"/>
  <c r="H13" i="58"/>
  <c r="F83" i="48"/>
  <c r="F96" i="48" s="1"/>
  <c r="E96" i="48"/>
  <c r="AE38" i="24"/>
  <c r="V38" i="24" s="1"/>
  <c r="V34" i="24" s="1"/>
  <c r="AI34" i="24"/>
  <c r="AI25" i="24" s="1"/>
  <c r="AI7" i="24" s="1"/>
  <c r="M48" i="84"/>
  <c r="E10" i="84"/>
  <c r="P24" i="57"/>
  <c r="Q24" i="57"/>
  <c r="AA39" i="13"/>
  <c r="AB39" i="13" s="1"/>
  <c r="P116" i="25"/>
  <c r="BM8" i="26"/>
  <c r="E16" i="84"/>
  <c r="N6" i="84"/>
  <c r="I48" i="84"/>
  <c r="BN8" i="29"/>
  <c r="I16" i="71"/>
  <c r="AC29" i="13"/>
  <c r="AK40" i="21"/>
  <c r="BM40" i="21"/>
  <c r="BN40" i="21" s="1"/>
  <c r="Z29" i="26"/>
  <c r="BM29" i="26"/>
  <c r="BN29" i="26" s="1"/>
  <c r="AE39" i="19"/>
  <c r="V39" i="19" s="1"/>
  <c r="V34" i="19" s="1"/>
  <c r="AJ34" i="19"/>
  <c r="AJ25" i="19" s="1"/>
  <c r="AJ7" i="19" s="1"/>
  <c r="BN61" i="40"/>
  <c r="BM25" i="40"/>
  <c r="Z29" i="23"/>
  <c r="BM29" i="23"/>
  <c r="BL25" i="29"/>
  <c r="V25" i="29" s="1"/>
  <c r="E67" i="29"/>
  <c r="AQ115" i="28"/>
  <c r="AQ76" i="28" s="1"/>
  <c r="AS115" i="28"/>
  <c r="AQ117" i="28" s="1"/>
  <c r="BL34" i="22"/>
  <c r="E25" i="22"/>
  <c r="Y97" i="32"/>
  <c r="AS97" i="32"/>
  <c r="F15" i="92"/>
  <c r="F17" i="92"/>
  <c r="F17" i="13"/>
  <c r="E17" i="13" s="1"/>
  <c r="F33" i="13"/>
  <c r="AC33" i="13" s="1"/>
  <c r="F41" i="13"/>
  <c r="AC41" i="13" s="1"/>
  <c r="O23" i="75"/>
  <c r="J29" i="57"/>
  <c r="H7" i="89"/>
  <c r="F130" i="47"/>
  <c r="BL25" i="26"/>
  <c r="V25" i="26" s="1"/>
  <c r="E67" i="26"/>
  <c r="AJ68" i="19"/>
  <c r="BN34" i="19"/>
  <c r="G21" i="77"/>
  <c r="H21" i="77" s="1"/>
  <c r="F495" i="47"/>
  <c r="F209" i="47"/>
  <c r="F224" i="47" s="1"/>
  <c r="D224" i="47"/>
  <c r="I26" i="67"/>
  <c r="I29" i="67"/>
  <c r="AR88" i="22"/>
  <c r="E116" i="22"/>
  <c r="AJ39" i="22"/>
  <c r="BM39" i="22"/>
  <c r="BN39" i="22" s="1"/>
  <c r="BL34" i="33"/>
  <c r="E25" i="33"/>
  <c r="AR88" i="33"/>
  <c r="E116" i="33"/>
  <c r="BM66" i="30"/>
  <c r="BK66" i="30"/>
  <c r="BL63" i="30"/>
  <c r="V61" i="40"/>
  <c r="BF25" i="40"/>
  <c r="BF7" i="40" s="1"/>
  <c r="AR89" i="21"/>
  <c r="E117" i="21"/>
  <c r="AA30" i="37"/>
  <c r="BM30" i="37"/>
  <c r="BJ65" i="21"/>
  <c r="BM65" i="21"/>
  <c r="BL63" i="21"/>
  <c r="O9" i="67"/>
  <c r="O24" i="67" s="1"/>
  <c r="P9" i="67"/>
  <c r="P24" i="67" s="1"/>
  <c r="N24" i="67"/>
  <c r="Y97" i="22"/>
  <c r="AS97" i="22"/>
  <c r="BK66" i="28"/>
  <c r="BM66" i="28"/>
  <c r="BL63" i="28"/>
  <c r="BI53" i="88"/>
  <c r="BJ53" i="88" s="1"/>
  <c r="P89" i="23"/>
  <c r="P77" i="23" s="1"/>
  <c r="AS77" i="25"/>
  <c r="E117" i="25" s="1"/>
  <c r="E25" i="21"/>
  <c r="BL34" i="21"/>
  <c r="AJ39" i="33"/>
  <c r="BM39" i="33"/>
  <c r="BN39" i="33" s="1"/>
  <c r="Y88" i="33"/>
  <c r="Y76" i="33" s="1"/>
  <c r="P97" i="33"/>
  <c r="P88" i="33" s="1"/>
  <c r="P76" i="33" s="1"/>
  <c r="N19" i="61"/>
  <c r="I24" i="61"/>
  <c r="I30" i="61" s="1"/>
  <c r="Y98" i="21"/>
  <c r="AS98" i="21"/>
  <c r="K7" i="63"/>
  <c r="F24" i="63"/>
  <c r="BL25" i="23"/>
  <c r="V25" i="23" s="1"/>
  <c r="E481" i="47"/>
  <c r="BF61" i="29"/>
  <c r="BM61" i="29"/>
  <c r="BL63" i="38"/>
  <c r="BK66" i="38"/>
  <c r="BM66" i="38"/>
  <c r="AR88" i="32"/>
  <c r="E116" i="32"/>
  <c r="AS97" i="33"/>
  <c r="V25" i="30"/>
  <c r="Z9" i="89"/>
  <c r="AA9" i="89" s="1"/>
  <c r="V67" i="28"/>
  <c r="BL8" i="28"/>
  <c r="E8" i="28" s="1"/>
  <c r="E7" i="28" s="1"/>
  <c r="V7" i="28"/>
  <c r="BL8" i="30"/>
  <c r="E8" i="30" s="1"/>
  <c r="E7" i="30" s="1"/>
  <c r="BH69" i="23"/>
  <c r="N50" i="13"/>
  <c r="N51" i="13" s="1"/>
  <c r="M50" i="13"/>
  <c r="M51" i="13" s="1"/>
  <c r="BH69" i="24"/>
  <c r="I25" i="79"/>
  <c r="AS33" i="84"/>
  <c r="I28" i="79"/>
  <c r="I29" i="79" s="1"/>
  <c r="V48" i="84"/>
  <c r="J31" i="50"/>
  <c r="J29" i="50"/>
  <c r="BI17" i="88"/>
  <c r="BJ17" i="88" s="1"/>
  <c r="BI49" i="88"/>
  <c r="BJ49" i="88" s="1"/>
  <c r="I27" i="76"/>
  <c r="I24" i="76"/>
  <c r="D9" i="92"/>
  <c r="O7" i="71"/>
  <c r="P7" i="71"/>
  <c r="H24" i="51"/>
  <c r="H29" i="83"/>
  <c r="H28" i="41"/>
  <c r="H28" i="80"/>
  <c r="P116" i="30"/>
  <c r="AR77" i="30"/>
  <c r="F78" i="30"/>
  <c r="AS78" i="30"/>
  <c r="O18" i="41"/>
  <c r="N18" i="41"/>
  <c r="BH68" i="34"/>
  <c r="Q50" i="13"/>
  <c r="Q51" i="13" s="1"/>
  <c r="AR12" i="84"/>
  <c r="AA10" i="13"/>
  <c r="AB10" i="13" s="1"/>
  <c r="R7" i="26"/>
  <c r="O8" i="26"/>
  <c r="O7" i="26" s="1"/>
  <c r="O10" i="51"/>
  <c r="N10" i="51"/>
  <c r="D149" i="47"/>
  <c r="O12" i="82"/>
  <c r="N12" i="82"/>
  <c r="N10" i="41"/>
  <c r="O10" i="41"/>
  <c r="O9" i="41"/>
  <c r="N9" i="41"/>
  <c r="V8" i="29"/>
  <c r="BL9" i="29"/>
  <c r="BM8" i="29"/>
  <c r="F6" i="46"/>
  <c r="G8" i="83"/>
  <c r="H8" i="83" s="1"/>
  <c r="Q7" i="13"/>
  <c r="BN25" i="28"/>
  <c r="AE68" i="28"/>
  <c r="P88" i="28"/>
  <c r="P76" i="28" s="1"/>
  <c r="AE68" i="27"/>
  <c r="F8" i="92"/>
  <c r="BN25" i="27"/>
  <c r="V68" i="27" s="1"/>
  <c r="Z10" i="89"/>
  <c r="AA10" i="89" s="1"/>
  <c r="D15" i="92"/>
  <c r="G9" i="33"/>
  <c r="P7" i="13"/>
  <c r="O25" i="60"/>
  <c r="AA19" i="89"/>
  <c r="AA33" i="13"/>
  <c r="AB33" i="13" s="1"/>
  <c r="D39" i="93"/>
  <c r="G39" i="93" s="1"/>
  <c r="H39" i="93" s="1"/>
  <c r="W7" i="13"/>
  <c r="F74" i="46"/>
  <c r="AC43" i="13"/>
  <c r="AC19" i="13"/>
  <c r="P88" i="25"/>
  <c r="P76" i="25" s="1"/>
  <c r="I24" i="59"/>
  <c r="I29" i="59" s="1"/>
  <c r="D6" i="92"/>
  <c r="G7" i="13"/>
  <c r="D23" i="92"/>
  <c r="G48" i="84"/>
  <c r="F24" i="13"/>
  <c r="AC24" i="13" s="1"/>
  <c r="X8" i="13"/>
  <c r="H68" i="38"/>
  <c r="F22" i="46"/>
  <c r="I7" i="38"/>
  <c r="H8" i="38"/>
  <c r="H7" i="38" s="1"/>
  <c r="AB22" i="89"/>
  <c r="D20" i="92"/>
  <c r="BL9" i="30"/>
  <c r="BM8" i="30"/>
  <c r="H6" i="84"/>
  <c r="T7" i="13"/>
  <c r="BL14" i="88"/>
  <c r="K61" i="88"/>
  <c r="AE68" i="31"/>
  <c r="BJ7" i="87"/>
  <c r="N19" i="81"/>
  <c r="O19" i="81"/>
  <c r="N61" i="88"/>
  <c r="AA17" i="89"/>
  <c r="N18" i="81"/>
  <c r="O18" i="81"/>
  <c r="O18" i="82"/>
  <c r="N18" i="82"/>
  <c r="BL17" i="88"/>
  <c r="AC44" i="13"/>
  <c r="O15" i="81"/>
  <c r="N15" i="81"/>
  <c r="AA9" i="13"/>
  <c r="AB9" i="13" s="1"/>
  <c r="AO48" i="84"/>
  <c r="M7" i="13"/>
  <c r="AC35" i="13"/>
  <c r="N14" i="81"/>
  <c r="O14" i="81"/>
  <c r="F15" i="13"/>
  <c r="E15" i="13" s="1"/>
  <c r="F174" i="46"/>
  <c r="D21" i="93"/>
  <c r="G21" i="93" s="1"/>
  <c r="H21" i="93" s="1"/>
  <c r="K18" i="13"/>
  <c r="K6" i="13" s="1"/>
  <c r="K56" i="13" s="1"/>
  <c r="L6" i="84"/>
  <c r="Q11" i="50"/>
  <c r="P11" i="50"/>
  <c r="AA21" i="13"/>
  <c r="AB21" i="13" s="1"/>
  <c r="H48" i="84"/>
  <c r="E20" i="13"/>
  <c r="F31" i="13"/>
  <c r="E31" i="13" s="1"/>
  <c r="F149" i="46"/>
  <c r="P25" i="60"/>
  <c r="F11" i="13"/>
  <c r="E11" i="13" s="1"/>
  <c r="G25" i="81"/>
  <c r="D11" i="93"/>
  <c r="G11" i="93" s="1"/>
  <c r="H11" i="93" s="1"/>
  <c r="G25" i="82"/>
  <c r="I30" i="60"/>
  <c r="E78" i="19"/>
  <c r="E77" i="19" s="1"/>
  <c r="E76" i="19" s="1"/>
  <c r="F77" i="19"/>
  <c r="F76" i="19" s="1"/>
  <c r="G24" i="86"/>
  <c r="F117" i="19"/>
  <c r="AS77" i="19"/>
  <c r="D30" i="93"/>
  <c r="G30" i="93" s="1"/>
  <c r="H30" i="93" s="1"/>
  <c r="E67" i="19"/>
  <c r="BL25" i="19"/>
  <c r="V25" i="19" s="1"/>
  <c r="BJ68" i="22"/>
  <c r="BN63" i="22"/>
  <c r="T8" i="31"/>
  <c r="T7" i="31" s="1"/>
  <c r="E23" i="31"/>
  <c r="W52" i="13"/>
  <c r="BH63" i="39"/>
  <c r="BH7" i="39" s="1"/>
  <c r="R7" i="39"/>
  <c r="O8" i="39"/>
  <c r="O7" i="39" s="1"/>
  <c r="N19" i="65"/>
  <c r="I23" i="65"/>
  <c r="I28" i="65" s="1"/>
  <c r="D40" i="93"/>
  <c r="G40" i="93" s="1"/>
  <c r="H40" i="93" s="1"/>
  <c r="J7" i="13"/>
  <c r="E480" i="47"/>
  <c r="BF61" i="19"/>
  <c r="BM61" i="19"/>
  <c r="M8" i="38"/>
  <c r="G9" i="38"/>
  <c r="R7" i="28"/>
  <c r="O8" i="28"/>
  <c r="O7" i="28" s="1"/>
  <c r="U8" i="13"/>
  <c r="U7" i="13" s="1"/>
  <c r="H68" i="30"/>
  <c r="E77" i="40"/>
  <c r="E76" i="40" s="1"/>
  <c r="P7" i="34"/>
  <c r="O8" i="34"/>
  <c r="O7" i="34" s="1"/>
  <c r="O9" i="82"/>
  <c r="N9" i="82"/>
  <c r="G16" i="83"/>
  <c r="H16" i="83" s="1"/>
  <c r="M16" i="83" s="1"/>
  <c r="F14" i="46"/>
  <c r="BN66" i="39"/>
  <c r="BM63" i="39"/>
  <c r="V7" i="13"/>
  <c r="BH20" i="87"/>
  <c r="BH20" i="88"/>
  <c r="O68" i="39"/>
  <c r="O68" i="38"/>
  <c r="O8" i="81"/>
  <c r="N8" i="81"/>
  <c r="BI68" i="40"/>
  <c r="BN63" i="40"/>
  <c r="R7" i="38"/>
  <c r="O8" i="38"/>
  <c r="O7" i="38" s="1"/>
  <c r="Z11" i="89"/>
  <c r="AA11" i="89" s="1"/>
  <c r="G7" i="90"/>
  <c r="AA15" i="13"/>
  <c r="AB15" i="13" s="1"/>
  <c r="F124" i="46"/>
  <c r="J18" i="13"/>
  <c r="O8" i="30"/>
  <c r="O7" i="30" s="1"/>
  <c r="P7" i="30"/>
  <c r="D31" i="93"/>
  <c r="G31" i="93" s="1"/>
  <c r="H31" i="93" s="1"/>
  <c r="W27" i="13"/>
  <c r="W18" i="13" s="1"/>
  <c r="Z23" i="89"/>
  <c r="F21" i="92"/>
  <c r="AE68" i="39"/>
  <c r="J8" i="40"/>
  <c r="H9" i="40"/>
  <c r="G9" i="40" s="1"/>
  <c r="N14" i="86"/>
  <c r="O14" i="86"/>
  <c r="Q24" i="50"/>
  <c r="P24" i="50"/>
  <c r="P10" i="59"/>
  <c r="O10" i="59"/>
  <c r="O22" i="41"/>
  <c r="N22" i="41"/>
  <c r="O23" i="82"/>
  <c r="N23" i="82"/>
  <c r="AC13" i="13"/>
  <c r="E13" i="13"/>
  <c r="BH66" i="39"/>
  <c r="BK63" i="39"/>
  <c r="BK7" i="39" s="1"/>
  <c r="E34" i="13"/>
  <c r="AC34" i="13"/>
  <c r="Z21" i="89"/>
  <c r="U27" i="13"/>
  <c r="U18" i="13" s="1"/>
  <c r="AE68" i="30"/>
  <c r="BN53" i="30"/>
  <c r="BM25" i="30"/>
  <c r="N9" i="74"/>
  <c r="I23" i="74"/>
  <c r="I28" i="74" s="1"/>
  <c r="H10" i="23"/>
  <c r="I9" i="23"/>
  <c r="G21" i="83"/>
  <c r="H21" i="83" s="1"/>
  <c r="M21" i="83" s="1"/>
  <c r="F19" i="46"/>
  <c r="F12" i="46"/>
  <c r="G14" i="83"/>
  <c r="H14" i="83" s="1"/>
  <c r="M14" i="83" s="1"/>
  <c r="O68" i="19"/>
  <c r="P7" i="37"/>
  <c r="O8" i="37"/>
  <c r="O7" i="37" s="1"/>
  <c r="BN10" i="19"/>
  <c r="G68" i="19" s="1"/>
  <c r="Z20" i="89"/>
  <c r="AA20" i="89" s="1"/>
  <c r="H7" i="13"/>
  <c r="D44" i="93"/>
  <c r="G44" i="93" s="1"/>
  <c r="H44" i="93" s="1"/>
  <c r="BL9" i="21"/>
  <c r="V8" i="21"/>
  <c r="V68" i="21" s="1"/>
  <c r="S50" i="13"/>
  <c r="S51" i="13" s="1"/>
  <c r="BH68" i="32"/>
  <c r="N13" i="51"/>
  <c r="O13" i="51"/>
  <c r="N10" i="81"/>
  <c r="O10" i="81"/>
  <c r="Q15" i="50"/>
  <c r="P15" i="50"/>
  <c r="D23" i="93"/>
  <c r="G23" i="93" s="1"/>
  <c r="H23" i="93" s="1"/>
  <c r="W117" i="31"/>
  <c r="AS88" i="31"/>
  <c r="P117" i="31" s="1"/>
  <c r="BN29" i="32"/>
  <c r="BM25" i="32"/>
  <c r="BM7" i="32" s="1"/>
  <c r="O24" i="81"/>
  <c r="N24" i="81"/>
  <c r="BN9" i="21"/>
  <c r="BN9" i="38"/>
  <c r="BM8" i="38"/>
  <c r="BL8" i="38"/>
  <c r="E8" i="38" s="1"/>
  <c r="E7" i="38" s="1"/>
  <c r="V67" i="38"/>
  <c r="P7" i="40"/>
  <c r="O8" i="40"/>
  <c r="O7" i="40" s="1"/>
  <c r="BM8" i="28"/>
  <c r="BN9" i="28"/>
  <c r="AX25" i="30"/>
  <c r="AX7" i="30" s="1"/>
  <c r="V53" i="30"/>
  <c r="O17" i="41"/>
  <c r="N17" i="41"/>
  <c r="N27" i="13"/>
  <c r="N18" i="13" s="1"/>
  <c r="Z14" i="89"/>
  <c r="AE69" i="23"/>
  <c r="AA17" i="13"/>
  <c r="AB17" i="13" s="1"/>
  <c r="O8" i="21"/>
  <c r="O7" i="21" s="1"/>
  <c r="P7" i="21"/>
  <c r="F9" i="92"/>
  <c r="E24" i="46"/>
  <c r="J48" i="84"/>
  <c r="F99" i="46"/>
  <c r="F14" i="13"/>
  <c r="E14" i="13" s="1"/>
  <c r="G50" i="13"/>
  <c r="G51" i="13" s="1"/>
  <c r="BH68" i="19"/>
  <c r="N20" i="62"/>
  <c r="I24" i="62"/>
  <c r="P95" i="31"/>
  <c r="P88" i="31" s="1"/>
  <c r="P76" i="31" s="1"/>
  <c r="W88" i="31"/>
  <c r="W76" i="31" s="1"/>
  <c r="V29" i="32"/>
  <c r="Z25" i="32"/>
  <c r="Z7" i="32" s="1"/>
  <c r="X10" i="13"/>
  <c r="M68" i="38"/>
  <c r="BN10" i="38"/>
  <c r="O68" i="28"/>
  <c r="N12" i="70"/>
  <c r="I23" i="70"/>
  <c r="I28" i="70" s="1"/>
  <c r="J9" i="28"/>
  <c r="H10" i="28"/>
  <c r="N20" i="68"/>
  <c r="N24" i="68" s="1"/>
  <c r="O20" i="68"/>
  <c r="O24" i="68" s="1"/>
  <c r="M24" i="68"/>
  <c r="O8" i="49"/>
  <c r="P8" i="49"/>
  <c r="T12" i="66"/>
  <c r="O26" i="66"/>
  <c r="O32" i="66" s="1"/>
  <c r="O69" i="24"/>
  <c r="N7" i="41"/>
  <c r="O7" i="41"/>
  <c r="I8" i="13"/>
  <c r="I7" i="13" s="1"/>
  <c r="BN10" i="28"/>
  <c r="H68" i="28"/>
  <c r="D7" i="92"/>
  <c r="N7" i="54"/>
  <c r="I24" i="54"/>
  <c r="I27" i="50"/>
  <c r="V67" i="30"/>
  <c r="AA14" i="13"/>
  <c r="AB14" i="13" s="1"/>
  <c r="Y7" i="13"/>
  <c r="E117" i="40"/>
  <c r="AS76" i="40"/>
  <c r="D117" i="40" s="1"/>
  <c r="O68" i="34"/>
  <c r="G68" i="29"/>
  <c r="AH47" i="84"/>
  <c r="R47" i="84"/>
  <c r="E37" i="13"/>
  <c r="AC37" i="13"/>
  <c r="BL25" i="38"/>
  <c r="V25" i="38" s="1"/>
  <c r="V7" i="38" s="1"/>
  <c r="E67" i="38"/>
  <c r="E118" i="23"/>
  <c r="AS77" i="23"/>
  <c r="D118" i="23" s="1"/>
  <c r="J9" i="30"/>
  <c r="H10" i="30"/>
  <c r="BN9" i="40"/>
  <c r="BM8" i="40"/>
  <c r="BH63" i="27"/>
  <c r="BH7" i="27" s="1"/>
  <c r="J52" i="13"/>
  <c r="R7" i="24"/>
  <c r="O8" i="24"/>
  <c r="O7" i="24" s="1"/>
  <c r="N9" i="55"/>
  <c r="I24" i="55"/>
  <c r="O68" i="37"/>
  <c r="R38" i="13"/>
  <c r="F38" i="13" s="1"/>
  <c r="AV68" i="33"/>
  <c r="D35" i="93"/>
  <c r="G35" i="93" s="1"/>
  <c r="H35" i="93" s="1"/>
  <c r="D41" i="93"/>
  <c r="G41" i="93" s="1"/>
  <c r="H41" i="93" s="1"/>
  <c r="D42" i="93"/>
  <c r="G42" i="93" s="1"/>
  <c r="H42" i="93" s="1"/>
  <c r="O68" i="33"/>
  <c r="Y117" i="30"/>
  <c r="AS88" i="30"/>
  <c r="P117" i="30" s="1"/>
  <c r="Z12" i="89"/>
  <c r="L27" i="13"/>
  <c r="AE68" i="25"/>
  <c r="BH7" i="87"/>
  <c r="BH7" i="88"/>
  <c r="O17" i="81"/>
  <c r="N17" i="81"/>
  <c r="N8" i="13"/>
  <c r="N7" i="13" s="1"/>
  <c r="D12" i="92"/>
  <c r="BN10" i="23"/>
  <c r="H69" i="23"/>
  <c r="O69" i="21"/>
  <c r="O68" i="30"/>
  <c r="R7" i="33"/>
  <c r="O8" i="33"/>
  <c r="O7" i="33" s="1"/>
  <c r="E497" i="47"/>
  <c r="BF61" i="38"/>
  <c r="BM61" i="38"/>
  <c r="O8" i="51"/>
  <c r="N8" i="51"/>
  <c r="BN9" i="23"/>
  <c r="BM8" i="23"/>
  <c r="BM65" i="37"/>
  <c r="BJ65" i="37"/>
  <c r="BL63" i="37"/>
  <c r="F20" i="46"/>
  <c r="G22" i="83"/>
  <c r="H22" i="83" s="1"/>
  <c r="M22" i="83" s="1"/>
  <c r="M8" i="29"/>
  <c r="G9" i="29"/>
  <c r="BN66" i="27"/>
  <c r="BM63" i="27"/>
  <c r="N12" i="51"/>
  <c r="O12" i="51"/>
  <c r="G68" i="40"/>
  <c r="V8" i="23"/>
  <c r="BL9" i="23"/>
  <c r="E67" i="25"/>
  <c r="BL25" i="25"/>
  <c r="O68" i="40"/>
  <c r="F46" i="13"/>
  <c r="AA46" i="13"/>
  <c r="AB46" i="13" s="1"/>
  <c r="I18" i="13"/>
  <c r="F30" i="13"/>
  <c r="D10" i="93"/>
  <c r="G10" i="93" s="1"/>
  <c r="H10" i="93" s="1"/>
  <c r="AA30" i="31"/>
  <c r="BM30" i="31"/>
  <c r="V7" i="30"/>
  <c r="AE68" i="26"/>
  <c r="F49" i="46"/>
  <c r="Y88" i="30"/>
  <c r="Y76" i="30" s="1"/>
  <c r="P97" i="30"/>
  <c r="P88" i="30" s="1"/>
  <c r="P76" i="30" s="1"/>
  <c r="P117" i="38"/>
  <c r="AS76" i="38"/>
  <c r="D117" i="38" s="1"/>
  <c r="AA11" i="13"/>
  <c r="AB11" i="13" s="1"/>
  <c r="BL25" i="31"/>
  <c r="V25" i="31" s="1"/>
  <c r="V7" i="31" s="1"/>
  <c r="E67" i="31"/>
  <c r="O8" i="41"/>
  <c r="N8" i="41"/>
  <c r="D37" i="93"/>
  <c r="G37" i="93" s="1"/>
  <c r="H37" i="93" s="1"/>
  <c r="T16" i="13"/>
  <c r="F16" i="13" s="1"/>
  <c r="T68" i="31"/>
  <c r="N16" i="41"/>
  <c r="O16" i="41"/>
  <c r="BK63" i="27"/>
  <c r="BK7" i="27" s="1"/>
  <c r="BH66" i="27"/>
  <c r="AS77" i="24"/>
  <c r="D118" i="24" s="1"/>
  <c r="O21" i="41"/>
  <c r="N21" i="41"/>
  <c r="E485" i="47"/>
  <c r="BF61" i="25"/>
  <c r="BM61" i="25"/>
  <c r="N15" i="51"/>
  <c r="O15" i="51"/>
  <c r="AC42" i="13"/>
  <c r="E42" i="13"/>
  <c r="AC26" i="13"/>
  <c r="E26" i="13"/>
  <c r="P7" i="19"/>
  <c r="O8" i="19"/>
  <c r="O7" i="19" s="1"/>
  <c r="N13" i="76"/>
  <c r="I23" i="76"/>
  <c r="AA41" i="13"/>
  <c r="AB41" i="13" s="1"/>
  <c r="D22" i="93"/>
  <c r="G22" i="93" s="1"/>
  <c r="H22" i="93" s="1"/>
  <c r="F117" i="32"/>
  <c r="AS77" i="32"/>
  <c r="F77" i="32"/>
  <c r="F76" i="32" s="1"/>
  <c r="E78" i="32"/>
  <c r="E77" i="32" s="1"/>
  <c r="E76" i="32" s="1"/>
  <c r="AC39" i="13"/>
  <c r="E39" i="13"/>
  <c r="F36" i="13"/>
  <c r="N12" i="49"/>
  <c r="I24" i="49"/>
  <c r="N11" i="56"/>
  <c r="I24" i="56"/>
  <c r="I29" i="56" s="1"/>
  <c r="P7" i="31"/>
  <c r="O8" i="31"/>
  <c r="O7" i="31" s="1"/>
  <c r="O68" i="31"/>
  <c r="O20" i="41"/>
  <c r="N20" i="41"/>
  <c r="O8" i="25"/>
  <c r="O7" i="25" s="1"/>
  <c r="P7" i="25"/>
  <c r="F12" i="13"/>
  <c r="AA12" i="13"/>
  <c r="AB12" i="13" s="1"/>
  <c r="L7" i="13"/>
  <c r="G24" i="41"/>
  <c r="C30" i="41" s="1"/>
  <c r="O68" i="25"/>
  <c r="N12" i="71"/>
  <c r="N16" i="71" s="1"/>
  <c r="I26" i="64"/>
  <c r="O19" i="82"/>
  <c r="N19" i="82"/>
  <c r="R10" i="13"/>
  <c r="M68" i="33"/>
  <c r="BN10" i="33"/>
  <c r="BL8" i="33"/>
  <c r="V67" i="33"/>
  <c r="BM25" i="33" s="1"/>
  <c r="BN9" i="33"/>
  <c r="Q20" i="50"/>
  <c r="P20" i="50"/>
  <c r="AC9" i="13"/>
  <c r="E45" i="13"/>
  <c r="AC45" i="13"/>
  <c r="L50" i="13"/>
  <c r="BH68" i="25"/>
  <c r="E47" i="13"/>
  <c r="AC47" i="13"/>
  <c r="T51" i="13"/>
  <c r="P20" i="59"/>
  <c r="O20" i="59"/>
  <c r="N24" i="59"/>
  <c r="F25" i="13"/>
  <c r="AB47" i="84"/>
  <c r="E21" i="13"/>
  <c r="AC21" i="13"/>
  <c r="M77" i="34"/>
  <c r="M76" i="34" s="1"/>
  <c r="E85" i="34"/>
  <c r="E77" i="34" s="1"/>
  <c r="E76" i="34" s="1"/>
  <c r="M117" i="34"/>
  <c r="AS77" i="34"/>
  <c r="M117" i="33"/>
  <c r="AS77" i="33"/>
  <c r="E85" i="33"/>
  <c r="E77" i="33" s="1"/>
  <c r="E76" i="33" s="1"/>
  <c r="M77" i="33"/>
  <c r="M76" i="33" s="1"/>
  <c r="AR45" i="84"/>
  <c r="X26" i="84"/>
  <c r="P26" i="84"/>
  <c r="T22" i="84"/>
  <c r="P22" i="84"/>
  <c r="AM41" i="84"/>
  <c r="P41" i="84"/>
  <c r="K13" i="84"/>
  <c r="E13" i="84"/>
  <c r="P32" i="84"/>
  <c r="AD32" i="84"/>
  <c r="AL47" i="84"/>
  <c r="AM48" i="84"/>
  <c r="AS41" i="84"/>
  <c r="BJ47" i="88"/>
  <c r="BJ42" i="88"/>
  <c r="P20" i="84"/>
  <c r="R20" i="84"/>
  <c r="AK39" i="84"/>
  <c r="P39" i="84"/>
  <c r="AF48" i="84"/>
  <c r="AS34" i="84"/>
  <c r="AS39" i="84"/>
  <c r="AK48" i="84"/>
  <c r="AS28" i="84"/>
  <c r="Z48" i="84"/>
  <c r="AS22" i="84"/>
  <c r="T48" i="84"/>
  <c r="AR37" i="84"/>
  <c r="AR34" i="84"/>
  <c r="AA61" i="88"/>
  <c r="BL30" i="88"/>
  <c r="BJ30" i="88"/>
  <c r="N48" i="84"/>
  <c r="AS16" i="84"/>
  <c r="AA48" i="84"/>
  <c r="AS29" i="84"/>
  <c r="X48" i="84"/>
  <c r="AS26" i="84"/>
  <c r="AR29" i="84"/>
  <c r="E27" i="84"/>
  <c r="F18" i="84"/>
  <c r="AR8" i="84"/>
  <c r="U23" i="84"/>
  <c r="P23" i="84"/>
  <c r="AH36" i="84"/>
  <c r="P36" i="84"/>
  <c r="AP48" i="84"/>
  <c r="AS44" i="84"/>
  <c r="AS13" i="84"/>
  <c r="K48" i="84"/>
  <c r="P33" i="84"/>
  <c r="AE33" i="84"/>
  <c r="AS32" i="84"/>
  <c r="AD48" i="84"/>
  <c r="W48" i="84"/>
  <c r="AS25" i="84"/>
  <c r="Q19" i="84"/>
  <c r="P19" i="84"/>
  <c r="BJ50" i="88"/>
  <c r="P30" i="84"/>
  <c r="AB30" i="84"/>
  <c r="BJ34" i="88"/>
  <c r="BJ31" i="88"/>
  <c r="U48" i="84"/>
  <c r="AS23" i="84"/>
  <c r="AG35" i="84"/>
  <c r="P35" i="84"/>
  <c r="AA29" i="88"/>
  <c r="AA20" i="88" s="1"/>
  <c r="AA7" i="88" s="1"/>
  <c r="Z30" i="88"/>
  <c r="Q30" i="88" s="1"/>
  <c r="AS17" i="84"/>
  <c r="O48" i="84"/>
  <c r="AP44" i="84"/>
  <c r="P44" i="84"/>
  <c r="AL40" i="84"/>
  <c r="P40" i="84"/>
  <c r="S21" i="84"/>
  <c r="P21" i="84"/>
  <c r="P7" i="84"/>
  <c r="P47" i="84"/>
  <c r="AR7" i="84"/>
  <c r="Z28" i="84"/>
  <c r="P28" i="84"/>
  <c r="BJ25" i="88"/>
  <c r="P24" i="84"/>
  <c r="V24" i="84"/>
  <c r="O17" i="84"/>
  <c r="E17" i="84"/>
  <c r="AG48" i="84"/>
  <c r="AS35" i="84"/>
  <c r="I21" i="72"/>
  <c r="H10" i="19"/>
  <c r="I9" i="19"/>
  <c r="BN9" i="19"/>
  <c r="BM8" i="19"/>
  <c r="F5" i="46"/>
  <c r="G7" i="83"/>
  <c r="H7" i="83" s="1"/>
  <c r="M7" i="83" s="1"/>
  <c r="O7" i="86"/>
  <c r="N7" i="86"/>
  <c r="H68" i="19"/>
  <c r="BL9" i="19"/>
  <c r="V8" i="19"/>
  <c r="P117" i="28"/>
  <c r="AS76" i="28"/>
  <c r="D117" i="28" s="1"/>
  <c r="Q10" i="50"/>
  <c r="P10" i="50"/>
  <c r="N10" i="86"/>
  <c r="O10" i="86"/>
  <c r="G10" i="83"/>
  <c r="H10" i="83" s="1"/>
  <c r="M10" i="83" s="1"/>
  <c r="F8" i="46"/>
  <c r="BN10" i="27"/>
  <c r="H68" i="27"/>
  <c r="V8" i="27"/>
  <c r="BL9" i="27"/>
  <c r="H10" i="27"/>
  <c r="I9" i="27"/>
  <c r="BN9" i="27"/>
  <c r="BM8" i="27"/>
  <c r="N11" i="81"/>
  <c r="O11" i="81"/>
  <c r="N68" i="27"/>
  <c r="D18" i="92"/>
  <c r="E17" i="90"/>
  <c r="I8" i="21"/>
  <c r="H9" i="21"/>
  <c r="G9" i="21" s="1"/>
  <c r="G69" i="21"/>
  <c r="H78" i="21"/>
  <c r="H77" i="21" s="1"/>
  <c r="E81" i="21"/>
  <c r="E78" i="21" s="1"/>
  <c r="E77" i="21" s="1"/>
  <c r="H118" i="21"/>
  <c r="AS78" i="21"/>
  <c r="H77" i="27"/>
  <c r="H76" i="27" s="1"/>
  <c r="E80" i="27"/>
  <c r="E77" i="27" s="1"/>
  <c r="E76" i="27" s="1"/>
  <c r="H117" i="27"/>
  <c r="AS77" i="27"/>
  <c r="I9" i="39"/>
  <c r="H10" i="39"/>
  <c r="BN10" i="39"/>
  <c r="H68" i="39"/>
  <c r="BN9" i="39"/>
  <c r="BM8" i="39"/>
  <c r="BM7" i="39" s="1"/>
  <c r="O23" i="86"/>
  <c r="N23" i="86"/>
  <c r="V8" i="39"/>
  <c r="BL9" i="39"/>
  <c r="F21" i="46"/>
  <c r="G23" i="83"/>
  <c r="H23" i="83" s="1"/>
  <c r="M23" i="83" s="1"/>
  <c r="O7" i="51"/>
  <c r="N7" i="51"/>
  <c r="O68" i="29"/>
  <c r="O8" i="29"/>
  <c r="O7" i="29" s="1"/>
  <c r="R7" i="29"/>
  <c r="E81" i="29"/>
  <c r="E77" i="29" s="1"/>
  <c r="E76" i="29" s="1"/>
  <c r="I77" i="29"/>
  <c r="I76" i="29" s="1"/>
  <c r="AA8" i="89"/>
  <c r="AB8" i="89"/>
  <c r="I117" i="29"/>
  <c r="AS77" i="29"/>
  <c r="S48" i="84"/>
  <c r="AS21" i="84"/>
  <c r="AJ18" i="84"/>
  <c r="AJ6" i="84"/>
  <c r="BI14" i="88"/>
  <c r="H26" i="41"/>
  <c r="E12" i="84"/>
  <c r="J12" i="84"/>
  <c r="AC18" i="84"/>
  <c r="AC6" i="84"/>
  <c r="G9" i="88"/>
  <c r="G8" i="88" s="1"/>
  <c r="G7" i="88" s="1"/>
  <c r="F10" i="88"/>
  <c r="E10" i="88" s="1"/>
  <c r="E9" i="88" s="1"/>
  <c r="E7" i="17"/>
  <c r="E6" i="17"/>
  <c r="E50" i="17"/>
  <c r="E49" i="17"/>
  <c r="AA49" i="17"/>
  <c r="AB49" i="17" s="1"/>
  <c r="M117" i="26"/>
  <c r="AS77" i="26"/>
  <c r="E85" i="26"/>
  <c r="E77" i="26" s="1"/>
  <c r="E76" i="26" s="1"/>
  <c r="M77" i="26"/>
  <c r="M76" i="26" s="1"/>
  <c r="AA26" i="17"/>
  <c r="AB26" i="17" s="1"/>
  <c r="AZ20" i="88"/>
  <c r="AZ7" i="88" s="1"/>
  <c r="BL55" i="88"/>
  <c r="AZ61" i="88"/>
  <c r="P42" i="84"/>
  <c r="AN42" i="84"/>
  <c r="AN48" i="84"/>
  <c r="AS42" i="84"/>
  <c r="BI55" i="88"/>
  <c r="H24" i="80"/>
  <c r="F8" i="88"/>
  <c r="BJ10" i="88"/>
  <c r="BL10" i="88"/>
  <c r="G61" i="88"/>
  <c r="BI9" i="88"/>
  <c r="BE8" i="88"/>
  <c r="E8" i="88" s="1"/>
  <c r="M17" i="86"/>
  <c r="H24" i="86"/>
  <c r="H29" i="86" s="1"/>
  <c r="W18" i="84"/>
  <c r="W6" i="84"/>
  <c r="G68" i="31"/>
  <c r="N20" i="83"/>
  <c r="O20" i="83"/>
  <c r="BL8" i="31"/>
  <c r="E8" i="31" s="1"/>
  <c r="E7" i="31" s="1"/>
  <c r="V67" i="31"/>
  <c r="I8" i="31"/>
  <c r="H9" i="31"/>
  <c r="G9" i="31" s="1"/>
  <c r="H8" i="33"/>
  <c r="I7" i="33"/>
  <c r="N19" i="83"/>
  <c r="O19" i="83"/>
  <c r="V7" i="32"/>
  <c r="BL8" i="32"/>
  <c r="E8" i="32" s="1"/>
  <c r="E7" i="32" s="1"/>
  <c r="V67" i="32"/>
  <c r="G68" i="32"/>
  <c r="J8" i="32"/>
  <c r="H9" i="32"/>
  <c r="G9" i="32" s="1"/>
  <c r="F68" i="22"/>
  <c r="BN8" i="22"/>
  <c r="BL8" i="22"/>
  <c r="E8" i="22" s="1"/>
  <c r="V67" i="22"/>
  <c r="H9" i="22"/>
  <c r="G9" i="22" s="1"/>
  <c r="I8" i="22"/>
  <c r="G68" i="22"/>
  <c r="N15" i="83"/>
  <c r="O15" i="83"/>
  <c r="I7" i="24"/>
  <c r="H8" i="24"/>
  <c r="V7" i="24"/>
  <c r="BL8" i="24"/>
  <c r="F69" i="24"/>
  <c r="N13" i="83"/>
  <c r="O13" i="83"/>
  <c r="O23" i="41"/>
  <c r="N23" i="41"/>
  <c r="E117" i="37"/>
  <c r="AS76" i="37"/>
  <c r="D117" i="37" s="1"/>
  <c r="V67" i="37"/>
  <c r="BL8" i="37"/>
  <c r="E8" i="37" s="1"/>
  <c r="E7" i="37" s="1"/>
  <c r="V7" i="37"/>
  <c r="G68" i="37"/>
  <c r="H9" i="37"/>
  <c r="G9" i="37" s="1"/>
  <c r="I8" i="37"/>
  <c r="E68" i="37"/>
  <c r="G68" i="30"/>
  <c r="BN8" i="30"/>
  <c r="F68" i="30"/>
  <c r="BH68" i="31"/>
  <c r="F68" i="31"/>
  <c r="BN8" i="31"/>
  <c r="N17" i="83"/>
  <c r="O17" i="83"/>
  <c r="V7" i="34"/>
  <c r="BL8" i="34"/>
  <c r="E8" i="34" s="1"/>
  <c r="E7" i="34" s="1"/>
  <c r="V67" i="34"/>
  <c r="G68" i="34"/>
  <c r="H9" i="34"/>
  <c r="G9" i="34" s="1"/>
  <c r="I8" i="34"/>
  <c r="F68" i="34"/>
  <c r="BN8" i="34"/>
  <c r="V68" i="34"/>
  <c r="AO6" i="84"/>
  <c r="AO18" i="84"/>
  <c r="G68" i="25"/>
  <c r="N12" i="83"/>
  <c r="O12" i="83"/>
  <c r="V67" i="25"/>
  <c r="BL8" i="25"/>
  <c r="E8" i="25" s="1"/>
  <c r="E7" i="25" s="1"/>
  <c r="H9" i="25"/>
  <c r="G9" i="25" s="1"/>
  <c r="I8" i="25"/>
  <c r="M12" i="81"/>
  <c r="H25" i="81"/>
  <c r="H30" i="81" s="1"/>
  <c r="BL8" i="26"/>
  <c r="E8" i="26" s="1"/>
  <c r="E7" i="26" s="1"/>
  <c r="V7" i="26"/>
  <c r="V67" i="26"/>
  <c r="H9" i="26"/>
  <c r="G9" i="26" s="1"/>
  <c r="I8" i="26"/>
  <c r="O11" i="83"/>
  <c r="N11" i="83"/>
  <c r="H25" i="83"/>
  <c r="G68" i="26"/>
  <c r="F68" i="26"/>
  <c r="BN8" i="26"/>
  <c r="BH68" i="26"/>
  <c r="M9" i="51"/>
  <c r="M8" i="83"/>
  <c r="E68" i="29"/>
  <c r="M8" i="82"/>
  <c r="H25" i="82"/>
  <c r="H30" i="82" s="1"/>
  <c r="I6" i="84"/>
  <c r="I7" i="84"/>
  <c r="U68" i="32"/>
  <c r="O8" i="50"/>
  <c r="Q8" i="50" s="1"/>
  <c r="J27" i="50"/>
  <c r="O23" i="64"/>
  <c r="O24" i="64" s="1"/>
  <c r="N24" i="64"/>
  <c r="P23" i="64"/>
  <c r="P24" i="64" s="1"/>
  <c r="E15" i="84"/>
  <c r="M6" i="84"/>
  <c r="M7" i="84"/>
  <c r="V68" i="39"/>
  <c r="F117" i="22" l="1"/>
  <c r="AS77" i="22"/>
  <c r="E117" i="22" s="1"/>
  <c r="E78" i="22"/>
  <c r="E77" i="22" s="1"/>
  <c r="E76" i="22" s="1"/>
  <c r="F77" i="22"/>
  <c r="F76" i="22" s="1"/>
  <c r="AS15" i="84"/>
  <c r="N7" i="84"/>
  <c r="E32" i="13"/>
  <c r="AC32" i="13"/>
  <c r="M27" i="13"/>
  <c r="M18" i="13" s="1"/>
  <c r="M6" i="13" s="1"/>
  <c r="M56" i="13" s="1"/>
  <c r="BQ25" i="24"/>
  <c r="AE69" i="24"/>
  <c r="BN25" i="24"/>
  <c r="V69" i="24" s="1"/>
  <c r="Z13" i="89"/>
  <c r="F11" i="92"/>
  <c r="H24" i="58"/>
  <c r="C30" i="58" s="1"/>
  <c r="I13" i="58"/>
  <c r="AS76" i="25"/>
  <c r="D117" i="25" s="1"/>
  <c r="E33" i="13"/>
  <c r="I28" i="76"/>
  <c r="AC17" i="13"/>
  <c r="E41" i="13"/>
  <c r="BH66" i="38"/>
  <c r="BK63" i="38"/>
  <c r="BK7" i="38" s="1"/>
  <c r="L7" i="63"/>
  <c r="L24" i="63" s="1"/>
  <c r="K24" i="63"/>
  <c r="M7" i="63"/>
  <c r="M24" i="63" s="1"/>
  <c r="P19" i="61"/>
  <c r="P24" i="61" s="1"/>
  <c r="O19" i="61"/>
  <c r="O24" i="61" s="1"/>
  <c r="N24" i="61"/>
  <c r="AE39" i="33"/>
  <c r="V39" i="33" s="1"/>
  <c r="V34" i="33" s="1"/>
  <c r="AJ34" i="33"/>
  <c r="AJ25" i="33" s="1"/>
  <c r="AJ7" i="33" s="1"/>
  <c r="G20" i="95"/>
  <c r="H20" i="95" s="1"/>
  <c r="BH63" i="30"/>
  <c r="BH7" i="30" s="1"/>
  <c r="U52" i="13"/>
  <c r="AJ68" i="22"/>
  <c r="BN34" i="22"/>
  <c r="I7" i="89"/>
  <c r="K22" i="13"/>
  <c r="Z68" i="26"/>
  <c r="E7" i="22"/>
  <c r="BN25" i="26"/>
  <c r="V68" i="26" s="1"/>
  <c r="Y118" i="21"/>
  <c r="AS89" i="21"/>
  <c r="P118" i="21" s="1"/>
  <c r="BM34" i="21"/>
  <c r="BM25" i="21" s="1"/>
  <c r="AE34" i="21"/>
  <c r="AE25" i="21" s="1"/>
  <c r="AE7" i="21" s="1"/>
  <c r="E139" i="47"/>
  <c r="BK63" i="28"/>
  <c r="BK7" i="28" s="1"/>
  <c r="BH66" i="28"/>
  <c r="BL25" i="33"/>
  <c r="V25" i="33" s="1"/>
  <c r="V7" i="33" s="1"/>
  <c r="E67" i="33"/>
  <c r="AE39" i="22"/>
  <c r="V39" i="22" s="1"/>
  <c r="V34" i="22" s="1"/>
  <c r="AJ34" i="22"/>
  <c r="AJ25" i="22" s="1"/>
  <c r="AJ7" i="22" s="1"/>
  <c r="Z25" i="26"/>
  <c r="Z7" i="26" s="1"/>
  <c r="V29" i="26"/>
  <c r="BN61" i="29"/>
  <c r="BM25" i="29"/>
  <c r="BM7" i="29" s="1"/>
  <c r="P98" i="21"/>
  <c r="P89" i="21" s="1"/>
  <c r="P77" i="21" s="1"/>
  <c r="Y89" i="21"/>
  <c r="Y77" i="21" s="1"/>
  <c r="E68" i="21"/>
  <c r="BL25" i="21"/>
  <c r="V25" i="21" s="1"/>
  <c r="AS88" i="22"/>
  <c r="Y117" i="22"/>
  <c r="BN30" i="37"/>
  <c r="BM25" i="37"/>
  <c r="BN66" i="30"/>
  <c r="BM63" i="30"/>
  <c r="BM7" i="30" s="1"/>
  <c r="E141" i="47"/>
  <c r="AE34" i="33"/>
  <c r="AE25" i="33" s="1"/>
  <c r="AE7" i="33" s="1"/>
  <c r="BM34" i="33"/>
  <c r="G27" i="13"/>
  <c r="AE68" i="19"/>
  <c r="Z7" i="89"/>
  <c r="Y117" i="32"/>
  <c r="AS88" i="32"/>
  <c r="P117" i="32" s="1"/>
  <c r="BN29" i="23"/>
  <c r="BM25" i="23"/>
  <c r="BM7" i="23" s="1"/>
  <c r="AK69" i="21"/>
  <c r="BN34" i="21"/>
  <c r="J28" i="50"/>
  <c r="C31" i="50"/>
  <c r="AS88" i="33"/>
  <c r="P117" i="33" s="1"/>
  <c r="Y117" i="33"/>
  <c r="G7" i="77"/>
  <c r="H7" i="77" s="1"/>
  <c r="F481" i="47"/>
  <c r="BN66" i="28"/>
  <c r="BM63" i="28"/>
  <c r="BM7" i="28" s="1"/>
  <c r="BN65" i="21"/>
  <c r="BM63" i="21"/>
  <c r="BL25" i="22"/>
  <c r="V25" i="22" s="1"/>
  <c r="V7" i="22" s="1"/>
  <c r="E67" i="22"/>
  <c r="BM25" i="26"/>
  <c r="BM7" i="26" s="1"/>
  <c r="X52" i="13"/>
  <c r="BH63" i="38"/>
  <c r="BH7" i="38" s="1"/>
  <c r="BH65" i="21"/>
  <c r="BJ63" i="21"/>
  <c r="BJ7" i="21" s="1"/>
  <c r="BK63" i="30"/>
  <c r="BK7" i="30" s="1"/>
  <c r="BH66" i="30"/>
  <c r="E138" i="47"/>
  <c r="AE34" i="22"/>
  <c r="AE25" i="22" s="1"/>
  <c r="AE7" i="22" s="1"/>
  <c r="BM34" i="22"/>
  <c r="BM25" i="22" s="1"/>
  <c r="BM7" i="22" s="1"/>
  <c r="V48" i="13"/>
  <c r="V18" i="13" s="1"/>
  <c r="BF68" i="40"/>
  <c r="F20" i="92"/>
  <c r="BN25" i="40"/>
  <c r="V68" i="40" s="1"/>
  <c r="BM7" i="40"/>
  <c r="BN66" i="38"/>
  <c r="BM63" i="38"/>
  <c r="BF25" i="29"/>
  <c r="BF7" i="29" s="1"/>
  <c r="V61" i="29"/>
  <c r="F29" i="63"/>
  <c r="F26" i="63"/>
  <c r="AJ68" i="33"/>
  <c r="BN34" i="33"/>
  <c r="BO34" i="33"/>
  <c r="I52" i="13"/>
  <c r="BH63" i="28"/>
  <c r="BH7" i="28" s="1"/>
  <c r="G8" i="95"/>
  <c r="Y88" i="22"/>
  <c r="Y76" i="22" s="1"/>
  <c r="P97" i="22"/>
  <c r="P88" i="22" s="1"/>
  <c r="P76" i="22" s="1"/>
  <c r="P52" i="13"/>
  <c r="G15" i="95"/>
  <c r="H15" i="95" s="1"/>
  <c r="BH63" i="21"/>
  <c r="BH7" i="21" s="1"/>
  <c r="AA25" i="37"/>
  <c r="AA7" i="37" s="1"/>
  <c r="V30" i="37"/>
  <c r="P97" i="32"/>
  <c r="P88" i="32" s="1"/>
  <c r="P76" i="32" s="1"/>
  <c r="Y88" i="32"/>
  <c r="Y76" i="32" s="1"/>
  <c r="V29" i="23"/>
  <c r="Z25" i="23"/>
  <c r="Z7" i="23" s="1"/>
  <c r="AE40" i="21"/>
  <c r="V40" i="21" s="1"/>
  <c r="V34" i="21" s="1"/>
  <c r="AK34" i="21"/>
  <c r="AK25" i="21" s="1"/>
  <c r="AK7" i="21" s="1"/>
  <c r="V25" i="25"/>
  <c r="V7" i="25" s="1"/>
  <c r="AB9" i="89"/>
  <c r="J32" i="50"/>
  <c r="H12" i="92"/>
  <c r="E13" i="90"/>
  <c r="H11" i="92"/>
  <c r="E12" i="90"/>
  <c r="E8" i="33"/>
  <c r="E7" i="33" s="1"/>
  <c r="BM8" i="33"/>
  <c r="V68" i="28"/>
  <c r="F7" i="92"/>
  <c r="BM8" i="25"/>
  <c r="BN8" i="25" s="1"/>
  <c r="E68" i="25" s="1"/>
  <c r="E8" i="24"/>
  <c r="E7" i="24" s="1"/>
  <c r="BM8" i="24"/>
  <c r="BO8" i="24"/>
  <c r="D19" i="92"/>
  <c r="F77" i="30"/>
  <c r="F76" i="30" s="1"/>
  <c r="E78" i="30"/>
  <c r="E77" i="30" s="1"/>
  <c r="E76" i="30" s="1"/>
  <c r="F117" i="30"/>
  <c r="AS77" i="30"/>
  <c r="E117" i="30" s="1"/>
  <c r="Q6" i="13"/>
  <c r="Q56" i="13" s="1"/>
  <c r="H15" i="92"/>
  <c r="J15" i="92" s="1"/>
  <c r="E16" i="90"/>
  <c r="V67" i="29"/>
  <c r="BL8" i="29"/>
  <c r="E8" i="29" s="1"/>
  <c r="E7" i="29" s="1"/>
  <c r="V7" i="29"/>
  <c r="P24" i="59"/>
  <c r="AB10" i="89"/>
  <c r="E24" i="13"/>
  <c r="D22" i="92"/>
  <c r="X7" i="13"/>
  <c r="AC14" i="13"/>
  <c r="AB20" i="89"/>
  <c r="AS76" i="31"/>
  <c r="D117" i="31" s="1"/>
  <c r="S6" i="13"/>
  <c r="S56" i="13" s="1"/>
  <c r="AA8" i="13"/>
  <c r="AB8" i="13" s="1"/>
  <c r="N6" i="13"/>
  <c r="N56" i="13" s="1"/>
  <c r="AC15" i="13"/>
  <c r="D6" i="93"/>
  <c r="G6" i="93" s="1"/>
  <c r="H6" i="93" s="1"/>
  <c r="AC11" i="13"/>
  <c r="BM7" i="27"/>
  <c r="F24" i="46"/>
  <c r="AC31" i="13"/>
  <c r="E117" i="19"/>
  <c r="AS76" i="19"/>
  <c r="D117" i="19" s="1"/>
  <c r="F12" i="92"/>
  <c r="J12" i="92" s="1"/>
  <c r="BN61" i="25"/>
  <c r="BM25" i="25"/>
  <c r="I26" i="62"/>
  <c r="I29" i="62"/>
  <c r="D18" i="93"/>
  <c r="G18" i="93" s="1"/>
  <c r="H18" i="93" s="1"/>
  <c r="E10" i="90"/>
  <c r="G10" i="90" s="1"/>
  <c r="H9" i="92"/>
  <c r="J9" i="92" s="1"/>
  <c r="D5" i="92"/>
  <c r="V61" i="25"/>
  <c r="BF25" i="25"/>
  <c r="BF7" i="25" s="1"/>
  <c r="BN65" i="37"/>
  <c r="BM63" i="37"/>
  <c r="BM7" i="37" s="1"/>
  <c r="D38" i="93"/>
  <c r="G38" i="93" s="1"/>
  <c r="H38" i="93" s="1"/>
  <c r="J27" i="55"/>
  <c r="I29" i="55"/>
  <c r="BN8" i="40"/>
  <c r="F68" i="40"/>
  <c r="I26" i="54"/>
  <c r="I29" i="54"/>
  <c r="G68" i="38"/>
  <c r="O20" i="62"/>
  <c r="O24" i="62" s="1"/>
  <c r="P20" i="62"/>
  <c r="P24" i="62" s="1"/>
  <c r="N24" i="62"/>
  <c r="S22" i="13"/>
  <c r="Z68" i="32"/>
  <c r="BN25" i="32"/>
  <c r="BN61" i="19"/>
  <c r="BM25" i="19"/>
  <c r="BM7" i="19" s="1"/>
  <c r="F497" i="47"/>
  <c r="AB12" i="89"/>
  <c r="AA12" i="89"/>
  <c r="D19" i="93"/>
  <c r="G19" i="93" s="1"/>
  <c r="H19" i="93" s="1"/>
  <c r="AB11" i="89"/>
  <c r="AS12" i="84"/>
  <c r="AA7" i="13"/>
  <c r="AB7" i="13" s="1"/>
  <c r="G11" i="77"/>
  <c r="H11" i="77" s="1"/>
  <c r="F485" i="47"/>
  <c r="BK68" i="27"/>
  <c r="BN63" i="27"/>
  <c r="P9" i="55"/>
  <c r="P24" i="55" s="1"/>
  <c r="O9" i="55"/>
  <c r="O24" i="55" s="1"/>
  <c r="N24" i="55"/>
  <c r="R48" i="84"/>
  <c r="AS20" i="84"/>
  <c r="P7" i="54"/>
  <c r="P24" i="54" s="1"/>
  <c r="O7" i="54"/>
  <c r="O24" i="54" s="1"/>
  <c r="N24" i="54"/>
  <c r="D43" i="93"/>
  <c r="G43" i="93" s="1"/>
  <c r="H43" i="93" s="1"/>
  <c r="I8" i="23"/>
  <c r="H9" i="23"/>
  <c r="G9" i="23" s="1"/>
  <c r="BF25" i="19"/>
  <c r="BF7" i="19" s="1"/>
  <c r="V61" i="19"/>
  <c r="H17" i="92"/>
  <c r="E18" i="90"/>
  <c r="O50" i="13"/>
  <c r="BH68" i="22"/>
  <c r="E14" i="90"/>
  <c r="E30" i="13"/>
  <c r="AC30" i="13"/>
  <c r="F69" i="23"/>
  <c r="BN8" i="23"/>
  <c r="J8" i="30"/>
  <c r="H9" i="30"/>
  <c r="G9" i="30" s="1"/>
  <c r="H5" i="92"/>
  <c r="E6" i="90"/>
  <c r="AA14" i="89"/>
  <c r="AB14" i="89"/>
  <c r="BN8" i="28"/>
  <c r="F68" i="28"/>
  <c r="F68" i="38"/>
  <c r="BN8" i="38"/>
  <c r="V7" i="21"/>
  <c r="BL8" i="21"/>
  <c r="O14" i="83"/>
  <c r="N14" i="83"/>
  <c r="AA23" i="89"/>
  <c r="AB23" i="89"/>
  <c r="E499" i="47"/>
  <c r="G6" i="77"/>
  <c r="F480" i="47"/>
  <c r="O16" i="83"/>
  <c r="N16" i="83"/>
  <c r="D32" i="93"/>
  <c r="G32" i="93" s="1"/>
  <c r="H32" i="93" s="1"/>
  <c r="D17" i="93"/>
  <c r="G17" i="93" s="1"/>
  <c r="H17" i="93" s="1"/>
  <c r="P13" i="76"/>
  <c r="P23" i="76" s="1"/>
  <c r="O13" i="76"/>
  <c r="O23" i="76" s="1"/>
  <c r="N23" i="76"/>
  <c r="V68" i="23"/>
  <c r="BL8" i="23"/>
  <c r="E8" i="23" s="1"/>
  <c r="E7" i="23" s="1"/>
  <c r="V7" i="23"/>
  <c r="M7" i="29"/>
  <c r="G8" i="29"/>
  <c r="AH48" i="84"/>
  <c r="AS36" i="84"/>
  <c r="J8" i="28"/>
  <c r="H9" i="28"/>
  <c r="G9" i="28" s="1"/>
  <c r="AA21" i="89"/>
  <c r="AB21" i="89"/>
  <c r="O19" i="65"/>
  <c r="O23" i="65" s="1"/>
  <c r="P19" i="65"/>
  <c r="P23" i="65" s="1"/>
  <c r="N23" i="65"/>
  <c r="BJ63" i="37"/>
  <c r="BJ7" i="37" s="1"/>
  <c r="BH65" i="37"/>
  <c r="M7" i="38"/>
  <c r="G8" i="38"/>
  <c r="N22" i="83"/>
  <c r="O22" i="83"/>
  <c r="U12" i="66"/>
  <c r="U26" i="66" s="1"/>
  <c r="V12" i="66"/>
  <c r="V26" i="66" s="1"/>
  <c r="T26" i="66"/>
  <c r="F69" i="21"/>
  <c r="O9" i="74"/>
  <c r="O23" i="74" s="1"/>
  <c r="P9" i="74"/>
  <c r="P23" i="74" s="1"/>
  <c r="N23" i="74"/>
  <c r="V50" i="13"/>
  <c r="V51" i="13" s="1"/>
  <c r="BH68" i="40"/>
  <c r="G69" i="23"/>
  <c r="D34" i="93"/>
  <c r="G34" i="93" s="1"/>
  <c r="H34" i="93" s="1"/>
  <c r="D9" i="93"/>
  <c r="G9" i="93" s="1"/>
  <c r="H9" i="93" s="1"/>
  <c r="BN30" i="31"/>
  <c r="BM25" i="31"/>
  <c r="BM7" i="31" s="1"/>
  <c r="E46" i="13"/>
  <c r="AC46" i="13"/>
  <c r="BN61" i="38"/>
  <c r="BM25" i="38"/>
  <c r="AC38" i="13"/>
  <c r="E38" i="13"/>
  <c r="G68" i="28"/>
  <c r="P12" i="70"/>
  <c r="P23" i="70" s="1"/>
  <c r="O12" i="70"/>
  <c r="O23" i="70" s="1"/>
  <c r="N23" i="70"/>
  <c r="O21" i="83"/>
  <c r="N21" i="83"/>
  <c r="BK68" i="39"/>
  <c r="BN63" i="39"/>
  <c r="D14" i="93"/>
  <c r="G14" i="93" s="1"/>
  <c r="H14" i="93" s="1"/>
  <c r="H24" i="83"/>
  <c r="H30" i="83" s="1"/>
  <c r="F8" i="13"/>
  <c r="E8" i="13" s="1"/>
  <c r="O24" i="59"/>
  <c r="E16" i="13"/>
  <c r="AC16" i="13"/>
  <c r="V30" i="31"/>
  <c r="AA25" i="31"/>
  <c r="AA7" i="31" s="1"/>
  <c r="BH63" i="37"/>
  <c r="BH7" i="37" s="1"/>
  <c r="Y52" i="13"/>
  <c r="V61" i="38"/>
  <c r="BF25" i="38"/>
  <c r="BF7" i="38" s="1"/>
  <c r="U40" i="13"/>
  <c r="F40" i="13" s="1"/>
  <c r="AX68" i="30"/>
  <c r="BN25" i="30"/>
  <c r="J7" i="40"/>
  <c r="H8" i="40"/>
  <c r="D12" i="93"/>
  <c r="G12" i="93" s="1"/>
  <c r="H12" i="93" s="1"/>
  <c r="D7" i="93"/>
  <c r="G7" i="93" s="1"/>
  <c r="H7" i="93" s="1"/>
  <c r="E117" i="32"/>
  <c r="D17" i="92"/>
  <c r="AC36" i="13"/>
  <c r="E36" i="13"/>
  <c r="D21" i="92"/>
  <c r="J26" i="49"/>
  <c r="I29" i="49"/>
  <c r="P12" i="49"/>
  <c r="P24" i="49" s="1"/>
  <c r="O12" i="49"/>
  <c r="O24" i="49" s="1"/>
  <c r="N24" i="49"/>
  <c r="P11" i="56"/>
  <c r="P24" i="56" s="1"/>
  <c r="O11" i="56"/>
  <c r="O24" i="56" s="1"/>
  <c r="N24" i="56"/>
  <c r="M12" i="41"/>
  <c r="H24" i="41"/>
  <c r="H29" i="41" s="1"/>
  <c r="AC12" i="13"/>
  <c r="E12" i="13"/>
  <c r="E11" i="90"/>
  <c r="G11" i="90" s="1"/>
  <c r="H10" i="92"/>
  <c r="E19" i="90"/>
  <c r="G19" i="90" s="1"/>
  <c r="H18" i="92"/>
  <c r="O12" i="71"/>
  <c r="O16" i="71" s="1"/>
  <c r="P12" i="71"/>
  <c r="P16" i="71" s="1"/>
  <c r="F68" i="33"/>
  <c r="G68" i="33"/>
  <c r="F10" i="13"/>
  <c r="R7" i="13"/>
  <c r="L51" i="13"/>
  <c r="AC25" i="13"/>
  <c r="E25" i="13"/>
  <c r="AB48" i="84"/>
  <c r="AS30" i="84"/>
  <c r="E117" i="34"/>
  <c r="AS76" i="34"/>
  <c r="D117" i="34" s="1"/>
  <c r="E117" i="33"/>
  <c r="E54" i="17"/>
  <c r="AQ45" i="84"/>
  <c r="AQ6" i="84"/>
  <c r="AQ48" i="84"/>
  <c r="AS45" i="84"/>
  <c r="V6" i="84"/>
  <c r="V18" i="84"/>
  <c r="Z18" i="84"/>
  <c r="Z6" i="84"/>
  <c r="AP18" i="84"/>
  <c r="AP6" i="84"/>
  <c r="Q6" i="84"/>
  <c r="Q18" i="84"/>
  <c r="AE6" i="84"/>
  <c r="AE18" i="84"/>
  <c r="AH18" i="84"/>
  <c r="AH6" i="84"/>
  <c r="U18" i="84"/>
  <c r="U6" i="84"/>
  <c r="F47" i="84"/>
  <c r="AR27" i="84"/>
  <c r="AA29" i="84"/>
  <c r="P29" i="84"/>
  <c r="P34" i="84"/>
  <c r="AF34" i="84"/>
  <c r="AI48" i="84"/>
  <c r="AS37" i="84"/>
  <c r="AS40" i="84"/>
  <c r="AL48" i="84"/>
  <c r="K6" i="84"/>
  <c r="K7" i="84"/>
  <c r="AM18" i="84"/>
  <c r="AM6" i="84"/>
  <c r="T18" i="84"/>
  <c r="T6" i="84"/>
  <c r="O7" i="84"/>
  <c r="O6" i="84"/>
  <c r="S18" i="84"/>
  <c r="S6" i="84"/>
  <c r="AL18" i="84"/>
  <c r="AL6" i="84"/>
  <c r="AG18" i="84"/>
  <c r="AG6" i="84"/>
  <c r="AB6" i="84"/>
  <c r="AB18" i="84"/>
  <c r="F8" i="84"/>
  <c r="E47" i="84"/>
  <c r="E18" i="84"/>
  <c r="AR18" i="84"/>
  <c r="P37" i="84"/>
  <c r="AI37" i="84"/>
  <c r="AK6" i="84"/>
  <c r="AK18" i="84"/>
  <c r="R18" i="84"/>
  <c r="R6" i="84"/>
  <c r="AD6" i="84"/>
  <c r="AD18" i="84"/>
  <c r="X18" i="84"/>
  <c r="X6" i="84"/>
  <c r="Q27" i="50"/>
  <c r="V7" i="19"/>
  <c r="BL8" i="19"/>
  <c r="E8" i="19" s="1"/>
  <c r="E7" i="19" s="1"/>
  <c r="V67" i="19"/>
  <c r="N7" i="83"/>
  <c r="O7" i="83"/>
  <c r="I8" i="19"/>
  <c r="H9" i="19"/>
  <c r="G9" i="19" s="1"/>
  <c r="F68" i="19"/>
  <c r="BN8" i="19"/>
  <c r="I8" i="27"/>
  <c r="H9" i="27"/>
  <c r="G9" i="27" s="1"/>
  <c r="BL8" i="27"/>
  <c r="E8" i="27" s="1"/>
  <c r="E7" i="27" s="1"/>
  <c r="V7" i="27"/>
  <c r="V67" i="27"/>
  <c r="G68" i="27"/>
  <c r="O10" i="83"/>
  <c r="N10" i="83"/>
  <c r="D8" i="92"/>
  <c r="F68" i="27"/>
  <c r="BN8" i="27"/>
  <c r="F17" i="90"/>
  <c r="G17" i="90"/>
  <c r="I7" i="21"/>
  <c r="H8" i="21"/>
  <c r="AS77" i="21"/>
  <c r="D118" i="21" s="1"/>
  <c r="E118" i="21"/>
  <c r="AS76" i="27"/>
  <c r="D117" i="27" s="1"/>
  <c r="E117" i="27"/>
  <c r="G24" i="83"/>
  <c r="V67" i="39"/>
  <c r="BL8" i="39"/>
  <c r="E8" i="39" s="1"/>
  <c r="E7" i="39" s="1"/>
  <c r="V7" i="39"/>
  <c r="F68" i="39"/>
  <c r="BN8" i="39"/>
  <c r="G68" i="39"/>
  <c r="I8" i="39"/>
  <c r="H9" i="39"/>
  <c r="G9" i="39" s="1"/>
  <c r="N23" i="83"/>
  <c r="O23" i="83"/>
  <c r="E117" i="29"/>
  <c r="AS76" i="29"/>
  <c r="D117" i="29" s="1"/>
  <c r="BJ14" i="88"/>
  <c r="J6" i="84"/>
  <c r="J7" i="84"/>
  <c r="E26" i="17"/>
  <c r="E117" i="26"/>
  <c r="AS76" i="26"/>
  <c r="D117" i="26" s="1"/>
  <c r="AA17" i="17"/>
  <c r="AB17" i="17" s="1"/>
  <c r="AA5" i="17"/>
  <c r="AB5" i="17" s="1"/>
  <c r="BJ55" i="88"/>
  <c r="AN6" i="84"/>
  <c r="AN18" i="84"/>
  <c r="N17" i="86"/>
  <c r="N24" i="86" s="1"/>
  <c r="O17" i="86"/>
  <c r="O24" i="86" s="1"/>
  <c r="M24" i="86"/>
  <c r="I7" i="31"/>
  <c r="H8" i="31"/>
  <c r="H7" i="33"/>
  <c r="G8" i="33"/>
  <c r="J7" i="32"/>
  <c r="H8" i="32"/>
  <c r="I7" i="22"/>
  <c r="H8" i="22"/>
  <c r="E68" i="22"/>
  <c r="G8" i="24"/>
  <c r="H7" i="24"/>
  <c r="I7" i="37"/>
  <c r="H8" i="37"/>
  <c r="E68" i="30"/>
  <c r="E68" i="31"/>
  <c r="BN7" i="34"/>
  <c r="Q55" i="13" s="1"/>
  <c r="E68" i="34"/>
  <c r="I7" i="34"/>
  <c r="H8" i="34"/>
  <c r="I7" i="25"/>
  <c r="H8" i="25"/>
  <c r="O12" i="81"/>
  <c r="O25" i="81" s="1"/>
  <c r="N12" i="81"/>
  <c r="N25" i="81" s="1"/>
  <c r="M25" i="81"/>
  <c r="E68" i="26"/>
  <c r="H8" i="26"/>
  <c r="I7" i="26"/>
  <c r="G8" i="84"/>
  <c r="M16" i="51"/>
  <c r="O9" i="51"/>
  <c r="O16" i="51" s="1"/>
  <c r="N9" i="51"/>
  <c r="N16" i="51" s="1"/>
  <c r="N8" i="83"/>
  <c r="M24" i="83"/>
  <c r="O8" i="83"/>
  <c r="N8" i="82"/>
  <c r="N25" i="82" s="1"/>
  <c r="O8" i="82"/>
  <c r="O25" i="82" s="1"/>
  <c r="M25" i="82"/>
  <c r="E68" i="32"/>
  <c r="P8" i="50"/>
  <c r="P27" i="50" s="1"/>
  <c r="O27" i="50"/>
  <c r="BN25" i="33" l="1"/>
  <c r="V68" i="33" s="1"/>
  <c r="BO25" i="33"/>
  <c r="N13" i="58"/>
  <c r="I24" i="58"/>
  <c r="I29" i="58" s="1"/>
  <c r="AB13" i="89"/>
  <c r="AA13" i="89"/>
  <c r="BP8" i="25"/>
  <c r="AS76" i="33"/>
  <c r="D117" i="33" s="1"/>
  <c r="Z16" i="89"/>
  <c r="P27" i="13"/>
  <c r="P18" i="13" s="1"/>
  <c r="BN25" i="21"/>
  <c r="V69" i="21" s="1"/>
  <c r="F14" i="92"/>
  <c r="AE69" i="21"/>
  <c r="Z15" i="89"/>
  <c r="AE68" i="22"/>
  <c r="O27" i="13"/>
  <c r="BN25" i="22"/>
  <c r="F13" i="92"/>
  <c r="BN7" i="26"/>
  <c r="K55" i="13" s="1"/>
  <c r="H8" i="95"/>
  <c r="H23" i="95" s="1"/>
  <c r="G23" i="95"/>
  <c r="F16" i="92"/>
  <c r="R27" i="13"/>
  <c r="R18" i="13" s="1"/>
  <c r="R6" i="13" s="1"/>
  <c r="R56" i="13" s="1"/>
  <c r="Z18" i="89"/>
  <c r="AE68" i="33"/>
  <c r="BK68" i="30"/>
  <c r="BN63" i="30"/>
  <c r="BN7" i="30" s="1"/>
  <c r="D68" i="30" s="1"/>
  <c r="P117" i="22"/>
  <c r="AS76" i="22"/>
  <c r="D117" i="22" s="1"/>
  <c r="H18" i="89"/>
  <c r="I18" i="89" s="1"/>
  <c r="F141" i="47"/>
  <c r="AA68" i="37"/>
  <c r="Y23" i="13"/>
  <c r="Y18" i="13" s="1"/>
  <c r="F23" i="92"/>
  <c r="BN25" i="37"/>
  <c r="V68" i="37" s="1"/>
  <c r="BF68" i="29"/>
  <c r="H48" i="13"/>
  <c r="H18" i="13" s="1"/>
  <c r="H6" i="13" s="1"/>
  <c r="H56" i="13" s="1"/>
  <c r="BN25" i="29"/>
  <c r="F52" i="13"/>
  <c r="E52" i="13" s="1"/>
  <c r="BK68" i="38"/>
  <c r="BN63" i="38"/>
  <c r="H15" i="89"/>
  <c r="F138" i="47"/>
  <c r="E149" i="47"/>
  <c r="BJ69" i="21"/>
  <c r="BN63" i="21"/>
  <c r="H16" i="89"/>
  <c r="I16" i="89" s="1"/>
  <c r="F139" i="47"/>
  <c r="BM7" i="38"/>
  <c r="AS76" i="32"/>
  <c r="D117" i="32" s="1"/>
  <c r="BK68" i="28"/>
  <c r="BN63" i="28"/>
  <c r="BN7" i="28" s="1"/>
  <c r="N22" i="13"/>
  <c r="F22" i="13" s="1"/>
  <c r="Z69" i="23"/>
  <c r="BN25" i="23"/>
  <c r="V69" i="23" s="1"/>
  <c r="AB7" i="89"/>
  <c r="AA7" i="89"/>
  <c r="F13" i="90"/>
  <c r="G13" i="90"/>
  <c r="G12" i="90"/>
  <c r="F12" i="90"/>
  <c r="F19" i="92"/>
  <c r="BN8" i="33"/>
  <c r="D16" i="92" s="1"/>
  <c r="BM7" i="33"/>
  <c r="BM7" i="25"/>
  <c r="D10" i="92"/>
  <c r="E8" i="21"/>
  <c r="E7" i="21" s="1"/>
  <c r="BM8" i="21"/>
  <c r="BN8" i="24"/>
  <c r="BM7" i="24"/>
  <c r="AS76" i="30"/>
  <c r="D117" i="30" s="1"/>
  <c r="F16" i="90"/>
  <c r="G16" i="90"/>
  <c r="C15" i="92"/>
  <c r="K15" i="92" s="1"/>
  <c r="F10" i="90"/>
  <c r="F11" i="90"/>
  <c r="F499" i="47"/>
  <c r="D5" i="93"/>
  <c r="G5" i="93" s="1"/>
  <c r="H5" i="93" s="1"/>
  <c r="AC8" i="13"/>
  <c r="E68" i="28"/>
  <c r="E69" i="23"/>
  <c r="E68" i="40"/>
  <c r="BN7" i="40"/>
  <c r="BN63" i="37"/>
  <c r="BJ68" i="37"/>
  <c r="E40" i="13"/>
  <c r="AC40" i="13"/>
  <c r="H6" i="77"/>
  <c r="H23" i="77" s="1"/>
  <c r="G23" i="77"/>
  <c r="L48" i="13"/>
  <c r="L18" i="13" s="1"/>
  <c r="L6" i="13" s="1"/>
  <c r="L56" i="13" s="1"/>
  <c r="BF68" i="25"/>
  <c r="BN25" i="25"/>
  <c r="G7" i="38"/>
  <c r="F8" i="38"/>
  <c r="F7" i="38" s="1"/>
  <c r="F14" i="90"/>
  <c r="G14" i="90"/>
  <c r="W50" i="13"/>
  <c r="BH68" i="39"/>
  <c r="H20" i="92"/>
  <c r="J20" i="92" s="1"/>
  <c r="J7" i="28"/>
  <c r="H8" i="28"/>
  <c r="D24" i="93"/>
  <c r="G24" i="93" s="1"/>
  <c r="H24" i="93" s="1"/>
  <c r="I7" i="23"/>
  <c r="H8" i="23"/>
  <c r="J50" i="13"/>
  <c r="BH68" i="27"/>
  <c r="BF68" i="38"/>
  <c r="X48" i="13"/>
  <c r="X18" i="13" s="1"/>
  <c r="BN25" i="38"/>
  <c r="BN7" i="38" s="1"/>
  <c r="E68" i="38"/>
  <c r="G6" i="90"/>
  <c r="F6" i="90"/>
  <c r="H13" i="92"/>
  <c r="G48" i="13"/>
  <c r="BF68" i="19"/>
  <c r="BN25" i="19"/>
  <c r="BN7" i="19" s="1"/>
  <c r="G55" i="13" s="1"/>
  <c r="V68" i="30"/>
  <c r="O51" i="13"/>
  <c r="F18" i="90"/>
  <c r="G18" i="90"/>
  <c r="C12" i="92"/>
  <c r="K12" i="92" s="1"/>
  <c r="D8" i="93"/>
  <c r="G8" i="93" s="1"/>
  <c r="H8" i="93" s="1"/>
  <c r="H7" i="40"/>
  <c r="G8" i="40"/>
  <c r="T23" i="13"/>
  <c r="AA68" i="31"/>
  <c r="BN25" i="31"/>
  <c r="F8" i="29"/>
  <c r="F7" i="29" s="1"/>
  <c r="G7" i="29"/>
  <c r="J7" i="30"/>
  <c r="H8" i="30"/>
  <c r="BN7" i="32"/>
  <c r="D68" i="32" s="1"/>
  <c r="V68" i="32"/>
  <c r="V6" i="13"/>
  <c r="V56" i="13" s="1"/>
  <c r="N24" i="83"/>
  <c r="J17" i="92"/>
  <c r="C17" i="92"/>
  <c r="E17" i="92" s="1"/>
  <c r="F19" i="90"/>
  <c r="C9" i="92"/>
  <c r="N12" i="41"/>
  <c r="N24" i="41" s="1"/>
  <c r="O12" i="41"/>
  <c r="O24" i="41" s="1"/>
  <c r="M24" i="41"/>
  <c r="H27" i="68"/>
  <c r="H28" i="68" s="1"/>
  <c r="E10" i="13"/>
  <c r="AC10" i="13"/>
  <c r="F7" i="13"/>
  <c r="AI18" i="84"/>
  <c r="AI6" i="84"/>
  <c r="F6" i="84"/>
  <c r="F7" i="84"/>
  <c r="AA18" i="84"/>
  <c r="AA6" i="84"/>
  <c r="AS27" i="84"/>
  <c r="Y48" i="84"/>
  <c r="E8" i="84"/>
  <c r="AF6" i="84"/>
  <c r="AF18" i="84"/>
  <c r="Y27" i="84"/>
  <c r="F48" i="84"/>
  <c r="AS8" i="84"/>
  <c r="BI39" i="88"/>
  <c r="H24" i="68"/>
  <c r="E68" i="19"/>
  <c r="I7" i="19"/>
  <c r="H8" i="19"/>
  <c r="O24" i="83"/>
  <c r="I7" i="27"/>
  <c r="H8" i="27"/>
  <c r="E68" i="27"/>
  <c r="BN7" i="27"/>
  <c r="J55" i="13" s="1"/>
  <c r="G8" i="21"/>
  <c r="H7" i="21"/>
  <c r="H8" i="39"/>
  <c r="I7" i="39"/>
  <c r="E68" i="39"/>
  <c r="BN7" i="39"/>
  <c r="E17" i="17"/>
  <c r="E8" i="90"/>
  <c r="G8" i="31"/>
  <c r="H7" i="31"/>
  <c r="F8" i="33"/>
  <c r="F7" i="33" s="1"/>
  <c r="G7" i="33"/>
  <c r="H7" i="32"/>
  <c r="G8" i="32"/>
  <c r="G8" i="22"/>
  <c r="H7" i="22"/>
  <c r="F8" i="24"/>
  <c r="F7" i="24" s="1"/>
  <c r="G7" i="24"/>
  <c r="G8" i="37"/>
  <c r="H7" i="37"/>
  <c r="D68" i="34"/>
  <c r="H7" i="34"/>
  <c r="G8" i="34"/>
  <c r="G8" i="25"/>
  <c r="H7" i="25"/>
  <c r="G6" i="84"/>
  <c r="G7" i="84"/>
  <c r="H7" i="26"/>
  <c r="G8" i="26"/>
  <c r="P13" i="58" l="1"/>
  <c r="P24" i="58" s="1"/>
  <c r="O13" i="58"/>
  <c r="O24" i="58" s="1"/>
  <c r="N24" i="58"/>
  <c r="J16" i="92"/>
  <c r="J13" i="92"/>
  <c r="BN7" i="23"/>
  <c r="D69" i="23" s="1"/>
  <c r="D68" i="26"/>
  <c r="AC52" i="13"/>
  <c r="E22" i="13"/>
  <c r="AC22" i="13"/>
  <c r="F6" i="92"/>
  <c r="J6" i="92" s="1"/>
  <c r="C6" i="92"/>
  <c r="AA15" i="89"/>
  <c r="AB15" i="89"/>
  <c r="Z24" i="89"/>
  <c r="F149" i="47"/>
  <c r="V68" i="22"/>
  <c r="BN7" i="22"/>
  <c r="AA16" i="89"/>
  <c r="AB16" i="89"/>
  <c r="BH69" i="21"/>
  <c r="P50" i="13"/>
  <c r="P51" i="13" s="1"/>
  <c r="I15" i="89"/>
  <c r="I24" i="89" s="1"/>
  <c r="H24" i="89"/>
  <c r="C27" i="89" s="1"/>
  <c r="O18" i="13"/>
  <c r="O6" i="13" s="1"/>
  <c r="O56" i="13" s="1"/>
  <c r="AA27" i="13"/>
  <c r="AB27" i="13" s="1"/>
  <c r="C13" i="92"/>
  <c r="J23" i="77"/>
  <c r="C25" i="77"/>
  <c r="I50" i="13"/>
  <c r="BH68" i="28"/>
  <c r="AA22" i="13"/>
  <c r="AB22" i="13" s="1"/>
  <c r="BH68" i="38"/>
  <c r="X50" i="13"/>
  <c r="X51" i="13" s="1"/>
  <c r="BN7" i="29"/>
  <c r="V68" i="29"/>
  <c r="BH68" i="30"/>
  <c r="U50" i="13"/>
  <c r="AA18" i="89"/>
  <c r="AB18" i="89"/>
  <c r="F27" i="13"/>
  <c r="E68" i="33"/>
  <c r="BN7" i="33"/>
  <c r="BN8" i="21"/>
  <c r="BM7" i="21"/>
  <c r="E21" i="90"/>
  <c r="F21" i="90" s="1"/>
  <c r="BO7" i="24"/>
  <c r="BN7" i="24"/>
  <c r="E69" i="24"/>
  <c r="I15" i="92"/>
  <c r="E15" i="92"/>
  <c r="G15" i="92"/>
  <c r="V68" i="19"/>
  <c r="J51" i="13"/>
  <c r="J6" i="13"/>
  <c r="J56" i="13" s="1"/>
  <c r="V68" i="25"/>
  <c r="BN7" i="25"/>
  <c r="D68" i="40"/>
  <c r="V68" i="31"/>
  <c r="BN7" i="31"/>
  <c r="G7" i="40"/>
  <c r="F8" i="40"/>
  <c r="F7" i="40" s="1"/>
  <c r="F22" i="92"/>
  <c r="H7" i="23"/>
  <c r="G8" i="23"/>
  <c r="W51" i="13"/>
  <c r="W6" i="13"/>
  <c r="W56" i="13" s="1"/>
  <c r="C20" i="92"/>
  <c r="I55" i="13"/>
  <c r="D68" i="28"/>
  <c r="Y50" i="13"/>
  <c r="BH68" i="37"/>
  <c r="BN7" i="37"/>
  <c r="F48" i="13"/>
  <c r="AA48" i="13"/>
  <c r="AB48" i="13" s="1"/>
  <c r="G18" i="13"/>
  <c r="G8" i="30"/>
  <c r="H7" i="30"/>
  <c r="D68" i="38"/>
  <c r="E22" i="90"/>
  <c r="H21" i="92"/>
  <c r="F23" i="13"/>
  <c r="T18" i="13"/>
  <c r="T6" i="13" s="1"/>
  <c r="T56" i="13" s="1"/>
  <c r="H8" i="92"/>
  <c r="H7" i="28"/>
  <c r="G8" i="28"/>
  <c r="I12" i="92"/>
  <c r="E12" i="92"/>
  <c r="G12" i="92"/>
  <c r="V68" i="38"/>
  <c r="D4" i="93"/>
  <c r="G4" i="93" s="1"/>
  <c r="H4" i="93" s="1"/>
  <c r="C8" i="92"/>
  <c r="I17" i="92"/>
  <c r="G17" i="92"/>
  <c r="K17" i="92"/>
  <c r="I9" i="92"/>
  <c r="G9" i="92"/>
  <c r="E9" i="92"/>
  <c r="K9" i="92"/>
  <c r="I28" i="89"/>
  <c r="AC7" i="13"/>
  <c r="E7" i="13"/>
  <c r="BJ39" i="88"/>
  <c r="I25" i="89"/>
  <c r="Z25" i="89"/>
  <c r="BI29" i="88"/>
  <c r="P27" i="84"/>
  <c r="E48" i="84"/>
  <c r="AS7" i="84"/>
  <c r="Y6" i="84"/>
  <c r="Y18" i="84"/>
  <c r="E7" i="84"/>
  <c r="E6" i="84"/>
  <c r="AS18" i="84"/>
  <c r="P48" i="84"/>
  <c r="H7" i="19"/>
  <c r="G8" i="19"/>
  <c r="D68" i="19"/>
  <c r="G8" i="27"/>
  <c r="H7" i="27"/>
  <c r="BN3" i="27"/>
  <c r="D68" i="27"/>
  <c r="F8" i="21"/>
  <c r="F7" i="21" s="1"/>
  <c r="G7" i="21"/>
  <c r="D68" i="39"/>
  <c r="G8" i="39"/>
  <c r="H7" i="39"/>
  <c r="F8" i="90"/>
  <c r="G8" i="90"/>
  <c r="G7" i="31"/>
  <c r="F8" i="31"/>
  <c r="F7" i="31" s="1"/>
  <c r="G7" i="32"/>
  <c r="F8" i="32"/>
  <c r="F7" i="32" s="1"/>
  <c r="G7" i="22"/>
  <c r="F8" i="22"/>
  <c r="F7" i="22" s="1"/>
  <c r="G7" i="37"/>
  <c r="F8" i="37"/>
  <c r="F7" i="37" s="1"/>
  <c r="F8" i="34"/>
  <c r="F7" i="34" s="1"/>
  <c r="G7" i="34"/>
  <c r="G7" i="25"/>
  <c r="F8" i="25"/>
  <c r="F7" i="25" s="1"/>
  <c r="G7" i="26"/>
  <c r="F8" i="26"/>
  <c r="F7" i="26" s="1"/>
  <c r="K6" i="92" l="1"/>
  <c r="C16" i="92"/>
  <c r="I16" i="92" s="1"/>
  <c r="D68" i="33"/>
  <c r="BP7" i="33"/>
  <c r="N55" i="13"/>
  <c r="G6" i="92"/>
  <c r="AA24" i="89"/>
  <c r="I26" i="89"/>
  <c r="I6" i="92"/>
  <c r="I29" i="89"/>
  <c r="E20" i="90"/>
  <c r="H19" i="92"/>
  <c r="H55" i="13"/>
  <c r="D68" i="29"/>
  <c r="E27" i="13"/>
  <c r="AC27" i="13"/>
  <c r="U51" i="13"/>
  <c r="U6" i="13"/>
  <c r="U56" i="13" s="1"/>
  <c r="E23" i="90"/>
  <c r="H22" i="92"/>
  <c r="H14" i="92"/>
  <c r="E15" i="90"/>
  <c r="P6" i="13"/>
  <c r="P56" i="13" s="1"/>
  <c r="E6" i="92"/>
  <c r="C22" i="92"/>
  <c r="G22" i="92" s="1"/>
  <c r="H7" i="92"/>
  <c r="C7" i="92"/>
  <c r="O55" i="13"/>
  <c r="D68" i="22"/>
  <c r="F50" i="13"/>
  <c r="AC50" i="13" s="1"/>
  <c r="AA50" i="13"/>
  <c r="AB50" i="13" s="1"/>
  <c r="I51" i="13"/>
  <c r="I6" i="13"/>
  <c r="I56" i="13" s="1"/>
  <c r="X6" i="13"/>
  <c r="AB24" i="89"/>
  <c r="G21" i="90"/>
  <c r="BN7" i="21"/>
  <c r="E69" i="21"/>
  <c r="M55" i="13"/>
  <c r="D69" i="24"/>
  <c r="D11" i="92"/>
  <c r="C11" i="92"/>
  <c r="L15" i="92"/>
  <c r="D47" i="93"/>
  <c r="G47" i="93" s="1"/>
  <c r="H47" i="93" s="1"/>
  <c r="J22" i="92"/>
  <c r="J8" i="92"/>
  <c r="K8" i="92" s="1"/>
  <c r="F22" i="90"/>
  <c r="G22" i="90"/>
  <c r="H23" i="92"/>
  <c r="J23" i="92" s="1"/>
  <c r="E24" i="90"/>
  <c r="K13" i="92"/>
  <c r="G13" i="92"/>
  <c r="E13" i="92"/>
  <c r="I13" i="92"/>
  <c r="AC48" i="13"/>
  <c r="E48" i="13"/>
  <c r="Y51" i="13"/>
  <c r="Y6" i="13"/>
  <c r="D68" i="31"/>
  <c r="F5" i="92"/>
  <c r="D68" i="37"/>
  <c r="L55" i="13"/>
  <c r="D68" i="25"/>
  <c r="C21" i="92"/>
  <c r="I21" i="92" s="1"/>
  <c r="F8" i="28"/>
  <c r="F7" i="28" s="1"/>
  <c r="G7" i="28"/>
  <c r="F18" i="92"/>
  <c r="F10" i="92"/>
  <c r="E20" i="92"/>
  <c r="G20" i="92"/>
  <c r="I20" i="92"/>
  <c r="K20" i="92"/>
  <c r="G7" i="23"/>
  <c r="F8" i="23"/>
  <c r="F7" i="23" s="1"/>
  <c r="G7" i="30"/>
  <c r="F8" i="30"/>
  <c r="F7" i="30" s="1"/>
  <c r="E23" i="13"/>
  <c r="AC23" i="13"/>
  <c r="F18" i="13"/>
  <c r="D45" i="93"/>
  <c r="G45" i="93" s="1"/>
  <c r="H45" i="93" s="1"/>
  <c r="L12" i="92"/>
  <c r="E9" i="90"/>
  <c r="J21" i="92"/>
  <c r="G6" i="13"/>
  <c r="AA18" i="13"/>
  <c r="AB18" i="13" s="1"/>
  <c r="L17" i="92"/>
  <c r="I8" i="92"/>
  <c r="G8" i="92"/>
  <c r="E8" i="92"/>
  <c r="L9" i="92"/>
  <c r="D30" i="90"/>
  <c r="BI58" i="88"/>
  <c r="AS6" i="84"/>
  <c r="D48" i="84"/>
  <c r="P6" i="84"/>
  <c r="P18" i="84"/>
  <c r="BI20" i="88"/>
  <c r="F8" i="19"/>
  <c r="F7" i="19" s="1"/>
  <c r="G7" i="19"/>
  <c r="F8" i="27"/>
  <c r="F7" i="27" s="1"/>
  <c r="G7" i="27"/>
  <c r="G7" i="39"/>
  <c r="F8" i="39"/>
  <c r="F7" i="39" s="1"/>
  <c r="K16" i="92" l="1"/>
  <c r="E16" i="92"/>
  <c r="G16" i="92"/>
  <c r="BI8" i="88"/>
  <c r="C19" i="92"/>
  <c r="I19" i="92" s="1"/>
  <c r="L6" i="92"/>
  <c r="E50" i="13"/>
  <c r="J7" i="92"/>
  <c r="K7" i="92" s="1"/>
  <c r="I7" i="92"/>
  <c r="G15" i="90"/>
  <c r="F15" i="90"/>
  <c r="J19" i="92"/>
  <c r="F51" i="13"/>
  <c r="E51" i="13" s="1"/>
  <c r="G20" i="90"/>
  <c r="F20" i="90"/>
  <c r="X56" i="13"/>
  <c r="X54" i="13"/>
  <c r="E7" i="92"/>
  <c r="G7" i="92"/>
  <c r="F23" i="90"/>
  <c r="G23" i="90"/>
  <c r="P55" i="13"/>
  <c r="F55" i="13" s="1"/>
  <c r="D69" i="21"/>
  <c r="D14" i="92"/>
  <c r="J14" i="92" s="1"/>
  <c r="G11" i="92"/>
  <c r="I11" i="92"/>
  <c r="J11" i="92"/>
  <c r="K11" i="92" s="1"/>
  <c r="E11" i="92"/>
  <c r="H24" i="92"/>
  <c r="L13" i="92"/>
  <c r="L20" i="92"/>
  <c r="C23" i="92"/>
  <c r="G56" i="13"/>
  <c r="AA6" i="13"/>
  <c r="AB6" i="13" s="1"/>
  <c r="C10" i="92"/>
  <c r="G21" i="92"/>
  <c r="K21" i="92"/>
  <c r="E21" i="92"/>
  <c r="C5" i="92"/>
  <c r="G5" i="92" s="1"/>
  <c r="F24" i="90"/>
  <c r="G24" i="90"/>
  <c r="I22" i="92"/>
  <c r="E22" i="92"/>
  <c r="K22" i="92"/>
  <c r="J10" i="92"/>
  <c r="D15" i="93"/>
  <c r="G15" i="93" s="1"/>
  <c r="H15" i="93" s="1"/>
  <c r="G9" i="90"/>
  <c r="F9" i="90"/>
  <c r="E25" i="90"/>
  <c r="D31" i="90" s="1"/>
  <c r="C18" i="92"/>
  <c r="G18" i="92" s="1"/>
  <c r="F24" i="92"/>
  <c r="J5" i="92"/>
  <c r="E18" i="13"/>
  <c r="AC18" i="13"/>
  <c r="F6" i="13"/>
  <c r="AC6" i="13" s="1"/>
  <c r="J18" i="92"/>
  <c r="Y56" i="13"/>
  <c r="Y54" i="13"/>
  <c r="F54" i="13" s="1"/>
  <c r="L8" i="92"/>
  <c r="BJ58" i="88"/>
  <c r="H11" i="87"/>
  <c r="F11" i="87" s="1"/>
  <c r="E11" i="87" s="1"/>
  <c r="AK40" i="87"/>
  <c r="AI38" i="87"/>
  <c r="K19" i="92" l="1"/>
  <c r="BI7" i="88"/>
  <c r="E19" i="92"/>
  <c r="G19" i="92"/>
  <c r="L16" i="92"/>
  <c r="C14" i="92"/>
  <c r="G14" i="92" s="1"/>
  <c r="AC51" i="13"/>
  <c r="L7" i="92"/>
  <c r="D24" i="92"/>
  <c r="L11" i="92"/>
  <c r="AC55" i="13"/>
  <c r="E55" i="13"/>
  <c r="I18" i="92"/>
  <c r="E18" i="92"/>
  <c r="K18" i="92"/>
  <c r="D3" i="93"/>
  <c r="G3" i="93" s="1"/>
  <c r="H3" i="93" s="1"/>
  <c r="L22" i="92"/>
  <c r="E5" i="92"/>
  <c r="I5" i="92"/>
  <c r="AK29" i="87"/>
  <c r="AK20" i="87" s="1"/>
  <c r="AK7" i="87" s="1"/>
  <c r="Z40" i="87"/>
  <c r="Q40" i="87" s="1"/>
  <c r="K10" i="92"/>
  <c r="I10" i="92"/>
  <c r="E10" i="92"/>
  <c r="G25" i="90"/>
  <c r="L21" i="92"/>
  <c r="F25" i="90"/>
  <c r="E54" i="13"/>
  <c r="AC54" i="13"/>
  <c r="K5" i="92"/>
  <c r="J24" i="92"/>
  <c r="I23" i="92"/>
  <c r="E23" i="92"/>
  <c r="K23" i="92"/>
  <c r="G23" i="92"/>
  <c r="G10" i="92"/>
  <c r="H9" i="87"/>
  <c r="H8" i="87" s="1"/>
  <c r="H7" i="87" s="1"/>
  <c r="Z38" i="87"/>
  <c r="Q38" i="87" s="1"/>
  <c r="AI29" i="87"/>
  <c r="AI20" i="87" s="1"/>
  <c r="AI7" i="87" s="1"/>
  <c r="AJ39" i="87"/>
  <c r="AG36" i="87"/>
  <c r="AH37" i="87"/>
  <c r="Z37" i="87" s="1"/>
  <c r="Q37" i="87" s="1"/>
  <c r="I14" i="92" l="1"/>
  <c r="L19" i="92"/>
  <c r="K14" i="92"/>
  <c r="E14" i="92"/>
  <c r="L14" i="92" s="1"/>
  <c r="C24" i="92"/>
  <c r="I24" i="92" s="1"/>
  <c r="L18" i="92"/>
  <c r="L10" i="92"/>
  <c r="L5" i="92"/>
  <c r="L23" i="92"/>
  <c r="AJ29" i="87"/>
  <c r="AJ20" i="87" s="1"/>
  <c r="AJ7" i="87" s="1"/>
  <c r="Z39" i="87"/>
  <c r="Q39" i="87" s="1"/>
  <c r="AG29" i="87"/>
  <c r="AG20" i="87" s="1"/>
  <c r="Z36" i="87"/>
  <c r="Q36" i="87" s="1"/>
  <c r="AH29" i="87"/>
  <c r="AH20" i="87" s="1"/>
  <c r="AH7" i="87" s="1"/>
  <c r="AB31" i="87"/>
  <c r="AD33" i="87"/>
  <c r="AC32" i="87"/>
  <c r="BF37" i="87"/>
  <c r="BG37" i="87" s="1"/>
  <c r="BK37" i="87" s="1"/>
  <c r="E24" i="92" l="1"/>
  <c r="G24" i="92"/>
  <c r="AD29" i="87"/>
  <c r="AD20" i="87" s="1"/>
  <c r="AD7" i="87" s="1"/>
  <c r="Z33" i="87"/>
  <c r="Q33" i="87" s="1"/>
  <c r="AB29" i="87"/>
  <c r="AB20" i="87" s="1"/>
  <c r="AB7" i="87" s="1"/>
  <c r="Z31" i="87"/>
  <c r="Q31" i="87" s="1"/>
  <c r="AC29" i="87"/>
  <c r="AC20" i="87" s="1"/>
  <c r="AC7" i="87" s="1"/>
  <c r="Z32" i="87"/>
  <c r="Q32" i="87" s="1"/>
  <c r="BI37" i="87"/>
  <c r="AH61" i="87"/>
  <c r="L24" i="92" l="1"/>
  <c r="K24" i="92"/>
  <c r="G10" i="87"/>
  <c r="BF10" i="87"/>
  <c r="BG10" i="87" s="1"/>
  <c r="BK10" i="87" s="1"/>
  <c r="F10" i="87" l="1"/>
  <c r="E10" i="87" s="1"/>
  <c r="G9" i="87"/>
  <c r="G8" i="87" s="1"/>
  <c r="G7" i="87" s="1"/>
  <c r="G61" i="87"/>
  <c r="BI10" i="87"/>
  <c r="BL10" i="87" s="1"/>
  <c r="F9" i="87" l="1"/>
  <c r="E9" i="87" l="1"/>
  <c r="F8" i="87"/>
  <c r="F7" i="87" s="1"/>
  <c r="BE12" i="87" l="1"/>
  <c r="I12" i="87" l="1"/>
  <c r="BF12" i="87"/>
  <c r="BG12" i="87" s="1"/>
  <c r="BK12" i="87" s="1"/>
  <c r="BI12" i="87" l="1"/>
  <c r="E12" i="87"/>
  <c r="I8" i="87"/>
  <c r="I7" i="87" s="1"/>
  <c r="I61" i="87"/>
  <c r="BE13" i="87" l="1"/>
  <c r="J13" i="87" l="1"/>
  <c r="BF13" i="87"/>
  <c r="BG13" i="87" s="1"/>
  <c r="BK13" i="87" s="1"/>
  <c r="BI13" i="87" l="1"/>
  <c r="J61" i="87"/>
  <c r="E13" i="87"/>
  <c r="J8" i="87"/>
  <c r="J7" i="87" s="1"/>
  <c r="AG8" i="87"/>
  <c r="AG7" i="87" l="1"/>
  <c r="AG60" i="87"/>
  <c r="BF36" i="87" s="1"/>
  <c r="BG36" i="87" s="1"/>
  <c r="BK36" i="87" s="1"/>
  <c r="BE17" i="87"/>
  <c r="Z8" i="87"/>
  <c r="Z60" i="87" s="1"/>
  <c r="AG61" i="87" l="1"/>
  <c r="BI36" i="87"/>
  <c r="Z7" i="87"/>
  <c r="N17" i="87"/>
  <c r="BF17" i="87"/>
  <c r="BG17" i="87" s="1"/>
  <c r="BK17" i="87" s="1"/>
  <c r="BF20" i="87"/>
  <c r="BF7" i="87" s="1"/>
  <c r="BJ5" i="87" s="1"/>
  <c r="Q7" i="87"/>
  <c r="BI17" i="87" l="1"/>
  <c r="E8" i="87"/>
  <c r="E7" i="87" s="1"/>
  <c r="E17" i="87"/>
  <c r="N8" i="87"/>
  <c r="N7" i="87" s="1"/>
  <c r="N61" i="87"/>
  <c r="Z62" i="87"/>
  <c r="BF29" i="87"/>
  <c r="BG29" i="87" s="1"/>
  <c r="BK29" i="87" s="1"/>
  <c r="BI29" i="87" l="1"/>
  <c r="BG20" i="87"/>
  <c r="BK20" i="87" s="1"/>
  <c r="Z61" i="87"/>
  <c r="Q61" i="87" l="1"/>
  <c r="BI20" i="87"/>
  <c r="BF11" i="87" l="1"/>
  <c r="BG11" i="87" s="1"/>
  <c r="BK11" i="87" s="1"/>
  <c r="F59" i="88"/>
  <c r="E59" i="88" l="1"/>
  <c r="F7" i="88"/>
  <c r="F60" i="88"/>
  <c r="BF9" i="88" s="1"/>
  <c r="BG9" i="88" s="1"/>
  <c r="E64" i="88"/>
  <c r="BF9" i="87"/>
  <c r="BG9" i="87" s="1"/>
  <c r="BK9" i="87" s="1"/>
  <c r="H61" i="87"/>
  <c r="BI11" i="87"/>
  <c r="D59" i="88" l="1"/>
  <c r="E60" i="88"/>
  <c r="BF8" i="88" s="1"/>
  <c r="BL9" i="88"/>
  <c r="BK9" i="88"/>
  <c r="F61" i="87"/>
  <c r="BI9" i="87"/>
  <c r="BG8" i="88"/>
  <c r="BG8" i="87"/>
  <c r="BJ9" i="88"/>
  <c r="F61" i="88"/>
  <c r="BG7" i="87" l="1"/>
  <c r="BK8" i="87"/>
  <c r="BI8" i="87"/>
  <c r="E61" i="87"/>
  <c r="BL8" i="88"/>
  <c r="BK8" i="88"/>
  <c r="BJ8" i="88"/>
  <c r="E61" i="88"/>
  <c r="BI7" i="87"/>
  <c r="D61" i="87"/>
  <c r="BF37" i="88"/>
  <c r="BG37" i="88" s="1"/>
  <c r="BE29" i="88"/>
  <c r="Z29" i="88" s="1"/>
  <c r="BI5" i="87" l="1"/>
  <c r="BK7" i="87"/>
  <c r="BL37" i="88"/>
  <c r="BK37" i="88"/>
  <c r="BF29" i="88"/>
  <c r="BG29" i="88" s="1"/>
  <c r="Q29" i="88"/>
  <c r="Q20" i="88" s="1"/>
  <c r="Q7" i="88" s="1"/>
  <c r="Z20" i="88"/>
  <c r="Z7" i="88" s="1"/>
  <c r="BJ37" i="88"/>
  <c r="AH61" i="88"/>
  <c r="BL29" i="88" l="1"/>
  <c r="BK29" i="88"/>
  <c r="Z61" i="88"/>
  <c r="BG20" i="88"/>
  <c r="BJ29" i="88"/>
  <c r="BE20" i="88"/>
  <c r="BF20" i="88" s="1"/>
  <c r="BH5" i="88" s="1"/>
  <c r="BK20" i="88" l="1"/>
  <c r="Q3" i="88"/>
  <c r="BG7" i="88"/>
  <c r="BL20" i="88"/>
  <c r="Q61" i="88"/>
  <c r="BJ20" i="88"/>
  <c r="BL7" i="88" l="1"/>
  <c r="BK7" i="88"/>
  <c r="BH65" i="88" s="1"/>
  <c r="BI5" i="88"/>
  <c r="BJ7" i="88"/>
  <c r="D61" i="88"/>
</calcChain>
</file>

<file path=xl/comments1.xml><?xml version="1.0" encoding="utf-8"?>
<comments xmlns="http://schemas.openxmlformats.org/spreadsheetml/2006/main">
  <authors>
    <author>Microsoft Cop.</author>
  </authors>
  <commentList>
    <comment ref="BF58" authorId="0" shapeId="0">
      <text>
        <r>
          <rPr>
            <b/>
            <sz val="8"/>
            <color indexed="81"/>
            <rFont val="Tahoma"/>
            <family val="2"/>
          </rPr>
          <t>Microsoft Cop.:</t>
        </r>
        <r>
          <rPr>
            <sz val="8"/>
            <color indexed="81"/>
            <rFont val="Tahoma"/>
            <family val="2"/>
          </rPr>
          <t xml:space="preserve">
</t>
        </r>
      </text>
    </comment>
  </commentList>
</comments>
</file>

<file path=xl/comments10.xml><?xml version="1.0" encoding="utf-8"?>
<comments xmlns="http://schemas.openxmlformats.org/spreadsheetml/2006/main">
  <authors>
    <author>Microsoft Cop.</author>
    <author>haidang</author>
  </authors>
  <commentList>
    <comment ref="AW12" authorId="0" shapeId="0">
      <text>
        <r>
          <rPr>
            <b/>
            <sz val="8"/>
            <color indexed="81"/>
            <rFont val="Tahoma"/>
            <family val="2"/>
          </rPr>
          <t>Microsoft Cop.:</t>
        </r>
        <r>
          <rPr>
            <sz val="8"/>
            <color indexed="81"/>
            <rFont val="Tahoma"/>
            <family val="2"/>
          </rPr>
          <t xml:space="preserve">
gop</t>
        </r>
      </text>
    </comment>
    <comment ref="Y22" authorId="0" shapeId="0">
      <text>
        <r>
          <rPr>
            <b/>
            <sz val="8"/>
            <color indexed="81"/>
            <rFont val="Tahoma"/>
            <family val="2"/>
          </rPr>
          <t>nhung du an o dau</t>
        </r>
        <r>
          <rPr>
            <sz val="8"/>
            <color indexed="81"/>
            <rFont val="Tahoma"/>
            <family val="2"/>
          </rPr>
          <t xml:space="preserve">
</t>
        </r>
      </text>
    </comment>
    <comment ref="AO22" authorId="0" shapeId="0">
      <text>
        <r>
          <rPr>
            <b/>
            <sz val="8"/>
            <color indexed="81"/>
            <rFont val="Tahoma"/>
            <family val="2"/>
          </rPr>
          <t>Dat khu cong nghiep o dau ma lay tu dat ntts</t>
        </r>
      </text>
    </comment>
    <comment ref="BC22" authorId="0" shapeId="0">
      <text>
        <r>
          <rPr>
            <b/>
            <sz val="8"/>
            <color indexed="81"/>
            <rFont val="Tahoma"/>
            <family val="2"/>
          </rPr>
          <t>Dat nttts lam dat gd o dau</t>
        </r>
        <r>
          <rPr>
            <sz val="8"/>
            <color indexed="81"/>
            <rFont val="Tahoma"/>
            <family val="2"/>
          </rPr>
          <t xml:space="preserve">
</t>
        </r>
      </text>
    </comment>
    <comment ref="BD22" authorId="0" shapeId="0">
      <text>
        <r>
          <rPr>
            <b/>
            <sz val="8"/>
            <color indexed="81"/>
            <rFont val="Tahoma"/>
            <family val="2"/>
          </rPr>
          <t>Dat nttts lam dat tt o dau</t>
        </r>
        <r>
          <rPr>
            <sz val="8"/>
            <color indexed="81"/>
            <rFont val="Tahoma"/>
            <family val="2"/>
          </rPr>
          <t xml:space="preserve">
</t>
        </r>
      </text>
    </comment>
    <comment ref="S42" authorId="1" shapeId="0">
      <text>
        <r>
          <rPr>
            <b/>
            <sz val="8"/>
            <color indexed="81"/>
            <rFont val="Tahoma"/>
            <family val="2"/>
          </rPr>
          <t>Sao NTTS lai lay tu dat sxvlxd, gom su</t>
        </r>
        <r>
          <rPr>
            <sz val="8"/>
            <color indexed="81"/>
            <rFont val="Tahoma"/>
            <family val="2"/>
          </rPr>
          <t xml:space="preserve">
tai Dong trieu</t>
        </r>
      </text>
    </comment>
    <comment ref="Y42" authorId="0" shapeId="0">
      <text>
        <r>
          <rPr>
            <b/>
            <sz val="8"/>
            <color indexed="81"/>
            <rFont val="Tahoma"/>
            <family val="2"/>
          </rPr>
          <t>Sao dat o do thi lai lay tu dat san xuat vat lieu xay dung</t>
        </r>
        <r>
          <rPr>
            <sz val="8"/>
            <color indexed="81"/>
            <rFont val="Tahoma"/>
            <family val="2"/>
          </rPr>
          <t xml:space="preserve">
</t>
        </r>
      </text>
    </comment>
    <comment ref="Y53" authorId="0" shapeId="0">
      <text>
        <r>
          <rPr>
            <sz val="8"/>
            <color indexed="81"/>
            <rFont val="Tahoma"/>
            <family val="2"/>
          </rPr>
          <t xml:space="preserve">Sao dat o do thi lai lay tu dat co so van hoa
</t>
        </r>
      </text>
    </comment>
    <comment ref="AY59" authorId="0" shapeId="0">
      <text>
        <r>
          <rPr>
            <b/>
            <sz val="8"/>
            <color indexed="81"/>
            <rFont val="Tahoma"/>
            <family val="2"/>
          </rPr>
          <t>Sao lai lay vao dat nghia trang, nghia dia ,du an nao, o dau</t>
        </r>
        <r>
          <rPr>
            <sz val="8"/>
            <color indexed="81"/>
            <rFont val="Tahoma"/>
            <family val="2"/>
          </rPr>
          <t xml:space="preserve">
</t>
        </r>
      </text>
    </comment>
    <comment ref="BM63" authorId="0" shapeId="0">
      <text>
        <r>
          <rPr>
            <b/>
            <sz val="8"/>
            <color indexed="81"/>
            <rFont val="Tahoma"/>
            <family val="2"/>
          </rPr>
          <t>Microsoft Cop.:</t>
        </r>
        <r>
          <rPr>
            <sz val="8"/>
            <color indexed="81"/>
            <rFont val="Tahoma"/>
            <family val="2"/>
          </rPr>
          <t xml:space="preserve">
</t>
        </r>
      </text>
    </comment>
    <comment ref="J65" authorId="1" shapeId="0">
      <text>
        <r>
          <rPr>
            <b/>
            <sz val="8"/>
            <color indexed="81"/>
            <rFont val="Tahoma"/>
            <family val="2"/>
          </rPr>
          <t>Sao lai lay dat doi nui chua su dung de trong lua nuoc con lai tai cac dia phuong Ba Che  BInh Lieu</t>
        </r>
        <r>
          <rPr>
            <sz val="8"/>
            <color indexed="81"/>
            <rFont val="Tahoma"/>
            <family val="2"/>
          </rPr>
          <t xml:space="preserve">
</t>
        </r>
      </text>
    </comment>
  </commentList>
</comments>
</file>

<file path=xl/comments11.xml><?xml version="1.0" encoding="utf-8"?>
<comments xmlns="http://schemas.openxmlformats.org/spreadsheetml/2006/main">
  <authors>
    <author>Microsoft Cop.</author>
    <author>haidang</author>
  </authors>
  <commentList>
    <comment ref="AW12" authorId="0" shapeId="0">
      <text>
        <r>
          <rPr>
            <b/>
            <sz val="8"/>
            <color indexed="81"/>
            <rFont val="Tahoma"/>
            <family val="2"/>
          </rPr>
          <t>Microsoft Cop.:</t>
        </r>
        <r>
          <rPr>
            <sz val="8"/>
            <color indexed="81"/>
            <rFont val="Tahoma"/>
            <family val="2"/>
          </rPr>
          <t xml:space="preserve">
gop</t>
        </r>
      </text>
    </comment>
    <comment ref="Y22" authorId="0" shapeId="0">
      <text>
        <r>
          <rPr>
            <b/>
            <sz val="8"/>
            <color indexed="81"/>
            <rFont val="Tahoma"/>
            <family val="2"/>
          </rPr>
          <t>nhung du an o dau</t>
        </r>
        <r>
          <rPr>
            <sz val="8"/>
            <color indexed="81"/>
            <rFont val="Tahoma"/>
            <family val="2"/>
          </rPr>
          <t xml:space="preserve">
</t>
        </r>
      </text>
    </comment>
    <comment ref="AO22" authorId="0" shapeId="0">
      <text>
        <r>
          <rPr>
            <b/>
            <sz val="8"/>
            <color indexed="81"/>
            <rFont val="Tahoma"/>
            <family val="2"/>
          </rPr>
          <t>Dat khu cong nghiep o dau ma lay tu dat ntts</t>
        </r>
      </text>
    </comment>
    <comment ref="BC22" authorId="0" shapeId="0">
      <text>
        <r>
          <rPr>
            <b/>
            <sz val="8"/>
            <color indexed="81"/>
            <rFont val="Tahoma"/>
            <family val="2"/>
          </rPr>
          <t>Dat nttts lam dat gd o dau</t>
        </r>
        <r>
          <rPr>
            <sz val="8"/>
            <color indexed="81"/>
            <rFont val="Tahoma"/>
            <family val="2"/>
          </rPr>
          <t xml:space="preserve">
</t>
        </r>
      </text>
    </comment>
    <comment ref="BD22" authorId="0" shapeId="0">
      <text>
        <r>
          <rPr>
            <b/>
            <sz val="8"/>
            <color indexed="81"/>
            <rFont val="Tahoma"/>
            <family val="2"/>
          </rPr>
          <t>Dat nttts lam dat tt o dau</t>
        </r>
        <r>
          <rPr>
            <sz val="8"/>
            <color indexed="81"/>
            <rFont val="Tahoma"/>
            <family val="2"/>
          </rPr>
          <t xml:space="preserve">
</t>
        </r>
      </text>
    </comment>
    <comment ref="S42" authorId="1" shapeId="0">
      <text>
        <r>
          <rPr>
            <b/>
            <sz val="8"/>
            <color indexed="81"/>
            <rFont val="Tahoma"/>
            <family val="2"/>
          </rPr>
          <t>Sao NTTS lai lay tu dat sxvlxd, gom su</t>
        </r>
        <r>
          <rPr>
            <sz val="8"/>
            <color indexed="81"/>
            <rFont val="Tahoma"/>
            <family val="2"/>
          </rPr>
          <t xml:space="preserve">
tai Dong trieu</t>
        </r>
      </text>
    </comment>
    <comment ref="Y42" authorId="0" shapeId="0">
      <text>
        <r>
          <rPr>
            <b/>
            <sz val="8"/>
            <color indexed="81"/>
            <rFont val="Tahoma"/>
            <family val="2"/>
          </rPr>
          <t>Sao dat o do thi lai lay tu dat san xuat vat lieu xay dung</t>
        </r>
        <r>
          <rPr>
            <sz val="8"/>
            <color indexed="81"/>
            <rFont val="Tahoma"/>
            <family val="2"/>
          </rPr>
          <t xml:space="preserve">
</t>
        </r>
      </text>
    </comment>
    <comment ref="Y53" authorId="0" shapeId="0">
      <text>
        <r>
          <rPr>
            <sz val="8"/>
            <color indexed="81"/>
            <rFont val="Tahoma"/>
            <family val="2"/>
          </rPr>
          <t xml:space="preserve">Sao dat o do thi lai lay tu dat co so van hoa
</t>
        </r>
      </text>
    </comment>
    <comment ref="AY59" authorId="0" shapeId="0">
      <text>
        <r>
          <rPr>
            <b/>
            <sz val="8"/>
            <color indexed="81"/>
            <rFont val="Tahoma"/>
            <family val="2"/>
          </rPr>
          <t>Sao lai lay vao dat nghia trang, nghia dia ,du an nao, o dau</t>
        </r>
        <r>
          <rPr>
            <sz val="8"/>
            <color indexed="81"/>
            <rFont val="Tahoma"/>
            <family val="2"/>
          </rPr>
          <t xml:space="preserve">
</t>
        </r>
      </text>
    </comment>
    <comment ref="BM63" authorId="0" shapeId="0">
      <text>
        <r>
          <rPr>
            <b/>
            <sz val="8"/>
            <color indexed="81"/>
            <rFont val="Tahoma"/>
            <family val="2"/>
          </rPr>
          <t>Microsoft Cop.:</t>
        </r>
        <r>
          <rPr>
            <sz val="8"/>
            <color indexed="81"/>
            <rFont val="Tahoma"/>
            <family val="2"/>
          </rPr>
          <t xml:space="preserve">
</t>
        </r>
      </text>
    </comment>
    <comment ref="J65" authorId="1" shapeId="0">
      <text>
        <r>
          <rPr>
            <b/>
            <sz val="8"/>
            <color indexed="81"/>
            <rFont val="Tahoma"/>
            <family val="2"/>
          </rPr>
          <t>Sao lai lay dat doi nui chua su dung de trong lua nuoc con lai tai cac dia phuong Ba Che  BInh Lieu</t>
        </r>
        <r>
          <rPr>
            <sz val="8"/>
            <color indexed="81"/>
            <rFont val="Tahoma"/>
            <family val="2"/>
          </rPr>
          <t xml:space="preserve">
</t>
        </r>
      </text>
    </comment>
  </commentList>
</comments>
</file>

<file path=xl/comments12.xml><?xml version="1.0" encoding="utf-8"?>
<comments xmlns="http://schemas.openxmlformats.org/spreadsheetml/2006/main">
  <authors>
    <author>Microsoft Cop.</author>
    <author>haidang</author>
  </authors>
  <commentList>
    <comment ref="AW12" authorId="0" shapeId="0">
      <text>
        <r>
          <rPr>
            <b/>
            <sz val="8"/>
            <color indexed="81"/>
            <rFont val="Tahoma"/>
            <family val="2"/>
          </rPr>
          <t>Microsoft Cop.:</t>
        </r>
        <r>
          <rPr>
            <sz val="8"/>
            <color indexed="81"/>
            <rFont val="Tahoma"/>
            <family val="2"/>
          </rPr>
          <t xml:space="preserve">
gop</t>
        </r>
      </text>
    </comment>
    <comment ref="Y22" authorId="0" shapeId="0">
      <text>
        <r>
          <rPr>
            <b/>
            <sz val="8"/>
            <color indexed="81"/>
            <rFont val="Tahoma"/>
            <family val="2"/>
          </rPr>
          <t>nhung du an o dau</t>
        </r>
        <r>
          <rPr>
            <sz val="8"/>
            <color indexed="81"/>
            <rFont val="Tahoma"/>
            <family val="2"/>
          </rPr>
          <t xml:space="preserve">
</t>
        </r>
      </text>
    </comment>
    <comment ref="AO22" authorId="0" shapeId="0">
      <text>
        <r>
          <rPr>
            <b/>
            <sz val="8"/>
            <color indexed="81"/>
            <rFont val="Tahoma"/>
            <family val="2"/>
          </rPr>
          <t>Dat khu cong nghiep o dau ma lay tu dat ntts</t>
        </r>
      </text>
    </comment>
    <comment ref="BC22" authorId="0" shapeId="0">
      <text>
        <r>
          <rPr>
            <b/>
            <sz val="8"/>
            <color indexed="81"/>
            <rFont val="Tahoma"/>
            <family val="2"/>
          </rPr>
          <t>Dat nttts lam dat gd o dau</t>
        </r>
        <r>
          <rPr>
            <sz val="8"/>
            <color indexed="81"/>
            <rFont val="Tahoma"/>
            <family val="2"/>
          </rPr>
          <t xml:space="preserve">
</t>
        </r>
      </text>
    </comment>
    <comment ref="BD22" authorId="0" shapeId="0">
      <text>
        <r>
          <rPr>
            <b/>
            <sz val="8"/>
            <color indexed="81"/>
            <rFont val="Tahoma"/>
            <family val="2"/>
          </rPr>
          <t>Dat nttts lam dat tt o dau</t>
        </r>
        <r>
          <rPr>
            <sz val="8"/>
            <color indexed="81"/>
            <rFont val="Tahoma"/>
            <family val="2"/>
          </rPr>
          <t xml:space="preserve">
</t>
        </r>
      </text>
    </comment>
    <comment ref="S42" authorId="1" shapeId="0">
      <text>
        <r>
          <rPr>
            <b/>
            <sz val="8"/>
            <color indexed="81"/>
            <rFont val="Tahoma"/>
            <family val="2"/>
          </rPr>
          <t>Sao NTTS lai lay tu dat sxvlxd, gom su</t>
        </r>
        <r>
          <rPr>
            <sz val="8"/>
            <color indexed="81"/>
            <rFont val="Tahoma"/>
            <family val="2"/>
          </rPr>
          <t xml:space="preserve">
tai Dong trieu</t>
        </r>
      </text>
    </comment>
    <comment ref="Y42" authorId="0" shapeId="0">
      <text>
        <r>
          <rPr>
            <b/>
            <sz val="8"/>
            <color indexed="81"/>
            <rFont val="Tahoma"/>
            <family val="2"/>
          </rPr>
          <t>Sao dat o do thi lai lay tu dat san xuat vat lieu xay dung</t>
        </r>
        <r>
          <rPr>
            <sz val="8"/>
            <color indexed="81"/>
            <rFont val="Tahoma"/>
            <family val="2"/>
          </rPr>
          <t xml:space="preserve">
</t>
        </r>
      </text>
    </comment>
    <comment ref="Y53" authorId="0" shapeId="0">
      <text>
        <r>
          <rPr>
            <sz val="8"/>
            <color indexed="81"/>
            <rFont val="Tahoma"/>
            <family val="2"/>
          </rPr>
          <t xml:space="preserve">Sao dat o do thi lai lay tu dat co so van hoa
</t>
        </r>
      </text>
    </comment>
    <comment ref="AY59" authorId="0" shapeId="0">
      <text>
        <r>
          <rPr>
            <b/>
            <sz val="8"/>
            <color indexed="81"/>
            <rFont val="Tahoma"/>
            <family val="2"/>
          </rPr>
          <t>Sao lai lay vao dat nghia trang, nghia dia ,du an nao, o dau</t>
        </r>
        <r>
          <rPr>
            <sz val="8"/>
            <color indexed="81"/>
            <rFont val="Tahoma"/>
            <family val="2"/>
          </rPr>
          <t xml:space="preserve">
</t>
        </r>
      </text>
    </comment>
    <comment ref="BM63" authorId="0" shapeId="0">
      <text>
        <r>
          <rPr>
            <b/>
            <sz val="8"/>
            <color indexed="81"/>
            <rFont val="Tahoma"/>
            <family val="2"/>
          </rPr>
          <t>Microsoft Cop.:</t>
        </r>
        <r>
          <rPr>
            <sz val="8"/>
            <color indexed="81"/>
            <rFont val="Tahoma"/>
            <family val="2"/>
          </rPr>
          <t xml:space="preserve">
</t>
        </r>
      </text>
    </comment>
    <comment ref="J65" authorId="1" shapeId="0">
      <text>
        <r>
          <rPr>
            <b/>
            <sz val="8"/>
            <color indexed="81"/>
            <rFont val="Tahoma"/>
            <family val="2"/>
          </rPr>
          <t>Sao lai lay dat doi nui chua su dung de trong lua nuoc con lai tai cac dia phuong Ba Che  BInh Lieu</t>
        </r>
        <r>
          <rPr>
            <sz val="8"/>
            <color indexed="81"/>
            <rFont val="Tahoma"/>
            <family val="2"/>
          </rPr>
          <t xml:space="preserve">
</t>
        </r>
      </text>
    </comment>
  </commentList>
</comments>
</file>

<file path=xl/comments13.xml><?xml version="1.0" encoding="utf-8"?>
<comments xmlns="http://schemas.openxmlformats.org/spreadsheetml/2006/main">
  <authors>
    <author>Microsoft Cop.</author>
    <author>haidang</author>
  </authors>
  <commentList>
    <comment ref="AW12" authorId="0" shapeId="0">
      <text>
        <r>
          <rPr>
            <b/>
            <sz val="8"/>
            <color indexed="81"/>
            <rFont val="Tahoma"/>
            <family val="2"/>
          </rPr>
          <t>Microsoft Cop.:</t>
        </r>
        <r>
          <rPr>
            <sz val="8"/>
            <color indexed="81"/>
            <rFont val="Tahoma"/>
            <family val="2"/>
          </rPr>
          <t xml:space="preserve">
gop</t>
        </r>
      </text>
    </comment>
    <comment ref="Y22" authorId="0" shapeId="0">
      <text>
        <r>
          <rPr>
            <b/>
            <sz val="8"/>
            <color indexed="81"/>
            <rFont val="Tahoma"/>
            <family val="2"/>
          </rPr>
          <t>nhung du an o dau</t>
        </r>
        <r>
          <rPr>
            <sz val="8"/>
            <color indexed="81"/>
            <rFont val="Tahoma"/>
            <family val="2"/>
          </rPr>
          <t xml:space="preserve">
</t>
        </r>
      </text>
    </comment>
    <comment ref="AO22" authorId="0" shapeId="0">
      <text>
        <r>
          <rPr>
            <b/>
            <sz val="8"/>
            <color indexed="81"/>
            <rFont val="Tahoma"/>
            <family val="2"/>
          </rPr>
          <t>Dat khu cong nghiep o dau ma lay tu dat ntts</t>
        </r>
      </text>
    </comment>
    <comment ref="BC22" authorId="0" shapeId="0">
      <text>
        <r>
          <rPr>
            <b/>
            <sz val="8"/>
            <color indexed="81"/>
            <rFont val="Tahoma"/>
            <family val="2"/>
          </rPr>
          <t>Dat nttts lam dat gd o dau</t>
        </r>
        <r>
          <rPr>
            <sz val="8"/>
            <color indexed="81"/>
            <rFont val="Tahoma"/>
            <family val="2"/>
          </rPr>
          <t xml:space="preserve">
</t>
        </r>
      </text>
    </comment>
    <comment ref="BD22" authorId="0" shapeId="0">
      <text>
        <r>
          <rPr>
            <b/>
            <sz val="8"/>
            <color indexed="81"/>
            <rFont val="Tahoma"/>
            <family val="2"/>
          </rPr>
          <t>Dat nttts lam dat tt o dau</t>
        </r>
        <r>
          <rPr>
            <sz val="8"/>
            <color indexed="81"/>
            <rFont val="Tahoma"/>
            <family val="2"/>
          </rPr>
          <t xml:space="preserve">
</t>
        </r>
      </text>
    </comment>
    <comment ref="S42" authorId="1" shapeId="0">
      <text>
        <r>
          <rPr>
            <b/>
            <sz val="8"/>
            <color indexed="81"/>
            <rFont val="Tahoma"/>
            <family val="2"/>
          </rPr>
          <t>Sao NTTS lai lay tu dat sxvlxd, gom su</t>
        </r>
        <r>
          <rPr>
            <sz val="8"/>
            <color indexed="81"/>
            <rFont val="Tahoma"/>
            <family val="2"/>
          </rPr>
          <t xml:space="preserve">
tai Dong trieu</t>
        </r>
      </text>
    </comment>
    <comment ref="Y42" authorId="0" shapeId="0">
      <text>
        <r>
          <rPr>
            <b/>
            <sz val="8"/>
            <color indexed="81"/>
            <rFont val="Tahoma"/>
            <family val="2"/>
          </rPr>
          <t>Sao dat o do thi lai lay tu dat san xuat vat lieu xay dung</t>
        </r>
        <r>
          <rPr>
            <sz val="8"/>
            <color indexed="81"/>
            <rFont val="Tahoma"/>
            <family val="2"/>
          </rPr>
          <t xml:space="preserve">
</t>
        </r>
      </text>
    </comment>
    <comment ref="Y53" authorId="0" shapeId="0">
      <text>
        <r>
          <rPr>
            <sz val="8"/>
            <color indexed="81"/>
            <rFont val="Tahoma"/>
            <family val="2"/>
          </rPr>
          <t xml:space="preserve">Sao dat o do thi lai lay tu dat co so van hoa
</t>
        </r>
      </text>
    </comment>
    <comment ref="AY59" authorId="0" shapeId="0">
      <text>
        <r>
          <rPr>
            <b/>
            <sz val="8"/>
            <color indexed="81"/>
            <rFont val="Tahoma"/>
            <family val="2"/>
          </rPr>
          <t>Sao lai lay vao dat nghia trang, nghia dia ,du an nao, o dau</t>
        </r>
        <r>
          <rPr>
            <sz val="8"/>
            <color indexed="81"/>
            <rFont val="Tahoma"/>
            <family val="2"/>
          </rPr>
          <t xml:space="preserve">
</t>
        </r>
      </text>
    </comment>
    <comment ref="BM63" authorId="0" shapeId="0">
      <text>
        <r>
          <rPr>
            <b/>
            <sz val="8"/>
            <color indexed="81"/>
            <rFont val="Tahoma"/>
            <family val="2"/>
          </rPr>
          <t>Microsoft Cop.:</t>
        </r>
        <r>
          <rPr>
            <sz val="8"/>
            <color indexed="81"/>
            <rFont val="Tahoma"/>
            <family val="2"/>
          </rPr>
          <t xml:space="preserve">
</t>
        </r>
      </text>
    </comment>
    <comment ref="J65" authorId="1" shapeId="0">
      <text>
        <r>
          <rPr>
            <b/>
            <sz val="8"/>
            <color indexed="81"/>
            <rFont val="Tahoma"/>
            <family val="2"/>
          </rPr>
          <t>Sao lai lay dat doi nui chua su dung de trong lua nuoc con lai tai cac dia phuong Ba Che  BInh Lieu</t>
        </r>
        <r>
          <rPr>
            <sz val="8"/>
            <color indexed="81"/>
            <rFont val="Tahoma"/>
            <family val="2"/>
          </rPr>
          <t xml:space="preserve">
</t>
        </r>
      </text>
    </comment>
  </commentList>
</comments>
</file>

<file path=xl/comments14.xml><?xml version="1.0" encoding="utf-8"?>
<comments xmlns="http://schemas.openxmlformats.org/spreadsheetml/2006/main">
  <authors>
    <author>Microsoft Cop.</author>
    <author>haidang</author>
  </authors>
  <commentList>
    <comment ref="AW12" authorId="0" shapeId="0">
      <text>
        <r>
          <rPr>
            <b/>
            <sz val="8"/>
            <color indexed="81"/>
            <rFont val="Tahoma"/>
            <family val="2"/>
          </rPr>
          <t>Microsoft Cop.:</t>
        </r>
        <r>
          <rPr>
            <sz val="8"/>
            <color indexed="81"/>
            <rFont val="Tahoma"/>
            <family val="2"/>
          </rPr>
          <t xml:space="preserve">
gop</t>
        </r>
      </text>
    </comment>
    <comment ref="Y22" authorId="0" shapeId="0">
      <text>
        <r>
          <rPr>
            <b/>
            <sz val="8"/>
            <color indexed="81"/>
            <rFont val="Tahoma"/>
            <family val="2"/>
          </rPr>
          <t>nhung du an o dau</t>
        </r>
        <r>
          <rPr>
            <sz val="8"/>
            <color indexed="81"/>
            <rFont val="Tahoma"/>
            <family val="2"/>
          </rPr>
          <t xml:space="preserve">
</t>
        </r>
      </text>
    </comment>
    <comment ref="AO22" authorId="0" shapeId="0">
      <text>
        <r>
          <rPr>
            <b/>
            <sz val="8"/>
            <color indexed="81"/>
            <rFont val="Tahoma"/>
            <family val="2"/>
          </rPr>
          <t>Dat khu cong nghiep o dau ma lay tu dat ntts</t>
        </r>
      </text>
    </comment>
    <comment ref="BC22" authorId="0" shapeId="0">
      <text>
        <r>
          <rPr>
            <b/>
            <sz val="8"/>
            <color indexed="81"/>
            <rFont val="Tahoma"/>
            <family val="2"/>
          </rPr>
          <t>Dat nttts lam dat gd o dau</t>
        </r>
        <r>
          <rPr>
            <sz val="8"/>
            <color indexed="81"/>
            <rFont val="Tahoma"/>
            <family val="2"/>
          </rPr>
          <t xml:space="preserve">
</t>
        </r>
      </text>
    </comment>
    <comment ref="BD22" authorId="0" shapeId="0">
      <text>
        <r>
          <rPr>
            <b/>
            <sz val="8"/>
            <color indexed="81"/>
            <rFont val="Tahoma"/>
            <family val="2"/>
          </rPr>
          <t>Dat nttts lam dat tt o dau</t>
        </r>
        <r>
          <rPr>
            <sz val="8"/>
            <color indexed="81"/>
            <rFont val="Tahoma"/>
            <family val="2"/>
          </rPr>
          <t xml:space="preserve">
</t>
        </r>
      </text>
    </comment>
    <comment ref="S42" authorId="1" shapeId="0">
      <text>
        <r>
          <rPr>
            <b/>
            <sz val="8"/>
            <color indexed="81"/>
            <rFont val="Tahoma"/>
            <family val="2"/>
          </rPr>
          <t>Sao NTTS lai lay tu dat sxvlxd, gom su</t>
        </r>
        <r>
          <rPr>
            <sz val="8"/>
            <color indexed="81"/>
            <rFont val="Tahoma"/>
            <family val="2"/>
          </rPr>
          <t xml:space="preserve">
tai Dong trieu</t>
        </r>
      </text>
    </comment>
    <comment ref="Y42" authorId="0" shapeId="0">
      <text>
        <r>
          <rPr>
            <b/>
            <sz val="8"/>
            <color indexed="81"/>
            <rFont val="Tahoma"/>
            <family val="2"/>
          </rPr>
          <t>Sao dat o do thi lai lay tu dat san xuat vat lieu xay dung</t>
        </r>
        <r>
          <rPr>
            <sz val="8"/>
            <color indexed="81"/>
            <rFont val="Tahoma"/>
            <family val="2"/>
          </rPr>
          <t xml:space="preserve">
</t>
        </r>
      </text>
    </comment>
    <comment ref="Y53" authorId="0" shapeId="0">
      <text>
        <r>
          <rPr>
            <sz val="8"/>
            <color indexed="81"/>
            <rFont val="Tahoma"/>
            <family val="2"/>
          </rPr>
          <t xml:space="preserve">Sao dat o do thi lai lay tu dat co so van hoa
</t>
        </r>
      </text>
    </comment>
    <comment ref="AY59" authorId="0" shapeId="0">
      <text>
        <r>
          <rPr>
            <b/>
            <sz val="8"/>
            <color indexed="81"/>
            <rFont val="Tahoma"/>
            <family val="2"/>
          </rPr>
          <t>Sao lai lay vao dat nghia trang, nghia dia ,du an nao, o dau</t>
        </r>
        <r>
          <rPr>
            <sz val="8"/>
            <color indexed="81"/>
            <rFont val="Tahoma"/>
            <family val="2"/>
          </rPr>
          <t xml:space="preserve">
</t>
        </r>
      </text>
    </comment>
    <comment ref="BM63" authorId="0" shapeId="0">
      <text>
        <r>
          <rPr>
            <b/>
            <sz val="8"/>
            <color indexed="81"/>
            <rFont val="Tahoma"/>
            <family val="2"/>
          </rPr>
          <t>Microsoft Cop.:</t>
        </r>
        <r>
          <rPr>
            <sz val="8"/>
            <color indexed="81"/>
            <rFont val="Tahoma"/>
            <family val="2"/>
          </rPr>
          <t xml:space="preserve">
</t>
        </r>
      </text>
    </comment>
    <comment ref="J65" authorId="1" shapeId="0">
      <text>
        <r>
          <rPr>
            <b/>
            <sz val="8"/>
            <color indexed="81"/>
            <rFont val="Tahoma"/>
            <family val="2"/>
          </rPr>
          <t>Sao lai lay dat doi nui chua su dung de trong lua nuoc con lai tai cac dia phuong Ba Che  BInh Lieu</t>
        </r>
        <r>
          <rPr>
            <sz val="8"/>
            <color indexed="81"/>
            <rFont val="Tahoma"/>
            <family val="2"/>
          </rPr>
          <t xml:space="preserve">
</t>
        </r>
      </text>
    </comment>
  </commentList>
</comments>
</file>

<file path=xl/comments15.xml><?xml version="1.0" encoding="utf-8"?>
<comments xmlns="http://schemas.openxmlformats.org/spreadsheetml/2006/main">
  <authors>
    <author>Microsoft Cop.</author>
    <author>haidang</author>
  </authors>
  <commentList>
    <comment ref="AW12" authorId="0" shapeId="0">
      <text>
        <r>
          <rPr>
            <b/>
            <sz val="8"/>
            <color indexed="81"/>
            <rFont val="Tahoma"/>
            <family val="2"/>
          </rPr>
          <t>Microsoft Cop.:</t>
        </r>
        <r>
          <rPr>
            <sz val="8"/>
            <color indexed="81"/>
            <rFont val="Tahoma"/>
            <family val="2"/>
          </rPr>
          <t xml:space="preserve">
gop</t>
        </r>
      </text>
    </comment>
    <comment ref="Y22" authorId="0" shapeId="0">
      <text>
        <r>
          <rPr>
            <b/>
            <sz val="8"/>
            <color indexed="81"/>
            <rFont val="Tahoma"/>
            <family val="2"/>
          </rPr>
          <t>nhung du an o dau</t>
        </r>
        <r>
          <rPr>
            <sz val="8"/>
            <color indexed="81"/>
            <rFont val="Tahoma"/>
            <family val="2"/>
          </rPr>
          <t xml:space="preserve">
</t>
        </r>
      </text>
    </comment>
    <comment ref="AO22" authorId="0" shapeId="0">
      <text>
        <r>
          <rPr>
            <b/>
            <sz val="8"/>
            <color indexed="81"/>
            <rFont val="Tahoma"/>
            <family val="2"/>
          </rPr>
          <t>Dat khu cong nghiep o dau ma lay tu dat ntts</t>
        </r>
      </text>
    </comment>
    <comment ref="BC22" authorId="0" shapeId="0">
      <text>
        <r>
          <rPr>
            <b/>
            <sz val="8"/>
            <color indexed="81"/>
            <rFont val="Tahoma"/>
            <family val="2"/>
          </rPr>
          <t>Dat nttts lam dat gd o dau</t>
        </r>
        <r>
          <rPr>
            <sz val="8"/>
            <color indexed="81"/>
            <rFont val="Tahoma"/>
            <family val="2"/>
          </rPr>
          <t xml:space="preserve">
</t>
        </r>
      </text>
    </comment>
    <comment ref="BD22" authorId="0" shapeId="0">
      <text>
        <r>
          <rPr>
            <b/>
            <sz val="8"/>
            <color indexed="81"/>
            <rFont val="Tahoma"/>
            <family val="2"/>
          </rPr>
          <t>Dat nttts lam dat tt o dau</t>
        </r>
        <r>
          <rPr>
            <sz val="8"/>
            <color indexed="81"/>
            <rFont val="Tahoma"/>
            <family val="2"/>
          </rPr>
          <t xml:space="preserve">
</t>
        </r>
      </text>
    </comment>
    <comment ref="S42" authorId="1" shapeId="0">
      <text>
        <r>
          <rPr>
            <b/>
            <sz val="8"/>
            <color indexed="81"/>
            <rFont val="Tahoma"/>
            <family val="2"/>
          </rPr>
          <t>Sao NTTS lai lay tu dat sxvlxd, gom su</t>
        </r>
        <r>
          <rPr>
            <sz val="8"/>
            <color indexed="81"/>
            <rFont val="Tahoma"/>
            <family val="2"/>
          </rPr>
          <t xml:space="preserve">
tai Dong trieu</t>
        </r>
      </text>
    </comment>
    <comment ref="Y42" authorId="0" shapeId="0">
      <text>
        <r>
          <rPr>
            <b/>
            <sz val="8"/>
            <color indexed="81"/>
            <rFont val="Tahoma"/>
            <family val="2"/>
          </rPr>
          <t>Sao dat o do thi lai lay tu dat san xuat vat lieu xay dung</t>
        </r>
        <r>
          <rPr>
            <sz val="8"/>
            <color indexed="81"/>
            <rFont val="Tahoma"/>
            <family val="2"/>
          </rPr>
          <t xml:space="preserve">
</t>
        </r>
      </text>
    </comment>
    <comment ref="Y53" authorId="0" shapeId="0">
      <text>
        <r>
          <rPr>
            <sz val="8"/>
            <color indexed="81"/>
            <rFont val="Tahoma"/>
            <family val="2"/>
          </rPr>
          <t xml:space="preserve">Sao dat o do thi lai lay tu dat co so van hoa
</t>
        </r>
      </text>
    </comment>
    <comment ref="AY59" authorId="0" shapeId="0">
      <text>
        <r>
          <rPr>
            <b/>
            <sz val="8"/>
            <color indexed="81"/>
            <rFont val="Tahoma"/>
            <family val="2"/>
          </rPr>
          <t>Sao lai lay vao dat nghia trang, nghia dia ,du an nao, o dau</t>
        </r>
        <r>
          <rPr>
            <sz val="8"/>
            <color indexed="81"/>
            <rFont val="Tahoma"/>
            <family val="2"/>
          </rPr>
          <t xml:space="preserve">
</t>
        </r>
      </text>
    </comment>
    <comment ref="BM63" authorId="0" shapeId="0">
      <text>
        <r>
          <rPr>
            <b/>
            <sz val="8"/>
            <color indexed="81"/>
            <rFont val="Tahoma"/>
            <family val="2"/>
          </rPr>
          <t>Microsoft Cop.:</t>
        </r>
        <r>
          <rPr>
            <sz val="8"/>
            <color indexed="81"/>
            <rFont val="Tahoma"/>
            <family val="2"/>
          </rPr>
          <t xml:space="preserve">
</t>
        </r>
      </text>
    </comment>
    <comment ref="J65" authorId="1" shapeId="0">
      <text>
        <r>
          <rPr>
            <b/>
            <sz val="8"/>
            <color indexed="81"/>
            <rFont val="Tahoma"/>
            <family val="2"/>
          </rPr>
          <t>Sao lai lay dat doi nui chua su dung de trong lua nuoc con lai tai cac dia phuong Ba Che  BInh Lieu</t>
        </r>
        <r>
          <rPr>
            <sz val="8"/>
            <color indexed="81"/>
            <rFont val="Tahoma"/>
            <family val="2"/>
          </rPr>
          <t xml:space="preserve">
</t>
        </r>
      </text>
    </comment>
  </commentList>
</comments>
</file>

<file path=xl/comments16.xml><?xml version="1.0" encoding="utf-8"?>
<comments xmlns="http://schemas.openxmlformats.org/spreadsheetml/2006/main">
  <authors>
    <author>Microsoft Cop.</author>
    <author>haidang</author>
  </authors>
  <commentList>
    <comment ref="AW12" authorId="0" shapeId="0">
      <text>
        <r>
          <rPr>
            <b/>
            <sz val="8"/>
            <color indexed="81"/>
            <rFont val="Tahoma"/>
            <family val="2"/>
          </rPr>
          <t>Microsoft Cop.:</t>
        </r>
        <r>
          <rPr>
            <sz val="8"/>
            <color indexed="81"/>
            <rFont val="Tahoma"/>
            <family val="2"/>
          </rPr>
          <t xml:space="preserve">
gop</t>
        </r>
      </text>
    </comment>
    <comment ref="Y22" authorId="0" shapeId="0">
      <text>
        <r>
          <rPr>
            <b/>
            <sz val="8"/>
            <color indexed="81"/>
            <rFont val="Tahoma"/>
            <family val="2"/>
          </rPr>
          <t>nhung du an o dau</t>
        </r>
        <r>
          <rPr>
            <sz val="8"/>
            <color indexed="81"/>
            <rFont val="Tahoma"/>
            <family val="2"/>
          </rPr>
          <t xml:space="preserve">
</t>
        </r>
      </text>
    </comment>
    <comment ref="AO22" authorId="0" shapeId="0">
      <text>
        <r>
          <rPr>
            <b/>
            <sz val="8"/>
            <color indexed="81"/>
            <rFont val="Tahoma"/>
            <family val="2"/>
          </rPr>
          <t>Dat khu cong nghiep o dau ma lay tu dat ntts</t>
        </r>
      </text>
    </comment>
    <comment ref="BC22" authorId="0" shapeId="0">
      <text>
        <r>
          <rPr>
            <b/>
            <sz val="8"/>
            <color indexed="81"/>
            <rFont val="Tahoma"/>
            <family val="2"/>
          </rPr>
          <t>Dat nttts lam dat gd o dau</t>
        </r>
        <r>
          <rPr>
            <sz val="8"/>
            <color indexed="81"/>
            <rFont val="Tahoma"/>
            <family val="2"/>
          </rPr>
          <t xml:space="preserve">
</t>
        </r>
      </text>
    </comment>
    <comment ref="BD22" authorId="0" shapeId="0">
      <text>
        <r>
          <rPr>
            <b/>
            <sz val="8"/>
            <color indexed="81"/>
            <rFont val="Tahoma"/>
            <family val="2"/>
          </rPr>
          <t>Dat nttts lam dat tt o dau</t>
        </r>
        <r>
          <rPr>
            <sz val="8"/>
            <color indexed="81"/>
            <rFont val="Tahoma"/>
            <family val="2"/>
          </rPr>
          <t xml:space="preserve">
</t>
        </r>
      </text>
    </comment>
    <comment ref="S42" authorId="1" shapeId="0">
      <text>
        <r>
          <rPr>
            <b/>
            <sz val="8"/>
            <color indexed="81"/>
            <rFont val="Tahoma"/>
            <family val="2"/>
          </rPr>
          <t>Sao NTTS lai lay tu dat sxvlxd, gom su</t>
        </r>
        <r>
          <rPr>
            <sz val="8"/>
            <color indexed="81"/>
            <rFont val="Tahoma"/>
            <family val="2"/>
          </rPr>
          <t xml:space="preserve">
tai Dong trieu</t>
        </r>
      </text>
    </comment>
    <comment ref="Y42" authorId="0" shapeId="0">
      <text>
        <r>
          <rPr>
            <b/>
            <sz val="8"/>
            <color indexed="81"/>
            <rFont val="Tahoma"/>
            <family val="2"/>
          </rPr>
          <t>Sao dat o do thi lai lay tu dat san xuat vat lieu xay dung</t>
        </r>
        <r>
          <rPr>
            <sz val="8"/>
            <color indexed="81"/>
            <rFont val="Tahoma"/>
            <family val="2"/>
          </rPr>
          <t xml:space="preserve">
</t>
        </r>
      </text>
    </comment>
    <comment ref="Y53" authorId="0" shapeId="0">
      <text>
        <r>
          <rPr>
            <sz val="8"/>
            <color indexed="81"/>
            <rFont val="Tahoma"/>
            <family val="2"/>
          </rPr>
          <t xml:space="preserve">Sao dat o do thi lai lay tu dat co so van hoa
</t>
        </r>
      </text>
    </comment>
    <comment ref="AY59" authorId="0" shapeId="0">
      <text>
        <r>
          <rPr>
            <b/>
            <sz val="8"/>
            <color indexed="81"/>
            <rFont val="Tahoma"/>
            <family val="2"/>
          </rPr>
          <t>Sao lai lay vao dat nghia trang, nghia dia ,du an nao, o dau</t>
        </r>
        <r>
          <rPr>
            <sz val="8"/>
            <color indexed="81"/>
            <rFont val="Tahoma"/>
            <family val="2"/>
          </rPr>
          <t xml:space="preserve">
</t>
        </r>
      </text>
    </comment>
    <comment ref="BM63" authorId="0" shapeId="0">
      <text>
        <r>
          <rPr>
            <b/>
            <sz val="8"/>
            <color indexed="81"/>
            <rFont val="Tahoma"/>
            <family val="2"/>
          </rPr>
          <t>Microsoft Cop.:</t>
        </r>
        <r>
          <rPr>
            <sz val="8"/>
            <color indexed="81"/>
            <rFont val="Tahoma"/>
            <family val="2"/>
          </rPr>
          <t xml:space="preserve">
</t>
        </r>
      </text>
    </comment>
    <comment ref="J65" authorId="1" shapeId="0">
      <text>
        <r>
          <rPr>
            <b/>
            <sz val="8"/>
            <color indexed="81"/>
            <rFont val="Tahoma"/>
            <family val="2"/>
          </rPr>
          <t>Sao lai lay dat doi nui chua su dung de trong lua nuoc con lai tai cac dia phuong Ba Che  BInh Lieu</t>
        </r>
        <r>
          <rPr>
            <sz val="8"/>
            <color indexed="81"/>
            <rFont val="Tahoma"/>
            <family val="2"/>
          </rPr>
          <t xml:space="preserve">
</t>
        </r>
      </text>
    </comment>
  </commentList>
</comments>
</file>

<file path=xl/comments17.xml><?xml version="1.0" encoding="utf-8"?>
<comments xmlns="http://schemas.openxmlformats.org/spreadsheetml/2006/main">
  <authors>
    <author>Microsoft Cop.</author>
    <author>haidang</author>
  </authors>
  <commentList>
    <comment ref="AW12" authorId="0" shapeId="0">
      <text>
        <r>
          <rPr>
            <b/>
            <sz val="8"/>
            <color indexed="81"/>
            <rFont val="Tahoma"/>
            <family val="2"/>
          </rPr>
          <t>Microsoft Cop.:</t>
        </r>
        <r>
          <rPr>
            <sz val="8"/>
            <color indexed="81"/>
            <rFont val="Tahoma"/>
            <family val="2"/>
          </rPr>
          <t xml:space="preserve">
gop</t>
        </r>
      </text>
    </comment>
    <comment ref="Y22" authorId="0" shapeId="0">
      <text>
        <r>
          <rPr>
            <b/>
            <sz val="8"/>
            <color indexed="81"/>
            <rFont val="Tahoma"/>
            <family val="2"/>
          </rPr>
          <t>nhung du an o dau</t>
        </r>
        <r>
          <rPr>
            <sz val="8"/>
            <color indexed="81"/>
            <rFont val="Tahoma"/>
            <family val="2"/>
          </rPr>
          <t xml:space="preserve">
</t>
        </r>
      </text>
    </comment>
    <comment ref="AO22" authorId="0" shapeId="0">
      <text>
        <r>
          <rPr>
            <b/>
            <sz val="8"/>
            <color indexed="81"/>
            <rFont val="Tahoma"/>
            <family val="2"/>
          </rPr>
          <t>Dat khu cong nghiep o dau ma lay tu dat ntts</t>
        </r>
      </text>
    </comment>
    <comment ref="BC22" authorId="0" shapeId="0">
      <text>
        <r>
          <rPr>
            <b/>
            <sz val="8"/>
            <color indexed="81"/>
            <rFont val="Tahoma"/>
            <family val="2"/>
          </rPr>
          <t>Dat nttts lam dat gd o dau</t>
        </r>
        <r>
          <rPr>
            <sz val="8"/>
            <color indexed="81"/>
            <rFont val="Tahoma"/>
            <family val="2"/>
          </rPr>
          <t xml:space="preserve">
</t>
        </r>
      </text>
    </comment>
    <comment ref="BD22" authorId="0" shapeId="0">
      <text>
        <r>
          <rPr>
            <b/>
            <sz val="8"/>
            <color indexed="81"/>
            <rFont val="Tahoma"/>
            <family val="2"/>
          </rPr>
          <t>Dat nttts lam dat tt o dau</t>
        </r>
        <r>
          <rPr>
            <sz val="8"/>
            <color indexed="81"/>
            <rFont val="Tahoma"/>
            <family val="2"/>
          </rPr>
          <t xml:space="preserve">
</t>
        </r>
      </text>
    </comment>
    <comment ref="S42" authorId="1" shapeId="0">
      <text>
        <r>
          <rPr>
            <b/>
            <sz val="8"/>
            <color indexed="81"/>
            <rFont val="Tahoma"/>
            <family val="2"/>
          </rPr>
          <t>Sao NTTS lai lay tu dat sxvlxd, gom su</t>
        </r>
        <r>
          <rPr>
            <sz val="8"/>
            <color indexed="81"/>
            <rFont val="Tahoma"/>
            <family val="2"/>
          </rPr>
          <t xml:space="preserve">
tai Dong trieu</t>
        </r>
      </text>
    </comment>
    <comment ref="Y42" authorId="0" shapeId="0">
      <text>
        <r>
          <rPr>
            <b/>
            <sz val="8"/>
            <color indexed="81"/>
            <rFont val="Tahoma"/>
            <family val="2"/>
          </rPr>
          <t>Sao dat o do thi lai lay tu dat san xuat vat lieu xay dung</t>
        </r>
        <r>
          <rPr>
            <sz val="8"/>
            <color indexed="81"/>
            <rFont val="Tahoma"/>
            <family val="2"/>
          </rPr>
          <t xml:space="preserve">
</t>
        </r>
      </text>
    </comment>
    <comment ref="Y53" authorId="0" shapeId="0">
      <text>
        <r>
          <rPr>
            <sz val="8"/>
            <color indexed="81"/>
            <rFont val="Tahoma"/>
            <family val="2"/>
          </rPr>
          <t xml:space="preserve">Sao dat o do thi lai lay tu dat co so van hoa
</t>
        </r>
      </text>
    </comment>
    <comment ref="AY59" authorId="0" shapeId="0">
      <text>
        <r>
          <rPr>
            <b/>
            <sz val="8"/>
            <color indexed="81"/>
            <rFont val="Tahoma"/>
            <family val="2"/>
          </rPr>
          <t>Sao lai lay vao dat nghia trang, nghia dia ,du an nao, o dau</t>
        </r>
        <r>
          <rPr>
            <sz val="8"/>
            <color indexed="81"/>
            <rFont val="Tahoma"/>
            <family val="2"/>
          </rPr>
          <t xml:space="preserve">
</t>
        </r>
      </text>
    </comment>
    <comment ref="BM63" authorId="0" shapeId="0">
      <text>
        <r>
          <rPr>
            <b/>
            <sz val="8"/>
            <color indexed="81"/>
            <rFont val="Tahoma"/>
            <family val="2"/>
          </rPr>
          <t>Microsoft Cop.:</t>
        </r>
        <r>
          <rPr>
            <sz val="8"/>
            <color indexed="81"/>
            <rFont val="Tahoma"/>
            <family val="2"/>
          </rPr>
          <t xml:space="preserve">
</t>
        </r>
      </text>
    </comment>
    <comment ref="J65" authorId="1" shapeId="0">
      <text>
        <r>
          <rPr>
            <b/>
            <sz val="8"/>
            <color indexed="81"/>
            <rFont val="Tahoma"/>
            <family val="2"/>
          </rPr>
          <t>Sao lai lay dat doi nui chua su dung de trong lua nuoc con lai tai cac dia phuong Ba Che  BInh Lieu</t>
        </r>
        <r>
          <rPr>
            <sz val="8"/>
            <color indexed="81"/>
            <rFont val="Tahoma"/>
            <family val="2"/>
          </rPr>
          <t xml:space="preserve">
</t>
        </r>
      </text>
    </comment>
  </commentList>
</comments>
</file>

<file path=xl/comments18.xml><?xml version="1.0" encoding="utf-8"?>
<comments xmlns="http://schemas.openxmlformats.org/spreadsheetml/2006/main">
  <authors>
    <author>Microsoft Cop.</author>
    <author>haidang</author>
  </authors>
  <commentList>
    <comment ref="AW12" authorId="0" shapeId="0">
      <text>
        <r>
          <rPr>
            <b/>
            <sz val="8"/>
            <color indexed="81"/>
            <rFont val="Tahoma"/>
            <family val="2"/>
          </rPr>
          <t>Microsoft Cop.:</t>
        </r>
        <r>
          <rPr>
            <sz val="8"/>
            <color indexed="81"/>
            <rFont val="Tahoma"/>
            <family val="2"/>
          </rPr>
          <t xml:space="preserve">
gop</t>
        </r>
      </text>
    </comment>
    <comment ref="Y22" authorId="0" shapeId="0">
      <text>
        <r>
          <rPr>
            <b/>
            <sz val="8"/>
            <color indexed="81"/>
            <rFont val="Tahoma"/>
            <family val="2"/>
          </rPr>
          <t>nhung du an o dau</t>
        </r>
        <r>
          <rPr>
            <sz val="8"/>
            <color indexed="81"/>
            <rFont val="Tahoma"/>
            <family val="2"/>
          </rPr>
          <t xml:space="preserve">
</t>
        </r>
      </text>
    </comment>
    <comment ref="AO22" authorId="0" shapeId="0">
      <text>
        <r>
          <rPr>
            <b/>
            <sz val="8"/>
            <color indexed="81"/>
            <rFont val="Tahoma"/>
            <family val="2"/>
          </rPr>
          <t>Dat khu cong nghiep o dau ma lay tu dat ntts</t>
        </r>
      </text>
    </comment>
    <comment ref="BC22" authorId="0" shapeId="0">
      <text>
        <r>
          <rPr>
            <b/>
            <sz val="8"/>
            <color indexed="81"/>
            <rFont val="Tahoma"/>
            <family val="2"/>
          </rPr>
          <t>Dat nttts lam dat gd o dau</t>
        </r>
        <r>
          <rPr>
            <sz val="8"/>
            <color indexed="81"/>
            <rFont val="Tahoma"/>
            <family val="2"/>
          </rPr>
          <t xml:space="preserve">
</t>
        </r>
      </text>
    </comment>
    <comment ref="BD22" authorId="0" shapeId="0">
      <text>
        <r>
          <rPr>
            <b/>
            <sz val="8"/>
            <color indexed="81"/>
            <rFont val="Tahoma"/>
            <family val="2"/>
          </rPr>
          <t>Dat nttts lam dat tt o dau</t>
        </r>
        <r>
          <rPr>
            <sz val="8"/>
            <color indexed="81"/>
            <rFont val="Tahoma"/>
            <family val="2"/>
          </rPr>
          <t xml:space="preserve">
</t>
        </r>
      </text>
    </comment>
    <comment ref="S42" authorId="1" shapeId="0">
      <text>
        <r>
          <rPr>
            <b/>
            <sz val="8"/>
            <color indexed="81"/>
            <rFont val="Tahoma"/>
            <family val="2"/>
          </rPr>
          <t>Sao NTTS lai lay tu dat sxvlxd, gom su</t>
        </r>
        <r>
          <rPr>
            <sz val="8"/>
            <color indexed="81"/>
            <rFont val="Tahoma"/>
            <family val="2"/>
          </rPr>
          <t xml:space="preserve">
tai Dong trieu</t>
        </r>
      </text>
    </comment>
    <comment ref="Y42" authorId="0" shapeId="0">
      <text>
        <r>
          <rPr>
            <b/>
            <sz val="8"/>
            <color indexed="81"/>
            <rFont val="Tahoma"/>
            <family val="2"/>
          </rPr>
          <t>Sao dat o do thi lai lay tu dat san xuat vat lieu xay dung</t>
        </r>
        <r>
          <rPr>
            <sz val="8"/>
            <color indexed="81"/>
            <rFont val="Tahoma"/>
            <family val="2"/>
          </rPr>
          <t xml:space="preserve">
</t>
        </r>
      </text>
    </comment>
    <comment ref="Y53" authorId="0" shapeId="0">
      <text>
        <r>
          <rPr>
            <sz val="8"/>
            <color indexed="81"/>
            <rFont val="Tahoma"/>
            <family val="2"/>
          </rPr>
          <t xml:space="preserve">Sao dat o do thi lai lay tu dat co so van hoa
</t>
        </r>
      </text>
    </comment>
    <comment ref="AY59" authorId="0" shapeId="0">
      <text>
        <r>
          <rPr>
            <b/>
            <sz val="8"/>
            <color indexed="81"/>
            <rFont val="Tahoma"/>
            <family val="2"/>
          </rPr>
          <t>Sao lai lay vao dat nghia trang, nghia dia ,du an nao, o dau</t>
        </r>
        <r>
          <rPr>
            <sz val="8"/>
            <color indexed="81"/>
            <rFont val="Tahoma"/>
            <family val="2"/>
          </rPr>
          <t xml:space="preserve">
</t>
        </r>
      </text>
    </comment>
    <comment ref="BM63" authorId="0" shapeId="0">
      <text>
        <r>
          <rPr>
            <b/>
            <sz val="8"/>
            <color indexed="81"/>
            <rFont val="Tahoma"/>
            <family val="2"/>
          </rPr>
          <t>Microsoft Cop.:</t>
        </r>
        <r>
          <rPr>
            <sz val="8"/>
            <color indexed="81"/>
            <rFont val="Tahoma"/>
            <family val="2"/>
          </rPr>
          <t xml:space="preserve">
</t>
        </r>
      </text>
    </comment>
    <comment ref="J65" authorId="1" shapeId="0">
      <text>
        <r>
          <rPr>
            <b/>
            <sz val="8"/>
            <color indexed="81"/>
            <rFont val="Tahoma"/>
            <family val="2"/>
          </rPr>
          <t>Sao lai lay dat doi nui chua su dung de trong lua nuoc con lai tai cac dia phuong Ba Che  BInh Lieu</t>
        </r>
        <r>
          <rPr>
            <sz val="8"/>
            <color indexed="81"/>
            <rFont val="Tahoma"/>
            <family val="2"/>
          </rPr>
          <t xml:space="preserve">
</t>
        </r>
      </text>
    </comment>
  </commentList>
</comments>
</file>

<file path=xl/comments19.xml><?xml version="1.0" encoding="utf-8"?>
<comments xmlns="http://schemas.openxmlformats.org/spreadsheetml/2006/main">
  <authors>
    <author>Microsoft Cop.</author>
    <author>haidang</author>
  </authors>
  <commentList>
    <comment ref="AW12" authorId="0" shapeId="0">
      <text>
        <r>
          <rPr>
            <b/>
            <sz val="8"/>
            <color indexed="81"/>
            <rFont val="Tahoma"/>
            <family val="2"/>
          </rPr>
          <t>Microsoft Cop.:</t>
        </r>
        <r>
          <rPr>
            <sz val="8"/>
            <color indexed="81"/>
            <rFont val="Tahoma"/>
            <family val="2"/>
          </rPr>
          <t xml:space="preserve">
gop</t>
        </r>
      </text>
    </comment>
    <comment ref="Y22" authorId="0" shapeId="0">
      <text>
        <r>
          <rPr>
            <b/>
            <sz val="8"/>
            <color indexed="81"/>
            <rFont val="Tahoma"/>
            <family val="2"/>
          </rPr>
          <t>nhung du an o dau</t>
        </r>
        <r>
          <rPr>
            <sz val="8"/>
            <color indexed="81"/>
            <rFont val="Tahoma"/>
            <family val="2"/>
          </rPr>
          <t xml:space="preserve">
</t>
        </r>
      </text>
    </comment>
    <comment ref="AO22" authorId="0" shapeId="0">
      <text>
        <r>
          <rPr>
            <b/>
            <sz val="8"/>
            <color indexed="81"/>
            <rFont val="Tahoma"/>
            <family val="2"/>
          </rPr>
          <t>Dat khu cong nghiep o dau ma lay tu dat ntts</t>
        </r>
      </text>
    </comment>
    <comment ref="BC22" authorId="0" shapeId="0">
      <text>
        <r>
          <rPr>
            <b/>
            <sz val="8"/>
            <color indexed="81"/>
            <rFont val="Tahoma"/>
            <family val="2"/>
          </rPr>
          <t>Dat nttts lam dat gd o dau</t>
        </r>
        <r>
          <rPr>
            <sz val="8"/>
            <color indexed="81"/>
            <rFont val="Tahoma"/>
            <family val="2"/>
          </rPr>
          <t xml:space="preserve">
</t>
        </r>
      </text>
    </comment>
    <comment ref="BD22" authorId="0" shapeId="0">
      <text>
        <r>
          <rPr>
            <b/>
            <sz val="8"/>
            <color indexed="81"/>
            <rFont val="Tahoma"/>
            <family val="2"/>
          </rPr>
          <t>Dat nttts lam dat tt o dau</t>
        </r>
        <r>
          <rPr>
            <sz val="8"/>
            <color indexed="81"/>
            <rFont val="Tahoma"/>
            <family val="2"/>
          </rPr>
          <t xml:space="preserve">
</t>
        </r>
      </text>
    </comment>
    <comment ref="S42" authorId="1" shapeId="0">
      <text>
        <r>
          <rPr>
            <b/>
            <sz val="8"/>
            <color indexed="81"/>
            <rFont val="Tahoma"/>
            <family val="2"/>
          </rPr>
          <t>Sao NTTS lai lay tu dat sxvlxd, gom su</t>
        </r>
        <r>
          <rPr>
            <sz val="8"/>
            <color indexed="81"/>
            <rFont val="Tahoma"/>
            <family val="2"/>
          </rPr>
          <t xml:space="preserve">
tai Dong trieu</t>
        </r>
      </text>
    </comment>
    <comment ref="Y42" authorId="0" shapeId="0">
      <text>
        <r>
          <rPr>
            <b/>
            <sz val="8"/>
            <color indexed="81"/>
            <rFont val="Tahoma"/>
            <family val="2"/>
          </rPr>
          <t>Sao dat o do thi lai lay tu dat san xuat vat lieu xay dung</t>
        </r>
        <r>
          <rPr>
            <sz val="8"/>
            <color indexed="81"/>
            <rFont val="Tahoma"/>
            <family val="2"/>
          </rPr>
          <t xml:space="preserve">
</t>
        </r>
      </text>
    </comment>
    <comment ref="Y53" authorId="0" shapeId="0">
      <text>
        <r>
          <rPr>
            <sz val="8"/>
            <color indexed="81"/>
            <rFont val="Tahoma"/>
            <family val="2"/>
          </rPr>
          <t xml:space="preserve">Sao dat o do thi lai lay tu dat co so van hoa
</t>
        </r>
      </text>
    </comment>
    <comment ref="AY59" authorId="0" shapeId="0">
      <text>
        <r>
          <rPr>
            <b/>
            <sz val="8"/>
            <color indexed="81"/>
            <rFont val="Tahoma"/>
            <family val="2"/>
          </rPr>
          <t>Sao lai lay vao dat nghia trang, nghia dia ,du an nao, o dau</t>
        </r>
        <r>
          <rPr>
            <sz val="8"/>
            <color indexed="81"/>
            <rFont val="Tahoma"/>
            <family val="2"/>
          </rPr>
          <t xml:space="preserve">
</t>
        </r>
      </text>
    </comment>
    <comment ref="BM63" authorId="0" shapeId="0">
      <text>
        <r>
          <rPr>
            <b/>
            <sz val="8"/>
            <color indexed="81"/>
            <rFont val="Tahoma"/>
            <family val="2"/>
          </rPr>
          <t>Microsoft Cop.:</t>
        </r>
        <r>
          <rPr>
            <sz val="8"/>
            <color indexed="81"/>
            <rFont val="Tahoma"/>
            <family val="2"/>
          </rPr>
          <t xml:space="preserve">
</t>
        </r>
      </text>
    </comment>
    <comment ref="J65" authorId="1" shapeId="0">
      <text>
        <r>
          <rPr>
            <b/>
            <sz val="8"/>
            <color indexed="81"/>
            <rFont val="Tahoma"/>
            <family val="2"/>
          </rPr>
          <t>Sao lai lay dat doi nui chua su dung de trong lua nuoc con lai tai cac dia phuong Ba Che  BInh Lieu</t>
        </r>
        <r>
          <rPr>
            <sz val="8"/>
            <color indexed="81"/>
            <rFont val="Tahoma"/>
            <family val="2"/>
          </rPr>
          <t xml:space="preserve">
</t>
        </r>
      </text>
    </comment>
  </commentList>
</comments>
</file>

<file path=xl/comments2.xml><?xml version="1.0" encoding="utf-8"?>
<comments xmlns="http://schemas.openxmlformats.org/spreadsheetml/2006/main">
  <authors>
    <author>Microsoft Cop.</author>
  </authors>
  <commentList>
    <comment ref="BF58" authorId="0" shapeId="0">
      <text>
        <r>
          <rPr>
            <b/>
            <sz val="8"/>
            <color indexed="81"/>
            <rFont val="Tahoma"/>
            <family val="2"/>
          </rPr>
          <t>Microsoft Cop.:</t>
        </r>
        <r>
          <rPr>
            <sz val="8"/>
            <color indexed="81"/>
            <rFont val="Tahoma"/>
            <family val="2"/>
          </rPr>
          <t xml:space="preserve">
</t>
        </r>
      </text>
    </comment>
  </commentList>
</comments>
</file>

<file path=xl/comments20.xml><?xml version="1.0" encoding="utf-8"?>
<comments xmlns="http://schemas.openxmlformats.org/spreadsheetml/2006/main">
  <authors>
    <author>Microsoft Cop.</author>
    <author>haidang</author>
  </authors>
  <commentList>
    <comment ref="AW12" authorId="0" shapeId="0">
      <text>
        <r>
          <rPr>
            <b/>
            <sz val="8"/>
            <color indexed="81"/>
            <rFont val="Tahoma"/>
            <family val="2"/>
          </rPr>
          <t>Microsoft Cop.:</t>
        </r>
        <r>
          <rPr>
            <sz val="8"/>
            <color indexed="81"/>
            <rFont val="Tahoma"/>
            <family val="2"/>
          </rPr>
          <t xml:space="preserve">
gop</t>
        </r>
      </text>
    </comment>
    <comment ref="Y22" authorId="0" shapeId="0">
      <text>
        <r>
          <rPr>
            <b/>
            <sz val="8"/>
            <color indexed="81"/>
            <rFont val="Tahoma"/>
            <family val="2"/>
          </rPr>
          <t>nhung du an o dau</t>
        </r>
        <r>
          <rPr>
            <sz val="8"/>
            <color indexed="81"/>
            <rFont val="Tahoma"/>
            <family val="2"/>
          </rPr>
          <t xml:space="preserve">
</t>
        </r>
      </text>
    </comment>
    <comment ref="AO22" authorId="0" shapeId="0">
      <text>
        <r>
          <rPr>
            <b/>
            <sz val="8"/>
            <color indexed="81"/>
            <rFont val="Tahoma"/>
            <family val="2"/>
          </rPr>
          <t>Dat khu cong nghiep o dau ma lay tu dat ntts</t>
        </r>
      </text>
    </comment>
    <comment ref="BC22" authorId="0" shapeId="0">
      <text>
        <r>
          <rPr>
            <b/>
            <sz val="8"/>
            <color indexed="81"/>
            <rFont val="Tahoma"/>
            <family val="2"/>
          </rPr>
          <t>Dat nttts lam dat gd o dau</t>
        </r>
        <r>
          <rPr>
            <sz val="8"/>
            <color indexed="81"/>
            <rFont val="Tahoma"/>
            <family val="2"/>
          </rPr>
          <t xml:space="preserve">
</t>
        </r>
      </text>
    </comment>
    <comment ref="BD22" authorId="0" shapeId="0">
      <text>
        <r>
          <rPr>
            <b/>
            <sz val="8"/>
            <color indexed="81"/>
            <rFont val="Tahoma"/>
            <family val="2"/>
          </rPr>
          <t>Dat nttts lam dat tt o dau</t>
        </r>
        <r>
          <rPr>
            <sz val="8"/>
            <color indexed="81"/>
            <rFont val="Tahoma"/>
            <family val="2"/>
          </rPr>
          <t xml:space="preserve">
</t>
        </r>
      </text>
    </comment>
    <comment ref="S42" authorId="1" shapeId="0">
      <text>
        <r>
          <rPr>
            <b/>
            <sz val="8"/>
            <color indexed="81"/>
            <rFont val="Tahoma"/>
            <family val="2"/>
          </rPr>
          <t>Sao NTTS lai lay tu dat sxvlxd, gom su</t>
        </r>
        <r>
          <rPr>
            <sz val="8"/>
            <color indexed="81"/>
            <rFont val="Tahoma"/>
            <family val="2"/>
          </rPr>
          <t xml:space="preserve">
tai Dong trieu</t>
        </r>
      </text>
    </comment>
    <comment ref="Y42" authorId="0" shapeId="0">
      <text>
        <r>
          <rPr>
            <b/>
            <sz val="8"/>
            <color indexed="81"/>
            <rFont val="Tahoma"/>
            <family val="2"/>
          </rPr>
          <t>Sao dat o do thi lai lay tu dat san xuat vat lieu xay dung</t>
        </r>
        <r>
          <rPr>
            <sz val="8"/>
            <color indexed="81"/>
            <rFont val="Tahoma"/>
            <family val="2"/>
          </rPr>
          <t xml:space="preserve">
</t>
        </r>
      </text>
    </comment>
    <comment ref="Y53" authorId="0" shapeId="0">
      <text>
        <r>
          <rPr>
            <sz val="8"/>
            <color indexed="81"/>
            <rFont val="Tahoma"/>
            <family val="2"/>
          </rPr>
          <t xml:space="preserve">Sao dat o do thi lai lay tu dat co so van hoa
</t>
        </r>
      </text>
    </comment>
    <comment ref="AY59" authorId="0" shapeId="0">
      <text>
        <r>
          <rPr>
            <b/>
            <sz val="8"/>
            <color indexed="81"/>
            <rFont val="Tahoma"/>
            <family val="2"/>
          </rPr>
          <t>Sao lai lay vao dat nghia trang, nghia dia ,du an nao, o dau</t>
        </r>
        <r>
          <rPr>
            <sz val="8"/>
            <color indexed="81"/>
            <rFont val="Tahoma"/>
            <family val="2"/>
          </rPr>
          <t xml:space="preserve">
</t>
        </r>
      </text>
    </comment>
    <comment ref="BM63" authorId="0" shapeId="0">
      <text>
        <r>
          <rPr>
            <b/>
            <sz val="8"/>
            <color indexed="81"/>
            <rFont val="Tahoma"/>
            <family val="2"/>
          </rPr>
          <t>Microsoft Cop.:</t>
        </r>
        <r>
          <rPr>
            <sz val="8"/>
            <color indexed="81"/>
            <rFont val="Tahoma"/>
            <family val="2"/>
          </rPr>
          <t xml:space="preserve">
</t>
        </r>
      </text>
    </comment>
    <comment ref="J65" authorId="1" shapeId="0">
      <text>
        <r>
          <rPr>
            <b/>
            <sz val="8"/>
            <color indexed="81"/>
            <rFont val="Tahoma"/>
            <family val="2"/>
          </rPr>
          <t>Sao lai lay dat doi nui chua su dung de trong lua nuoc con lai tai cac dia phuong Ba Che  BInh Lieu</t>
        </r>
        <r>
          <rPr>
            <sz val="8"/>
            <color indexed="81"/>
            <rFont val="Tahoma"/>
            <family val="2"/>
          </rPr>
          <t xml:space="preserve">
</t>
        </r>
      </text>
    </comment>
  </commentList>
</comments>
</file>

<file path=xl/comments21.xml><?xml version="1.0" encoding="utf-8"?>
<comments xmlns="http://schemas.openxmlformats.org/spreadsheetml/2006/main">
  <authors>
    <author>Microsoft Cop.</author>
    <author>haidang</author>
  </authors>
  <commentList>
    <comment ref="AW12" authorId="0" shapeId="0">
      <text>
        <r>
          <rPr>
            <b/>
            <sz val="8"/>
            <color indexed="81"/>
            <rFont val="Tahoma"/>
            <family val="2"/>
          </rPr>
          <t>Microsoft Cop.:</t>
        </r>
        <r>
          <rPr>
            <sz val="8"/>
            <color indexed="81"/>
            <rFont val="Tahoma"/>
            <family val="2"/>
          </rPr>
          <t xml:space="preserve">
gop</t>
        </r>
      </text>
    </comment>
    <comment ref="Y22" authorId="0" shapeId="0">
      <text>
        <r>
          <rPr>
            <b/>
            <sz val="8"/>
            <color indexed="81"/>
            <rFont val="Tahoma"/>
            <family val="2"/>
          </rPr>
          <t>nhung du an o dau</t>
        </r>
        <r>
          <rPr>
            <sz val="8"/>
            <color indexed="81"/>
            <rFont val="Tahoma"/>
            <family val="2"/>
          </rPr>
          <t xml:space="preserve">
</t>
        </r>
      </text>
    </comment>
    <comment ref="AO22" authorId="0" shapeId="0">
      <text>
        <r>
          <rPr>
            <b/>
            <sz val="8"/>
            <color indexed="81"/>
            <rFont val="Tahoma"/>
            <family val="2"/>
          </rPr>
          <t>Dat khu cong nghiep o dau ma lay tu dat ntts</t>
        </r>
      </text>
    </comment>
    <comment ref="BC22" authorId="0" shapeId="0">
      <text>
        <r>
          <rPr>
            <b/>
            <sz val="8"/>
            <color indexed="81"/>
            <rFont val="Tahoma"/>
            <family val="2"/>
          </rPr>
          <t>Dat nttts lam dat gd o dau</t>
        </r>
        <r>
          <rPr>
            <sz val="8"/>
            <color indexed="81"/>
            <rFont val="Tahoma"/>
            <family val="2"/>
          </rPr>
          <t xml:space="preserve">
</t>
        </r>
      </text>
    </comment>
    <comment ref="BD22" authorId="0" shapeId="0">
      <text>
        <r>
          <rPr>
            <b/>
            <sz val="8"/>
            <color indexed="81"/>
            <rFont val="Tahoma"/>
            <family val="2"/>
          </rPr>
          <t>Dat nttts lam dat tt o dau</t>
        </r>
        <r>
          <rPr>
            <sz val="8"/>
            <color indexed="81"/>
            <rFont val="Tahoma"/>
            <family val="2"/>
          </rPr>
          <t xml:space="preserve">
</t>
        </r>
      </text>
    </comment>
    <comment ref="S42" authorId="1" shapeId="0">
      <text>
        <r>
          <rPr>
            <b/>
            <sz val="8"/>
            <color indexed="81"/>
            <rFont val="Tahoma"/>
            <family val="2"/>
          </rPr>
          <t>Sao NTTS lai lay tu dat sxvlxd, gom su</t>
        </r>
        <r>
          <rPr>
            <sz val="8"/>
            <color indexed="81"/>
            <rFont val="Tahoma"/>
            <family val="2"/>
          </rPr>
          <t xml:space="preserve">
tai Dong trieu</t>
        </r>
      </text>
    </comment>
    <comment ref="Y42" authorId="0" shapeId="0">
      <text>
        <r>
          <rPr>
            <b/>
            <sz val="8"/>
            <color indexed="81"/>
            <rFont val="Tahoma"/>
            <family val="2"/>
          </rPr>
          <t>Sao dat o do thi lai lay tu dat san xuat vat lieu xay dung</t>
        </r>
        <r>
          <rPr>
            <sz val="8"/>
            <color indexed="81"/>
            <rFont val="Tahoma"/>
            <family val="2"/>
          </rPr>
          <t xml:space="preserve">
</t>
        </r>
      </text>
    </comment>
    <comment ref="Y53" authorId="0" shapeId="0">
      <text>
        <r>
          <rPr>
            <sz val="8"/>
            <color indexed="81"/>
            <rFont val="Tahoma"/>
            <family val="2"/>
          </rPr>
          <t xml:space="preserve">Sao dat o do thi lai lay tu dat co so van hoa
</t>
        </r>
      </text>
    </comment>
    <comment ref="AY59" authorId="0" shapeId="0">
      <text>
        <r>
          <rPr>
            <b/>
            <sz val="8"/>
            <color indexed="81"/>
            <rFont val="Tahoma"/>
            <family val="2"/>
          </rPr>
          <t>Sao lai lay vao dat nghia trang, nghia dia ,du an nao, o dau</t>
        </r>
        <r>
          <rPr>
            <sz val="8"/>
            <color indexed="81"/>
            <rFont val="Tahoma"/>
            <family val="2"/>
          </rPr>
          <t xml:space="preserve">
</t>
        </r>
      </text>
    </comment>
    <comment ref="BM63" authorId="0" shapeId="0">
      <text>
        <r>
          <rPr>
            <b/>
            <sz val="8"/>
            <color indexed="81"/>
            <rFont val="Tahoma"/>
            <family val="2"/>
          </rPr>
          <t>Microsoft Cop.:</t>
        </r>
        <r>
          <rPr>
            <sz val="8"/>
            <color indexed="81"/>
            <rFont val="Tahoma"/>
            <family val="2"/>
          </rPr>
          <t xml:space="preserve">
</t>
        </r>
      </text>
    </comment>
    <comment ref="J65" authorId="1" shapeId="0">
      <text>
        <r>
          <rPr>
            <b/>
            <sz val="8"/>
            <color indexed="81"/>
            <rFont val="Tahoma"/>
            <family val="2"/>
          </rPr>
          <t>Sao lai lay dat doi nui chua su dung de trong lua nuoc con lai tai cac dia phuong Ba Che  BInh Lieu</t>
        </r>
        <r>
          <rPr>
            <sz val="8"/>
            <color indexed="81"/>
            <rFont val="Tahoma"/>
            <family val="2"/>
          </rPr>
          <t xml:space="preserve">
</t>
        </r>
      </text>
    </comment>
  </commentList>
</comments>
</file>

<file path=xl/comments22.xml><?xml version="1.0" encoding="utf-8"?>
<comments xmlns="http://schemas.openxmlformats.org/spreadsheetml/2006/main">
  <authors>
    <author>Microsoft Cop.</author>
    <author>haidang</author>
  </authors>
  <commentList>
    <comment ref="AW12" authorId="0" shapeId="0">
      <text>
        <r>
          <rPr>
            <b/>
            <sz val="8"/>
            <color indexed="81"/>
            <rFont val="Tahoma"/>
            <family val="2"/>
          </rPr>
          <t>Microsoft Cop.:</t>
        </r>
        <r>
          <rPr>
            <sz val="8"/>
            <color indexed="81"/>
            <rFont val="Tahoma"/>
            <family val="2"/>
          </rPr>
          <t xml:space="preserve">
gop</t>
        </r>
      </text>
    </comment>
    <comment ref="Y22" authorId="0" shapeId="0">
      <text>
        <r>
          <rPr>
            <b/>
            <sz val="8"/>
            <color indexed="81"/>
            <rFont val="Tahoma"/>
            <family val="2"/>
          </rPr>
          <t>nhung du an o dau</t>
        </r>
        <r>
          <rPr>
            <sz val="8"/>
            <color indexed="81"/>
            <rFont val="Tahoma"/>
            <family val="2"/>
          </rPr>
          <t xml:space="preserve">
</t>
        </r>
      </text>
    </comment>
    <comment ref="AO22" authorId="0" shapeId="0">
      <text>
        <r>
          <rPr>
            <b/>
            <sz val="8"/>
            <color indexed="81"/>
            <rFont val="Tahoma"/>
            <family val="2"/>
          </rPr>
          <t>Dat khu cong nghiep o dau ma lay tu dat ntts</t>
        </r>
      </text>
    </comment>
    <comment ref="BC22" authorId="0" shapeId="0">
      <text>
        <r>
          <rPr>
            <b/>
            <sz val="8"/>
            <color indexed="81"/>
            <rFont val="Tahoma"/>
            <family val="2"/>
          </rPr>
          <t>Dat nttts lam dat gd o dau</t>
        </r>
        <r>
          <rPr>
            <sz val="8"/>
            <color indexed="81"/>
            <rFont val="Tahoma"/>
            <family val="2"/>
          </rPr>
          <t xml:space="preserve">
</t>
        </r>
      </text>
    </comment>
    <comment ref="BD22" authorId="0" shapeId="0">
      <text>
        <r>
          <rPr>
            <b/>
            <sz val="8"/>
            <color indexed="81"/>
            <rFont val="Tahoma"/>
            <family val="2"/>
          </rPr>
          <t>Dat nttts lam dat tt o dau</t>
        </r>
        <r>
          <rPr>
            <sz val="8"/>
            <color indexed="81"/>
            <rFont val="Tahoma"/>
            <family val="2"/>
          </rPr>
          <t xml:space="preserve">
</t>
        </r>
      </text>
    </comment>
    <comment ref="S42" authorId="1" shapeId="0">
      <text>
        <r>
          <rPr>
            <b/>
            <sz val="8"/>
            <color indexed="81"/>
            <rFont val="Tahoma"/>
            <family val="2"/>
          </rPr>
          <t>Sao NTTS lai lay tu dat sxvlxd, gom su</t>
        </r>
        <r>
          <rPr>
            <sz val="8"/>
            <color indexed="81"/>
            <rFont val="Tahoma"/>
            <family val="2"/>
          </rPr>
          <t xml:space="preserve">
tai Dong trieu</t>
        </r>
      </text>
    </comment>
    <comment ref="Y42" authorId="0" shapeId="0">
      <text>
        <r>
          <rPr>
            <b/>
            <sz val="8"/>
            <color indexed="81"/>
            <rFont val="Tahoma"/>
            <family val="2"/>
          </rPr>
          <t>Sao dat o do thi lai lay tu dat san xuat vat lieu xay dung</t>
        </r>
        <r>
          <rPr>
            <sz val="8"/>
            <color indexed="81"/>
            <rFont val="Tahoma"/>
            <family val="2"/>
          </rPr>
          <t xml:space="preserve">
</t>
        </r>
      </text>
    </comment>
    <comment ref="Y53" authorId="0" shapeId="0">
      <text>
        <r>
          <rPr>
            <sz val="8"/>
            <color indexed="81"/>
            <rFont val="Tahoma"/>
            <family val="2"/>
          </rPr>
          <t xml:space="preserve">Sao dat o do thi lai lay tu dat co so van hoa
</t>
        </r>
      </text>
    </comment>
    <comment ref="AY59" authorId="0" shapeId="0">
      <text>
        <r>
          <rPr>
            <b/>
            <sz val="8"/>
            <color indexed="81"/>
            <rFont val="Tahoma"/>
            <family val="2"/>
          </rPr>
          <t>Sao lai lay vao dat nghia trang, nghia dia ,du an nao, o dau</t>
        </r>
        <r>
          <rPr>
            <sz val="8"/>
            <color indexed="81"/>
            <rFont val="Tahoma"/>
            <family val="2"/>
          </rPr>
          <t xml:space="preserve">
</t>
        </r>
      </text>
    </comment>
    <comment ref="BM63" authorId="0" shapeId="0">
      <text>
        <r>
          <rPr>
            <b/>
            <sz val="8"/>
            <color indexed="81"/>
            <rFont val="Tahoma"/>
            <family val="2"/>
          </rPr>
          <t>Microsoft Cop.:</t>
        </r>
        <r>
          <rPr>
            <sz val="8"/>
            <color indexed="81"/>
            <rFont val="Tahoma"/>
            <family val="2"/>
          </rPr>
          <t xml:space="preserve">
</t>
        </r>
      </text>
    </comment>
    <comment ref="J65" authorId="1" shapeId="0">
      <text>
        <r>
          <rPr>
            <b/>
            <sz val="8"/>
            <color indexed="81"/>
            <rFont val="Tahoma"/>
            <family val="2"/>
          </rPr>
          <t>Sao lai lay dat doi nui chua su dung de trong lua nuoc con lai tai cac dia phuong Ba Che  BInh Lieu</t>
        </r>
        <r>
          <rPr>
            <sz val="8"/>
            <color indexed="81"/>
            <rFont val="Tahoma"/>
            <family val="2"/>
          </rPr>
          <t xml:space="preserve">
</t>
        </r>
      </text>
    </comment>
  </commentList>
</comments>
</file>

<file path=xl/comments23.xml><?xml version="1.0" encoding="utf-8"?>
<comments xmlns="http://schemas.openxmlformats.org/spreadsheetml/2006/main">
  <authors>
    <author>Microsoft Cop.</author>
    <author>haidang</author>
  </authors>
  <commentList>
    <comment ref="AW12" authorId="0" shapeId="0">
      <text>
        <r>
          <rPr>
            <b/>
            <sz val="8"/>
            <color indexed="81"/>
            <rFont val="Tahoma"/>
            <family val="2"/>
          </rPr>
          <t>Microsoft Cop.:</t>
        </r>
        <r>
          <rPr>
            <sz val="8"/>
            <color indexed="81"/>
            <rFont val="Tahoma"/>
            <family val="2"/>
          </rPr>
          <t xml:space="preserve">
gop</t>
        </r>
      </text>
    </comment>
    <comment ref="Y22" authorId="0" shapeId="0">
      <text>
        <r>
          <rPr>
            <b/>
            <sz val="8"/>
            <color indexed="81"/>
            <rFont val="Tahoma"/>
            <family val="2"/>
          </rPr>
          <t>nhung du an o dau</t>
        </r>
        <r>
          <rPr>
            <sz val="8"/>
            <color indexed="81"/>
            <rFont val="Tahoma"/>
            <family val="2"/>
          </rPr>
          <t xml:space="preserve">
</t>
        </r>
      </text>
    </comment>
    <comment ref="AO22" authorId="0" shapeId="0">
      <text>
        <r>
          <rPr>
            <b/>
            <sz val="8"/>
            <color indexed="81"/>
            <rFont val="Tahoma"/>
            <family val="2"/>
          </rPr>
          <t>Dat khu cong nghiep o dau ma lay tu dat ntts</t>
        </r>
      </text>
    </comment>
    <comment ref="BC22" authorId="0" shapeId="0">
      <text>
        <r>
          <rPr>
            <b/>
            <sz val="8"/>
            <color indexed="81"/>
            <rFont val="Tahoma"/>
            <family val="2"/>
          </rPr>
          <t>Dat nttts lam dat gd o dau</t>
        </r>
        <r>
          <rPr>
            <sz val="8"/>
            <color indexed="81"/>
            <rFont val="Tahoma"/>
            <family val="2"/>
          </rPr>
          <t xml:space="preserve">
</t>
        </r>
      </text>
    </comment>
    <comment ref="BD22" authorId="0" shapeId="0">
      <text>
        <r>
          <rPr>
            <b/>
            <sz val="8"/>
            <color indexed="81"/>
            <rFont val="Tahoma"/>
            <family val="2"/>
          </rPr>
          <t>Dat nttts lam dat tt o dau</t>
        </r>
        <r>
          <rPr>
            <sz val="8"/>
            <color indexed="81"/>
            <rFont val="Tahoma"/>
            <family val="2"/>
          </rPr>
          <t xml:space="preserve">
</t>
        </r>
      </text>
    </comment>
    <comment ref="S42" authorId="1" shapeId="0">
      <text>
        <r>
          <rPr>
            <b/>
            <sz val="8"/>
            <color indexed="81"/>
            <rFont val="Tahoma"/>
            <family val="2"/>
          </rPr>
          <t>Sao NTTS lai lay tu dat sxvlxd, gom su</t>
        </r>
        <r>
          <rPr>
            <sz val="8"/>
            <color indexed="81"/>
            <rFont val="Tahoma"/>
            <family val="2"/>
          </rPr>
          <t xml:space="preserve">
tai Dong trieu</t>
        </r>
      </text>
    </comment>
    <comment ref="Y42" authorId="0" shapeId="0">
      <text>
        <r>
          <rPr>
            <b/>
            <sz val="8"/>
            <color indexed="81"/>
            <rFont val="Tahoma"/>
            <family val="2"/>
          </rPr>
          <t>Sao dat o do thi lai lay tu dat san xuat vat lieu xay dung</t>
        </r>
        <r>
          <rPr>
            <sz val="8"/>
            <color indexed="81"/>
            <rFont val="Tahoma"/>
            <family val="2"/>
          </rPr>
          <t xml:space="preserve">
</t>
        </r>
      </text>
    </comment>
    <comment ref="Y53" authorId="0" shapeId="0">
      <text>
        <r>
          <rPr>
            <sz val="8"/>
            <color indexed="81"/>
            <rFont val="Tahoma"/>
            <family val="2"/>
          </rPr>
          <t xml:space="preserve">Sao dat o do thi lai lay tu dat co so van hoa
</t>
        </r>
      </text>
    </comment>
    <comment ref="AY59" authorId="0" shapeId="0">
      <text>
        <r>
          <rPr>
            <b/>
            <sz val="8"/>
            <color indexed="81"/>
            <rFont val="Tahoma"/>
            <family val="2"/>
          </rPr>
          <t>Sao lai lay vao dat nghia trang, nghia dia ,du an nao, o dau</t>
        </r>
        <r>
          <rPr>
            <sz val="8"/>
            <color indexed="81"/>
            <rFont val="Tahoma"/>
            <family val="2"/>
          </rPr>
          <t xml:space="preserve">
</t>
        </r>
      </text>
    </comment>
    <comment ref="BM63" authorId="0" shapeId="0">
      <text>
        <r>
          <rPr>
            <b/>
            <sz val="8"/>
            <color indexed="81"/>
            <rFont val="Tahoma"/>
            <family val="2"/>
          </rPr>
          <t>Microsoft Cop.:</t>
        </r>
        <r>
          <rPr>
            <sz val="8"/>
            <color indexed="81"/>
            <rFont val="Tahoma"/>
            <family val="2"/>
          </rPr>
          <t xml:space="preserve">
</t>
        </r>
      </text>
    </comment>
    <comment ref="J65" authorId="1" shapeId="0">
      <text>
        <r>
          <rPr>
            <b/>
            <sz val="8"/>
            <color indexed="81"/>
            <rFont val="Tahoma"/>
            <family val="2"/>
          </rPr>
          <t>Sao lai lay dat doi nui chua su dung de trong lua nuoc con lai tai cac dia phuong Ba Che  BInh Lieu</t>
        </r>
        <r>
          <rPr>
            <sz val="8"/>
            <color indexed="81"/>
            <rFont val="Tahoma"/>
            <family val="2"/>
          </rPr>
          <t xml:space="preserve">
</t>
        </r>
      </text>
    </comment>
  </commentList>
</comments>
</file>

<file path=xl/comments3.xml><?xml version="1.0" encoding="utf-8"?>
<comments xmlns="http://schemas.openxmlformats.org/spreadsheetml/2006/main">
  <authors>
    <author>Microsoft Cop.</author>
  </authors>
  <commentList>
    <comment ref="AS45" authorId="0" shapeId="0">
      <text>
        <r>
          <rPr>
            <b/>
            <sz val="8"/>
            <color indexed="81"/>
            <rFont val="Tahoma"/>
            <family val="2"/>
          </rPr>
          <t>Microsoft Cop.:</t>
        </r>
        <r>
          <rPr>
            <sz val="8"/>
            <color indexed="81"/>
            <rFont val="Tahoma"/>
            <family val="2"/>
          </rPr>
          <t xml:space="preserve">
</t>
        </r>
      </text>
    </comment>
  </commentList>
</comments>
</file>

<file path=xl/comments4.xml><?xml version="1.0" encoding="utf-8"?>
<comments xmlns="http://schemas.openxmlformats.org/spreadsheetml/2006/main">
  <authors>
    <author>Microsoft Cop.</author>
    <author>haidang</author>
  </authors>
  <commentList>
    <comment ref="AW12" authorId="0" shapeId="0">
      <text>
        <r>
          <rPr>
            <b/>
            <sz val="8"/>
            <color indexed="81"/>
            <rFont val="Tahoma"/>
            <family val="2"/>
          </rPr>
          <t>Microsoft Cop.:</t>
        </r>
        <r>
          <rPr>
            <sz val="8"/>
            <color indexed="81"/>
            <rFont val="Tahoma"/>
            <family val="2"/>
          </rPr>
          <t xml:space="preserve">
gop</t>
        </r>
      </text>
    </comment>
    <comment ref="Y22" authorId="0" shapeId="0">
      <text>
        <r>
          <rPr>
            <b/>
            <sz val="8"/>
            <color indexed="81"/>
            <rFont val="Tahoma"/>
            <family val="2"/>
          </rPr>
          <t>nhung du an o dau</t>
        </r>
        <r>
          <rPr>
            <sz val="8"/>
            <color indexed="81"/>
            <rFont val="Tahoma"/>
            <family val="2"/>
          </rPr>
          <t xml:space="preserve">
</t>
        </r>
      </text>
    </comment>
    <comment ref="AO22" authorId="0" shapeId="0">
      <text>
        <r>
          <rPr>
            <b/>
            <sz val="8"/>
            <color indexed="81"/>
            <rFont val="Tahoma"/>
            <family val="2"/>
          </rPr>
          <t>Dat khu cong nghiep o dau ma lay tu dat ntts</t>
        </r>
      </text>
    </comment>
    <comment ref="BC22" authorId="0" shapeId="0">
      <text>
        <r>
          <rPr>
            <b/>
            <sz val="8"/>
            <color indexed="81"/>
            <rFont val="Tahoma"/>
            <family val="2"/>
          </rPr>
          <t>Dat nttts lam dat gd o dau</t>
        </r>
        <r>
          <rPr>
            <sz val="8"/>
            <color indexed="81"/>
            <rFont val="Tahoma"/>
            <family val="2"/>
          </rPr>
          <t xml:space="preserve">
</t>
        </r>
      </text>
    </comment>
    <comment ref="BD22" authorId="0" shapeId="0">
      <text>
        <r>
          <rPr>
            <b/>
            <sz val="8"/>
            <color indexed="81"/>
            <rFont val="Tahoma"/>
            <family val="2"/>
          </rPr>
          <t>Dat nttts lam dat tt o dau</t>
        </r>
        <r>
          <rPr>
            <sz val="8"/>
            <color indexed="81"/>
            <rFont val="Tahoma"/>
            <family val="2"/>
          </rPr>
          <t xml:space="preserve">
</t>
        </r>
      </text>
    </comment>
    <comment ref="S42" authorId="1" shapeId="0">
      <text>
        <r>
          <rPr>
            <b/>
            <sz val="8"/>
            <color indexed="81"/>
            <rFont val="Tahoma"/>
            <family val="2"/>
          </rPr>
          <t>Sao NTTS lai lay tu dat sxvlxd, gom su</t>
        </r>
        <r>
          <rPr>
            <sz val="8"/>
            <color indexed="81"/>
            <rFont val="Tahoma"/>
            <family val="2"/>
          </rPr>
          <t xml:space="preserve">
tai Dong trieu</t>
        </r>
      </text>
    </comment>
    <comment ref="Y42" authorId="0" shapeId="0">
      <text>
        <r>
          <rPr>
            <b/>
            <sz val="8"/>
            <color indexed="81"/>
            <rFont val="Tahoma"/>
            <family val="2"/>
          </rPr>
          <t>Sao dat o do thi lai lay tu dat san xuat vat lieu xay dung</t>
        </r>
        <r>
          <rPr>
            <sz val="8"/>
            <color indexed="81"/>
            <rFont val="Tahoma"/>
            <family val="2"/>
          </rPr>
          <t xml:space="preserve">
</t>
        </r>
      </text>
    </comment>
    <comment ref="Y53" authorId="0" shapeId="0">
      <text>
        <r>
          <rPr>
            <sz val="8"/>
            <color indexed="81"/>
            <rFont val="Tahoma"/>
            <family val="2"/>
          </rPr>
          <t xml:space="preserve">Sao dat o do thi lai lay tu dat co so van hoa
</t>
        </r>
      </text>
    </comment>
    <comment ref="AY59" authorId="0" shapeId="0">
      <text>
        <r>
          <rPr>
            <b/>
            <sz val="8"/>
            <color indexed="81"/>
            <rFont val="Tahoma"/>
            <family val="2"/>
          </rPr>
          <t>Sao lai lay vao dat nghia trang, nghia dia ,du an nao, o dau</t>
        </r>
        <r>
          <rPr>
            <sz val="8"/>
            <color indexed="81"/>
            <rFont val="Tahoma"/>
            <family val="2"/>
          </rPr>
          <t xml:space="preserve">
</t>
        </r>
      </text>
    </comment>
    <comment ref="BM63" authorId="0" shapeId="0">
      <text>
        <r>
          <rPr>
            <b/>
            <sz val="8"/>
            <color indexed="81"/>
            <rFont val="Tahoma"/>
            <family val="2"/>
          </rPr>
          <t>Microsoft Cop.:</t>
        </r>
        <r>
          <rPr>
            <sz val="8"/>
            <color indexed="81"/>
            <rFont val="Tahoma"/>
            <family val="2"/>
          </rPr>
          <t xml:space="preserve">
</t>
        </r>
      </text>
    </comment>
    <comment ref="J65" authorId="1" shapeId="0">
      <text>
        <r>
          <rPr>
            <b/>
            <sz val="8"/>
            <color indexed="81"/>
            <rFont val="Tahoma"/>
            <family val="2"/>
          </rPr>
          <t>Sao lai lay dat doi nui chua su dung de trong lua nuoc con lai tai cac dia phuong Ba Che  BInh Lieu</t>
        </r>
        <r>
          <rPr>
            <sz val="8"/>
            <color indexed="81"/>
            <rFont val="Tahoma"/>
            <family val="2"/>
          </rPr>
          <t xml:space="preserve">
</t>
        </r>
      </text>
    </comment>
  </commentList>
</comments>
</file>

<file path=xl/comments5.xml><?xml version="1.0" encoding="utf-8"?>
<comments xmlns="http://schemas.openxmlformats.org/spreadsheetml/2006/main">
  <authors>
    <author>Microsoft Cop.</author>
    <author>haidang</author>
  </authors>
  <commentList>
    <comment ref="AW12" authorId="0" shapeId="0">
      <text>
        <r>
          <rPr>
            <b/>
            <sz val="8"/>
            <color indexed="81"/>
            <rFont val="Tahoma"/>
            <family val="2"/>
          </rPr>
          <t>Microsoft Cop.:</t>
        </r>
        <r>
          <rPr>
            <sz val="8"/>
            <color indexed="81"/>
            <rFont val="Tahoma"/>
            <family val="2"/>
          </rPr>
          <t xml:space="preserve">
gop</t>
        </r>
      </text>
    </comment>
    <comment ref="Y22" authorId="0" shapeId="0">
      <text>
        <r>
          <rPr>
            <b/>
            <sz val="8"/>
            <color indexed="81"/>
            <rFont val="Tahoma"/>
            <family val="2"/>
          </rPr>
          <t>nhung du an o dau</t>
        </r>
        <r>
          <rPr>
            <sz val="8"/>
            <color indexed="81"/>
            <rFont val="Tahoma"/>
            <family val="2"/>
          </rPr>
          <t xml:space="preserve">
</t>
        </r>
      </text>
    </comment>
    <comment ref="AO22" authorId="0" shapeId="0">
      <text>
        <r>
          <rPr>
            <b/>
            <sz val="8"/>
            <color indexed="81"/>
            <rFont val="Tahoma"/>
            <family val="2"/>
          </rPr>
          <t>Dat khu cong nghiep o dau ma lay tu dat ntts</t>
        </r>
      </text>
    </comment>
    <comment ref="BC22" authorId="0" shapeId="0">
      <text>
        <r>
          <rPr>
            <b/>
            <sz val="8"/>
            <color indexed="81"/>
            <rFont val="Tahoma"/>
            <family val="2"/>
          </rPr>
          <t>Dat nttts lam dat gd o dau</t>
        </r>
        <r>
          <rPr>
            <sz val="8"/>
            <color indexed="81"/>
            <rFont val="Tahoma"/>
            <family val="2"/>
          </rPr>
          <t xml:space="preserve">
</t>
        </r>
      </text>
    </comment>
    <comment ref="BD22" authorId="0" shapeId="0">
      <text>
        <r>
          <rPr>
            <b/>
            <sz val="8"/>
            <color indexed="81"/>
            <rFont val="Tahoma"/>
            <family val="2"/>
          </rPr>
          <t>Dat nttts lam dat tt o dau</t>
        </r>
        <r>
          <rPr>
            <sz val="8"/>
            <color indexed="81"/>
            <rFont val="Tahoma"/>
            <family val="2"/>
          </rPr>
          <t xml:space="preserve">
</t>
        </r>
      </text>
    </comment>
    <comment ref="S42" authorId="1" shapeId="0">
      <text>
        <r>
          <rPr>
            <b/>
            <sz val="8"/>
            <color indexed="81"/>
            <rFont val="Tahoma"/>
            <family val="2"/>
          </rPr>
          <t>Sao NTTS lai lay tu dat sxvlxd, gom su</t>
        </r>
        <r>
          <rPr>
            <sz val="8"/>
            <color indexed="81"/>
            <rFont val="Tahoma"/>
            <family val="2"/>
          </rPr>
          <t xml:space="preserve">
tai Dong trieu</t>
        </r>
      </text>
    </comment>
    <comment ref="Y42" authorId="0" shapeId="0">
      <text>
        <r>
          <rPr>
            <b/>
            <sz val="8"/>
            <color indexed="81"/>
            <rFont val="Tahoma"/>
            <family val="2"/>
          </rPr>
          <t>Sao dat o do thi lai lay tu dat san xuat vat lieu xay dung</t>
        </r>
        <r>
          <rPr>
            <sz val="8"/>
            <color indexed="81"/>
            <rFont val="Tahoma"/>
            <family val="2"/>
          </rPr>
          <t xml:space="preserve">
</t>
        </r>
      </text>
    </comment>
    <comment ref="Y53" authorId="0" shapeId="0">
      <text>
        <r>
          <rPr>
            <sz val="8"/>
            <color indexed="81"/>
            <rFont val="Tahoma"/>
            <family val="2"/>
          </rPr>
          <t xml:space="preserve">Sao dat o do thi lai lay tu dat co so van hoa
</t>
        </r>
      </text>
    </comment>
    <comment ref="AY59" authorId="0" shapeId="0">
      <text>
        <r>
          <rPr>
            <b/>
            <sz val="8"/>
            <color indexed="81"/>
            <rFont val="Tahoma"/>
            <family val="2"/>
          </rPr>
          <t>Sao lai lay vao dat nghia trang, nghia dia ,du an nao, o dau</t>
        </r>
        <r>
          <rPr>
            <sz val="8"/>
            <color indexed="81"/>
            <rFont val="Tahoma"/>
            <family val="2"/>
          </rPr>
          <t xml:space="preserve">
</t>
        </r>
      </text>
    </comment>
    <comment ref="BM63" authorId="0" shapeId="0">
      <text>
        <r>
          <rPr>
            <b/>
            <sz val="8"/>
            <color indexed="81"/>
            <rFont val="Tahoma"/>
            <family val="2"/>
          </rPr>
          <t>Microsoft Cop.:</t>
        </r>
        <r>
          <rPr>
            <sz val="8"/>
            <color indexed="81"/>
            <rFont val="Tahoma"/>
            <family val="2"/>
          </rPr>
          <t xml:space="preserve">
</t>
        </r>
      </text>
    </comment>
    <comment ref="J65" authorId="1" shapeId="0">
      <text>
        <r>
          <rPr>
            <b/>
            <sz val="8"/>
            <color indexed="81"/>
            <rFont val="Tahoma"/>
            <family val="2"/>
          </rPr>
          <t>Sao lai lay dat doi nui chua su dung de trong lua nuoc con lai tai cac dia phuong Ba Che  BInh Lieu</t>
        </r>
        <r>
          <rPr>
            <sz val="8"/>
            <color indexed="81"/>
            <rFont val="Tahoma"/>
            <family val="2"/>
          </rPr>
          <t xml:space="preserve">
</t>
        </r>
      </text>
    </comment>
  </commentList>
</comments>
</file>

<file path=xl/comments6.xml><?xml version="1.0" encoding="utf-8"?>
<comments xmlns="http://schemas.openxmlformats.org/spreadsheetml/2006/main">
  <authors>
    <author>Microsoft Cop.</author>
    <author>haidang</author>
  </authors>
  <commentList>
    <comment ref="AW12" authorId="0" shapeId="0">
      <text>
        <r>
          <rPr>
            <b/>
            <sz val="8"/>
            <color indexed="81"/>
            <rFont val="Tahoma"/>
            <family val="2"/>
          </rPr>
          <t>Microsoft Cop.:</t>
        </r>
        <r>
          <rPr>
            <sz val="8"/>
            <color indexed="81"/>
            <rFont val="Tahoma"/>
            <family val="2"/>
          </rPr>
          <t xml:space="preserve">
gop</t>
        </r>
      </text>
    </comment>
    <comment ref="Y22" authorId="0" shapeId="0">
      <text>
        <r>
          <rPr>
            <b/>
            <sz val="8"/>
            <color indexed="81"/>
            <rFont val="Tahoma"/>
            <family val="2"/>
          </rPr>
          <t>nhung du an o dau</t>
        </r>
        <r>
          <rPr>
            <sz val="8"/>
            <color indexed="81"/>
            <rFont val="Tahoma"/>
            <family val="2"/>
          </rPr>
          <t xml:space="preserve">
</t>
        </r>
      </text>
    </comment>
    <comment ref="AO22" authorId="0" shapeId="0">
      <text>
        <r>
          <rPr>
            <b/>
            <sz val="8"/>
            <color indexed="81"/>
            <rFont val="Tahoma"/>
            <family val="2"/>
          </rPr>
          <t>Dat khu cong nghiep o dau ma lay tu dat ntts</t>
        </r>
      </text>
    </comment>
    <comment ref="BC22" authorId="0" shapeId="0">
      <text>
        <r>
          <rPr>
            <b/>
            <sz val="8"/>
            <color indexed="81"/>
            <rFont val="Tahoma"/>
            <family val="2"/>
          </rPr>
          <t>Dat nttts lam dat gd o dau</t>
        </r>
        <r>
          <rPr>
            <sz val="8"/>
            <color indexed="81"/>
            <rFont val="Tahoma"/>
            <family val="2"/>
          </rPr>
          <t xml:space="preserve">
</t>
        </r>
      </text>
    </comment>
    <comment ref="BD22" authorId="0" shapeId="0">
      <text>
        <r>
          <rPr>
            <b/>
            <sz val="8"/>
            <color indexed="81"/>
            <rFont val="Tahoma"/>
            <family val="2"/>
          </rPr>
          <t>Dat nttts lam dat tt o dau</t>
        </r>
        <r>
          <rPr>
            <sz val="8"/>
            <color indexed="81"/>
            <rFont val="Tahoma"/>
            <family val="2"/>
          </rPr>
          <t xml:space="preserve">
</t>
        </r>
      </text>
    </comment>
    <comment ref="S42" authorId="1" shapeId="0">
      <text>
        <r>
          <rPr>
            <b/>
            <sz val="8"/>
            <color indexed="81"/>
            <rFont val="Tahoma"/>
            <family val="2"/>
          </rPr>
          <t>Sao NTTS lai lay tu dat sxvlxd, gom su</t>
        </r>
        <r>
          <rPr>
            <sz val="8"/>
            <color indexed="81"/>
            <rFont val="Tahoma"/>
            <family val="2"/>
          </rPr>
          <t xml:space="preserve">
tai Dong trieu</t>
        </r>
      </text>
    </comment>
    <comment ref="Y42" authorId="0" shapeId="0">
      <text>
        <r>
          <rPr>
            <b/>
            <sz val="8"/>
            <color indexed="81"/>
            <rFont val="Tahoma"/>
            <family val="2"/>
          </rPr>
          <t>Sao dat o do thi lai lay tu dat san xuat vat lieu xay dung</t>
        </r>
        <r>
          <rPr>
            <sz val="8"/>
            <color indexed="81"/>
            <rFont val="Tahoma"/>
            <family val="2"/>
          </rPr>
          <t xml:space="preserve">
</t>
        </r>
      </text>
    </comment>
    <comment ref="Y53" authorId="0" shapeId="0">
      <text>
        <r>
          <rPr>
            <sz val="8"/>
            <color indexed="81"/>
            <rFont val="Tahoma"/>
            <family val="2"/>
          </rPr>
          <t xml:space="preserve">Sao dat o do thi lai lay tu dat co so van hoa
</t>
        </r>
      </text>
    </comment>
    <comment ref="AY59" authorId="0" shapeId="0">
      <text>
        <r>
          <rPr>
            <b/>
            <sz val="8"/>
            <color indexed="81"/>
            <rFont val="Tahoma"/>
            <family val="2"/>
          </rPr>
          <t>Sao lai lay vao dat nghia trang, nghia dia ,du an nao, o dau</t>
        </r>
        <r>
          <rPr>
            <sz val="8"/>
            <color indexed="81"/>
            <rFont val="Tahoma"/>
            <family val="2"/>
          </rPr>
          <t xml:space="preserve">
</t>
        </r>
      </text>
    </comment>
    <comment ref="BM63" authorId="0" shapeId="0">
      <text>
        <r>
          <rPr>
            <b/>
            <sz val="8"/>
            <color indexed="81"/>
            <rFont val="Tahoma"/>
            <family val="2"/>
          </rPr>
          <t>Microsoft Cop.:</t>
        </r>
        <r>
          <rPr>
            <sz val="8"/>
            <color indexed="81"/>
            <rFont val="Tahoma"/>
            <family val="2"/>
          </rPr>
          <t xml:space="preserve">
</t>
        </r>
      </text>
    </comment>
    <comment ref="J65" authorId="1" shapeId="0">
      <text>
        <r>
          <rPr>
            <b/>
            <sz val="8"/>
            <color indexed="81"/>
            <rFont val="Tahoma"/>
            <family val="2"/>
          </rPr>
          <t>Sao lai lay dat doi nui chua su dung de trong lua nuoc con lai tai cac dia phuong Ba Che  BInh Lieu</t>
        </r>
        <r>
          <rPr>
            <sz val="8"/>
            <color indexed="81"/>
            <rFont val="Tahoma"/>
            <family val="2"/>
          </rPr>
          <t xml:space="preserve">
</t>
        </r>
      </text>
    </comment>
  </commentList>
</comments>
</file>

<file path=xl/comments7.xml><?xml version="1.0" encoding="utf-8"?>
<comments xmlns="http://schemas.openxmlformats.org/spreadsheetml/2006/main">
  <authors>
    <author>Microsoft Cop.</author>
    <author>haidang</author>
  </authors>
  <commentList>
    <comment ref="AW12" authorId="0" shapeId="0">
      <text>
        <r>
          <rPr>
            <b/>
            <sz val="8"/>
            <color indexed="81"/>
            <rFont val="Tahoma"/>
            <family val="2"/>
          </rPr>
          <t>Microsoft Cop.:</t>
        </r>
        <r>
          <rPr>
            <sz val="8"/>
            <color indexed="81"/>
            <rFont val="Tahoma"/>
            <family val="2"/>
          </rPr>
          <t xml:space="preserve">
gop</t>
        </r>
      </text>
    </comment>
    <comment ref="Y22" authorId="0" shapeId="0">
      <text>
        <r>
          <rPr>
            <b/>
            <sz val="8"/>
            <color indexed="81"/>
            <rFont val="Tahoma"/>
            <family val="2"/>
          </rPr>
          <t>nhung du an o dau</t>
        </r>
        <r>
          <rPr>
            <sz val="8"/>
            <color indexed="81"/>
            <rFont val="Tahoma"/>
            <family val="2"/>
          </rPr>
          <t xml:space="preserve">
</t>
        </r>
      </text>
    </comment>
    <comment ref="AO22" authorId="0" shapeId="0">
      <text>
        <r>
          <rPr>
            <b/>
            <sz val="8"/>
            <color indexed="81"/>
            <rFont val="Tahoma"/>
            <family val="2"/>
          </rPr>
          <t>Dat khu cong nghiep o dau ma lay tu dat ntts</t>
        </r>
      </text>
    </comment>
    <comment ref="BC22" authorId="0" shapeId="0">
      <text>
        <r>
          <rPr>
            <b/>
            <sz val="8"/>
            <color indexed="81"/>
            <rFont val="Tahoma"/>
            <family val="2"/>
          </rPr>
          <t>Dat nttts lam dat gd o dau</t>
        </r>
        <r>
          <rPr>
            <sz val="8"/>
            <color indexed="81"/>
            <rFont val="Tahoma"/>
            <family val="2"/>
          </rPr>
          <t xml:space="preserve">
</t>
        </r>
      </text>
    </comment>
    <comment ref="BD22" authorId="0" shapeId="0">
      <text>
        <r>
          <rPr>
            <b/>
            <sz val="8"/>
            <color indexed="81"/>
            <rFont val="Tahoma"/>
            <family val="2"/>
          </rPr>
          <t>Dat nttts lam dat tt o dau</t>
        </r>
        <r>
          <rPr>
            <sz val="8"/>
            <color indexed="81"/>
            <rFont val="Tahoma"/>
            <family val="2"/>
          </rPr>
          <t xml:space="preserve">
</t>
        </r>
      </text>
    </comment>
    <comment ref="S42" authorId="1" shapeId="0">
      <text>
        <r>
          <rPr>
            <b/>
            <sz val="8"/>
            <color indexed="81"/>
            <rFont val="Tahoma"/>
            <family val="2"/>
          </rPr>
          <t>Sao NTTS lai lay tu dat sxvlxd, gom su</t>
        </r>
        <r>
          <rPr>
            <sz val="8"/>
            <color indexed="81"/>
            <rFont val="Tahoma"/>
            <family val="2"/>
          </rPr>
          <t xml:space="preserve">
tai Dong trieu</t>
        </r>
      </text>
    </comment>
    <comment ref="Y42" authorId="0" shapeId="0">
      <text>
        <r>
          <rPr>
            <b/>
            <sz val="8"/>
            <color indexed="81"/>
            <rFont val="Tahoma"/>
            <family val="2"/>
          </rPr>
          <t>Sao dat o do thi lai lay tu dat san xuat vat lieu xay dung</t>
        </r>
        <r>
          <rPr>
            <sz val="8"/>
            <color indexed="81"/>
            <rFont val="Tahoma"/>
            <family val="2"/>
          </rPr>
          <t xml:space="preserve">
</t>
        </r>
      </text>
    </comment>
    <comment ref="Y53" authorId="0" shapeId="0">
      <text>
        <r>
          <rPr>
            <sz val="8"/>
            <color indexed="81"/>
            <rFont val="Tahoma"/>
            <family val="2"/>
          </rPr>
          <t xml:space="preserve">Sao dat o do thi lai lay tu dat co so van hoa
</t>
        </r>
      </text>
    </comment>
    <comment ref="AY59" authorId="0" shapeId="0">
      <text>
        <r>
          <rPr>
            <b/>
            <sz val="8"/>
            <color indexed="81"/>
            <rFont val="Tahoma"/>
            <family val="2"/>
          </rPr>
          <t>Sao lai lay vao dat nghia trang, nghia dia ,du an nao, o dau</t>
        </r>
        <r>
          <rPr>
            <sz val="8"/>
            <color indexed="81"/>
            <rFont val="Tahoma"/>
            <family val="2"/>
          </rPr>
          <t xml:space="preserve">
</t>
        </r>
      </text>
    </comment>
    <comment ref="BM63" authorId="0" shapeId="0">
      <text>
        <r>
          <rPr>
            <b/>
            <sz val="8"/>
            <color indexed="81"/>
            <rFont val="Tahoma"/>
            <family val="2"/>
          </rPr>
          <t>Microsoft Cop.:</t>
        </r>
        <r>
          <rPr>
            <sz val="8"/>
            <color indexed="81"/>
            <rFont val="Tahoma"/>
            <family val="2"/>
          </rPr>
          <t xml:space="preserve">
</t>
        </r>
      </text>
    </comment>
    <comment ref="J65" authorId="1" shapeId="0">
      <text>
        <r>
          <rPr>
            <b/>
            <sz val="8"/>
            <color indexed="81"/>
            <rFont val="Tahoma"/>
            <family val="2"/>
          </rPr>
          <t>Sao lai lay dat doi nui chua su dung de trong lua nuoc con lai tai cac dia phuong Ba Che  BInh Lieu</t>
        </r>
        <r>
          <rPr>
            <sz val="8"/>
            <color indexed="81"/>
            <rFont val="Tahoma"/>
            <family val="2"/>
          </rPr>
          <t xml:space="preserve">
</t>
        </r>
      </text>
    </comment>
  </commentList>
</comments>
</file>

<file path=xl/comments8.xml><?xml version="1.0" encoding="utf-8"?>
<comments xmlns="http://schemas.openxmlformats.org/spreadsheetml/2006/main">
  <authors>
    <author>Microsoft Cop.</author>
    <author>haidang</author>
  </authors>
  <commentList>
    <comment ref="AW12" authorId="0" shapeId="0">
      <text>
        <r>
          <rPr>
            <b/>
            <sz val="8"/>
            <color indexed="81"/>
            <rFont val="Tahoma"/>
            <family val="2"/>
          </rPr>
          <t>Microsoft Cop.:</t>
        </r>
        <r>
          <rPr>
            <sz val="8"/>
            <color indexed="81"/>
            <rFont val="Tahoma"/>
            <family val="2"/>
          </rPr>
          <t xml:space="preserve">
gop</t>
        </r>
      </text>
    </comment>
    <comment ref="Y22" authorId="0" shapeId="0">
      <text>
        <r>
          <rPr>
            <b/>
            <sz val="8"/>
            <color indexed="81"/>
            <rFont val="Tahoma"/>
            <family val="2"/>
          </rPr>
          <t>nhung du an o dau</t>
        </r>
        <r>
          <rPr>
            <sz val="8"/>
            <color indexed="81"/>
            <rFont val="Tahoma"/>
            <family val="2"/>
          </rPr>
          <t xml:space="preserve">
</t>
        </r>
      </text>
    </comment>
    <comment ref="AO22" authorId="0" shapeId="0">
      <text>
        <r>
          <rPr>
            <b/>
            <sz val="8"/>
            <color indexed="81"/>
            <rFont val="Tahoma"/>
            <family val="2"/>
          </rPr>
          <t>Dat khu cong nghiep o dau ma lay tu dat ntts</t>
        </r>
      </text>
    </comment>
    <comment ref="BC22" authorId="0" shapeId="0">
      <text>
        <r>
          <rPr>
            <b/>
            <sz val="8"/>
            <color indexed="81"/>
            <rFont val="Tahoma"/>
            <family val="2"/>
          </rPr>
          <t>Dat nttts lam dat gd o dau</t>
        </r>
        <r>
          <rPr>
            <sz val="8"/>
            <color indexed="81"/>
            <rFont val="Tahoma"/>
            <family val="2"/>
          </rPr>
          <t xml:space="preserve">
</t>
        </r>
      </text>
    </comment>
    <comment ref="BD22" authorId="0" shapeId="0">
      <text>
        <r>
          <rPr>
            <b/>
            <sz val="8"/>
            <color indexed="81"/>
            <rFont val="Tahoma"/>
            <family val="2"/>
          </rPr>
          <t>Dat nttts lam dat tt o dau</t>
        </r>
        <r>
          <rPr>
            <sz val="8"/>
            <color indexed="81"/>
            <rFont val="Tahoma"/>
            <family val="2"/>
          </rPr>
          <t xml:space="preserve">
</t>
        </r>
      </text>
    </comment>
    <comment ref="S42" authorId="1" shapeId="0">
      <text>
        <r>
          <rPr>
            <b/>
            <sz val="8"/>
            <color indexed="81"/>
            <rFont val="Tahoma"/>
            <family val="2"/>
          </rPr>
          <t>Sao NTTS lai lay tu dat sxvlxd, gom su</t>
        </r>
        <r>
          <rPr>
            <sz val="8"/>
            <color indexed="81"/>
            <rFont val="Tahoma"/>
            <family val="2"/>
          </rPr>
          <t xml:space="preserve">
tai Dong trieu</t>
        </r>
      </text>
    </comment>
    <comment ref="Y42" authorId="0" shapeId="0">
      <text>
        <r>
          <rPr>
            <b/>
            <sz val="8"/>
            <color indexed="81"/>
            <rFont val="Tahoma"/>
            <family val="2"/>
          </rPr>
          <t>Sao dat o do thi lai lay tu dat san xuat vat lieu xay dung</t>
        </r>
        <r>
          <rPr>
            <sz val="8"/>
            <color indexed="81"/>
            <rFont val="Tahoma"/>
            <family val="2"/>
          </rPr>
          <t xml:space="preserve">
</t>
        </r>
      </text>
    </comment>
    <comment ref="Y53" authorId="0" shapeId="0">
      <text>
        <r>
          <rPr>
            <sz val="8"/>
            <color indexed="81"/>
            <rFont val="Tahoma"/>
            <family val="2"/>
          </rPr>
          <t xml:space="preserve">Sao dat o do thi lai lay tu dat co so van hoa
</t>
        </r>
      </text>
    </comment>
    <comment ref="AY59" authorId="0" shapeId="0">
      <text>
        <r>
          <rPr>
            <b/>
            <sz val="8"/>
            <color indexed="81"/>
            <rFont val="Tahoma"/>
            <family val="2"/>
          </rPr>
          <t>Sao lai lay vao dat nghia trang, nghia dia ,du an nao, o dau</t>
        </r>
        <r>
          <rPr>
            <sz val="8"/>
            <color indexed="81"/>
            <rFont val="Tahoma"/>
            <family val="2"/>
          </rPr>
          <t xml:space="preserve">
</t>
        </r>
      </text>
    </comment>
    <comment ref="BM63" authorId="0" shapeId="0">
      <text>
        <r>
          <rPr>
            <b/>
            <sz val="8"/>
            <color indexed="81"/>
            <rFont val="Tahoma"/>
            <family val="2"/>
          </rPr>
          <t>Microsoft Cop.:</t>
        </r>
        <r>
          <rPr>
            <sz val="8"/>
            <color indexed="81"/>
            <rFont val="Tahoma"/>
            <family val="2"/>
          </rPr>
          <t xml:space="preserve">
</t>
        </r>
      </text>
    </comment>
    <comment ref="J65" authorId="1" shapeId="0">
      <text>
        <r>
          <rPr>
            <b/>
            <sz val="8"/>
            <color indexed="81"/>
            <rFont val="Tahoma"/>
            <family val="2"/>
          </rPr>
          <t>Sao lai lay dat doi nui chua su dung de trong lua nuoc con lai tai cac dia phuong Ba Che  BInh Lieu</t>
        </r>
        <r>
          <rPr>
            <sz val="8"/>
            <color indexed="81"/>
            <rFont val="Tahoma"/>
            <family val="2"/>
          </rPr>
          <t xml:space="preserve">
</t>
        </r>
      </text>
    </comment>
  </commentList>
</comments>
</file>

<file path=xl/comments9.xml><?xml version="1.0" encoding="utf-8"?>
<comments xmlns="http://schemas.openxmlformats.org/spreadsheetml/2006/main">
  <authors>
    <author>Microsoft Cop.</author>
    <author>haidang</author>
  </authors>
  <commentList>
    <comment ref="AW12" authorId="0" shapeId="0">
      <text>
        <r>
          <rPr>
            <b/>
            <sz val="8"/>
            <color indexed="81"/>
            <rFont val="Tahoma"/>
            <family val="2"/>
          </rPr>
          <t>Microsoft Cop.:</t>
        </r>
        <r>
          <rPr>
            <sz val="8"/>
            <color indexed="81"/>
            <rFont val="Tahoma"/>
            <family val="2"/>
          </rPr>
          <t xml:space="preserve">
gop</t>
        </r>
      </text>
    </comment>
    <comment ref="Y22" authorId="0" shapeId="0">
      <text>
        <r>
          <rPr>
            <b/>
            <sz val="8"/>
            <color indexed="81"/>
            <rFont val="Tahoma"/>
            <family val="2"/>
          </rPr>
          <t>nhung du an o dau</t>
        </r>
        <r>
          <rPr>
            <sz val="8"/>
            <color indexed="81"/>
            <rFont val="Tahoma"/>
            <family val="2"/>
          </rPr>
          <t xml:space="preserve">
</t>
        </r>
      </text>
    </comment>
    <comment ref="AO22" authorId="0" shapeId="0">
      <text>
        <r>
          <rPr>
            <b/>
            <sz val="8"/>
            <color indexed="81"/>
            <rFont val="Tahoma"/>
            <family val="2"/>
          </rPr>
          <t>Dat khu cong nghiep o dau ma lay tu dat ntts</t>
        </r>
      </text>
    </comment>
    <comment ref="BC22" authorId="0" shapeId="0">
      <text>
        <r>
          <rPr>
            <b/>
            <sz val="8"/>
            <color indexed="81"/>
            <rFont val="Tahoma"/>
            <family val="2"/>
          </rPr>
          <t>Dat nttts lam dat gd o dau</t>
        </r>
        <r>
          <rPr>
            <sz val="8"/>
            <color indexed="81"/>
            <rFont val="Tahoma"/>
            <family val="2"/>
          </rPr>
          <t xml:space="preserve">
</t>
        </r>
      </text>
    </comment>
    <comment ref="BD22" authorId="0" shapeId="0">
      <text>
        <r>
          <rPr>
            <b/>
            <sz val="8"/>
            <color indexed="81"/>
            <rFont val="Tahoma"/>
            <family val="2"/>
          </rPr>
          <t>Dat nttts lam dat tt o dau</t>
        </r>
        <r>
          <rPr>
            <sz val="8"/>
            <color indexed="81"/>
            <rFont val="Tahoma"/>
            <family val="2"/>
          </rPr>
          <t xml:space="preserve">
</t>
        </r>
      </text>
    </comment>
    <comment ref="S42" authorId="1" shapeId="0">
      <text>
        <r>
          <rPr>
            <b/>
            <sz val="8"/>
            <color indexed="81"/>
            <rFont val="Tahoma"/>
            <family val="2"/>
          </rPr>
          <t>Sao NTTS lai lay tu dat sxvlxd, gom su</t>
        </r>
        <r>
          <rPr>
            <sz val="8"/>
            <color indexed="81"/>
            <rFont val="Tahoma"/>
            <family val="2"/>
          </rPr>
          <t xml:space="preserve">
tai Dong trieu</t>
        </r>
      </text>
    </comment>
    <comment ref="Y42" authorId="0" shapeId="0">
      <text>
        <r>
          <rPr>
            <b/>
            <sz val="8"/>
            <color indexed="81"/>
            <rFont val="Tahoma"/>
            <family val="2"/>
          </rPr>
          <t>Sao dat o do thi lai lay tu dat san xuat vat lieu xay dung</t>
        </r>
        <r>
          <rPr>
            <sz val="8"/>
            <color indexed="81"/>
            <rFont val="Tahoma"/>
            <family val="2"/>
          </rPr>
          <t xml:space="preserve">
</t>
        </r>
      </text>
    </comment>
    <comment ref="Y53" authorId="0" shapeId="0">
      <text>
        <r>
          <rPr>
            <sz val="8"/>
            <color indexed="81"/>
            <rFont val="Tahoma"/>
            <family val="2"/>
          </rPr>
          <t xml:space="preserve">Sao dat o do thi lai lay tu dat co so van hoa
</t>
        </r>
      </text>
    </comment>
    <comment ref="AY59" authorId="0" shapeId="0">
      <text>
        <r>
          <rPr>
            <b/>
            <sz val="8"/>
            <color indexed="81"/>
            <rFont val="Tahoma"/>
            <family val="2"/>
          </rPr>
          <t>Sao lai lay vao dat nghia trang, nghia dia ,du an nao, o dau</t>
        </r>
        <r>
          <rPr>
            <sz val="8"/>
            <color indexed="81"/>
            <rFont val="Tahoma"/>
            <family val="2"/>
          </rPr>
          <t xml:space="preserve">
</t>
        </r>
      </text>
    </comment>
    <comment ref="BM63" authorId="0" shapeId="0">
      <text>
        <r>
          <rPr>
            <b/>
            <sz val="8"/>
            <color indexed="81"/>
            <rFont val="Tahoma"/>
            <family val="2"/>
          </rPr>
          <t>Microsoft Cop.:</t>
        </r>
        <r>
          <rPr>
            <sz val="8"/>
            <color indexed="81"/>
            <rFont val="Tahoma"/>
            <family val="2"/>
          </rPr>
          <t xml:space="preserve">
</t>
        </r>
      </text>
    </comment>
    <comment ref="J65" authorId="1" shapeId="0">
      <text>
        <r>
          <rPr>
            <b/>
            <sz val="8"/>
            <color indexed="81"/>
            <rFont val="Tahoma"/>
            <family val="2"/>
          </rPr>
          <t>Sao lai lay dat doi nui chua su dung de trong lua nuoc con lai tai cac dia phuong Ba Che  BInh Lieu</t>
        </r>
        <r>
          <rPr>
            <sz val="8"/>
            <color indexed="81"/>
            <rFont val="Tahoma"/>
            <family val="2"/>
          </rPr>
          <t xml:space="preserve">
</t>
        </r>
      </text>
    </comment>
  </commentList>
</comments>
</file>

<file path=xl/sharedStrings.xml><?xml version="1.0" encoding="utf-8"?>
<sst xmlns="http://schemas.openxmlformats.org/spreadsheetml/2006/main" count="21031" uniqueCount="1298">
  <si>
    <t>STT</t>
  </si>
  <si>
    <t>Ký hiệu biểu</t>
  </si>
  <si>
    <t>Tên biểu</t>
  </si>
  <si>
    <t>Biểu 01/CH</t>
  </si>
  <si>
    <t>Biểu 02/CH</t>
  </si>
  <si>
    <t>Biểu 03/CH</t>
  </si>
  <si>
    <t>Biểu 04/CH</t>
  </si>
  <si>
    <t>Biểu 05/CH</t>
  </si>
  <si>
    <t>Biểu 10/CH</t>
  </si>
  <si>
    <t>Biểu 11/CH</t>
  </si>
  <si>
    <t>Biểu 12/CH</t>
  </si>
  <si>
    <t>Biểu 13/CH</t>
  </si>
  <si>
    <t>Chỉ tiêu sử dụng đất</t>
  </si>
  <si>
    <t>Mã</t>
  </si>
  <si>
    <t>Đất nông nghiệp</t>
  </si>
  <si>
    <t>NNP</t>
  </si>
  <si>
    <t>1.1</t>
  </si>
  <si>
    <t>Đất trồng lúa</t>
  </si>
  <si>
    <t>LUA</t>
  </si>
  <si>
    <t>Trong đó: Đất chuyên trồng lúa nước</t>
  </si>
  <si>
    <t>LUC</t>
  </si>
  <si>
    <t>1.2</t>
  </si>
  <si>
    <t>Đất trồng cây hàng năm khác</t>
  </si>
  <si>
    <t>HNK</t>
  </si>
  <si>
    <t>1.3</t>
  </si>
  <si>
    <t>Đất trồng cây lâu năm</t>
  </si>
  <si>
    <t>CLN</t>
  </si>
  <si>
    <t>1.4</t>
  </si>
  <si>
    <t>Đất rừng phòng hộ</t>
  </si>
  <si>
    <t>RPH</t>
  </si>
  <si>
    <t>1.5</t>
  </si>
  <si>
    <t>Đất rừng đặc dụng</t>
  </si>
  <si>
    <t>RDD</t>
  </si>
  <si>
    <t>1.6</t>
  </si>
  <si>
    <t>Đất rừng sản xuất</t>
  </si>
  <si>
    <t>RSX</t>
  </si>
  <si>
    <t>1.7</t>
  </si>
  <si>
    <t>Đất nuôi trồng thuỷ sản</t>
  </si>
  <si>
    <t>NTS</t>
  </si>
  <si>
    <t>1.8</t>
  </si>
  <si>
    <t>Đất làm muối</t>
  </si>
  <si>
    <t>LMU</t>
  </si>
  <si>
    <t>1.9</t>
  </si>
  <si>
    <t>Đất nông nghiệp khác</t>
  </si>
  <si>
    <t>NKH</t>
  </si>
  <si>
    <t>Đất phi nông nghiệp</t>
  </si>
  <si>
    <t>PNN</t>
  </si>
  <si>
    <t>2.1</t>
  </si>
  <si>
    <t>Đất quốc phòng</t>
  </si>
  <si>
    <t>CQP</t>
  </si>
  <si>
    <t>2.2</t>
  </si>
  <si>
    <t>Đất an ninh</t>
  </si>
  <si>
    <t>CAN</t>
  </si>
  <si>
    <t>2.3</t>
  </si>
  <si>
    <t>Đất khu công nghiệp</t>
  </si>
  <si>
    <t>SKK</t>
  </si>
  <si>
    <t>2.4</t>
  </si>
  <si>
    <t>Đất khu chế xuất</t>
  </si>
  <si>
    <t>SKT</t>
  </si>
  <si>
    <t>2.5</t>
  </si>
  <si>
    <t>Đất cụm công nghiệp</t>
  </si>
  <si>
    <t>SKN</t>
  </si>
  <si>
    <t>2.6</t>
  </si>
  <si>
    <t>Đất thương mại, dịch vụ</t>
  </si>
  <si>
    <t>TMD</t>
  </si>
  <si>
    <t>2.7</t>
  </si>
  <si>
    <t>Đất cơ sở sản xuất phi nông nghiệp</t>
  </si>
  <si>
    <t>SKC</t>
  </si>
  <si>
    <t>2.8</t>
  </si>
  <si>
    <t>Đất sử dụng cho hoạt động khoáng sản</t>
  </si>
  <si>
    <t>SKS</t>
  </si>
  <si>
    <t>2.9</t>
  </si>
  <si>
    <t>DHT</t>
  </si>
  <si>
    <t>2.10</t>
  </si>
  <si>
    <t>Đất có di tích lịch sử - văn hóa</t>
  </si>
  <si>
    <t>DDT</t>
  </si>
  <si>
    <t>2.11</t>
  </si>
  <si>
    <t>Đất danh lam thắng cảnh</t>
  </si>
  <si>
    <t>DDL</t>
  </si>
  <si>
    <t>2.12</t>
  </si>
  <si>
    <t>Đất bãi thải, xử lý chất thải</t>
  </si>
  <si>
    <t>DRA</t>
  </si>
  <si>
    <t>2.13</t>
  </si>
  <si>
    <t>Đất ở tại nông thôn</t>
  </si>
  <si>
    <t>ONT</t>
  </si>
  <si>
    <t>2.14</t>
  </si>
  <si>
    <t>Đất ở tại đô thị</t>
  </si>
  <si>
    <t>ODT</t>
  </si>
  <si>
    <t>2.15</t>
  </si>
  <si>
    <t>Đất xây dựng trụ sở cơ quan</t>
  </si>
  <si>
    <t>TSC</t>
  </si>
  <si>
    <t>2.16</t>
  </si>
  <si>
    <t>Đất xây dựng trụ sở của tổ chức sự nghiệp</t>
  </si>
  <si>
    <t>DTS</t>
  </si>
  <si>
    <t>2.17</t>
  </si>
  <si>
    <t>Đất xây dựng cơ sở ngoại giao</t>
  </si>
  <si>
    <t>DNG</t>
  </si>
  <si>
    <t>2.18</t>
  </si>
  <si>
    <t>Đất cơ sở tôn giáo</t>
  </si>
  <si>
    <t>TON</t>
  </si>
  <si>
    <t>2.19</t>
  </si>
  <si>
    <t>NTD</t>
  </si>
  <si>
    <t>2.20</t>
  </si>
  <si>
    <t>Đất sản xuất vật liệu xây dựng, làm đồ gốm</t>
  </si>
  <si>
    <t>SKX</t>
  </si>
  <si>
    <t>2.21</t>
  </si>
  <si>
    <t>Đất sinh hoạt cộng đồng</t>
  </si>
  <si>
    <t>DSH</t>
  </si>
  <si>
    <t>2.22</t>
  </si>
  <si>
    <t>Đất khu vui chơi, giải trí công cộng</t>
  </si>
  <si>
    <t>DKV</t>
  </si>
  <si>
    <t>2.23</t>
  </si>
  <si>
    <t>Đất cơ sở tín ngưỡng</t>
  </si>
  <si>
    <t>TIN</t>
  </si>
  <si>
    <t>2.24</t>
  </si>
  <si>
    <t>Đất sông, ngòi, kênh, rạch, suối</t>
  </si>
  <si>
    <t>SON</t>
  </si>
  <si>
    <t>2.25</t>
  </si>
  <si>
    <t>Đất có mặt nước chuyên dùng</t>
  </si>
  <si>
    <t>MNC</t>
  </si>
  <si>
    <t>2.26</t>
  </si>
  <si>
    <t>Đất phi nông nghiệp khác</t>
  </si>
  <si>
    <t>PNK</t>
  </si>
  <si>
    <t>Đất chưa sử dụng</t>
  </si>
  <si>
    <t>CSD</t>
  </si>
  <si>
    <t>Đất khu công nghệ cao*</t>
  </si>
  <si>
    <t>KCN</t>
  </si>
  <si>
    <t>Đất khu kinh tế*</t>
  </si>
  <si>
    <t>KKT</t>
  </si>
  <si>
    <t>Đất đô thị*</t>
  </si>
  <si>
    <t>KDT</t>
  </si>
  <si>
    <t>Tổng diện tích</t>
  </si>
  <si>
    <t>Phân theo đơn vị hành chính</t>
  </si>
  <si>
    <t>MỤC LỤC</t>
  </si>
  <si>
    <t>Đất làm nghĩa trang, nghĩa địa, nhà tang lễ, nhà hỏa táng</t>
  </si>
  <si>
    <t>Đất phát triển hạ tầng cấp quốc gia, cấp tỉnh, cấp huyện, cấp xã</t>
  </si>
  <si>
    <t>TT</t>
  </si>
  <si>
    <t>Diện tích (ha)</t>
  </si>
  <si>
    <t>Đơn vị tính: ha</t>
  </si>
  <si>
    <t>Khu vực chuyên trồng lúa nước</t>
  </si>
  <si>
    <t>Khu vực chuyên trồng cây công nghiệp lâu năm</t>
  </si>
  <si>
    <t>Khu vực rừng phòng hộ</t>
  </si>
  <si>
    <t>Khu vực rừng đặc dụng</t>
  </si>
  <si>
    <t>Khu vực rừng sản xuất</t>
  </si>
  <si>
    <t>Khu vực công nghiệp, cụm công nghiệp</t>
  </si>
  <si>
    <t>Khu du lịch</t>
  </si>
  <si>
    <t>Khu ở, làng nghề, sản xuất phi nông nghiệp nông thôn</t>
  </si>
  <si>
    <t>Diện tích phân theo đơn vị hành chính</t>
  </si>
  <si>
    <t>NNP/PNN</t>
  </si>
  <si>
    <t>LUA/PNN</t>
  </si>
  <si>
    <t>LUC/PNN</t>
  </si>
  <si>
    <t>HNK/PNN</t>
  </si>
  <si>
    <t>CLN/PNN</t>
  </si>
  <si>
    <t>RPH/PNN</t>
  </si>
  <si>
    <t>RDD/PNN</t>
  </si>
  <si>
    <t>RSX/PNN</t>
  </si>
  <si>
    <t>NTS/PNN</t>
  </si>
  <si>
    <t>LMU/PNN</t>
  </si>
  <si>
    <t>NKH/PNN</t>
  </si>
  <si>
    <t>Trong đó:</t>
  </si>
  <si>
    <t>LUA/CLN</t>
  </si>
  <si>
    <t>LUA/LNP</t>
  </si>
  <si>
    <t>LUA/NTS</t>
  </si>
  <si>
    <t>Đất trồng lúa chuyển sang đất làm muối</t>
  </si>
  <si>
    <t>LUA/LMU</t>
  </si>
  <si>
    <t>HNK/NTS</t>
  </si>
  <si>
    <t>HNK/LMU</t>
  </si>
  <si>
    <t>RPH/NKR(a)</t>
  </si>
  <si>
    <t>RDD/NKR(a)</t>
  </si>
  <si>
    <t>RSX/NKR(a)</t>
  </si>
  <si>
    <t>PKO/OCT</t>
  </si>
  <si>
    <t>Đất nông nghiệp chuyển sang phi nông nghiệp</t>
  </si>
  <si>
    <t>Chuyển đổi cơ cấu sử dụng đất trong nội bộ đất nông nghiệp</t>
  </si>
  <si>
    <t>Đất trồng lúa chuyển sang đất trồng cây lâu năm</t>
  </si>
  <si>
    <t>Đất trồng lúa chuyển sang đất trồng rừng</t>
  </si>
  <si>
    <t>Đất trồng lúa chuyển sang đất nuôi trồng thủy sản</t>
  </si>
  <si>
    <t>Đất trồng cây hàng năm khác chuyển sang đất nuôi trồng thủy sản</t>
  </si>
  <si>
    <t>Đất trồng cây hàng năm khác chuyển sang đất làm muối</t>
  </si>
  <si>
    <t>Đất phi nông nghiệp không phải là đất ở chuyển sang đất ở</t>
  </si>
  <si>
    <t>Đất rừng phòng hộ chuyển sang đất nông nghiệp không phải là rừng</t>
  </si>
  <si>
    <t>Đất rừng đặc dụng chuyển sang đất nông nghiệp không phải là rừng</t>
  </si>
  <si>
    <t>Đất rừng sản xuất chuyển sang đất nông nghiệp không phải là rừng</t>
  </si>
  <si>
    <t>1.2.1</t>
  </si>
  <si>
    <t>1.2.2</t>
  </si>
  <si>
    <t>1.2.3</t>
  </si>
  <si>
    <t>DIỆN TÍCH, CƠ CẤU SỬ DỤNG ĐẤT CÁC KHU CHỨC NĂNG</t>
  </si>
  <si>
    <t>Loại đất</t>
  </si>
  <si>
    <t>Cơ cấu (%)</t>
  </si>
  <si>
    <t>Khu đô thị - thương mại - dịch vụ</t>
  </si>
  <si>
    <t>TỔNG DIỆN TÍCH ĐẤT TỰ NHIÊN</t>
  </si>
  <si>
    <t>Cộng tăng</t>
  </si>
  <si>
    <t>Cộng giảm</t>
  </si>
  <si>
    <t>M·</t>
  </si>
  <si>
    <t>SXN</t>
  </si>
  <si>
    <t>CHN</t>
  </si>
  <si>
    <t>LUK</t>
  </si>
  <si>
    <t>LUN</t>
  </si>
  <si>
    <t>COC</t>
  </si>
  <si>
    <t>LNP</t>
  </si>
  <si>
    <t>DGT</t>
  </si>
  <si>
    <t>DTL</t>
  </si>
  <si>
    <t>DBV</t>
  </si>
  <si>
    <t>DVH</t>
  </si>
  <si>
    <t>DYT</t>
  </si>
  <si>
    <t>DGD</t>
  </si>
  <si>
    <t>DTT</t>
  </si>
  <si>
    <t>DKH</t>
  </si>
  <si>
    <t>DXH</t>
  </si>
  <si>
    <t>DCH</t>
  </si>
  <si>
    <t>BCS</t>
  </si>
  <si>
    <t>DCS</t>
  </si>
  <si>
    <t>NCS</t>
  </si>
  <si>
    <t>1.1.1</t>
  </si>
  <si>
    <t>1.1.1.1</t>
  </si>
  <si>
    <t>1.1.1.1.1</t>
  </si>
  <si>
    <t>1.1.1.1.2</t>
  </si>
  <si>
    <t>1.1.1.1.3</t>
  </si>
  <si>
    <t>1.1.1.2</t>
  </si>
  <si>
    <t>1.1.1.3</t>
  </si>
  <si>
    <t>1.1.2</t>
  </si>
  <si>
    <t>3.1</t>
  </si>
  <si>
    <t>3.2</t>
  </si>
  <si>
    <t>3.3</t>
  </si>
  <si>
    <t>DNL</t>
  </si>
  <si>
    <t>2.9.1</t>
  </si>
  <si>
    <t>2.9.2</t>
  </si>
  <si>
    <t>2.9.3</t>
  </si>
  <si>
    <t>2.9.4</t>
  </si>
  <si>
    <t>2.9.5</t>
  </si>
  <si>
    <t>2.9.6</t>
  </si>
  <si>
    <t>2.9.7</t>
  </si>
  <si>
    <t>2.9.8</t>
  </si>
  <si>
    <t>2.9.9</t>
  </si>
  <si>
    <t>2.9.10</t>
  </si>
  <si>
    <t>2.9.11</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</si>
  <si>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</si>
  <si>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</si>
  <si>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</si>
  <si>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</si>
  <si>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</si>
  <si>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</si>
  <si>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</si>
  <si>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</si>
  <si>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</si>
  <si>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</si>
  <si>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</si>
  <si>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</si>
  <si>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</si>
  <si>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</si>
  <si>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</si>
  <si>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</si>
  <si>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</si>
  <si>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</si>
  <si>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</si>
  <si>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</si>
  <si>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</si>
  <si>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</si>
  <si>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</si>
  <si>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</si>
  <si>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</si>
  <si>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</si>
  <si>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</si>
  <si>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</si>
  <si>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</si>
  <si>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</si>
  <si>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</si>
  <si>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</si>
  <si>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</si>
  <si>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</si>
  <si>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</si>
  <si>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</si>
  <si>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</si>
  <si>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</si>
  <si>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</si>
  <si>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</si>
  <si>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</si>
  <si>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</si>
  <si>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</si>
  <si>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</si>
  <si>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</si>
  <si>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</si>
  <si>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</si>
  <si>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</si>
  <si>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</si>
  <si>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</si>
  <si>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</si>
  <si>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</si>
  <si>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</si>
  <si>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</si>
  <si>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</si>
  <si>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</si>
  <si>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</si>
  <si>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</si>
  <si>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</si>
  <si>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66</t>
  </si>
  <si>
    <t>67</t>
  </si>
  <si>
    <t>68</t>
  </si>
  <si>
    <t>69</t>
  </si>
  <si>
    <t>70</t>
  </si>
  <si>
    <t>71</t>
  </si>
  <si>
    <t>72</t>
  </si>
  <si>
    <t>BiÓu 13/CH</t>
  </si>
  <si>
    <t>Đông Mai</t>
  </si>
  <si>
    <t>Minh Thành</t>
  </si>
  <si>
    <t>Sông Khoai</t>
  </si>
  <si>
    <t>Cộng Hòa</t>
  </si>
  <si>
    <t>Tiền An</t>
  </si>
  <si>
    <t>Tân An</t>
  </si>
  <si>
    <t>Hà An</t>
  </si>
  <si>
    <t>Hoàng Tân</t>
  </si>
  <si>
    <t>Hiệp Hòa</t>
  </si>
  <si>
    <t>Yên Giang</t>
  </si>
  <si>
    <t>Quảng Yên</t>
  </si>
  <si>
    <t>Cẩm La</t>
  </si>
  <si>
    <t>Nam Hòa</t>
  </si>
  <si>
    <t>Yên Hải</t>
  </si>
  <si>
    <t>Phong Cốc</t>
  </si>
  <si>
    <t>Phong Hải</t>
  </si>
  <si>
    <t>Liên Hòa</t>
  </si>
  <si>
    <t>Liên Vị</t>
  </si>
  <si>
    <t>Tiền Phong</t>
  </si>
  <si>
    <t>CHU CHUYỂN ĐẤT ĐAI TRONG KẾ HOẠCH SỬ DỤNG ĐẤT 2015</t>
  </si>
  <si>
    <t>CỦA THỊ XÃ QUẢNG YÊN</t>
  </si>
  <si>
    <t>Diện tích cuối kỳ năm 2015</t>
  </si>
  <si>
    <t>Diện tích đầu kỳ năm 2014</t>
  </si>
  <si>
    <t>Diện tích cuối kỳ, năm 2015</t>
  </si>
  <si>
    <t>Chu chuyển đất đai đến năm 2015</t>
  </si>
  <si>
    <t>I</t>
  </si>
  <si>
    <t>Q</t>
  </si>
  <si>
    <t>QUẢNG YÊN</t>
  </si>
  <si>
    <t>Diện tích cấp tỉnh phân bổ</t>
  </si>
  <si>
    <t>Diện tích quy hoạch được duyệt (ha)</t>
  </si>
  <si>
    <t>Diện tích cấp huyện xác định, xác định bổ sung</t>
  </si>
  <si>
    <t>Hiện trạng sử dụng đất năm 2015 của thị xã Quảng Yên</t>
  </si>
  <si>
    <t>Kết quả thực hiện quy hoạch sử dụng đất kỳ trước của thị xã Quảng Yên</t>
  </si>
  <si>
    <t>Quy hoạch sử dụng đất đến năm 2020 của thị xã Quảng Yên</t>
  </si>
  <si>
    <t>Diện tích chuyển mục đích sử dụng đất trong kỳ quy hoạch phân bổ đến từng đơn vị hành chính cấp xã của thị xã Quảng Yên</t>
  </si>
  <si>
    <t>Diện tích đất chưa sử dụng đưa vào sử dụng trong kỳ quy hoạch phân bổ đến từng đơn vị hành chính cấp xã của thị xã Quảng Yên</t>
  </si>
  <si>
    <t>Diện tích, cơ cấu sử dụng đất các khu chức năng của thị xã Quảng Yên</t>
  </si>
  <si>
    <t>Chu chuyển đất đai trong kế hoạch sử dụng đất năm 2016 của thị xã Quảng Yên</t>
  </si>
  <si>
    <t>TỔNG DIỆN TÍCH TỰ NHIÊN</t>
  </si>
  <si>
    <t>ĐIỀU CHỈNH QUY HOẠCH SỬ DỤNG ĐẤT ĐẾN NĂM 2020 CỦA THỊ XÃ QUẢNG YÊN</t>
  </si>
  <si>
    <t>Diện tích kế hoạch sử dụng đất được duyệt (ha)</t>
  </si>
  <si>
    <t>Kết quả thực hiện (%)</t>
  </si>
  <si>
    <t>So với quy hoạch được duyệt</t>
  </si>
  <si>
    <t xml:space="preserve">So với kế hoạch được duyệt </t>
  </si>
  <si>
    <t>-</t>
  </si>
  <si>
    <t>ĐÔNG MAI</t>
  </si>
  <si>
    <t>MINH THÀNH</t>
  </si>
  <si>
    <t>CỘNG HÒA</t>
  </si>
  <si>
    <t>TÂN AN</t>
  </si>
  <si>
    <t>HÀ AN</t>
  </si>
  <si>
    <t>YÊN GIANG</t>
  </si>
  <si>
    <t>NAM HÒA</t>
  </si>
  <si>
    <t>YÊN HẢI</t>
  </si>
  <si>
    <t>PHONG CỐC</t>
  </si>
  <si>
    <t>PHONG HẢI</t>
  </si>
  <si>
    <t>SÔNG KHOAI</t>
  </si>
  <si>
    <t>TIỀN AN</t>
  </si>
  <si>
    <t>HOÀNG TÂN</t>
  </si>
  <si>
    <t>HIỆP HÒA</t>
  </si>
  <si>
    <t>CẨM LA</t>
  </si>
  <si>
    <t>LIÊN HÒA</t>
  </si>
  <si>
    <t>LIÊN VỊ</t>
  </si>
  <si>
    <t>TIỀN PHONG</t>
  </si>
  <si>
    <t>Diện tích cuối kỳ, năm 2020</t>
  </si>
  <si>
    <t>Diện tích cuối kỳ năm 2020</t>
  </si>
  <si>
    <t>Diện tích đầu kỳ năm 2016</t>
  </si>
  <si>
    <t>Số TT</t>
  </si>
  <si>
    <t>Đơn vị hành chính</t>
  </si>
  <si>
    <t>Tổng số</t>
  </si>
  <si>
    <t>Diện tích tăng (+)</t>
  </si>
  <si>
    <t>Diện tích giảm (-)</t>
  </si>
  <si>
    <t>Diện tích đầu kỳ năm 2015</t>
  </si>
  <si>
    <t>Phụ lục 01</t>
  </si>
  <si>
    <t xml:space="preserve">Quy hoạch sử dụng đất trồng lúa của thị xã Quảng Yên </t>
  </si>
  <si>
    <t>Phường Quảng Yên</t>
  </si>
  <si>
    <t>Phường Đông Mai</t>
  </si>
  <si>
    <t>Phường Minh Thành</t>
  </si>
  <si>
    <t>Phường Cộng Hòa</t>
  </si>
  <si>
    <t>Phường Tân An</t>
  </si>
  <si>
    <t>Phường Hà An</t>
  </si>
  <si>
    <t>Phường Yên Giang</t>
  </si>
  <si>
    <t>Phường Nam Hòa</t>
  </si>
  <si>
    <t>Phường Yên Hải</t>
  </si>
  <si>
    <t>Phường Phong Cốc</t>
  </si>
  <si>
    <t>Phường Phong Hải</t>
  </si>
  <si>
    <t>Xã Sông Khoai</t>
  </si>
  <si>
    <t>Xã Tiền An</t>
  </si>
  <si>
    <t>Xã Hoàng Tân</t>
  </si>
  <si>
    <t>Xã Hiệp Hòa</t>
  </si>
  <si>
    <t>Xã Cẩm La</t>
  </si>
  <si>
    <t>Xã Liên Hòa</t>
  </si>
  <si>
    <t>Xã Liên Vị</t>
  </si>
  <si>
    <t>Xã Tiền Phong</t>
  </si>
  <si>
    <t xml:space="preserve">Quy hoạch sử dụng đất quốc phòng của thị xã Quảng Yên </t>
  </si>
  <si>
    <t>Phụ lục 02</t>
  </si>
  <si>
    <t xml:space="preserve">Quy hoạch sử dụng đất chuyên trồng lúa nước của thị xã Quảng Yên </t>
  </si>
  <si>
    <t xml:space="preserve">Quy hoạch sử dụng đất trồng cây hàng năm khác của thị xã Quảng Yên </t>
  </si>
  <si>
    <t>Phụ lục 03</t>
  </si>
  <si>
    <t>Phụ lục 04</t>
  </si>
  <si>
    <t xml:space="preserve">Quy hoạch sử dụng đất trồng cây lâu năm của thị xã Quảng Yên </t>
  </si>
  <si>
    <t>Phụ lục 05</t>
  </si>
  <si>
    <t xml:space="preserve">Quy hoạch sử dụng đất rừng phòng hộ của thị xã Quảng Yên </t>
  </si>
  <si>
    <t>Ghi chú: * Không tổng hợp khi tính tổng diện tích tự nhiên</t>
  </si>
  <si>
    <t>Phụ lục 06</t>
  </si>
  <si>
    <t xml:space="preserve">Quy hoạch sử dụng đất rừng sản xuất của thị xã Quảng Yên </t>
  </si>
  <si>
    <t xml:space="preserve">Quy hoạch sử dụng đất nuôi trồng thủy sản của thị xã Quảng Yên </t>
  </si>
  <si>
    <t xml:space="preserve">Quy hoạch sử dụng đất nông nghiệp khác của thị xã Quảng Yên </t>
  </si>
  <si>
    <t>Phụ lục 07</t>
  </si>
  <si>
    <t>Phụ lục: 08</t>
  </si>
  <si>
    <t>Phụ lục: 09</t>
  </si>
  <si>
    <t xml:space="preserve">Quy hoạch sử dụng đất an ninh của thị xã Quảng Yên </t>
  </si>
  <si>
    <t xml:space="preserve">Quy hoạch sử dụng đất khu công nghiệp của thị xã Quảng Yên </t>
  </si>
  <si>
    <t>Phụ lục: 10</t>
  </si>
  <si>
    <t>Phụ lục: 11</t>
  </si>
  <si>
    <t xml:space="preserve">Quy hoạch sử dụng đất thương mai, dịch vụ của thị xã Quảng Yên </t>
  </si>
  <si>
    <t>Phụ lục: 12</t>
  </si>
  <si>
    <t xml:space="preserve">Quy hoạch sử dụng đất cơ sở sản xuất phi nông nghiệp của thị xã Quảng Yên </t>
  </si>
  <si>
    <t>Phụ lục: 13</t>
  </si>
  <si>
    <t xml:space="preserve">Quy hoạch sử dụng đất phát triển hạ tầng của thị xã Quảng Yên </t>
  </si>
  <si>
    <t>Phụ lục: 14</t>
  </si>
  <si>
    <t xml:space="preserve">Quy hoạch sử dụng đất có di tích lịch sử - văn hóa của thị xã Quảng Yên </t>
  </si>
  <si>
    <t>Minh thành</t>
  </si>
  <si>
    <t>Cộng hòa</t>
  </si>
  <si>
    <t>tân an</t>
  </si>
  <si>
    <t>tiền an</t>
  </si>
  <si>
    <t>hoàng tân</t>
  </si>
  <si>
    <t>Công an thị xã quảng yên</t>
  </si>
  <si>
    <t>công an phường quảng yên</t>
  </si>
  <si>
    <t>Trạm quản lý đường thủy</t>
  </si>
  <si>
    <t>Phụ lục: 15</t>
  </si>
  <si>
    <t xml:space="preserve">Quy hoạch sử dụng đất bãi thải, xử lý chất thải của thị xã Quảng Yên </t>
  </si>
  <si>
    <t xml:space="preserve">Quy hoạch sử dụng đất ở nông thôn của thị xã Quảng Yên </t>
  </si>
  <si>
    <t xml:space="preserve">Quy hoạch sử dụng đất ở tại đô thị của thị xã Quảng Yên </t>
  </si>
  <si>
    <t xml:space="preserve">Quy hoạch sử dụng đất xây dựng trụ sở cơ quan của thị xã Quảng Yên </t>
  </si>
  <si>
    <t xml:space="preserve">Quy hoạch sử dụng đất xây trụ sở tổ chức sự nghiệp                                              của thị xã Quảng Yên </t>
  </si>
  <si>
    <t xml:space="preserve">Quy hoạch sử dụng đất cơ sở tôn giáo của thị xã Quảng Yên </t>
  </si>
  <si>
    <t xml:space="preserve">Quy hoạch sử dụng đất nghĩa trang, nghĩa địa của thị xã Quảng Yên </t>
  </si>
  <si>
    <t xml:space="preserve">Quy hoạch sử dụng đất sản xuất nguyên vật liệu xây dựng của thị xã Quảng Yên </t>
  </si>
  <si>
    <t xml:space="preserve">Quy hoạch sử dụng đất sản sinh hoạt cộng đồngg của thị xã Quảng Yên </t>
  </si>
  <si>
    <t xml:space="preserve">Quy hoạch sử dụng đất khu vui chơi giải trí công cộng                                                      của thị xã Quảng Yên </t>
  </si>
  <si>
    <t xml:space="preserve">Quy hoạch sử dụng đất cơ sở tín ngưỡng của thị xã Quảng Yên </t>
  </si>
  <si>
    <t xml:space="preserve">Quy hoạch sử dụng đất sông, suối của thị xã Quảng Yên </t>
  </si>
  <si>
    <t xml:space="preserve">Quy hoạch sử dụng đất có mặt nước chuyên dùng của thị xã Quảng Yên </t>
  </si>
  <si>
    <t>TỔNG TOÀN KHU</t>
  </si>
  <si>
    <t xml:space="preserve">Quy hoạch sử dụng đất cơ sở văn hóa của thị xã Quảng Yên </t>
  </si>
  <si>
    <t xml:space="preserve">Quy hoạch sử dụng đất xây dựng cơ sở y tế của thị xã Quảng Yên </t>
  </si>
  <si>
    <t xml:space="preserve">Quy hoạch sử dụng đất giáo dục - đào tạo của thị xã Quảng Yên </t>
  </si>
  <si>
    <t xml:space="preserve">Quy hoạch sử dụng đất thể dục - thể thao của thị xã Quảng Yên </t>
  </si>
  <si>
    <t xml:space="preserve">Quy hoạch sử dụng đất giao thông của thị xã Quảng Yên </t>
  </si>
  <si>
    <t xml:space="preserve">Quy hoạch sử dụng đất thủy lợi của thị xã Quảng Yên </t>
  </si>
  <si>
    <t xml:space="preserve">Quy hoạch sử dụng đất công trình năng lượng của thị xã Quảng Yên </t>
  </si>
  <si>
    <t xml:space="preserve">Quy hoạch sử dụng đất bưu chính, viễn thông của thị xã Quảng Yên </t>
  </si>
  <si>
    <t xml:space="preserve">Quy hoạch sử dụng đất chợ của thị xã Quảng Yên </t>
  </si>
  <si>
    <t>Đơn vị hành chính                    (xã, thị trấn)</t>
  </si>
  <si>
    <t xml:space="preserve">Diện tích đầu kỳ </t>
  </si>
  <si>
    <t>Diện tích tăng</t>
  </si>
  <si>
    <t xml:space="preserve">Lấy vào các loại đất </t>
  </si>
  <si>
    <t>Diện tích giảm</t>
  </si>
  <si>
    <t>Diện tích cuối kỳ</t>
  </si>
  <si>
    <t>Đất bằng chưa sử dụng</t>
  </si>
  <si>
    <t>Đất đồi núi chưa sử dụng</t>
  </si>
  <si>
    <t>BiÓu : 16</t>
  </si>
  <si>
    <t>Lấy vào các loại đất</t>
  </si>
  <si>
    <t>Chu chuyển đất đai đến năm 2020</t>
  </si>
  <si>
    <t>%đô thị</t>
  </si>
  <si>
    <t>%dt tự nhiên</t>
  </si>
  <si>
    <t>Âmta</t>
  </si>
  <si>
    <t>Chỉ tiêu</t>
  </si>
  <si>
    <t>Tổng diện tích đất tự nhiên</t>
  </si>
  <si>
    <t>Đất sản xuất nông nghiệp</t>
  </si>
  <si>
    <t>Đất trồng cây hàng năm</t>
  </si>
  <si>
    <t>Đất chuyên trồng lúa nước</t>
  </si>
  <si>
    <t>Đất chuyên trồng lúa nước còn lại</t>
  </si>
  <si>
    <t>Đất trồng lúa nương</t>
  </si>
  <si>
    <t>Đất cỏ dùng vào chăn nuôi</t>
  </si>
  <si>
    <t>Đất lâm nghiệp</t>
  </si>
  <si>
    <t>Đất xây dựng cơ sở văn hóa</t>
  </si>
  <si>
    <t>Đất xây dựng cơ sở y tế</t>
  </si>
  <si>
    <t>Đất xây dựng cơ sở giáo dục, đào tạo</t>
  </si>
  <si>
    <t>Đất xây dựng cơ sở thể dục, thể thao</t>
  </si>
  <si>
    <t>Đất xây dựng cơ sở khoa học và công nghệ</t>
  </si>
  <si>
    <t>Đất xây dựng cơ sở dịch vụ xã hội</t>
  </si>
  <si>
    <t>Đất giao thông</t>
  </si>
  <si>
    <t>Đất thuỷ lợi</t>
  </si>
  <si>
    <t>Đất công trình năng lượng</t>
  </si>
  <si>
    <t>Đất công trình bưu chính, viễn thông</t>
  </si>
  <si>
    <t>Đất chợ</t>
  </si>
  <si>
    <t>Đất xây dựng trụ sở tổ chức sự nghiệp</t>
  </si>
  <si>
    <t>Đất nghĩa trang, nghĩa địa, nhà tang lễ, nhà hỏa táng</t>
  </si>
  <si>
    <t>Đất khu vui chơi, giải trí cộng đồng</t>
  </si>
  <si>
    <t>Núi đá không có rừng cây</t>
  </si>
  <si>
    <t>Biến động tăng(+)      giảm (-)</t>
  </si>
  <si>
    <t>Hiện trạng năm 2010</t>
  </si>
  <si>
    <t>Diện tích quy hoạch đã được duyệt (*)</t>
  </si>
  <si>
    <t>Điều chỉnh quy hoạch đến năm 2020</t>
  </si>
  <si>
    <t>So sánh</t>
  </si>
  <si>
    <t>So với hiện trạng</t>
  </si>
  <si>
    <t>TÌNH HÌNH BIẾN ĐỘNG ĐẤT ĐAI TỪ NĂM 2010 - 2015 CỦA THỊ XÃ QUẢNG YÊN</t>
  </si>
  <si>
    <t>Biểu : 03</t>
  </si>
  <si>
    <t>Tăng khác</t>
  </si>
  <si>
    <t>Tổng diện tích tự nhiên</t>
  </si>
  <si>
    <t>Diện tích đầu kỳ năm 2010</t>
  </si>
  <si>
    <t>Giảm khác</t>
  </si>
  <si>
    <t>Biến động tăng (+), giảm (-)</t>
  </si>
  <si>
    <t>Chu chuyển các loại đất đến năm 2015</t>
  </si>
  <si>
    <t>Diện tích: ha</t>
  </si>
  <si>
    <t>CHU CHUYỂN ĐẤT ĐAI TRONG KỲ ĐIỀU CHỈNH QUY HOẠCH SỬ DỤNG ĐẤT (2016 - 2020) CỦA XÃ TIỀN PHONG</t>
  </si>
  <si>
    <t>CHU CHUYỂN ĐẤT ĐAI TRONG KỲ ĐIỀU CHỈNH QUY HOẠCH SỬ DỤNG ĐẤT (2016 - 2020) CỦA XÃ LIÊN VỊ</t>
  </si>
  <si>
    <t>HT cc 16-20</t>
  </si>
  <si>
    <t>HT biến động</t>
  </si>
  <si>
    <t>Đất trồng lúa nước còn lại</t>
  </si>
  <si>
    <t>%</t>
  </si>
  <si>
    <t>SS QH được duyệt</t>
  </si>
  <si>
    <t>Đất chưa sử dụng còn lại</t>
  </si>
  <si>
    <t>Diện tích đưa vào sử dụng</t>
  </si>
  <si>
    <t>Đất cơ sở văn hóa</t>
  </si>
  <si>
    <t>Đất cơ sở y tế</t>
  </si>
  <si>
    <t>Đất cơ sở giáo dục đào tạo</t>
  </si>
  <si>
    <t>Đất cơ sở thể dục thể thao</t>
  </si>
  <si>
    <t>Chuyển mục đích</t>
  </si>
  <si>
    <t>QH được duyệt</t>
  </si>
  <si>
    <t>KQ thực hiện</t>
  </si>
  <si>
    <t>(%)</t>
  </si>
  <si>
    <t>Đất chưa sử dụng đưa vào sử dụng</t>
  </si>
  <si>
    <t>Chuyển đổi nội bộ đất NN</t>
  </si>
  <si>
    <t>Diện tích</t>
  </si>
  <si>
    <r>
      <t>(km</t>
    </r>
    <r>
      <rPr>
        <vertAlign val="superscript"/>
        <sz val="13"/>
        <color rgb="FF000000"/>
        <rFont val="Times New Roman"/>
        <family val="1"/>
      </rPr>
      <t>2</t>
    </r>
    <r>
      <rPr>
        <sz val="13"/>
        <color rgb="FF000000"/>
        <rFont val="Times New Roman"/>
        <family val="1"/>
      </rPr>
      <t>)</t>
    </r>
  </si>
  <si>
    <t>Dân số</t>
  </si>
  <si>
    <t>( người)</t>
  </si>
  <si>
    <t>Số hộ</t>
  </si>
  <si>
    <t>(Hộ)</t>
  </si>
  <si>
    <t>Số LĐ trong độ tuổi</t>
  </si>
  <si>
    <t xml:space="preserve">Thành thị </t>
  </si>
  <si>
    <r>
      <t xml:space="preserve">Phường </t>
    </r>
    <r>
      <rPr>
        <sz val="13"/>
        <color rgb="FF000000"/>
        <rFont val="Times New Roman"/>
        <family val="1"/>
      </rPr>
      <t xml:space="preserve"> Đông Mai</t>
    </r>
  </si>
  <si>
    <r>
      <t>Phường</t>
    </r>
    <r>
      <rPr>
        <sz val="13"/>
        <color rgb="FF000000"/>
        <rFont val="Times New Roman"/>
        <family val="1"/>
      </rPr>
      <t xml:space="preserve"> Minh Thành</t>
    </r>
  </si>
  <si>
    <r>
      <t>Phường</t>
    </r>
    <r>
      <rPr>
        <sz val="13"/>
        <color rgb="FF000000"/>
        <rFont val="Times New Roman"/>
        <family val="1"/>
      </rPr>
      <t xml:space="preserve"> Cộng Hoà</t>
    </r>
  </si>
  <si>
    <r>
      <t>Phường</t>
    </r>
    <r>
      <rPr>
        <sz val="13"/>
        <color rgb="FF000000"/>
        <rFont val="Times New Roman"/>
        <family val="1"/>
      </rPr>
      <t xml:space="preserve"> Tân An</t>
    </r>
  </si>
  <si>
    <t>Phường  Yên Giang</t>
  </si>
  <si>
    <t>Nông thôn</t>
  </si>
  <si>
    <t>Xã Hiệp Hoà</t>
  </si>
  <si>
    <t>Xã Liên Hoà</t>
  </si>
  <si>
    <t>Dân số năm 2015</t>
  </si>
  <si>
    <r>
      <t>Mật độ dân số (Người/km</t>
    </r>
    <r>
      <rPr>
        <b/>
        <vertAlign val="superscript"/>
        <sz val="13"/>
        <color rgb="FF000000"/>
        <rFont val="Times New Roman"/>
        <family val="1"/>
      </rPr>
      <t>2</t>
    </r>
    <r>
      <rPr>
        <b/>
        <sz val="13"/>
        <color rgb="FF000000"/>
        <rFont val="Times New Roman"/>
        <family val="1"/>
      </rPr>
      <t>)</t>
    </r>
  </si>
  <si>
    <t>Phụ biểu : 01</t>
  </si>
  <si>
    <t>Danh mục công trình, dự án thực hiện trong kỳ điều chỉnh quy hoạch đến năm 2020 của thị xã Quảng Yên</t>
  </si>
  <si>
    <t>PHỤ LỤC</t>
  </si>
  <si>
    <t>Phụ biểu 01</t>
  </si>
  <si>
    <t>Phụ biểu 02</t>
  </si>
  <si>
    <t>Phụ biểu 03</t>
  </si>
  <si>
    <t>Phụ biểu 04</t>
  </si>
  <si>
    <t>Phụ biểu 05</t>
  </si>
  <si>
    <t>Phụ biểu 06</t>
  </si>
  <si>
    <t>Phụ biểu 07</t>
  </si>
  <si>
    <t>Phụ biểu 08</t>
  </si>
  <si>
    <t>Phụ biểu 09</t>
  </si>
  <si>
    <t>Phụ biểu 10</t>
  </si>
  <si>
    <t>Phụ biểu 11</t>
  </si>
  <si>
    <t>Phụ biểu 12</t>
  </si>
  <si>
    <t>Phụ biểu 13</t>
  </si>
  <si>
    <t>Phụ biểu 14</t>
  </si>
  <si>
    <t>Phụ biểu 15</t>
  </si>
  <si>
    <t>Phụ biểu 16</t>
  </si>
  <si>
    <t>Phụ biểu 17</t>
  </si>
  <si>
    <t>Phụ biểu 18</t>
  </si>
  <si>
    <t>Phụ biểu 19</t>
  </si>
  <si>
    <t>Phụ biểu 20</t>
  </si>
  <si>
    <t>Phụ biểu 21</t>
  </si>
  <si>
    <t>Phụ biểu 22</t>
  </si>
  <si>
    <t>Phụ biểu 23</t>
  </si>
  <si>
    <t>Phụ biểu 24</t>
  </si>
  <si>
    <t>Phụ biểu 25</t>
  </si>
  <si>
    <t>Phụ biểu 26</t>
  </si>
  <si>
    <t>Phụ biểu 27</t>
  </si>
  <si>
    <t>Phụ biểu 28</t>
  </si>
  <si>
    <t>Phụ biểu 29</t>
  </si>
  <si>
    <t>Phụ biểu 30</t>
  </si>
  <si>
    <t>Phụ biểu 31</t>
  </si>
  <si>
    <t>Phụ biểu 32</t>
  </si>
  <si>
    <t>Phụ biểu 33</t>
  </si>
  <si>
    <t>Phụ biểu 34</t>
  </si>
  <si>
    <t>Phụ biểu 35</t>
  </si>
  <si>
    <t>Phụ biểu 36</t>
  </si>
  <si>
    <t>Phụ biểu 37</t>
  </si>
  <si>
    <t>Tình hình biến động đất đai từ năm 2010 - 2015 của thị xã Quảng Yên</t>
  </si>
  <si>
    <t>Danh mục công trình, dự án trong kỳ điều chỉnh quy hoạch đến năm 2020</t>
  </si>
  <si>
    <t>Chu chuyển đất đai trong kỳ điều chỉnh quy hoạch sử dụng đất (2016 - 2020) của thị xã Quảng Yên</t>
  </si>
  <si>
    <t>Điều chỉnh quy hoạch sử dụng đất trồng lúa đến năm 2020</t>
  </si>
  <si>
    <t>Điều chỉnh quy hoạch sử dụng đất chuyên trồng lúa nước đến năm 2020</t>
  </si>
  <si>
    <t>Điều chỉnh quy hoạch sử dụng đất trồng cây hàng năm khác đến năm 2020</t>
  </si>
  <si>
    <t>Điều chỉnh quy hoạch sử dụng đất trồng cây lâu năm đến năm 2020</t>
  </si>
  <si>
    <t>Điều chỉnh quy hoạch sử dụng đất rừng phòng hộ đến năm 2020</t>
  </si>
  <si>
    <t>Điều chỉnh quy hoạch sử dụng đất rừng sản xuất đến năm 2020</t>
  </si>
  <si>
    <t>Điều chỉnh quy hoạch sử dụng đất nuôi trồng thủy sản đến năm 2020</t>
  </si>
  <si>
    <t>Điều chỉnh quy hoạch sử dụng đất nông nghiệp khác đến năm 2020</t>
  </si>
  <si>
    <t>Điều chỉnh quy hoạch sử dụng đất quốc phòng đến năm 2020</t>
  </si>
  <si>
    <t>Điều chỉnh quy hoạch sử dụng đất an ninh đến năm 2020</t>
  </si>
  <si>
    <t>Điều chỉnh quy hoạch sử dụng đất khu công nghiệp đến năm 2020</t>
  </si>
  <si>
    <t>Điều chỉnh quy hoạch sử dụng đất thương mại, dịch vụ đến năm 2020</t>
  </si>
  <si>
    <t>Điều chỉnh quy hoạch sử dụng đất cơ sở sản xuất phi nông nghiệp đến năm 2020</t>
  </si>
  <si>
    <t>Điều chỉnh quy hoạch sử dụng đất cơ sở văn hóa đến năm 2020</t>
  </si>
  <si>
    <t>Điều chỉnh quy hoạch sử dụng đất cơ sở y tế đến năm 2020</t>
  </si>
  <si>
    <t>Điều chỉnh quy hoạch sử dụng đất cơ sở giáo dục - đào tạo đến năm 2020</t>
  </si>
  <si>
    <t>Điều chỉnh quy hoạch sử dụng đất thể dục - thể thao đến năm 2020</t>
  </si>
  <si>
    <t>Điều chỉnh quy hoạch sử dụng đất có di tích lịch sử - văn hóa đến năm 2020</t>
  </si>
  <si>
    <t>Điều chỉnh quy hoạch sử dụng đất bãi thải xử lý chất thải đến năm 2020</t>
  </si>
  <si>
    <t>Điều chỉnh quy hoạch sử dụng đất ở tại nông thôn đến năm 2020</t>
  </si>
  <si>
    <t>Điều chỉnh quy hoạch sử dụng đất ở tại đô thị đến năm 2020</t>
  </si>
  <si>
    <t>Điều chỉnh quy hoạch sử dụng đất xây dựng trụ sở cơ quan đến năm 2020</t>
  </si>
  <si>
    <t>Điều chỉnh quy hoạch sử dụng đất xây dựng trụ sở của tổ chức sự nghiệp đến năm 2020</t>
  </si>
  <si>
    <t>Điều chỉnh quy hoạch sử dụng đất cơ sở tôn giáo đến năm 2020</t>
  </si>
  <si>
    <t>Điều chỉnh quy hoạch sử dụng đất làm nghĩa trang, nghĩa địa, nhà tang lễ, nhà hỏa táng đến năm 2020</t>
  </si>
  <si>
    <t>Điều chỉnh quy hoạch sử dụng đất sản xuất nguyên vật liệu xây dựng, làm đồ gốm đến năm 2020</t>
  </si>
  <si>
    <t>Điều chỉnh quy hoạch sử dụng đất sinh hoạt cộng đồng đến năm 2020</t>
  </si>
  <si>
    <t>Điều chỉnh quy hoạch sử dụng đất khu vui chơi giải trí công cộng đến năm 2020</t>
  </si>
  <si>
    <t>Điều chỉnh quy hoạch sử dụng đất cơ sở tín ngưỡng đến năm 2020</t>
  </si>
  <si>
    <t>Điều chỉnh quy hoạch sử dụng đất giao thông đến năm 2020</t>
  </si>
  <si>
    <t>Điều chỉnh quy hoạch sử dụng đất thủy lợi đến năm 2020</t>
  </si>
  <si>
    <t>Điều chỉnh quy hoạch sử dụng đất công trình năng lượng đến năm 2020</t>
  </si>
  <si>
    <t>Điều chỉnh quy hoạch sử dụng đất công trình bưu chính viễn thông đến năm 2020</t>
  </si>
  <si>
    <t>Điều chỉnh quy hoạch sử dụng đất chợ đến năm 2020</t>
  </si>
  <si>
    <t>Tên phụ biểu</t>
  </si>
  <si>
    <t>Phụ biểu: 09</t>
  </si>
  <si>
    <t>Phụ biểu: 10</t>
  </si>
  <si>
    <t>Phụ biểu: 11</t>
  </si>
  <si>
    <t>Phụ biểu: 12</t>
  </si>
  <si>
    <t>Phụ biểu: 13</t>
  </si>
  <si>
    <t>Phụ biểu: 14</t>
  </si>
  <si>
    <t>Phụ biểu: 15</t>
  </si>
  <si>
    <t>Phụ biểu: 16</t>
  </si>
  <si>
    <t>Phụ biểu: 17</t>
  </si>
  <si>
    <t>Phụ biểu: 18</t>
  </si>
  <si>
    <t>Phụ biểu: 19</t>
  </si>
  <si>
    <t>Phụ biểu: 33</t>
  </si>
  <si>
    <t>Phụ biểu: 34</t>
  </si>
  <si>
    <t>Phụ biểu: 35</t>
  </si>
  <si>
    <t>Phụ biểu: 36</t>
  </si>
  <si>
    <t>Phụ biểu: 37</t>
  </si>
  <si>
    <t>Phụ biểu: 20</t>
  </si>
  <si>
    <t>Phụ biểu: 21</t>
  </si>
  <si>
    <t>Phụ biểu: 22</t>
  </si>
  <si>
    <t>Phụ biểu: 23</t>
  </si>
  <si>
    <t>Phụ biểu: 24</t>
  </si>
  <si>
    <t>Phụ biểu: 25</t>
  </si>
  <si>
    <t>Phụ biểu: 26</t>
  </si>
  <si>
    <t>Phụ biểu: 27</t>
  </si>
  <si>
    <t>Phụ biểu: 28</t>
  </si>
  <si>
    <t>Phụ biểu: 29</t>
  </si>
  <si>
    <t>Phụ biểu: 30</t>
  </si>
  <si>
    <t>Phụ biểu: 31</t>
  </si>
  <si>
    <t>Điều chỉnh quy hoạch sử dụng đất phát triển hạ tầng đến năm 2020</t>
  </si>
  <si>
    <t>Phụ biểu 38</t>
  </si>
  <si>
    <t>Phụ biểu: 38</t>
  </si>
  <si>
    <t>Chu chuyển các loại đất đến năm 2020</t>
  </si>
  <si>
    <t>CHU CHUYỂN ĐẤT ĐAI TRONG KỲ ĐIỀU CHỈNH QUY HOẠCH SỬ DỤNG ĐẤT (2011 - 2020) CỦA THỊ XÃ QUẢNG YÊN</t>
  </si>
  <si>
    <t>Chu chuyển đất đai trong kỳ điều chỉnh quy hoạch sử dụng đất (2011-2020) của thị xã Quảng Yên</t>
  </si>
  <si>
    <t>Phụ biểu: 32</t>
  </si>
  <si>
    <t>Diện tích kiểm kê năm 2010</t>
  </si>
  <si>
    <t>Diện tích kiểm kê năm 2015</t>
  </si>
  <si>
    <t>Diện tích tăng, giảm</t>
  </si>
  <si>
    <t>Tổng cộng</t>
  </si>
  <si>
    <t>Phụ biểu 39</t>
  </si>
  <si>
    <t>Phụ biểu 40</t>
  </si>
  <si>
    <t>Phụ biểu 41</t>
  </si>
  <si>
    <t>Phụ biểu 42</t>
  </si>
  <si>
    <t>Phụ biểu 43</t>
  </si>
  <si>
    <t>Danh mục công trình, dự án được chấp thuận thu hồi đất theo khoản 3 điều 62 Luật đất đai (HĐND tỉnh)</t>
  </si>
  <si>
    <t>Danh mục các công trình, dự án được chấp thuận cho chuyển mục đích sử dụng đất (Thủ tướng Chính phủ và HĐND tỉnh)</t>
  </si>
  <si>
    <t>Danh mục các công trình, dự án điều chỉnh quy mô diện tích và vị trí quy hoạch sử dụng đất đến năm 2020 thị xã Quảng Yên</t>
  </si>
  <si>
    <t>Danh mục các công trình, dự án bổ sung vào quy hoạch sử dụng đất đến năm 2020 thị xã Quảng Yên</t>
  </si>
  <si>
    <t>Danh mục các công trình, dự án đưa ra khỏi quy hoạch đến năm 2020 thị xã Quảng Yên</t>
  </si>
  <si>
    <t>Bảng 04: Chỉ tiêu sử dụng đất đã được phân bổ từ quy hoạch sử dụng đất cấp tỉnh đến từng đơn vị hành chính cấp xã</t>
  </si>
  <si>
    <t>Phụ biểu: 39</t>
  </si>
  <si>
    <t>Phụ biểu: 40</t>
  </si>
  <si>
    <t>Phụ biểu: 41</t>
  </si>
  <si>
    <t>Phụ biểu: 42</t>
  </si>
  <si>
    <t>Phụ biểu: 43</t>
  </si>
  <si>
    <t>Hạng mục</t>
  </si>
  <si>
    <t>Diện tích quy hoạch (ha)</t>
  </si>
  <si>
    <t>Diện tích hiện trạng (ha)</t>
  </si>
  <si>
    <t>Diện tích tăng thêm (ha)</t>
  </si>
  <si>
    <t>Sử dụng vào loại đất</t>
  </si>
  <si>
    <t>Địa điểm (đến cấp xã)</t>
  </si>
  <si>
    <t>Căn cứ pháp lý ( phê duyệt địa điểm, chấp thuận chủ trương đầu tư, quy hoạch chi tiết xây dựng, văn bản ghi vốn,…)</t>
  </si>
  <si>
    <t>11 phường</t>
  </si>
  <si>
    <t>Phi nông nghiệp</t>
  </si>
  <si>
    <t>Chưa sử dụng</t>
  </si>
  <si>
    <t>DIỆN TÍCH, CƠ CẤU SỬ DỤNG ĐẤT CÁC XÃ, PHƯỜNG THỊ XÃ QUẢNG YÊN</t>
  </si>
  <si>
    <t>Tổng</t>
  </si>
  <si>
    <t>cơ cấu(%)</t>
  </si>
  <si>
    <t>Đất nông nghiệp còn lại</t>
  </si>
  <si>
    <t>Đất phi nông nghiệp còn lại</t>
  </si>
  <si>
    <t>Diện tích đầu kỳ năm 2021</t>
  </si>
  <si>
    <t>Chu chuyển đất đai đến năm 2030</t>
  </si>
  <si>
    <t>Diện tích cuối kỳ năm 2030</t>
  </si>
  <si>
    <t>Diện tích cuối kỳ, năm 2030</t>
  </si>
  <si>
    <t>Diện tích đầu kỳ năm 2020</t>
  </si>
  <si>
    <t>CHU CHUYỂN ĐẤT ĐAI TRONG KỲ QUY HOẠCH SỬ DỤNG ĐẤT (2021 - 2030) CỦA PHƯỜNG PHONG CỐC</t>
  </si>
  <si>
    <t>QUY HOẠCH SỬ DỤNG ĐẤT TRỒNG LÚA THỜI KỲ 2021 - 2030</t>
  </si>
  <si>
    <t>QUY HOẠCH SỬ DỤNG ĐẤT CHUYÊN TRỒNG LÚA NƯỚC THỜI KỲ 2021 - 2030</t>
  </si>
  <si>
    <t>QUY HOẠCH SỬ DỤNG ĐẤT TRỒNG CÂY HÀNG NĂM THỜI KỲ 2021 - 2030</t>
  </si>
  <si>
    <t>QUY HOẠCH SỬ DỤNG ĐẤT TRỒNG CÂY LÂU NĂM THỜI KỲ 2021 - 2030</t>
  </si>
  <si>
    <t>QUY HOẠCH SỬ DỤNG ĐẤT RỪNG PHÒNG HỘ THỜI KỲ 2021 - 2030</t>
  </si>
  <si>
    <t>QUY HOẠCH SỬ DỤNG ĐẤT RỪNG SẢN XUẤT THỜI KỲ 2021 - 2030</t>
  </si>
  <si>
    <t>QUY HOẠCH SỬ DỤNG ĐẤT NUÔI TRỒNG THỦY SẢN THỜI KỲ 2021 - 2030</t>
  </si>
  <si>
    <t>QUY HOẠCH SỬ DỤNG ĐẤT NÔNG NGHIỆP KHÁC THỜI KỲ 2021 - 2030</t>
  </si>
  <si>
    <t>QUY HOẠCH SỬ DỤNG ĐẤT QUỐC PHÒNG THỜI KỲ 2021 - 2030</t>
  </si>
  <si>
    <t>QUY HOẠCH SỬ DỤNG ĐẤT AN NINH THỜI KỲ 2021 - 2030</t>
  </si>
  <si>
    <t>QUY HOẠCH SỬ DỤNG ĐẤT KHU CÔNG NGHIỆP THỜI KỲ 2021 - 2030</t>
  </si>
  <si>
    <t>QUY HOẠCH SỬ DỤNG ĐẤT THƯƠNG MẠI, DỊCH VỤ THỜI KỲ 2021 - 2030</t>
  </si>
  <si>
    <t>QUY HOẠCH SỬ DỤNG ĐẤT CƠ SỞ SẢN XUẤT PHI NÔNG NGHIỆP THỜI KỲ 2021 - 2030</t>
  </si>
  <si>
    <t>QUY HOẠCH SỬ DỤNG ĐẤT PHÁT TRIỂN HẠ TẦNG THỜI KỲ 2021 - 2030</t>
  </si>
  <si>
    <t>QUY HOẠCH SỬ DỤNG ĐẤT XÂY DỰNG CƠ SỞ Y TẾ THỜI KỲ 2021 - 2030</t>
  </si>
  <si>
    <t>QUY HOẠCH SỬ DỤNG ĐẤT XÂY DỰNG CƠ SỞ GIÁO DỤC - ĐÀO TẠO THỜI KỲ 2021 - 2030</t>
  </si>
  <si>
    <t>QUY HOẠCH SỬ DỤNG ĐẤT XÂY DỰNG CƠ SỞ THỂ DỤC - THỂ THAO THỜI KỲ 2021 - 2030</t>
  </si>
  <si>
    <t>QUY HOẠCH SỬ DỤNG ĐẤT GIAO THÔNG THỜI KỲ 2021 - 2030</t>
  </si>
  <si>
    <t>QUY HOẠCH SỬ DỤNG ĐẤT THỦY LỢI THỜI KỲ 2021 - 2030</t>
  </si>
  <si>
    <t>QUY HOẠCH SỬ DỤNG ĐẤT CÔNG TRÌNH NĂNG LƯỢNG THỜI KỲ 2021 - 2030</t>
  </si>
  <si>
    <t>QUY HOẠCH SỬ DỤNG ĐẤT CHỢ THỜI KỲ 2021 - 2030</t>
  </si>
  <si>
    <t>QUY HOẠCH SỬ DỤNG ĐẤT CÓ DI TÍCH LỊCH SỬ - VĂN HÓA THỜI KỲ 2021 - 2030</t>
  </si>
  <si>
    <t>QUY HOẠCH SỬ DỤNG ĐẤT Ở TẠI ĐÔ THỊ THỜI KỲ 2021 - 2030</t>
  </si>
  <si>
    <t xml:space="preserve">QUY HOẠCH SỬ DỤNG ĐẤT SINH HOẠT CỘNG ĐỒNG THỜI KỲ 2021 - 2030 </t>
  </si>
  <si>
    <t>QUY HOẠCH SỬ DỤNG ĐẤT KHU VUI CHƠI, GIẢI TRÍ CÔNG CỘNG THỜI KỲ 2021 - 2030</t>
  </si>
  <si>
    <t>Diện tích thực hiện năm 2020</t>
  </si>
  <si>
    <t>Bắc Sơn</t>
  </si>
  <si>
    <t>Hải Sơn</t>
  </si>
  <si>
    <t>Quảng Nghĩa</t>
  </si>
  <si>
    <t>Hải Đông</t>
  </si>
  <si>
    <t>Hải Tiến</t>
  </si>
  <si>
    <t>Hải Xuân</t>
  </si>
  <si>
    <t>Vạn Ninh</t>
  </si>
  <si>
    <t>Vĩnh Trung</t>
  </si>
  <si>
    <t>Vĩnh Thực</t>
  </si>
  <si>
    <t>Hải Yên</t>
  </si>
  <si>
    <t>Ka Long</t>
  </si>
  <si>
    <t>Ninh Dương</t>
  </si>
  <si>
    <t>Hòa Lạc</t>
  </si>
  <si>
    <t>Trần Phú</t>
  </si>
  <si>
    <t>Hải Hòa</t>
  </si>
  <si>
    <t>Trà Cổ</t>
  </si>
  <si>
    <t>Bình Ngọc</t>
  </si>
  <si>
    <t>Hai</t>
  </si>
  <si>
    <t>V</t>
  </si>
  <si>
    <t>Xã Bắc Sơn</t>
  </si>
  <si>
    <t>Xã Hải Sơn</t>
  </si>
  <si>
    <t>Xã Quảng Nghĩa</t>
  </si>
  <si>
    <t>Xã Hải Đông</t>
  </si>
  <si>
    <t>Xã Hải Tiến</t>
  </si>
  <si>
    <t>Xã Hải Xuân</t>
  </si>
  <si>
    <t>Xã Vạn Ninh</t>
  </si>
  <si>
    <t>Xã Vĩnh Trung</t>
  </si>
  <si>
    <t>Xã Vĩnh Thực</t>
  </si>
  <si>
    <t>Phường Hải Yên</t>
  </si>
  <si>
    <t>Phường Ka Long</t>
  </si>
  <si>
    <t>Phường Ninh Dương</t>
  </si>
  <si>
    <t>Phường Hòa Lạc</t>
  </si>
  <si>
    <t>Phường Trần Phú</t>
  </si>
  <si>
    <t>Phường Hải Hòa</t>
  </si>
  <si>
    <t>Phường Trà Cổ</t>
  </si>
  <si>
    <t>Phường Bình Ngọc</t>
  </si>
  <si>
    <t>CỦA THÀNH PHỐ MÓNG CÁI</t>
  </si>
  <si>
    <t>TÌNH HÌNH BIẾN ĐỘNG ĐẤT ĐAI TỪ NĂM 2016 - 2020 CỦA THÀNH PHỐ MÓNG CÁI</t>
  </si>
  <si>
    <t>HIỆN TRẠNG SỬ DỤNG ĐẤT NĂM 2020 CỦA THÀNH PHỐ MÓNG CÁI</t>
  </si>
  <si>
    <t>KẾT QUẢ THỰC HIỆN QUY HOẠCH SỬ DỤNG ĐẤT KỲ TRƯỚC                                            CỦA THÀNH PHỐ MÓNG CÁI</t>
  </si>
  <si>
    <t>DIỆN TÍCH, CƠ CẤU SỬ DỤNG ĐẤT CÁC KHU CHỨC NĂNG CỦA THÀNH PHỐ MÓNG CÁI</t>
  </si>
  <si>
    <t>THÀNH PHỐ MÓNG CÁI</t>
  </si>
  <si>
    <t>QUY HOẠCH SỬ DỤNG ĐẤT XÂY DỰNG CƠ SỞ VĂN HÓA THỜI KỲ 2021 - 2030              THÀNH PHỐ MÓNG CÁI</t>
  </si>
  <si>
    <t>QUY HOẠCH SỬ DỤNG ĐẤT CÔNG TRÌNH BƯU CHÍNH, VIỄN THÔNG THỜI KỲ 2021 - 2030                                                THÀNH PHỐ MÓNG CÁI</t>
  </si>
  <si>
    <t>QUY HOẠCH SỬ DỤNG ĐẤT BÃI THẢI, XỬ LÝ CHẤT THẢI THỜI KỲ 2021 - 2030 CỦA THÀNH PHỐ MÓNG CÁI</t>
  </si>
  <si>
    <t>QUY HOẠCH SỬ DỤNG ĐẤT XÂY DỰNG TRỤ SỞ CƠ QUAN THỜI KỲ 2021 - 2030                                                                                    THÀNH PHỐ MÓNG CÁI</t>
  </si>
  <si>
    <t>QUY HOẠCH SỬ DỤNG ĐẤT XÂY DỰNG TRỤ SỞ CỦA TỔ CHỨC SỰ NGHIỆP THỜI KỲ 2021 - 2030 CỦA THÀNH PHỐ MÓNG CÁI</t>
  </si>
  <si>
    <t>QUY HOẠCH SỬ DỤNG ĐẤT CƠ SỞ TÔN GIÁO THỜI KỲ 2021 - 2030 CỦA THÀNH PHỐ MÓNG CÁI</t>
  </si>
  <si>
    <t>QUY HOẠCH SỬ DỤNG ĐẤT LÀM NGHĨA TRANG, NGHĨA ĐỊA, NHÀ TANG LỄ, NHÀ HỎA TÁNG THỜI KỲ 2021 - 2030                                                              CỦA THÀNH PHỐ MÓNG CÁI</t>
  </si>
  <si>
    <t>QUY HOẠCH SỬ DỤNG ĐẤT SẢN XUẤT VẬT LIỆU XÂY DỰNG, LÀM ĐỒ GỐM THỜI KỲ 2021 - 2030                                                    CỦA THÀNH PHỐ MÓNG CÁI</t>
  </si>
  <si>
    <t>QUY HOẠCH SỬ DỤNG ĐẤT CƠ SỞ TÍN NGƯỠNG THỜI KỲ 2021 - 2030 CỦA THÀNH PHỐ MÓNG CÁI</t>
  </si>
  <si>
    <t>QUY HOẠCH SỬ DỤNG ĐẤT SÔNG, NGÒI, KÊNH, RẠCH, SUỐI THỜI KỲ 2021 - 2030                       CỦA THÀNH PHỐ MÓNG CÁI</t>
  </si>
  <si>
    <t>QUY HOẠCH SỬ DỤNG ĐẤT CÓ MẶT NƯỚC CHUYÊN DÙNG THỜI KỲ 2021 - 2030                            CỦA THÀNH PHỐ MÓNG CÁI</t>
  </si>
  <si>
    <t xml:space="preserve">Căn cứ chiến đấu thành phố Móng Cái </t>
  </si>
  <si>
    <t>Trạm kiểm soát biên phòng Bắc Luân 2/Đồn Biên phòng Cửa khẩu quốc tế Móng Cái.</t>
  </si>
  <si>
    <t>Quy hoạch Trạm kiểm soát biên phòng Bắc Luân 2 đã được UBND tỉnh phê duyệt tại Quyết định số 3383/QĐ-UBND ngày 31/8/2017. UBND tỉnh đã có Công văn số 6648/UBND-XD1 ngày 13/9/2019 giao sở KHĐT rà soát lại việc thực hiện việc công bố dự án, việc thực hiện sơ tuyển, báo cáo UBND tỉnh trước ngày 20/9/2019.
Văn bản số 6981/UBND-QH1 ngày 26/9/2019 của UBND tỉnh yêu cầu Sở KHĐT khẩn trương thực hiện ý kiến chỉ đạo của UBND tỉnh tại Công văn số 6648/UBND-XD1 ngày 13/9/2019; giao Sở KHĐT xác định nguồn vốn dự án Đồn Biên phòng cửa khẩu Bắc Luân báo cáo UBND tỉnh.
* Kết quả thực hiện: Sở KHĐT đã phối hợp với Sở Xây dựng kiểm tra thực địa xác định sự cần thiết đầu tư để báo cáo UBND tỉnh đưa dự án vào Kế hoạc đầu tư công trung hạn giai đoạn 2012-2025.</t>
  </si>
  <si>
    <t>Xây dựng Trụ sở Cảnh sát đường thủy tại phường Ka Long thành phố Móng Cái</t>
  </si>
  <si>
    <t>Quyết định số 2943/QĐ-UBND ngày 21/6/2019 của UBND thành phố Móng Cái Về việc phê duyệt chủ trương đầu tư công trình: Xây dựng Trụ sở Cảnh sát đường thủy tại phường Ka Long, thành phố Móng Cái. 
Quyết định số 5765/QĐ-UBND ngày 21/10/2019 của UBND thành phố Móng Cái Về việc phê duyệt quy hoạch chi tiết xây dựng tỷ lệ 1/500 Công trình: Trụ sở cảnh sát đường thủy tại phường Ka Long, thành phố Móng Cái</t>
  </si>
  <si>
    <t>Công trình, dự án mục đích quốc phòng (CQP)</t>
  </si>
  <si>
    <t>Công trình, dự án mục đích an ninh (CAN)</t>
  </si>
  <si>
    <t>Đất khu công nghiệp (SKK)</t>
  </si>
  <si>
    <t>Đất cụm công nghiệp (SKN)</t>
  </si>
  <si>
    <t>Đất thương mại, dịch vụ (TMD)</t>
  </si>
  <si>
    <t>Đất sản xuất kinh doanh phi nông nghiệp (SKC)</t>
  </si>
  <si>
    <t>Dự án mở rộng bến bốc xếp thôn Cầu Voi, xã Vạn Ninh, thành phố Móng Cái</t>
  </si>
  <si>
    <t>QĐ số 3383/QĐ-UBND ngày 31/8/2017 
của UBND Tỉnh V/v phê duyệt QH chi tiết xây dựng tỷ lệ 1/500 trạm kiểm soát liên ngành cầu Bắc Luân II  gắn với khu dịch vụ thương mại tại phường Hải Hòa, thành phố Móng Cái, tỉnh Quảng Ninh.; Quyết định số 746/QĐ-UBND ngày 7/2/2018 của UBND thành phố Móng Cái về danh mục thu hồi đất theo quy hoạch được duyệt.
Đã được HĐND thông qua hạng mục Công trình nhà kiểm soát liên ngành - Văn phòng làm việc của Ban QLCK và các cơ quan liên quan - Quảng trường Quốc môn - Cây xanh cảnh quan - Barie kiểm soát tại CV 810/KTNS_HĐND ngày 21/11/2017.</t>
  </si>
  <si>
    <t>Đất cơ sở sản xuất phi nông nghiệp tại phường Ninh Dương (Dự án kho hàng hóa và xưởng)</t>
  </si>
  <si>
    <t>Quyết định 89/QĐ-BQLKKT ngày 25/6/2019 V/v phê duyệt điều chỉnh quy hoạch chi tiết tỷ lệ 1/500 dự án kho hàng hóa và xưởng tại phường Ninh Dương, TP. Móng Cái.</t>
  </si>
  <si>
    <t>Đất cơ sở tôn giáo (TON)</t>
  </si>
  <si>
    <t>Dự án phục hồi di tích chùa Linh Sơn, phường Hải Yên, thành phố Móng Cái, tỉnh Quảng Ninh.</t>
  </si>
  <si>
    <t>Quyết định số 630/QĐ-UBND ngày 09/3/2015 của UBND tỉnh Quảng Ninh về việc Phê duyệt Dự án phục hồi di tích chùa Linh Sơn, phường Hải Yên, thành phố Móng Cái, tỉnh Quảng Ninh; Quyết định số 1805/QĐ-UBND ngày 01/6/2015 của UBND thành phố Móng Cái về việc Phê duyệt quy hoạch chi tiết xây dựng tỷ lệ 1/500 Chùa Linh Sơn tại phường Hải Yên, thành phố Móng Cái, tỉnh Quảng Ninh; Đã được HĐND tỉnh thông qua các công trình dự án chuyển mục đích sử dụng đất tại Nghị quyết số 212/NQ-HĐND.</t>
  </si>
  <si>
    <t>Đất ở tại đô thị (ODT)</t>
  </si>
  <si>
    <t>Đất ở tại nông thôn (ONT)</t>
  </si>
  <si>
    <t>Điểm Quy hoạch tại thôn Lục Chắn - xã Hải Sơn, thành phố Móng Cái, tỉnh Quảng Ninh.</t>
  </si>
  <si>
    <t>Chuyển mục đích đất nông nghiệp trong khu dân cư sang đất ở</t>
  </si>
  <si>
    <t>Điểm dân cư Thôn 6</t>
  </si>
  <si>
    <t>Điểm dân cư Thôn 7</t>
  </si>
  <si>
    <t xml:space="preserve">UBND Thành phố phê duyệt QH tỷ lệ 1/500 năm 2003.
Đã được HĐND tỉnh thông qua DA thu hồi đất tại NQ 26/NQ-HĐND ngày 27/7/2016. </t>
  </si>
  <si>
    <t>Điểm tái định cư thôn 5</t>
  </si>
  <si>
    <t>Điểm dân cư số 12 thôn 4</t>
  </si>
  <si>
    <t>Điểm tái định cư xóm Vạn Xuân, xã Hải Xuân, thành phố Móng Cái</t>
  </si>
  <si>
    <t>Điểm dân cư số 7 thôn 6</t>
  </si>
  <si>
    <t>Sơ đồ điều chỉnh quy hoạch khu tái định cư xóm vạn xuân xã hải xuân thị xã Móng Cái, tỉnh Quảng Ninh. 
Văn bản số 2691/UBND-VP ngày 21/8/2019 V/v thực hiện bồi thường GPMB lô 01, điểm Quy hoạch tái định cư xóm Vạn Xuân, xã Hải Xuân, thành phố Móng Cái.</t>
  </si>
  <si>
    <t>Đã được UBND thị xã Móng Cái phê duyệt QH tỷ lệ 1/500 ngày 23/10/2007.
Đã được HĐND tỉnh thông qua DA thu hồi đất tại NQ 26/NQ-HĐND ngày 27/7/2016.</t>
  </si>
  <si>
    <t xml:space="preserve">Đã được UBND thị xã Móng Cái phê duyệt QH tỷ lệ 1/500 ngày 13/10/2007.
Đã được HĐND tỉnh thông qua DA thu hồi đất tại NQ 26/NQ-HĐND ngày 27/7/2016. </t>
  </si>
  <si>
    <t>Điểm dân cư từ nhà ông Mai đến nhà ông Sáng Tương thôn 3, xã Vĩnh Thực (Điểm số 4)</t>
  </si>
  <si>
    <t xml:space="preserve">QĐ số 6200/QĐ-UBND ngày 11/11/2019 của UBND thành phố Móng Cái Về việc phê duyệt Quy hoạch chi tiết xây dựng tỷ lệ 1/500 các điểm đất ở trên địa bàn xã Vĩnh Thực, thành phố Móng Cái.
Nghị Quyết số 243/NQ-HĐND ngày 31/3/2020 của Hội đồng nhân dân tỉnh "V/v Thông qua danh mục công trình dự án chuyển mục đích sử dụng đất theo điều 58 Luật Đất đai 2013 để thực hiện các công trình, dự án trên địa bàn tỉnh (đợt 1) năm 2020".
</t>
  </si>
  <si>
    <t>Khu đô thị Mới Hải Yên (khu đô thị Tự Nhiên tổng dự án 33,03 ha)</t>
  </si>
  <si>
    <t>Điều chỉnh quy hoạch lô 22, 23 lô 01 và quy hoạch điểm 4.1, khu 7, phường Hải Yên, thành phố Móng Cái, tỉnh Quảng Ninh.</t>
  </si>
  <si>
    <t>Xây dựng hạ tầng kỹ thuật lô đất L-23, khu dân cư KM3, phường Hải Yên, thành phố Móng Cái</t>
  </si>
  <si>
    <t>Khu tái định cư tại khu 5, phường Hải Yên, thành phố Móng Cái, tỉnh Quảng Ninh</t>
  </si>
  <si>
    <t>Đất ở tái định cư phục vụ các dự án phát triển kinh tế xã hội trên địa bàn phường Hải Yên</t>
  </si>
  <si>
    <t xml:space="preserve">QĐ số 1107/QĐ-UBND ngày 18/4/2005 của UBND tinh Quảng Ninh V/v phê duyệt dự án đầu tư xây dựng kinh doanh hạ tầng khu dân cư đô thị mới Hải Yên, Móng Cái của chi nhánh công ty sản xuất bao bì và hàng xuất khẩu. 
Quyết định số 29/QĐ-BQLKTT ngày 13/2/2018 của ban quản lý khu kinh tế V/v phê duyệt diều chỉnh quy hoạch chi tiết xây dựng tỷ lệ 1/500 khu dân cư đô thị mới km5, Hải Yên, TP Móng Cái. </t>
  </si>
  <si>
    <t>QĐ số 287/QĐ-UBND ngày 22/01/2019 của UBND TP Móng Cái V/v phê duyệt diều chỉnh quy hoạch chi tiết tỷ lệ 1/500 khu đô thị mới Hải Yên.</t>
  </si>
  <si>
    <t xml:space="preserve">QĐ-UBND ngày 24/01/2014 của UBND thành phố Móng Cái Về việc phê duyệt Điều chỉnh Quy hoạch lô 22, 23; Lô 01 và điểm quy hoạch 4.1 Tỉ lệ 1/500, tại khu 7 phường Hải Yên, thành phố Móng Cái </t>
  </si>
  <si>
    <t>Quyết định số 81/QĐ-UBND ngày 18/1/2017 của UBND thành phố Móng Cái Về Việc Phê duyệt điều chỉnh Quy hoạch chi tiết xây dựng tỷ lệ 1/500 Khu dân cư KM3, phường Hải Yên, thành phố Móng Cái, tỉnh Quảng Ninh.
Quyết định số 4406/QĐ-UBND ngày 30/10/2018 của UBND tỉnh Quảng Ninh V/v Phê duyệt dự án đầu tư xây dựng công trình: Chỉnh trang khu dân cư km3, phường Hải Yên, thành phố Móng Cái.
Quyết định số 185/QĐ-SXD ngày 28/8/2019 Về việc phê duyệt thiết kế bản vẽ thi công, dự toán xây dựng công trình Chỉnh trang khu dân cư KM3, phường Hải yên, thành phố Móng Cái</t>
  </si>
  <si>
    <t>Điểm đất ở tại khu 7 phường Ka Long, thành phố Móng Cái, tỉnh Quảng Ninh</t>
  </si>
  <si>
    <t>Khu tái định cư tại khu Thượng Trung, phường Ninh Dương, thành phố Móng Cái</t>
  </si>
  <si>
    <t>Đất ở tái định cư và nhà ở xã hội phục vụ một số dự án phát triển kinh tế xã hội trên địa bàn thành phố Móng Cái</t>
  </si>
  <si>
    <t>Khu Đô Thị  Đại lộ Hòa Bình Kéo Dài (tổng dự án 48,8 ha)</t>
  </si>
  <si>
    <t>Quy hoạch khu đô thị hai bên đường dẫn cầu Bắc Luân II (giai đoạn 1)</t>
  </si>
  <si>
    <t xml:space="preserve">Khu đô thị phía nam cầu Bắc Luân II </t>
  </si>
  <si>
    <t>QĐ số 1759/QĐ-UBND cảu UBND tỉnh Quảng Ninh ngày 26/04/2019 V/v phê duyệt kết quả Lựa chọn nhà đầu tư thực hiện dự án Khu đô thị đại lộ Hòa Bình kéo dài tại Phường Hải Hòa, TP Móng Cái</t>
  </si>
  <si>
    <t xml:space="preserve">Quyết định 3321/QĐ-UBND ngày 09/8/2019 của UBND tỉnh phê duyệt chủ trương đầu tư; Quyết định số 106/QĐ-BQLKKT ngày 5/7/2019 V/v phê duyệt quy hoạch chi tiết xây dựng tỷ lệ 1/500  khu đô thị hai bên đường dẫn cầu Bắc Luân II, phường Hải Hòa, TP.Móng Cái. 
Đã được HĐND tỉnh thông qua công trình, dự án chuyển mục đích sử dụng đất tại Nghị quyết số 212/NQ-HĐND ngày 26/10/2019. </t>
  </si>
  <si>
    <t>QĐ số 106/QĐ-BQLKKT ngày 5/7/2019 của Ban quản lý khu kinh tế Về việc phê duyệt Quy hoạch chi tiết xây dựng tỷ lệ 1/500 Khu đô thị hai bên đường dẫn cầu Bắc Luân II tại phường Hải Hòa, thành phố Móng Cái, tỉnh Quảng Ninh; QĐ số 4761/QĐ-UBND ngày 12/11/2019 của UBND tỉnh về việc phê duyệt chủ trương đầu tư.
Nghị Quyết số 243/NQ-HĐND ngày 31/3/2020 của Hội đồng nhân dân tỉnh "V/v Thông qua danh mục công trình dự án chuyển mục đích sử dụng đất theo điều 58 Luật Đất đai 2013 để thực hiện các công trình, dự án trên địa bàn tỉnh (đợt 1) năm 2020".</t>
  </si>
  <si>
    <t>Đất sản xuất vật liệu xây dựng, làm đồ gốm (SKX)</t>
  </si>
  <si>
    <t>Đất xây dựng trụ sở cơ quan (TSC)</t>
  </si>
  <si>
    <t>Trụ sở Văn phòng, nhà hàng và Trung tâm tổ chức sự kiện</t>
  </si>
  <si>
    <t>Bản phê duyệt quy hoạch chi tiết xây dựng tỷ lệ 1/500 tại Quyết định số 197/QĐ-BQLKKT ngày 04/9/2018; TTPTQĐ thành phố Móng Cái đang quản lý không phải GPMB.</t>
  </si>
  <si>
    <t>Điểm khai thác mỏ đất tại thôn 5 xã Quảng Nghĩa (Khu I, Điểm số 1, phục vụ dự án Hỗ trợ giải phóng mặt bằng tuyến đường ven biển đoạn trên địa bàn tỉnh Quảng Ninh)</t>
  </si>
  <si>
    <t>Điểm khai thác mỏ đất tại thôn 5 xã Quảng Nghĩa (Khu II, Điểm số 1, phục vụ dự án Hỗ trợ giải phóng mặt bằng tuyến đường ven biển đoạn trên địa bàn tỉnh Quảng Ninh)</t>
  </si>
  <si>
    <t>Điểm khai thác đất tại thôn 2 xã Quảng Nghĩa (điểm số 5, phục vụ dự án Hỗ trợ giải phóng mặt bằng tuyến đường ven biển đoạn trên địa bàn tỉnh Quảng Ninh)</t>
  </si>
  <si>
    <t>Điểm đổ thải tại xã Quảng Nghĩa (Điểm Số 1), thành phố Móng Cái phục vụ thi công dự án Hỗ trợ giải phóng mặt bằng tuyến đường ven biển đoạn trên địa bàn tỉnh Quảng Ninh.</t>
  </si>
  <si>
    <t>Điểm khai thác đất tại Khu 6, phường Hải Yên, thành phố Móng Cái (điểm số 3, phục vụ đường cao tốc Vân Đồn - Móng Cái)</t>
  </si>
  <si>
    <t>Điểm khai thác đất tại khu 4, phường Hải Yên (Điểm số 4, phục vụ đường cao tốc Vân Đồn - Móng Cái)</t>
  </si>
  <si>
    <t>QĐ số 2144/QĐ-UBND ngày 08/5/2019 của UBND TP Móng Cái V/vphê duyệt quy hoạch chi tiết 1/500 khai thác mỏ đất Quảng Nghĩa tại thôn 5, xã Quảng Nghĩa, TP Móng Cái phục vụ dự án cáo tốc Vân Đồn - Móng Cái.</t>
  </si>
  <si>
    <t xml:space="preserve">QĐ số 3152/QĐ-UBND ngày 25/6/2019 V/v phê duyệt QHCT 1/500 điểm khai thác đất phục vụ thi công đường cao tốc  Vân Đồn-Móng Cái.
Đã được HĐND tỉnh thông qua các công trình dự án chuyển mục đích sử dụng đất tại Nghị quyết số 212/NQ-HĐND ngày 26/10/2019. </t>
  </si>
  <si>
    <t>Quyết định số 6715/QĐ-UBND ngày 05/12/2019 của UBND thành phố Móng Cái Về việc phê duyệt Quy hoạch chi tiết xây dựng tỷ lệ 1/500 Khu đổ thải tại xã Quảng Nghĩa (Điểm số 1), thành phố Móng Cái phục vụ thi công dự án đường cao tốc Vân Đồn - Móng Cái</t>
  </si>
  <si>
    <t>văn bản số 1346/UBND-QH2 ngày 07/3/2019 của UBND tỉnh Quảng Ninh v/v chấp thuận địa điểm để khảo sát, nghiên cứu lập Quy hoạch khai thác vật liệu đắp nền đường và đổ thải phục vụ thi công dự án đường cao tốc Vân Đồn - Móng Cái tại các huyện: Vân Đồn, Tiên Yên, Đầm Hà, Hải Hà và thành phố Móng Cái. Quyết định số 3154/QĐ-UBND ngày 25/6/2019 của UBND thành phố Móng Cái về phê duyệt quy hoạch 1/500</t>
  </si>
  <si>
    <t>Quyết định số 6315/QĐ-UBND ngày 13/11/2019 của UBND thành phố Móng Cái Về việc phê duyệt Quy hoạch chi tiết xây dựng tỷ lệ 1/500 Điểm khai thác đất tại khu Hòa Bình, phường Ninh Dương, thành phố Móng Cái (Điểm số 2) và Điểm khai thác đất tại khu 6, phường Hải Yên, thành phố Móng Cái (Điểm số 3) phục vụ thi công dự án đường cao tốc Vân Đồn - Móng Cái.</t>
  </si>
  <si>
    <t xml:space="preserve">Quyết định 3152/QĐ-UBND ngày 25/6/2019 V/v phê duyệt quy hoạch chi tiết tỷ lệ 1/500 điểm khai thác đất tại khu 4, phường Hải Yên và điểm khai thác đất tại thôn 2 xã Quảng Nghĩa, thành phố Móng Cái.
Đã được HĐND tỉnh thông qua dự án, công trình quyết định chủ trương chuyển mục đích sử dụng rừng sang mục đích khác tại Nghị quyết số 192/NQ-HĐND ngày 30/7/2019. </t>
  </si>
  <si>
    <t>QĐ 6720/QĐ-UBND ngày 5/12/2019 của UBND thành phố Móng Cái Về việc phê duyệt Quy hoạch tổng mặt bằng tỷ lệ 1/500 Nhà văn hóa xã Hải Sơn tại xã Hải Sơn, thành phố Móng Cái, tỉnh Quảng Ninh. QĐ số 3518/QĐ-BTL ngày 08/7/2019 của Bộ tư lệnh Quân khu 3 Về việc phê duyệt hồ sơ thiết kế BVTC - dự toán phần điều chỉnh, phát sinh và điều chỉnh giá gói thầu trong kế hoạch lựa chọn nhà thầu đợt 2 Dự án đầu tư xây dựng công trình (giai đoạn 1) Khu KTQP Bắc Hải Sơn, tỉnh Quảng Ninh</t>
  </si>
  <si>
    <t>Đất xây dựng cơ sở văn hóa (DVH)</t>
  </si>
  <si>
    <t>Đất xây dựng cơ sở Thể dục - Thể thao (DTT)</t>
  </si>
  <si>
    <t>Đất xây dựng cơ sở Giáo dục - Đào tạo (DGD)</t>
  </si>
  <si>
    <t>phường Hải Hoà</t>
  </si>
  <si>
    <t>Trường Mầm Non Hải Yên</t>
  </si>
  <si>
    <t>Trường Mầm Non Hải Yên, thành phố Móng Cái (giai đoạn 1)</t>
  </si>
  <si>
    <t>Trường THCS Bình Ngọc, thành phố Móng Cái</t>
  </si>
  <si>
    <t xml:space="preserve">QĐ 1170/QĐ-UBND ngày 23/3/2017 của UBND TP.Móng Cái V/v phê duyệt quy hoạch chi tiết 1/500 trường mầm non Hải Yên tại khu 7, phường Hải Yên, TP.Móng Cái
Quyết định số 2663/UBND-QH2 ngày 22/4/2019 của UBND tỉnh Quảng Ninh "Về việc điều chỉnh quy hoạch chi tiết xây dựng tỷ lệ 1/500 Trường Mầm Non Hải Yên tại khu 7, phường Hải Yên, thành phố Móng Cái";
</t>
  </si>
  <si>
    <t>Quyết định 5916/QĐ-UBND ngày 28/10/2019 của UBND TP.Móng Cái V/v phê duyệt quy hoạch chi tiết xây dựng tỷ lệ 1/500 trường mầm non Hải Yên, thành phố Móng Cái.
Nghị Quyết số 88/NQ-HĐND ngày 17/7/2019 của Hội đồng nhân dân thành phố Móng Cái “Về việc phê duyệt chủ trương đầu tư dự án: Trường Mầm non Hải Yên, thành phố Móng Cái (Giai đoạn 1); Trường THCS Bình Ngọc, thành phố Móng Cái”;
Quyết định số 6112/QĐ – UBND ngày 31/10/2019 của UBND thành phố Móng Cái về việc phê duyệt dự án đầu tư xây dựng công trình: Trường mầm non Hải Yên, thành phố Móng Cái (giai đoạn 1)</t>
  </si>
  <si>
    <t xml:space="preserve"> - Nghị quyết số: 88/NQ - HĐND ngày 17/7/2019 của HĐND thành phố Móng Cái về việc phê duyệt chủ trương đầu tư dự án Trường THCS Bình Ngọc, thành phố Móng Cái; 
 - Văn bản số: 5682/UBND -QH2 của UBND tỉnh Quảng Ninh "Về việc đầu tư xây dựng trường THCS Bình Ngọc, thành phố Móng Cái";
 - Quyết định số: 5163/QĐ-UBND ngày 23/9/2019 của UBND thành phố Móng Cái về việc phê duyệt dự án đầu tư xây dựng công trình: Trường THCS Bình ngọc – thành phố Móng Cái;
- Quyết định số: 6043/QĐ - UBND ngày 30/10/2019 của UBND thành phố Móng Cái "Về việc phê duyệt Quy hoạch tổng mặt bằng, phương án kiến trúc công trình tỷ lệ 1/500 Trường THCS Bình Ngọc - thành phố Móng Cái".</t>
  </si>
  <si>
    <t>Đất giao thông (DGT)</t>
  </si>
  <si>
    <t>Đất thủy lợi (DTL)</t>
  </si>
  <si>
    <t>Đất chợ (DCH)</t>
  </si>
  <si>
    <t>Quy hoạch đất TDTT mới – thôn Phình Hồ</t>
  </si>
  <si>
    <t>Tuyến đường cơ động mũi Tràng Vĩ</t>
  </si>
  <si>
    <t>QĐ số 881/QĐ-UBND ngày 05 tháng 4 năm 2013 của UBND tỉnh Quảng Ninh V/v phêduyệt quy hoạch chi tiết tỷ lệ 1/500 mặt bằng tuyến đường cơ động mũi Tràng Vỹ, Phường Trà Cổ, TP.Móng Cái</t>
  </si>
  <si>
    <t>Cải tạo, nâng cấp tuyến đường từ xã Hải Tiến - Hồ Tràng Vinh đến trạm Biên phòng Pò Hèn xã Hải Sơn, thành phố Móng Cái</t>
  </si>
  <si>
    <t>Khu xử lý nước, cấp nước cho Khu công nghiệp Hải Yên và khu dân cư lân cận tại phường Hải Yên, thành phố Móng Cái</t>
  </si>
  <si>
    <t>Sửa chữa, nâng cấp đê từ Cầu Voi xã Vạn Ninh đến Miếu Tầu phường Ninh Dương, thành phố Móng Cái</t>
  </si>
  <si>
    <t xml:space="preserve">Hồ chứa nước Đầm Ván </t>
  </si>
  <si>
    <t>Quyết định số   /QĐ-KKT ngày 08 tháng 12 năm 2012 của Ban quản lý khu kinh tế Về việc phê duyệt Quy hoạch chi tiết xây dựng tỷ lệ 1/500 Khu xử lý nước, cấp nước cho Khu công nghiệp Hải Yên và khu dân cư lân cận tại phường Hải Yên, thành phố Móng Cái.</t>
  </si>
  <si>
    <t>QĐ số 4486/QĐ-UBND ngày 28/10/2015 của UBND Thành phố V/v phê duyệt báo cáo kinh tế kỹ thuật.
Đã được HĐND tỉnh thông qua danh mục DA thu hồi đất tại NQ 371/HĐND-KTNS ngày 08/7/2016.</t>
  </si>
  <si>
    <t>Xây dựng hệ thống cấp nước sạch khu vực trung tâm xã Hải Sơn, thành phố Móng Cái</t>
  </si>
  <si>
    <t>Dự án cấp điện lưới quốc gia cho đảo Trần, huyện Cô Tô và đảo Cái Chiên, huyện Hải Hà, tỉnh Quảng Ninh.</t>
  </si>
  <si>
    <t>Quyết định số 1608/QĐ-UBND ngày 9/6/2015 của UBND tỉnh Quảng Ninh "Về việc chấp thuận hướng tuyến đường điện thuộc Dự án cấp điện cho đảo Trần, huyện Cô Tô và đảo Cái Chiên, huyện Hải Hà, Quảng Ninh"; Quyết định số 68/QĐ-HĐND ngày 15/9/2015 của Hội đồng nhân dân tỉnh Quảng Ninh "Về chủ trương đầu tư Dự án: Cấp điện lưới quốc gia cho đảo Trần, huyện Cô Tô và đảo Cái Chiên, huyện Hải Hà, Quảng Ninh"; Quyết định số 187/QĐ-UBND ngày 28/11/2019 của Ban quản lý Khu kinh tế "Về việc phê duyệt Quy hoạch chi tiết xây dựng tỷ lệ 1/500 đường điện thuộc dự án cấp điện lưới Quốc gia cho đảo Trần, huyện Cô Tô và đảo Cái Chiên, huyện Hải Hà, Quảng Ninh";
Nghị Quyết số 243/NQ-HĐND ngày 31/3/2020 của Hội đồng nhân dân tỉnh "V/v Thông qua danh mục công trình dự án chuyển mục đích sử dụng đất theo điều 58 Luật Đất đai 2013 để thực hiện các công trình, dự án trên địa bàn tỉnh (đợt 1) năm 2020".</t>
  </si>
  <si>
    <t>Đất chợ xã Bắc Sơn</t>
  </si>
  <si>
    <t xml:space="preserve">Chợ nông thôn mới </t>
  </si>
  <si>
    <t xml:space="preserve">QĐ số 465/QĐ-UBND ngày5/3/2017 của UBND TP Móng Cái "V/v phê duyệt điều chỉnh địa điểm lập QH chi tiết xây dựng tỷ lệ 1/500.  Trong đó chợ Xã Bắc Sơn có diện tích 0,30 ha; chợ dược liệu 0,72 ha)
Đã được HĐND Tỉnh thông qua tại NQ số 89 ngày 13/12/2017 V/v thông qua danh mục các dự án có nhu cầu chuyển mục đích sử dụng đất trồng lúa, đất rừng phòng hộ và thu hồi đất trên địa bàn tỉnh Quảng Ninh đợt 2 năm 2017. </t>
  </si>
  <si>
    <t xml:space="preserve">Quyết định số 2711/QĐ-UBND ngày 29/6/2017 của UBND Thành phố Móng Cái phê duyệt tổng mặt bằng quy hoạch chi tiết xây dựng tỷ lệ 1/500.
Đã được HĐND Tỉnh thông qua tại NQ số 89 ngày 13/12/2017 V/v thông qua danh mục các dự án có nhu cầu chuyển mục đích sử dụng đất trồng lúa, đất rừn phòng hộ và thu hồi đất trên địa bàn tỉnh Quảng Ninh đợt 2 năm 2017. </t>
  </si>
  <si>
    <t>Vùng nuôi trồng thủy sản tập trung thành phố Móng Cái - Khu nuôi ao đầm xã Quảng Nghĩa</t>
  </si>
  <si>
    <t>Vùng nuôi trồng thủy sản tập trung thành phố Móng Cái - Khu nuôi ao đầm xã Hải Tiến</t>
  </si>
  <si>
    <t>Vùng nuôi trồng thủy sản tập trung thành phố Móng Cái - Khu nuôi ao đầm xã Hải Đông</t>
  </si>
  <si>
    <t>Vùng nuôi trồng thủy sản tập trung thành phố Móng Cái - Khu nuôi ao đầm phường Ninh Dương</t>
  </si>
  <si>
    <t>Vùng nuôi trồng thủy sản tập trung thành phố Móng Cái - Khu nuôi lồng bè phường Hải Hòa</t>
  </si>
  <si>
    <t>Vùng nuôi trồng thủy sản tập trung thành phố Móng Cái - Khu nuôi ao đầm xã Hải Xuân</t>
  </si>
  <si>
    <t>Vùng nuôi trồng thủy sản tập trung thành phố Móng Cái - Khu nuôi lồng bè phường Trà Cổ</t>
  </si>
  <si>
    <t>Vùng nuôi trồng thủy sản tập trung thành phố Móng Cái - Khu nuôi ao đầm xã Vĩnh Trung</t>
  </si>
  <si>
    <t>Quyết định số 2599/QĐ-UBND ngày 12/6/2018 của UBND Thành Phố Móng Cái V/v phê duyệt quy hoạch chi tiết vùng nuôi trồng thủy sản tập trung Thành Phố Móng Cái đến năm 2020, tầm nhìn đến năm 2030</t>
  </si>
  <si>
    <t xml:space="preserve">Nhà văn hóa xã Hải Sơn </t>
  </si>
  <si>
    <t>QĐ số 2732/QĐ-UBND ngày 30/8/2011 của UBND tỉnh V/v phê duyệt quy hoạch chi tiết. Quyết định số 98/QĐ-BQLKKT ngày 27/4/2016 của Ban QLKhu kinh tế V/v phê duyệt điều chỉnh QH chi tiết nhà máy chế biến cát đen (quặng Titan)tại thôn 1 xã Quảng Nghĩa , Thành phố Móng Cái.                
Văn Bản số 1812/CV-UBND ngày 18/10/2013 của UBND thành phố Móng Cái xác nhận việc hoàn thành công tác bồi thường giải phóng mặt bằng, trích lục và đo vẽ bổ sung hiện trạng xin điều chỉnh nhà máy chế biến cát đen (quặng Ti tan)</t>
  </si>
  <si>
    <t xml:space="preserve">KHSDĐ năm 2020 được duyệt chuyển tiếp năm 2021 </t>
  </si>
  <si>
    <t>Khu tái định cư cho các doanh nghiệp ảnh hưởng bởi dự án khu đô thị mới Ninh Dương (giai đoạn 1) và các dự án phát triển kinh tế xã hội</t>
  </si>
  <si>
    <t>Cửa hàng bán lẻ xăng dầu tại khu 7</t>
  </si>
  <si>
    <t xml:space="preserve">Mở rộng khu  bến bãi KM3 +Km4 sông Ka Long </t>
  </si>
  <si>
    <t>Cửa hàng xăng dầu tại khu 7, phường Hải Yên</t>
  </si>
  <si>
    <t>QĐ số 98/QĐ-UBND ngày 27/4/2012 của UBND Tỉnh V/v phê duyệt QH chi tiết</t>
  </si>
  <si>
    <t>QĐ số 118/QĐ-BQLKKT ngày 20/5/2016 của Ban QLKKT V/v phê duyệt QH chi tiết xây dựng tỷ lệ 1/500 mở rộng khu bến bãi tại KM 3+ Km4 sông Ka Long, phường Hải Yên.
Đã đc HĐND thông qua tại NQ số 322/HĐND-KTNS ngày 22/6/2016.</t>
  </si>
  <si>
    <t>QĐ số 5886/QĐ-UBND ngày 24/10/2019 của UBND thành phố Móng Cái Về việc phê duyệt Quy hoạch chi tiết xây dựng tỷ lệ 1/500 Cửa hàng xăng dầu tại khu 7, phường Hải Yên, thành phố Móng Cái</t>
  </si>
  <si>
    <t xml:space="preserve"> Quyết định số 1619/QĐ-UBND ngày 26/5/2009 của UBND tỉnh Quảng Ninh Về việc phê duyệt điều chỉnh Quy hoạch chi tiết xây dựng tỷ lệ 1/500 Khu dân cư Bắc Đại Lộ Hòa Bình, thành phố Móng Cái.
 Quyết định số 3646/QĐ-UBND ngày 01/8/2018 của UBND thành phố Móng Cái Về việc phê duyệt dự án đầu tư xây dựng công trình: Hạ tầng khu dân cư Bắc Đại Lộ Hòa Bình, thành phố Móng Cái.</t>
  </si>
  <si>
    <t>Quyết định số 4369/QĐ-UBND ngày 16/10/2019 của UBND tỉnh Quảng Ninh Về việc phê duyệt đầu tư dự án Cải tạo, nâng cấp tuyến đường từ xã Hải Tiến - hồ Tràng Vinh đến trạm Biên phòng Pò Hèn, xã Hải Sơn, thành phố Móng Cái</t>
  </si>
  <si>
    <t xml:space="preserve"> Quyết định số 197/QĐ-BQLKKTQN ngày 24/8/2020 của Ban Quản lý Khu Kinh tế Quảng Ninh Về việc phê duyệt điều chỉnh Quy hoạch chi tiết tỷ lệ 1/500 - Khu bến cảng, kho bãi hang hóa và vật liệu xây dựng tại phường Ninh Dương, thành phố Móng Cái</t>
  </si>
  <si>
    <t>BCS, LUK</t>
  </si>
  <si>
    <t>Cải tạo, nâng cấp tuyến cống thoát nước khu Hồng Phong, phường Ninh Dương, thành phố Móng Cái</t>
  </si>
  <si>
    <t>phường Ninh Dương</t>
  </si>
  <si>
    <t>Nhà trực vận hành điện số 2 TP.Móng Cái</t>
  </si>
  <si>
    <t>RPH, DGT</t>
  </si>
  <si>
    <t>LUK, HNK, CLN, BCS, DGT, DTL, ONT, BCS</t>
  </si>
  <si>
    <t>RSX, NTS, BCS</t>
  </si>
  <si>
    <t>LUK, RSX, DGT</t>
  </si>
  <si>
    <t>LUK, ONT, DGT</t>
  </si>
  <si>
    <t>Văn bản số 3392/UBND-QH2 ngày 21/5/2019 của UBND tỉnh Quảng Ninh Về chấp thuân địa điểm lập quy hoạch để di chuyển các doanh nghiệp ảnh hưởng bởi dự án Khu đô thị mới Ninh Dương tại phường Hải Yên và các dự án phát triển kinh tế xã hội trên địa bàn thành phố Móng Cái.
Nghị Quyết số 243/NQ-HĐND ngày 31/3/2020 của Hội đồng nhân dân tỉnh "V/v Thông qua danh mục công trình dự án chuyển mục đích sử dụng đất theo điều 58 Luật Đất đai 2013 để thực hiện các công trình, dự án trên địa bàn tỉnh (đợt 1) năm 2020". 
 Quyết định số 6199/QĐ-UBND ngày 11/11/2019 của UBND thành phố Móng Cái về việc phê duyệt Quy hoạch chi tiết xây dựng tỷ lệ 1/500 để di chuyển các doanh nghiệp ảnh hưởng bởi dự án Khu đô thị mới Ninh Dương tại phường Ninh Dương, phường Hải Yên, thành phố Móng Cái;
 Nghị quyết số 138/NQ-HĐND ngày 07/9/2020 của HĐND thành phố Móng Cái về chủ trương đầu tư một số dự án đầu tư công trong Kế hoạch đầu tư công trung hạn ngân sách thành phố Móng Cái năm 2021.</t>
  </si>
  <si>
    <t>Quyết định số 5137/QĐ-UBND ngày 20 tháng 9 năm 2019 của UBND thành phố Móng Cái Về việc phê duyệt chủ trương đầu tư công trình: Xây dựng hệ thống cấp nước sạch khu vực trung tâm xã Hải Sơn, thành phố Móng Cái
Nghị quyết 108/2020/NQ-HĐND ngày 18/6/2020 của HĐND thành phố Móng Cái về việc điều chỉnh, bổ sung danh mục dự án đầu tư dự kiến trong kế hoạch đầu tư công trung hạn vốn ngân sách cấp thành phố giai đoạn 2021-2025 đã được thông qua tại NQ số 99/2019/NQ-HĐND ngày 20/12/2019 của HĐND thành phố Móng Cái.</t>
  </si>
  <si>
    <t>Đường kết nối từ đường cao tốc Vân Đồn - Móng Cái đến cảng Vạn Ninh (Vạn Gia), thành phố Móng Cái</t>
  </si>
  <si>
    <t xml:space="preserve"> Quyết định số 74/QĐ-HDND ngày 13 tháng 9 năm 2018 của Hội đồng nhân dân tỉnh Quảng Ninh Về việc phê duyệt chủ trương đầu tư dự án Đường kết nối từ đường cao tốc Vân Đồn - Móng Cái đến cảng Vạn Ninh (Vạn Gia), thành phố Móng Cái. 
Quyết định số 4402/QĐ-UBND ngày 30/10/2018 của UBND tỉnh Quảng Ninh về việc phê duyệt dự án đầu tư xây dựng: Đường kết nối từ đường cao tốc Vân Đồn - Móng Cái đến cảng Vạn Ninh (Vạn Gia), thành phố Móng Cái;
Quyết định số 74/QĐ-HDND ngày 13 tháng 9 năm 2018 của Hội đồng nhân dân tỉnh Quảng Ninh Về việc phê duyệt chủ trương đầu tư dự án Đường kết nối từ đường cao tốc Vân Đồn - Móng Cái đến cảng Vạn Ninh (Vạn Gia), thành phố Móng Cái. 
  Quyết định số 7124/QĐ-UBND ngày 27/12/2019 của UBND thành phố Móng Cái Về việc phê duyệt Quy hoạch chi tiết xây dựng tỷ lệ 1/500 mặt bằng tuyến dự án đường kết nối từ đường cao tốc Vân Đồn - Móng Cái.</t>
  </si>
  <si>
    <t xml:space="preserve"> Quyết định số 5072/QĐ-UBND ngày 18/9/2019 của UBND thành phố Móng Cái "Về việc phê duyệt chủ trương đầu tư công trình: Cải tạo, nâng cấp tuyến cống thoát nước khu Hồng Phong, phường Ninh Dương, thành phố Móng Cái";
 Quyết định số 6016/QĐ-UBND ngày 29/10/2019 của UBND thành phố Móng Cái về việc phê duyệt Báo cáo kinh tế - kỹ thuật xây dựng công trình: Cải tạo, nâng cấp tuyến cống thoát nước khu Hồng Phong, phường Ninh Dương, thành phố Móng Cái.</t>
  </si>
  <si>
    <t>Văn bản số 4107/UBND - QH2 ngày 14/6/2019 của UBND tỉnh Quảng Ninh "V/v chấp thuận địa điểm nghiên cứu lập quy hoạch đất ở tái định cư và nhà ở xã hội phục vụ một số dự án phát triển kinh tế xã hội trên địa bàn thành phố Móng Cái 
- Quyết định số 7039/QĐ-UBND ngày 24/12/2019 của UBND thành phố Móng Cái về việc phê duyệt Quy hoạch chi tiết xây dựng tỷ lệ 1/500 Khu tái định cư và nhà ở xã hội phục vụ một số dự án phát triển kinh tế xã hội trên địa bàn thành phố Móng Cái;
- Nghị quyết số 138/NQ-HĐND ngày 07/9/2020 của HĐND thành phố Móng Cái về chủ trương đầu tư một số dự án đầu tư công trong Kế hoạch đầu tư công trung hạn ngân sách thành phố Móng Cái năm 2021.</t>
  </si>
  <si>
    <t>Nghị quyết số 100/QĐ-HĐND ngày 20/12/2019 của Hội đồng nhân dân thành phố Móng Cái phê duyệt chủ trương đầu tư 03 dự án: (1) Sửa chữa, nâng cấp tuyến đê từ Cầu Voi xã Vạn Ninh đến Miếu Tầu phường Ninh Dương, thành phố Móng Cái; (2) Khu nhà học lý thuyết 03 tầng, trường tiểu học Ninh Dương, thành phố Móng Cái; (3) Tu bổ, nâng cấp đê Ông Tam, xã Hải Đông, thành phố Móng Cái, tỉnh Quảng Ninh 
Nghị quyết 108/2020/NQ-HĐND ngày 18/6/2020 của HĐND thành phố Móng Cái về việc điều chỉnh, bổ sung danh mục dự án đầu tư dự kiến trong kế hoạch đầu tư công trung hạn vốn ngân sách cấp thành phố giai đoạn 2021-2025 đã được thông qua tại NQ số 99/2019/NQ-HĐND ngày 20/12/2019 của HĐND thành phố Móng Cái.</t>
  </si>
  <si>
    <t>Cải tạo, nâng cấp hồ Khe Cầu và liên kết với hồ Cái Vĩnh, xã Vĩnh Trung, thành phố Móng Cái.</t>
  </si>
  <si>
    <t>Quyết định số 6015/QĐ-UBND ngày 29/10/2019 của UBND thành phố Móng Cái về phê duyệt BC KTKT công trình: Cải tạo, nâng cấp hồ Khe Cầu và liên kết với hồ Cái Vĩnh, xã Vĩnh Trung, thành phố Móng Cái.</t>
  </si>
  <si>
    <t>- Nghị quyết số 265/NQ-HĐND ngày 09/7/2020 của HĐND tỉnh Quảng Ninh về việc phê duyệt chủ trương đầu tư một số dự án đầu tư công trong kế hoạch đầu tư công trung hạn ngân sách tỉnh;
- Quyết định số 3610/QĐ-UBND ngày 18/9/2020 của UBND tỉnh Quảng Ninh về việc chấp thuận Sơ đồ hướng tuyến dự án: Đường ven biển liên kết Khu kinh tế Vân Đồn với Khu kinh tế cửa khẩu Móng Cái, đoạn từ Cầu Voi, xã Vạn Ninh đến tỉnh lộ 335 (giai đoạn 1).</t>
  </si>
  <si>
    <t>- Quyết định số 7124/QĐ-UBND ngày 27/12/2019 của UBND thành phố Móng Cái về việc phê duyệt quy hoạch chi tiết xây dựng tỷ lệ 1/500 mặt bằng tuyến dự án Đường kết nối từ đường cao tốc Vân Đồn - Móng Cái đến cảng Vạn Ninh (Vạn Gia), thành phố Móng Cái;
- Quyết định số 4402/QĐ-HĐND ngày 30/10/2018 của UBND tỉnh Quảng Ninh "V/v phê duyệt dự án đầu tư xây dựng tuyến đường kết nối từ đường cao tốc Vân Đồn – Móng Cái đến cảng Vạn Ninh (Vạn Gia) thành phố Móng Cái, tỉnh Quảng Ninh.</t>
  </si>
  <si>
    <t>Khu đổ thải dự án Đường ven biển liên kết khu kinh tế Vân Đồn và khu kinh tế cửa khẩu Móng Cái, đoạn từ Cầu Voi, xã Vạn Ninh đến tỉnh lộ 335 (giai đoạn 1)</t>
  </si>
  <si>
    <t>Đường từ nhà ông Lỷ Nhộc Tiến đến nhà ông Tằng Mềnh Phúc (Pẹc Nả)</t>
  </si>
  <si>
    <t>Bãi đổ thải thực hiện dự án: Cải tạo, nâng cấp tuyến đường từ xã Hải Tiến - Hồ Tràng Vinh đến trạm Biên phòng Pò Hèn xã Hải Sơn, thành phố Móng Cái</t>
  </si>
  <si>
    <t>Phần đất Quốc phòng không thu hồi
2021</t>
  </si>
  <si>
    <t>Điểm Quy hoạch từ nhà ông Trần đến nhà ông Nuôi, Thôn 9, xã Hải Đông, thành phố Móng Cái</t>
  </si>
  <si>
    <t>Điểm Quy hoạch bên cạnh nhà ông Phúc, Thôn 4, xã Hải Đông, thành phố Móng Cái</t>
  </si>
  <si>
    <t>Điểm Quy hoạch cửa nhà bà Tương, Thôn 10, xã Hải Đông, thành phố Móng Cái</t>
  </si>
  <si>
    <t>BHK, ONT, DGT</t>
  </si>
  <si>
    <t>BHK, DGT</t>
  </si>
  <si>
    <t>LUC, DGT, ONT</t>
  </si>
  <si>
    <t>DGT, BHK</t>
  </si>
  <si>
    <t>RPH, BCS</t>
  </si>
  <si>
    <t>BHK, DTL, ODT</t>
  </si>
  <si>
    <t>ONT, DTL, NTD, SON, BCS, BHK, DGT, NTS</t>
  </si>
  <si>
    <t>BHK, SKC, ODT</t>
  </si>
  <si>
    <t>LUC, LUK, CLN</t>
  </si>
  <si>
    <t>LUK, CLN</t>
  </si>
  <si>
    <t xml:space="preserve">Khu Kiểm soát liên ngành cầu Bắc Luân II gắn với khu dịch vụ thương mại </t>
  </si>
  <si>
    <t>LUC, NTS</t>
  </si>
  <si>
    <t>CLN, BHK</t>
  </si>
  <si>
    <t>CLN, DGT, TON, NTS, RSX</t>
  </si>
  <si>
    <t>Quyết định số 6313/QĐ-UBND ngày 03/9/2020 của UBND thành phố Móng cái Về việc phê duyệt Quy hoạch chi tiết tỷ lệ 1/500 Đất ở tái định cư phục vụ các dự án phát triển kinh tế xã hội trên địa bàn phường Hải Yên</t>
  </si>
  <si>
    <t>Cửa hàng xăng dầu Nam cầu Máng tại xã Hải Xuân, thành phố Móng Cái</t>
  </si>
  <si>
    <t>BHK, CLN, BCS</t>
  </si>
  <si>
    <t>Quyết định số 6435/QĐ-UBND ngày 22/11/2019 của UBND thành phố Móng Cái Về việc phê duyệt Quy hoạch chi tiết xây dựng tỷ lệ 1/500 Cửa hàng xăng dầu Nam cầu Máng tại xã Hải Xuân, thành phố Móng Cái, tỉnh Quảng Ninh</t>
  </si>
  <si>
    <t>ONT, DGT</t>
  </si>
  <si>
    <t>RST</t>
  </si>
  <si>
    <t>DGT, BCS</t>
  </si>
  <si>
    <t>NTS, DGT, DTL, SON, BCS</t>
  </si>
  <si>
    <t>CLN, DGT, DTL, BCS</t>
  </si>
  <si>
    <t xml:space="preserve">LUC, LUK, HNK, CLN, NTS, NHK, TMD, DGT, DTL, ODT, SKX, SON, MNC, BCS  </t>
  </si>
  <si>
    <t>LUC, CLN, NTS, DGT</t>
  </si>
  <si>
    <t>LUC, HNK, CLN, NTS, DTT, DGT, DTL, DSH, BCS</t>
  </si>
  <si>
    <t xml:space="preserve">LUC, HNK, CLN, NTS, DGT, </t>
  </si>
  <si>
    <t>HNK, DGT</t>
  </si>
  <si>
    <t xml:space="preserve">Điểm bãi đổ thải phục vụ đường cao tốc </t>
  </si>
  <si>
    <t>xã Hải Đông</t>
  </si>
  <si>
    <t>Chợ đầu mối kết hợp với chợ truyền thống, kho bảo quản, bãi tập kết tại Km 12</t>
  </si>
  <si>
    <t xml:space="preserve">QĐ số 271/QĐ-BQLKKT ngày 28/12/2017 của ban quản lý khu kinh tế về việc phê duyệt điều chinhrquy hoạch chi tiết 1/500 chợ truyền thống, kho bảo quản, bãi tập kết hàng hóa, khu trưn bày và giới thiệu sản phẩm Ocop tại Km 12, xã Hải Đông, thành phố Móng Cái.
Đã được Thủ tướng Chính phủ thông qua danh mục dự án lấy vào đất lúa. </t>
  </si>
  <si>
    <t>CHU CHUYỂN ĐẤT ĐAI TRONG KỲ QUY HOẠCH SỬ DỤNG ĐẤT (2021 - 2030) CỦA xã Bắc Sơn</t>
  </si>
  <si>
    <t>CHU CHUYỂN ĐẤT ĐAI TRONG KỲ ĐIỀU CHỈNH QUY HOẠCH SỬ DỤNG ĐẤT (2016 - 2020) của xã Hải Sơn</t>
  </si>
  <si>
    <t>CHU CHUYỂN ĐẤT ĐAI TRONG KỲ QUY HOẠCH SỬ DỤNG ĐẤT (2021 - 2030)  của Quảng Nghĩa</t>
  </si>
  <si>
    <t>CHU CHUYỂN ĐẤT ĐAI TRONG KỲ QUY HOẠCH SỬ DỤNG ĐẤT (2021 - 2030) của xã  Hải Đông</t>
  </si>
  <si>
    <t>CHU CHUYỂN ĐẤT ĐAI TRONG KỲ ĐIỀU CHỈNH QUY HOẠCH SỬ DỤNG ĐẤT (2016 - 2020) CỦA xã Hải Tiến</t>
  </si>
  <si>
    <t>CHU CHUYỂN ĐẤT ĐAI TRONG KỲQUY HOẠCH SỬ DỤNG ĐẤT 2021 - 2030  của xã Hải Xuân</t>
  </si>
  <si>
    <t>CHU CHUYỂN ĐẤT ĐAI TRONG KỲ QUY HOẠCH SỬ DỤNG ĐẤT (2021 - 2030) của xã Vạn Ninh</t>
  </si>
  <si>
    <t>CHU CHUYỂN ĐẤT ĐAI TRONG KỲ QUY HOẠCH SỬ DỤNG ĐẤT (2021 - 2030)  của Vĩnh Trung</t>
  </si>
  <si>
    <t>CHU CHUYỂN ĐẤT ĐAI TRONG KỲ QUY HOẠCH SỬ DỤNG ĐẤT (2021 - 2030) CỦA XÃ VĨNH THỰC</t>
  </si>
  <si>
    <t>CHU CHUYỂN ĐẤT ĐAI TRONG KỲ QUY HOẠCH SỬ DỤNG ĐẤT (2021 - 2030) CỦA PHƯỜNG KA LONG</t>
  </si>
  <si>
    <t>CHU CHUYỂN ĐẤT ĐAI TRONG KỲ QUY HOẠCH SỬ DỤNG ĐẤT (2021 - 2030) CỦA PHƯỜN NINH DƯƠNG</t>
  </si>
  <si>
    <t>CHU CHUYỂN ĐẤT ĐAI TRONG KỲ QUY HOẠCH SỬ DỤNG ĐẤT (2021 - 2030) CỦA PHƯỜNG HÒA LẠC</t>
  </si>
  <si>
    <t>CHU CHUYỂN ĐẤT ĐAI TRONG KỲ ĐIỀU CHỈNH QUY HOẠCH SỬ DỤNG ĐẤT (2016 - 2020) CỦA PHƯỜNG TRẦN PHÚ</t>
  </si>
  <si>
    <t>CHU CHUYỂN ĐẤT ĐAI TRONG KỲ QUY HOẠCH SỬ DỤNG ĐẤT (2021 - 2030) CỦA PHƯỜNG HẢI HÒA</t>
  </si>
  <si>
    <t>CHU CHUYỂN ĐẤT ĐAI TRONG KỲ QUY HOẠCH SỬ DỤNG ĐẤT (2021 - 2030) CỦA PHƯỜNG TRÀ CỔ</t>
  </si>
  <si>
    <t>CHU CHUYỂN ĐẤT ĐAI TRONG KỲ QUY HOẠCH SỬ DỤNG ĐẤT (2021 - 2030) CỦA PHƯỜNG BÌNH NGỌC</t>
  </si>
  <si>
    <t>Biểu phụ1</t>
  </si>
  <si>
    <t>Thứ tự</t>
  </si>
  <si>
    <t xml:space="preserve"> CHỈ TIÊU </t>
  </si>
  <si>
    <t>Diện tích năm 2020</t>
  </si>
  <si>
    <t>Cơ cấu%</t>
  </si>
  <si>
    <t xml:space="preserve">Tổng số </t>
  </si>
  <si>
    <t xml:space="preserve">Đơn vị hành chính                   </t>
  </si>
  <si>
    <t xml:space="preserve">Đơn vị hành chính               </t>
  </si>
  <si>
    <t xml:space="preserve">Đơn vị hành chính                      </t>
  </si>
  <si>
    <t xml:space="preserve">Đơn vị hành chính                </t>
  </si>
  <si>
    <t xml:space="preserve">Đơn vị hành chính                 </t>
  </si>
  <si>
    <t xml:space="preserve">Đơn vị hành chính  </t>
  </si>
  <si>
    <t xml:space="preserve">Đơn vị hành chính                  </t>
  </si>
  <si>
    <t xml:space="preserve">Đơn vị hành chính                    </t>
  </si>
  <si>
    <t xml:space="preserve">Đơn vị hành chính              </t>
  </si>
  <si>
    <t>Diện tích cuối kỳ (ha)</t>
  </si>
  <si>
    <t>Diện tích đầu kỳ (ha)</t>
  </si>
  <si>
    <t>Diện tích giảm (ha)</t>
  </si>
  <si>
    <t>Phường Hải Xuân</t>
  </si>
  <si>
    <t>BiÓu : 17</t>
  </si>
  <si>
    <t>KẾ  HOẠCH SỬ DỤNG ĐẤT NĂM 2021  CỦA THÀNH PHỐ MÓNG CÁI</t>
  </si>
  <si>
    <t>KẾ HOẠCH ĐẤT CHƯA SỬ DỤNG NĂM 2021 CỦA THÀNH PHỐ MÓNG CÁI</t>
  </si>
  <si>
    <t>Biểu 07/CH</t>
  </si>
  <si>
    <t>Biểu 09/CH</t>
  </si>
  <si>
    <t>KẾ HOẠCH ĐƯA ĐẤT CHƯA SỬ DỤNG ĐƯA VÀO SỬ DỤNG NĂM 2021 CỦA THÀNH PHỐ MÓNG CÁI</t>
  </si>
  <si>
    <t>KẾ HOẠCH CHUYỂN MỤC ĐÍCH SỬ DỤNG ĐẤT NĂM 2021  CỦA THÀNH PHỐ MÓNG CÁI</t>
  </si>
  <si>
    <t>KẾ HOẠCHTHU HỒI ĐẤT NĂM 2021 CỦA THÀNH PHỐ MÓNG CÁI</t>
  </si>
  <si>
    <t>Biểu 08/CH</t>
  </si>
  <si>
    <t>Chỉ tiêu kế hoạch sử dụng đất năm 2021</t>
  </si>
  <si>
    <t>Diện tích năm 2021</t>
  </si>
  <si>
    <t>Đất phát triển hạ tầng cấp quốc gia, cấp tỉnh, cấp huyện, cấp xã. Trong đó</t>
  </si>
  <si>
    <t>Biểu 06/CH</t>
  </si>
  <si>
    <t>Phụ 13/CH</t>
  </si>
  <si>
    <t>Chu chuyển đất đai đến năm 2021</t>
  </si>
  <si>
    <t>CHU CHUYỂN ĐẤT ĐAI TRONG KỲ QUY HOẠCH SỬ DỤNG ĐẤT (2020 - 2021) CỦA THÀNH PHỐ MÓNG CÁI</t>
  </si>
  <si>
    <t>Diện tích cuối kỳ năm 2021</t>
  </si>
  <si>
    <t>Chu chuyển đất đai năm 2020-2021</t>
  </si>
  <si>
    <t>Tăng (+) giảm (-)</t>
  </si>
  <si>
    <t>DANH MỤC CÔNG TRÌNH, DỰ ÁN THỰC HIỆN KẾ HOẠCH SỬ DỤNG ĐẤT NĂM 2021</t>
  </si>
  <si>
    <t>LUC, LUK, BHK, DGT</t>
  </si>
  <si>
    <t>Khu bến cảng, kho bãi hàng hóa và vật liệu xây dựng tại phường Ninh Dương, thành phố Móng Cái</t>
  </si>
  <si>
    <t>Khu dân cư đô thị mới tại Km5, P.Hải Yên (khu đô thị Bao Bì tổng dự án 28,93 ha, Đã giao đất giai đoạn 1 năm 2019 với diện tích: 20,10 ha)</t>
  </si>
  <si>
    <t>Đường ven biển liên kết Khu kinh tế Vân Đồn với Khu kinh tế cửa khẩu Móng Cái, đoạn từ Cầu voi xã Vạn Ninh đến tỉnh lộ 335, thành phố Móng Cái (Giai đoạn 1)</t>
  </si>
  <si>
    <t>Đất ở (chuyển mục đích đất nông nghiệp sang đất ở hộ gia đình, cá nhân).</t>
  </si>
  <si>
    <t>BHK</t>
  </si>
  <si>
    <t>Tờ 63: thửa 59,  60, 61, 72 (BHK)</t>
  </si>
  <si>
    <t>Chuyển mục đích đất nông nghiệp trong khu dân cư sang đất ở Phường Hải Yên.</t>
  </si>
  <si>
    <t>phường Hải Yên</t>
  </si>
  <si>
    <t>Chuyển mục đích đất nông nghiệp trong khu dân cư sang đất ở khu 7</t>
  </si>
  <si>
    <t>tờ 17: thửa 197,122; 
Tờ 7: thửa 25,26</t>
  </si>
  <si>
    <t>Chuyển mục đích đất nông nghiệp trong khu dân cư sang đất ở khu 5</t>
  </si>
  <si>
    <t>tờ 106: thửa 119,122; 124, 135.
Tờ 114: thửa 85,99,106,105, 104, 174,175</t>
  </si>
  <si>
    <t>Chuyển mục đích đất nông nghiệp trong khu dân cư sang đất ở khu 7, khu 1</t>
  </si>
  <si>
    <t>Tờ 106: thửa 124, 134, 135
Tờ 102: thửa 32.</t>
  </si>
  <si>
    <t>Chuyển mục đích đất nông nghiệp trong khu dân cư sang đất ở phường Hải Yên</t>
  </si>
  <si>
    <t>CLN, NTS</t>
  </si>
  <si>
    <t>Tờ 15, thửa: 152 (CLN)
Tờ 07, thửa: 28 (NTS)</t>
  </si>
  <si>
    <t>Chuyển mục đích đất nông nghiệp trong khu dân cư sang đất ở P.Hải Hòa</t>
  </si>
  <si>
    <t xml:space="preserve">
Tờ 97 thửa: 20.
Tờ 76 thửa: 44, 45, 47, 48, 27, 28.</t>
  </si>
  <si>
    <t>Chuyển mục đích đất nông nghiệp sang đất ở P.Hải Hòa</t>
  </si>
  <si>
    <t>Tờ 105: thửa 134
Tờ 106: thửa 91</t>
  </si>
  <si>
    <t>LUC, CLN</t>
  </si>
  <si>
    <t>Chuyển mục đích đất rừng trồng sản xuất sang đất ở P.Hải Hòa</t>
  </si>
  <si>
    <t>Tờ 96: 144, 230, 231, 232, 233, 234, 235, 236, 237, 238, 239, 240, 241, 242, 243, 244, 245, 246, 145, 216, 217, 218, 219, 220, 221, 222, 176, 177, 178, 225, 226, 227, 228.
Tờ 99: 24, 25, 26, 27, 28, 29, 9, 10, 10, 11, 12.
Tờ 100: 18, 45, 26, 27, 28, 29, 30, 31, 32, 33, 34, 35, 36, 37, 38, 39, 40, 41, 42, 43, 44, 46.</t>
  </si>
  <si>
    <t>Chuyển mục đích đất nông nghiệp  sang đất ở Xã Hải Xuân</t>
  </si>
  <si>
    <t>xã Hải Xuân</t>
  </si>
  <si>
    <t>Tờ 80, thửa: 91. Tờ 17, thửa: 138,Tờ 84, thửa: 62. 
Tờ 79: thửa 20
Tờ 81: thửa 34</t>
  </si>
  <si>
    <t>Tờ 15: thửa 49, 28
Tờ 19: thửa 46
Tờ 19: thửa 49.
Tờ 15: thửa 28.</t>
  </si>
  <si>
    <t>Chuyển mục đích đất nông nghiệp trong khu dân cư sang đất ở xã Hải Tiến</t>
  </si>
  <si>
    <t>xã Hải Tiến</t>
  </si>
  <si>
    <t>Tờ 34: 104. 
Tờ 30: 102. 
Tờ 20: 207. 
Tờ 29: 345. 
Tờ 28: 338.</t>
  </si>
  <si>
    <t>Chuyển mục đích đất nông nghiệp sang đất ở. Thôn 3A</t>
  </si>
  <si>
    <t>Tờ 34: 246, 241, 278, 277, 302, 399, 407, 392,</t>
  </si>
  <si>
    <t>Chuyển mục đích đất nông nghiệp sang đất ở. Thôn 3B</t>
  </si>
  <si>
    <t>Tờ 34: 22, 30, 104, 249, 111,</t>
  </si>
  <si>
    <t>Chuyển mục đích đất nông nghiệp sang đất ở. Thôn 4</t>
  </si>
  <si>
    <t>Tờ 29: 207, 483. Tờ 28: 534, 69, 71, 517.</t>
  </si>
  <si>
    <t>Chuyển mục đích đất nông nghiệp sang đất ở. Thôn 6</t>
  </si>
  <si>
    <t>Tờ 18: 305</t>
  </si>
  <si>
    <t>NTS, HNK</t>
  </si>
  <si>
    <t>Tờ 18, thửa: 304, 305 (BHK)
Tờ 29, thửa: 488 (NTS)</t>
  </si>
  <si>
    <t>Chuyển mục đích đất nông nghiệp trong khu dân cư sang đất ở thôn 10 xã Hải Đông</t>
  </si>
  <si>
    <t>HNK , CLN</t>
  </si>
  <si>
    <t>Tờ 23: 395, 398
Tờ 33: 119, 109, 150.</t>
  </si>
  <si>
    <t>Chuyển mục đích đất nông nghiệp trong khu dân cư sang đất ở  xã Hải Đông.</t>
  </si>
  <si>
    <t>HNK, CLN</t>
  </si>
  <si>
    <t xml:space="preserve">Tờ 38: Thửa 331; 25;
Tờ 37: Thửa 103, 196
Tờ 30: Thửa 434,176
Tờ 44: Thửa 63; 99; 135
Tờ 43: Thửa 119, 254
Tờ 25: Thửa 13
Tờ 32: Thửa 10, 29, 283, 265, 219, 141, 142, 77, 325.
Tờ 33: Thửa 70, 86, 147
Tờ 23: Thửa 384.
Tờ 24: Thửa 394
Tờ 21: Thửa 104, 230, 264.
Tờ 20: Thửa 149
Tờ 24: Thửa 13, 67; 
Tờ 36: Thửa 172.
Tờ 34: Thửa 37, 38, 116, 122, 120, 121.
Tờ 22: Thửa 253(BHK), 305, 344(BHK), 348, 393.
</t>
  </si>
  <si>
    <t>Chuyển mục đích đất nông nghiệp sang đất ở  xã Hải Đông.</t>
  </si>
  <si>
    <t>NTS, BHK</t>
  </si>
  <si>
    <t>Chuyển mục đích đất nông nghiệp trong khu dân cư sang đất ở P. Ka Long</t>
  </si>
  <si>
    <t>phường Ka Long</t>
  </si>
  <si>
    <t>thửa  3, 17, 18, 19, 20, 21, 24, 25, 27, 28, 29,  65, 32, 33, 71, 72, 73, 58, 36, 37, 38, 39, 40, 42, 43, 44, 52, 53, 54, 56, 66 tờ bản đồ số 33. 
Thửa 15, 17, 18, 19, 22, 29, 31, 33, 40, 77 tờ bản đồ số 35.</t>
  </si>
  <si>
    <t>Chuyển mục đích đất nông nghiệp trong khu dân cư sang đất ở P. Ninh Dương</t>
  </si>
  <si>
    <t>BCS, CLN</t>
  </si>
  <si>
    <t>Tờ 68, thửa: 110
Tờ 64, thửa: 117
Tờ 65, thửa: 12
Tờ 11, thửa: 63
Tờ 58, thửa: 65, 140.
Tờ 66, thửa: 33, 138, 39.
Tờ 24, thửa: 16</t>
  </si>
  <si>
    <t>Tờ 64, thửa 60
Tờ 78, thửa 04</t>
  </si>
  <si>
    <t>Chuyển mục đích đất nông nghiệp  sang đất ở tái định cư Xã Hải Xuân phục vụ dự án đường cao tốc Vân Đồn - Móng Cái (có danh sách kèm theo)</t>
  </si>
  <si>
    <t>LUC,  HNK</t>
  </si>
  <si>
    <t>Đất nuôi trồng thủy sản ( NTS) (giao đất, cho thuê đất cho hộ gia đình, cá nhân)</t>
  </si>
  <si>
    <t>Công trình, dự án sử dụng vào quỹ đất do nhà nước quản lý để thực hiện đấu giá quyền sử dụng đất</t>
  </si>
  <si>
    <t>Cửa hàng xăng dầu tại KM 20,xã Quảng Nghĩa, thành phố Móng Cái.</t>
  </si>
  <si>
    <t>xã Quảng Nghĩa</t>
  </si>
  <si>
    <t>HNK, DGT, ODT</t>
  </si>
  <si>
    <t>phường Trần Phú</t>
  </si>
  <si>
    <t>phường Hòa Lạc</t>
  </si>
  <si>
    <t>Khu đô thị mới Ninh Dương (tổng dự án: 481.41 ha, giai đoạn 1: 38.76 ha)</t>
  </si>
  <si>
    <t>MVK</t>
  </si>
  <si>
    <t>Đất mặt nước ven biển có mục đích khác</t>
  </si>
  <si>
    <t>Biểu 10 KH/CH</t>
  </si>
  <si>
    <t>Loại đất QH</t>
  </si>
  <si>
    <t>Năm thực hiện</t>
  </si>
  <si>
    <t>Công trình, dự án thuộc Nhà nước thu hồi đất theo điều 61, khoản 1, 2 Điều 62 Luật Đất đai</t>
  </si>
  <si>
    <t>Xã Hải Đông, 
Phường Hải Yên</t>
  </si>
  <si>
    <t>Quyết định số 26/QĐ-UBND ngày 29 tháng 3 năm 2018 của UBND thành phố Móng Cái "Về việc phê duyệt Quy hoạch chi tiết xây dựng tỷ lệ 1/500 công trình Căn cứ chiến đấu thành phố Móng Cái tại Km9 thuộc xã Hải Đông và phường Hải Yên, thành phố Móng Cái, tỉnh Quảng Ninh"
Quyết định số 206/QĐ-UBND ngày 16 tháng 7 năm 2019 của UBND tỉnh Quảng Ninh V/v phê duyệt chủ trương đầu tư xây dựng dự án công trình quốc phòng trong Căn cứ chiến đấu thành phố Móng Cái (giai đoạn 1)
Quyết định số 355/QĐ-UBND ngày 21 tháng 10 năm 2019 V/v Phê duyệt dự án đầu tư xây dựng Công trình Quốc phòng trong Căn cứ chiến đấu thành phố Móng Cái (giai đoạn I)</t>
  </si>
  <si>
    <t>BCS, DTL, LUC</t>
  </si>
  <si>
    <t>RPH, TMD, DGT, DTL, DVH, BCS</t>
  </si>
  <si>
    <t>Khu công nghiệp Hải Yên (GDĐ 4 + GDĐ 5 + Phần còn lại)</t>
  </si>
  <si>
    <t>LUC, LUK, HNK, CLN, NTS, RSX, SKC, ODT, DGT, DTL, BCS</t>
  </si>
  <si>
    <t>Quyết định số 1224/CP-CN ngày 30/8/2004 của Chính Phủ về việc chủ trương xây dựng KCN Đông Mai và KCN Hải Yên, tỉnh Quảng Ninh. 
QĐ số 4009/QĐ-UBND ngày 29/11/2016 của UBND tỉnh V/v phê duyệt điều chỉnh quy hoạch chi tiết xây dựng tỷ lệ 1/2000 khu Công nghiệp Hải Yên tại phường Hải Yên, Thành phố Móng Cái, tỉnh Quảng Ninh (lần 2).</t>
  </si>
  <si>
    <t>Cụm công nghiệp (3 cụm)</t>
  </si>
  <si>
    <t>LUC, HNK, CLN, NTS, RPH, TMD, ODT, DGT, DTL, DSH, TIN, SON, BCS</t>
  </si>
  <si>
    <t>Đăng ký mới</t>
  </si>
  <si>
    <t>II</t>
  </si>
  <si>
    <t>Công trình dự án thuộc Nhà nước thu hồi đất theo khoản 3 điều 62 của Luật Đất đai</t>
  </si>
  <si>
    <t>LUC, HNK, NTS, SKC, DGT, DTL, SON</t>
  </si>
  <si>
    <t>Quyết định số:       /QĐ-UBND ngày    tháng 10 năm 2019 của UBND thành phố Móng Cái Về việc Phê duyệt điều chỉnh Quy hoạch chi tiết xây dựng tỷ lệ 1/500 Dự án mở rộng bến bốc xếp thôn Cầu Voi, xã Vạn Ninh, thành phố Móng Cái.</t>
  </si>
  <si>
    <t>CLN, NTS, TSC, BHK, RST, DGT, LUC, LUK, ODT</t>
  </si>
  <si>
    <t xml:space="preserve">Đất ở đô thị </t>
  </si>
  <si>
    <t>Đất thương mại</t>
  </si>
  <si>
    <t>Đất khu vui chơi, giải chí</t>
  </si>
  <si>
    <t xml:space="preserve">Dự án khu thương mại, tài chính, lưu chuyển hàng hóa, kho bãi, sản xuất khu vực hai bên đường dẫn Cầu Bắc Luân II tại phường Hải Hòa, thành phố Móng Cái </t>
  </si>
  <si>
    <t>LUC, HNK, CLN, NTS, CQP, ODT, DGT, DTL, BCS, BCS, BHK, CLN, CQP, DCS, DGT, DNL, DTL, LUC, NTD, NTS, ODT</t>
  </si>
  <si>
    <t>Ngày 20/5/2016, UBND tỉnh ban hành Quyết định số 1528/QĐ-UBND về việc chấp thuận vị trí, gianh giới, diện tích lập quy hoạch chi tiết xây dựng tỷ lệ 1/500 Dự án khác nằm trong ranh giới Quy hoạch khu vực hai bên đường dẫn cầu Bắc Luân II tại thành phố Móng Cái theo hợp đồng xây dựng chuyển giao (Hợp đồng BT) số 08/2015/HĐBT và phụ lục hợp đồng số 01/2016.
Ngày 30/8/2017, Ban quản lý Khu kinh tế ban hành Quyết định số 188/QĐ-UBND về việc phê duyệt quy hoạch chi tiết xây dựng tỷ lệ 1/500 Dự án khác nằm trong ranh giới Quy hoạch khu vực hai bên đường dẫn cầu Bắc Luân II tại thành phố Móng Cái theo hợp đồng xây dựng chuyển giao (Hợp đồng BT) số 08/2015/HĐBT
Ngày 12/1/2018 UBND tỉnh cấp giấy chứng nhận đầu tư số 7812343674 Dự án khác theo hợp đồng xây dựng chuyển giao (Hợp đồng BT) số 08/2015/HĐBT và phụ lục hợp đồng số 01/2016, cụ thể: Dự án khu thương mại, tài chính, lưu chuyển hàng hóa, kho bãi, sản xuất khu vực hai bên đường dẫn cầu Bắc Luân II, thành phố Móng Cái.</t>
  </si>
  <si>
    <t>LUC, HNK, CLN, NTS, CQP, ODT, DGT, DTL, BCS</t>
  </si>
  <si>
    <t>LUC, HNK, CLN, NTS, RPH, ODT, DGT, DTL, NTD, BCS</t>
  </si>
  <si>
    <t>LUC, CLN, CQP, ODT, DGT, DTL, BCS, DCS</t>
  </si>
  <si>
    <t>LUC, HNK, CLN, NTS, RPH, CQP, ODT, DTL, DNL, NTD, CSD</t>
  </si>
  <si>
    <t>Nhà máy chế biến cát đen (quặng TITAN)</t>
  </si>
  <si>
    <t>CLN, NTS, DGT, BCS</t>
  </si>
  <si>
    <t>Quyết định số 2724/QĐ-UBND ngày 5/6/2019 V/v  phê duyệt quy hoạch chi tiết xây dựng tỷ lệ 1/500 các điểm đất ở trên địa bàn xã Vĩnh Trung, Vĩnh Thực, Hải Sơn, thành phố Móng Cái; Bản đồ điều chỉnh cục bộ tổng mặt bằng sử dụng đất.</t>
  </si>
  <si>
    <t>Điểm quy hoạch tại thôn 1 (khu vực cạnh nhà văn hóa thôn 1), xã Quảng Nghĩa</t>
  </si>
  <si>
    <t>BHK, CLN, ONT, DGT, DTL, BCS</t>
  </si>
  <si>
    <t>Quyết định số 2723/QĐ-UBND ngày 05/6/2019 của UBND thành phố Móng Cái “ V/v phê duyệt quy hoạch chi tiết xây dựng tỷ lệ 1/500 Các điểm đất ở trên địa bàn xã Hải Tiến, Quảng nghĩa, thành phố Móng Cái”; Bản đồ điều chỉnh cục bộ tổng mặt bằng sử dụng đất.</t>
  </si>
  <si>
    <t>BHK, ONT</t>
  </si>
  <si>
    <t>Quyết định số 2722/QĐ-UBND ngày 05/6/2019 của UBND thành phố Móng Cái “ V/v phê duyệt quy hoạch chi tiết xây dựng tỷ lệ 1/500 Các điểm đất ở trên địa bàn xã Hải Đông, thành phố Móng Cái”; Bản đồ điều chỉnh cục bộ tổng mặt bằng sử dụng đất.</t>
  </si>
  <si>
    <t>Điểm Quy hoạch từ nhà ông Hán đến nhà bà Lượng thôn 5, xã Hải Đông, thành phố Móng Cái</t>
  </si>
  <si>
    <t>DGT, TIN, BHK, ONT</t>
  </si>
  <si>
    <t>Quyết định số 2722/QĐ-UBND ngày 05/6/2019 của UBND thành phố Móng Cái “ V/v phê duyệt quy hoạch chi tiết xây dựng tỷ lệ 1/500 Các điểm đất ở trên địa bàn xã Hải Đông, thành phố Móng Cái”; 
Bản đồ điều chỉnh cục bộ tổng mặt bằng sử dụng đất.</t>
  </si>
  <si>
    <t>Quyết định số 2722/QĐ-UBND ngày 05/6/2019 của UBND thành phố Móng Cái “ V/v phê duyệt quy hoạch chi tiết xây dựng tỷ lệ 1/500 Các điểm đất ở trên địa bàn xã Hải Đông, thành phố Móng Cái”; Đã được HĐND tỉnh thông qua các công trình dự án chuyển mục đích sử dụng đất tại Nghị quyết số 212/NQ-HĐND ngày 26/10/2019.
Bản đồ điều chỉnh cục bộ tổng mặt bằng sử dụng đất.</t>
  </si>
  <si>
    <t xml:space="preserve">BCS, DGT, ONT, NTS, </t>
  </si>
  <si>
    <t>LUC, DGT, BCS</t>
  </si>
  <si>
    <t>Điểm quy hoạch xen cư thôn 3B, xã Hải Tiến, thành phố Móng Cái</t>
  </si>
  <si>
    <t>Quyết định số 2723/QĐ-UBND ngày 5/6/2019 V/v phê duyệt quy hoạch chi tiết xây dựng tỷ lệ 1/500 các điểm đất  ở trên địa bàn xã  Hải Tiến, Quảng Nghĩa. 
Đã được HĐND tỉnh thông qua các công trình dự án chuyển mục đích sử dụng đất tại Nghị quyết số 228/NQ-HĐND ngày 07/12/2019. 
Bản đồ điều chỉnh cục bộ tổng mặt bằng sử dụng đất</t>
  </si>
  <si>
    <t>Điểm quy hoạch xen cư thôn 4 (Khu vực nhà bà Vi Thị Viên), xã Hải Tiến, thành phố Móng Cái</t>
  </si>
  <si>
    <t>Điểm quy hoạch xen cư thôn 5 (khu vực từ nhà bà Sen đến nhà ông Nhục), xã Hải Tiến, thành phố Móng Cái</t>
  </si>
  <si>
    <t>ONT, LUC, DGT</t>
  </si>
  <si>
    <t>Quyết định số 2723/QĐ-UBND ngày 5/6/2019 V/v phê duyệt quy hoạch chi tiết xây dựng tỷ lệ 1/500 các điểm đất  ở trên địa bàn xã  Hải Tiến, Quảng Nghĩa. 
Đã được HĐND tỉnh thông qua các công trình dự án chuyển mục đích sử dụng đất tại Nghị quyết số 228/NQ-HĐND ngày 07/12/2019.
Bản đồ điều chỉnh cục bộ tổng mặt bằng sử dụng đất</t>
  </si>
  <si>
    <t>Điểm quy hoạch xen cư thôn 5 (khu vực từ nhà ông Nhục đến nhà ông Vương), xã Hải Tiến, thành phố Móng Cái</t>
  </si>
  <si>
    <t xml:space="preserve">Quyết định số 4181/QĐ-UBND ngày 13/8/2018 V/v phê duyệt quy hoạch chi tiết xây dựng tỷ lệ 1/500  điểm đất  ở tái định cư phía sau lô 4 tỉnh lộ 335 tại thôn 5, xã Hải Xuân, TP.Móng Cái.
Đã được HĐND tỉnh thông qua Dự án thu hồi đất tại Nghị quyết số 183/NQ-HĐND ngày 05/7/2019. </t>
  </si>
  <si>
    <t>RAC</t>
  </si>
  <si>
    <t>LUC, NTS, ONT</t>
  </si>
  <si>
    <t>ONT, DGT, BCS</t>
  </si>
  <si>
    <t>30a</t>
  </si>
  <si>
    <t>Điểm dân cư tại khu vực hai bên đường ra đê hàn, thôn 3, xã Vĩnh Trung, thành phố Móng Cái, tỉnh Quảng Ninh.</t>
  </si>
  <si>
    <t xml:space="preserve">Quyết định số 2724/QĐ-UBND ngày 5/6/2019 V/v phê duyệt quy hoạch chi tiết xây dựng tỷ lệ 1/500 các điểm đất  ở trên địa bàn xã Vĩnh Trung, Vĩnh Thực, Hải sơn. Đã được HĐND tỉnh thông qua các công trình dự án chuyển mục đích sử dụng đất tại Nghị quyết số 212/NQ-HĐND ngày 26/10/2019.  </t>
  </si>
  <si>
    <t>Điểm quy hoạch hai bên đường vào nhà ông Tô Ký đến nhà ông Đặng Đình Củ tại thôn 1+2 xã Vĩnh Trung, thành phố Móng Cái</t>
  </si>
  <si>
    <t>CLN, DGT, BHK, ONT</t>
  </si>
  <si>
    <t>Quyết định số 2724/QĐ-UBND ngày 05/6/2019 của UBND thành phố Móng Cái “ V/v phê duyệt quy hoạch chi tiết xây dựng tỷ lệ 1/500 Các điểm đất ở trên địa bàn xã Vĩnh Trung, Vĩnh Thực, Hải Sơn, thành phố Móng Cái”; 
Bản đồ điều chỉnh cục bộ tổng mặt bằng sử dụng đất.</t>
  </si>
  <si>
    <t>CLN, DGT, ONT, LUK</t>
  </si>
  <si>
    <t>Điểm quy hoạch đối diện nhà bà Nguyễn Thị Nuôi tại thôn 2, xã Vĩnh Thực (điểm số 1)</t>
  </si>
  <si>
    <t>Quyết định số:  6200/QĐ-UBND ngày 11/11/2019 của UBND thành phố Móng Cái “Về việc phê duyệt Quy hoạch chi tiết xây dựng tỷ lệ 1/500 Các điểm đất ở trên địa bàn xã Vĩnh Thực, thành phố Móng Cái; Bản đồ điều chỉnh cục bộ tổng mặt bằng sử dụng đất.</t>
  </si>
  <si>
    <t>Điểm Quy hoạch khu Ruộng Bồng tại thôn 2, xã Vĩnh Thực (Điểm số 3)</t>
  </si>
  <si>
    <t>Quyết định số:  6200/QĐ-UBND ngày 11/11/2019 của UBND thành phố Móng Cái “Về việc phê duyệt Quy hoạch chi tiết xây dựng tỷ lệ 1/500 Các điểm đất ở trên địa bàn xã Vĩnh Thực, thành phố Móng Cái; 
Bản đồ điều chỉnh cục bộ tổng mặt bằng sử dụng đất.</t>
  </si>
  <si>
    <t>Điểm quy hoạch tại thôn 1, xã Vĩnh Thực, thành phố Móng Cái (Điểm số 5)</t>
  </si>
  <si>
    <t>QĐ số 6200/QĐ-UBND ngày 11/11/2019 của UBND thành phố Móng Cái Về việc phê duyệt Quy hoạch chi tiết xây dựng tỷ lệ 1/500 các điểm đất ở trên địa bàn xã Vĩnh Thực, thành phố Móng Cái.
Nghị Quyết số 243/NQ-HĐND ngày 31/3/2020 của Hội đồng nhân dân tỉnh "V/v Thông qua danh mục công trình dự án chuyển mục đích sử dụng đất theo điều 58 Luật Đất đai 2013 để thực hiện các công trình, dự án trên địa bàn tỉnh (đợt 1) năm 2020".
Bản đồ điều chỉnh cục bộ tổng mặt bằng sử dụng đất.</t>
  </si>
  <si>
    <t>Điểm quy hoạch tại thôn 1, xã Vĩnh Thực, thành phố Móng Cái (Điểm số 6)</t>
  </si>
  <si>
    <t>QĐ số 6200/QĐ-UBND ngày 11/11/2019 của UBND thành phố Móng Cái Về việc phê duyệt Quy hoạch chi tiết xây dựng tỷ lệ 1/500 các điểm đất ở trên địa bàn xã Vĩnh Thực, thành phố Móng Cái
Bản đồ điều chỉnh cục bộ tổng mặt bằng sử dụng đất.</t>
  </si>
  <si>
    <t>Điểm quy hoạch tại thôn 1, xã Vĩnh Thực, thành phố Móng Cái (Điểm số 7)</t>
  </si>
  <si>
    <t>NTD, ONT, DGT, BHK</t>
  </si>
  <si>
    <t>LUC, HNK, NTS, ODT, DTL, BCS</t>
  </si>
  <si>
    <t>LUC, HNK, NTS, BCS</t>
  </si>
  <si>
    <t>HNK, BCS</t>
  </si>
  <si>
    <t>HNK, CLN, NTS, RSX, ODT, DGT, DVH, BCS</t>
  </si>
  <si>
    <t>HNK, CLN, NTS, RSX, DGT, BCS</t>
  </si>
  <si>
    <t>HNK, CLN, NTS, BCS</t>
  </si>
  <si>
    <t>CLN, NTS, BCS</t>
  </si>
  <si>
    <t>HNK, CLN, NTS, ODT, DGT, BCS</t>
  </si>
  <si>
    <t>HNK, CLN, NTS, RSX, ODT, DVH, BCS</t>
  </si>
  <si>
    <t>LUC, HNK, CLN, NTS, ODT, DTL, BCS</t>
  </si>
  <si>
    <t>Văn bản số 5007/UBND-QH2 ngày 23/7/2020 của UBND tỉnh Quảng Ninh về việc chấp thuận địa điểm lập quy hoạch khu tái định cư phục vụ các dự án phát triển kinh tế trên địa bàn thành phố Móng Cái
Quyết định số 9225/QĐ-UBND ngày 26/11/2020 của UBND thành phố Móng Cái Về việc phê duyệt Quy hoạch chi tiết tỷ lệ 1/500 Khu tái định cư tại khu 5, phường Hải Yên
Nghị quyết số 149/NQ-HĐND ngày 14/12/2020 của UBND thành phố Móng Cái Về chủ trương đầu tư một số dự án đầu tư công trong Kế hoạch đầu tư công trung hạn ngân sách thành phố Móng Cái (đợt 3)</t>
  </si>
  <si>
    <t>LUC, HNK, CLN, NTS</t>
  </si>
  <si>
    <t xml:space="preserve">Đất Khu vui chơi, giải trí công cộng </t>
  </si>
  <si>
    <t>LUC, HNK, CLN, NTS, ODT</t>
  </si>
  <si>
    <t xml:space="preserve">Đất xây dựng cơ sở văn hóa </t>
  </si>
  <si>
    <t xml:space="preserve">Đất Giáo dục và đào tạo </t>
  </si>
  <si>
    <t xml:space="preserve">Đất Giao thông </t>
  </si>
  <si>
    <t>LUC, HNK, CLN, NTS, ODT, DGT, TON</t>
  </si>
  <si>
    <t>Đất vui chơi, giải chí</t>
  </si>
  <si>
    <t>LUC, HNK, CLN, NTS, ODT, TON</t>
  </si>
  <si>
    <t>Khu dân cư phường Ninh Dương, thành phố Móng Cái, tỉnh Quảng Ninh</t>
  </si>
  <si>
    <t>LUC, HNK, NTS, TMD, ODT, DGT, DTL, NTD</t>
  </si>
  <si>
    <t>Nghị quyết 108/2020/NQ-HĐND ngày 18/6/2020 của HĐND thành phố Móng Cái về việc điều chỉnh, bổ sung danh mục dự án đầu tư dự kiến trong kế hoạch đầu tư công trung hạn vốn ngân sách cấp thành phố giai đoạn 2021-2025 đã được thông qua tại NQ số 99/2019/NQ-HĐND ngày 20/12/2019 của HĐND thành phố Móng Cái;
Văn bản số 6831/UBND-QH2 ngày 07/10/2020 của UBND tỉnh Quảng Ninh về việc UBND thành phố Móng Cái đề nghị chấp thuận vị trí, địa điểm nghiên cứu lập Quy hoạch chi tiết xây dựng tỷ lệ 1/500 khu dân cư tại khu Hạ Long, phường Ninh Dương, thành phố Móng Cái
Quyết định số 9241/QĐ-UBND ngày 28/11/2020 của UBND thành phố Móng Cái Về việc phê duyệt Quy hoạch chi tiét tỷ lệ 1/500 Khu dân cư phường Ninh Dương
Nghị quyết số 149/NQ-HĐND ngày 14/12/2020 của UBND thành phố Móng Cái Về chủ trương đầu tư một số dự án đầu tư công trong Kế hoạch đầu tư công trung hạn ngân sách thành phố Móng Cái (đợt 3)</t>
  </si>
  <si>
    <t>LUC, HNK, NTS, ODT, DGT, DTL, NTD</t>
  </si>
  <si>
    <t>LUC, NTS, ODT, DTL</t>
  </si>
  <si>
    <t xml:space="preserve">Đất văn hóa </t>
  </si>
  <si>
    <t>LUC, HNK, DGT, NTD</t>
  </si>
  <si>
    <t>LUC, NTD, BHK</t>
  </si>
  <si>
    <t>Đất xây dựng cơ sở Thể dục - Thể thao</t>
  </si>
  <si>
    <t xml:space="preserve">Đất giao thông </t>
  </si>
  <si>
    <t>LUC, LUK, HNK, CLN, NTS, TMD, ODT, DNL, NTD, BCS</t>
  </si>
  <si>
    <t>Văn bản số 5007/UBND-QH2 ngày 23/7/2020 
Nghị quyết 108/2020/NQ-HĐND ngày 18/6/2020 của HĐND thành phố Móng Cái về việc điều chỉnh, bổ sung danh mục dự án đầu tư dự kiến trong kế hoạch đầu tư công trung hạn vốn ngân sách cấp thành phố giai đoạn 2021-2025 đã được thông qua tại NQ số 99/2019/NQ-HĐND ngày 20/12/2019 của HĐND thành phố Móng Cái
Quyết định số 9226/QĐ-UBND ngày 26/11/2020 của UBND thành phố Móng Cái Về việc phê duyệt Quy hoạch chi tiết tỷ lệ 1/500 Khu tái định cư tại Khu Thượng Trung, phường Ninh Dương
Nghị quyết số 149/NQ-HĐND ngày 14/12/2020 của UBND thành phố Móng Cái Về chủ trương đầu tư một số dự án đầu tư công trong Kế hoạch đầu tư công trung hạn ngân sách thành phố Móng Cái (đợt 3)</t>
  </si>
  <si>
    <t>LUC, LUK, HNK, NTS, ODT, NTD, BCS</t>
  </si>
  <si>
    <t xml:space="preserve">Đất thương mại dịch vụ </t>
  </si>
  <si>
    <t>LUC, HNK, ODT</t>
  </si>
  <si>
    <t xml:space="preserve">Đất khu vui chơi, giải trí </t>
  </si>
  <si>
    <t>LUC, LUK, HNK, ODT, DTL, NTD</t>
  </si>
  <si>
    <t xml:space="preserve">Đất xây dựng cơ sở giáo dục - Đào tạo </t>
  </si>
  <si>
    <t>LUC, LUK, HNK, CLN, NTS, TMD, ODT, NTD, BCS</t>
  </si>
  <si>
    <t>Điểm tái định cư đường cao tốc Tiên Yên - Móng Cái tại khu Hồng Kỳ, phường Ninh Dương, thành phố Móng Cái</t>
  </si>
  <si>
    <t>LUC, LUK, NTS, DGT, ODT</t>
  </si>
  <si>
    <t>Quyết định số 4816/QĐ-UBND ngày 09/9/2019 của UBND thành phố Móng Cái “Về việc phê duyệt Quy hoạch chi tiết xây dựng tỷ lệ 1/500 Dự án: Lập quy hoạch 04 điểm tái định cư đường cao tốc Vân Đồn-Móng Cái tại phường Ninh Dương”; Bản đồ điều chỉnh cục bộ tổng mặt bằng sử dụng đất.</t>
  </si>
  <si>
    <t>Điểm tái định cư đường cao tốc Tiên Yên - Móng Cái tại khu Hòa Bình, phường Ninh Dương, thành phố Móng Cái</t>
  </si>
  <si>
    <t>LUK, CLN, DGT</t>
  </si>
  <si>
    <t>Điểm tái định cư đường cao tốc Tiên Yên - Móng Cái tại khu Hạ Long, phường Ninh Dương, thành phố Móng Cái</t>
  </si>
  <si>
    <t>BCS, DGT, LUC, LUK, RST, TMD</t>
  </si>
  <si>
    <t>LUC, LUK, DGT</t>
  </si>
  <si>
    <t>LUC, CLN, TMD, ODT, DGT, DTL</t>
  </si>
  <si>
    <t>CLN, DGT, LUC</t>
  </si>
  <si>
    <t>Đất vui chơi, giải trí</t>
  </si>
  <si>
    <t>LUC, CLN, TMD, ODT, DTL</t>
  </si>
  <si>
    <t>LUC, HNK, CLN, NTS, ODT, DGT, DTL, DVH, BCS</t>
  </si>
  <si>
    <t>LUC, HNK, CLN, NTS, DGT, DTL, BCS</t>
  </si>
  <si>
    <t xml:space="preserve">Đất thương mại, dịch vụ </t>
  </si>
  <si>
    <t>LUC, CLN, ODT, DGT, DTL</t>
  </si>
  <si>
    <t xml:space="preserve">Đất khu vui chơi, giải trí công cộng </t>
  </si>
  <si>
    <t>LUC, HNK, CLN, DGT, DTL</t>
  </si>
  <si>
    <t>LUC, CLN, DGT, DTL, BCS</t>
  </si>
  <si>
    <t>LUC, HNK, CLN, NTS, ODT, DTL, DVH, BCS</t>
  </si>
  <si>
    <t>Đất thủy lợi</t>
  </si>
  <si>
    <t>LUC, CLN, DGT</t>
  </si>
  <si>
    <t>Khu dân cư Bắc đại lộ Hòa Bình</t>
  </si>
  <si>
    <t>Phường Hải Hòa, Phường Trần Phú</t>
  </si>
  <si>
    <t>LUC, BHK, CLN, NTS, CQP, ODT, DGT, DTL, DSH, DNL, NTD, BCS</t>
  </si>
  <si>
    <t>Các điểm khai thác đất phục vụ thi công các dự án đầu tư công trên địa bàn thành phố Móng Cái (điểm số 7)</t>
  </si>
  <si>
    <t>LUK, NTS, RSX, DGT</t>
  </si>
  <si>
    <t>Quyết định số 1577/QĐ-UBND ngày 05/3/2021 Về việc phê duyệt Quy hoạch chi tiết xây dựng tỷ lệ 1/500 Các điểm khai thác đất phục vụ thi công các dự án đầu tư công trên địa bàn thành phố Móng Cái (gồm 02 mỏ: Điểm số 7, điểm số 8)</t>
  </si>
  <si>
    <t>Các điểm khai thác đất phục vụ thi công các dự án đầu tư công trên địa bàn thành phố Móng Cái (điểm số 8)</t>
  </si>
  <si>
    <t>NTS, RSX, SON</t>
  </si>
  <si>
    <t>Các điểm khai thác đất phục vụ thi công các dự án đầu tư công trên địa bàn thành phố Móng Cái (điểm số 9)</t>
  </si>
  <si>
    <t>LUK, CLN, RSX, DGT, SON</t>
  </si>
  <si>
    <t>Quyết định số 1541/QĐ-UBND ngày 02/3/2021 Về việc phê duyệt Quy hoạch chi tiết xây dựng tỷ lệ 1/500 Các điểm khai thác đất phục vụ thi công dự án đường cao tốc Tiên Yên - Móng Cái thuộc địa bàn thành phố Móng Cái (gồm 02 mỏ: điểm số 9, điểm số 10)</t>
  </si>
  <si>
    <t>Điểm khai thác đất, vật liệu phục vụ san lấp mặt bằng (mỏ số 10) tại thôn 4, xã Quảng Nghĩa, tỉnh Quảng Ninh</t>
  </si>
  <si>
    <t>LUK, NTS, RSX, DGT, DTL</t>
  </si>
  <si>
    <t>Điểm khai thác mỏ đất san lấp để phục vụ các dự án phát triển kinh tế xã hội trên địa bàn thành phố Móng Cái tại thôn 3 - xã Quảng Nghĩa - Vị trí 2 (mỏ 11)</t>
  </si>
  <si>
    <t>RSX, DGT</t>
  </si>
  <si>
    <t>Quyết định số 1787/QĐ-UBND ngày 12/3/2021 Về việc phê duyệt Quy hoạch xây dựng tỷ lệ 1/500 Mỏ khai thác đất phục vụ san lấp mặt bằng thi công các dự án đầu tư công trên địa bàn thành phố Móng Cái giai đoạn trung hạn 2021-2025 (mỏ số 11)</t>
  </si>
  <si>
    <t>Điểm khai thác đất tại Khu Hòa Bình, phường Ninh Dương, thành phố Móng Cái (Điểm số 2, phục vụ đường cao tốc Tiên Yên - Móng Cái)</t>
  </si>
  <si>
    <t>RSX, ODT, DGT, MNC</t>
  </si>
  <si>
    <t>Quyết định số 6315/QĐ-UBND ngày 13/11/2019 của UBND thành phố Móng Cái Về việc phê duyệt Quy hoạch chi tiết xây dựng tỷ lệ 1/500 Điểm khai thác đất tại khu Hòa Bình, phường Ninh Dương, thành phố Móng Cái (Điểm số 2) và Điểm khai thác đất tại khu 6, phường Hải Yên, thành phố Móng Cái (Điểm số 3) phục vụ thi công dự án đường cao tốc Tiên Yên - Móng Cái.</t>
  </si>
  <si>
    <t>Đất rác thải (DRA)</t>
  </si>
  <si>
    <t>RSX, DGT, SON</t>
  </si>
  <si>
    <t>Điểm bãi đổ thải đất phục vụ dự án Hỗ trợ giải phóng mặt bằng tuyến đường ven biển đoạn trên địa bàn tỉnh Quảng Ninh ( điểm số 2, phục vụ đường cao tốcTiên Yên - Móng Cái)</t>
  </si>
  <si>
    <t>LUK, HNK, CLN, NTS, DTL, NTD</t>
  </si>
  <si>
    <t>Bổ sung mới</t>
  </si>
  <si>
    <t xml:space="preserve">Bãi đổ vật liệu thải dự án: Đường kết nối từ đường cao tốc Vân Đồn - Móng Cái đến cảng Vạn Ninh (Vạn Gia), thành phố Móng Cái </t>
  </si>
  <si>
    <t>CLN, RPN, DGT, BCS, MVK</t>
  </si>
  <si>
    <t>Trung tâm văn hóa xã (Hiện trạng đưa vào cấp GCNQSDĐ)</t>
  </si>
  <si>
    <t>CLN, ODT, DGT, DVH, BCS</t>
  </si>
  <si>
    <t>Trường Cao đẳng nghề mỏ Hồng Cẩm - TKV tại phường Hải Yên</t>
  </si>
  <si>
    <t xml:space="preserve"> 
Phường Ninh Dương</t>
  </si>
  <si>
    <t>Quyết định số : 1646/QĐ-UBND ngày 26/5/2011 của UBND tỉnh Quảng Ninh về việc phê duyệt Quy hoạch chi tiết xây dựng tỷ lệ 1/500 phân hiệu Cao đẳng đào tạo - Trường Cao đẳng nghề mỏ Hồng Cẩm - TKV tại phường Hải Yên, thành phố Móng Cái, tỉnh Quảng Ninh</t>
  </si>
  <si>
    <t>Khu đất mẫu giáo thuộc khu dân cư đô thị phía Bấc khách sạn Hồng Vận và ngã ba Xoáy Nguồn, phường Ka Long</t>
  </si>
  <si>
    <t>Quyết định số: 7439/QĐ-UBND ngày 30/9/2020 của UBND thành phố Móng Cái về việc phê duyệt điều chỉnh cục bộ quy hoạch chi tiết xây xây dựng tỷ lệ 1/500 khu đất mẫu giáo (ký hiệu MG) thuộc Khu dân cư đô thị phía Bắc khách sạn Hồng Vận và ngã ba Xoáy Nguồn, phường Ka Long, thành phố Móng Cái, tỉnh Quảng Ninh</t>
  </si>
  <si>
    <t>LUK, CLN, RST, ONT, BCS</t>
  </si>
  <si>
    <t>Đường cao tốc Tiên Yên - Móng Cái</t>
  </si>
  <si>
    <t>LUC, LUK, HNK, CLN, NTS, RPH, RST, NKH, TSC, TMD, ONT, ODT, DGT, DTL, DTT, DCH, NTD, SKX, MNC, SON, BCS, MVK</t>
  </si>
  <si>
    <t>Xã Hải Đông, 
xã Quảng Nghĩa, 
xã Hải Tiến, 
xã Hải Xuân, 
phường Hải Yên, 
phường Ninh Dương, 
phường Hải Hòa</t>
  </si>
  <si>
    <t>Dự án đường cao tốc Vân Đồn - Móng Cái đã được Văn phòng Chính phủ đồng ý UBND tỉnh Quảng Ninh tiếp tục là Cơ quan Nhà nước có thẩm quyền để huy động vốn và triển khai đầu tư đường cao tốc Vân Đồn - Móng Cái tại Văn bản số 10837/VPCP-KTN ngày 14/12/2016; Công văn 9013/UBND-GT1 ngày 11/12/2019 của UBND tỉnh V/v điều chỉnh dự án đường cao tốc Vân Đồn - Móng Cái</t>
  </si>
  <si>
    <t>LUC, LUK, BHK, CLN, NTS, SKC, ONT, DTL, NTD, SON, BCS</t>
  </si>
  <si>
    <t>Xã Hải Xuân, 
Xã Vạn Ninh</t>
  </si>
  <si>
    <t xml:space="preserve"> Quyết định 3610/QĐ-UBND ngày 18/9/2020 của UBND tỉnh Quảng Ninh về chấp thuận sơ đồ hướng tuyến dự án: Đường ven biển liên kết khu kinh tế Vân Đồn và khu kinh tế cửa khẩu Móng Cái (giai đoạn 1) từ cầu Voi, xã Vạn Ninh đến tỉnh lộ 335, thành phố Móng Cái; 
 Nghị quyết 265/NQ-HĐND ngày 09/7/2020 của HĐND tỉnh về chủ trương đầu tư một số dự án đầu tư công trong Kế hoạch đầu tư công trung hạn ngân sách tỉnh.
Quyết định số 9092/QĐ-UBND ngày 20/11/2020 của UBND thành phố Móng Cái Về việc phê duyệt Quy hoạch chi tiết xây dựng 1/500 mặt bằng tuyến dự án: Đường ven biển liên kết Khu kinh tế Vân Đồn với Khu kinh tế cửa khẩu Móng Cái (giai đoạn 1) từ Cầu Voi, xã Vạn Ninh đến tỉnh lộ 335, thành phố Móng Cái
Quyết định số 4486/QĐ-UBND ngày 04/12/2020 của UBND tỉnh Quảng Ninh Về việc phê duyệt dự án: Đường ven biển liên kết Khu kinh tế Vân Đồn với Khu kinh tế cửa khẩu Móng Cái, đoạn từ Cầu Voi, xã Vạn Ninh đến tỉnh lộ 335 (giai đoạn 1)</t>
  </si>
  <si>
    <t>LUK, BHK, CLN, RPH, RSX, CQP, TSC, ONT, DTL, DBV, MNC, SON, BCS, DCS</t>
  </si>
  <si>
    <t>LUC, LUK, BHK, CLN, NTS, RPH, ONT, ODT, DTL, DSH, SON, BCS, MVK</t>
  </si>
  <si>
    <t>Phường Ninh Dương, Xã Vạn Ninh</t>
  </si>
  <si>
    <t>Cải tạo sửa chữa tuyến đường dạo ven biển Trà Cổ, phường Trà Cổ, thành phố Móng Cái (Đoạn từ Ngã ba ông Thái đến dự án Khu đô thị và Khu du lịch cao cấp Trà Cổ)</t>
  </si>
  <si>
    <t>CLN, RPH, TMD, ODT, DGT, BCS</t>
  </si>
  <si>
    <t>- Nghị quyết 149/NQ-HĐND ngày 14/12/2020 của HĐND thành phố Móng Cái về chủ trương đầu tư một số dự án đầu tư công trong Kế hoạch đầu tư công trung hạn ngân sách thành phố Móng Cái (đợt 3).
'- Quyết định số 10304/QĐ-UBND ngày 21/12/2020 của UBND thành phố Móng Cái Về việc phê duyệt dự án đầu tư xây dựng: Cải tạo, sửa chữa tuyến đường dạo ven biển Trà Cổ, phường Trà Cổ, thành phố Móng Cái (Đoạn từ ngã ba ông Thái đến Dự án Khu đô thị và Khu du lịch cao cấp Trà Cổ).</t>
  </si>
  <si>
    <t>BCS, DGD, LUK</t>
  </si>
  <si>
    <t>LUK, HNK, CLN, NTS, SON, BCS</t>
  </si>
  <si>
    <t>LUK, HNK, CLN, RSX, ONT, DGT, BCS</t>
  </si>
  <si>
    <t>DGT, CLN</t>
  </si>
  <si>
    <t>Đất công trình năng lượng (DNL)</t>
  </si>
  <si>
    <t>phường Trà Cổ</t>
  </si>
  <si>
    <t>QĐ số 421/QĐ-UBND ngày 28/2/2017 V/v phê duyệt điều chỉnh quy hoạch tổng mặt bằng xây dựng chi tiết 1/200 công trình: Nhà trực vận hành số 2 Điện lực TP.Móng Cái, tại phường Trà Cổ.</t>
  </si>
  <si>
    <t>xã Vĩnh Thực</t>
  </si>
  <si>
    <t>KH năm 2019 được duyệt chuyển sang năm 2020-2021</t>
  </si>
  <si>
    <t>Tờ 14: thửa 192, 193, 210, 211, 212, 217;
Tờ 102: thửa 95</t>
  </si>
  <si>
    <t>KH năm 2020 được duyệt chuyển tiếp năm 2021</t>
  </si>
  <si>
    <t>Tờ 7: thửa 16 (BHK)
Tờ 39: thửa 259 (CLN)
Tờ 66: thửa 18 (CLN)
Tờ 102: thửa 140 (CLN)</t>
  </si>
  <si>
    <t>Tờ 69: thửa 91 (CLN)
Tờ 77: thửa 9 (CLN)
Tờ 78: thửa 45 (CLN), 88 (CLN)
Tờ 48: thửa 210 (CLN)
Tờ 53: thửa 100, 108 (LUC)</t>
  </si>
  <si>
    <t>Chuyển mục đích đất nông nghiệp sang đất ở Xã Hải Xuân</t>
  </si>
  <si>
    <t>Tờ 32: thửa 158, 159, 177, 178 (BHK)
Tờ 33: 01 (BCS), 02 (BHK), 03 (BHK), 38 (BHK), 109 (BHK), 119 (BHK), 132 (BHK), 228 (BHK), 116 (NTS)</t>
  </si>
  <si>
    <t xml:space="preserve">Tờ 19: thửa 02, 117, 135, 142; 
Tờ 15, thửa: 26, 27, 49; 
Văn bản số 2749/UBND-QLĐĐ1 ngày 16/04/2019 của UBND tỉnh Quảng Ninh V/v chuyển mục đích sử dụng đất tái định cư tìm cho một số dự án trên địa bàn TP Móng Cái. 
</t>
  </si>
  <si>
    <t xml:space="preserve">
KH năm 2019 được duyệt chuyển sang năm 2020-2021</t>
  </si>
  <si>
    <t>LUK, HNK, CLN, RPH, RSX, SON, BCS</t>
  </si>
  <si>
    <t>LUC, LUK, HNK, RSX, SON, CSD</t>
  </si>
  <si>
    <t>LUC, LUK, HNK, CLN, SON, BCS</t>
  </si>
  <si>
    <t xml:space="preserve">Vùng nuôi trồng thủy sản tập trung thành phố Móng Cái - Khu nuôi ao đầm phường Hải Yên </t>
  </si>
  <si>
    <t>LUK, HNK, CLN, RSX, SON, BCS</t>
  </si>
  <si>
    <t>RSX, SON, BCS</t>
  </si>
  <si>
    <t>RPN, DTL</t>
  </si>
  <si>
    <t>Vùng nuôi trồng thủy sản tập trung thành phố Móng Cái - Khu nuôi ao đầm xã Vạn Ninh.</t>
  </si>
  <si>
    <t>LUC, LUK, HNK, CLN, DTL, MNC, SON, BCS, MKV</t>
  </si>
  <si>
    <t>RSX, BCS, MKV</t>
  </si>
  <si>
    <t>III</t>
  </si>
  <si>
    <t>Chuyển mục đích sử dụng đất từ đất xây dựng trụ sở cơ quan sang đất ở</t>
  </si>
  <si>
    <t>Phường Hòa Lạc, Phường Trần Phú</t>
  </si>
  <si>
    <t>Chuyển mục đích sử dụng đất từ đất sinh hoạt cộng đồng sang đất ở</t>
  </si>
  <si>
    <t>Chuyển mục đích sử dụng đất từ đất giáo dục sang đất ở</t>
  </si>
  <si>
    <t>ONT, ODT</t>
  </si>
  <si>
    <t>Xã Bắc Sơn, Xã Hải Sơn, Xã Quảng Nghĩa, Xã Hải Tiến, Xã Hải Đông, Xã Vạn Ninh, Xã Hải Xuân, Phường Hải Yên, Phường Ninh Dương, Phường Trà Cổ, Phường Bình Ngọc</t>
  </si>
  <si>
    <t>Dự án cửa hàng xăng dầu tại km20, xã Quảng Nghĩa, thành phố Móng Cái là dự án UBND tỉnh thu hồi đất của chi nhánh Công ty cổ phần dịch vụ thương mại và xuất nhập khẩu Trung Thành đã được UBND tỉnh cho thuê đất tại Quyết định số 601/QĐ-UBND, ngày 28/02/2017 để xây dựng Cửa hàng xăng dầu tại km20, xã Quảng Nghĩa, thành phố Móng Cái giao cho UBND thành phố Móng Cái quản lý; Được UBND tỉnh phê duyệt quy hoạch chi tiết xây dựng tỷ lệ 1/500 tại Quyết định số 63/QĐ-UBND ngày 22/3/2012,</t>
  </si>
  <si>
    <t>Quyết định số 4422/QĐ-UBND của UBND thành phố Móng Cái ngày 02/7/2020 Về việc phê duyệt Quy hoạch chi tiết xây dựng tỷ lệ 1/500 Điểm đất ở tại khu 7, phường Ka Long, thành phố Móng Cái, tỉnh Quảng Ninh</t>
  </si>
  <si>
    <t>QĐ số 1003/QĐ-UBND ngày 08/3/2019 của UBND tỉnh Quảng Ninh V/v chấp thuận chủ trương đầu tư dự án: khu đô thị mới Ninh Dương giai đoạn 1 tại phường Ninh Dương, TP.Móng Cái.  
UBND thành phố Móng Cái đã bố trí kế hoạch vốn triển khai giai đoạn 2021-2025</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</si>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</sst>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5">
    <numFmt numFmtId="43" formatCode="_(* #,##0.00_);_(* \(#,##0.00\);_(* &quot;-&quot;??_);_(@_)"/>
    <numFmt numFmtId="164" formatCode="0.000"/>
    <numFmt numFmtId="165" formatCode="0.000000000"/>
    <numFmt numFmtId="166" formatCode="&quot;\&quot;#,##0.00;[Red]&quot;\&quot;&quot;\&quot;&quot;\&quot;&quot;\&quot;&quot;\&quot;&quot;\&quot;\-#,##0.00"/>
    <numFmt numFmtId="167" formatCode="&quot;\&quot;#,##0;[Red]&quot;\&quot;&quot;\&quot;\-#,##0"/>
    <numFmt numFmtId="168" formatCode="###,0&quot;.&quot;00\ &quot;F&quot;;[Red]\-###,0&quot;.&quot;00\ &quot;F&quot;"/>
    <numFmt numFmtId="169" formatCode="#.##0"/>
    <numFmt numFmtId="170" formatCode="###\ ###\ ###."/>
    <numFmt numFmtId="171" formatCode="_-* #,##0_-;\-* #,##0_-;_-* &quot;-&quot;_-;_-@_-"/>
    <numFmt numFmtId="172" formatCode="_-* #,##0.00_-;\-* #,##0.00_-;_-* &quot;-&quot;??_-;_-@_-"/>
    <numFmt numFmtId="173" formatCode="&quot;$&quot;#,##0;[Red]\-&quot;$&quot;#,##0"/>
    <numFmt numFmtId="174" formatCode="_ &quot;\&quot;* #,##0_ ;_ &quot;\&quot;* \-#,##0_ ;_ &quot;\&quot;* &quot;-&quot;_ ;_ @_ "/>
    <numFmt numFmtId="175" formatCode="_ &quot;\&quot;* #,##0.00_ ;_ &quot;\&quot;* \-#,##0.00_ ;_ &quot;\&quot;* &quot;-&quot;??_ ;_ @_ "/>
    <numFmt numFmtId="176" formatCode="0.000%"/>
    <numFmt numFmtId="177" formatCode="_ * #,##0_ ;_ * \-#,##0_ ;_ * &quot;-&quot;_ ;_ @_ "/>
    <numFmt numFmtId="178" formatCode="_ * #,##0.00_ ;_ * \-#,##0.00_ ;_ * &quot;-&quot;??_ ;_ @_ "/>
    <numFmt numFmtId="179" formatCode=";;"/>
    <numFmt numFmtId="180" formatCode="0.000_)"/>
    <numFmt numFmtId="181" formatCode="_ &quot;\&quot;* #,##0.00_ ;_ &quot;\&quot;* &quot;\&quot;&quot;\&quot;&quot;\&quot;&quot;\&quot;&quot;\&quot;&quot;\&quot;&quot;\&quot;&quot;\&quot;&quot;\&quot;\-#,##0.00_ ;_ &quot;\&quot;* &quot;-&quot;??_ ;_ @_ "/>
    <numFmt numFmtId="182" formatCode="&quot;$&quot;\ \ \ \ #,##0_);\(&quot;$&quot;\ \ \ #,##0\)"/>
    <numFmt numFmtId="183" formatCode="&quot;$&quot;\ \ \ \ \ #,##0_);\(&quot;$&quot;\ \ \ \ \ #,##0\)"/>
    <numFmt numFmtId="184" formatCode="&quot;Fr.&quot;\ #,##0.00;&quot;Fr.&quot;\ \-#,##0.00"/>
    <numFmt numFmtId="185" formatCode="#,##0.0"/>
    <numFmt numFmtId="186" formatCode="#,###"/>
    <numFmt numFmtId="187" formatCode="#,##0\ &quot;$&quot;_);[Red]\(#,##0\ &quot;$&quot;\)"/>
    <numFmt numFmtId="188" formatCode="&quot;$&quot;###,0&quot;.&quot;00_);[Red]\(&quot;$&quot;###,0&quot;.&quot;00\)"/>
    <numFmt numFmtId="189" formatCode="_ * #,##0_)_£_ ;_ * \(#,##0\)_£_ ;_ * &quot;-&quot;_)_£_ ;_ @_ "/>
    <numFmt numFmtId="190" formatCode="0.00_)"/>
    <numFmt numFmtId="191" formatCode="0.0"/>
    <numFmt numFmtId="192" formatCode="0.00;[Red]0.00"/>
    <numFmt numFmtId="193" formatCode="###,##0"/>
    <numFmt numFmtId="194" formatCode="0_);\(0\)"/>
    <numFmt numFmtId="195" formatCode="_(* #,##0_);_(* \(#,##0\);_(* &quot;-&quot;??_);_(@_)"/>
    <numFmt numFmtId="196" formatCode="_(* #,##0.0_);_(* \(#,##0.0\);_(* &quot;-&quot;??_);_(@_)"/>
    <numFmt numFmtId="197" formatCode="0.0000"/>
  </numFmts>
  <fonts count="194">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sz val="10"/>
      <name val="Arial"/>
      <family val="2"/>
    </font>
    <font>
      <sz val="12"/>
      <name val="Arial"/>
      <family val="2"/>
    </font>
    <font>
      <b/>
      <sz val="8"/>
      <color indexed="81"/>
      <name val="Tahoma"/>
      <family val="2"/>
    </font>
    <font>
      <sz val="8"/>
      <color indexed="81"/>
      <name val="Tahoma"/>
      <family val="2"/>
    </font>
    <font>
      <sz val="10"/>
      <name val="Helv"/>
      <family val="2"/>
    </font>
    <font>
      <sz val="12"/>
      <name val=".VnTime"/>
      <family val="2"/>
    </font>
    <font>
      <sz val="10"/>
      <name val="Arial"/>
      <family val="2"/>
    </font>
    <font>
      <sz val="10"/>
      <name val="AngsanaUPC"/>
      <family val="1"/>
    </font>
    <font>
      <sz val="14"/>
      <name val=".VnTime"/>
      <family val="2"/>
    </font>
    <font>
      <sz val="11"/>
      <name val=".VnTime"/>
      <family val="2"/>
    </font>
    <font>
      <sz val="12"/>
      <name val="????"/>
      <family val="1"/>
      <charset val="136"/>
    </font>
    <font>
      <sz val="12"/>
      <name val="Courier"/>
      <family val="3"/>
    </font>
    <font>
      <sz val="12"/>
      <name val="|??¢¥¢¬¨Ï"/>
      <family val="1"/>
      <charset val="129"/>
    </font>
    <font>
      <b/>
      <u/>
      <sz val="14"/>
      <color indexed="8"/>
      <name val=".VnBook-AntiquaH"/>
      <family val="2"/>
    </font>
    <font>
      <sz val="12"/>
      <name val="¹ÙÅÁÃ¼"/>
      <charset val="129"/>
    </font>
    <font>
      <i/>
      <sz val="12"/>
      <color indexed="8"/>
      <name val=".VnBook-AntiquaH"/>
      <family val="2"/>
    </font>
    <font>
      <sz val="11"/>
      <color indexed="8"/>
      <name val="Calibri"/>
      <family val="2"/>
    </font>
    <font>
      <b/>
      <sz val="12"/>
      <color indexed="8"/>
      <name val=".VnBook-Antiqua"/>
      <family val="2"/>
    </font>
    <font>
      <i/>
      <sz val="12"/>
      <color indexed="8"/>
      <name val=".VnBook-Antiqua"/>
      <family val="2"/>
    </font>
    <font>
      <sz val="10"/>
      <name val=".VnTime"/>
      <family val="2"/>
    </font>
    <font>
      <sz val="11"/>
      <color indexed="9"/>
      <name val="Calibri"/>
      <family val="2"/>
    </font>
    <font>
      <sz val="12"/>
      <name val="±¼¸²Ã¼"/>
      <family val="3"/>
      <charset val="129"/>
    </font>
    <font>
      <sz val="12"/>
      <name val="¹UAAA¼"/>
      <family val="3"/>
      <charset val="129"/>
    </font>
    <font>
      <sz val="8"/>
      <name val="Times New Roman"/>
      <family val="1"/>
    </font>
    <font>
      <sz val="8"/>
      <name val="Times New Roman"/>
      <family val="1"/>
    </font>
    <font>
      <sz val="11"/>
      <color indexed="20"/>
      <name val="Calibri"/>
      <family val="2"/>
    </font>
    <font>
      <b/>
      <i/>
      <sz val="14"/>
      <name val="VNTime"/>
      <family val="2"/>
    </font>
    <font>
      <sz val="12"/>
      <name val="Tms Rmn"/>
    </font>
    <font>
      <sz val="11"/>
      <name val="µ¸¿ò"/>
      <charset val="129"/>
    </font>
    <font>
      <sz val="12"/>
      <name val="µ¸¿òÃ¼"/>
      <family val="3"/>
      <charset val="129"/>
    </font>
    <font>
      <sz val="10"/>
      <name val="MS Sans Serif"/>
      <family val="2"/>
    </font>
    <font>
      <sz val="10"/>
      <name val="MS Sans Serif"/>
      <family val="2"/>
    </font>
    <font>
      <b/>
      <sz val="11"/>
      <color indexed="52"/>
      <name val="Calibri"/>
      <family val="2"/>
    </font>
    <font>
      <b/>
      <sz val="10"/>
      <name val="Helv"/>
    </font>
    <font>
      <b/>
      <sz val="11"/>
      <color indexed="9"/>
      <name val="Calibri"/>
      <family val="2"/>
    </font>
    <font>
      <sz val="11"/>
      <name val="Tms Rmn"/>
    </font>
    <font>
      <b/>
      <sz val="12"/>
      <name val="VNTime"/>
      <family val="2"/>
    </font>
    <font>
      <sz val="10"/>
      <name val="MS Serif"/>
      <family val="1"/>
    </font>
    <font>
      <sz val="10"/>
      <name val="MS Serif"/>
      <family val="1"/>
    </font>
    <font>
      <sz val="12"/>
      <name val="VNI-Times"/>
    </font>
    <font>
      <b/>
      <sz val="12"/>
      <name val="VNTimeH"/>
      <family val="2"/>
    </font>
    <font>
      <sz val="10"/>
      <color indexed="16"/>
      <name val="MS Serif"/>
      <family val="1"/>
    </font>
    <font>
      <sz val="10"/>
      <color indexed="16"/>
      <name val="MS Serif"/>
      <family val="1"/>
    </font>
    <font>
      <i/>
      <sz val="11"/>
      <color indexed="23"/>
      <name val="Calibri"/>
      <family val="2"/>
    </font>
    <font>
      <sz val="12"/>
      <name val="VNTime"/>
      <family val="2"/>
    </font>
    <font>
      <sz val="11"/>
      <color indexed="17"/>
      <name val="Calibri"/>
      <family val="2"/>
    </font>
    <font>
      <sz val="8"/>
      <name val="Arial"/>
      <family val="2"/>
    </font>
    <font>
      <b/>
      <sz val="12"/>
      <color indexed="9"/>
      <name val="Tms Rmn"/>
    </font>
    <font>
      <b/>
      <sz val="12"/>
      <name val="Helv"/>
    </font>
    <font>
      <b/>
      <sz val="12"/>
      <name val="Arial"/>
      <family val="2"/>
    </font>
    <font>
      <b/>
      <sz val="18"/>
      <name val="Arial"/>
      <family val="2"/>
    </font>
    <font>
      <b/>
      <sz val="15"/>
      <color indexed="56"/>
      <name val="Calibri"/>
      <family val="2"/>
    </font>
    <font>
      <b/>
      <sz val="13"/>
      <color indexed="56"/>
      <name val="Calibri"/>
      <family val="2"/>
    </font>
    <font>
      <b/>
      <sz val="11"/>
      <color indexed="56"/>
      <name val="Calibri"/>
      <family val="2"/>
    </font>
    <font>
      <b/>
      <sz val="8"/>
      <name val="MS Sans Serif"/>
      <family val="2"/>
    </font>
    <font>
      <b/>
      <sz val="8"/>
      <name val="MS Sans Serif"/>
      <family val="2"/>
    </font>
    <font>
      <sz val="11"/>
      <color indexed="62"/>
      <name val="Calibri"/>
      <family val="2"/>
    </font>
    <font>
      <sz val="11"/>
      <color indexed="52"/>
      <name val="Calibri"/>
      <family val="2"/>
    </font>
    <font>
      <b/>
      <sz val="11"/>
      <name val="Helv"/>
    </font>
    <font>
      <sz val="10"/>
      <name val=".VnAvant"/>
      <family val="2"/>
    </font>
    <font>
      <sz val="12"/>
      <name val="Arial"/>
      <family val="2"/>
    </font>
    <font>
      <sz val="11"/>
      <color indexed="60"/>
      <name val="Calibri"/>
      <family val="2"/>
    </font>
    <font>
      <sz val="13"/>
      <name val=".VnTime"/>
      <family val="2"/>
    </font>
    <font>
      <b/>
      <i/>
      <sz val="16"/>
      <name val="Helv"/>
    </font>
    <font>
      <sz val="12"/>
      <name val="¹ÙÅÁÃ¼"/>
      <family val="1"/>
      <charset val="129"/>
    </font>
    <font>
      <sz val="14"/>
      <name val="Times New Roman"/>
      <family val="1"/>
      <charset val="163"/>
    </font>
    <font>
      <sz val="11"/>
      <color indexed="8"/>
      <name val="Arial"/>
      <family val="2"/>
      <charset val="163"/>
    </font>
    <font>
      <sz val="11"/>
      <name val="–¾’©"/>
      <family val="1"/>
      <charset val="128"/>
    </font>
    <font>
      <sz val="10"/>
      <name val="Times New Roman"/>
      <family val="1"/>
    </font>
    <font>
      <b/>
      <sz val="11"/>
      <color indexed="63"/>
      <name val="Calibri"/>
      <family val="2"/>
    </font>
    <font>
      <sz val="12"/>
      <name val="Times New Roman"/>
      <family val="1"/>
    </font>
    <font>
      <sz val="11"/>
      <color indexed="8"/>
      <name val="Arial"/>
      <family val="2"/>
    </font>
    <font>
      <sz val="11"/>
      <color indexed="8"/>
      <name val="Calibri"/>
      <family val="2"/>
      <charset val="163"/>
    </font>
    <font>
      <b/>
      <sz val="10"/>
      <name val="Helv"/>
      <family val="2"/>
    </font>
    <font>
      <b/>
      <sz val="12"/>
      <name val="Helv"/>
      <family val="2"/>
    </font>
    <font>
      <b/>
      <sz val="11"/>
      <name val="Helv"/>
      <family val="2"/>
    </font>
    <font>
      <sz val="10"/>
      <name val="Arial"/>
      <family val="2"/>
    </font>
    <font>
      <b/>
      <sz val="10"/>
      <color rgb="FF0000FF"/>
      <name val="Arial"/>
      <family val="2"/>
    </font>
    <font>
      <b/>
      <sz val="12"/>
      <color rgb="FFFF0000"/>
      <name val="Arial"/>
      <family val="2"/>
    </font>
    <font>
      <b/>
      <sz val="12"/>
      <color rgb="FFFF0000"/>
      <name val="Times New Roman"/>
      <family val="1"/>
    </font>
    <font>
      <b/>
      <sz val="12"/>
      <color rgb="FF0000FF"/>
      <name val="Times New Roman"/>
      <family val="1"/>
    </font>
    <font>
      <b/>
      <sz val="10"/>
      <color rgb="FFFF0000"/>
      <name val="Arial"/>
      <family val="2"/>
    </font>
    <font>
      <b/>
      <sz val="13"/>
      <color rgb="FFFF0000"/>
      <name val="Times New Roman"/>
      <family val="1"/>
    </font>
    <font>
      <sz val="13"/>
      <name val="Times New Roman"/>
      <family val="1"/>
    </font>
    <font>
      <b/>
      <sz val="13"/>
      <color rgb="FF0000FF"/>
      <name val="Times New Roman"/>
      <family val="1"/>
    </font>
    <font>
      <sz val="13"/>
      <color rgb="FF800000"/>
      <name val="Times New Roman"/>
      <family val="1"/>
    </font>
    <font>
      <sz val="12"/>
      <color rgb="FF800000"/>
      <name val="Times New Roman"/>
      <family val="1"/>
    </font>
    <font>
      <sz val="10"/>
      <color rgb="FF800000"/>
      <name val="Arial"/>
      <family val="2"/>
    </font>
    <font>
      <b/>
      <sz val="12"/>
      <color rgb="FF0000FF"/>
      <name val="Arial"/>
      <family val="2"/>
    </font>
    <font>
      <b/>
      <sz val="14"/>
      <name val="Times New Roman"/>
      <family val="1"/>
    </font>
    <font>
      <b/>
      <sz val="13"/>
      <name val="Times New Roman"/>
      <family val="1"/>
    </font>
    <font>
      <b/>
      <sz val="16"/>
      <name val="Times New Roman"/>
      <family val="1"/>
    </font>
    <font>
      <b/>
      <u/>
      <sz val="14"/>
      <name val="Times New Roman"/>
      <family val="1"/>
    </font>
    <font>
      <b/>
      <sz val="12"/>
      <name val="Times New Roman"/>
      <family val="1"/>
    </font>
    <font>
      <sz val="11"/>
      <name val="Times New Roman"/>
      <family val="1"/>
    </font>
    <font>
      <i/>
      <sz val="12"/>
      <name val="Times New Roman"/>
      <family val="1"/>
    </font>
    <font>
      <u/>
      <sz val="14"/>
      <name val="Times New Roman"/>
      <family val="1"/>
    </font>
    <font>
      <sz val="12"/>
      <color rgb="FFFF0000"/>
      <name val="Times New Roman"/>
      <family val="1"/>
    </font>
    <font>
      <b/>
      <sz val="10"/>
      <name val="Arial"/>
      <family val="2"/>
    </font>
    <font>
      <b/>
      <sz val="10"/>
      <name val="Times New Roman"/>
      <family val="1"/>
    </font>
    <font>
      <b/>
      <sz val="11"/>
      <name val="Times New Roman"/>
      <family val="1"/>
    </font>
    <font>
      <sz val="10"/>
      <color rgb="FFFF0000"/>
      <name val="Arial"/>
      <family val="2"/>
    </font>
    <font>
      <sz val="10"/>
      <color rgb="FF0000FF"/>
      <name val="Arial"/>
      <family val="2"/>
    </font>
    <font>
      <sz val="12"/>
      <color rgb="FF0000FF"/>
      <name val="Times New Roman"/>
      <family val="1"/>
    </font>
    <font>
      <sz val="13"/>
      <color rgb="FFFF0000"/>
      <name val="Times New Roman"/>
      <family val="1"/>
    </font>
    <font>
      <sz val="13"/>
      <color rgb="FF0000FF"/>
      <name val="Times New Roman"/>
      <family val="1"/>
    </font>
    <font>
      <sz val="13"/>
      <color theme="1"/>
      <name val="Times New Roman"/>
      <family val="1"/>
    </font>
    <font>
      <sz val="12"/>
      <color theme="1"/>
      <name val="Times New Roman"/>
      <family val="1"/>
    </font>
    <font>
      <b/>
      <sz val="12"/>
      <color theme="1"/>
      <name val="Times New Roman"/>
      <family val="1"/>
    </font>
    <font>
      <sz val="11"/>
      <color rgb="FF800000"/>
      <name val="Times New Roman"/>
      <family val="1"/>
    </font>
    <font>
      <sz val="12"/>
      <color rgb="FF800000"/>
      <name val="Arial"/>
      <family val="2"/>
    </font>
    <font>
      <sz val="10"/>
      <color theme="1"/>
      <name val="Arial"/>
      <family val="2"/>
    </font>
    <font>
      <b/>
      <sz val="10"/>
      <color theme="1"/>
      <name val="Arial"/>
      <family val="2"/>
    </font>
    <font>
      <sz val="11"/>
      <name val="Arial"/>
      <family val="2"/>
    </font>
    <font>
      <sz val="11"/>
      <color rgb="FF800000"/>
      <name val="Arial"/>
      <family val="2"/>
    </font>
    <font>
      <i/>
      <sz val="11"/>
      <name val="Times New Roman"/>
      <family val="1"/>
    </font>
    <font>
      <i/>
      <sz val="10"/>
      <name val="Arial"/>
      <family val="2"/>
    </font>
    <font>
      <sz val="11"/>
      <color rgb="FFFF0000"/>
      <name val="Times New Roman"/>
      <family val="1"/>
    </font>
    <font>
      <sz val="14"/>
      <color rgb="FF000000"/>
      <name val="Times New Roman"/>
      <family val="1"/>
    </font>
    <font>
      <sz val="13"/>
      <color rgb="FF000000"/>
      <name val="Times New Roman"/>
      <family val="1"/>
    </font>
    <font>
      <vertAlign val="superscript"/>
      <sz val="13"/>
      <color rgb="FF000000"/>
      <name val="Times New Roman"/>
      <family val="1"/>
    </font>
    <font>
      <b/>
      <sz val="13"/>
      <color rgb="FF000000"/>
      <name val="Times New Roman"/>
      <family val="1"/>
    </font>
    <font>
      <b/>
      <vertAlign val="superscript"/>
      <sz val="13"/>
      <color rgb="FF000000"/>
      <name val="Times New Roman"/>
      <family val="1"/>
    </font>
    <font>
      <u/>
      <sz val="13"/>
      <name val="Times New Roman"/>
      <family val="1"/>
    </font>
    <font>
      <sz val="10.5"/>
      <name val="Times New Roman"/>
      <family val="1"/>
    </font>
    <font>
      <sz val="14"/>
      <name val="Times New Roman"/>
      <family val="1"/>
    </font>
    <font>
      <b/>
      <sz val="17"/>
      <name val="Times New Roman"/>
      <family val="1"/>
    </font>
    <font>
      <b/>
      <u/>
      <sz val="15"/>
      <name val="Times New Roman"/>
      <family val="1"/>
    </font>
    <font>
      <i/>
      <sz val="13"/>
      <name val="Times New Roman"/>
      <family val="1"/>
    </font>
    <font>
      <b/>
      <i/>
      <sz val="13"/>
      <name val="Times New Roman"/>
      <family val="1"/>
    </font>
    <font>
      <sz val="13"/>
      <color rgb="FFC00000"/>
      <name val="Times New Roman"/>
      <family val="1"/>
    </font>
    <font>
      <sz val="12"/>
      <color rgb="FFC00000"/>
      <name val="Times New Roman"/>
      <family val="1"/>
    </font>
    <font>
      <sz val="10"/>
      <color rgb="FFC00000"/>
      <name val="Arial"/>
      <family val="2"/>
    </font>
    <font>
      <sz val="12"/>
      <color theme="1"/>
      <name val="Times New Roman"/>
      <family val="2"/>
      <charset val="163"/>
    </font>
    <font>
      <sz val="10"/>
      <name val="Arial"/>
    </font>
    <font>
      <b/>
      <sz val="8"/>
      <name val="Times New Roman"/>
      <family val="1"/>
    </font>
    <font>
      <sz val="8"/>
      <color indexed="8"/>
      <name val="Times New Roman"/>
      <family val="1"/>
    </font>
    <font>
      <i/>
      <sz val="8"/>
      <name val="Times New Roman"/>
      <family val="1"/>
    </font>
    <font>
      <sz val="10"/>
      <color indexed="10"/>
      <name val="Arial"/>
      <family val="2"/>
    </font>
    <font>
      <sz val="6"/>
      <name val="Arial"/>
      <family val="2"/>
    </font>
    <font>
      <b/>
      <sz val="6"/>
      <name val="Times New Roman"/>
      <family val="1"/>
    </font>
    <font>
      <b/>
      <sz val="8"/>
      <name val="Arial"/>
      <family val="2"/>
    </font>
    <font>
      <sz val="9"/>
      <name val="Times New Roman"/>
      <family val="1"/>
    </font>
    <font>
      <b/>
      <sz val="9"/>
      <name val="Times New Roman"/>
      <family val="1"/>
    </font>
    <font>
      <sz val="9"/>
      <name val="Arial"/>
      <family val="2"/>
    </font>
    <font>
      <sz val="14"/>
      <color theme="1"/>
      <name val="Times New Roman"/>
      <family val="2"/>
    </font>
    <font>
      <b/>
      <u/>
      <sz val="11"/>
      <name val="Times New Roman"/>
      <family val="1"/>
    </font>
    <font>
      <i/>
      <sz val="10"/>
      <name val="Times New Roman"/>
      <family val="1"/>
    </font>
    <font>
      <b/>
      <i/>
      <sz val="10"/>
      <name val="Times New Roman"/>
      <family val="1"/>
    </font>
    <font>
      <b/>
      <sz val="8"/>
      <color theme="1"/>
      <name val="Times New Roman"/>
      <family val="1"/>
    </font>
    <font>
      <sz val="8"/>
      <color theme="1"/>
      <name val="Times New Roman"/>
      <family val="1"/>
    </font>
    <font>
      <b/>
      <sz val="12"/>
      <name val="Times New Roman"/>
      <family val="1"/>
      <charset val="163"/>
    </font>
    <font>
      <b/>
      <sz val="12"/>
      <color theme="1"/>
      <name val="Arial"/>
      <family val="2"/>
    </font>
    <font>
      <b/>
      <sz val="18"/>
      <name val="Times New Roman"/>
      <family val="1"/>
    </font>
    <font>
      <sz val="12"/>
      <name val="Arial"/>
      <family val="2"/>
      <charset val="163"/>
    </font>
    <font>
      <sz val="12"/>
      <color theme="1"/>
      <name val="Arial"/>
      <family val="2"/>
      <charset val="163"/>
    </font>
    <font>
      <sz val="12"/>
      <color theme="1"/>
      <name val="Arial"/>
      <family val="2"/>
    </font>
    <font>
      <i/>
      <sz val="12"/>
      <color theme="1"/>
      <name val="Times New Roman"/>
      <family val="1"/>
      <charset val="163"/>
    </font>
    <font>
      <b/>
      <sz val="10"/>
      <color rgb="FF0000FF"/>
      <name val="Arial"/>
      <family val="2"/>
      <charset val="163"/>
    </font>
    <font>
      <b/>
      <sz val="10"/>
      <name val="Arial"/>
      <family val="2"/>
      <charset val="163"/>
    </font>
    <font>
      <b/>
      <u/>
      <sz val="13"/>
      <name val="Times New Roman"/>
      <family val="1"/>
    </font>
    <font>
      <b/>
      <u/>
      <sz val="12"/>
      <name val="Times New Roman"/>
      <family val="1"/>
    </font>
    <font>
      <sz val="12"/>
      <color theme="0"/>
      <name val="Times New Roman"/>
      <family val="1"/>
    </font>
    <font>
      <sz val="13"/>
      <name val="Arial"/>
      <family val="2"/>
    </font>
    <font>
      <b/>
      <sz val="12"/>
      <color theme="0"/>
      <name val="Times New Roman"/>
      <family val="1"/>
    </font>
    <font>
      <sz val="13"/>
      <name val="Times New Roman"/>
      <family val="1"/>
      <charset val="163"/>
    </font>
    <font>
      <b/>
      <i/>
      <sz val="12"/>
      <color theme="0"/>
      <name val="Times New Roman"/>
      <family val="1"/>
    </font>
    <font>
      <i/>
      <sz val="13"/>
      <name val="Arial"/>
      <family val="2"/>
    </font>
    <font>
      <b/>
      <sz val="13"/>
      <name val="Arial"/>
      <family val="2"/>
    </font>
    <font>
      <sz val="12"/>
      <name val="Times New Roman"/>
      <family val="1"/>
      <charset val="163"/>
    </font>
    <font>
      <i/>
      <sz val="13"/>
      <color rgb="FF0000FF"/>
      <name val="Times New Roman"/>
      <family val="1"/>
    </font>
    <font>
      <i/>
      <sz val="13"/>
      <color rgb="FF0000FF"/>
      <name val="Times New Roman"/>
      <family val="1"/>
      <charset val="163"/>
    </font>
    <font>
      <i/>
      <sz val="12"/>
      <color rgb="FF0000FF"/>
      <name val="Times New Roman"/>
      <family val="1"/>
      <charset val="163"/>
    </font>
    <font>
      <i/>
      <sz val="12"/>
      <color theme="0"/>
      <name val="Times New Roman"/>
      <family val="1"/>
    </font>
    <font>
      <i/>
      <sz val="13"/>
      <color rgb="FF0000FF"/>
      <name val="Arial"/>
      <family val="2"/>
    </font>
    <font>
      <i/>
      <sz val="13"/>
      <color rgb="FF00B0F0"/>
      <name val="Times New Roman"/>
      <family val="1"/>
    </font>
    <font>
      <i/>
      <sz val="12"/>
      <color rgb="FF00B0F0"/>
      <name val="Times New Roman"/>
      <family val="1"/>
    </font>
    <font>
      <i/>
      <sz val="14"/>
      <color rgb="FF00B0F0"/>
      <name val="Times New Roman"/>
      <family val="1"/>
    </font>
    <font>
      <sz val="13"/>
      <color theme="1"/>
      <name val="Arial"/>
      <family val="2"/>
    </font>
    <font>
      <i/>
      <sz val="13"/>
      <color rgb="FF0070C0"/>
      <name val="Times New Roman"/>
      <family val="1"/>
    </font>
    <font>
      <i/>
      <sz val="12"/>
      <color rgb="FF0070C0"/>
      <name val="Times New Roman"/>
      <family val="1"/>
    </font>
    <font>
      <i/>
      <sz val="14"/>
      <color rgb="FF0070C0"/>
      <name val="Times New Roman"/>
      <family val="1"/>
    </font>
    <font>
      <sz val="13"/>
      <color rgb="FF00B0F0"/>
      <name val="Times New Roman"/>
      <family val="1"/>
    </font>
    <font>
      <i/>
      <sz val="12"/>
      <color rgb="FF0000FF"/>
      <name val="Times New Roman"/>
      <family val="1"/>
    </font>
    <font>
      <i/>
      <sz val="14"/>
      <color rgb="FF0000FF"/>
      <name val="Times New Roman"/>
      <family val="1"/>
    </font>
    <font>
      <sz val="14"/>
      <name val="Arial"/>
      <family val="2"/>
    </font>
    <font>
      <sz val="13"/>
      <color rgb="FF0070C0"/>
      <name val="Times New Roman"/>
      <family val="1"/>
    </font>
    <font>
      <i/>
      <sz val="11"/>
      <color rgb="FF0000FF"/>
      <name val="Times New Roman"/>
      <family val="1"/>
    </font>
    <font>
      <sz val="13"/>
      <color theme="0"/>
      <name val="Times New Roman"/>
      <family val="1"/>
    </font>
  </fonts>
  <fills count="37">
    <fill>
      <patternFill patternType="none"/>
    </fill>
    <fill>
      <patternFill patternType="gray125"/>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3"/>
        <bgColor indexed="64"/>
      </patternFill>
    </fill>
    <fill>
      <patternFill patternType="solid">
        <fgColor indexed="9"/>
        <bgColor indexed="64"/>
      </patternFill>
    </fill>
    <fill>
      <patternFill patternType="solid">
        <fgColor indexed="65"/>
        <bgColor indexed="64"/>
      </patternFill>
    </fill>
    <fill>
      <patternFill patternType="solid">
        <fgColor indexed="15"/>
        <bgColor indexed="64"/>
      </patternFill>
    </fill>
    <fill>
      <patternFill patternType="solid">
        <fgColor indexed="43"/>
      </patternFill>
    </fill>
    <fill>
      <patternFill patternType="solid">
        <fgColor indexed="26"/>
      </patternFill>
    </fill>
    <fill>
      <patternFill patternType="solid">
        <fgColor theme="8" tint="0.39997558519241921"/>
        <bgColor indexed="64"/>
      </patternFill>
    </fill>
    <fill>
      <patternFill patternType="solid">
        <fgColor theme="8" tint="0.59999389629810485"/>
        <bgColor indexed="64"/>
      </patternFill>
    </fill>
    <fill>
      <patternFill patternType="solid">
        <fgColor theme="3" tint="0.59999389629810485"/>
        <bgColor indexed="64"/>
      </patternFill>
    </fill>
    <fill>
      <patternFill patternType="solid">
        <fgColor theme="0"/>
        <bgColor indexed="64"/>
      </patternFill>
    </fill>
    <fill>
      <patternFill patternType="solid">
        <fgColor theme="5" tint="0.79998168889431442"/>
        <bgColor indexed="64"/>
      </patternFill>
    </fill>
    <fill>
      <patternFill patternType="solid">
        <fgColor rgb="FFFFFF99"/>
        <bgColor indexed="64"/>
      </patternFill>
    </fill>
    <fill>
      <patternFill patternType="solid">
        <fgColor rgb="FFFFFF00"/>
        <bgColor indexed="64"/>
      </patternFill>
    </fill>
    <fill>
      <patternFill patternType="solid">
        <fgColor theme="2"/>
        <bgColor indexed="64"/>
      </patternFill>
    </fill>
  </fills>
  <borders count="12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style="double">
        <color indexed="64"/>
      </right>
      <top/>
      <bottom/>
      <diagonal/>
    </border>
    <border>
      <left style="thin">
        <color indexed="64"/>
      </left>
      <right style="thin">
        <color indexed="64"/>
      </right>
      <top/>
      <bottom/>
      <diagonal/>
    </border>
    <border>
      <left/>
      <right style="thin">
        <color indexed="64"/>
      </right>
      <top style="hair">
        <color indexed="64"/>
      </top>
      <bottom style="hair">
        <color indexed="64"/>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style="thin">
        <color indexed="64"/>
      </left>
      <right style="thin">
        <color indexed="64"/>
      </right>
      <top style="thin">
        <color indexed="64"/>
      </top>
      <bottom style="hair">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thin">
        <color auto="1"/>
      </left>
      <right style="thin">
        <color auto="1"/>
      </right>
      <top/>
      <bottom style="hair">
        <color auto="1"/>
      </bottom>
      <diagonal/>
    </border>
    <border>
      <left style="thin">
        <color auto="1"/>
      </left>
      <right style="thin">
        <color auto="1"/>
      </right>
      <top style="hair">
        <color auto="1"/>
      </top>
      <bottom/>
      <diagonal/>
    </border>
    <border>
      <left style="thin">
        <color auto="1"/>
      </left>
      <right style="thin">
        <color auto="1"/>
      </right>
      <top style="thin">
        <color auto="1"/>
      </top>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auto="1"/>
      </top>
      <bottom/>
      <diagonal/>
    </border>
    <border>
      <left style="thin">
        <color auto="1"/>
      </left>
      <right/>
      <top style="thin">
        <color auto="1"/>
      </top>
      <bottom style="hair">
        <color auto="1"/>
      </bottom>
      <diagonal/>
    </border>
    <border>
      <left style="thin">
        <color auto="1"/>
      </left>
      <right/>
      <top style="hair">
        <color auto="1"/>
      </top>
      <bottom style="hair">
        <color auto="1"/>
      </bottom>
      <diagonal/>
    </border>
    <border>
      <left style="thin">
        <color auto="1"/>
      </left>
      <right/>
      <top style="hair">
        <color auto="1"/>
      </top>
      <bottom/>
      <diagonal/>
    </border>
    <border>
      <left style="thin">
        <color auto="1"/>
      </left>
      <right/>
      <top/>
      <bottom style="hair">
        <color auto="1"/>
      </bottom>
      <diagonal/>
    </border>
    <border>
      <left style="thin">
        <color auto="1"/>
      </left>
      <right/>
      <top/>
      <bottom/>
      <diagonal/>
    </border>
    <border>
      <left/>
      <right style="thin">
        <color auto="1"/>
      </right>
      <top/>
      <bottom style="thin">
        <color auto="1"/>
      </bottom>
      <diagonal/>
    </border>
    <border>
      <left style="thin">
        <color indexed="8"/>
      </left>
      <right style="thin">
        <color indexed="8"/>
      </right>
      <top/>
      <bottom/>
      <diagonal/>
    </border>
    <border>
      <left style="thin">
        <color indexed="8"/>
      </left>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style="hair">
        <color indexed="64"/>
      </top>
      <bottom style="hair">
        <color indexed="64"/>
      </bottom>
      <diagonal/>
    </border>
    <border>
      <left style="thin">
        <color indexed="8"/>
      </left>
      <right/>
      <top/>
      <bottom/>
      <diagonal/>
    </border>
    <border>
      <left style="thin">
        <color indexed="64"/>
      </left>
      <right style="thin">
        <color indexed="64"/>
      </right>
      <top/>
      <bottom style="hair">
        <color indexed="64"/>
      </bottom>
      <diagonal/>
    </border>
    <border>
      <left style="thin">
        <color indexed="8"/>
      </left>
      <right style="thin">
        <color indexed="8"/>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auto="1"/>
      </right>
      <top style="hair">
        <color auto="1"/>
      </top>
      <bottom style="hair">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hair">
        <color auto="1"/>
      </bottom>
      <diagonal/>
    </border>
    <border>
      <left style="thin">
        <color auto="1"/>
      </left>
      <right style="thin">
        <color auto="1"/>
      </right>
      <top style="hair">
        <color auto="1"/>
      </top>
      <bottom style="hair">
        <color auto="1"/>
      </bottom>
      <diagonal/>
    </border>
    <border>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auto="1"/>
      </left>
      <right style="thin">
        <color auto="1"/>
      </right>
      <top style="thin">
        <color auto="1"/>
      </top>
      <bottom style="hair">
        <color auto="1"/>
      </bottom>
      <diagonal/>
    </border>
    <border>
      <left/>
      <right style="thin">
        <color indexed="64"/>
      </right>
      <top style="hair">
        <color indexed="64"/>
      </top>
      <bottom style="hair">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auto="1"/>
      </right>
      <top style="hair">
        <color auto="1"/>
      </top>
      <bottom style="hair">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auto="1"/>
      </right>
      <top style="hair">
        <color auto="1"/>
      </top>
      <bottom style="hair">
        <color auto="1"/>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auto="1"/>
      </right>
      <top style="hair">
        <color auto="1"/>
      </top>
      <bottom style="hair">
        <color auto="1"/>
      </bottom>
      <diagonal/>
    </border>
    <border>
      <left style="thin">
        <color indexed="8"/>
      </left>
      <right style="thin">
        <color indexed="8"/>
      </right>
      <top/>
      <bottom style="hair">
        <color indexed="8"/>
      </bottom>
      <diagonal/>
    </border>
    <border>
      <left style="thin">
        <color indexed="8"/>
      </left>
      <right/>
      <top/>
      <bottom style="hair">
        <color indexed="8"/>
      </bottom>
      <diagonal/>
    </border>
    <border>
      <left style="thin">
        <color auto="1"/>
      </left>
      <right style="thin">
        <color auto="1"/>
      </right>
      <top/>
      <bottom/>
      <diagonal/>
    </border>
    <border>
      <left style="thin">
        <color indexed="8"/>
      </left>
      <right style="thin">
        <color indexed="64"/>
      </right>
      <top/>
      <bottom style="hair">
        <color indexed="8"/>
      </bottom>
      <diagonal/>
    </border>
    <border>
      <left style="thin">
        <color indexed="8"/>
      </left>
      <right style="thin">
        <color indexed="64"/>
      </right>
      <top/>
      <bottom/>
      <diagonal/>
    </border>
    <border>
      <left style="thin">
        <color indexed="64"/>
      </left>
      <right style="thin">
        <color indexed="64"/>
      </right>
      <top style="hair">
        <color indexed="64"/>
      </top>
      <bottom/>
      <diagonal/>
    </border>
    <border>
      <left style="thin">
        <color indexed="8"/>
      </left>
      <right style="thin">
        <color indexed="8"/>
      </right>
      <top style="hair">
        <color indexed="8"/>
      </top>
      <bottom style="hair">
        <color indexed="8"/>
      </bottom>
      <diagonal/>
    </border>
    <border>
      <left style="thin">
        <color indexed="8"/>
      </left>
      <right style="thin">
        <color indexed="8"/>
      </right>
      <top style="hair">
        <color indexed="8"/>
      </top>
      <bottom/>
      <diagonal/>
    </border>
    <border>
      <left style="thin">
        <color indexed="8"/>
      </left>
      <right style="thin">
        <color indexed="64"/>
      </right>
      <top style="hair">
        <color indexed="8"/>
      </top>
      <bottom/>
      <diagonal/>
    </border>
    <border>
      <left style="thin">
        <color indexed="8"/>
      </left>
      <right/>
      <top style="hair">
        <color indexed="8"/>
      </top>
      <bottom style="hair">
        <color indexed="8"/>
      </bottom>
      <diagonal/>
    </border>
    <border>
      <left style="thin">
        <color auto="1"/>
      </left>
      <right style="thin">
        <color auto="1"/>
      </right>
      <top style="hair">
        <color auto="1"/>
      </top>
      <bottom style="hair">
        <color auto="1"/>
      </bottom>
      <diagonal/>
    </border>
    <border>
      <left style="thin">
        <color indexed="8"/>
      </left>
      <right/>
      <top style="hair">
        <color indexed="8"/>
      </top>
      <bottom/>
      <diagonal/>
    </border>
    <border>
      <left/>
      <right style="thin">
        <color auto="1"/>
      </right>
      <top style="hair">
        <color auto="1"/>
      </top>
      <bottom style="hair">
        <color auto="1"/>
      </bottom>
      <diagonal/>
    </border>
    <border>
      <left/>
      <right/>
      <top/>
      <bottom style="double">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style="thin">
        <color auto="1"/>
      </right>
      <top style="thin">
        <color auto="1"/>
      </top>
      <bottom style="hair">
        <color auto="1"/>
      </bottom>
      <diagonal/>
    </border>
    <border>
      <left/>
      <right style="thin">
        <color auto="1"/>
      </right>
      <top style="hair">
        <color auto="1"/>
      </top>
      <bottom style="thin">
        <color auto="1"/>
      </bottom>
      <diagonal/>
    </border>
    <border>
      <left style="thin">
        <color auto="1"/>
      </left>
      <right style="double">
        <color auto="1"/>
      </right>
      <top style="thin">
        <color auto="1"/>
      </top>
      <bottom style="thin">
        <color auto="1"/>
      </bottom>
      <diagonal/>
    </border>
    <border>
      <left style="double">
        <color auto="1"/>
      </left>
      <right style="thin">
        <color auto="1"/>
      </right>
      <top style="thin">
        <color auto="1"/>
      </top>
      <bottom style="thin">
        <color auto="1"/>
      </bottom>
      <diagonal/>
    </border>
    <border>
      <left style="double">
        <color auto="1"/>
      </left>
      <right style="thin">
        <color auto="1"/>
      </right>
      <top style="thin">
        <color auto="1"/>
      </top>
      <bottom style="double">
        <color auto="1"/>
      </bottom>
      <diagonal/>
    </border>
    <border>
      <left style="thin">
        <color auto="1"/>
      </left>
      <right style="thin">
        <color auto="1"/>
      </right>
      <top style="thin">
        <color auto="1"/>
      </top>
      <bottom style="double">
        <color auto="1"/>
      </bottom>
      <diagonal/>
    </border>
    <border>
      <left style="thin">
        <color auto="1"/>
      </left>
      <right style="double">
        <color auto="1"/>
      </right>
      <top style="thin">
        <color auto="1"/>
      </top>
      <bottom style="double">
        <color auto="1"/>
      </bottom>
      <diagonal/>
    </border>
    <border>
      <left style="thin">
        <color auto="1"/>
      </left>
      <right style="thin">
        <color auto="1"/>
      </right>
      <top/>
      <bottom style="hair">
        <color auto="1"/>
      </bottom>
      <diagonal/>
    </border>
    <border>
      <left/>
      <right style="thin">
        <color auto="1"/>
      </right>
      <top/>
      <bottom style="hair">
        <color auto="1"/>
      </bottom>
      <diagonal/>
    </border>
    <border>
      <left/>
      <right style="thin">
        <color auto="1"/>
      </right>
      <top style="hair">
        <color auto="1"/>
      </top>
      <bottom/>
      <diagonal/>
    </border>
    <border>
      <left/>
      <right style="thin">
        <color auto="1"/>
      </right>
      <top/>
      <bottom/>
      <diagonal/>
    </border>
    <border>
      <left style="thin">
        <color indexed="64"/>
      </left>
      <right style="thin">
        <color indexed="64"/>
      </right>
      <top style="double">
        <color indexed="64"/>
      </top>
      <bottom/>
      <diagonal/>
    </border>
    <border>
      <left style="thin">
        <color indexed="64"/>
      </left>
      <right style="thin">
        <color indexed="64"/>
      </right>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style="hair">
        <color indexed="64"/>
      </top>
      <bottom style="hair">
        <color indexed="8"/>
      </bottom>
      <diagonal/>
    </border>
    <border>
      <left style="thin">
        <color indexed="8"/>
      </left>
      <right style="thin">
        <color indexed="8"/>
      </right>
      <top style="hair">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8"/>
      </right>
      <top style="hair">
        <color indexed="64"/>
      </top>
      <bottom/>
      <diagonal/>
    </border>
    <border>
      <left style="thin">
        <color indexed="64"/>
      </left>
      <right style="thin">
        <color indexed="8"/>
      </right>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style="thin">
        <color indexed="8"/>
      </left>
      <right style="thin">
        <color indexed="8"/>
      </right>
      <top style="thin">
        <color indexed="8"/>
      </top>
      <bottom/>
      <diagonal/>
    </border>
    <border>
      <left style="thin">
        <color indexed="8"/>
      </left>
      <right style="thin">
        <color indexed="64"/>
      </right>
      <top style="thin">
        <color indexed="64"/>
      </top>
      <bottom/>
      <diagonal/>
    </border>
    <border>
      <left style="thin">
        <color indexed="64"/>
      </left>
      <right style="thin">
        <color indexed="8"/>
      </right>
      <top style="thin">
        <color indexed="64"/>
      </top>
      <bottom/>
      <diagonal/>
    </border>
    <border>
      <left style="thin">
        <color indexed="64"/>
      </left>
      <right style="thin">
        <color indexed="8"/>
      </right>
      <top/>
      <bottom/>
      <diagonal/>
    </border>
    <border>
      <left style="thin">
        <color indexed="8"/>
      </left>
      <right style="thin">
        <color indexed="64"/>
      </right>
      <top/>
      <bottom style="thin">
        <color indexed="8"/>
      </bottom>
      <diagonal/>
    </border>
    <border>
      <left style="thin">
        <color indexed="64"/>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hair">
        <color indexed="8"/>
      </bottom>
      <diagonal/>
    </border>
    <border>
      <left style="thin">
        <color indexed="8"/>
      </left>
      <right style="thin">
        <color indexed="8"/>
      </right>
      <top style="hair">
        <color indexed="8"/>
      </top>
      <bottom style="thin">
        <color auto="1"/>
      </bottom>
      <diagonal/>
    </border>
  </borders>
  <cellStyleXfs count="12216">
    <xf numFmtId="0" fontId="0" fillId="0" borderId="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166" fontId="11" fillId="0" borderId="0" applyFont="0" applyFill="0" applyBorder="0" applyAlignment="0" applyProtection="0"/>
    <xf numFmtId="0" fontId="12" fillId="0" borderId="0" applyFont="0" applyFill="0" applyBorder="0" applyAlignment="0" applyProtection="0"/>
    <xf numFmtId="167" fontId="11"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11"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8" fontId="11"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8"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11"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0" fontId="11"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169" fontId="13" fillId="0" borderId="0" applyFont="0" applyFill="0" applyBorder="0" applyAlignment="0" applyProtection="0"/>
    <xf numFmtId="170" fontId="14" fillId="0" borderId="0" applyFont="0" applyFill="0" applyBorder="0" applyAlignment="0" applyProtection="0"/>
    <xf numFmtId="171" fontId="15" fillId="0" borderId="0" applyFont="0" applyFill="0" applyBorder="0" applyAlignment="0" applyProtection="0"/>
    <xf numFmtId="172" fontId="15" fillId="0" borderId="0" applyFont="0" applyFill="0" applyBorder="0" applyAlignment="0" applyProtection="0"/>
    <xf numFmtId="173" fontId="16" fillId="0" borderId="0" applyFont="0" applyFill="0" applyBorder="0" applyAlignment="0" applyProtection="0"/>
    <xf numFmtId="0" fontId="12"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7" fillId="0" borderId="0"/>
    <xf numFmtId="0" fontId="11"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11"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11" fillId="0" borderId="0" applyNumberFormat="0" applyFill="0" applyBorder="0" applyAlignment="0" applyProtection="0"/>
    <xf numFmtId="0" fontId="9" fillId="0" borderId="0"/>
    <xf numFmtId="0" fontId="11" fillId="0" borderId="0"/>
    <xf numFmtId="0" fontId="11" fillId="0" borderId="0"/>
    <xf numFmtId="0" fontId="18" fillId="2" borderId="0"/>
    <xf numFmtId="9" fontId="19" fillId="0" borderId="0" applyFont="0" applyFill="0" applyBorder="0" applyAlignment="0" applyProtection="0"/>
    <xf numFmtId="0" fontId="20" fillId="2"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2" fillId="2" borderId="0"/>
    <xf numFmtId="0" fontId="23" fillId="0" borderId="0">
      <alignment wrapText="1"/>
    </xf>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4" fillId="0" borderId="0"/>
    <xf numFmtId="0" fontId="24" fillId="0" borderId="0"/>
    <xf numFmtId="0" fontId="24" fillId="0" borderId="0"/>
    <xf numFmtId="0" fontId="24" fillId="0" borderId="0"/>
    <xf numFmtId="0" fontId="25" fillId="1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25" fillId="19"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20" borderId="0" applyNumberFormat="0" applyBorder="0" applyAlignment="0" applyProtection="0"/>
    <xf numFmtId="174" fontId="26" fillId="0" borderId="0" applyFont="0" applyFill="0" applyBorder="0" applyAlignment="0" applyProtection="0"/>
    <xf numFmtId="0" fontId="27" fillId="0" borderId="0" applyFont="0" applyFill="0" applyBorder="0" applyAlignment="0" applyProtection="0"/>
    <xf numFmtId="165" fontId="10" fillId="0" borderId="0" applyFont="0" applyFill="0" applyBorder="0" applyAlignment="0" applyProtection="0"/>
    <xf numFmtId="175" fontId="26" fillId="0" borderId="0" applyFont="0" applyFill="0" applyBorder="0" applyAlignment="0" applyProtection="0"/>
    <xf numFmtId="0" fontId="27" fillId="0" borderId="0" applyFont="0" applyFill="0" applyBorder="0" applyAlignment="0" applyProtection="0"/>
    <xf numFmtId="176" fontId="10" fillId="0" borderId="0" applyFont="0" applyFill="0" applyBorder="0" applyAlignment="0" applyProtection="0"/>
    <xf numFmtId="0" fontId="28" fillId="0" borderId="0">
      <alignment horizontal="center" wrapText="1"/>
      <protection locked="0"/>
    </xf>
    <xf numFmtId="0" fontId="28" fillId="0" borderId="0">
      <alignment horizontal="center" wrapText="1"/>
      <protection locked="0"/>
    </xf>
    <xf numFmtId="0" fontId="28" fillId="0" borderId="0">
      <alignment horizontal="center" wrapText="1"/>
      <protection locked="0"/>
    </xf>
    <xf numFmtId="0" fontId="28" fillId="0" borderId="0">
      <alignment horizontal="center" wrapText="1"/>
      <protection locked="0"/>
    </xf>
    <xf numFmtId="0" fontId="28" fillId="0" borderId="0">
      <alignment horizontal="center" wrapText="1"/>
      <protection locked="0"/>
    </xf>
    <xf numFmtId="0" fontId="28" fillId="0" borderId="0">
      <alignment horizontal="center" wrapText="1"/>
      <protection locked="0"/>
    </xf>
    <xf numFmtId="0" fontId="28" fillId="0" borderId="0">
      <alignment horizontal="center" wrapText="1"/>
      <protection locked="0"/>
    </xf>
    <xf numFmtId="0" fontId="28" fillId="0" borderId="0">
      <alignment horizontal="center" wrapText="1"/>
      <protection locked="0"/>
    </xf>
    <xf numFmtId="0" fontId="28" fillId="0" borderId="0">
      <alignment horizontal="center" wrapText="1"/>
      <protection locked="0"/>
    </xf>
    <xf numFmtId="0" fontId="28" fillId="0" borderId="0">
      <alignment horizontal="center" wrapText="1"/>
      <protection locked="0"/>
    </xf>
    <xf numFmtId="0" fontId="28" fillId="0" borderId="0">
      <alignment horizontal="center" wrapText="1"/>
      <protection locked="0"/>
    </xf>
    <xf numFmtId="0" fontId="29" fillId="0" borderId="0">
      <alignment horizontal="center" wrapText="1"/>
      <protection locked="0"/>
    </xf>
    <xf numFmtId="0" fontId="28" fillId="0" borderId="0">
      <alignment horizontal="center" wrapText="1"/>
      <protection locked="0"/>
    </xf>
    <xf numFmtId="0" fontId="28" fillId="0" borderId="0">
      <alignment horizontal="center" wrapText="1"/>
      <protection locked="0"/>
    </xf>
    <xf numFmtId="0" fontId="28" fillId="0" borderId="0">
      <alignment horizontal="center" wrapText="1"/>
      <protection locked="0"/>
    </xf>
    <xf numFmtId="0" fontId="28" fillId="0" borderId="0">
      <alignment horizontal="center" wrapText="1"/>
      <protection locked="0"/>
    </xf>
    <xf numFmtId="0" fontId="28" fillId="0" borderId="0">
      <alignment horizontal="center" wrapText="1"/>
      <protection locked="0"/>
    </xf>
    <xf numFmtId="0" fontId="28" fillId="0" borderId="0">
      <alignment horizontal="center" wrapText="1"/>
      <protection locked="0"/>
    </xf>
    <xf numFmtId="0" fontId="29" fillId="0" borderId="0">
      <alignment horizontal="center" wrapText="1"/>
      <protection locked="0"/>
    </xf>
    <xf numFmtId="0" fontId="28" fillId="0" borderId="0">
      <alignment horizontal="center" wrapText="1"/>
      <protection locked="0"/>
    </xf>
    <xf numFmtId="0" fontId="28" fillId="0" borderId="0">
      <alignment horizontal="center" wrapText="1"/>
      <protection locked="0"/>
    </xf>
    <xf numFmtId="0" fontId="28" fillId="0" borderId="0">
      <alignment horizontal="center" wrapText="1"/>
      <protection locked="0"/>
    </xf>
    <xf numFmtId="0" fontId="28" fillId="0" borderId="0">
      <alignment horizontal="center" wrapText="1"/>
      <protection locked="0"/>
    </xf>
    <xf numFmtId="0" fontId="28" fillId="0" borderId="0">
      <alignment horizontal="center" wrapText="1"/>
      <protection locked="0"/>
    </xf>
    <xf numFmtId="0" fontId="28" fillId="0" borderId="0">
      <alignment horizontal="center" wrapText="1"/>
      <protection locked="0"/>
    </xf>
    <xf numFmtId="0" fontId="28" fillId="0" borderId="0">
      <alignment horizontal="center" wrapText="1"/>
      <protection locked="0"/>
    </xf>
    <xf numFmtId="0" fontId="29" fillId="0" borderId="0">
      <alignment horizontal="center" wrapText="1"/>
      <protection locked="0"/>
    </xf>
    <xf numFmtId="177" fontId="26" fillId="0" borderId="0" applyFont="0" applyFill="0" applyBorder="0" applyAlignment="0" applyProtection="0"/>
    <xf numFmtId="0" fontId="27" fillId="0" borderId="0" applyFont="0" applyFill="0" applyBorder="0" applyAlignment="0" applyProtection="0"/>
    <xf numFmtId="177" fontId="19" fillId="0" borderId="0" applyFont="0" applyFill="0" applyBorder="0" applyAlignment="0" applyProtection="0"/>
    <xf numFmtId="178" fontId="26" fillId="0" borderId="0" applyFont="0" applyFill="0" applyBorder="0" applyAlignment="0" applyProtection="0"/>
    <xf numFmtId="0" fontId="27" fillId="0" borderId="0" applyFont="0" applyFill="0" applyBorder="0" applyAlignment="0" applyProtection="0"/>
    <xf numFmtId="178" fontId="19" fillId="0" borderId="0" applyFont="0" applyFill="0" applyBorder="0" applyAlignment="0" applyProtection="0"/>
    <xf numFmtId="0" fontId="30" fillId="4" borderId="0" applyNumberFormat="0" applyBorder="0" applyAlignment="0" applyProtection="0"/>
    <xf numFmtId="0" fontId="31" fillId="0" borderId="0"/>
    <xf numFmtId="0" fontId="32" fillId="0" borderId="0" applyNumberFormat="0" applyFill="0" applyBorder="0" applyAlignment="0" applyProtection="0"/>
    <xf numFmtId="0" fontId="27" fillId="0" borderId="0"/>
    <xf numFmtId="0" fontId="33" fillId="0" borderId="0"/>
    <xf numFmtId="0" fontId="27" fillId="0" borderId="0"/>
    <xf numFmtId="0" fontId="34" fillId="0" borderId="0"/>
    <xf numFmtId="179" fontId="35" fillId="0" borderId="0" applyFill="0" applyBorder="0" applyAlignment="0"/>
    <xf numFmtId="179" fontId="35" fillId="0" borderId="0" applyFill="0" applyBorder="0" applyAlignment="0"/>
    <xf numFmtId="179" fontId="35" fillId="0" borderId="0" applyFill="0" applyBorder="0" applyAlignment="0"/>
    <xf numFmtId="179" fontId="35" fillId="0" borderId="0" applyFill="0" applyBorder="0" applyAlignment="0"/>
    <xf numFmtId="179" fontId="35" fillId="0" borderId="0" applyFill="0" applyBorder="0" applyAlignment="0"/>
    <xf numFmtId="179" fontId="35" fillId="0" borderId="0" applyFill="0" applyBorder="0" applyAlignment="0"/>
    <xf numFmtId="179" fontId="35" fillId="0" borderId="0" applyFill="0" applyBorder="0" applyAlignment="0"/>
    <xf numFmtId="179" fontId="35" fillId="0" borderId="0" applyFill="0" applyBorder="0" applyAlignment="0"/>
    <xf numFmtId="179" fontId="35" fillId="0" borderId="0" applyFill="0" applyBorder="0" applyAlignment="0"/>
    <xf numFmtId="179" fontId="35" fillId="0" borderId="0" applyFill="0" applyBorder="0" applyAlignment="0"/>
    <xf numFmtId="179" fontId="35" fillId="0" borderId="0" applyFill="0" applyBorder="0" applyAlignment="0"/>
    <xf numFmtId="179" fontId="36" fillId="0" borderId="0" applyFill="0" applyBorder="0" applyAlignment="0"/>
    <xf numFmtId="179" fontId="35" fillId="0" borderId="0" applyFill="0" applyBorder="0" applyAlignment="0"/>
    <xf numFmtId="179" fontId="35" fillId="0" borderId="0" applyFill="0" applyBorder="0" applyAlignment="0"/>
    <xf numFmtId="179" fontId="35" fillId="0" borderId="0" applyFill="0" applyBorder="0" applyAlignment="0"/>
    <xf numFmtId="179" fontId="35" fillId="0" borderId="0" applyFill="0" applyBorder="0" applyAlignment="0"/>
    <xf numFmtId="179" fontId="35" fillId="0" borderId="0" applyFill="0" applyBorder="0" applyAlignment="0"/>
    <xf numFmtId="179" fontId="35" fillId="0" borderId="0" applyFill="0" applyBorder="0" applyAlignment="0"/>
    <xf numFmtId="179" fontId="36" fillId="0" borderId="0" applyFill="0" applyBorder="0" applyAlignment="0"/>
    <xf numFmtId="179" fontId="35" fillId="0" borderId="0" applyFill="0" applyBorder="0" applyAlignment="0"/>
    <xf numFmtId="179" fontId="35" fillId="0" borderId="0" applyFill="0" applyBorder="0" applyAlignment="0"/>
    <xf numFmtId="179" fontId="35" fillId="0" borderId="0" applyFill="0" applyBorder="0" applyAlignment="0"/>
    <xf numFmtId="179" fontId="35" fillId="0" borderId="0" applyFill="0" applyBorder="0" applyAlignment="0"/>
    <xf numFmtId="179" fontId="35" fillId="0" borderId="0" applyFill="0" applyBorder="0" applyAlignment="0"/>
    <xf numFmtId="179" fontId="35" fillId="0" borderId="0" applyFill="0" applyBorder="0" applyAlignment="0"/>
    <xf numFmtId="179" fontId="35" fillId="0" borderId="0" applyFill="0" applyBorder="0" applyAlignment="0"/>
    <xf numFmtId="179" fontId="36" fillId="0" borderId="0" applyFill="0" applyBorder="0" applyAlignment="0"/>
    <xf numFmtId="0" fontId="37" fillId="21" borderId="1" applyNumberFormat="0" applyAlignment="0" applyProtection="0"/>
    <xf numFmtId="0" fontId="38" fillId="0" borderId="0"/>
    <xf numFmtId="0" fontId="78" fillId="0" borderId="0"/>
    <xf numFmtId="0" fontId="78" fillId="0" borderId="0"/>
    <xf numFmtId="0" fontId="39" fillId="22" borderId="2" applyNumberFormat="0" applyAlignment="0" applyProtection="0"/>
    <xf numFmtId="180" fontId="40" fillId="0" borderId="0"/>
    <xf numFmtId="180" fontId="40" fillId="0" borderId="0"/>
    <xf numFmtId="180" fontId="40" fillId="0" borderId="0"/>
    <xf numFmtId="180" fontId="40" fillId="0" borderId="0"/>
    <xf numFmtId="180" fontId="40" fillId="0" borderId="0"/>
    <xf numFmtId="180" fontId="40" fillId="0" borderId="0"/>
    <xf numFmtId="180" fontId="40" fillId="0" borderId="0"/>
    <xf numFmtId="180" fontId="40" fillId="0" borderId="0"/>
    <xf numFmtId="43" fontId="1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1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5"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3" fontId="11"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11"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0" fontId="41" fillId="0" borderId="0">
      <alignment horizontal="center"/>
    </xf>
    <xf numFmtId="0" fontId="42" fillId="0" borderId="0" applyNumberFormat="0" applyAlignment="0">
      <alignment horizontal="left"/>
    </xf>
    <xf numFmtId="0" fontId="43" fillId="0" borderId="0" applyNumberFormat="0" applyAlignment="0">
      <alignment horizontal="left"/>
    </xf>
    <xf numFmtId="0" fontId="42" fillId="0" borderId="0" applyNumberFormat="0" applyAlignment="0">
      <alignment horizontal="left"/>
    </xf>
    <xf numFmtId="0" fontId="42" fillId="0" borderId="0" applyNumberFormat="0" applyAlignment="0">
      <alignment horizontal="left"/>
    </xf>
    <xf numFmtId="0" fontId="42" fillId="0" borderId="0" applyNumberFormat="0" applyAlignment="0">
      <alignment horizontal="left"/>
    </xf>
    <xf numFmtId="0" fontId="42" fillId="0" borderId="0" applyNumberFormat="0" applyAlignment="0">
      <alignment horizontal="left"/>
    </xf>
    <xf numFmtId="0" fontId="42" fillId="0" borderId="0" applyNumberFormat="0" applyAlignment="0">
      <alignment horizontal="left"/>
    </xf>
    <xf numFmtId="0" fontId="42" fillId="0" borderId="0" applyNumberFormat="0" applyAlignment="0">
      <alignment horizontal="left"/>
    </xf>
    <xf numFmtId="0" fontId="42" fillId="0" borderId="0" applyNumberFormat="0" applyAlignment="0">
      <alignment horizontal="left"/>
    </xf>
    <xf numFmtId="0" fontId="42" fillId="0" borderId="0" applyNumberFormat="0" applyAlignment="0">
      <alignment horizontal="left"/>
    </xf>
    <xf numFmtId="0" fontId="42" fillId="0" borderId="0" applyNumberFormat="0" applyAlignment="0">
      <alignment horizontal="left"/>
    </xf>
    <xf numFmtId="0" fontId="42" fillId="0" borderId="0" applyNumberFormat="0" applyAlignment="0">
      <alignment horizontal="left"/>
    </xf>
    <xf numFmtId="0" fontId="42" fillId="0" borderId="0" applyNumberFormat="0" applyAlignment="0">
      <alignment horizontal="left"/>
    </xf>
    <xf numFmtId="0" fontId="42" fillId="0" borderId="0" applyNumberFormat="0" applyAlignment="0">
      <alignment horizontal="left"/>
    </xf>
    <xf numFmtId="0" fontId="42" fillId="0" borderId="0" applyNumberFormat="0" applyAlignment="0">
      <alignment horizontal="left"/>
    </xf>
    <xf numFmtId="0" fontId="42" fillId="0" borderId="0" applyNumberFormat="0" applyAlignment="0">
      <alignment horizontal="left"/>
    </xf>
    <xf numFmtId="0" fontId="42" fillId="0" borderId="0" applyNumberFormat="0" applyAlignment="0">
      <alignment horizontal="left"/>
    </xf>
    <xf numFmtId="0" fontId="42" fillId="0" borderId="0" applyNumberFormat="0" applyAlignment="0">
      <alignment horizontal="left"/>
    </xf>
    <xf numFmtId="0" fontId="42" fillId="0" borderId="0" applyNumberFormat="0" applyAlignment="0">
      <alignment horizontal="left"/>
    </xf>
    <xf numFmtId="0" fontId="42" fillId="0" borderId="0" applyNumberFormat="0" applyAlignment="0">
      <alignment horizontal="left"/>
    </xf>
    <xf numFmtId="0" fontId="42" fillId="0" borderId="0" applyNumberFormat="0" applyAlignment="0">
      <alignment horizontal="left"/>
    </xf>
    <xf numFmtId="0" fontId="42" fillId="0" borderId="0" applyNumberFormat="0" applyAlignment="0">
      <alignment horizontal="left"/>
    </xf>
    <xf numFmtId="0" fontId="42" fillId="0" borderId="0" applyNumberFormat="0" applyAlignment="0">
      <alignment horizontal="left"/>
    </xf>
    <xf numFmtId="0" fontId="43" fillId="0" borderId="0" applyNumberFormat="0" applyAlignment="0">
      <alignment horizontal="left"/>
    </xf>
    <xf numFmtId="0" fontId="42" fillId="0" borderId="0" applyNumberFormat="0" applyAlignment="0">
      <alignment horizontal="left"/>
    </xf>
    <xf numFmtId="0" fontId="42" fillId="0" borderId="0" applyNumberFormat="0" applyAlignment="0">
      <alignment horizontal="left"/>
    </xf>
    <xf numFmtId="0" fontId="42" fillId="0" borderId="0" applyNumberFormat="0" applyAlignment="0">
      <alignment horizontal="left"/>
    </xf>
    <xf numFmtId="0" fontId="42" fillId="0" borderId="0" applyNumberFormat="0" applyAlignment="0">
      <alignment horizontal="left"/>
    </xf>
    <xf numFmtId="0" fontId="42" fillId="0" borderId="0" applyNumberFormat="0" applyAlignment="0">
      <alignment horizontal="left"/>
    </xf>
    <xf numFmtId="0" fontId="42" fillId="0" borderId="0" applyNumberFormat="0" applyAlignment="0">
      <alignment horizontal="left"/>
    </xf>
    <xf numFmtId="0" fontId="42" fillId="0" borderId="0" applyNumberFormat="0" applyAlignment="0">
      <alignment horizontal="left"/>
    </xf>
    <xf numFmtId="0" fontId="42" fillId="0" borderId="0" applyNumberFormat="0" applyAlignment="0">
      <alignment horizontal="left"/>
    </xf>
    <xf numFmtId="0" fontId="42" fillId="0" borderId="0" applyNumberFormat="0" applyAlignment="0">
      <alignment horizontal="left"/>
    </xf>
    <xf numFmtId="0" fontId="42" fillId="0" borderId="0" applyNumberFormat="0" applyAlignment="0">
      <alignment horizontal="left"/>
    </xf>
    <xf numFmtId="0" fontId="42" fillId="0" borderId="0" applyNumberFormat="0" applyAlignment="0">
      <alignment horizontal="left"/>
    </xf>
    <xf numFmtId="0" fontId="42" fillId="0" borderId="0" applyNumberFormat="0" applyAlignment="0">
      <alignment horizontal="left"/>
    </xf>
    <xf numFmtId="0" fontId="42" fillId="0" borderId="0" applyNumberFormat="0" applyAlignment="0">
      <alignment horizontal="left"/>
    </xf>
    <xf numFmtId="0" fontId="42" fillId="0" borderId="0" applyNumberFormat="0" applyAlignment="0">
      <alignment horizontal="left"/>
    </xf>
    <xf numFmtId="0" fontId="42" fillId="0" borderId="0" applyNumberFormat="0" applyAlignment="0">
      <alignment horizontal="left"/>
    </xf>
    <xf numFmtId="0" fontId="42" fillId="0" borderId="0" applyNumberFormat="0" applyAlignment="0">
      <alignment horizontal="left"/>
    </xf>
    <xf numFmtId="0" fontId="42" fillId="0" borderId="0" applyNumberFormat="0" applyAlignment="0">
      <alignment horizontal="left"/>
    </xf>
    <xf numFmtId="0" fontId="42" fillId="0" borderId="0" applyNumberFormat="0" applyAlignment="0">
      <alignment horizontal="left"/>
    </xf>
    <xf numFmtId="0" fontId="42" fillId="0" borderId="0" applyNumberFormat="0" applyAlignment="0">
      <alignment horizontal="left"/>
    </xf>
    <xf numFmtId="0" fontId="42" fillId="0" borderId="0" applyNumberFormat="0" applyAlignment="0">
      <alignment horizontal="left"/>
    </xf>
    <xf numFmtId="0" fontId="42" fillId="0" borderId="0" applyNumberFormat="0" applyAlignment="0">
      <alignment horizontal="left"/>
    </xf>
    <xf numFmtId="0" fontId="42" fillId="0" borderId="0" applyNumberFormat="0" applyAlignment="0">
      <alignment horizontal="left"/>
    </xf>
    <xf numFmtId="0" fontId="42" fillId="0" borderId="0" applyNumberFormat="0" applyAlignment="0">
      <alignment horizontal="left"/>
    </xf>
    <xf numFmtId="0" fontId="42" fillId="0" borderId="0" applyNumberFormat="0" applyAlignment="0">
      <alignment horizontal="left"/>
    </xf>
    <xf numFmtId="0" fontId="42" fillId="0" borderId="0" applyNumberFormat="0" applyAlignment="0">
      <alignment horizontal="left"/>
    </xf>
    <xf numFmtId="0" fontId="42" fillId="0" borderId="0" applyNumberFormat="0" applyAlignment="0">
      <alignment horizontal="left"/>
    </xf>
    <xf numFmtId="0" fontId="42" fillId="0" borderId="0" applyNumberFormat="0" applyAlignment="0">
      <alignment horizontal="left"/>
    </xf>
    <xf numFmtId="0" fontId="42" fillId="0" borderId="0" applyNumberFormat="0" applyAlignment="0">
      <alignment horizontal="left"/>
    </xf>
    <xf numFmtId="0" fontId="42" fillId="0" borderId="0" applyNumberFormat="0" applyAlignment="0">
      <alignment horizontal="left"/>
    </xf>
    <xf numFmtId="0" fontId="42" fillId="0" borderId="0" applyNumberFormat="0" applyAlignment="0">
      <alignment horizontal="left"/>
    </xf>
    <xf numFmtId="0" fontId="42" fillId="0" borderId="0" applyNumberFormat="0" applyAlignment="0">
      <alignment horizontal="left"/>
    </xf>
    <xf numFmtId="0" fontId="42" fillId="0" borderId="0" applyNumberFormat="0" applyAlignment="0">
      <alignment horizontal="left"/>
    </xf>
    <xf numFmtId="0" fontId="42" fillId="0" borderId="0" applyNumberFormat="0" applyAlignment="0">
      <alignment horizontal="left"/>
    </xf>
    <xf numFmtId="0" fontId="42" fillId="0" borderId="0" applyNumberFormat="0" applyAlignment="0">
      <alignment horizontal="left"/>
    </xf>
    <xf numFmtId="0" fontId="42" fillId="0" borderId="0" applyNumberFormat="0" applyAlignment="0">
      <alignment horizontal="left"/>
    </xf>
    <xf numFmtId="0" fontId="42" fillId="0" borderId="0" applyNumberFormat="0" applyAlignment="0">
      <alignment horizontal="left"/>
    </xf>
    <xf numFmtId="0" fontId="42" fillId="0" borderId="0" applyNumberFormat="0" applyAlignment="0">
      <alignment horizontal="left"/>
    </xf>
    <xf numFmtId="0" fontId="42" fillId="0" borderId="0" applyNumberFormat="0" applyAlignment="0">
      <alignment horizontal="left"/>
    </xf>
    <xf numFmtId="0" fontId="42" fillId="0" borderId="0" applyNumberFormat="0" applyAlignment="0">
      <alignment horizontal="left"/>
    </xf>
    <xf numFmtId="0" fontId="42" fillId="0" borderId="0" applyNumberFormat="0" applyAlignment="0">
      <alignment horizontal="left"/>
    </xf>
    <xf numFmtId="0" fontId="42" fillId="0" borderId="0" applyNumberFormat="0" applyAlignment="0">
      <alignment horizontal="left"/>
    </xf>
    <xf numFmtId="0" fontId="42" fillId="0" borderId="0" applyNumberFormat="0" applyAlignment="0">
      <alignment horizontal="left"/>
    </xf>
    <xf numFmtId="0" fontId="43" fillId="0" borderId="0" applyNumberFormat="0" applyAlignment="0">
      <alignment horizontal="left"/>
    </xf>
    <xf numFmtId="181" fontId="44" fillId="0" borderId="0" applyFont="0" applyFill="0" applyBorder="0" applyAlignment="0" applyProtection="0"/>
    <xf numFmtId="164" fontId="10" fillId="0" borderId="3"/>
    <xf numFmtId="0" fontId="11"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11"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 fontId="45" fillId="0" borderId="4">
      <alignment horizontal="left" vertical="top" wrapText="1"/>
    </xf>
    <xf numFmtId="182" fontId="35" fillId="0" borderId="0" applyFont="0" applyFill="0" applyBorder="0" applyAlignment="0" applyProtection="0"/>
    <xf numFmtId="183" fontId="35" fillId="0" borderId="0" applyFont="0" applyFill="0" applyBorder="0" applyAlignment="0" applyProtection="0"/>
    <xf numFmtId="3" fontId="10" fillId="0" borderId="0" applyFont="0" applyBorder="0" applyAlignment="0"/>
    <xf numFmtId="3" fontId="10" fillId="0" borderId="0" applyFont="0" applyBorder="0" applyAlignment="0"/>
    <xf numFmtId="3" fontId="10" fillId="0" borderId="0" applyFont="0" applyBorder="0" applyAlignment="0"/>
    <xf numFmtId="3" fontId="10" fillId="0" borderId="0" applyFont="0" applyBorder="0" applyAlignment="0"/>
    <xf numFmtId="3" fontId="10" fillId="0" borderId="0" applyFont="0" applyBorder="0" applyAlignment="0"/>
    <xf numFmtId="3" fontId="10" fillId="0" borderId="0" applyFont="0" applyBorder="0" applyAlignment="0"/>
    <xf numFmtId="3" fontId="10" fillId="0" borderId="0" applyFont="0" applyBorder="0" applyAlignment="0"/>
    <xf numFmtId="3" fontId="10" fillId="0" borderId="0" applyFont="0" applyBorder="0" applyAlignment="0"/>
    <xf numFmtId="3" fontId="10" fillId="0" borderId="0" applyFont="0" applyBorder="0" applyAlignment="0"/>
    <xf numFmtId="3" fontId="10" fillId="0" borderId="0" applyFont="0" applyBorder="0" applyAlignment="0"/>
    <xf numFmtId="3" fontId="10" fillId="0" borderId="0" applyFont="0" applyBorder="0" applyAlignment="0"/>
    <xf numFmtId="3" fontId="10" fillId="0" borderId="0" applyFont="0" applyBorder="0" applyAlignment="0"/>
    <xf numFmtId="3" fontId="10" fillId="0" borderId="0" applyFont="0" applyBorder="0" applyAlignment="0"/>
    <xf numFmtId="3" fontId="10" fillId="0" borderId="0" applyFont="0" applyBorder="0" applyAlignment="0"/>
    <xf numFmtId="3" fontId="10" fillId="0" borderId="0" applyFont="0" applyBorder="0" applyAlignment="0"/>
    <xf numFmtId="3" fontId="10" fillId="0" borderId="0" applyFont="0" applyBorder="0" applyAlignment="0"/>
    <xf numFmtId="3" fontId="10" fillId="0" borderId="0" applyFont="0" applyBorder="0" applyAlignment="0"/>
    <xf numFmtId="3" fontId="10" fillId="0" borderId="0" applyFont="0" applyBorder="0" applyAlignment="0"/>
    <xf numFmtId="3" fontId="10" fillId="0" borderId="0" applyFont="0" applyBorder="0" applyAlignment="0"/>
    <xf numFmtId="3" fontId="10" fillId="0" borderId="0" applyFont="0" applyBorder="0" applyAlignment="0"/>
    <xf numFmtId="3" fontId="10" fillId="0" borderId="0" applyFont="0" applyBorder="0" applyAlignment="0"/>
    <xf numFmtId="3" fontId="10" fillId="0" borderId="0" applyFont="0" applyBorder="0" applyAlignment="0"/>
    <xf numFmtId="3" fontId="10" fillId="0" borderId="0" applyFont="0" applyBorder="0" applyAlignment="0"/>
    <xf numFmtId="3" fontId="10" fillId="0" borderId="0" applyFont="0" applyBorder="0" applyAlignment="0"/>
    <xf numFmtId="3" fontId="10" fillId="0" borderId="0" applyFont="0" applyBorder="0" applyAlignment="0"/>
    <xf numFmtId="3" fontId="10" fillId="0" borderId="0" applyFont="0" applyBorder="0" applyAlignment="0"/>
    <xf numFmtId="3" fontId="10" fillId="0" borderId="0" applyFont="0" applyBorder="0" applyAlignment="0"/>
    <xf numFmtId="0" fontId="46" fillId="0" borderId="0" applyNumberFormat="0" applyAlignment="0">
      <alignment horizontal="left"/>
    </xf>
    <xf numFmtId="0" fontId="47" fillId="0" borderId="0" applyNumberFormat="0" applyAlignment="0">
      <alignment horizontal="left"/>
    </xf>
    <xf numFmtId="0" fontId="46" fillId="0" borderId="0" applyNumberFormat="0" applyAlignment="0">
      <alignment horizontal="left"/>
    </xf>
    <xf numFmtId="0" fontId="46" fillId="0" borderId="0" applyNumberFormat="0" applyAlignment="0">
      <alignment horizontal="left"/>
    </xf>
    <xf numFmtId="0" fontId="46" fillId="0" borderId="0" applyNumberFormat="0" applyAlignment="0">
      <alignment horizontal="left"/>
    </xf>
    <xf numFmtId="0" fontId="46" fillId="0" borderId="0" applyNumberFormat="0" applyAlignment="0">
      <alignment horizontal="left"/>
    </xf>
    <xf numFmtId="0" fontId="46" fillId="0" borderId="0" applyNumberFormat="0" applyAlignment="0">
      <alignment horizontal="left"/>
    </xf>
    <xf numFmtId="0" fontId="46" fillId="0" borderId="0" applyNumberFormat="0" applyAlignment="0">
      <alignment horizontal="left"/>
    </xf>
    <xf numFmtId="0" fontId="46" fillId="0" borderId="0" applyNumberFormat="0" applyAlignment="0">
      <alignment horizontal="left"/>
    </xf>
    <xf numFmtId="0" fontId="46" fillId="0" borderId="0" applyNumberFormat="0" applyAlignment="0">
      <alignment horizontal="left"/>
    </xf>
    <xf numFmtId="0" fontId="46" fillId="0" borderId="0" applyNumberFormat="0" applyAlignment="0">
      <alignment horizontal="left"/>
    </xf>
    <xf numFmtId="0" fontId="46" fillId="0" borderId="0" applyNumberFormat="0" applyAlignment="0">
      <alignment horizontal="left"/>
    </xf>
    <xf numFmtId="0" fontId="46" fillId="0" borderId="0" applyNumberFormat="0" applyAlignment="0">
      <alignment horizontal="left"/>
    </xf>
    <xf numFmtId="0" fontId="46" fillId="0" borderId="0" applyNumberFormat="0" applyAlignment="0">
      <alignment horizontal="left"/>
    </xf>
    <xf numFmtId="0" fontId="46" fillId="0" borderId="0" applyNumberFormat="0" applyAlignment="0">
      <alignment horizontal="left"/>
    </xf>
    <xf numFmtId="0" fontId="46" fillId="0" borderId="0" applyNumberFormat="0" applyAlignment="0">
      <alignment horizontal="left"/>
    </xf>
    <xf numFmtId="0" fontId="46" fillId="0" borderId="0" applyNumberFormat="0" applyAlignment="0">
      <alignment horizontal="left"/>
    </xf>
    <xf numFmtId="0" fontId="46" fillId="0" borderId="0" applyNumberFormat="0" applyAlignment="0">
      <alignment horizontal="left"/>
    </xf>
    <xf numFmtId="0" fontId="46" fillId="0" borderId="0" applyNumberFormat="0" applyAlignment="0">
      <alignment horizontal="left"/>
    </xf>
    <xf numFmtId="0" fontId="46" fillId="0" borderId="0" applyNumberFormat="0" applyAlignment="0">
      <alignment horizontal="left"/>
    </xf>
    <xf numFmtId="0" fontId="46" fillId="0" borderId="0" applyNumberFormat="0" applyAlignment="0">
      <alignment horizontal="left"/>
    </xf>
    <xf numFmtId="0" fontId="46" fillId="0" borderId="0" applyNumberFormat="0" applyAlignment="0">
      <alignment horizontal="left"/>
    </xf>
    <xf numFmtId="0" fontId="46" fillId="0" borderId="0" applyNumberFormat="0" applyAlignment="0">
      <alignment horizontal="left"/>
    </xf>
    <xf numFmtId="0" fontId="47" fillId="0" borderId="0" applyNumberFormat="0" applyAlignment="0">
      <alignment horizontal="left"/>
    </xf>
    <xf numFmtId="0" fontId="46" fillId="0" borderId="0" applyNumberFormat="0" applyAlignment="0">
      <alignment horizontal="left"/>
    </xf>
    <xf numFmtId="0" fontId="46" fillId="0" borderId="0" applyNumberFormat="0" applyAlignment="0">
      <alignment horizontal="left"/>
    </xf>
    <xf numFmtId="0" fontId="46" fillId="0" borderId="0" applyNumberFormat="0" applyAlignment="0">
      <alignment horizontal="left"/>
    </xf>
    <xf numFmtId="0" fontId="46" fillId="0" borderId="0" applyNumberFormat="0" applyAlignment="0">
      <alignment horizontal="left"/>
    </xf>
    <xf numFmtId="0" fontId="46" fillId="0" borderId="0" applyNumberFormat="0" applyAlignment="0">
      <alignment horizontal="left"/>
    </xf>
    <xf numFmtId="0" fontId="46" fillId="0" borderId="0" applyNumberFormat="0" applyAlignment="0">
      <alignment horizontal="left"/>
    </xf>
    <xf numFmtId="0" fontId="46" fillId="0" borderId="0" applyNumberFormat="0" applyAlignment="0">
      <alignment horizontal="left"/>
    </xf>
    <xf numFmtId="0" fontId="46" fillId="0" borderId="0" applyNumberFormat="0" applyAlignment="0">
      <alignment horizontal="left"/>
    </xf>
    <xf numFmtId="0" fontId="46" fillId="0" borderId="0" applyNumberFormat="0" applyAlignment="0">
      <alignment horizontal="left"/>
    </xf>
    <xf numFmtId="0" fontId="46" fillId="0" borderId="0" applyNumberFormat="0" applyAlignment="0">
      <alignment horizontal="left"/>
    </xf>
    <xf numFmtId="0" fontId="46" fillId="0" borderId="0" applyNumberFormat="0" applyAlignment="0">
      <alignment horizontal="left"/>
    </xf>
    <xf numFmtId="0" fontId="46" fillId="0" borderId="0" applyNumberFormat="0" applyAlignment="0">
      <alignment horizontal="left"/>
    </xf>
    <xf numFmtId="0" fontId="46" fillId="0" borderId="0" applyNumberFormat="0" applyAlignment="0">
      <alignment horizontal="left"/>
    </xf>
    <xf numFmtId="0" fontId="46" fillId="0" borderId="0" applyNumberFormat="0" applyAlignment="0">
      <alignment horizontal="left"/>
    </xf>
    <xf numFmtId="0" fontId="46" fillId="0" borderId="0" applyNumberFormat="0" applyAlignment="0">
      <alignment horizontal="left"/>
    </xf>
    <xf numFmtId="0" fontId="46" fillId="0" borderId="0" applyNumberFormat="0" applyAlignment="0">
      <alignment horizontal="left"/>
    </xf>
    <xf numFmtId="0" fontId="46" fillId="0" borderId="0" applyNumberFormat="0" applyAlignment="0">
      <alignment horizontal="left"/>
    </xf>
    <xf numFmtId="0" fontId="46" fillId="0" borderId="0" applyNumberFormat="0" applyAlignment="0">
      <alignment horizontal="left"/>
    </xf>
    <xf numFmtId="0" fontId="46" fillId="0" borderId="0" applyNumberFormat="0" applyAlignment="0">
      <alignment horizontal="left"/>
    </xf>
    <xf numFmtId="0" fontId="46" fillId="0" borderId="0" applyNumberFormat="0" applyAlignment="0">
      <alignment horizontal="left"/>
    </xf>
    <xf numFmtId="0" fontId="46" fillId="0" borderId="0" applyNumberFormat="0" applyAlignment="0">
      <alignment horizontal="left"/>
    </xf>
    <xf numFmtId="0" fontId="46" fillId="0" borderId="0" applyNumberFormat="0" applyAlignment="0">
      <alignment horizontal="left"/>
    </xf>
    <xf numFmtId="0" fontId="46" fillId="0" borderId="0" applyNumberFormat="0" applyAlignment="0">
      <alignment horizontal="left"/>
    </xf>
    <xf numFmtId="0" fontId="46" fillId="0" borderId="0" applyNumberFormat="0" applyAlignment="0">
      <alignment horizontal="left"/>
    </xf>
    <xf numFmtId="0" fontId="46" fillId="0" borderId="0" applyNumberFormat="0" applyAlignment="0">
      <alignment horizontal="left"/>
    </xf>
    <xf numFmtId="0" fontId="46" fillId="0" borderId="0" applyNumberFormat="0" applyAlignment="0">
      <alignment horizontal="left"/>
    </xf>
    <xf numFmtId="0" fontId="46" fillId="0" borderId="0" applyNumberFormat="0" applyAlignment="0">
      <alignment horizontal="left"/>
    </xf>
    <xf numFmtId="0" fontId="46" fillId="0" borderId="0" applyNumberFormat="0" applyAlignment="0">
      <alignment horizontal="left"/>
    </xf>
    <xf numFmtId="0" fontId="46" fillId="0" borderId="0" applyNumberFormat="0" applyAlignment="0">
      <alignment horizontal="left"/>
    </xf>
    <xf numFmtId="0" fontId="46" fillId="0" borderId="0" applyNumberFormat="0" applyAlignment="0">
      <alignment horizontal="left"/>
    </xf>
    <xf numFmtId="0" fontId="46" fillId="0" borderId="0" applyNumberFormat="0" applyAlignment="0">
      <alignment horizontal="left"/>
    </xf>
    <xf numFmtId="0" fontId="46" fillId="0" borderId="0" applyNumberFormat="0" applyAlignment="0">
      <alignment horizontal="left"/>
    </xf>
    <xf numFmtId="0" fontId="46" fillId="0" borderId="0" applyNumberFormat="0" applyAlignment="0">
      <alignment horizontal="left"/>
    </xf>
    <xf numFmtId="0" fontId="46" fillId="0" borderId="0" applyNumberFormat="0" applyAlignment="0">
      <alignment horizontal="left"/>
    </xf>
    <xf numFmtId="0" fontId="46" fillId="0" borderId="0" applyNumberFormat="0" applyAlignment="0">
      <alignment horizontal="left"/>
    </xf>
    <xf numFmtId="0" fontId="46" fillId="0" borderId="0" applyNumberFormat="0" applyAlignment="0">
      <alignment horizontal="left"/>
    </xf>
    <xf numFmtId="0" fontId="46" fillId="0" borderId="0" applyNumberFormat="0" applyAlignment="0">
      <alignment horizontal="left"/>
    </xf>
    <xf numFmtId="0" fontId="46" fillId="0" borderId="0" applyNumberFormat="0" applyAlignment="0">
      <alignment horizontal="left"/>
    </xf>
    <xf numFmtId="0" fontId="46" fillId="0" borderId="0" applyNumberFormat="0" applyAlignment="0">
      <alignment horizontal="left"/>
    </xf>
    <xf numFmtId="0" fontId="46" fillId="0" borderId="0" applyNumberFormat="0" applyAlignment="0">
      <alignment horizontal="left"/>
    </xf>
    <xf numFmtId="0" fontId="46" fillId="0" borderId="0" applyNumberFormat="0" applyAlignment="0">
      <alignment horizontal="left"/>
    </xf>
    <xf numFmtId="0" fontId="46" fillId="0" borderId="0" applyNumberFormat="0" applyAlignment="0">
      <alignment horizontal="left"/>
    </xf>
    <xf numFmtId="0" fontId="47" fillId="0" borderId="0" applyNumberFormat="0" applyAlignment="0">
      <alignment horizontal="left"/>
    </xf>
    <xf numFmtId="0" fontId="48" fillId="0" borderId="0" applyNumberFormat="0" applyFill="0" applyBorder="0" applyAlignment="0" applyProtection="0"/>
    <xf numFmtId="3" fontId="10" fillId="0" borderId="0" applyFont="0" applyBorder="0" applyAlignment="0"/>
    <xf numFmtId="3" fontId="10" fillId="0" borderId="0" applyFont="0" applyBorder="0" applyAlignment="0"/>
    <xf numFmtId="3" fontId="10" fillId="0" borderId="0" applyFont="0" applyBorder="0" applyAlignment="0"/>
    <xf numFmtId="3" fontId="10" fillId="0" borderId="0" applyFont="0" applyBorder="0" applyAlignment="0"/>
    <xf numFmtId="3" fontId="10" fillId="0" borderId="0" applyFont="0" applyBorder="0" applyAlignment="0"/>
    <xf numFmtId="3" fontId="10" fillId="0" borderId="0" applyFont="0" applyBorder="0" applyAlignment="0"/>
    <xf numFmtId="3" fontId="10" fillId="0" borderId="0" applyFont="0" applyBorder="0" applyAlignment="0"/>
    <xf numFmtId="3" fontId="10" fillId="0" borderId="0" applyFont="0" applyBorder="0" applyAlignment="0"/>
    <xf numFmtId="3" fontId="10" fillId="0" borderId="0" applyFont="0" applyBorder="0" applyAlignment="0"/>
    <xf numFmtId="3" fontId="10" fillId="0" borderId="0" applyFont="0" applyBorder="0" applyAlignment="0"/>
    <xf numFmtId="3" fontId="10" fillId="0" borderId="0" applyFont="0" applyBorder="0" applyAlignment="0"/>
    <xf numFmtId="3" fontId="10" fillId="0" borderId="0" applyFont="0" applyBorder="0" applyAlignment="0"/>
    <xf numFmtId="3" fontId="10" fillId="0" borderId="0" applyFont="0" applyBorder="0" applyAlignment="0"/>
    <xf numFmtId="3" fontId="10" fillId="0" borderId="0" applyFont="0" applyBorder="0" applyAlignment="0"/>
    <xf numFmtId="3" fontId="10" fillId="0" borderId="0" applyFont="0" applyBorder="0" applyAlignment="0"/>
    <xf numFmtId="3" fontId="10" fillId="0" borderId="0" applyFont="0" applyBorder="0" applyAlignment="0"/>
    <xf numFmtId="3" fontId="10" fillId="0" borderId="0" applyFont="0" applyBorder="0" applyAlignment="0"/>
    <xf numFmtId="3" fontId="10" fillId="0" borderId="0" applyFont="0" applyBorder="0" applyAlignment="0"/>
    <xf numFmtId="3" fontId="10" fillId="0" borderId="0" applyFont="0" applyBorder="0" applyAlignment="0"/>
    <xf numFmtId="3" fontId="10" fillId="0" borderId="0" applyFont="0" applyBorder="0" applyAlignment="0"/>
    <xf numFmtId="3" fontId="10" fillId="0" borderId="0" applyFont="0" applyBorder="0" applyAlignment="0"/>
    <xf numFmtId="3" fontId="10" fillId="0" borderId="0" applyFont="0" applyBorder="0" applyAlignment="0"/>
    <xf numFmtId="3" fontId="10" fillId="0" borderId="0" applyFont="0" applyBorder="0" applyAlignment="0"/>
    <xf numFmtId="3" fontId="10" fillId="0" borderId="0" applyFont="0" applyBorder="0" applyAlignment="0"/>
    <xf numFmtId="3" fontId="10" fillId="0" borderId="0" applyFont="0" applyBorder="0" applyAlignment="0"/>
    <xf numFmtId="3" fontId="10" fillId="0" borderId="0" applyFont="0" applyBorder="0" applyAlignment="0"/>
    <xf numFmtId="3" fontId="10" fillId="0" borderId="0" applyFont="0" applyBorder="0" applyAlignment="0"/>
    <xf numFmtId="2" fontId="11" fillId="0" borderId="0" applyFont="0" applyFill="0" applyBorder="0" applyAlignment="0" applyProtection="0"/>
    <xf numFmtId="2" fontId="5" fillId="0" borderId="0" applyFont="0" applyFill="0" applyBorder="0" applyAlignment="0" applyProtection="0"/>
    <xf numFmtId="2" fontId="5" fillId="0" borderId="0" applyFont="0" applyFill="0" applyBorder="0" applyAlignment="0" applyProtection="0"/>
    <xf numFmtId="2" fontId="5" fillId="0" borderId="0" applyFont="0" applyFill="0" applyBorder="0" applyAlignment="0" applyProtection="0"/>
    <xf numFmtId="2" fontId="5" fillId="0" borderId="0" applyFont="0" applyFill="0" applyBorder="0" applyAlignment="0" applyProtection="0"/>
    <xf numFmtId="2" fontId="5" fillId="0" borderId="0" applyFont="0" applyFill="0" applyBorder="0" applyAlignment="0" applyProtection="0"/>
    <xf numFmtId="2" fontId="5" fillId="0" borderId="0" applyFont="0" applyFill="0" applyBorder="0" applyAlignment="0" applyProtection="0"/>
    <xf numFmtId="2" fontId="5" fillId="0" borderId="0" applyFont="0" applyFill="0" applyBorder="0" applyAlignment="0" applyProtection="0"/>
    <xf numFmtId="2" fontId="5" fillId="0" borderId="0" applyFont="0" applyFill="0" applyBorder="0" applyAlignment="0" applyProtection="0"/>
    <xf numFmtId="2" fontId="5" fillId="0" borderId="0" applyFont="0" applyFill="0" applyBorder="0" applyAlignment="0" applyProtection="0"/>
    <xf numFmtId="2" fontId="5" fillId="0" borderId="0" applyFont="0" applyFill="0" applyBorder="0" applyAlignment="0" applyProtection="0"/>
    <xf numFmtId="2" fontId="11" fillId="0" borderId="0" applyFont="0" applyFill="0" applyBorder="0" applyAlignment="0" applyProtection="0"/>
    <xf numFmtId="2" fontId="5" fillId="0" borderId="0" applyFont="0" applyFill="0" applyBorder="0" applyAlignment="0" applyProtection="0"/>
    <xf numFmtId="2" fontId="5" fillId="0" borderId="0" applyFont="0" applyFill="0" applyBorder="0" applyAlignment="0" applyProtection="0"/>
    <xf numFmtId="2" fontId="5" fillId="0" borderId="0" applyFont="0" applyFill="0" applyBorder="0" applyAlignment="0" applyProtection="0"/>
    <xf numFmtId="2" fontId="5" fillId="0" borderId="0" applyFont="0" applyFill="0" applyBorder="0" applyAlignment="0" applyProtection="0"/>
    <xf numFmtId="2" fontId="5" fillId="0" borderId="0" applyFont="0" applyFill="0" applyBorder="0" applyAlignment="0" applyProtection="0"/>
    <xf numFmtId="2" fontId="5" fillId="0" borderId="0" applyFont="0" applyFill="0" applyBorder="0" applyAlignment="0" applyProtection="0"/>
    <xf numFmtId="2" fontId="5" fillId="0" borderId="0" applyFont="0" applyFill="0" applyBorder="0" applyAlignment="0" applyProtection="0"/>
    <xf numFmtId="2" fontId="5" fillId="0" borderId="0" applyFont="0" applyFill="0" applyBorder="0" applyAlignment="0" applyProtection="0"/>
    <xf numFmtId="2" fontId="5" fillId="0" borderId="0" applyFont="0" applyFill="0" applyBorder="0" applyAlignment="0" applyProtection="0"/>
    <xf numFmtId="2" fontId="5" fillId="0" borderId="0" applyFont="0" applyFill="0" applyBorder="0" applyAlignment="0" applyProtection="0"/>
    <xf numFmtId="2" fontId="5" fillId="0" borderId="0" applyFont="0" applyFill="0" applyBorder="0" applyAlignment="0" applyProtection="0"/>
    <xf numFmtId="2" fontId="5" fillId="0" borderId="0" applyFont="0" applyFill="0" applyBorder="0" applyAlignment="0" applyProtection="0"/>
    <xf numFmtId="2" fontId="5" fillId="0" borderId="0" applyFont="0" applyFill="0" applyBorder="0" applyAlignment="0" applyProtection="0"/>
    <xf numFmtId="2" fontId="5" fillId="0" borderId="0" applyFont="0" applyFill="0" applyBorder="0" applyAlignment="0" applyProtection="0"/>
    <xf numFmtId="2" fontId="5" fillId="0" borderId="0" applyFont="0" applyFill="0" applyBorder="0" applyAlignment="0" applyProtection="0"/>
    <xf numFmtId="2" fontId="5" fillId="0" borderId="0" applyFont="0" applyFill="0" applyBorder="0" applyAlignment="0" applyProtection="0"/>
    <xf numFmtId="2" fontId="5" fillId="0" borderId="0" applyFont="0" applyFill="0" applyBorder="0" applyAlignment="0" applyProtection="0"/>
    <xf numFmtId="2" fontId="5" fillId="0" borderId="0" applyFont="0" applyFill="0" applyBorder="0" applyAlignment="0" applyProtection="0"/>
    <xf numFmtId="2" fontId="5" fillId="0" borderId="0" applyFont="0" applyFill="0" applyBorder="0" applyAlignment="0" applyProtection="0"/>
    <xf numFmtId="2" fontId="5" fillId="0" borderId="0" applyFont="0" applyFill="0" applyBorder="0" applyAlignment="0" applyProtection="0"/>
    <xf numFmtId="2" fontId="5" fillId="0" borderId="0" applyFont="0" applyFill="0" applyBorder="0" applyAlignment="0" applyProtection="0"/>
    <xf numFmtId="2" fontId="5" fillId="0" borderId="0" applyFont="0" applyFill="0" applyBorder="0" applyAlignment="0" applyProtection="0"/>
    <xf numFmtId="2" fontId="5" fillId="0" borderId="0" applyFont="0" applyFill="0" applyBorder="0" applyAlignment="0" applyProtection="0"/>
    <xf numFmtId="2" fontId="5" fillId="0" borderId="0" applyFont="0" applyFill="0" applyBorder="0" applyAlignment="0" applyProtection="0"/>
    <xf numFmtId="2" fontId="5" fillId="0" borderId="0" applyFont="0" applyFill="0" applyBorder="0" applyAlignment="0" applyProtection="0"/>
    <xf numFmtId="2" fontId="5" fillId="0" borderId="0" applyFont="0" applyFill="0" applyBorder="0" applyAlignment="0" applyProtection="0"/>
    <xf numFmtId="2" fontId="5" fillId="0" borderId="0" applyFont="0" applyFill="0" applyBorder="0" applyAlignment="0" applyProtection="0"/>
    <xf numFmtId="2" fontId="5" fillId="0" borderId="0" applyFont="0" applyFill="0" applyBorder="0" applyAlignment="0" applyProtection="0"/>
    <xf numFmtId="2" fontId="5" fillId="0" borderId="0" applyFont="0" applyFill="0" applyBorder="0" applyAlignment="0" applyProtection="0"/>
    <xf numFmtId="2" fontId="5" fillId="0" borderId="0" applyFont="0" applyFill="0" applyBorder="0" applyAlignment="0" applyProtection="0"/>
    <xf numFmtId="2" fontId="5" fillId="0" borderId="0" applyFont="0" applyFill="0" applyBorder="0" applyAlignment="0" applyProtection="0"/>
    <xf numFmtId="2" fontId="5" fillId="0" borderId="0" applyFont="0" applyFill="0" applyBorder="0" applyAlignment="0" applyProtection="0"/>
    <xf numFmtId="0" fontId="49" fillId="0" borderId="0">
      <alignment vertical="top" wrapText="1"/>
    </xf>
    <xf numFmtId="3" fontId="10" fillId="23" borderId="5">
      <alignment horizontal="right" vertical="top" wrapText="1"/>
    </xf>
    <xf numFmtId="3" fontId="10" fillId="23" borderId="5">
      <alignment horizontal="right" vertical="top" wrapText="1"/>
    </xf>
    <xf numFmtId="3" fontId="10" fillId="23" borderId="5">
      <alignment horizontal="right" vertical="top" wrapText="1"/>
    </xf>
    <xf numFmtId="3" fontId="10" fillId="23" borderId="5">
      <alignment horizontal="right" vertical="top" wrapText="1"/>
    </xf>
    <xf numFmtId="3" fontId="10" fillId="23" borderId="5">
      <alignment horizontal="right" vertical="top" wrapText="1"/>
    </xf>
    <xf numFmtId="3" fontId="10" fillId="23" borderId="5">
      <alignment horizontal="right" vertical="top" wrapText="1"/>
    </xf>
    <xf numFmtId="3" fontId="10" fillId="23" borderId="5">
      <alignment horizontal="right" vertical="top" wrapText="1"/>
    </xf>
    <xf numFmtId="3" fontId="10" fillId="23" borderId="5">
      <alignment horizontal="right" vertical="top" wrapText="1"/>
    </xf>
    <xf numFmtId="3" fontId="10" fillId="23" borderId="5">
      <alignment horizontal="right" vertical="top" wrapText="1"/>
    </xf>
    <xf numFmtId="3" fontId="10" fillId="23" borderId="5">
      <alignment horizontal="right" vertical="top" wrapText="1"/>
    </xf>
    <xf numFmtId="3" fontId="10" fillId="23" borderId="5">
      <alignment horizontal="right" vertical="top" wrapText="1"/>
    </xf>
    <xf numFmtId="3" fontId="10" fillId="23" borderId="5">
      <alignment horizontal="right" vertical="top" wrapText="1"/>
    </xf>
    <xf numFmtId="3" fontId="10" fillId="23" borderId="5">
      <alignment horizontal="right" vertical="top" wrapText="1"/>
    </xf>
    <xf numFmtId="3" fontId="10" fillId="23" borderId="5">
      <alignment horizontal="right" vertical="top" wrapText="1"/>
    </xf>
    <xf numFmtId="3" fontId="10" fillId="23" borderId="5">
      <alignment horizontal="right" vertical="top" wrapText="1"/>
    </xf>
    <xf numFmtId="3" fontId="10" fillId="23" borderId="5">
      <alignment horizontal="right" vertical="top" wrapText="1"/>
    </xf>
    <xf numFmtId="3" fontId="10" fillId="23" borderId="5">
      <alignment horizontal="right" vertical="top" wrapText="1"/>
    </xf>
    <xf numFmtId="3" fontId="10" fillId="23" borderId="5">
      <alignment horizontal="right" vertical="top" wrapText="1"/>
    </xf>
    <xf numFmtId="3" fontId="10" fillId="23" borderId="5">
      <alignment horizontal="right" vertical="top" wrapText="1"/>
    </xf>
    <xf numFmtId="3" fontId="10" fillId="23" borderId="5">
      <alignment horizontal="right" vertical="top" wrapText="1"/>
    </xf>
    <xf numFmtId="3" fontId="10" fillId="23" borderId="5">
      <alignment horizontal="right" vertical="top" wrapText="1"/>
    </xf>
    <xf numFmtId="3" fontId="10" fillId="23" borderId="5">
      <alignment horizontal="right" vertical="top" wrapText="1"/>
    </xf>
    <xf numFmtId="3" fontId="10" fillId="23" borderId="5">
      <alignment horizontal="right" vertical="top" wrapText="1"/>
    </xf>
    <xf numFmtId="3" fontId="10" fillId="23" borderId="5">
      <alignment horizontal="right" vertical="top" wrapText="1"/>
    </xf>
    <xf numFmtId="3" fontId="10" fillId="23" borderId="5">
      <alignment horizontal="right" vertical="top" wrapText="1"/>
    </xf>
    <xf numFmtId="3" fontId="10" fillId="23" borderId="5">
      <alignment horizontal="right" vertical="top" wrapText="1"/>
    </xf>
    <xf numFmtId="3" fontId="10" fillId="23" borderId="5">
      <alignment horizontal="right" vertical="top" wrapText="1"/>
    </xf>
    <xf numFmtId="0" fontId="50" fillId="5" borderId="0" applyNumberFormat="0" applyBorder="0" applyAlignment="0" applyProtection="0"/>
    <xf numFmtId="38" fontId="51" fillId="24" borderId="0" applyNumberFormat="0" applyBorder="0" applyAlignment="0" applyProtection="0"/>
    <xf numFmtId="38" fontId="51" fillId="24" borderId="0" applyNumberFormat="0" applyBorder="0" applyAlignment="0" applyProtection="0"/>
    <xf numFmtId="38" fontId="4" fillId="24" borderId="0" applyNumberFormat="0" applyBorder="0" applyAlignment="0" applyProtection="0"/>
    <xf numFmtId="38" fontId="4" fillId="24" borderId="0" applyNumberFormat="0" applyBorder="0" applyAlignment="0" applyProtection="0"/>
    <xf numFmtId="38" fontId="4" fillId="24" borderId="0" applyNumberFormat="0" applyBorder="0" applyAlignment="0" applyProtection="0"/>
    <xf numFmtId="38" fontId="51" fillId="24" borderId="0" applyNumberFormat="0" applyBorder="0" applyAlignment="0" applyProtection="0"/>
    <xf numFmtId="0" fontId="52" fillId="25" borderId="0"/>
    <xf numFmtId="0" fontId="52" fillId="25" borderId="0"/>
    <xf numFmtId="0" fontId="52" fillId="25" borderId="0"/>
    <xf numFmtId="0" fontId="52" fillId="25" borderId="0"/>
    <xf numFmtId="0" fontId="52" fillId="25" borderId="0"/>
    <xf numFmtId="0" fontId="52" fillId="25" borderId="0"/>
    <xf numFmtId="0" fontId="52" fillId="25" borderId="0"/>
    <xf numFmtId="0" fontId="52" fillId="25" borderId="0"/>
    <xf numFmtId="0" fontId="53" fillId="0" borderId="0">
      <alignment horizontal="left"/>
    </xf>
    <xf numFmtId="0" fontId="79" fillId="0" borderId="0">
      <alignment horizontal="left"/>
    </xf>
    <xf numFmtId="0" fontId="79" fillId="0" borderId="0">
      <alignment horizontal="left"/>
    </xf>
    <xf numFmtId="0" fontId="54" fillId="0" borderId="6" applyNumberFormat="0" applyAlignment="0" applyProtection="0">
      <alignment horizontal="left" vertical="center"/>
    </xf>
    <xf numFmtId="0" fontId="54" fillId="0" borderId="7">
      <alignment horizontal="left" vertical="center"/>
    </xf>
    <xf numFmtId="0" fontId="55" fillId="0" borderId="0" applyNumberFormat="0" applyFill="0" applyBorder="0" applyAlignment="0" applyProtection="0"/>
    <xf numFmtId="0" fontId="56" fillId="0" borderId="8" applyNumberFormat="0" applyFill="0" applyAlignment="0" applyProtection="0"/>
    <xf numFmtId="0" fontId="55" fillId="0" borderId="0" applyNumberFormat="0" applyFill="0" applyBorder="0" applyAlignment="0" applyProtection="0"/>
    <xf numFmtId="0" fontId="54" fillId="0" borderId="0" applyNumberFormat="0" applyFill="0" applyBorder="0" applyAlignment="0" applyProtection="0"/>
    <xf numFmtId="0" fontId="57" fillId="0" borderId="9" applyNumberFormat="0" applyFill="0" applyAlignment="0" applyProtection="0"/>
    <xf numFmtId="0" fontId="54" fillId="0" borderId="0" applyNumberFormat="0" applyFill="0" applyBorder="0" applyAlignment="0" applyProtection="0"/>
    <xf numFmtId="0" fontId="58" fillId="0" borderId="10" applyNumberFormat="0" applyFill="0" applyAlignment="0" applyProtection="0"/>
    <xf numFmtId="0" fontId="58" fillId="0" borderId="0" applyNumberFormat="0" applyFill="0" applyBorder="0" applyAlignment="0" applyProtection="0"/>
    <xf numFmtId="184" fontId="13" fillId="0" borderId="0">
      <protection locked="0"/>
    </xf>
    <xf numFmtId="184" fontId="13" fillId="0" borderId="0">
      <protection locked="0"/>
    </xf>
    <xf numFmtId="0" fontId="59" fillId="0" borderId="11">
      <alignment horizontal="center"/>
    </xf>
    <xf numFmtId="0" fontId="60" fillId="0" borderId="11">
      <alignment horizontal="center"/>
    </xf>
    <xf numFmtId="0" fontId="59" fillId="0" borderId="11">
      <alignment horizontal="center"/>
    </xf>
    <xf numFmtId="0" fontId="59" fillId="0" borderId="11">
      <alignment horizontal="center"/>
    </xf>
    <xf numFmtId="0" fontId="59" fillId="0" borderId="11">
      <alignment horizontal="center"/>
    </xf>
    <xf numFmtId="0" fontId="59" fillId="0" borderId="11">
      <alignment horizontal="center"/>
    </xf>
    <xf numFmtId="0" fontId="59" fillId="0" borderId="11">
      <alignment horizontal="center"/>
    </xf>
    <xf numFmtId="0" fontId="59" fillId="0" borderId="11">
      <alignment horizontal="center"/>
    </xf>
    <xf numFmtId="0" fontId="59" fillId="0" borderId="11">
      <alignment horizontal="center"/>
    </xf>
    <xf numFmtId="0" fontId="59" fillId="0" borderId="11">
      <alignment horizontal="center"/>
    </xf>
    <xf numFmtId="0" fontId="59" fillId="0" borderId="11">
      <alignment horizontal="center"/>
    </xf>
    <xf numFmtId="0" fontId="59" fillId="0" borderId="11">
      <alignment horizontal="center"/>
    </xf>
    <xf numFmtId="0" fontId="59" fillId="0" borderId="11">
      <alignment horizontal="center"/>
    </xf>
    <xf numFmtId="0" fontId="59" fillId="0" borderId="11">
      <alignment horizontal="center"/>
    </xf>
    <xf numFmtId="0" fontId="59" fillId="0" borderId="11">
      <alignment horizontal="center"/>
    </xf>
    <xf numFmtId="0" fontId="59" fillId="0" borderId="11">
      <alignment horizontal="center"/>
    </xf>
    <xf numFmtId="0" fontId="59" fillId="0" borderId="11">
      <alignment horizontal="center"/>
    </xf>
    <xf numFmtId="0" fontId="59" fillId="0" borderId="11">
      <alignment horizontal="center"/>
    </xf>
    <xf numFmtId="0" fontId="59" fillId="0" borderId="11">
      <alignment horizontal="center"/>
    </xf>
    <xf numFmtId="0" fontId="59" fillId="0" borderId="11">
      <alignment horizontal="center"/>
    </xf>
    <xf numFmtId="0" fontId="59" fillId="0" borderId="11">
      <alignment horizontal="center"/>
    </xf>
    <xf numFmtId="0" fontId="59" fillId="0" borderId="11">
      <alignment horizontal="center"/>
    </xf>
    <xf numFmtId="0" fontId="59" fillId="0" borderId="11">
      <alignment horizontal="center"/>
    </xf>
    <xf numFmtId="0" fontId="60" fillId="0" borderId="11">
      <alignment horizontal="center"/>
    </xf>
    <xf numFmtId="0" fontId="59" fillId="0" borderId="11">
      <alignment horizontal="center"/>
    </xf>
    <xf numFmtId="0" fontId="59" fillId="0" borderId="11">
      <alignment horizontal="center"/>
    </xf>
    <xf numFmtId="0" fontId="59" fillId="0" borderId="11">
      <alignment horizontal="center"/>
    </xf>
    <xf numFmtId="0" fontId="59" fillId="0" borderId="11">
      <alignment horizontal="center"/>
    </xf>
    <xf numFmtId="0" fontId="59" fillId="0" borderId="11">
      <alignment horizontal="center"/>
    </xf>
    <xf numFmtId="0" fontId="59" fillId="0" borderId="11">
      <alignment horizontal="center"/>
    </xf>
    <xf numFmtId="0" fontId="59" fillId="0" borderId="11">
      <alignment horizontal="center"/>
    </xf>
    <xf numFmtId="0" fontId="59" fillId="0" borderId="11">
      <alignment horizontal="center"/>
    </xf>
    <xf numFmtId="0" fontId="59" fillId="0" borderId="11">
      <alignment horizontal="center"/>
    </xf>
    <xf numFmtId="0" fontId="59" fillId="0" borderId="11">
      <alignment horizontal="center"/>
    </xf>
    <xf numFmtId="0" fontId="59" fillId="0" borderId="11">
      <alignment horizontal="center"/>
    </xf>
    <xf numFmtId="0" fontId="59" fillId="0" borderId="11">
      <alignment horizontal="center"/>
    </xf>
    <xf numFmtId="0" fontId="59" fillId="0" borderId="11">
      <alignment horizontal="center"/>
    </xf>
    <xf numFmtId="0" fontId="59" fillId="0" borderId="11">
      <alignment horizontal="center"/>
    </xf>
    <xf numFmtId="0" fontId="59" fillId="0" borderId="11">
      <alignment horizontal="center"/>
    </xf>
    <xf numFmtId="0" fontId="59" fillId="0" borderId="11">
      <alignment horizontal="center"/>
    </xf>
    <xf numFmtId="0" fontId="59" fillId="0" borderId="11">
      <alignment horizontal="center"/>
    </xf>
    <xf numFmtId="0" fontId="59" fillId="0" borderId="11">
      <alignment horizontal="center"/>
    </xf>
    <xf numFmtId="0" fontId="59" fillId="0" borderId="11">
      <alignment horizontal="center"/>
    </xf>
    <xf numFmtId="0" fontId="59" fillId="0" borderId="11">
      <alignment horizontal="center"/>
    </xf>
    <xf numFmtId="0" fontId="59" fillId="0" borderId="11">
      <alignment horizontal="center"/>
    </xf>
    <xf numFmtId="0" fontId="59" fillId="0" borderId="11">
      <alignment horizontal="center"/>
    </xf>
    <xf numFmtId="0" fontId="59" fillId="0" borderId="11">
      <alignment horizontal="center"/>
    </xf>
    <xf numFmtId="0" fontId="59" fillId="0" borderId="11">
      <alignment horizontal="center"/>
    </xf>
    <xf numFmtId="0" fontId="59" fillId="0" borderId="11">
      <alignment horizontal="center"/>
    </xf>
    <xf numFmtId="0" fontId="59" fillId="0" borderId="11">
      <alignment horizontal="center"/>
    </xf>
    <xf numFmtId="0" fontId="59" fillId="0" borderId="11">
      <alignment horizontal="center"/>
    </xf>
    <xf numFmtId="0" fontId="59" fillId="0" borderId="11">
      <alignment horizontal="center"/>
    </xf>
    <xf numFmtId="0" fontId="59" fillId="0" borderId="11">
      <alignment horizontal="center"/>
    </xf>
    <xf numFmtId="0" fontId="59" fillId="0" borderId="11">
      <alignment horizontal="center"/>
    </xf>
    <xf numFmtId="0" fontId="59" fillId="0" borderId="11">
      <alignment horizontal="center"/>
    </xf>
    <xf numFmtId="0" fontId="59" fillId="0" borderId="11">
      <alignment horizontal="center"/>
    </xf>
    <xf numFmtId="0" fontId="59" fillId="0" borderId="11">
      <alignment horizontal="center"/>
    </xf>
    <xf numFmtId="0" fontId="59" fillId="0" borderId="11">
      <alignment horizontal="center"/>
    </xf>
    <xf numFmtId="0" fontId="59" fillId="0" borderId="11">
      <alignment horizontal="center"/>
    </xf>
    <xf numFmtId="0" fontId="59" fillId="0" borderId="11">
      <alignment horizontal="center"/>
    </xf>
    <xf numFmtId="0" fontId="59" fillId="0" borderId="11">
      <alignment horizontal="center"/>
    </xf>
    <xf numFmtId="0" fontId="59" fillId="0" borderId="11">
      <alignment horizontal="center"/>
    </xf>
    <xf numFmtId="0" fontId="59" fillId="0" borderId="11">
      <alignment horizontal="center"/>
    </xf>
    <xf numFmtId="0" fontId="59" fillId="0" borderId="11">
      <alignment horizontal="center"/>
    </xf>
    <xf numFmtId="0" fontId="59" fillId="0" borderId="11">
      <alignment horizontal="center"/>
    </xf>
    <xf numFmtId="0" fontId="59" fillId="0" borderId="11">
      <alignment horizontal="center"/>
    </xf>
    <xf numFmtId="0" fontId="60" fillId="0" borderId="11">
      <alignment horizontal="center"/>
    </xf>
    <xf numFmtId="0" fontId="59" fillId="0" borderId="0">
      <alignment horizontal="center"/>
    </xf>
    <xf numFmtId="0" fontId="60" fillId="0" borderId="0">
      <alignment horizontal="center"/>
    </xf>
    <xf numFmtId="0" fontId="59" fillId="0" borderId="0">
      <alignment horizontal="center"/>
    </xf>
    <xf numFmtId="0" fontId="59" fillId="0" borderId="0">
      <alignment horizontal="center"/>
    </xf>
    <xf numFmtId="0" fontId="59" fillId="0" borderId="0">
      <alignment horizontal="center"/>
    </xf>
    <xf numFmtId="0" fontId="59" fillId="0" borderId="0">
      <alignment horizontal="center"/>
    </xf>
    <xf numFmtId="0" fontId="59" fillId="0" borderId="0">
      <alignment horizontal="center"/>
    </xf>
    <xf numFmtId="0" fontId="59" fillId="0" borderId="0">
      <alignment horizontal="center"/>
    </xf>
    <xf numFmtId="0" fontId="59" fillId="0" borderId="0">
      <alignment horizontal="center"/>
    </xf>
    <xf numFmtId="0" fontId="59" fillId="0" borderId="0">
      <alignment horizontal="center"/>
    </xf>
    <xf numFmtId="0" fontId="59" fillId="0" borderId="0">
      <alignment horizontal="center"/>
    </xf>
    <xf numFmtId="0" fontId="59" fillId="0" borderId="0">
      <alignment horizontal="center"/>
    </xf>
    <xf numFmtId="0" fontId="59" fillId="0" borderId="0">
      <alignment horizontal="center"/>
    </xf>
    <xf numFmtId="0" fontId="59" fillId="0" borderId="0">
      <alignment horizontal="center"/>
    </xf>
    <xf numFmtId="0" fontId="59" fillId="0" borderId="0">
      <alignment horizontal="center"/>
    </xf>
    <xf numFmtId="0" fontId="59" fillId="0" borderId="0">
      <alignment horizontal="center"/>
    </xf>
    <xf numFmtId="0" fontId="59" fillId="0" borderId="0">
      <alignment horizontal="center"/>
    </xf>
    <xf numFmtId="0" fontId="59" fillId="0" borderId="0">
      <alignment horizontal="center"/>
    </xf>
    <xf numFmtId="0" fontId="59" fillId="0" borderId="0">
      <alignment horizontal="center"/>
    </xf>
    <xf numFmtId="0" fontId="59" fillId="0" borderId="0">
      <alignment horizontal="center"/>
    </xf>
    <xf numFmtId="0" fontId="59" fillId="0" borderId="0">
      <alignment horizontal="center"/>
    </xf>
    <xf numFmtId="0" fontId="59" fillId="0" borderId="0">
      <alignment horizontal="center"/>
    </xf>
    <xf numFmtId="0" fontId="59" fillId="0" borderId="0">
      <alignment horizontal="center"/>
    </xf>
    <xf numFmtId="0" fontId="60" fillId="0" borderId="0">
      <alignment horizontal="center"/>
    </xf>
    <xf numFmtId="0" fontId="59" fillId="0" borderId="0">
      <alignment horizontal="center"/>
    </xf>
    <xf numFmtId="0" fontId="59" fillId="0" borderId="0">
      <alignment horizontal="center"/>
    </xf>
    <xf numFmtId="0" fontId="59" fillId="0" borderId="0">
      <alignment horizontal="center"/>
    </xf>
    <xf numFmtId="0" fontId="59" fillId="0" borderId="0">
      <alignment horizontal="center"/>
    </xf>
    <xf numFmtId="0" fontId="59" fillId="0" borderId="0">
      <alignment horizontal="center"/>
    </xf>
    <xf numFmtId="0" fontId="59" fillId="0" borderId="0">
      <alignment horizontal="center"/>
    </xf>
    <xf numFmtId="0" fontId="59" fillId="0" borderId="0">
      <alignment horizontal="center"/>
    </xf>
    <xf numFmtId="0" fontId="59" fillId="0" borderId="0">
      <alignment horizontal="center"/>
    </xf>
    <xf numFmtId="0" fontId="59" fillId="0" borderId="0">
      <alignment horizontal="center"/>
    </xf>
    <xf numFmtId="0" fontId="59" fillId="0" borderId="0">
      <alignment horizontal="center"/>
    </xf>
    <xf numFmtId="0" fontId="59" fillId="0" borderId="0">
      <alignment horizontal="center"/>
    </xf>
    <xf numFmtId="0" fontId="59" fillId="0" borderId="0">
      <alignment horizontal="center"/>
    </xf>
    <xf numFmtId="0" fontId="59" fillId="0" borderId="0">
      <alignment horizontal="center"/>
    </xf>
    <xf numFmtId="0" fontId="59" fillId="0" borderId="0">
      <alignment horizontal="center"/>
    </xf>
    <xf numFmtId="0" fontId="59" fillId="0" borderId="0">
      <alignment horizontal="center"/>
    </xf>
    <xf numFmtId="0" fontId="59" fillId="0" borderId="0">
      <alignment horizontal="center"/>
    </xf>
    <xf numFmtId="0" fontId="59" fillId="0" borderId="0">
      <alignment horizontal="center"/>
    </xf>
    <xf numFmtId="0" fontId="59" fillId="0" borderId="0">
      <alignment horizontal="center"/>
    </xf>
    <xf numFmtId="0" fontId="59" fillId="0" borderId="0">
      <alignment horizontal="center"/>
    </xf>
    <xf numFmtId="0" fontId="59" fillId="0" borderId="0">
      <alignment horizontal="center"/>
    </xf>
    <xf numFmtId="0" fontId="59" fillId="0" borderId="0">
      <alignment horizontal="center"/>
    </xf>
    <xf numFmtId="0" fontId="59" fillId="0" borderId="0">
      <alignment horizontal="center"/>
    </xf>
    <xf numFmtId="0" fontId="59" fillId="0" borderId="0">
      <alignment horizontal="center"/>
    </xf>
    <xf numFmtId="0" fontId="59" fillId="0" borderId="0">
      <alignment horizontal="center"/>
    </xf>
    <xf numFmtId="0" fontId="59" fillId="0" borderId="0">
      <alignment horizontal="center"/>
    </xf>
    <xf numFmtId="0" fontId="59" fillId="0" borderId="0">
      <alignment horizontal="center"/>
    </xf>
    <xf numFmtId="0" fontId="59" fillId="0" borderId="0">
      <alignment horizontal="center"/>
    </xf>
    <xf numFmtId="0" fontId="59" fillId="0" borderId="0">
      <alignment horizontal="center"/>
    </xf>
    <xf numFmtId="0" fontId="59" fillId="0" borderId="0">
      <alignment horizontal="center"/>
    </xf>
    <xf numFmtId="0" fontId="59" fillId="0" borderId="0">
      <alignment horizontal="center"/>
    </xf>
    <xf numFmtId="0" fontId="59" fillId="0" borderId="0">
      <alignment horizontal="center"/>
    </xf>
    <xf numFmtId="0" fontId="59" fillId="0" borderId="0">
      <alignment horizontal="center"/>
    </xf>
    <xf numFmtId="0" fontId="59" fillId="0" borderId="0">
      <alignment horizontal="center"/>
    </xf>
    <xf numFmtId="0" fontId="59" fillId="0" borderId="0">
      <alignment horizontal="center"/>
    </xf>
    <xf numFmtId="0" fontId="59" fillId="0" borderId="0">
      <alignment horizontal="center"/>
    </xf>
    <xf numFmtId="0" fontId="59" fillId="0" borderId="0">
      <alignment horizontal="center"/>
    </xf>
    <xf numFmtId="0" fontId="59" fillId="0" borderId="0">
      <alignment horizontal="center"/>
    </xf>
    <xf numFmtId="0" fontId="59" fillId="0" borderId="0">
      <alignment horizontal="center"/>
    </xf>
    <xf numFmtId="0" fontId="59" fillId="0" borderId="0">
      <alignment horizontal="center"/>
    </xf>
    <xf numFmtId="0" fontId="59" fillId="0" borderId="0">
      <alignment horizontal="center"/>
    </xf>
    <xf numFmtId="0" fontId="59" fillId="0" borderId="0">
      <alignment horizontal="center"/>
    </xf>
    <xf numFmtId="0" fontId="59" fillId="0" borderId="0">
      <alignment horizontal="center"/>
    </xf>
    <xf numFmtId="0" fontId="60" fillId="0" borderId="0">
      <alignment horizontal="center"/>
    </xf>
    <xf numFmtId="0" fontId="61" fillId="8" borderId="1" applyNumberFormat="0" applyAlignment="0" applyProtection="0"/>
    <xf numFmtId="10" fontId="51" fillId="24" borderId="12" applyNumberFormat="0" applyBorder="0" applyAlignment="0" applyProtection="0"/>
    <xf numFmtId="10" fontId="51" fillId="24" borderId="12" applyNumberFormat="0" applyBorder="0" applyAlignment="0" applyProtection="0"/>
    <xf numFmtId="10" fontId="4" fillId="24" borderId="12" applyNumberFormat="0" applyBorder="0" applyAlignment="0" applyProtection="0"/>
    <xf numFmtId="10" fontId="4" fillId="24" borderId="12" applyNumberFormat="0" applyBorder="0" applyAlignment="0" applyProtection="0"/>
    <xf numFmtId="10" fontId="4" fillId="24" borderId="12" applyNumberFormat="0" applyBorder="0" applyAlignment="0" applyProtection="0"/>
    <xf numFmtId="10" fontId="51" fillId="24" borderId="12" applyNumberFormat="0" applyBorder="0" applyAlignment="0" applyProtection="0"/>
    <xf numFmtId="185" fontId="10" fillId="26" borderId="5">
      <alignment vertical="top" wrapText="1"/>
    </xf>
    <xf numFmtId="185" fontId="10" fillId="26" borderId="5">
      <alignment vertical="top" wrapText="1"/>
    </xf>
    <xf numFmtId="185" fontId="10" fillId="26" borderId="5">
      <alignment vertical="top" wrapText="1"/>
    </xf>
    <xf numFmtId="185" fontId="10" fillId="26" borderId="5">
      <alignment vertical="top" wrapText="1"/>
    </xf>
    <xf numFmtId="185" fontId="10" fillId="26" borderId="5">
      <alignment vertical="top" wrapText="1"/>
    </xf>
    <xf numFmtId="185" fontId="10" fillId="26" borderId="5">
      <alignment vertical="top" wrapText="1"/>
    </xf>
    <xf numFmtId="185" fontId="10" fillId="26" borderId="5">
      <alignment vertical="top" wrapText="1"/>
    </xf>
    <xf numFmtId="185" fontId="10" fillId="26" borderId="5">
      <alignment vertical="top" wrapText="1"/>
    </xf>
    <xf numFmtId="185" fontId="10" fillId="26" borderId="5">
      <alignment vertical="top" wrapText="1"/>
    </xf>
    <xf numFmtId="185" fontId="10" fillId="26" borderId="5">
      <alignment vertical="top" wrapText="1"/>
    </xf>
    <xf numFmtId="185" fontId="10" fillId="26" borderId="5">
      <alignment vertical="top" wrapText="1"/>
    </xf>
    <xf numFmtId="185" fontId="10" fillId="26" borderId="5">
      <alignment vertical="top" wrapText="1"/>
    </xf>
    <xf numFmtId="185" fontId="10" fillId="26" borderId="5">
      <alignment vertical="top" wrapText="1"/>
    </xf>
    <xf numFmtId="185" fontId="10" fillId="26" borderId="5">
      <alignment vertical="top" wrapText="1"/>
    </xf>
    <xf numFmtId="185" fontId="10" fillId="26" borderId="5">
      <alignment vertical="top" wrapText="1"/>
    </xf>
    <xf numFmtId="185" fontId="10" fillId="26" borderId="5">
      <alignment vertical="top" wrapText="1"/>
    </xf>
    <xf numFmtId="185" fontId="10" fillId="26" borderId="5">
      <alignment vertical="top" wrapText="1"/>
    </xf>
    <xf numFmtId="185" fontId="10" fillId="26" borderId="5">
      <alignment vertical="top" wrapText="1"/>
    </xf>
    <xf numFmtId="185" fontId="10" fillId="26" borderId="5">
      <alignment vertical="top" wrapText="1"/>
    </xf>
    <xf numFmtId="185" fontId="10" fillId="26" borderId="5">
      <alignment vertical="top" wrapText="1"/>
    </xf>
    <xf numFmtId="185" fontId="10" fillId="26" borderId="5">
      <alignment vertical="top" wrapText="1"/>
    </xf>
    <xf numFmtId="185" fontId="10" fillId="26" borderId="5">
      <alignment vertical="top" wrapText="1"/>
    </xf>
    <xf numFmtId="185" fontId="10" fillId="26" borderId="5">
      <alignment vertical="top" wrapText="1"/>
    </xf>
    <xf numFmtId="185" fontId="10" fillId="26" borderId="5">
      <alignment vertical="top" wrapText="1"/>
    </xf>
    <xf numFmtId="185" fontId="10" fillId="26" borderId="5">
      <alignment vertical="top" wrapText="1"/>
    </xf>
    <xf numFmtId="185" fontId="10" fillId="26" borderId="5">
      <alignment vertical="top" wrapText="1"/>
    </xf>
    <xf numFmtId="185" fontId="10" fillId="26" borderId="5">
      <alignment vertical="top" wrapText="1"/>
    </xf>
    <xf numFmtId="0" fontId="62" fillId="0" borderId="13" applyNumberFormat="0" applyFill="0" applyAlignment="0" applyProtection="0"/>
    <xf numFmtId="38" fontId="36" fillId="0" borderId="0" applyFont="0" applyFill="0" applyBorder="0" applyAlignment="0" applyProtection="0"/>
    <xf numFmtId="40" fontId="36" fillId="0" borderId="0" applyFont="0" applyFill="0" applyBorder="0" applyAlignment="0" applyProtection="0"/>
    <xf numFmtId="0" fontId="63" fillId="0" borderId="11"/>
    <xf numFmtId="0" fontId="80" fillId="0" borderId="11"/>
    <xf numFmtId="0" fontId="80" fillId="0" borderId="11"/>
    <xf numFmtId="186" fontId="64" fillId="0" borderId="14"/>
    <xf numFmtId="187" fontId="36" fillId="0" borderId="0" applyFont="0" applyFill="0" applyBorder="0" applyAlignment="0" applyProtection="0"/>
    <xf numFmtId="188" fontId="36" fillId="0" borderId="0" applyFont="0" applyFill="0" applyBorder="0" applyAlignment="0" applyProtection="0"/>
    <xf numFmtId="0" fontId="65" fillId="0" borderId="0" applyNumberFormat="0" applyFont="0" applyFill="0" applyAlignment="0"/>
    <xf numFmtId="0" fontId="65" fillId="0" borderId="0" applyNumberFormat="0" applyFont="0" applyFill="0" applyAlignment="0"/>
    <xf numFmtId="0" fontId="6" fillId="0" borderId="0" applyNumberFormat="0" applyFont="0" applyFill="0" applyAlignment="0"/>
    <xf numFmtId="0" fontId="6" fillId="0" borderId="0" applyNumberFormat="0" applyFont="0" applyFill="0" applyAlignment="0"/>
    <xf numFmtId="0" fontId="6" fillId="0" borderId="0" applyNumberFormat="0" applyFont="0" applyFill="0" applyAlignment="0"/>
    <xf numFmtId="0" fontId="66" fillId="27" borderId="0" applyNumberFormat="0" applyBorder="0" applyAlignment="0" applyProtection="0"/>
    <xf numFmtId="189" fontId="67" fillId="0" borderId="0"/>
    <xf numFmtId="190" fontId="68" fillId="0" borderId="0"/>
    <xf numFmtId="0" fontId="69" fillId="0" borderId="0"/>
    <xf numFmtId="190" fontId="68" fillId="0" borderId="0"/>
    <xf numFmtId="0" fontId="1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5" fillId="0" borderId="0"/>
    <xf numFmtId="0" fontId="75" fillId="0" borderId="0"/>
    <xf numFmtId="0" fontId="75" fillId="0" borderId="0"/>
    <xf numFmtId="0" fontId="75" fillId="0" borderId="0"/>
    <xf numFmtId="0" fontId="5" fillId="0" borderId="0"/>
    <xf numFmtId="0" fontId="5" fillId="0" borderId="0"/>
    <xf numFmtId="0" fontId="5" fillId="0" borderId="0"/>
    <xf numFmtId="0" fontId="75" fillId="0" borderId="0"/>
    <xf numFmtId="0" fontId="1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5" fillId="0" borderId="0"/>
    <xf numFmtId="0" fontId="75" fillId="0" borderId="0"/>
    <xf numFmtId="0" fontId="75" fillId="0" borderId="0"/>
    <xf numFmtId="0" fontId="75" fillId="0" borderId="0"/>
    <xf numFmtId="0" fontId="5" fillId="0" borderId="0"/>
    <xf numFmtId="0" fontId="5" fillId="0" borderId="0"/>
    <xf numFmtId="0" fontId="5" fillId="0" borderId="0"/>
    <xf numFmtId="0" fontId="75" fillId="0" borderId="0"/>
    <xf numFmtId="0" fontId="1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1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5" fillId="0" borderId="0"/>
    <xf numFmtId="0" fontId="75" fillId="0" borderId="0"/>
    <xf numFmtId="0" fontId="75" fillId="0" borderId="0"/>
    <xf numFmtId="0" fontId="75" fillId="0" borderId="0"/>
    <xf numFmtId="0" fontId="5" fillId="0" borderId="0"/>
    <xf numFmtId="0" fontId="5" fillId="0" borderId="0"/>
    <xf numFmtId="0" fontId="5" fillId="0" borderId="0"/>
    <xf numFmtId="0" fontId="75" fillId="0" borderId="0"/>
    <xf numFmtId="0" fontId="1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1" fillId="0" borderId="0"/>
    <xf numFmtId="0" fontId="21" fillId="0" borderId="0"/>
    <xf numFmtId="0" fontId="11" fillId="0" borderId="0"/>
    <xf numFmtId="0" fontId="1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24" fillId="0" borderId="0"/>
    <xf numFmtId="0" fontId="1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0" fillId="0" borderId="0"/>
    <xf numFmtId="0" fontId="7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6" fillId="0" borderId="0"/>
    <xf numFmtId="0" fontId="76" fillId="0" borderId="0"/>
    <xf numFmtId="0" fontId="76" fillId="0" borderId="0"/>
    <xf numFmtId="0" fontId="76" fillId="0" borderId="0"/>
    <xf numFmtId="0" fontId="76" fillId="0" borderId="0"/>
    <xf numFmtId="0" fontId="5" fillId="0" borderId="0"/>
    <xf numFmtId="0" fontId="5" fillId="0" borderId="0"/>
    <xf numFmtId="0" fontId="21" fillId="0" borderId="0"/>
    <xf numFmtId="0" fontId="10"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5" fillId="0" borderId="0"/>
    <xf numFmtId="0" fontId="75" fillId="0" borderId="0"/>
    <xf numFmtId="0" fontId="75" fillId="0" borderId="0"/>
    <xf numFmtId="0" fontId="75" fillId="0" borderId="0"/>
    <xf numFmtId="0" fontId="5" fillId="0" borderId="0"/>
    <xf numFmtId="0" fontId="5" fillId="0" borderId="0"/>
    <xf numFmtId="0" fontId="5" fillId="0" borderId="0"/>
    <xf numFmtId="0" fontId="77" fillId="0" borderId="0"/>
    <xf numFmtId="0" fontId="1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6" fillId="0" borderId="0"/>
    <xf numFmtId="0" fontId="76" fillId="0" borderId="0"/>
    <xf numFmtId="0" fontId="76" fillId="0" borderId="0"/>
    <xf numFmtId="0" fontId="76" fillId="0" borderId="0"/>
    <xf numFmtId="0" fontId="5" fillId="0" borderId="0"/>
    <xf numFmtId="0" fontId="5" fillId="0" borderId="0"/>
    <xf numFmtId="0" fontId="5" fillId="0" borderId="0"/>
    <xf numFmtId="0" fontId="21" fillId="0" borderId="0"/>
    <xf numFmtId="0" fontId="71" fillId="0" borderId="0"/>
    <xf numFmtId="0" fontId="76" fillId="0" borderId="0"/>
    <xf numFmtId="0" fontId="76" fillId="0" borderId="0"/>
    <xf numFmtId="0" fontId="76" fillId="0" borderId="0"/>
    <xf numFmtId="0" fontId="76" fillId="0" borderId="0"/>
    <xf numFmtId="0" fontId="76" fillId="0" borderId="0"/>
    <xf numFmtId="0" fontId="21" fillId="0" borderId="0"/>
    <xf numFmtId="0" fontId="1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21"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11"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21" fillId="28" borderId="15" applyNumberFormat="0" applyFont="0" applyAlignment="0" applyProtection="0"/>
    <xf numFmtId="0" fontId="21" fillId="28" borderId="15" applyNumberFormat="0" applyFont="0" applyAlignment="0" applyProtection="0"/>
    <xf numFmtId="0" fontId="21" fillId="28" borderId="15" applyNumberFormat="0" applyFont="0" applyAlignment="0" applyProtection="0"/>
    <xf numFmtId="0" fontId="11"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21" fillId="28" borderId="15" applyNumberFormat="0" applyFont="0" applyAlignment="0" applyProtection="0"/>
    <xf numFmtId="0" fontId="21" fillId="28" borderId="15" applyNumberFormat="0" applyFont="0" applyAlignment="0" applyProtection="0"/>
    <xf numFmtId="0" fontId="21" fillId="28" borderId="15" applyNumberFormat="0" applyFont="0" applyAlignment="0" applyProtection="0"/>
    <xf numFmtId="0" fontId="21" fillId="28" borderId="15" applyNumberFormat="0" applyFont="0" applyAlignment="0" applyProtection="0"/>
    <xf numFmtId="0" fontId="21" fillId="28" borderId="15" applyNumberFormat="0" applyFont="0" applyAlignment="0" applyProtection="0"/>
    <xf numFmtId="0" fontId="21" fillId="28" borderId="15" applyNumberFormat="0" applyFont="0" applyAlignment="0" applyProtection="0"/>
    <xf numFmtId="0" fontId="21" fillId="28" borderId="15" applyNumberFormat="0" applyFont="0" applyAlignment="0" applyProtection="0"/>
    <xf numFmtId="0" fontId="21" fillId="28" borderId="15" applyNumberFormat="0" applyFont="0" applyAlignment="0" applyProtection="0"/>
    <xf numFmtId="0" fontId="21" fillId="28" borderId="15" applyNumberFormat="0" applyFont="0" applyAlignment="0" applyProtection="0"/>
    <xf numFmtId="0" fontId="21" fillId="28" borderId="15" applyNumberFormat="0" applyFont="0" applyAlignment="0" applyProtection="0"/>
    <xf numFmtId="0" fontId="21" fillId="28" borderId="15" applyNumberFormat="0" applyFont="0" applyAlignment="0" applyProtection="0"/>
    <xf numFmtId="0" fontId="21" fillId="28" borderId="15" applyNumberFormat="0" applyFont="0" applyAlignment="0" applyProtection="0"/>
    <xf numFmtId="0" fontId="21" fillId="28" borderId="15" applyNumberFormat="0" applyFont="0" applyAlignment="0" applyProtection="0"/>
    <xf numFmtId="0" fontId="21" fillId="28" borderId="15" applyNumberFormat="0" applyFont="0" applyAlignment="0" applyProtection="0"/>
    <xf numFmtId="0" fontId="21" fillId="28" borderId="15" applyNumberFormat="0" applyFont="0" applyAlignment="0" applyProtection="0"/>
    <xf numFmtId="0" fontId="21" fillId="28" borderId="15" applyNumberFormat="0" applyFont="0" applyAlignment="0" applyProtection="0"/>
    <xf numFmtId="0" fontId="21" fillId="28" borderId="15" applyNumberFormat="0" applyFont="0" applyAlignment="0" applyProtection="0"/>
    <xf numFmtId="0" fontId="5" fillId="28" borderId="15" applyNumberFormat="0" applyFont="0" applyAlignment="0" applyProtection="0"/>
    <xf numFmtId="0" fontId="21" fillId="28" borderId="15" applyNumberFormat="0" applyFont="0" applyAlignment="0" applyProtection="0"/>
    <xf numFmtId="0" fontId="21" fillId="28" borderId="15" applyNumberFormat="0" applyFont="0" applyAlignment="0" applyProtection="0"/>
    <xf numFmtId="0" fontId="21" fillId="28" borderId="15" applyNumberFormat="0" applyFont="0" applyAlignment="0" applyProtection="0"/>
    <xf numFmtId="0" fontId="21" fillId="28" borderId="15" applyNumberFormat="0" applyFont="0" applyAlignment="0" applyProtection="0"/>
    <xf numFmtId="0" fontId="21" fillId="28" borderId="15" applyNumberFormat="0" applyFont="0" applyAlignment="0" applyProtection="0"/>
    <xf numFmtId="0" fontId="21" fillId="28" borderId="15" applyNumberFormat="0" applyFont="0" applyAlignment="0" applyProtection="0"/>
    <xf numFmtId="0" fontId="21" fillId="28" borderId="15" applyNumberFormat="0" applyFont="0" applyAlignment="0" applyProtection="0"/>
    <xf numFmtId="0" fontId="21" fillId="28" borderId="15" applyNumberFormat="0" applyFont="0" applyAlignment="0" applyProtection="0"/>
    <xf numFmtId="0" fontId="21" fillId="28" borderId="15" applyNumberFormat="0" applyFont="0" applyAlignment="0" applyProtection="0"/>
    <xf numFmtId="0" fontId="21"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172" fontId="72" fillId="0" borderId="0" applyFont="0" applyFill="0" applyBorder="0" applyAlignment="0" applyProtection="0"/>
    <xf numFmtId="171" fontId="72" fillId="0" borderId="0" applyFon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1" fillId="0" borderId="0" applyFont="0" applyFill="0" applyBorder="0" applyAlignment="0" applyProtection="0"/>
    <xf numFmtId="0" fontId="73" fillId="0" borderId="0"/>
    <xf numFmtId="0" fontId="74" fillId="21" borderId="16" applyNumberFormat="0" applyAlignment="0" applyProtection="0"/>
    <xf numFmtId="14" fontId="28" fillId="0" borderId="0">
      <alignment horizontal="center" wrapText="1"/>
      <protection locked="0"/>
    </xf>
    <xf numFmtId="14" fontId="28" fillId="0" borderId="0">
      <alignment horizontal="center" wrapText="1"/>
      <protection locked="0"/>
    </xf>
    <xf numFmtId="14" fontId="28" fillId="0" borderId="0">
      <alignment horizontal="center" wrapText="1"/>
      <protection locked="0"/>
    </xf>
    <xf numFmtId="14" fontId="28" fillId="0" borderId="0">
      <alignment horizontal="center" wrapText="1"/>
      <protection locked="0"/>
    </xf>
    <xf numFmtId="14" fontId="28" fillId="0" borderId="0">
      <alignment horizontal="center" wrapText="1"/>
      <protection locked="0"/>
    </xf>
    <xf numFmtId="14" fontId="28" fillId="0" borderId="0">
      <alignment horizontal="center" wrapText="1"/>
      <protection locked="0"/>
    </xf>
    <xf numFmtId="14" fontId="28" fillId="0" borderId="0">
      <alignment horizontal="center" wrapText="1"/>
      <protection locked="0"/>
    </xf>
    <xf numFmtId="14" fontId="28" fillId="0" borderId="0">
      <alignment horizontal="center" wrapText="1"/>
      <protection locked="0"/>
    </xf>
    <xf numFmtId="14" fontId="28" fillId="0" borderId="0">
      <alignment horizontal="center" wrapText="1"/>
      <protection locked="0"/>
    </xf>
    <xf numFmtId="14" fontId="28" fillId="0" borderId="0">
      <alignment horizontal="center" wrapText="1"/>
      <protection locked="0"/>
    </xf>
    <xf numFmtId="14" fontId="28" fillId="0" borderId="0">
      <alignment horizontal="center" wrapText="1"/>
      <protection locked="0"/>
    </xf>
    <xf numFmtId="14" fontId="29" fillId="0" borderId="0">
      <alignment horizontal="center" wrapText="1"/>
      <protection locked="0"/>
    </xf>
    <xf numFmtId="14" fontId="28" fillId="0" borderId="0">
      <alignment horizontal="center" wrapText="1"/>
      <protection locked="0"/>
    </xf>
    <xf numFmtId="14" fontId="28" fillId="0" borderId="0">
      <alignment horizontal="center" wrapText="1"/>
      <protection locked="0"/>
    </xf>
    <xf numFmtId="14" fontId="28" fillId="0" borderId="0">
      <alignment horizontal="center" wrapText="1"/>
      <protection locked="0"/>
    </xf>
    <xf numFmtId="14" fontId="28" fillId="0" borderId="0">
      <alignment horizontal="center" wrapText="1"/>
      <protection locked="0"/>
    </xf>
    <xf numFmtId="14" fontId="28" fillId="0" borderId="0">
      <alignment horizontal="center" wrapText="1"/>
      <protection locked="0"/>
    </xf>
    <xf numFmtId="14" fontId="28" fillId="0" borderId="0">
      <alignment horizontal="center" wrapText="1"/>
      <protection locked="0"/>
    </xf>
    <xf numFmtId="14" fontId="29" fillId="0" borderId="0">
      <alignment horizontal="center" wrapText="1"/>
      <protection locked="0"/>
    </xf>
    <xf numFmtId="14" fontId="28" fillId="0" borderId="0">
      <alignment horizontal="center" wrapText="1"/>
      <protection locked="0"/>
    </xf>
    <xf numFmtId="14" fontId="28" fillId="0" borderId="0">
      <alignment horizontal="center" wrapText="1"/>
      <protection locked="0"/>
    </xf>
    <xf numFmtId="14" fontId="28" fillId="0" borderId="0">
      <alignment horizontal="center" wrapText="1"/>
      <protection locked="0"/>
    </xf>
    <xf numFmtId="14" fontId="28" fillId="0" borderId="0">
      <alignment horizontal="center" wrapText="1"/>
      <protection locked="0"/>
    </xf>
    <xf numFmtId="14" fontId="28" fillId="0" borderId="0">
      <alignment horizontal="center" wrapText="1"/>
      <protection locked="0"/>
    </xf>
    <xf numFmtId="14" fontId="28" fillId="0" borderId="0">
      <alignment horizontal="center" wrapText="1"/>
      <protection locked="0"/>
    </xf>
    <xf numFmtId="14" fontId="28" fillId="0" borderId="0">
      <alignment horizontal="center" wrapText="1"/>
      <protection locked="0"/>
    </xf>
    <xf numFmtId="14" fontId="29" fillId="0" borderId="0">
      <alignment horizontal="center" wrapText="1"/>
      <protection locked="0"/>
    </xf>
    <xf numFmtId="10" fontId="3" fillId="0" borderId="0" applyFont="0" applyFill="0" applyBorder="0" applyAlignment="0" applyProtection="0"/>
    <xf numFmtId="10" fontId="11"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5" fillId="0" borderId="0"/>
    <xf numFmtId="166" fontId="5" fillId="0" borderId="0" applyFon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166"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6" fontId="5" fillId="0" borderId="0" applyFont="0" applyFill="0" applyBorder="0" applyAlignment="0" applyProtection="0"/>
    <xf numFmtId="0" fontId="5" fillId="0" borderId="0"/>
    <xf numFmtId="0" fontId="3" fillId="0" borderId="0"/>
    <xf numFmtId="0" fontId="3" fillId="0" borderId="0"/>
    <xf numFmtId="0" fontId="3" fillId="0" borderId="0"/>
    <xf numFmtId="0" fontId="3" fillId="0" borderId="0"/>
    <xf numFmtId="0" fontId="75" fillId="0" borderId="0"/>
    <xf numFmtId="0" fontId="75" fillId="0" borderId="0"/>
    <xf numFmtId="0" fontId="3" fillId="0" borderId="0"/>
    <xf numFmtId="0" fontId="3" fillId="0" borderId="0"/>
    <xf numFmtId="0" fontId="75" fillId="0" borderId="0"/>
    <xf numFmtId="0" fontId="3" fillId="0" borderId="0"/>
    <xf numFmtId="0" fontId="75" fillId="0" borderId="0"/>
    <xf numFmtId="0" fontId="75" fillId="0" borderId="0"/>
    <xf numFmtId="0" fontId="3" fillId="0" borderId="0"/>
    <xf numFmtId="0" fontId="75" fillId="0" borderId="0"/>
    <xf numFmtId="0" fontId="3" fillId="0" borderId="0"/>
    <xf numFmtId="0" fontId="75" fillId="0" borderId="0"/>
    <xf numFmtId="0" fontId="3" fillId="0" borderId="0"/>
    <xf numFmtId="0" fontId="2" fillId="0" borderId="0"/>
    <xf numFmtId="0" fontId="3" fillId="0" borderId="0"/>
    <xf numFmtId="0" fontId="75" fillId="0" borderId="0"/>
    <xf numFmtId="0" fontId="2" fillId="0" borderId="0"/>
    <xf numFmtId="0" fontId="75" fillId="0" borderId="0"/>
    <xf numFmtId="0" fontId="75" fillId="0" borderId="0"/>
    <xf numFmtId="0" fontId="2" fillId="0" borderId="0"/>
    <xf numFmtId="0" fontId="75" fillId="0" borderId="0"/>
    <xf numFmtId="166" fontId="3" fillId="0" borderId="0" applyFont="0" applyFill="0" applyBorder="0" applyAlignment="0" applyProtection="0"/>
    <xf numFmtId="167"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8"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166" fontId="3" fillId="0" borderId="0" applyFont="0" applyFill="0" applyBorder="0" applyAlignment="0" applyProtection="0"/>
    <xf numFmtId="0" fontId="3" fillId="0" borderId="0"/>
    <xf numFmtId="0" fontId="37" fillId="21" borderId="62" applyNumberFormat="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3" fontId="10" fillId="23" borderId="45">
      <alignment horizontal="right" vertical="top" wrapText="1"/>
    </xf>
    <xf numFmtId="3" fontId="10" fillId="23" borderId="45">
      <alignment horizontal="right" vertical="top" wrapText="1"/>
    </xf>
    <xf numFmtId="3" fontId="10" fillId="23" borderId="45">
      <alignment horizontal="right" vertical="top" wrapText="1"/>
    </xf>
    <xf numFmtId="3" fontId="10" fillId="23" borderId="45">
      <alignment horizontal="right" vertical="top" wrapText="1"/>
    </xf>
    <xf numFmtId="3" fontId="10" fillId="23" borderId="45">
      <alignment horizontal="right" vertical="top" wrapText="1"/>
    </xf>
    <xf numFmtId="3" fontId="10" fillId="23" borderId="45">
      <alignment horizontal="right" vertical="top" wrapText="1"/>
    </xf>
    <xf numFmtId="3" fontId="10" fillId="23" borderId="45">
      <alignment horizontal="right" vertical="top" wrapText="1"/>
    </xf>
    <xf numFmtId="3" fontId="10" fillId="23" borderId="45">
      <alignment horizontal="right" vertical="top" wrapText="1"/>
    </xf>
    <xf numFmtId="3" fontId="10" fillId="23" borderId="45">
      <alignment horizontal="right" vertical="top" wrapText="1"/>
    </xf>
    <xf numFmtId="3" fontId="10" fillId="23" borderId="45">
      <alignment horizontal="right" vertical="top" wrapText="1"/>
    </xf>
    <xf numFmtId="3" fontId="10" fillId="23" borderId="45">
      <alignment horizontal="right" vertical="top" wrapText="1"/>
    </xf>
    <xf numFmtId="3" fontId="10" fillId="23" borderId="45">
      <alignment horizontal="right" vertical="top" wrapText="1"/>
    </xf>
    <xf numFmtId="3" fontId="10" fillId="23" borderId="45">
      <alignment horizontal="right" vertical="top" wrapText="1"/>
    </xf>
    <xf numFmtId="3" fontId="10" fillId="23" borderId="45">
      <alignment horizontal="right" vertical="top" wrapText="1"/>
    </xf>
    <xf numFmtId="3" fontId="10" fillId="23" borderId="45">
      <alignment horizontal="right" vertical="top" wrapText="1"/>
    </xf>
    <xf numFmtId="3" fontId="10" fillId="23" borderId="45">
      <alignment horizontal="right" vertical="top" wrapText="1"/>
    </xf>
    <xf numFmtId="3" fontId="10" fillId="23" borderId="45">
      <alignment horizontal="right" vertical="top" wrapText="1"/>
    </xf>
    <xf numFmtId="3" fontId="10" fillId="23" borderId="45">
      <alignment horizontal="right" vertical="top" wrapText="1"/>
    </xf>
    <xf numFmtId="3" fontId="10" fillId="23" borderId="45">
      <alignment horizontal="right" vertical="top" wrapText="1"/>
    </xf>
    <xf numFmtId="3" fontId="10" fillId="23" borderId="45">
      <alignment horizontal="right" vertical="top" wrapText="1"/>
    </xf>
    <xf numFmtId="3" fontId="10" fillId="23" borderId="45">
      <alignment horizontal="right" vertical="top" wrapText="1"/>
    </xf>
    <xf numFmtId="3" fontId="10" fillId="23" borderId="45">
      <alignment horizontal="right" vertical="top" wrapText="1"/>
    </xf>
    <xf numFmtId="3" fontId="10" fillId="23" borderId="45">
      <alignment horizontal="right" vertical="top" wrapText="1"/>
    </xf>
    <xf numFmtId="3" fontId="10" fillId="23" borderId="45">
      <alignment horizontal="right" vertical="top" wrapText="1"/>
    </xf>
    <xf numFmtId="3" fontId="10" fillId="23" borderId="45">
      <alignment horizontal="right" vertical="top" wrapText="1"/>
    </xf>
    <xf numFmtId="3" fontId="10" fillId="23" borderId="45">
      <alignment horizontal="right" vertical="top" wrapText="1"/>
    </xf>
    <xf numFmtId="0" fontId="54" fillId="0" borderId="49">
      <alignment horizontal="left" vertical="center"/>
    </xf>
    <xf numFmtId="10" fontId="4" fillId="24" borderId="46" applyNumberFormat="0" applyBorder="0" applyAlignment="0" applyProtection="0"/>
    <xf numFmtId="10" fontId="4" fillId="24" borderId="46" applyNumberFormat="0" applyBorder="0" applyAlignment="0" applyProtection="0"/>
    <xf numFmtId="10" fontId="4" fillId="24" borderId="46" applyNumberFormat="0" applyBorder="0" applyAlignment="0" applyProtection="0"/>
    <xf numFmtId="10" fontId="4" fillId="24" borderId="46" applyNumberFormat="0" applyBorder="0" applyAlignment="0" applyProtection="0"/>
    <xf numFmtId="10" fontId="4" fillId="24" borderId="46" applyNumberFormat="0" applyBorder="0" applyAlignment="0" applyProtection="0"/>
    <xf numFmtId="185" fontId="10" fillId="26" borderId="45">
      <alignment vertical="top" wrapText="1"/>
    </xf>
    <xf numFmtId="185" fontId="10" fillId="26" borderId="45">
      <alignment vertical="top" wrapText="1"/>
    </xf>
    <xf numFmtId="185" fontId="10" fillId="26" borderId="45">
      <alignment vertical="top" wrapText="1"/>
    </xf>
    <xf numFmtId="185" fontId="10" fillId="26" borderId="45">
      <alignment vertical="top" wrapText="1"/>
    </xf>
    <xf numFmtId="185" fontId="10" fillId="26" borderId="45">
      <alignment vertical="top" wrapText="1"/>
    </xf>
    <xf numFmtId="185" fontId="10" fillId="26" borderId="45">
      <alignment vertical="top" wrapText="1"/>
    </xf>
    <xf numFmtId="185" fontId="10" fillId="26" borderId="45">
      <alignment vertical="top" wrapText="1"/>
    </xf>
    <xf numFmtId="185" fontId="10" fillId="26" borderId="45">
      <alignment vertical="top" wrapText="1"/>
    </xf>
    <xf numFmtId="185" fontId="10" fillId="26" borderId="45">
      <alignment vertical="top" wrapText="1"/>
    </xf>
    <xf numFmtId="185" fontId="10" fillId="26" borderId="45">
      <alignment vertical="top" wrapText="1"/>
    </xf>
    <xf numFmtId="185" fontId="10" fillId="26" borderId="45">
      <alignment vertical="top" wrapText="1"/>
    </xf>
    <xf numFmtId="185" fontId="10" fillId="26" borderId="45">
      <alignment vertical="top" wrapText="1"/>
    </xf>
    <xf numFmtId="185" fontId="10" fillId="26" borderId="45">
      <alignment vertical="top" wrapText="1"/>
    </xf>
    <xf numFmtId="185" fontId="10" fillId="26" borderId="45">
      <alignment vertical="top" wrapText="1"/>
    </xf>
    <xf numFmtId="185" fontId="10" fillId="26" borderId="45">
      <alignment vertical="top" wrapText="1"/>
    </xf>
    <xf numFmtId="185" fontId="10" fillId="26" borderId="45">
      <alignment vertical="top" wrapText="1"/>
    </xf>
    <xf numFmtId="185" fontId="10" fillId="26" borderId="45">
      <alignment vertical="top" wrapText="1"/>
    </xf>
    <xf numFmtId="185" fontId="10" fillId="26" borderId="45">
      <alignment vertical="top" wrapText="1"/>
    </xf>
    <xf numFmtId="185" fontId="10" fillId="26" borderId="45">
      <alignment vertical="top" wrapText="1"/>
    </xf>
    <xf numFmtId="185" fontId="10" fillId="26" borderId="45">
      <alignment vertical="top" wrapText="1"/>
    </xf>
    <xf numFmtId="185" fontId="10" fillId="26" borderId="45">
      <alignment vertical="top" wrapText="1"/>
    </xf>
    <xf numFmtId="185" fontId="10" fillId="26" borderId="45">
      <alignment vertical="top" wrapText="1"/>
    </xf>
    <xf numFmtId="185" fontId="10" fillId="26" borderId="45">
      <alignment vertical="top" wrapText="1"/>
    </xf>
    <xf numFmtId="185" fontId="10" fillId="26" borderId="45">
      <alignment vertical="top" wrapText="1"/>
    </xf>
    <xf numFmtId="185" fontId="10" fillId="26" borderId="45">
      <alignment vertical="top" wrapText="1"/>
    </xf>
    <xf numFmtId="185" fontId="10" fillId="26" borderId="45">
      <alignment vertical="top"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1"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21" fillId="28" borderId="50" applyNumberFormat="0" applyFont="0" applyAlignment="0" applyProtection="0"/>
    <xf numFmtId="0" fontId="21" fillId="28" borderId="50" applyNumberFormat="0" applyFont="0" applyAlignment="0" applyProtection="0"/>
    <xf numFmtId="0" fontId="21"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21" fillId="28" borderId="50" applyNumberFormat="0" applyFont="0" applyAlignment="0" applyProtection="0"/>
    <xf numFmtId="0" fontId="21" fillId="28" borderId="50" applyNumberFormat="0" applyFont="0" applyAlignment="0" applyProtection="0"/>
    <xf numFmtId="0" fontId="21" fillId="28" borderId="50" applyNumberFormat="0" applyFont="0" applyAlignment="0" applyProtection="0"/>
    <xf numFmtId="0" fontId="21" fillId="28" borderId="50" applyNumberFormat="0" applyFont="0" applyAlignment="0" applyProtection="0"/>
    <xf numFmtId="0" fontId="21" fillId="28" borderId="50" applyNumberFormat="0" applyFont="0" applyAlignment="0" applyProtection="0"/>
    <xf numFmtId="0" fontId="21" fillId="28" borderId="50" applyNumberFormat="0" applyFont="0" applyAlignment="0" applyProtection="0"/>
    <xf numFmtId="0" fontId="21" fillId="28" borderId="50" applyNumberFormat="0" applyFont="0" applyAlignment="0" applyProtection="0"/>
    <xf numFmtId="0" fontId="21" fillId="28" borderId="50" applyNumberFormat="0" applyFont="0" applyAlignment="0" applyProtection="0"/>
    <xf numFmtId="0" fontId="21" fillId="28" borderId="50" applyNumberFormat="0" applyFont="0" applyAlignment="0" applyProtection="0"/>
    <xf numFmtId="0" fontId="21" fillId="28" borderId="50" applyNumberFormat="0" applyFont="0" applyAlignment="0" applyProtection="0"/>
    <xf numFmtId="0" fontId="21" fillId="28" borderId="50" applyNumberFormat="0" applyFont="0" applyAlignment="0" applyProtection="0"/>
    <xf numFmtId="0" fontId="21" fillId="28" borderId="50" applyNumberFormat="0" applyFont="0" applyAlignment="0" applyProtection="0"/>
    <xf numFmtId="0" fontId="21" fillId="28" borderId="50" applyNumberFormat="0" applyFont="0" applyAlignment="0" applyProtection="0"/>
    <xf numFmtId="0" fontId="21" fillId="28" borderId="50" applyNumberFormat="0" applyFont="0" applyAlignment="0" applyProtection="0"/>
    <xf numFmtId="0" fontId="21" fillId="28" borderId="50" applyNumberFormat="0" applyFont="0" applyAlignment="0" applyProtection="0"/>
    <xf numFmtId="0" fontId="21" fillId="28" borderId="50" applyNumberFormat="0" applyFont="0" applyAlignment="0" applyProtection="0"/>
    <xf numFmtId="0" fontId="21" fillId="28" borderId="50" applyNumberFormat="0" applyFont="0" applyAlignment="0" applyProtection="0"/>
    <xf numFmtId="0" fontId="3" fillId="28" borderId="50" applyNumberFormat="0" applyFont="0" applyAlignment="0" applyProtection="0"/>
    <xf numFmtId="0" fontId="21" fillId="28" borderId="50" applyNumberFormat="0" applyFont="0" applyAlignment="0" applyProtection="0"/>
    <xf numFmtId="0" fontId="21" fillId="28" borderId="50" applyNumberFormat="0" applyFont="0" applyAlignment="0" applyProtection="0"/>
    <xf numFmtId="0" fontId="21" fillId="28" borderId="50" applyNumberFormat="0" applyFont="0" applyAlignment="0" applyProtection="0"/>
    <xf numFmtId="0" fontId="21" fillId="28" borderId="50" applyNumberFormat="0" applyFont="0" applyAlignment="0" applyProtection="0"/>
    <xf numFmtId="0" fontId="21" fillId="28" borderId="50" applyNumberFormat="0" applyFont="0" applyAlignment="0" applyProtection="0"/>
    <xf numFmtId="0" fontId="21" fillId="28" borderId="50" applyNumberFormat="0" applyFont="0" applyAlignment="0" applyProtection="0"/>
    <xf numFmtId="0" fontId="21" fillId="28" borderId="50" applyNumberFormat="0" applyFont="0" applyAlignment="0" applyProtection="0"/>
    <xf numFmtId="0" fontId="21" fillId="28" borderId="50" applyNumberFormat="0" applyFont="0" applyAlignment="0" applyProtection="0"/>
    <xf numFmtId="0" fontId="21" fillId="28" borderId="50" applyNumberFormat="0" applyFont="0" applyAlignment="0" applyProtection="0"/>
    <xf numFmtId="0" fontId="21"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0" fontId="3" fillId="28" borderId="50" applyNumberFormat="0" applyFont="0" applyAlignment="0" applyProtection="0"/>
    <xf numFmtId="166" fontId="3" fillId="0" borderId="0" applyFont="0" applyFill="0" applyBorder="0" applyAlignment="0" applyProtection="0"/>
    <xf numFmtId="0" fontId="74" fillId="21" borderId="51" applyNumberFormat="0" applyAlignment="0" applyProtection="0"/>
    <xf numFmtId="0" fontId="3" fillId="0" borderId="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6" fontId="3" fillId="0" borderId="0" applyFon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6" fontId="3" fillId="0" borderId="0" applyFont="0" applyFill="0" applyBorder="0" applyAlignment="0" applyProtection="0"/>
    <xf numFmtId="0" fontId="3" fillId="0" borderId="0"/>
    <xf numFmtId="0" fontId="74" fillId="21" borderId="59" applyNumberForma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3" fontId="10" fillId="23" borderId="53">
      <alignment horizontal="right" vertical="top" wrapText="1"/>
    </xf>
    <xf numFmtId="3" fontId="10" fillId="23" borderId="53">
      <alignment horizontal="right" vertical="top" wrapText="1"/>
    </xf>
    <xf numFmtId="3" fontId="10" fillId="23" borderId="53">
      <alignment horizontal="right" vertical="top" wrapText="1"/>
    </xf>
    <xf numFmtId="3" fontId="10" fillId="23" borderId="53">
      <alignment horizontal="right" vertical="top" wrapText="1"/>
    </xf>
    <xf numFmtId="3" fontId="10" fillId="23" borderId="53">
      <alignment horizontal="right" vertical="top" wrapText="1"/>
    </xf>
    <xf numFmtId="3" fontId="10" fillId="23" borderId="53">
      <alignment horizontal="right" vertical="top" wrapText="1"/>
    </xf>
    <xf numFmtId="3" fontId="10" fillId="23" borderId="53">
      <alignment horizontal="right" vertical="top" wrapText="1"/>
    </xf>
    <xf numFmtId="3" fontId="10" fillId="23" borderId="53">
      <alignment horizontal="right" vertical="top" wrapText="1"/>
    </xf>
    <xf numFmtId="3" fontId="10" fillId="23" borderId="53">
      <alignment horizontal="right" vertical="top" wrapText="1"/>
    </xf>
    <xf numFmtId="3" fontId="10" fillId="23" borderId="53">
      <alignment horizontal="right" vertical="top" wrapText="1"/>
    </xf>
    <xf numFmtId="3" fontId="10" fillId="23" borderId="53">
      <alignment horizontal="right" vertical="top" wrapText="1"/>
    </xf>
    <xf numFmtId="3" fontId="10" fillId="23" borderId="53">
      <alignment horizontal="right" vertical="top" wrapText="1"/>
    </xf>
    <xf numFmtId="3" fontId="10" fillId="23" borderId="53">
      <alignment horizontal="right" vertical="top" wrapText="1"/>
    </xf>
    <xf numFmtId="3" fontId="10" fillId="23" borderId="53">
      <alignment horizontal="right" vertical="top" wrapText="1"/>
    </xf>
    <xf numFmtId="3" fontId="10" fillId="23" borderId="53">
      <alignment horizontal="right" vertical="top" wrapText="1"/>
    </xf>
    <xf numFmtId="3" fontId="10" fillId="23" borderId="53">
      <alignment horizontal="right" vertical="top" wrapText="1"/>
    </xf>
    <xf numFmtId="3" fontId="10" fillId="23" borderId="53">
      <alignment horizontal="right" vertical="top" wrapText="1"/>
    </xf>
    <xf numFmtId="3" fontId="10" fillId="23" borderId="53">
      <alignment horizontal="right" vertical="top" wrapText="1"/>
    </xf>
    <xf numFmtId="3" fontId="10" fillId="23" borderId="53">
      <alignment horizontal="right" vertical="top" wrapText="1"/>
    </xf>
    <xf numFmtId="3" fontId="10" fillId="23" borderId="53">
      <alignment horizontal="right" vertical="top" wrapText="1"/>
    </xf>
    <xf numFmtId="3" fontId="10" fillId="23" borderId="53">
      <alignment horizontal="right" vertical="top" wrapText="1"/>
    </xf>
    <xf numFmtId="3" fontId="10" fillId="23" borderId="53">
      <alignment horizontal="right" vertical="top" wrapText="1"/>
    </xf>
    <xf numFmtId="3" fontId="10" fillId="23" borderId="53">
      <alignment horizontal="right" vertical="top" wrapText="1"/>
    </xf>
    <xf numFmtId="3" fontId="10" fillId="23" borderId="53">
      <alignment horizontal="right" vertical="top" wrapText="1"/>
    </xf>
    <xf numFmtId="3" fontId="10" fillId="23" borderId="53">
      <alignment horizontal="right" vertical="top" wrapText="1"/>
    </xf>
    <xf numFmtId="3" fontId="10" fillId="23" borderId="53">
      <alignment horizontal="right" vertical="top" wrapText="1"/>
    </xf>
    <xf numFmtId="0" fontId="3" fillId="28" borderId="58" applyNumberFormat="0" applyFont="0" applyAlignment="0" applyProtection="0"/>
    <xf numFmtId="0" fontId="21" fillId="28" borderId="58" applyNumberFormat="0" applyFont="0" applyAlignment="0" applyProtection="0"/>
    <xf numFmtId="0" fontId="21" fillId="28" borderId="58" applyNumberFormat="0" applyFont="0" applyAlignment="0" applyProtection="0"/>
    <xf numFmtId="0" fontId="21" fillId="28" borderId="58" applyNumberFormat="0" applyFont="0" applyAlignment="0" applyProtection="0"/>
    <xf numFmtId="0" fontId="21" fillId="28" borderId="58" applyNumberFormat="0" applyFont="0" applyAlignment="0" applyProtection="0"/>
    <xf numFmtId="0" fontId="21" fillId="28" borderId="58" applyNumberFormat="0" applyFont="0" applyAlignment="0" applyProtection="0"/>
    <xf numFmtId="0" fontId="21" fillId="28" borderId="58" applyNumberFormat="0" applyFont="0" applyAlignment="0" applyProtection="0"/>
    <xf numFmtId="0" fontId="21" fillId="28" borderId="58" applyNumberFormat="0" applyFont="0" applyAlignment="0" applyProtection="0"/>
    <xf numFmtId="0" fontId="21" fillId="28" borderId="58" applyNumberFormat="0" applyFont="0" applyAlignment="0" applyProtection="0"/>
    <xf numFmtId="0" fontId="21" fillId="28" borderId="58" applyNumberFormat="0" applyFont="0" applyAlignment="0" applyProtection="0"/>
    <xf numFmtId="0" fontId="21" fillId="28" borderId="58" applyNumberFormat="0" applyFont="0" applyAlignment="0" applyProtection="0"/>
    <xf numFmtId="0" fontId="3" fillId="28" borderId="58" applyNumberFormat="0" applyFont="0" applyAlignment="0" applyProtection="0"/>
    <xf numFmtId="0" fontId="21" fillId="28" borderId="58" applyNumberFormat="0" applyFont="0" applyAlignment="0" applyProtection="0"/>
    <xf numFmtId="0" fontId="21" fillId="28" borderId="58" applyNumberFormat="0" applyFont="0" applyAlignment="0" applyProtection="0"/>
    <xf numFmtId="0" fontId="21" fillId="28" borderId="58" applyNumberFormat="0" applyFont="0" applyAlignment="0" applyProtection="0"/>
    <xf numFmtId="0" fontId="21" fillId="28" borderId="58" applyNumberFormat="0" applyFont="0" applyAlignment="0" applyProtection="0"/>
    <xf numFmtId="0" fontId="21" fillId="28" borderId="58" applyNumberFormat="0" applyFont="0" applyAlignment="0" applyProtection="0"/>
    <xf numFmtId="0" fontId="21" fillId="28" borderId="58" applyNumberFormat="0" applyFont="0" applyAlignment="0" applyProtection="0"/>
    <xf numFmtId="0" fontId="21" fillId="28" borderId="58" applyNumberFormat="0" applyFont="0" applyAlignment="0" applyProtection="0"/>
    <xf numFmtId="0" fontId="54" fillId="0" borderId="54">
      <alignment horizontal="left" vertical="center"/>
    </xf>
    <xf numFmtId="0" fontId="21" fillId="28" borderId="58" applyNumberFormat="0" applyFont="0" applyAlignment="0" applyProtection="0"/>
    <xf numFmtId="0" fontId="21" fillId="28" borderId="58" applyNumberFormat="0" applyFont="0" applyAlignment="0" applyProtection="0"/>
    <xf numFmtId="0" fontId="21" fillId="28" borderId="58" applyNumberFormat="0" applyFont="0" applyAlignment="0" applyProtection="0"/>
    <xf numFmtId="0" fontId="21" fillId="28" borderId="58" applyNumberFormat="0" applyFont="0" applyAlignment="0" applyProtection="0"/>
    <xf numFmtId="0" fontId="21" fillId="28" borderId="58" applyNumberFormat="0" applyFont="0" applyAlignment="0" applyProtection="0"/>
    <xf numFmtId="0" fontId="21" fillId="28" borderId="58" applyNumberFormat="0" applyFont="0" applyAlignment="0" applyProtection="0"/>
    <xf numFmtId="0" fontId="21" fillId="28" borderId="58" applyNumberFormat="0" applyFont="0" applyAlignment="0" applyProtection="0"/>
    <xf numFmtId="0" fontId="21" fillId="28" borderId="58" applyNumberFormat="0" applyFont="0" applyAlignment="0" applyProtection="0"/>
    <xf numFmtId="0" fontId="21" fillId="28" borderId="58" applyNumberFormat="0" applyFont="0" applyAlignment="0" applyProtection="0"/>
    <xf numFmtId="0" fontId="21"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21" fillId="28" borderId="58" applyNumberFormat="0" applyFont="0" applyAlignment="0" applyProtection="0"/>
    <xf numFmtId="0" fontId="21" fillId="28" borderId="58" applyNumberFormat="0" applyFont="0" applyAlignment="0" applyProtection="0"/>
    <xf numFmtId="0" fontId="21"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10" fontId="4" fillId="24" borderId="55" applyNumberFormat="0" applyBorder="0" applyAlignment="0" applyProtection="0"/>
    <xf numFmtId="10" fontId="4" fillId="24" borderId="55" applyNumberFormat="0" applyBorder="0" applyAlignment="0" applyProtection="0"/>
    <xf numFmtId="10" fontId="4" fillId="24" borderId="55" applyNumberFormat="0" applyBorder="0" applyAlignment="0" applyProtection="0"/>
    <xf numFmtId="10" fontId="4" fillId="24" borderId="55" applyNumberFormat="0" applyBorder="0" applyAlignment="0" applyProtection="0"/>
    <xf numFmtId="10" fontId="4" fillId="24" borderId="55" applyNumberFormat="0" applyBorder="0" applyAlignment="0" applyProtection="0"/>
    <xf numFmtId="185" fontId="10" fillId="26" borderId="53">
      <alignment vertical="top" wrapText="1"/>
    </xf>
    <xf numFmtId="185" fontId="10" fillId="26" borderId="53">
      <alignment vertical="top" wrapText="1"/>
    </xf>
    <xf numFmtId="185" fontId="10" fillId="26" borderId="53">
      <alignment vertical="top" wrapText="1"/>
    </xf>
    <xf numFmtId="185" fontId="10" fillId="26" borderId="53">
      <alignment vertical="top" wrapText="1"/>
    </xf>
    <xf numFmtId="185" fontId="10" fillId="26" borderId="53">
      <alignment vertical="top" wrapText="1"/>
    </xf>
    <xf numFmtId="185" fontId="10" fillId="26" borderId="53">
      <alignment vertical="top" wrapText="1"/>
    </xf>
    <xf numFmtId="185" fontId="10" fillId="26" borderId="53">
      <alignment vertical="top" wrapText="1"/>
    </xf>
    <xf numFmtId="185" fontId="10" fillId="26" borderId="53">
      <alignment vertical="top" wrapText="1"/>
    </xf>
    <xf numFmtId="185" fontId="10" fillId="26" borderId="53">
      <alignment vertical="top" wrapText="1"/>
    </xf>
    <xf numFmtId="185" fontId="10" fillId="26" borderId="53">
      <alignment vertical="top" wrapText="1"/>
    </xf>
    <xf numFmtId="185" fontId="10" fillId="26" borderId="53">
      <alignment vertical="top" wrapText="1"/>
    </xf>
    <xf numFmtId="185" fontId="10" fillId="26" borderId="53">
      <alignment vertical="top" wrapText="1"/>
    </xf>
    <xf numFmtId="185" fontId="10" fillId="26" borderId="53">
      <alignment vertical="top" wrapText="1"/>
    </xf>
    <xf numFmtId="185" fontId="10" fillId="26" borderId="53">
      <alignment vertical="top" wrapText="1"/>
    </xf>
    <xf numFmtId="185" fontId="10" fillId="26" borderId="53">
      <alignment vertical="top" wrapText="1"/>
    </xf>
    <xf numFmtId="185" fontId="10" fillId="26" borderId="53">
      <alignment vertical="top" wrapText="1"/>
    </xf>
    <xf numFmtId="185" fontId="10" fillId="26" borderId="53">
      <alignment vertical="top" wrapText="1"/>
    </xf>
    <xf numFmtId="185" fontId="10" fillId="26" borderId="53">
      <alignment vertical="top" wrapText="1"/>
    </xf>
    <xf numFmtId="185" fontId="10" fillId="26" borderId="53">
      <alignment vertical="top" wrapText="1"/>
    </xf>
    <xf numFmtId="185" fontId="10" fillId="26" borderId="53">
      <alignment vertical="top" wrapText="1"/>
    </xf>
    <xf numFmtId="185" fontId="10" fillId="26" borderId="53">
      <alignment vertical="top" wrapText="1"/>
    </xf>
    <xf numFmtId="185" fontId="10" fillId="26" borderId="53">
      <alignment vertical="top" wrapText="1"/>
    </xf>
    <xf numFmtId="185" fontId="10" fillId="26" borderId="53">
      <alignment vertical="top" wrapText="1"/>
    </xf>
    <xf numFmtId="185" fontId="10" fillId="26" borderId="53">
      <alignment vertical="top" wrapText="1"/>
    </xf>
    <xf numFmtId="185" fontId="10" fillId="26" borderId="53">
      <alignment vertical="top" wrapText="1"/>
    </xf>
    <xf numFmtId="185" fontId="10" fillId="26" borderId="53">
      <alignment vertical="top" wrapText="1"/>
    </xf>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186" fontId="64" fillId="0" borderId="52"/>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21" fillId="28" borderId="58" applyNumberFormat="0" applyFont="0" applyAlignment="0" applyProtection="0"/>
    <xf numFmtId="3" fontId="10" fillId="23" borderId="60">
      <alignment horizontal="right" vertical="top" wrapText="1"/>
    </xf>
    <xf numFmtId="3" fontId="10" fillId="23" borderId="60">
      <alignment horizontal="right" vertical="top" wrapText="1"/>
    </xf>
    <xf numFmtId="3" fontId="10" fillId="23" borderId="60">
      <alignment horizontal="right" vertical="top" wrapText="1"/>
    </xf>
    <xf numFmtId="3" fontId="10" fillId="23" borderId="60">
      <alignment horizontal="right" vertical="top" wrapText="1"/>
    </xf>
    <xf numFmtId="3" fontId="10" fillId="23" borderId="60">
      <alignment horizontal="right" vertical="top" wrapText="1"/>
    </xf>
    <xf numFmtId="3" fontId="10" fillId="23" borderId="60">
      <alignment horizontal="right" vertical="top" wrapText="1"/>
    </xf>
    <xf numFmtId="3" fontId="10" fillId="23" borderId="60">
      <alignment horizontal="right" vertical="top" wrapText="1"/>
    </xf>
    <xf numFmtId="3" fontId="10" fillId="23" borderId="60">
      <alignment horizontal="right" vertical="top" wrapText="1"/>
    </xf>
    <xf numFmtId="3" fontId="10" fillId="23" borderId="60">
      <alignment horizontal="right" vertical="top" wrapText="1"/>
    </xf>
    <xf numFmtId="3" fontId="10" fillId="23" borderId="60">
      <alignment horizontal="right" vertical="top" wrapText="1"/>
    </xf>
    <xf numFmtId="3" fontId="10" fillId="23" borderId="60">
      <alignment horizontal="right" vertical="top" wrapText="1"/>
    </xf>
    <xf numFmtId="3" fontId="10" fillId="23" borderId="60">
      <alignment horizontal="right" vertical="top" wrapText="1"/>
    </xf>
    <xf numFmtId="3" fontId="10" fillId="23" borderId="60">
      <alignment horizontal="right" vertical="top" wrapText="1"/>
    </xf>
    <xf numFmtId="3" fontId="10" fillId="23" borderId="60">
      <alignment horizontal="right" vertical="top" wrapText="1"/>
    </xf>
    <xf numFmtId="3" fontId="10" fillId="23" borderId="60">
      <alignment horizontal="right" vertical="top" wrapText="1"/>
    </xf>
    <xf numFmtId="3" fontId="10" fillId="23" borderId="60">
      <alignment horizontal="right" vertical="top" wrapText="1"/>
    </xf>
    <xf numFmtId="3" fontId="10" fillId="23" borderId="60">
      <alignment horizontal="right" vertical="top" wrapText="1"/>
    </xf>
    <xf numFmtId="3" fontId="10" fillId="23" borderId="60">
      <alignment horizontal="right" vertical="top" wrapText="1"/>
    </xf>
    <xf numFmtId="3" fontId="10" fillId="23" borderId="60">
      <alignment horizontal="right" vertical="top" wrapText="1"/>
    </xf>
    <xf numFmtId="3" fontId="10" fillId="23" borderId="60">
      <alignment horizontal="right" vertical="top" wrapText="1"/>
    </xf>
    <xf numFmtId="3" fontId="10" fillId="23" borderId="60">
      <alignment horizontal="right" vertical="top" wrapText="1"/>
    </xf>
    <xf numFmtId="3" fontId="10" fillId="23" borderId="60">
      <alignment horizontal="right" vertical="top" wrapText="1"/>
    </xf>
    <xf numFmtId="3" fontId="10" fillId="23" borderId="60">
      <alignment horizontal="right" vertical="top" wrapText="1"/>
    </xf>
    <xf numFmtId="3" fontId="10" fillId="23" borderId="60">
      <alignment horizontal="right" vertical="top" wrapText="1"/>
    </xf>
    <xf numFmtId="3" fontId="10" fillId="23" borderId="60">
      <alignment horizontal="right" vertical="top" wrapText="1"/>
    </xf>
    <xf numFmtId="10" fontId="4" fillId="24" borderId="61" applyNumberFormat="0" applyBorder="0" applyAlignment="0" applyProtection="0"/>
    <xf numFmtId="10" fontId="4" fillId="24" borderId="61" applyNumberFormat="0" applyBorder="0" applyAlignment="0" applyProtection="0"/>
    <xf numFmtId="10" fontId="4" fillId="24" borderId="61" applyNumberFormat="0" applyBorder="0" applyAlignment="0" applyProtection="0"/>
    <xf numFmtId="10" fontId="4" fillId="24" borderId="61" applyNumberFormat="0" applyBorder="0" applyAlignment="0" applyProtection="0"/>
    <xf numFmtId="10" fontId="4" fillId="24" borderId="61" applyNumberFormat="0" applyBorder="0" applyAlignment="0" applyProtection="0"/>
    <xf numFmtId="185" fontId="10" fillId="26" borderId="60">
      <alignment vertical="top" wrapText="1"/>
    </xf>
    <xf numFmtId="185" fontId="10" fillId="26" borderId="60">
      <alignment vertical="top" wrapText="1"/>
    </xf>
    <xf numFmtId="185" fontId="10" fillId="26" borderId="60">
      <alignment vertical="top" wrapText="1"/>
    </xf>
    <xf numFmtId="185" fontId="10" fillId="26" borderId="60">
      <alignment vertical="top" wrapText="1"/>
    </xf>
    <xf numFmtId="185" fontId="10" fillId="26" borderId="60">
      <alignment vertical="top" wrapText="1"/>
    </xf>
    <xf numFmtId="185" fontId="10" fillId="26" borderId="60">
      <alignment vertical="top" wrapText="1"/>
    </xf>
    <xf numFmtId="185" fontId="10" fillId="26" borderId="60">
      <alignment vertical="top" wrapText="1"/>
    </xf>
    <xf numFmtId="185" fontId="10" fillId="26" borderId="60">
      <alignment vertical="top" wrapText="1"/>
    </xf>
    <xf numFmtId="185" fontId="10" fillId="26" borderId="60">
      <alignment vertical="top" wrapText="1"/>
    </xf>
    <xf numFmtId="185" fontId="10" fillId="26" borderId="60">
      <alignment vertical="top" wrapText="1"/>
    </xf>
    <xf numFmtId="185" fontId="10" fillId="26" borderId="60">
      <alignment vertical="top" wrapText="1"/>
    </xf>
    <xf numFmtId="185" fontId="10" fillId="26" borderId="60">
      <alignment vertical="top" wrapText="1"/>
    </xf>
    <xf numFmtId="185" fontId="10" fillId="26" borderId="60">
      <alignment vertical="top" wrapText="1"/>
    </xf>
    <xf numFmtId="185" fontId="10" fillId="26" borderId="60">
      <alignment vertical="top" wrapText="1"/>
    </xf>
    <xf numFmtId="185" fontId="10" fillId="26" borderId="60">
      <alignment vertical="top" wrapText="1"/>
    </xf>
    <xf numFmtId="185" fontId="10" fillId="26" borderId="60">
      <alignment vertical="top" wrapText="1"/>
    </xf>
    <xf numFmtId="185" fontId="10" fillId="26" borderId="60">
      <alignment vertical="top" wrapText="1"/>
    </xf>
    <xf numFmtId="185" fontId="10" fillId="26" borderId="60">
      <alignment vertical="top" wrapText="1"/>
    </xf>
    <xf numFmtId="185" fontId="10" fillId="26" borderId="60">
      <alignment vertical="top" wrapText="1"/>
    </xf>
    <xf numFmtId="185" fontId="10" fillId="26" borderId="60">
      <alignment vertical="top" wrapText="1"/>
    </xf>
    <xf numFmtId="185" fontId="10" fillId="26" borderId="60">
      <alignment vertical="top" wrapText="1"/>
    </xf>
    <xf numFmtId="185" fontId="10" fillId="26" borderId="60">
      <alignment vertical="top" wrapText="1"/>
    </xf>
    <xf numFmtId="185" fontId="10" fillId="26" borderId="60">
      <alignment vertical="top" wrapText="1"/>
    </xf>
    <xf numFmtId="185" fontId="10" fillId="26" borderId="60">
      <alignment vertical="top" wrapText="1"/>
    </xf>
    <xf numFmtId="185" fontId="10" fillId="26" borderId="60">
      <alignment vertical="top" wrapText="1"/>
    </xf>
    <xf numFmtId="185" fontId="10" fillId="26" borderId="60">
      <alignment vertical="top" wrapText="1"/>
    </xf>
    <xf numFmtId="185" fontId="10" fillId="26" borderId="66">
      <alignment vertical="top" wrapText="1"/>
    </xf>
    <xf numFmtId="185" fontId="10" fillId="26" borderId="66">
      <alignment vertical="top" wrapText="1"/>
    </xf>
    <xf numFmtId="185" fontId="10" fillId="26" borderId="56">
      <alignment vertical="top" wrapText="1"/>
    </xf>
    <xf numFmtId="185" fontId="10" fillId="26" borderId="56">
      <alignment vertical="top" wrapText="1"/>
    </xf>
    <xf numFmtId="185" fontId="10" fillId="26" borderId="56">
      <alignment vertical="top" wrapText="1"/>
    </xf>
    <xf numFmtId="185" fontId="10" fillId="26" borderId="56">
      <alignment vertical="top" wrapText="1"/>
    </xf>
    <xf numFmtId="185" fontId="10" fillId="26" borderId="56">
      <alignment vertical="top" wrapText="1"/>
    </xf>
    <xf numFmtId="185" fontId="10" fillId="26" borderId="56">
      <alignment vertical="top" wrapText="1"/>
    </xf>
    <xf numFmtId="185" fontId="10" fillId="26" borderId="56">
      <alignment vertical="top" wrapText="1"/>
    </xf>
    <xf numFmtId="185" fontId="10" fillId="26" borderId="56">
      <alignment vertical="top" wrapText="1"/>
    </xf>
    <xf numFmtId="185" fontId="10" fillId="26" borderId="56">
      <alignment vertical="top" wrapText="1"/>
    </xf>
    <xf numFmtId="185" fontId="10" fillId="26" borderId="56">
      <alignment vertical="top" wrapText="1"/>
    </xf>
    <xf numFmtId="185" fontId="10" fillId="26" borderId="56">
      <alignment vertical="top" wrapText="1"/>
    </xf>
    <xf numFmtId="185" fontId="10" fillId="26" borderId="56">
      <alignment vertical="top" wrapText="1"/>
    </xf>
    <xf numFmtId="185" fontId="10" fillId="26" borderId="56">
      <alignment vertical="top" wrapText="1"/>
    </xf>
    <xf numFmtId="185" fontId="10" fillId="26" borderId="56">
      <alignment vertical="top" wrapText="1"/>
    </xf>
    <xf numFmtId="185" fontId="10" fillId="26" borderId="56">
      <alignment vertical="top" wrapText="1"/>
    </xf>
    <xf numFmtId="185" fontId="10" fillId="26" borderId="56">
      <alignment vertical="top" wrapText="1"/>
    </xf>
    <xf numFmtId="185" fontId="10" fillId="26" borderId="56">
      <alignment vertical="top" wrapText="1"/>
    </xf>
    <xf numFmtId="185" fontId="10" fillId="26" borderId="56">
      <alignment vertical="top" wrapText="1"/>
    </xf>
    <xf numFmtId="185" fontId="10" fillId="26" borderId="56">
      <alignment vertical="top" wrapText="1"/>
    </xf>
    <xf numFmtId="185" fontId="10" fillId="26" borderId="56">
      <alignment vertical="top" wrapText="1"/>
    </xf>
    <xf numFmtId="185" fontId="10" fillId="26" borderId="56">
      <alignment vertical="top" wrapText="1"/>
    </xf>
    <xf numFmtId="185" fontId="10" fillId="26" borderId="56">
      <alignment vertical="top" wrapText="1"/>
    </xf>
    <xf numFmtId="185" fontId="10" fillId="26" borderId="56">
      <alignment vertical="top" wrapText="1"/>
    </xf>
    <xf numFmtId="185" fontId="10" fillId="26" borderId="56">
      <alignment vertical="top" wrapText="1"/>
    </xf>
    <xf numFmtId="185" fontId="10" fillId="26" borderId="56">
      <alignment vertical="top" wrapText="1"/>
    </xf>
    <xf numFmtId="185" fontId="10" fillId="26" borderId="56">
      <alignment vertical="top" wrapText="1"/>
    </xf>
    <xf numFmtId="185" fontId="10" fillId="26" borderId="66">
      <alignment vertical="top" wrapText="1"/>
    </xf>
    <xf numFmtId="185" fontId="10" fillId="26" borderId="66">
      <alignment vertical="top" wrapText="1"/>
    </xf>
    <xf numFmtId="185" fontId="10" fillId="26" borderId="66">
      <alignment vertical="top" wrapText="1"/>
    </xf>
    <xf numFmtId="185" fontId="10" fillId="26" borderId="66">
      <alignment vertical="top" wrapText="1"/>
    </xf>
    <xf numFmtId="185" fontId="10" fillId="26" borderId="66">
      <alignment vertical="top" wrapText="1"/>
    </xf>
    <xf numFmtId="0" fontId="61" fillId="8" borderId="57" applyNumberFormat="0" applyAlignment="0" applyProtection="0"/>
    <xf numFmtId="185" fontId="10" fillId="26" borderId="66">
      <alignment vertical="top" wrapText="1"/>
    </xf>
    <xf numFmtId="185" fontId="10" fillId="26" borderId="66">
      <alignment vertical="top" wrapText="1"/>
    </xf>
    <xf numFmtId="185" fontId="10" fillId="26" borderId="66">
      <alignment vertical="top" wrapText="1"/>
    </xf>
    <xf numFmtId="185" fontId="10" fillId="26" borderId="66">
      <alignment vertical="top" wrapText="1"/>
    </xf>
    <xf numFmtId="185" fontId="10" fillId="26" borderId="66">
      <alignment vertical="top" wrapText="1"/>
    </xf>
    <xf numFmtId="185" fontId="10" fillId="26" borderId="66">
      <alignment vertical="top" wrapText="1"/>
    </xf>
    <xf numFmtId="185" fontId="10" fillId="26" borderId="66">
      <alignment vertical="top" wrapText="1"/>
    </xf>
    <xf numFmtId="185" fontId="10" fillId="26" borderId="66">
      <alignment vertical="top" wrapText="1"/>
    </xf>
    <xf numFmtId="185" fontId="10" fillId="26" borderId="66">
      <alignment vertical="top" wrapText="1"/>
    </xf>
    <xf numFmtId="185" fontId="10" fillId="26" borderId="66">
      <alignment vertical="top" wrapText="1"/>
    </xf>
    <xf numFmtId="185" fontId="10" fillId="26" borderId="66">
      <alignment vertical="top" wrapText="1"/>
    </xf>
    <xf numFmtId="185" fontId="10" fillId="26" borderId="66">
      <alignment vertical="top" wrapText="1"/>
    </xf>
    <xf numFmtId="185" fontId="10" fillId="26" borderId="66">
      <alignment vertical="top" wrapText="1"/>
    </xf>
    <xf numFmtId="185" fontId="10" fillId="26" borderId="66">
      <alignment vertical="top" wrapText="1"/>
    </xf>
    <xf numFmtId="185" fontId="10" fillId="26" borderId="66">
      <alignment vertical="top" wrapText="1"/>
    </xf>
    <xf numFmtId="185" fontId="10" fillId="26" borderId="66">
      <alignment vertical="top" wrapText="1"/>
    </xf>
    <xf numFmtId="185" fontId="10" fillId="26" borderId="66">
      <alignment vertical="top" wrapText="1"/>
    </xf>
    <xf numFmtId="185" fontId="10" fillId="26" borderId="66">
      <alignment vertical="top" wrapText="1"/>
    </xf>
    <xf numFmtId="185" fontId="10" fillId="26" borderId="66">
      <alignment vertical="top" wrapText="1"/>
    </xf>
    <xf numFmtId="0" fontId="61" fillId="8" borderId="62" applyNumberFormat="0" applyAlignment="0" applyProtection="0"/>
    <xf numFmtId="3" fontId="10" fillId="23" borderId="56">
      <alignment horizontal="right" vertical="top" wrapText="1"/>
    </xf>
    <xf numFmtId="3" fontId="10" fillId="23" borderId="56">
      <alignment horizontal="right" vertical="top" wrapText="1"/>
    </xf>
    <xf numFmtId="3" fontId="10" fillId="23" borderId="56">
      <alignment horizontal="right" vertical="top" wrapText="1"/>
    </xf>
    <xf numFmtId="3" fontId="10" fillId="23" borderId="56">
      <alignment horizontal="right" vertical="top" wrapText="1"/>
    </xf>
    <xf numFmtId="3" fontId="10" fillId="23" borderId="56">
      <alignment horizontal="right" vertical="top" wrapText="1"/>
    </xf>
    <xf numFmtId="3" fontId="10" fillId="23" borderId="56">
      <alignment horizontal="right" vertical="top" wrapText="1"/>
    </xf>
    <xf numFmtId="3" fontId="10" fillId="23" borderId="56">
      <alignment horizontal="right" vertical="top" wrapText="1"/>
    </xf>
    <xf numFmtId="3" fontId="10" fillId="23" borderId="56">
      <alignment horizontal="right" vertical="top" wrapText="1"/>
    </xf>
    <xf numFmtId="3" fontId="10" fillId="23" borderId="56">
      <alignment horizontal="right" vertical="top" wrapText="1"/>
    </xf>
    <xf numFmtId="3" fontId="10" fillId="23" borderId="56">
      <alignment horizontal="right" vertical="top" wrapText="1"/>
    </xf>
    <xf numFmtId="3" fontId="10" fillId="23" borderId="56">
      <alignment horizontal="right" vertical="top" wrapText="1"/>
    </xf>
    <xf numFmtId="3" fontId="10" fillId="23" borderId="56">
      <alignment horizontal="right" vertical="top" wrapText="1"/>
    </xf>
    <xf numFmtId="3" fontId="10" fillId="23" borderId="56">
      <alignment horizontal="right" vertical="top" wrapText="1"/>
    </xf>
    <xf numFmtId="3" fontId="10" fillId="23" borderId="56">
      <alignment horizontal="right" vertical="top" wrapText="1"/>
    </xf>
    <xf numFmtId="3" fontId="10" fillId="23" borderId="56">
      <alignment horizontal="right" vertical="top" wrapText="1"/>
    </xf>
    <xf numFmtId="3" fontId="10" fillId="23" borderId="56">
      <alignment horizontal="right" vertical="top" wrapText="1"/>
    </xf>
    <xf numFmtId="3" fontId="10" fillId="23" borderId="56">
      <alignment horizontal="right" vertical="top" wrapText="1"/>
    </xf>
    <xf numFmtId="3" fontId="10" fillId="23" borderId="56">
      <alignment horizontal="right" vertical="top" wrapText="1"/>
    </xf>
    <xf numFmtId="3" fontId="10" fillId="23" borderId="56">
      <alignment horizontal="right" vertical="top" wrapText="1"/>
    </xf>
    <xf numFmtId="3" fontId="10" fillId="23" borderId="56">
      <alignment horizontal="right" vertical="top" wrapText="1"/>
    </xf>
    <xf numFmtId="3" fontId="10" fillId="23" borderId="56">
      <alignment horizontal="right" vertical="top" wrapText="1"/>
    </xf>
    <xf numFmtId="3" fontId="10" fillId="23" borderId="56">
      <alignment horizontal="right" vertical="top" wrapText="1"/>
    </xf>
    <xf numFmtId="3" fontId="10" fillId="23" borderId="56">
      <alignment horizontal="right" vertical="top" wrapText="1"/>
    </xf>
    <xf numFmtId="3" fontId="10" fillId="23" borderId="56">
      <alignment horizontal="right" vertical="top" wrapText="1"/>
    </xf>
    <xf numFmtId="3" fontId="10" fillId="23" borderId="56">
      <alignment horizontal="right" vertical="top" wrapText="1"/>
    </xf>
    <xf numFmtId="3" fontId="10" fillId="23" borderId="56">
      <alignment horizontal="right" vertical="top" wrapText="1"/>
    </xf>
    <xf numFmtId="3" fontId="10" fillId="23" borderId="66">
      <alignment horizontal="right" vertical="top" wrapText="1"/>
    </xf>
    <xf numFmtId="3" fontId="10" fillId="23" borderId="66">
      <alignment horizontal="right" vertical="top" wrapText="1"/>
    </xf>
    <xf numFmtId="3" fontId="10" fillId="23" borderId="66">
      <alignment horizontal="right" vertical="top" wrapText="1"/>
    </xf>
    <xf numFmtId="3" fontId="10" fillId="23" borderId="66">
      <alignment horizontal="right" vertical="top" wrapText="1"/>
    </xf>
    <xf numFmtId="3" fontId="10" fillId="23" borderId="66">
      <alignment horizontal="right" vertical="top" wrapText="1"/>
    </xf>
    <xf numFmtId="3" fontId="10" fillId="23" borderId="66">
      <alignment horizontal="right" vertical="top" wrapText="1"/>
    </xf>
    <xf numFmtId="3" fontId="10" fillId="23" borderId="66">
      <alignment horizontal="right" vertical="top" wrapText="1"/>
    </xf>
    <xf numFmtId="3" fontId="10" fillId="23" borderId="66">
      <alignment horizontal="right" vertical="top" wrapText="1"/>
    </xf>
    <xf numFmtId="3" fontId="10" fillId="23" borderId="66">
      <alignment horizontal="right" vertical="top" wrapText="1"/>
    </xf>
    <xf numFmtId="3" fontId="10" fillId="23" borderId="66">
      <alignment horizontal="right" vertical="top" wrapText="1"/>
    </xf>
    <xf numFmtId="3" fontId="10" fillId="23" borderId="66">
      <alignment horizontal="right" vertical="top" wrapText="1"/>
    </xf>
    <xf numFmtId="3" fontId="10" fillId="23" borderId="66">
      <alignment horizontal="right" vertical="top" wrapText="1"/>
    </xf>
    <xf numFmtId="3" fontId="10" fillId="23" borderId="66">
      <alignment horizontal="right" vertical="top" wrapText="1"/>
    </xf>
    <xf numFmtId="3" fontId="10" fillId="23" borderId="66">
      <alignment horizontal="right" vertical="top" wrapText="1"/>
    </xf>
    <xf numFmtId="3" fontId="10" fillId="23" borderId="66">
      <alignment horizontal="right" vertical="top" wrapText="1"/>
    </xf>
    <xf numFmtId="3" fontId="10" fillId="23" borderId="66">
      <alignment horizontal="right" vertical="top" wrapText="1"/>
    </xf>
    <xf numFmtId="3" fontId="10" fillId="23" borderId="66">
      <alignment horizontal="right" vertical="top" wrapText="1"/>
    </xf>
    <xf numFmtId="3" fontId="10" fillId="23" borderId="66">
      <alignment horizontal="right" vertical="top" wrapText="1"/>
    </xf>
    <xf numFmtId="3" fontId="10" fillId="23" borderId="66">
      <alignment horizontal="right" vertical="top" wrapText="1"/>
    </xf>
    <xf numFmtId="3" fontId="10" fillId="23" borderId="66">
      <alignment horizontal="right" vertical="top" wrapText="1"/>
    </xf>
    <xf numFmtId="3" fontId="10" fillId="23" borderId="66">
      <alignment horizontal="right" vertical="top" wrapText="1"/>
    </xf>
    <xf numFmtId="3" fontId="10" fillId="23" borderId="66">
      <alignment horizontal="right" vertical="top" wrapText="1"/>
    </xf>
    <xf numFmtId="3" fontId="10" fillId="23" borderId="66">
      <alignment horizontal="right" vertical="top" wrapText="1"/>
    </xf>
    <xf numFmtId="3" fontId="10" fillId="23" borderId="66">
      <alignment horizontal="right" vertical="top" wrapText="1"/>
    </xf>
    <xf numFmtId="3" fontId="10" fillId="23" borderId="66">
      <alignment horizontal="right" vertical="top" wrapText="1"/>
    </xf>
    <xf numFmtId="0" fontId="21"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21"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21" fillId="28" borderId="64" applyNumberFormat="0" applyFont="0" applyAlignment="0" applyProtection="0"/>
    <xf numFmtId="0" fontId="21" fillId="28" borderId="64" applyNumberFormat="0" applyFont="0" applyAlignment="0" applyProtection="0"/>
    <xf numFmtId="0" fontId="21" fillId="28" borderId="64" applyNumberFormat="0" applyFont="0" applyAlignment="0" applyProtection="0"/>
    <xf numFmtId="0" fontId="21" fillId="28" borderId="64" applyNumberFormat="0" applyFont="0" applyAlignment="0" applyProtection="0"/>
    <xf numFmtId="0" fontId="21" fillId="28" borderId="64" applyNumberFormat="0" applyFont="0" applyAlignment="0" applyProtection="0"/>
    <xf numFmtId="0" fontId="21" fillId="28" borderId="64" applyNumberFormat="0" applyFont="0" applyAlignment="0" applyProtection="0"/>
    <xf numFmtId="0" fontId="21" fillId="28" borderId="64" applyNumberFormat="0" applyFont="0" applyAlignment="0" applyProtection="0"/>
    <xf numFmtId="0" fontId="21" fillId="28" borderId="64" applyNumberFormat="0" applyFont="0" applyAlignment="0" applyProtection="0"/>
    <xf numFmtId="0" fontId="21" fillId="28" borderId="64" applyNumberFormat="0" applyFont="0" applyAlignment="0" applyProtection="0"/>
    <xf numFmtId="0" fontId="21" fillId="28" borderId="64" applyNumberFormat="0" applyFont="0" applyAlignment="0" applyProtection="0"/>
    <xf numFmtId="0" fontId="21" fillId="28" borderId="64" applyNumberFormat="0" applyFont="0" applyAlignment="0" applyProtection="0"/>
    <xf numFmtId="0" fontId="21" fillId="28" borderId="64" applyNumberFormat="0" applyFont="0" applyAlignment="0" applyProtection="0"/>
    <xf numFmtId="0" fontId="21" fillId="28" borderId="64" applyNumberFormat="0" applyFont="0" applyAlignment="0" applyProtection="0"/>
    <xf numFmtId="0" fontId="21"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74" fillId="21" borderId="65" applyNumberFormat="0" applyAlignment="0" applyProtection="0"/>
    <xf numFmtId="166" fontId="3" fillId="0" borderId="0" applyFont="0" applyFill="0" applyBorder="0" applyAlignment="0" applyProtection="0"/>
    <xf numFmtId="0" fontId="3" fillId="0" borderId="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21" fillId="28" borderId="64" applyNumberFormat="0" applyFont="0" applyAlignment="0" applyProtection="0"/>
    <xf numFmtId="0" fontId="21"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21"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21" fillId="28" borderId="64" applyNumberFormat="0" applyFont="0" applyAlignment="0" applyProtection="0"/>
    <xf numFmtId="0" fontId="21" fillId="28" borderId="64" applyNumberFormat="0" applyFont="0" applyAlignment="0" applyProtection="0"/>
    <xf numFmtId="0" fontId="21" fillId="28" borderId="64" applyNumberFormat="0" applyFont="0" applyAlignment="0" applyProtection="0"/>
    <xf numFmtId="0" fontId="21" fillId="28" borderId="64" applyNumberFormat="0" applyFont="0" applyAlignment="0" applyProtection="0"/>
    <xf numFmtId="0" fontId="21" fillId="28" borderId="64" applyNumberFormat="0" applyFont="0" applyAlignment="0" applyProtection="0"/>
    <xf numFmtId="0" fontId="21" fillId="28" borderId="64" applyNumberFormat="0" applyFont="0" applyAlignment="0" applyProtection="0"/>
    <xf numFmtId="0" fontId="21" fillId="28" borderId="64" applyNumberFormat="0" applyFont="0" applyAlignment="0" applyProtection="0"/>
    <xf numFmtId="0" fontId="21" fillId="28" borderId="64" applyNumberFormat="0" applyFont="0" applyAlignment="0" applyProtection="0"/>
    <xf numFmtId="0" fontId="3" fillId="28" borderId="64" applyNumberFormat="0" applyFont="0" applyAlignment="0" applyProtection="0"/>
    <xf numFmtId="0" fontId="21" fillId="28" borderId="64" applyNumberFormat="0" applyFont="0" applyAlignment="0" applyProtection="0"/>
    <xf numFmtId="0" fontId="21" fillId="28" borderId="64" applyNumberFormat="0" applyFont="0" applyAlignment="0" applyProtection="0"/>
    <xf numFmtId="0" fontId="21" fillId="28" borderId="64" applyNumberFormat="0" applyFont="0" applyAlignment="0" applyProtection="0"/>
    <xf numFmtId="0" fontId="21"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 fillId="28" borderId="64" applyNumberFormat="0" applyFont="0" applyAlignment="0" applyProtection="0"/>
    <xf numFmtId="0" fontId="37" fillId="21" borderId="57" applyNumberFormat="0" applyAlignment="0" applyProtection="0"/>
    <xf numFmtId="166" fontId="3" fillId="0" borderId="0" applyFont="0" applyFill="0" applyBorder="0" applyAlignment="0" applyProtection="0"/>
    <xf numFmtId="0" fontId="3" fillId="0" borderId="0"/>
    <xf numFmtId="0" fontId="3" fillId="28" borderId="58" applyNumberFormat="0" applyFont="0" applyAlignment="0" applyProtection="0"/>
    <xf numFmtId="0" fontId="3" fillId="28" borderId="58" applyNumberFormat="0" applyFont="0" applyAlignment="0" applyProtection="0"/>
    <xf numFmtId="0" fontId="3" fillId="28" borderId="58" applyNumberFormat="0" applyFont="0" applyAlignment="0" applyProtection="0"/>
    <xf numFmtId="0" fontId="61" fillId="8" borderId="62" applyNumberFormat="0" applyAlignment="0" applyProtection="0"/>
    <xf numFmtId="3" fontId="10" fillId="23" borderId="60">
      <alignment horizontal="right" vertical="top" wrapText="1"/>
    </xf>
    <xf numFmtId="0" fontId="54" fillId="0" borderId="63">
      <alignment horizontal="left" vertical="center"/>
    </xf>
    <xf numFmtId="3" fontId="10" fillId="23" borderId="66">
      <alignment horizontal="right" vertical="top" wrapText="1"/>
    </xf>
    <xf numFmtId="0" fontId="3" fillId="0" borderId="0"/>
    <xf numFmtId="0" fontId="138" fillId="0" borderId="0"/>
    <xf numFmtId="0" fontId="75" fillId="0" borderId="0"/>
    <xf numFmtId="43" fontId="139" fillId="0" borderId="0" applyFont="0" applyFill="0" applyBorder="0" applyAlignment="0" applyProtection="0"/>
    <xf numFmtId="0" fontId="139" fillId="0" borderId="0"/>
    <xf numFmtId="0" fontId="150" fillId="0" borderId="0"/>
    <xf numFmtId="0" fontId="1" fillId="0" borderId="0"/>
    <xf numFmtId="0" fontId="3" fillId="0" borderId="0"/>
    <xf numFmtId="0" fontId="3" fillId="0" borderId="0"/>
    <xf numFmtId="0" fontId="150" fillId="0" borderId="0"/>
  </cellStyleXfs>
  <cellXfs count="1432">
    <xf numFmtId="0" fontId="0" fillId="0" borderId="0" xfId="0"/>
    <xf numFmtId="0" fontId="0" fillId="0" borderId="0" xfId="0" applyAlignment="1">
      <alignment horizontal="center"/>
    </xf>
    <xf numFmtId="0" fontId="0" fillId="0" borderId="0" xfId="0" applyAlignment="1">
      <alignment vertical="center" wrapText="1"/>
    </xf>
    <xf numFmtId="0" fontId="84" fillId="0" borderId="21" xfId="0" applyFont="1" applyBorder="1" applyAlignment="1">
      <alignment horizontal="center" vertical="center" wrapText="1"/>
    </xf>
    <xf numFmtId="0" fontId="83" fillId="0" borderId="0" xfId="0" applyFont="1" applyAlignment="1">
      <alignment vertical="center" wrapText="1"/>
    </xf>
    <xf numFmtId="0" fontId="75" fillId="0" borderId="19" xfId="0" applyFont="1" applyBorder="1" applyAlignment="1">
      <alignment horizontal="center" vertical="center" wrapText="1"/>
    </xf>
    <xf numFmtId="0" fontId="85" fillId="0" borderId="19" xfId="0" applyFont="1" applyBorder="1" applyAlignment="1">
      <alignment horizontal="center" vertical="center" wrapText="1"/>
    </xf>
    <xf numFmtId="0" fontId="82" fillId="0" borderId="0" xfId="0" applyFont="1" applyAlignment="1">
      <alignment vertical="center" wrapText="1"/>
    </xf>
    <xf numFmtId="0" fontId="86" fillId="0" borderId="0" xfId="0" applyFont="1" applyAlignment="1">
      <alignment vertical="center" wrapText="1"/>
    </xf>
    <xf numFmtId="0" fontId="75" fillId="0" borderId="22" xfId="0" applyFont="1" applyBorder="1" applyAlignment="1">
      <alignment horizontal="center" vertical="center" wrapText="1"/>
    </xf>
    <xf numFmtId="0" fontId="84" fillId="0" borderId="17" xfId="0" applyFont="1" applyBorder="1" applyAlignment="1">
      <alignment horizontal="center" vertical="center" wrapText="1"/>
    </xf>
    <xf numFmtId="0" fontId="85" fillId="0" borderId="17" xfId="0" applyFont="1" applyBorder="1" applyAlignment="1">
      <alignment horizontal="center" vertical="center" wrapText="1"/>
    </xf>
    <xf numFmtId="0" fontId="87" fillId="0" borderId="21" xfId="0" applyFont="1" applyBorder="1" applyAlignment="1">
      <alignment vertical="center" wrapText="1"/>
    </xf>
    <xf numFmtId="0" fontId="87" fillId="0" borderId="18" xfId="0" applyFont="1" applyBorder="1" applyAlignment="1">
      <alignment vertical="center" wrapText="1"/>
    </xf>
    <xf numFmtId="0" fontId="88" fillId="0" borderId="19" xfId="0" applyFont="1" applyBorder="1" applyAlignment="1">
      <alignment vertical="center" wrapText="1"/>
    </xf>
    <xf numFmtId="0" fontId="89" fillId="0" borderId="19" xfId="0" applyFont="1" applyBorder="1" applyAlignment="1">
      <alignment vertical="center" wrapText="1"/>
    </xf>
    <xf numFmtId="0" fontId="88" fillId="0" borderId="22" xfId="0" applyFont="1" applyBorder="1" applyAlignment="1">
      <alignment vertical="center" wrapText="1"/>
    </xf>
    <xf numFmtId="0" fontId="89" fillId="0" borderId="17" xfId="0" applyFont="1" applyBorder="1" applyAlignment="1">
      <alignment horizontal="center" vertical="center" wrapText="1"/>
    </xf>
    <xf numFmtId="0" fontId="87" fillId="0" borderId="17" xfId="0" applyFont="1" applyBorder="1" applyAlignment="1">
      <alignment vertical="center" wrapText="1"/>
    </xf>
    <xf numFmtId="0" fontId="90" fillId="0" borderId="19" xfId="0" applyFont="1" applyBorder="1" applyAlignment="1">
      <alignment vertical="center" wrapText="1"/>
    </xf>
    <xf numFmtId="0" fontId="91" fillId="0" borderId="19" xfId="0" applyFont="1" applyBorder="1" applyAlignment="1">
      <alignment horizontal="center" vertical="center" wrapText="1"/>
    </xf>
    <xf numFmtId="0" fontId="92" fillId="0" borderId="0" xfId="0" applyFont="1" applyAlignment="1">
      <alignment vertical="center" wrapText="1"/>
    </xf>
    <xf numFmtId="0" fontId="93" fillId="0" borderId="0" xfId="0" applyFont="1" applyAlignment="1">
      <alignment vertical="center" wrapText="1"/>
    </xf>
    <xf numFmtId="0" fontId="73" fillId="0" borderId="0" xfId="0" applyFont="1" applyAlignment="1">
      <alignment horizontal="center"/>
    </xf>
    <xf numFmtId="0" fontId="73" fillId="0" borderId="0" xfId="0" applyFont="1"/>
    <xf numFmtId="0" fontId="73" fillId="0" borderId="0" xfId="0" applyFont="1" applyAlignment="1">
      <alignment vertical="center" wrapText="1"/>
    </xf>
    <xf numFmtId="0" fontId="88" fillId="0" borderId="0" xfId="0" applyFont="1"/>
    <xf numFmtId="0" fontId="88" fillId="0" borderId="0" xfId="0" applyFont="1" applyAlignment="1">
      <alignment vertical="center" wrapText="1"/>
    </xf>
    <xf numFmtId="0" fontId="88" fillId="0" borderId="17" xfId="0" applyFont="1" applyBorder="1" applyAlignment="1">
      <alignment horizontal="center" vertical="center" wrapText="1"/>
    </xf>
    <xf numFmtId="0" fontId="88" fillId="0" borderId="0" xfId="0" applyFont="1" applyAlignment="1">
      <alignment horizontal="center"/>
    </xf>
    <xf numFmtId="0" fontId="88" fillId="0" borderId="19" xfId="0" applyFont="1" applyBorder="1" applyAlignment="1">
      <alignment horizontal="center" vertical="center" wrapText="1"/>
    </xf>
    <xf numFmtId="0" fontId="95" fillId="0" borderId="17" xfId="0" applyFont="1" applyBorder="1" applyAlignment="1">
      <alignment horizontal="center" vertical="center" wrapText="1"/>
    </xf>
    <xf numFmtId="0" fontId="95" fillId="0" borderId="0" xfId="0" applyFont="1" applyAlignment="1">
      <alignment vertical="center" wrapText="1"/>
    </xf>
    <xf numFmtId="0" fontId="95" fillId="0" borderId="19" xfId="0" applyFont="1" applyBorder="1" applyAlignment="1">
      <alignment vertical="center" wrapText="1"/>
    </xf>
    <xf numFmtId="0" fontId="95" fillId="0" borderId="19" xfId="0" applyFont="1" applyBorder="1" applyAlignment="1">
      <alignment horizontal="center" vertical="center" wrapText="1"/>
    </xf>
    <xf numFmtId="0" fontId="95" fillId="0" borderId="21" xfId="0" applyFont="1" applyBorder="1" applyAlignment="1">
      <alignment vertical="center" wrapText="1"/>
    </xf>
    <xf numFmtId="0" fontId="95" fillId="0" borderId="21" xfId="0" applyFont="1" applyBorder="1" applyAlignment="1">
      <alignment horizontal="center" vertical="center" wrapText="1"/>
    </xf>
    <xf numFmtId="0" fontId="0" fillId="0" borderId="0" xfId="0"/>
    <xf numFmtId="0" fontId="75" fillId="0" borderId="17" xfId="0" applyFont="1" applyBorder="1" applyAlignment="1">
      <alignment horizontal="center" vertical="center" wrapText="1"/>
    </xf>
    <xf numFmtId="0" fontId="94" fillId="0" borderId="0" xfId="0" applyFont="1" applyAlignment="1">
      <alignment horizontal="center"/>
    </xf>
    <xf numFmtId="0" fontId="0" fillId="0" borderId="0" xfId="0" applyBorder="1"/>
    <xf numFmtId="0" fontId="88" fillId="0" borderId="21" xfId="0" applyFont="1" applyBorder="1" applyAlignment="1">
      <alignment horizontal="center"/>
    </xf>
    <xf numFmtId="0" fontId="88" fillId="0" borderId="19" xfId="0" applyFont="1" applyBorder="1" applyAlignment="1">
      <alignment horizontal="center"/>
    </xf>
    <xf numFmtId="0" fontId="88" fillId="0" borderId="21" xfId="0" applyFont="1" applyBorder="1" applyAlignment="1">
      <alignment horizontal="left"/>
    </xf>
    <xf numFmtId="0" fontId="88" fillId="0" borderId="19" xfId="0" applyFont="1" applyBorder="1" applyAlignment="1">
      <alignment horizontal="left"/>
    </xf>
    <xf numFmtId="0" fontId="88" fillId="0" borderId="22" xfId="0" applyFont="1" applyBorder="1" applyAlignment="1">
      <alignment horizontal="center"/>
    </xf>
    <xf numFmtId="0" fontId="88" fillId="0" borderId="22" xfId="0" applyFont="1" applyBorder="1" applyAlignment="1">
      <alignment horizontal="left"/>
    </xf>
    <xf numFmtId="0" fontId="101" fillId="0" borderId="0" xfId="0" applyFont="1" applyBorder="1"/>
    <xf numFmtId="0" fontId="75" fillId="0" borderId="19" xfId="0" applyFont="1" applyBorder="1" applyAlignment="1">
      <alignment horizontal="center"/>
    </xf>
    <xf numFmtId="0" fontId="75" fillId="0" borderId="22" xfId="0" applyFont="1" applyBorder="1" applyAlignment="1">
      <alignment horizontal="center"/>
    </xf>
    <xf numFmtId="0" fontId="99" fillId="0" borderId="17" xfId="0" applyFont="1" applyBorder="1" applyAlignment="1">
      <alignment horizontal="center" vertical="center" wrapText="1"/>
    </xf>
    <xf numFmtId="0" fontId="95" fillId="0" borderId="17" xfId="0" applyFont="1" applyBorder="1" applyAlignment="1">
      <alignment horizontal="center"/>
    </xf>
    <xf numFmtId="0" fontId="98" fillId="0" borderId="17" xfId="0" applyFont="1" applyBorder="1" applyAlignment="1">
      <alignment horizontal="center"/>
    </xf>
    <xf numFmtId="0" fontId="103" fillId="0" borderId="0" xfId="0" applyFont="1"/>
    <xf numFmtId="0" fontId="75" fillId="0" borderId="21" xfId="0" applyFont="1" applyBorder="1" applyAlignment="1">
      <alignment horizontal="center"/>
    </xf>
    <xf numFmtId="0" fontId="75" fillId="0" borderId="0" xfId="0" applyFont="1"/>
    <xf numFmtId="0" fontId="98" fillId="0" borderId="17" xfId="0" applyFont="1" applyBorder="1"/>
    <xf numFmtId="0" fontId="75" fillId="0" borderId="17" xfId="0" applyFont="1" applyBorder="1" applyAlignment="1">
      <alignment horizontal="center" vertical="center" wrapText="1"/>
    </xf>
    <xf numFmtId="0" fontId="88" fillId="0" borderId="17" xfId="0" applyFont="1" applyBorder="1" applyAlignment="1">
      <alignment horizontal="center" vertical="center" wrapText="1"/>
    </xf>
    <xf numFmtId="0" fontId="5" fillId="0" borderId="0" xfId="0" applyFont="1"/>
    <xf numFmtId="2" fontId="75" fillId="0" borderId="18" xfId="0" applyNumberFormat="1" applyFont="1" applyBorder="1" applyAlignment="1">
      <alignment horizontal="center"/>
    </xf>
    <xf numFmtId="2" fontId="75" fillId="0" borderId="19" xfId="0" applyNumberFormat="1" applyFont="1" applyBorder="1" applyAlignment="1">
      <alignment horizontal="center"/>
    </xf>
    <xf numFmtId="2" fontId="102" fillId="0" borderId="19" xfId="0" applyNumberFormat="1" applyFont="1" applyBorder="1" applyAlignment="1">
      <alignment horizontal="center"/>
    </xf>
    <xf numFmtId="2" fontId="75" fillId="0" borderId="22" xfId="0" applyNumberFormat="1" applyFont="1" applyBorder="1" applyAlignment="1">
      <alignment horizontal="center"/>
    </xf>
    <xf numFmtId="2" fontId="98" fillId="0" borderId="17" xfId="0" applyNumberFormat="1" applyFont="1" applyBorder="1" applyAlignment="1">
      <alignment horizontal="center"/>
    </xf>
    <xf numFmtId="0" fontId="98" fillId="0" borderId="17" xfId="0" applyFont="1" applyBorder="1" applyAlignment="1">
      <alignment horizontal="center" vertical="center" wrapText="1"/>
    </xf>
    <xf numFmtId="0" fontId="98" fillId="0" borderId="17" xfId="0" applyFont="1" applyBorder="1" applyAlignment="1">
      <alignment vertical="center" wrapText="1"/>
    </xf>
    <xf numFmtId="0" fontId="103" fillId="0" borderId="0" xfId="0" applyFont="1" applyAlignment="1">
      <alignment vertical="center" wrapText="1"/>
    </xf>
    <xf numFmtId="0" fontId="75" fillId="0" borderId="4" xfId="0" applyFont="1" applyFill="1" applyBorder="1" applyAlignment="1">
      <alignment horizontal="center"/>
    </xf>
    <xf numFmtId="0" fontId="75" fillId="0" borderId="29" xfId="0" applyFont="1" applyFill="1" applyBorder="1" applyAlignment="1">
      <alignment horizontal="center"/>
    </xf>
    <xf numFmtId="0" fontId="75" fillId="0" borderId="21" xfId="0" applyFont="1" applyBorder="1" applyAlignment="1">
      <alignment horizontal="center" vertical="center" wrapText="1"/>
    </xf>
    <xf numFmtId="0" fontId="75" fillId="0" borderId="21" xfId="0" applyFont="1" applyBorder="1" applyAlignment="1">
      <alignment horizontal="left" vertical="center" wrapText="1"/>
    </xf>
    <xf numFmtId="0" fontId="75" fillId="0" borderId="19" xfId="0" applyFont="1" applyBorder="1" applyAlignment="1">
      <alignment horizontal="left" vertical="center" wrapText="1"/>
    </xf>
    <xf numFmtId="0" fontId="75" fillId="0" borderId="22" xfId="0" applyFont="1" applyBorder="1" applyAlignment="1">
      <alignment horizontal="left" vertical="center" wrapText="1"/>
    </xf>
    <xf numFmtId="0" fontId="75" fillId="0" borderId="4" xfId="0" applyFont="1" applyFill="1" applyBorder="1" applyAlignment="1">
      <alignment horizontal="center" vertical="center" wrapText="1"/>
    </xf>
    <xf numFmtId="2" fontId="98" fillId="0" borderId="17" xfId="0" applyNumberFormat="1" applyFont="1" applyBorder="1" applyAlignment="1">
      <alignment horizontal="center" vertical="center" wrapText="1"/>
    </xf>
    <xf numFmtId="0" fontId="75" fillId="0" borderId="17" xfId="0" applyFont="1" applyBorder="1" applyAlignment="1">
      <alignment horizontal="center" vertical="center" wrapText="1"/>
    </xf>
    <xf numFmtId="0" fontId="75" fillId="0" borderId="17" xfId="0" applyFont="1" applyBorder="1" applyAlignment="1">
      <alignment horizontal="center"/>
    </xf>
    <xf numFmtId="0" fontId="99" fillId="0" borderId="17" xfId="0" applyFont="1" applyBorder="1" applyAlignment="1">
      <alignment horizontal="center" vertical="center" wrapText="1"/>
    </xf>
    <xf numFmtId="0" fontId="98" fillId="0" borderId="17" xfId="0" applyFont="1" applyBorder="1" applyAlignment="1">
      <alignment horizontal="center" vertical="center" wrapText="1"/>
    </xf>
    <xf numFmtId="0" fontId="88" fillId="0" borderId="19" xfId="0" applyFont="1" applyBorder="1"/>
    <xf numFmtId="0" fontId="75" fillId="0" borderId="19" xfId="0" applyFont="1" applyBorder="1" applyAlignment="1">
      <alignment vertical="center" wrapText="1"/>
    </xf>
    <xf numFmtId="0" fontId="75" fillId="0" borderId="22" xfId="0" applyFont="1" applyBorder="1" applyAlignment="1">
      <alignment vertical="center" wrapText="1"/>
    </xf>
    <xf numFmtId="0" fontId="95" fillId="0" borderId="22" xfId="0" applyFont="1" applyBorder="1" applyAlignment="1">
      <alignment vertical="center" wrapText="1"/>
    </xf>
    <xf numFmtId="0" fontId="95" fillId="0" borderId="22" xfId="0" applyFont="1" applyBorder="1" applyAlignment="1">
      <alignment horizontal="center" vertical="center" wrapText="1"/>
    </xf>
    <xf numFmtId="0" fontId="98" fillId="0" borderId="21" xfId="0" applyFont="1" applyBorder="1" applyAlignment="1">
      <alignment horizontal="center" vertical="center" wrapText="1"/>
    </xf>
    <xf numFmtId="0" fontId="98" fillId="0" borderId="19" xfId="0" applyFont="1" applyBorder="1" applyAlignment="1">
      <alignment horizontal="center" vertical="center" wrapText="1"/>
    </xf>
    <xf numFmtId="0" fontId="98" fillId="0" borderId="19" xfId="0" applyFont="1" applyBorder="1" applyAlignment="1">
      <alignment horizontal="left" vertical="center" wrapText="1"/>
    </xf>
    <xf numFmtId="0" fontId="98" fillId="0" borderId="22" xfId="0" applyFont="1" applyBorder="1" applyAlignment="1">
      <alignment horizontal="center" vertical="center" wrapText="1"/>
    </xf>
    <xf numFmtId="0" fontId="98" fillId="0" borderId="22" xfId="0" applyFont="1" applyBorder="1" applyAlignment="1">
      <alignment horizontal="left" vertical="center" wrapText="1"/>
    </xf>
    <xf numFmtId="0" fontId="105" fillId="0" borderId="21" xfId="0" applyFont="1" applyBorder="1" applyAlignment="1">
      <alignment horizontal="center" vertical="center" wrapText="1"/>
    </xf>
    <xf numFmtId="0" fontId="105" fillId="0" borderId="21" xfId="0" applyFont="1" applyBorder="1" applyAlignment="1">
      <alignment horizontal="left" vertical="center" wrapText="1"/>
    </xf>
    <xf numFmtId="0" fontId="105" fillId="0" borderId="19" xfId="0" applyFont="1" applyBorder="1" applyAlignment="1">
      <alignment horizontal="center" vertical="center" wrapText="1"/>
    </xf>
    <xf numFmtId="0" fontId="105" fillId="0" borderId="19" xfId="0" applyFont="1" applyBorder="1" applyAlignment="1">
      <alignment horizontal="left" vertical="center" wrapText="1"/>
    </xf>
    <xf numFmtId="0" fontId="99" fillId="0" borderId="19" xfId="0" applyFont="1" applyBorder="1" applyAlignment="1">
      <alignment horizontal="center" vertical="center" wrapText="1"/>
    </xf>
    <xf numFmtId="0" fontId="99" fillId="0" borderId="19" xfId="0" applyFont="1" applyBorder="1" applyAlignment="1">
      <alignment horizontal="left" vertical="center" wrapText="1"/>
    </xf>
    <xf numFmtId="0" fontId="105" fillId="0" borderId="20" xfId="0" applyFont="1" applyBorder="1" applyAlignment="1">
      <alignment horizontal="center" vertical="center" wrapText="1"/>
    </xf>
    <xf numFmtId="0" fontId="105" fillId="0" borderId="20" xfId="0" applyFont="1" applyBorder="1" applyAlignment="1">
      <alignment horizontal="left" vertical="center" wrapText="1"/>
    </xf>
    <xf numFmtId="0" fontId="75" fillId="0" borderId="20" xfId="0" applyFont="1" applyBorder="1" applyAlignment="1">
      <alignment horizontal="left" vertical="center" wrapText="1"/>
    </xf>
    <xf numFmtId="2" fontId="75" fillId="0" borderId="21" xfId="0" applyNumberFormat="1" applyFont="1" applyBorder="1" applyAlignment="1">
      <alignment horizontal="center" vertical="center" wrapText="1"/>
    </xf>
    <xf numFmtId="2" fontId="75" fillId="0" borderId="19" xfId="0" applyNumberFormat="1" applyFont="1" applyBorder="1" applyAlignment="1">
      <alignment horizontal="center" vertical="center" wrapText="1"/>
    </xf>
    <xf numFmtId="0" fontId="98" fillId="0" borderId="21" xfId="0" applyFont="1" applyBorder="1" applyAlignment="1">
      <alignment horizontal="left" vertical="center" wrapText="1"/>
    </xf>
    <xf numFmtId="0" fontId="0" fillId="0" borderId="0" xfId="0" applyAlignment="1">
      <alignment horizontal="center" vertical="center" wrapText="1"/>
    </xf>
    <xf numFmtId="0" fontId="106" fillId="0" borderId="0" xfId="0" applyFont="1"/>
    <xf numFmtId="0" fontId="75" fillId="0" borderId="17" xfId="0" applyFont="1" applyBorder="1" applyAlignment="1">
      <alignment horizontal="center" vertical="center" wrapText="1"/>
    </xf>
    <xf numFmtId="0" fontId="0" fillId="0" borderId="0" xfId="0" applyAlignment="1">
      <alignment horizontal="center"/>
    </xf>
    <xf numFmtId="0" fontId="0" fillId="0" borderId="17" xfId="0" applyBorder="1" applyAlignment="1">
      <alignment horizontal="center" vertical="center" wrapText="1"/>
    </xf>
    <xf numFmtId="0" fontId="0" fillId="0" borderId="19" xfId="0" applyBorder="1" applyAlignment="1">
      <alignment horizontal="center" vertical="center" wrapText="1"/>
    </xf>
    <xf numFmtId="0" fontId="84" fillId="0" borderId="19" xfId="0" applyFont="1" applyBorder="1" applyAlignment="1">
      <alignment horizontal="center" vertical="center" wrapText="1"/>
    </xf>
    <xf numFmtId="0" fontId="85" fillId="0" borderId="19" xfId="0" applyFont="1" applyBorder="1" applyAlignment="1">
      <alignment horizontal="left" vertical="center" wrapText="1"/>
    </xf>
    <xf numFmtId="0" fontId="91" fillId="0" borderId="19" xfId="0" applyFont="1" applyBorder="1" applyAlignment="1">
      <alignment horizontal="left" vertical="center" wrapText="1"/>
    </xf>
    <xf numFmtId="0" fontId="84" fillId="0" borderId="17" xfId="0" applyFont="1" applyBorder="1" applyAlignment="1">
      <alignment horizontal="center" vertical="center"/>
    </xf>
    <xf numFmtId="0" fontId="85" fillId="0" borderId="17" xfId="0" applyFont="1" applyBorder="1" applyAlignment="1">
      <alignment horizontal="center" vertical="center"/>
    </xf>
    <xf numFmtId="0" fontId="107" fillId="0" borderId="0" xfId="0" applyFont="1"/>
    <xf numFmtId="0" fontId="85" fillId="0" borderId="19" xfId="0" applyFont="1" applyBorder="1" applyAlignment="1">
      <alignment horizontal="center"/>
    </xf>
    <xf numFmtId="0" fontId="82" fillId="0" borderId="0" xfId="0" applyFont="1"/>
    <xf numFmtId="0" fontId="84" fillId="0" borderId="19" xfId="0" applyFont="1" applyBorder="1" applyAlignment="1">
      <alignment horizontal="center"/>
    </xf>
    <xf numFmtId="0" fontId="86" fillId="0" borderId="0" xfId="0" applyFont="1"/>
    <xf numFmtId="0" fontId="85" fillId="0" borderId="21" xfId="0" applyFont="1" applyBorder="1" applyAlignment="1">
      <alignment horizontal="center" vertical="center" wrapText="1"/>
    </xf>
    <xf numFmtId="0" fontId="85" fillId="0" borderId="21" xfId="0" applyFont="1" applyBorder="1" applyAlignment="1">
      <alignment horizontal="left" vertical="center" wrapText="1"/>
    </xf>
    <xf numFmtId="0" fontId="85" fillId="0" borderId="21" xfId="0" applyFont="1" applyBorder="1" applyAlignment="1">
      <alignment horizontal="center"/>
    </xf>
    <xf numFmtId="0" fontId="102" fillId="0" borderId="19" xfId="0" applyFont="1" applyBorder="1" applyAlignment="1">
      <alignment horizontal="center" vertical="center" wrapText="1"/>
    </xf>
    <xf numFmtId="0" fontId="108" fillId="0" borderId="19" xfId="0" applyFont="1" applyBorder="1" applyAlignment="1">
      <alignment horizontal="center" vertical="center" wrapText="1"/>
    </xf>
    <xf numFmtId="0" fontId="0" fillId="0" borderId="0" xfId="0"/>
    <xf numFmtId="0" fontId="5" fillId="0" borderId="0" xfId="5107"/>
    <xf numFmtId="0" fontId="5" fillId="0" borderId="0" xfId="6159"/>
    <xf numFmtId="0" fontId="75" fillId="0" borderId="19" xfId="0" applyFont="1" applyBorder="1" applyAlignment="1">
      <alignment horizontal="center"/>
    </xf>
    <xf numFmtId="0" fontId="75" fillId="0" borderId="17" xfId="0" applyFont="1" applyBorder="1" applyAlignment="1">
      <alignment horizontal="center"/>
    </xf>
    <xf numFmtId="0" fontId="75" fillId="0" borderId="17" xfId="0" applyFont="1" applyBorder="1" applyAlignment="1">
      <alignment horizontal="center" vertical="center" wrapText="1"/>
    </xf>
    <xf numFmtId="0" fontId="88" fillId="0" borderId="17" xfId="0" applyFont="1" applyBorder="1" applyAlignment="1">
      <alignment horizontal="center" vertical="center" wrapText="1"/>
    </xf>
    <xf numFmtId="0" fontId="75" fillId="0" borderId="17" xfId="0" applyFont="1" applyBorder="1" applyAlignment="1">
      <alignment horizontal="center"/>
    </xf>
    <xf numFmtId="0" fontId="106" fillId="0" borderId="0" xfId="0" applyFont="1" applyAlignment="1">
      <alignment vertical="center" wrapText="1"/>
    </xf>
    <xf numFmtId="0" fontId="86" fillId="0" borderId="21" xfId="0" applyFont="1" applyBorder="1" applyAlignment="1">
      <alignment horizontal="center" vertical="center" wrapText="1"/>
    </xf>
    <xf numFmtId="0" fontId="82" fillId="0" borderId="19" xfId="0" applyFont="1" applyBorder="1" applyAlignment="1">
      <alignment horizontal="center" vertical="center" wrapText="1"/>
    </xf>
    <xf numFmtId="0" fontId="82" fillId="0" borderId="0" xfId="5107" applyFont="1"/>
    <xf numFmtId="0" fontId="106" fillId="0" borderId="0" xfId="5107" applyFont="1"/>
    <xf numFmtId="0" fontId="0" fillId="0" borderId="22" xfId="0" applyBorder="1" applyAlignment="1">
      <alignment horizontal="center" vertical="center" wrapText="1"/>
    </xf>
    <xf numFmtId="0" fontId="82" fillId="0" borderId="17" xfId="0" applyFont="1" applyBorder="1" applyAlignment="1">
      <alignment horizontal="center" vertical="center" wrapText="1"/>
    </xf>
    <xf numFmtId="0" fontId="86" fillId="0" borderId="17" xfId="0" applyFont="1" applyBorder="1" applyAlignment="1">
      <alignment horizontal="center" vertical="center" wrapText="1"/>
    </xf>
    <xf numFmtId="192" fontId="0" fillId="0" borderId="0" xfId="0" applyNumberFormat="1"/>
    <xf numFmtId="0" fontId="84" fillId="0" borderId="21" xfId="0" applyFont="1" applyBorder="1" applyAlignment="1">
      <alignment horizontal="center"/>
    </xf>
    <xf numFmtId="0" fontId="87" fillId="0" borderId="30" xfId="0" applyFont="1" applyBorder="1" applyAlignment="1">
      <alignment vertical="center" wrapText="1"/>
    </xf>
    <xf numFmtId="0" fontId="89" fillId="0" borderId="31" xfId="0" applyFont="1" applyBorder="1" applyAlignment="1">
      <alignment vertical="center" wrapText="1"/>
    </xf>
    <xf numFmtId="0" fontId="88" fillId="0" borderId="31" xfId="0" applyFont="1" applyBorder="1" applyAlignment="1">
      <alignment vertical="center" wrapText="1"/>
    </xf>
    <xf numFmtId="0" fontId="90" fillId="0" borderId="31" xfId="0" applyFont="1" applyBorder="1" applyAlignment="1">
      <alignment vertical="center" wrapText="1"/>
    </xf>
    <xf numFmtId="0" fontId="88" fillId="0" borderId="32" xfId="0" applyFont="1" applyBorder="1" applyAlignment="1">
      <alignment vertical="center" wrapText="1"/>
    </xf>
    <xf numFmtId="0" fontId="89" fillId="0" borderId="25" xfId="0" applyFont="1" applyBorder="1" applyAlignment="1">
      <alignment horizontal="center" vertical="center" wrapText="1"/>
    </xf>
    <xf numFmtId="0" fontId="87" fillId="0" borderId="25" xfId="0" applyFont="1" applyBorder="1" applyAlignment="1">
      <alignment vertical="center" wrapText="1"/>
    </xf>
    <xf numFmtId="0" fontId="87" fillId="0" borderId="33" xfId="0" applyFont="1" applyBorder="1" applyAlignment="1">
      <alignment vertical="center" wrapText="1"/>
    </xf>
    <xf numFmtId="0" fontId="87" fillId="0" borderId="25" xfId="0" applyFont="1" applyBorder="1" applyAlignment="1">
      <alignment horizontal="center" vertical="center" wrapText="1"/>
    </xf>
    <xf numFmtId="0" fontId="84" fillId="0" borderId="18" xfId="0" applyFont="1" applyBorder="1" applyAlignment="1">
      <alignment horizontal="center" vertical="center" wrapText="1"/>
    </xf>
    <xf numFmtId="2" fontId="84" fillId="0" borderId="18" xfId="0" applyNumberFormat="1" applyFont="1" applyBorder="1" applyAlignment="1">
      <alignment horizontal="center" vertical="center" wrapText="1"/>
    </xf>
    <xf numFmtId="0" fontId="84" fillId="0" borderId="18" xfId="0" applyFont="1" applyBorder="1" applyAlignment="1">
      <alignment vertical="center" wrapText="1"/>
    </xf>
    <xf numFmtId="0" fontId="87" fillId="0" borderId="19" xfId="0" applyFont="1" applyBorder="1" applyAlignment="1">
      <alignment vertical="center" wrapText="1"/>
    </xf>
    <xf numFmtId="0" fontId="87" fillId="0" borderId="18" xfId="0" applyFont="1" applyBorder="1" applyAlignment="1">
      <alignment horizontal="center" vertical="center" wrapText="1"/>
    </xf>
    <xf numFmtId="0" fontId="88" fillId="0" borderId="18" xfId="0" applyFont="1" applyBorder="1" applyAlignment="1">
      <alignment horizontal="center" vertical="center" wrapText="1"/>
    </xf>
    <xf numFmtId="0" fontId="88" fillId="0" borderId="22" xfId="0" applyFont="1" applyBorder="1" applyAlignment="1">
      <alignment horizontal="center" vertical="center" wrapText="1"/>
    </xf>
    <xf numFmtId="0" fontId="87" fillId="0" borderId="17" xfId="0" applyFont="1" applyBorder="1" applyAlignment="1">
      <alignment horizontal="center" vertical="center" wrapText="1"/>
    </xf>
    <xf numFmtId="0" fontId="89" fillId="0" borderId="19" xfId="0" applyFont="1" applyBorder="1" applyAlignment="1">
      <alignment horizontal="center" vertical="center" wrapText="1"/>
    </xf>
    <xf numFmtId="0" fontId="87" fillId="0" borderId="19" xfId="0" applyFont="1" applyBorder="1" applyAlignment="1">
      <alignment horizontal="center" vertical="center" wrapText="1"/>
    </xf>
    <xf numFmtId="0" fontId="87" fillId="0" borderId="21" xfId="0" applyFont="1" applyBorder="1" applyAlignment="1">
      <alignment horizontal="center" vertical="center" wrapText="1"/>
    </xf>
    <xf numFmtId="0" fontId="87" fillId="0" borderId="28" xfId="0" applyFont="1" applyBorder="1" applyAlignment="1">
      <alignment horizontal="center" vertical="center" wrapText="1"/>
    </xf>
    <xf numFmtId="0" fontId="107" fillId="0" borderId="0" xfId="6159" applyFont="1"/>
    <xf numFmtId="0" fontId="106" fillId="0" borderId="0" xfId="6159" applyFont="1"/>
    <xf numFmtId="0" fontId="82" fillId="0" borderId="0" xfId="6159" applyFont="1"/>
    <xf numFmtId="0" fontId="88" fillId="0" borderId="20" xfId="0" applyFont="1" applyBorder="1" applyAlignment="1">
      <alignment vertical="center" wrapText="1"/>
    </xf>
    <xf numFmtId="0" fontId="88" fillId="0" borderId="34" xfId="0" applyFont="1" applyBorder="1" applyAlignment="1">
      <alignment horizontal="center" vertical="center" wrapText="1"/>
    </xf>
    <xf numFmtId="0" fontId="0" fillId="0" borderId="0" xfId="0"/>
    <xf numFmtId="0" fontId="75" fillId="0" borderId="17" xfId="0" applyFont="1" applyBorder="1" applyAlignment="1">
      <alignment horizontal="center" vertical="center" wrapText="1"/>
    </xf>
    <xf numFmtId="0" fontId="75" fillId="0" borderId="0" xfId="0" applyFont="1"/>
    <xf numFmtId="0" fontId="0" fillId="0" borderId="0" xfId="0"/>
    <xf numFmtId="0" fontId="75" fillId="0" borderId="17" xfId="0" applyFont="1" applyBorder="1" applyAlignment="1">
      <alignment horizontal="center" vertical="center" wrapText="1"/>
    </xf>
    <xf numFmtId="0" fontId="99" fillId="0" borderId="17" xfId="0" applyFont="1" applyBorder="1" applyAlignment="1">
      <alignment horizontal="center" vertical="center" wrapText="1"/>
    </xf>
    <xf numFmtId="2" fontId="75" fillId="0" borderId="21" xfId="0" applyNumberFormat="1" applyFont="1" applyBorder="1" applyAlignment="1">
      <alignment horizontal="center"/>
    </xf>
    <xf numFmtId="2" fontId="84" fillId="0" borderId="21" xfId="0" applyNumberFormat="1" applyFont="1" applyBorder="1" applyAlignment="1">
      <alignment horizontal="center" vertical="center" wrapText="1"/>
    </xf>
    <xf numFmtId="2" fontId="85" fillId="0" borderId="19" xfId="0" applyNumberFormat="1" applyFont="1" applyBorder="1" applyAlignment="1">
      <alignment horizontal="center" vertical="center" wrapText="1"/>
    </xf>
    <xf numFmtId="2" fontId="75" fillId="0" borderId="4" xfId="0" applyNumberFormat="1" applyFont="1" applyFill="1" applyBorder="1" applyAlignment="1">
      <alignment horizontal="center"/>
    </xf>
    <xf numFmtId="2" fontId="0" fillId="0" borderId="0" xfId="0" applyNumberFormat="1"/>
    <xf numFmtId="0" fontId="75" fillId="0" borderId="29" xfId="0" applyFont="1" applyFill="1" applyBorder="1" applyAlignment="1">
      <alignment horizontal="center" vertical="center" wrapText="1"/>
    </xf>
    <xf numFmtId="0" fontId="88" fillId="0" borderId="29" xfId="0" applyFont="1" applyFill="1" applyBorder="1" applyAlignment="1">
      <alignment horizontal="center"/>
    </xf>
    <xf numFmtId="2" fontId="95" fillId="0" borderId="22" xfId="0" applyNumberFormat="1" applyFont="1" applyBorder="1" applyAlignment="1">
      <alignment horizontal="center" vertical="center" wrapText="1"/>
    </xf>
    <xf numFmtId="2" fontId="95" fillId="30" borderId="21" xfId="0" applyNumberFormat="1" applyFont="1" applyFill="1" applyBorder="1" applyAlignment="1">
      <alignment horizontal="center" vertical="center" wrapText="1"/>
    </xf>
    <xf numFmtId="2" fontId="95" fillId="0" borderId="21" xfId="0" applyNumberFormat="1" applyFont="1" applyBorder="1" applyAlignment="1">
      <alignment horizontal="center" vertical="center" wrapText="1"/>
    </xf>
    <xf numFmtId="2" fontId="95" fillId="0" borderId="19" xfId="0" applyNumberFormat="1" applyFont="1" applyBorder="1" applyAlignment="1">
      <alignment horizontal="center" vertical="center" wrapText="1"/>
    </xf>
    <xf numFmtId="2" fontId="95" fillId="30" borderId="19" xfId="0" applyNumberFormat="1" applyFont="1" applyFill="1" applyBorder="1" applyAlignment="1">
      <alignment horizontal="center" vertical="center" wrapText="1"/>
    </xf>
    <xf numFmtId="2" fontId="88" fillId="0" borderId="19" xfId="0" applyNumberFormat="1" applyFont="1" applyBorder="1" applyAlignment="1">
      <alignment horizontal="center" vertical="center" wrapText="1"/>
    </xf>
    <xf numFmtId="2" fontId="88" fillId="30" borderId="19" xfId="0" applyNumberFormat="1" applyFont="1" applyFill="1" applyBorder="1" applyAlignment="1">
      <alignment horizontal="center" vertical="center" wrapText="1"/>
    </xf>
    <xf numFmtId="2" fontId="95" fillId="30" borderId="22" xfId="0" applyNumberFormat="1" applyFont="1" applyFill="1" applyBorder="1" applyAlignment="1">
      <alignment horizontal="center" vertical="center" wrapText="1"/>
    </xf>
    <xf numFmtId="2" fontId="95" fillId="0" borderId="17" xfId="0" applyNumberFormat="1" applyFont="1" applyBorder="1" applyAlignment="1">
      <alignment horizontal="center" vertical="center" wrapText="1"/>
    </xf>
    <xf numFmtId="2" fontId="85" fillId="0" borderId="17" xfId="0" applyNumberFormat="1" applyFont="1" applyBorder="1" applyAlignment="1">
      <alignment horizontal="center" vertical="center" wrapText="1"/>
    </xf>
    <xf numFmtId="2" fontId="0" fillId="0" borderId="0" xfId="0" applyNumberFormat="1" applyAlignment="1">
      <alignment vertical="center" wrapText="1"/>
    </xf>
    <xf numFmtId="0" fontId="5" fillId="0" borderId="0" xfId="0" applyFont="1" applyAlignment="1">
      <alignment vertical="center" wrapText="1"/>
    </xf>
    <xf numFmtId="0" fontId="99" fillId="0" borderId="21" xfId="0" applyFont="1" applyBorder="1" applyAlignment="1">
      <alignment horizontal="center" vertical="center" wrapText="1"/>
    </xf>
    <xf numFmtId="0" fontId="104" fillId="0" borderId="0" xfId="0" applyFont="1" applyAlignment="1">
      <alignment vertical="center" wrapText="1"/>
    </xf>
    <xf numFmtId="0" fontId="0" fillId="0" borderId="0" xfId="0"/>
    <xf numFmtId="0" fontId="75" fillId="0" borderId="17" xfId="0" applyFont="1" applyBorder="1" applyAlignment="1">
      <alignment horizontal="center" vertical="center" wrapText="1"/>
    </xf>
    <xf numFmtId="0" fontId="98" fillId="0" borderId="17" xfId="0" applyFont="1" applyBorder="1" applyAlignment="1">
      <alignment horizontal="center" vertical="center" wrapText="1"/>
    </xf>
    <xf numFmtId="0" fontId="95" fillId="0" borderId="17" xfId="0" applyFont="1" applyBorder="1" applyAlignment="1">
      <alignment horizontal="center" vertical="center" wrapText="1"/>
    </xf>
    <xf numFmtId="0" fontId="75" fillId="0" borderId="17" xfId="0" applyFont="1" applyBorder="1" applyAlignment="1">
      <alignment horizontal="center"/>
    </xf>
    <xf numFmtId="0" fontId="0" fillId="0" borderId="0" xfId="0"/>
    <xf numFmtId="0" fontId="75" fillId="0" borderId="17" xfId="0" applyFont="1" applyBorder="1" applyAlignment="1">
      <alignment horizontal="center" vertical="center" wrapText="1"/>
    </xf>
    <xf numFmtId="0" fontId="98" fillId="0" borderId="17" xfId="0" applyFont="1" applyBorder="1" applyAlignment="1">
      <alignment horizontal="center" vertical="center" wrapText="1"/>
    </xf>
    <xf numFmtId="0" fontId="75" fillId="0" borderId="17" xfId="0" applyFont="1" applyBorder="1" applyAlignment="1">
      <alignment horizontal="center"/>
    </xf>
    <xf numFmtId="0" fontId="112" fillId="0" borderId="19" xfId="0" applyFont="1" applyBorder="1" applyAlignment="1">
      <alignment horizontal="center"/>
    </xf>
    <xf numFmtId="0" fontId="112" fillId="0" borderId="18" xfId="0" applyFont="1" applyBorder="1" applyAlignment="1">
      <alignment horizontal="center"/>
    </xf>
    <xf numFmtId="191" fontId="112" fillId="0" borderId="19" xfId="0" applyNumberFormat="1" applyFont="1" applyBorder="1" applyAlignment="1">
      <alignment horizontal="center"/>
    </xf>
    <xf numFmtId="0" fontId="113" fillId="0" borderId="17" xfId="0" applyFont="1" applyBorder="1" applyAlignment="1">
      <alignment horizontal="center"/>
    </xf>
    <xf numFmtId="2" fontId="112" fillId="0" borderId="18" xfId="0" applyNumberFormat="1" applyFont="1" applyBorder="1" applyAlignment="1">
      <alignment horizontal="center"/>
    </xf>
    <xf numFmtId="2" fontId="112" fillId="0" borderId="19" xfId="0" applyNumberFormat="1" applyFont="1" applyBorder="1" applyAlignment="1">
      <alignment horizontal="center"/>
    </xf>
    <xf numFmtId="2" fontId="113" fillId="0" borderId="17" xfId="0" applyNumberFormat="1" applyFont="1" applyBorder="1" applyAlignment="1">
      <alignment horizontal="center"/>
    </xf>
    <xf numFmtId="2" fontId="75" fillId="0" borderId="20" xfId="0" applyNumberFormat="1" applyFont="1" applyBorder="1" applyAlignment="1">
      <alignment horizontal="center"/>
    </xf>
    <xf numFmtId="0" fontId="0" fillId="0" borderId="0" xfId="0"/>
    <xf numFmtId="0" fontId="75" fillId="0" borderId="17" xfId="0" applyFont="1" applyBorder="1" applyAlignment="1">
      <alignment horizontal="center" vertical="center" wrapText="1"/>
    </xf>
    <xf numFmtId="0" fontId="114" fillId="0" borderId="19" xfId="0" applyFont="1" applyBorder="1" applyAlignment="1">
      <alignment horizontal="center" vertical="center" wrapText="1"/>
    </xf>
    <xf numFmtId="2" fontId="92" fillId="0" borderId="0" xfId="0" applyNumberFormat="1" applyFont="1" applyAlignment="1">
      <alignment vertical="center" wrapText="1"/>
    </xf>
    <xf numFmtId="0" fontId="75" fillId="31" borderId="19" xfId="0" applyFont="1" applyFill="1" applyBorder="1" applyAlignment="1">
      <alignment horizontal="center" vertical="center" wrapText="1"/>
    </xf>
    <xf numFmtId="0" fontId="98" fillId="31" borderId="19" xfId="0" applyFont="1" applyFill="1" applyBorder="1" applyAlignment="1">
      <alignment horizontal="center" vertical="center" wrapText="1"/>
    </xf>
    <xf numFmtId="0" fontId="91" fillId="31" borderId="19" xfId="0" applyFont="1" applyFill="1" applyBorder="1" applyAlignment="1">
      <alignment horizontal="center" vertical="center" wrapText="1"/>
    </xf>
    <xf numFmtId="0" fontId="98" fillId="31" borderId="22" xfId="0" applyFont="1" applyFill="1" applyBorder="1" applyAlignment="1">
      <alignment horizontal="center" vertical="center" wrapText="1"/>
    </xf>
    <xf numFmtId="2" fontId="98" fillId="0" borderId="19" xfId="0" applyNumberFormat="1" applyFont="1" applyBorder="1" applyAlignment="1">
      <alignment horizontal="center" vertical="center" wrapText="1"/>
    </xf>
    <xf numFmtId="0" fontId="75" fillId="32" borderId="19" xfId="0" applyFont="1" applyFill="1" applyBorder="1" applyAlignment="1">
      <alignment horizontal="center" vertical="center" wrapText="1"/>
    </xf>
    <xf numFmtId="0" fontId="6" fillId="0" borderId="0" xfId="0" applyFont="1"/>
    <xf numFmtId="0" fontId="54" fillId="0" borderId="0" xfId="0" applyFont="1" applyAlignment="1">
      <alignment vertical="center" wrapText="1"/>
    </xf>
    <xf numFmtId="0" fontId="6" fillId="0" borderId="0" xfId="0" applyFont="1" applyAlignment="1">
      <alignment vertical="center" wrapText="1"/>
    </xf>
    <xf numFmtId="2" fontId="6" fillId="0" borderId="0" xfId="0" applyNumberFormat="1" applyFont="1" applyAlignment="1">
      <alignment vertical="center" wrapText="1"/>
    </xf>
    <xf numFmtId="2" fontId="115" fillId="0" borderId="0" xfId="0" applyNumberFormat="1" applyFont="1" applyAlignment="1">
      <alignment vertical="center" wrapText="1"/>
    </xf>
    <xf numFmtId="0" fontId="75" fillId="33" borderId="19" xfId="0" applyFont="1" applyFill="1" applyBorder="1" applyAlignment="1">
      <alignment horizontal="center" vertical="center" wrapText="1"/>
    </xf>
    <xf numFmtId="0" fontId="75" fillId="0" borderId="34" xfId="0" applyFont="1" applyFill="1" applyBorder="1" applyAlignment="1">
      <alignment horizontal="center"/>
    </xf>
    <xf numFmtId="0" fontId="112" fillId="0" borderId="19" xfId="0" applyFont="1" applyBorder="1" applyAlignment="1">
      <alignment horizontal="center" vertical="center" wrapText="1"/>
    </xf>
    <xf numFmtId="0" fontId="112" fillId="0" borderId="19" xfId="0" applyFont="1" applyBorder="1" applyAlignment="1">
      <alignment horizontal="left" vertical="center" wrapText="1"/>
    </xf>
    <xf numFmtId="0" fontId="116" fillId="0" borderId="0" xfId="0" applyFont="1" applyAlignment="1">
      <alignment vertical="center" wrapText="1"/>
    </xf>
    <xf numFmtId="0" fontId="113" fillId="0" borderId="22" xfId="0" applyFont="1" applyBorder="1" applyAlignment="1">
      <alignment horizontal="center" vertical="center" wrapText="1"/>
    </xf>
    <xf numFmtId="0" fontId="113" fillId="0" borderId="22" xfId="0" applyFont="1" applyBorder="1" applyAlignment="1">
      <alignment horizontal="left" vertical="center" wrapText="1"/>
    </xf>
    <xf numFmtId="0" fontId="117" fillId="0" borderId="0" xfId="0" applyFont="1" applyAlignment="1">
      <alignment vertical="center" wrapText="1"/>
    </xf>
    <xf numFmtId="2" fontId="98" fillId="0" borderId="21" xfId="0" applyNumberFormat="1" applyFont="1" applyBorder="1" applyAlignment="1">
      <alignment horizontal="center" vertical="center" wrapText="1"/>
    </xf>
    <xf numFmtId="2" fontId="98" fillId="31" borderId="21" xfId="0" applyNumberFormat="1" applyFont="1" applyFill="1" applyBorder="1" applyAlignment="1">
      <alignment horizontal="center" vertical="center" wrapText="1"/>
    </xf>
    <xf numFmtId="2" fontId="98" fillId="31" borderId="19" xfId="0" applyNumberFormat="1" applyFont="1" applyFill="1" applyBorder="1" applyAlignment="1">
      <alignment horizontal="center" vertical="center" wrapText="1"/>
    </xf>
    <xf numFmtId="2" fontId="75" fillId="31" borderId="19" xfId="0" applyNumberFormat="1" applyFont="1" applyFill="1" applyBorder="1" applyAlignment="1">
      <alignment horizontal="center" vertical="center" wrapText="1"/>
    </xf>
    <xf numFmtId="2" fontId="98" fillId="0" borderId="22" xfId="0" applyNumberFormat="1" applyFont="1" applyBorder="1" applyAlignment="1">
      <alignment horizontal="center" vertical="center" wrapText="1"/>
    </xf>
    <xf numFmtId="2" fontId="98" fillId="31" borderId="22" xfId="0" applyNumberFormat="1" applyFont="1" applyFill="1" applyBorder="1" applyAlignment="1">
      <alignment horizontal="center" vertical="center" wrapText="1"/>
    </xf>
    <xf numFmtId="0" fontId="118" fillId="0" borderId="0" xfId="0" applyFont="1"/>
    <xf numFmtId="0" fontId="99" fillId="0" borderId="0" xfId="0" applyFont="1" applyFill="1" applyBorder="1" applyAlignment="1">
      <alignment horizontal="center"/>
    </xf>
    <xf numFmtId="0" fontId="118" fillId="0" borderId="0" xfId="0" applyFont="1" applyAlignment="1">
      <alignment horizontal="center"/>
    </xf>
    <xf numFmtId="0" fontId="118" fillId="0" borderId="0" xfId="0" applyFont="1" applyAlignment="1">
      <alignment vertical="center" wrapText="1"/>
    </xf>
    <xf numFmtId="2" fontId="118" fillId="0" borderId="0" xfId="0" applyNumberFormat="1" applyFont="1" applyAlignment="1">
      <alignment vertical="center" wrapText="1"/>
    </xf>
    <xf numFmtId="2" fontId="119" fillId="0" borderId="0" xfId="0" applyNumberFormat="1" applyFont="1" applyAlignment="1">
      <alignment vertical="center" wrapText="1"/>
    </xf>
    <xf numFmtId="2" fontId="116" fillId="0" borderId="0" xfId="0" applyNumberFormat="1" applyFont="1" applyAlignment="1">
      <alignment vertical="center" wrapText="1"/>
    </xf>
    <xf numFmtId="2" fontId="103" fillId="0" borderId="0" xfId="0" applyNumberFormat="1" applyFont="1" applyAlignment="1">
      <alignment vertical="center" wrapText="1"/>
    </xf>
    <xf numFmtId="2" fontId="5" fillId="0" borderId="0" xfId="0" applyNumberFormat="1" applyFont="1"/>
    <xf numFmtId="0" fontId="120" fillId="0" borderId="19" xfId="0" applyFont="1" applyBorder="1" applyAlignment="1">
      <alignment horizontal="center" vertical="center" wrapText="1"/>
    </xf>
    <xf numFmtId="0" fontId="120" fillId="0" borderId="19" xfId="0" applyFont="1" applyBorder="1" applyAlignment="1">
      <alignment horizontal="left" vertical="center" wrapText="1"/>
    </xf>
    <xf numFmtId="0" fontId="121" fillId="0" borderId="0" xfId="0" applyFont="1" applyAlignment="1">
      <alignment vertical="center" wrapText="1"/>
    </xf>
    <xf numFmtId="0" fontId="105" fillId="0" borderId="34" xfId="0" applyFont="1" applyFill="1" applyBorder="1" applyAlignment="1">
      <alignment horizontal="center" vertical="center" wrapText="1"/>
    </xf>
    <xf numFmtId="0" fontId="105" fillId="0" borderId="0" xfId="0" applyFont="1" applyFill="1" applyBorder="1" applyAlignment="1">
      <alignment horizontal="center" vertical="center" wrapText="1"/>
    </xf>
    <xf numFmtId="0" fontId="105" fillId="0" borderId="0" xfId="0" applyFont="1" applyAlignment="1">
      <alignment horizontal="center" vertical="center" wrapText="1"/>
    </xf>
    <xf numFmtId="0" fontId="0" fillId="0" borderId="0" xfId="0"/>
    <xf numFmtId="0" fontId="0" fillId="0" borderId="0" xfId="0"/>
    <xf numFmtId="0" fontId="75" fillId="0" borderId="17" xfId="0" applyFont="1" applyBorder="1" applyAlignment="1">
      <alignment horizontal="center" vertical="center" wrapText="1"/>
    </xf>
    <xf numFmtId="0" fontId="98" fillId="0" borderId="17" xfId="0" applyFont="1" applyBorder="1" applyAlignment="1">
      <alignment horizontal="center" vertical="center" wrapText="1"/>
    </xf>
    <xf numFmtId="0" fontId="99" fillId="0" borderId="18" xfId="0" applyFont="1" applyBorder="1" applyAlignment="1">
      <alignment horizontal="center"/>
    </xf>
    <xf numFmtId="0" fontId="99" fillId="0" borderId="19" xfId="0" applyFont="1" applyBorder="1" applyAlignment="1">
      <alignment horizontal="center"/>
    </xf>
    <xf numFmtId="191" fontId="99" fillId="0" borderId="19" xfId="0" applyNumberFormat="1" applyFont="1" applyBorder="1" applyAlignment="1">
      <alignment horizontal="center"/>
    </xf>
    <xf numFmtId="191" fontId="105" fillId="0" borderId="17" xfId="0" applyNumberFormat="1" applyFont="1" applyBorder="1" applyAlignment="1">
      <alignment horizontal="center" vertical="center" wrapText="1"/>
    </xf>
    <xf numFmtId="0" fontId="0" fillId="0" borderId="0" xfId="0"/>
    <xf numFmtId="0" fontId="75" fillId="0" borderId="17" xfId="0" applyFont="1" applyBorder="1" applyAlignment="1">
      <alignment horizontal="center" vertical="center" wrapText="1"/>
    </xf>
    <xf numFmtId="0" fontId="99" fillId="0" borderId="17" xfId="0" applyFont="1" applyBorder="1" applyAlignment="1">
      <alignment horizontal="center" vertical="center" wrapText="1"/>
    </xf>
    <xf numFmtId="0" fontId="122" fillId="0" borderId="19" xfId="0" applyFont="1" applyBorder="1" applyAlignment="1">
      <alignment horizontal="center"/>
    </xf>
    <xf numFmtId="0" fontId="105" fillId="0" borderId="17" xfId="0" applyFont="1" applyBorder="1" applyAlignment="1">
      <alignment horizontal="center"/>
    </xf>
    <xf numFmtId="2" fontId="105" fillId="0" borderId="17" xfId="0" applyNumberFormat="1" applyFont="1" applyBorder="1" applyAlignment="1">
      <alignment horizontal="center"/>
    </xf>
    <xf numFmtId="2" fontId="105" fillId="0" borderId="17" xfId="0" applyNumberFormat="1" applyFont="1" applyBorder="1" applyAlignment="1">
      <alignment horizontal="center" vertical="center" wrapText="1"/>
    </xf>
    <xf numFmtId="2" fontId="99" fillId="0" borderId="18" xfId="0" applyNumberFormat="1" applyFont="1" applyBorder="1" applyAlignment="1">
      <alignment horizontal="center"/>
    </xf>
    <xf numFmtId="2" fontId="99" fillId="0" borderId="19" xfId="0" applyNumberFormat="1" applyFont="1" applyBorder="1" applyAlignment="1">
      <alignment horizontal="center"/>
    </xf>
    <xf numFmtId="2" fontId="99" fillId="0" borderId="22" xfId="0" applyNumberFormat="1" applyFont="1" applyBorder="1" applyAlignment="1">
      <alignment horizontal="center"/>
    </xf>
    <xf numFmtId="2" fontId="99" fillId="0" borderId="20" xfId="0" applyNumberFormat="1" applyFont="1" applyBorder="1" applyAlignment="1">
      <alignment horizontal="center"/>
    </xf>
    <xf numFmtId="2" fontId="5" fillId="0" borderId="0" xfId="0" applyNumberFormat="1" applyFont="1" applyAlignment="1">
      <alignment vertical="center" wrapText="1"/>
    </xf>
    <xf numFmtId="0" fontId="0" fillId="0" borderId="0" xfId="0"/>
    <xf numFmtId="0" fontId="75" fillId="0" borderId="17" xfId="0" applyFont="1" applyBorder="1" applyAlignment="1">
      <alignment horizontal="center" vertical="center" wrapText="1"/>
    </xf>
    <xf numFmtId="0" fontId="75" fillId="0" borderId="0" xfId="0" applyFont="1"/>
    <xf numFmtId="0" fontId="95" fillId="0" borderId="17" xfId="0" applyFont="1" applyBorder="1" applyAlignment="1">
      <alignment horizontal="center" vertical="center" wrapText="1"/>
    </xf>
    <xf numFmtId="0" fontId="88" fillId="0" borderId="17" xfId="0" applyFont="1" applyBorder="1" applyAlignment="1">
      <alignment horizontal="center" vertical="center" wrapText="1"/>
    </xf>
    <xf numFmtId="2" fontId="75" fillId="0" borderId="22" xfId="0" applyNumberFormat="1" applyFont="1" applyBorder="1" applyAlignment="1">
      <alignment horizontal="center" vertical="center" wrapText="1"/>
    </xf>
    <xf numFmtId="2" fontId="75" fillId="0" borderId="18" xfId="0" applyNumberFormat="1" applyFont="1" applyBorder="1" applyAlignment="1">
      <alignment horizontal="center" vertical="center" wrapText="1"/>
    </xf>
    <xf numFmtId="0" fontId="102" fillId="0" borderId="17" xfId="0" applyFont="1" applyBorder="1" applyAlignment="1">
      <alignment horizontal="center"/>
    </xf>
    <xf numFmtId="0" fontId="102" fillId="33" borderId="19" xfId="0" applyFont="1" applyFill="1" applyBorder="1" applyAlignment="1">
      <alignment horizontal="center" vertical="center" wrapText="1"/>
    </xf>
    <xf numFmtId="0" fontId="84" fillId="0" borderId="22" xfId="0" applyFont="1" applyBorder="1" applyAlignment="1">
      <alignment horizontal="center" vertical="center" wrapText="1"/>
    </xf>
    <xf numFmtId="2" fontId="6" fillId="0" borderId="0" xfId="0" applyNumberFormat="1" applyFont="1"/>
    <xf numFmtId="2" fontId="118" fillId="0" borderId="0" xfId="0" applyNumberFormat="1" applyFont="1"/>
    <xf numFmtId="0" fontId="0" fillId="0" borderId="0" xfId="0"/>
    <xf numFmtId="0" fontId="99" fillId="0" borderId="17" xfId="0" applyFont="1" applyBorder="1" applyAlignment="1">
      <alignment horizontal="center" vertical="center" wrapText="1"/>
    </xf>
    <xf numFmtId="49" fontId="99" fillId="0" borderId="19" xfId="0" applyNumberFormat="1" applyFont="1" applyBorder="1" applyAlignment="1">
      <alignment horizontal="center" vertical="center" wrapText="1"/>
    </xf>
    <xf numFmtId="49" fontId="120" fillId="0" borderId="19" xfId="0" applyNumberFormat="1" applyFont="1" applyBorder="1" applyAlignment="1">
      <alignment horizontal="center" vertical="center" wrapText="1"/>
    </xf>
    <xf numFmtId="2" fontId="105" fillId="0" borderId="19" xfId="0" applyNumberFormat="1" applyFont="1" applyBorder="1" applyAlignment="1">
      <alignment horizontal="center" vertical="center" wrapText="1"/>
    </xf>
    <xf numFmtId="2" fontId="99" fillId="0" borderId="19" xfId="0" applyNumberFormat="1" applyFont="1" applyBorder="1" applyAlignment="1">
      <alignment horizontal="center" vertical="center" wrapText="1"/>
    </xf>
    <xf numFmtId="2" fontId="120" fillId="0" borderId="19" xfId="0" applyNumberFormat="1" applyFont="1" applyBorder="1" applyAlignment="1">
      <alignment horizontal="center" vertical="center" wrapText="1"/>
    </xf>
    <xf numFmtId="2" fontId="105" fillId="0" borderId="20" xfId="0" applyNumberFormat="1" applyFont="1" applyBorder="1" applyAlignment="1">
      <alignment horizontal="center" vertical="center" wrapText="1"/>
    </xf>
    <xf numFmtId="2" fontId="105" fillId="0" borderId="21" xfId="0" applyNumberFormat="1" applyFont="1" applyBorder="1" applyAlignment="1">
      <alignment horizontal="center" vertical="center" wrapText="1"/>
    </xf>
    <xf numFmtId="2" fontId="121" fillId="0" borderId="0" xfId="0" applyNumberFormat="1" applyFont="1" applyAlignment="1">
      <alignment vertical="center" wrapText="1"/>
    </xf>
    <xf numFmtId="2" fontId="105" fillId="0" borderId="0" xfId="0" applyNumberFormat="1" applyFont="1" applyFill="1" applyBorder="1" applyAlignment="1">
      <alignment horizontal="center" vertical="center" wrapText="1"/>
    </xf>
    <xf numFmtId="2" fontId="83" fillId="0" borderId="0" xfId="0" applyNumberFormat="1" applyFont="1" applyAlignment="1">
      <alignment vertical="center" wrapText="1"/>
    </xf>
    <xf numFmtId="0" fontId="0" fillId="0" borderId="0" xfId="0"/>
    <xf numFmtId="0" fontId="0" fillId="0" borderId="0" xfId="0"/>
    <xf numFmtId="0" fontId="5" fillId="0" borderId="0" xfId="0" applyFont="1" applyAlignment="1">
      <alignment horizontal="center" vertical="center" wrapText="1"/>
    </xf>
    <xf numFmtId="0" fontId="5" fillId="0" borderId="0" xfId="0" applyFont="1" applyAlignment="1">
      <alignment horizontal="center" vertical="center" wrapText="1"/>
    </xf>
    <xf numFmtId="0" fontId="0" fillId="0" borderId="0" xfId="0" applyAlignment="1">
      <alignment horizontal="center" vertical="center" wrapText="1"/>
    </xf>
    <xf numFmtId="2" fontId="73" fillId="0" borderId="18" xfId="0" applyNumberFormat="1" applyFont="1" applyBorder="1" applyAlignment="1">
      <alignment horizontal="center" vertical="center" wrapText="1"/>
    </xf>
    <xf numFmtId="2" fontId="73" fillId="0" borderId="19" xfId="0" applyNumberFormat="1" applyFont="1" applyBorder="1" applyAlignment="1">
      <alignment horizontal="center" vertical="center" wrapText="1"/>
    </xf>
    <xf numFmtId="2" fontId="73" fillId="0" borderId="20" xfId="0" applyNumberFormat="1" applyFont="1" applyBorder="1" applyAlignment="1">
      <alignment horizontal="center" vertical="center" wrapText="1"/>
    </xf>
    <xf numFmtId="2" fontId="104" fillId="0" borderId="17" xfId="0" applyNumberFormat="1" applyFont="1" applyBorder="1" applyAlignment="1">
      <alignment horizontal="center" vertical="center" wrapText="1"/>
    </xf>
    <xf numFmtId="0" fontId="98" fillId="0" borderId="20" xfId="0" applyFont="1" applyBorder="1" applyAlignment="1">
      <alignment horizontal="center" vertical="center" wrapText="1"/>
    </xf>
    <xf numFmtId="0" fontId="98" fillId="0" borderId="20" xfId="0" applyFont="1" applyBorder="1" applyAlignment="1">
      <alignment horizontal="left" vertical="center" wrapText="1"/>
    </xf>
    <xf numFmtId="2" fontId="103" fillId="0" borderId="0" xfId="0" applyNumberFormat="1" applyFont="1"/>
    <xf numFmtId="0" fontId="0" fillId="0" borderId="17" xfId="0" applyBorder="1" applyAlignment="1">
      <alignment horizontal="center"/>
    </xf>
    <xf numFmtId="0" fontId="95" fillId="0" borderId="17" xfId="0" applyFont="1" applyBorder="1" applyAlignment="1">
      <alignment horizontal="center" vertical="center" wrapText="1"/>
    </xf>
    <xf numFmtId="0" fontId="88" fillId="0" borderId="17" xfId="0" applyFont="1" applyBorder="1" applyAlignment="1">
      <alignment horizontal="center" vertical="center" wrapText="1"/>
    </xf>
    <xf numFmtId="0" fontId="124" fillId="34" borderId="17" xfId="0" applyFont="1" applyFill="1" applyBorder="1" applyAlignment="1">
      <alignment horizontal="center" vertical="center" wrapText="1"/>
    </xf>
    <xf numFmtId="0" fontId="95" fillId="0" borderId="17" xfId="0" applyFont="1" applyBorder="1" applyAlignment="1">
      <alignment horizontal="center" vertical="center"/>
    </xf>
    <xf numFmtId="0" fontId="124" fillId="0" borderId="17" xfId="0" applyFont="1" applyBorder="1" applyAlignment="1">
      <alignment horizontal="center" vertical="center" wrapText="1"/>
    </xf>
    <xf numFmtId="0" fontId="124" fillId="0" borderId="17" xfId="0" applyFont="1" applyBorder="1" applyAlignment="1">
      <alignment horizontal="center" vertical="center"/>
    </xf>
    <xf numFmtId="0" fontId="88" fillId="0" borderId="17" xfId="0" applyFont="1" applyBorder="1" applyAlignment="1">
      <alignment horizontal="center" vertical="center"/>
    </xf>
    <xf numFmtId="0" fontId="94" fillId="0" borderId="17" xfId="0" applyFont="1" applyBorder="1" applyAlignment="1">
      <alignment horizontal="center"/>
    </xf>
    <xf numFmtId="0" fontId="124" fillId="0" borderId="17" xfId="0" applyFont="1" applyBorder="1" applyAlignment="1">
      <alignment horizontal="left" vertical="center"/>
    </xf>
    <xf numFmtId="0" fontId="88" fillId="0" borderId="17" xfId="0" applyFont="1" applyBorder="1" applyAlignment="1">
      <alignment horizontal="left" vertical="center"/>
    </xf>
    <xf numFmtId="0" fontId="88" fillId="0" borderId="0" xfId="0" applyFont="1" applyFill="1" applyBorder="1" applyAlignment="1">
      <alignment horizontal="center" vertical="center"/>
    </xf>
    <xf numFmtId="193" fontId="95" fillId="0" borderId="17" xfId="0" applyNumberFormat="1" applyFont="1" applyBorder="1" applyAlignment="1">
      <alignment horizontal="center"/>
    </xf>
    <xf numFmtId="193" fontId="88" fillId="0" borderId="17" xfId="0" applyNumberFormat="1" applyFont="1" applyBorder="1" applyAlignment="1">
      <alignment horizontal="center"/>
    </xf>
    <xf numFmtId="0" fontId="0" fillId="0" borderId="0" xfId="0"/>
    <xf numFmtId="0" fontId="75" fillId="0" borderId="17" xfId="0" applyFont="1" applyBorder="1" applyAlignment="1">
      <alignment horizontal="center" vertical="center" wrapText="1"/>
    </xf>
    <xf numFmtId="0" fontId="88" fillId="0" borderId="0" xfId="0" applyFont="1"/>
    <xf numFmtId="0" fontId="98" fillId="0" borderId="17" xfId="0" applyFont="1" applyBorder="1" applyAlignment="1">
      <alignment horizontal="center" vertical="center" wrapText="1"/>
    </xf>
    <xf numFmtId="0" fontId="95" fillId="0" borderId="17" xfId="0" applyFont="1" applyBorder="1" applyAlignment="1">
      <alignment horizontal="center" vertical="center" wrapText="1"/>
    </xf>
    <xf numFmtId="0" fontId="88" fillId="0" borderId="17" xfId="0" applyFont="1" applyBorder="1" applyAlignment="1">
      <alignment horizontal="center" vertical="center" wrapText="1"/>
    </xf>
    <xf numFmtId="0" fontId="98" fillId="0" borderId="17" xfId="0" applyFont="1" applyBorder="1" applyAlignment="1">
      <alignment horizontal="center" vertical="center" wrapText="1"/>
    </xf>
    <xf numFmtId="0" fontId="100" fillId="0" borderId="0" xfId="0" applyFont="1"/>
    <xf numFmtId="0" fontId="75" fillId="0" borderId="18" xfId="0" applyFont="1" applyBorder="1" applyAlignment="1">
      <alignment horizontal="center" vertical="center" wrapText="1"/>
    </xf>
    <xf numFmtId="0" fontId="88" fillId="0" borderId="20" xfId="0" applyFont="1" applyBorder="1"/>
    <xf numFmtId="0" fontId="88" fillId="0" borderId="21" xfId="0" applyFont="1" applyBorder="1" applyAlignment="1">
      <alignment horizontal="center" vertical="center" wrapText="1"/>
    </xf>
    <xf numFmtId="0" fontId="88" fillId="0" borderId="21" xfId="0" applyFont="1" applyBorder="1" applyAlignment="1">
      <alignment vertical="center" wrapText="1"/>
    </xf>
    <xf numFmtId="0" fontId="88" fillId="0" borderId="28" xfId="0" applyFont="1" applyBorder="1" applyAlignment="1">
      <alignment horizontal="center" vertical="center" wrapText="1"/>
    </xf>
    <xf numFmtId="0" fontId="88" fillId="0" borderId="28" xfId="0" applyFont="1" applyBorder="1" applyAlignment="1">
      <alignment vertical="center" wrapText="1"/>
    </xf>
    <xf numFmtId="0" fontId="88" fillId="0" borderId="21" xfId="0" quotePrefix="1" applyFont="1" applyBorder="1" applyAlignment="1">
      <alignment horizontal="center" vertical="center" wrapText="1"/>
    </xf>
    <xf numFmtId="0" fontId="88" fillId="0" borderId="19" xfId="0" quotePrefix="1" applyFont="1" applyBorder="1" applyAlignment="1">
      <alignment horizontal="center" vertical="center" wrapText="1"/>
    </xf>
    <xf numFmtId="0" fontId="88" fillId="0" borderId="20" xfId="0" quotePrefix="1" applyFont="1" applyBorder="1" applyAlignment="1">
      <alignment horizontal="center" vertical="center" wrapText="1"/>
    </xf>
    <xf numFmtId="0" fontId="128" fillId="0" borderId="0" xfId="0" applyFont="1"/>
    <xf numFmtId="0" fontId="95" fillId="0" borderId="17" xfId="0" applyFont="1" applyBorder="1" applyAlignment="1">
      <alignment vertical="center" wrapText="1"/>
    </xf>
    <xf numFmtId="0" fontId="88" fillId="0" borderId="17" xfId="0" applyFont="1" applyBorder="1" applyAlignment="1">
      <alignment vertical="center" wrapText="1"/>
    </xf>
    <xf numFmtId="0" fontId="128" fillId="0" borderId="0" xfId="0" applyFont="1" applyAlignment="1">
      <alignment horizontal="left"/>
    </xf>
    <xf numFmtId="0" fontId="88" fillId="0" borderId="18" xfId="0" applyFont="1" applyBorder="1" applyAlignment="1">
      <alignment horizontal="center"/>
    </xf>
    <xf numFmtId="2" fontId="88" fillId="0" borderId="18" xfId="0" applyNumberFormat="1" applyFont="1" applyBorder="1" applyAlignment="1">
      <alignment horizontal="center" vertical="center" wrapText="1"/>
    </xf>
    <xf numFmtId="0" fontId="88" fillId="0" borderId="20" xfId="0" applyFont="1" applyBorder="1" applyAlignment="1">
      <alignment horizontal="center"/>
    </xf>
    <xf numFmtId="2" fontId="88" fillId="0" borderId="20" xfId="0" applyNumberFormat="1" applyFont="1" applyBorder="1" applyAlignment="1">
      <alignment horizontal="center" vertical="center" wrapText="1"/>
    </xf>
    <xf numFmtId="2" fontId="99" fillId="0" borderId="21" xfId="0" applyNumberFormat="1" applyFont="1" applyBorder="1" applyAlignment="1">
      <alignment horizontal="center" vertical="center" wrapText="1"/>
    </xf>
    <xf numFmtId="0" fontId="129" fillId="0" borderId="17" xfId="0" applyFont="1" applyBorder="1" applyAlignment="1">
      <alignment horizontal="center" vertical="center" wrapText="1"/>
    </xf>
    <xf numFmtId="0" fontId="75" fillId="0" borderId="17" xfId="0" applyFont="1" applyBorder="1" applyAlignment="1">
      <alignment horizontal="center" vertical="center" wrapText="1"/>
    </xf>
    <xf numFmtId="0" fontId="88" fillId="0" borderId="0" xfId="0" applyFont="1"/>
    <xf numFmtId="0" fontId="0" fillId="0" borderId="0" xfId="0"/>
    <xf numFmtId="0" fontId="98" fillId="0" borderId="17" xfId="0" applyFont="1" applyBorder="1" applyAlignment="1">
      <alignment horizontal="center" vertical="center" wrapText="1"/>
    </xf>
    <xf numFmtId="0" fontId="95" fillId="0" borderId="17" xfId="0" applyFont="1" applyBorder="1" applyAlignment="1">
      <alignment horizontal="center" vertical="center" wrapText="1"/>
    </xf>
    <xf numFmtId="0" fontId="105" fillId="0" borderId="17" xfId="0" applyFont="1" applyBorder="1" applyAlignment="1">
      <alignment horizontal="center" vertical="center" wrapText="1"/>
    </xf>
    <xf numFmtId="0" fontId="75" fillId="0" borderId="17" xfId="0" applyFont="1" applyBorder="1" applyAlignment="1">
      <alignment horizontal="center" vertical="center" wrapText="1"/>
    </xf>
    <xf numFmtId="0" fontId="0" fillId="0" borderId="0" xfId="0"/>
    <xf numFmtId="0" fontId="88" fillId="0" borderId="17" xfId="0" applyFont="1" applyBorder="1" applyAlignment="1">
      <alignment horizontal="center" vertical="center" wrapText="1"/>
    </xf>
    <xf numFmtId="0" fontId="95" fillId="0" borderId="0" xfId="0" applyFont="1" applyAlignment="1">
      <alignment horizontal="center"/>
    </xf>
    <xf numFmtId="0" fontId="88" fillId="0" borderId="17" xfId="0" applyFont="1" applyBorder="1" applyAlignment="1">
      <alignment horizontal="left" vertical="center" wrapText="1"/>
    </xf>
    <xf numFmtId="0" fontId="130" fillId="0" borderId="0" xfId="0" applyFont="1"/>
    <xf numFmtId="0" fontId="88" fillId="0" borderId="0" xfId="0" applyFont="1" applyAlignment="1">
      <alignment horizontal="left"/>
    </xf>
    <xf numFmtId="0" fontId="0" fillId="0" borderId="0" xfId="0"/>
    <xf numFmtId="0" fontId="99" fillId="0" borderId="17" xfId="0" applyFont="1" applyBorder="1" applyAlignment="1">
      <alignment horizontal="center" vertical="center" wrapText="1"/>
    </xf>
    <xf numFmtId="0" fontId="98" fillId="0" borderId="17" xfId="0" applyFont="1" applyBorder="1" applyAlignment="1">
      <alignment horizontal="center" vertical="center"/>
    </xf>
    <xf numFmtId="0" fontId="98" fillId="0" borderId="17" xfId="0" applyFont="1" applyBorder="1" applyAlignment="1">
      <alignment horizontal="left" vertical="center" wrapText="1"/>
    </xf>
    <xf numFmtId="0" fontId="75" fillId="0" borderId="17" xfId="0" applyFont="1" applyBorder="1" applyAlignment="1">
      <alignment horizontal="center" vertical="center"/>
    </xf>
    <xf numFmtId="0" fontId="75" fillId="0" borderId="17" xfId="0" applyFont="1" applyBorder="1" applyAlignment="1">
      <alignment horizontal="left" vertical="center" wrapText="1"/>
    </xf>
    <xf numFmtId="0" fontId="75" fillId="0" borderId="17" xfId="0" applyFont="1" applyBorder="1" applyAlignment="1">
      <alignment horizontal="left" vertical="center"/>
    </xf>
    <xf numFmtId="0" fontId="95" fillId="0" borderId="0" xfId="0" applyFont="1"/>
    <xf numFmtId="0" fontId="0" fillId="0" borderId="17" xfId="0" applyBorder="1" applyAlignment="1">
      <alignment horizontal="left" vertical="center" wrapText="1"/>
    </xf>
    <xf numFmtId="0" fontId="88" fillId="0" borderId="17" xfId="0" applyFont="1" applyBorder="1"/>
    <xf numFmtId="0" fontId="95" fillId="0" borderId="0" xfId="0" applyFont="1" applyAlignment="1">
      <alignment horizontal="left"/>
    </xf>
    <xf numFmtId="0" fontId="75" fillId="0" borderId="17" xfId="0" applyFont="1" applyBorder="1" applyAlignment="1">
      <alignment horizontal="center" vertical="center" wrapText="1"/>
    </xf>
    <xf numFmtId="0" fontId="98" fillId="0" borderId="17" xfId="0" applyFont="1" applyBorder="1" applyAlignment="1">
      <alignment horizontal="center" vertical="center" wrapText="1"/>
    </xf>
    <xf numFmtId="2" fontId="95" fillId="0" borderId="0" xfId="0" applyNumberFormat="1" applyFont="1" applyAlignment="1">
      <alignment horizontal="center"/>
    </xf>
    <xf numFmtId="2" fontId="75" fillId="32" borderId="19" xfId="0" applyNumberFormat="1" applyFont="1" applyFill="1" applyBorder="1" applyAlignment="1">
      <alignment horizontal="center" vertical="center" wrapText="1"/>
    </xf>
    <xf numFmtId="0" fontId="75" fillId="0" borderId="17" xfId="0" applyFont="1" applyBorder="1" applyAlignment="1">
      <alignment horizontal="center" vertical="center" wrapText="1"/>
    </xf>
    <xf numFmtId="0" fontId="0" fillId="0" borderId="0" xfId="0"/>
    <xf numFmtId="2" fontId="75" fillId="0" borderId="0" xfId="0" applyNumberFormat="1" applyFont="1"/>
    <xf numFmtId="2" fontId="117" fillId="0" borderId="0" xfId="0" applyNumberFormat="1" applyFont="1" applyAlignment="1">
      <alignment vertical="center" wrapText="1"/>
    </xf>
    <xf numFmtId="0" fontId="99" fillId="0" borderId="17" xfId="0" applyFont="1" applyBorder="1" applyAlignment="1">
      <alignment horizontal="center" vertical="center" wrapText="1"/>
    </xf>
    <xf numFmtId="2" fontId="5" fillId="0" borderId="0" xfId="0" applyNumberFormat="1" applyFont="1" applyAlignment="1">
      <alignment horizontal="center" vertical="center" wrapText="1"/>
    </xf>
    <xf numFmtId="2" fontId="105" fillId="0" borderId="17" xfId="0" applyNumberFormat="1" applyFont="1" applyBorder="1" applyAlignment="1">
      <alignment horizontal="center" vertical="center"/>
    </xf>
    <xf numFmtId="2" fontId="99" fillId="0" borderId="17" xfId="0" applyNumberFormat="1" applyFont="1" applyBorder="1" applyAlignment="1">
      <alignment horizontal="center" vertical="center"/>
    </xf>
    <xf numFmtId="0" fontId="89" fillId="0" borderId="19" xfId="0" applyFont="1" applyBorder="1" applyAlignment="1">
      <alignment horizontal="left" vertical="center" wrapText="1"/>
    </xf>
    <xf numFmtId="0" fontId="0" fillId="0" borderId="0" xfId="0"/>
    <xf numFmtId="0" fontId="105" fillId="32" borderId="19" xfId="0" applyFont="1" applyFill="1" applyBorder="1" applyAlignment="1">
      <alignment horizontal="center" vertical="center" wrapText="1"/>
    </xf>
    <xf numFmtId="0" fontId="105" fillId="32" borderId="19" xfId="0" applyFont="1" applyFill="1" applyBorder="1" applyAlignment="1">
      <alignment horizontal="left" vertical="center" wrapText="1"/>
    </xf>
    <xf numFmtId="2" fontId="105" fillId="32" borderId="19" xfId="0" applyNumberFormat="1" applyFont="1" applyFill="1" applyBorder="1" applyAlignment="1">
      <alignment horizontal="center" vertical="center" wrapText="1"/>
    </xf>
    <xf numFmtId="2" fontId="99" fillId="32" borderId="19" xfId="0" applyNumberFormat="1" applyFont="1" applyFill="1" applyBorder="1" applyAlignment="1">
      <alignment horizontal="center" vertical="center" wrapText="1"/>
    </xf>
    <xf numFmtId="0" fontId="103" fillId="32" borderId="0" xfId="0" applyFont="1" applyFill="1" applyAlignment="1">
      <alignment vertical="center" wrapText="1"/>
    </xf>
    <xf numFmtId="2" fontId="103" fillId="32" borderId="0" xfId="0" applyNumberFormat="1" applyFont="1" applyFill="1" applyAlignment="1">
      <alignment vertical="center" wrapText="1"/>
    </xf>
    <xf numFmtId="2" fontId="5" fillId="32" borderId="0" xfId="0" applyNumberFormat="1" applyFont="1" applyFill="1" applyAlignment="1">
      <alignment horizontal="center" vertical="center" wrapText="1"/>
    </xf>
    <xf numFmtId="2" fontId="99" fillId="0" borderId="21" xfId="0" applyNumberFormat="1" applyFont="1" applyBorder="1" applyAlignment="1">
      <alignment horizontal="center"/>
    </xf>
    <xf numFmtId="2" fontId="75" fillId="0" borderId="4" xfId="0" applyNumberFormat="1" applyFont="1" applyFill="1" applyBorder="1" applyAlignment="1">
      <alignment horizontal="center" vertical="center" wrapText="1"/>
    </xf>
    <xf numFmtId="2" fontId="89" fillId="0" borderId="17" xfId="0" applyNumberFormat="1" applyFont="1" applyBorder="1" applyAlignment="1">
      <alignment horizontal="center" vertical="center" wrapText="1"/>
    </xf>
    <xf numFmtId="0" fontId="0" fillId="0" borderId="0" xfId="0"/>
    <xf numFmtId="0" fontId="99" fillId="0" borderId="17" xfId="0" applyFont="1" applyBorder="1" applyAlignment="1">
      <alignment horizontal="center" vertical="center" wrapText="1"/>
    </xf>
    <xf numFmtId="0" fontId="0" fillId="0" borderId="0" xfId="0" applyAlignment="1">
      <alignment horizontal="center"/>
    </xf>
    <xf numFmtId="0" fontId="88" fillId="0" borderId="17" xfId="0" applyFont="1" applyBorder="1" applyAlignment="1">
      <alignment horizontal="center" vertical="center" wrapText="1"/>
    </xf>
    <xf numFmtId="0" fontId="95" fillId="0" borderId="17" xfId="0" applyFont="1" applyBorder="1" applyAlignment="1">
      <alignment horizontal="center" vertical="center" wrapText="1"/>
    </xf>
    <xf numFmtId="0" fontId="88" fillId="0" borderId="17" xfId="0" applyFont="1" applyBorder="1" applyAlignment="1">
      <alignment horizontal="left" vertical="center" wrapText="1"/>
    </xf>
    <xf numFmtId="0" fontId="95" fillId="0" borderId="0" xfId="0" applyFont="1" applyAlignment="1">
      <alignment horizontal="center" vertical="center" wrapText="1"/>
    </xf>
    <xf numFmtId="0" fontId="88" fillId="0" borderId="0" xfId="0" applyFont="1" applyAlignment="1">
      <alignment horizontal="center" vertical="center" wrapText="1"/>
    </xf>
    <xf numFmtId="0" fontId="88" fillId="0" borderId="17" xfId="0" quotePrefix="1" applyFont="1" applyBorder="1" applyAlignment="1">
      <alignment horizontal="center" vertical="center" wrapText="1"/>
    </xf>
    <xf numFmtId="2" fontId="88" fillId="0" borderId="17" xfId="0" applyNumberFormat="1" applyFont="1" applyBorder="1" applyAlignment="1">
      <alignment horizontal="center" vertical="center" wrapText="1"/>
    </xf>
    <xf numFmtId="2" fontId="88" fillId="0" borderId="17" xfId="0" applyNumberFormat="1" applyFont="1" applyBorder="1" applyAlignment="1">
      <alignment horizontal="center" vertical="center"/>
    </xf>
    <xf numFmtId="2" fontId="95" fillId="0" borderId="17" xfId="0" applyNumberFormat="1" applyFont="1" applyBorder="1" applyAlignment="1">
      <alignment horizontal="center" vertical="center"/>
    </xf>
    <xf numFmtId="2" fontId="109" fillId="0" borderId="17" xfId="0" applyNumberFormat="1" applyFont="1" applyBorder="1" applyAlignment="1">
      <alignment horizontal="center" vertical="center" wrapText="1"/>
    </xf>
    <xf numFmtId="2" fontId="109" fillId="0" borderId="17" xfId="0" applyNumberFormat="1" applyFont="1" applyBorder="1" applyAlignment="1">
      <alignment horizontal="center" vertical="center"/>
    </xf>
    <xf numFmtId="2" fontId="0" fillId="0" borderId="0" xfId="0" applyNumberFormat="1" applyAlignment="1">
      <alignment horizontal="center"/>
    </xf>
    <xf numFmtId="0" fontId="0" fillId="0" borderId="0" xfId="0"/>
    <xf numFmtId="0" fontId="85" fillId="0" borderId="22" xfId="0" applyFont="1" applyBorder="1" applyAlignment="1">
      <alignment horizontal="center" vertical="center" wrapText="1"/>
    </xf>
    <xf numFmtId="0" fontId="85" fillId="0" borderId="22" xfId="0" applyFont="1" applyBorder="1" applyAlignment="1">
      <alignment horizontal="center"/>
    </xf>
    <xf numFmtId="0" fontId="0" fillId="0" borderId="0" xfId="0"/>
    <xf numFmtId="0" fontId="88" fillId="0" borderId="20" xfId="0" applyFont="1" applyBorder="1" applyAlignment="1">
      <alignment horizontal="center" vertical="center" wrapText="1"/>
    </xf>
    <xf numFmtId="2" fontId="89" fillId="0" borderId="19" xfId="0" applyNumberFormat="1" applyFont="1" applyBorder="1" applyAlignment="1">
      <alignment horizontal="center" vertical="center" wrapText="1"/>
    </xf>
    <xf numFmtId="0" fontId="89" fillId="32" borderId="19" xfId="0" applyFont="1" applyFill="1" applyBorder="1" applyAlignment="1">
      <alignment vertical="center" wrapText="1"/>
    </xf>
    <xf numFmtId="0" fontId="89" fillId="32" borderId="31" xfId="0" applyFont="1" applyFill="1" applyBorder="1" applyAlignment="1">
      <alignment vertical="center" wrapText="1"/>
    </xf>
    <xf numFmtId="0" fontId="85" fillId="32" borderId="19" xfId="0" applyFont="1" applyFill="1" applyBorder="1" applyAlignment="1">
      <alignment horizontal="center" vertical="center" wrapText="1"/>
    </xf>
    <xf numFmtId="0" fontId="82" fillId="32" borderId="0" xfId="0" applyFont="1" applyFill="1"/>
    <xf numFmtId="0" fontId="0" fillId="0" borderId="0" xfId="0" applyAlignment="1">
      <alignment horizontal="center"/>
    </xf>
    <xf numFmtId="0" fontId="95" fillId="0" borderId="17" xfId="0" applyFont="1" applyBorder="1" applyAlignment="1">
      <alignment horizontal="center" vertical="center" wrapText="1"/>
    </xf>
    <xf numFmtId="0" fontId="75" fillId="0" borderId="17" xfId="0" applyFont="1" applyBorder="1" applyAlignment="1">
      <alignment horizontal="center" vertical="center" wrapText="1"/>
    </xf>
    <xf numFmtId="0" fontId="0" fillId="0" borderId="0" xfId="0"/>
    <xf numFmtId="164" fontId="103" fillId="0" borderId="0" xfId="0" applyNumberFormat="1" applyFont="1" applyAlignment="1">
      <alignment vertical="center" wrapText="1"/>
    </xf>
    <xf numFmtId="0" fontId="75" fillId="0" borderId="17" xfId="0" applyFont="1" applyBorder="1" applyAlignment="1">
      <alignment horizontal="center" vertical="center" wrapText="1"/>
    </xf>
    <xf numFmtId="0" fontId="75" fillId="0" borderId="0" xfId="0" applyFont="1"/>
    <xf numFmtId="0" fontId="98" fillId="0" borderId="0" xfId="0" applyFont="1"/>
    <xf numFmtId="0" fontId="75" fillId="0" borderId="17" xfId="0" applyFont="1" applyBorder="1"/>
    <xf numFmtId="0" fontId="75" fillId="0" borderId="17" xfId="0" quotePrefix="1" applyFont="1" applyBorder="1" applyAlignment="1">
      <alignment horizontal="center"/>
    </xf>
    <xf numFmtId="0" fontId="75" fillId="0" borderId="0" xfId="0" applyFont="1" applyAlignment="1">
      <alignment vertical="center" wrapText="1"/>
    </xf>
    <xf numFmtId="2" fontId="75" fillId="0" borderId="17" xfId="0" applyNumberFormat="1" applyFont="1" applyBorder="1"/>
    <xf numFmtId="2" fontId="98" fillId="0" borderId="0" xfId="0" applyNumberFormat="1" applyFont="1"/>
    <xf numFmtId="0" fontId="105" fillId="0" borderId="17" xfId="0" applyFont="1" applyBorder="1" applyAlignment="1">
      <alignment horizontal="center" vertical="center" wrapText="1"/>
    </xf>
    <xf numFmtId="0" fontId="93" fillId="0" borderId="0" xfId="0" applyFont="1" applyAlignment="1">
      <alignment horizontal="center" vertical="center" wrapText="1"/>
    </xf>
    <xf numFmtId="0" fontId="75" fillId="0" borderId="0" xfId="0" applyFont="1"/>
    <xf numFmtId="0" fontId="98" fillId="0" borderId="0" xfId="0" applyFont="1"/>
    <xf numFmtId="2" fontId="130" fillId="0" borderId="0" xfId="0" applyNumberFormat="1" applyFont="1"/>
    <xf numFmtId="0" fontId="130" fillId="0" borderId="0" xfId="0" applyFont="1" applyAlignment="1">
      <alignment horizontal="center"/>
    </xf>
    <xf numFmtId="2" fontId="94" fillId="0" borderId="0" xfId="0" applyNumberFormat="1" applyFont="1"/>
    <xf numFmtId="0" fontId="75" fillId="0" borderId="0" xfId="0" applyFont="1" applyAlignment="1">
      <alignment horizontal="center"/>
    </xf>
    <xf numFmtId="2" fontId="98" fillId="0" borderId="0" xfId="0" applyNumberFormat="1" applyFont="1" applyAlignment="1">
      <alignment horizontal="center"/>
    </xf>
    <xf numFmtId="2" fontId="75" fillId="0" borderId="0" xfId="0" applyNumberFormat="1" applyFont="1" applyAlignment="1">
      <alignment horizontal="center"/>
    </xf>
    <xf numFmtId="2" fontId="86" fillId="0" borderId="21" xfId="0" applyNumberFormat="1" applyFont="1" applyBorder="1" applyAlignment="1">
      <alignment horizontal="center" vertical="center" wrapText="1"/>
    </xf>
    <xf numFmtId="2" fontId="82" fillId="0" borderId="19" xfId="0" applyNumberFormat="1" applyFont="1" applyBorder="1" applyAlignment="1">
      <alignment horizontal="center" vertical="center" wrapText="1"/>
    </xf>
    <xf numFmtId="2" fontId="0" fillId="0" borderId="19" xfId="0" applyNumberFormat="1" applyBorder="1" applyAlignment="1">
      <alignment horizontal="center" vertical="center" wrapText="1"/>
    </xf>
    <xf numFmtId="2" fontId="0" fillId="0" borderId="22" xfId="0" applyNumberFormat="1" applyBorder="1" applyAlignment="1">
      <alignment horizontal="center" vertical="center" wrapText="1"/>
    </xf>
    <xf numFmtId="2" fontId="82" fillId="0" borderId="17" xfId="0" applyNumberFormat="1" applyFont="1" applyBorder="1" applyAlignment="1">
      <alignment horizontal="center" vertical="center" wrapText="1"/>
    </xf>
    <xf numFmtId="2" fontId="86" fillId="0" borderId="17" xfId="0" applyNumberFormat="1" applyFont="1" applyBorder="1" applyAlignment="1">
      <alignment horizontal="center" vertical="center" wrapText="1"/>
    </xf>
    <xf numFmtId="2" fontId="87" fillId="0" borderId="19" xfId="0" applyNumberFormat="1" applyFont="1" applyBorder="1" applyAlignment="1">
      <alignment horizontal="center" vertical="center" wrapText="1"/>
    </xf>
    <xf numFmtId="2" fontId="88" fillId="0" borderId="22" xfId="0" applyNumberFormat="1" applyFont="1" applyBorder="1" applyAlignment="1">
      <alignment horizontal="center" vertical="center" wrapText="1"/>
    </xf>
    <xf numFmtId="2" fontId="87" fillId="0" borderId="17" xfId="0" applyNumberFormat="1" applyFont="1" applyBorder="1" applyAlignment="1">
      <alignment horizontal="center" vertical="center" wrapText="1"/>
    </xf>
    <xf numFmtId="2" fontId="111" fillId="0" borderId="19" xfId="0" applyNumberFormat="1" applyFont="1" applyBorder="1" applyAlignment="1">
      <alignment horizontal="center" vertical="center" wrapText="1"/>
    </xf>
    <xf numFmtId="2" fontId="84" fillId="0" borderId="17" xfId="0" applyNumberFormat="1" applyFont="1" applyBorder="1" applyAlignment="1">
      <alignment horizontal="center" vertical="center" wrapText="1"/>
    </xf>
    <xf numFmtId="2" fontId="84" fillId="0" borderId="17" xfId="0" applyNumberFormat="1" applyFont="1" applyBorder="1" applyAlignment="1">
      <alignment horizontal="center" vertical="center"/>
    </xf>
    <xf numFmtId="2" fontId="85" fillId="0" borderId="21" xfId="0" applyNumberFormat="1" applyFont="1" applyBorder="1" applyAlignment="1">
      <alignment horizontal="center"/>
    </xf>
    <xf numFmtId="2" fontId="85" fillId="0" borderId="19" xfId="0" applyNumberFormat="1" applyFont="1" applyBorder="1" applyAlignment="1">
      <alignment horizontal="center"/>
    </xf>
    <xf numFmtId="2" fontId="85" fillId="0" borderId="17" xfId="0" applyNumberFormat="1" applyFont="1" applyBorder="1" applyAlignment="1">
      <alignment horizontal="center" vertical="center"/>
    </xf>
    <xf numFmtId="2" fontId="84" fillId="0" borderId="19" xfId="0" applyNumberFormat="1" applyFont="1" applyBorder="1" applyAlignment="1">
      <alignment horizontal="center"/>
    </xf>
    <xf numFmtId="2" fontId="87" fillId="0" borderId="18" xfId="0" applyNumberFormat="1" applyFont="1" applyBorder="1" applyAlignment="1">
      <alignment horizontal="center" vertical="center" wrapText="1"/>
    </xf>
    <xf numFmtId="2" fontId="87" fillId="0" borderId="28" xfId="0" applyNumberFormat="1" applyFont="1" applyBorder="1" applyAlignment="1">
      <alignment horizontal="center" vertical="center" wrapText="1"/>
    </xf>
    <xf numFmtId="2" fontId="87" fillId="0" borderId="21" xfId="0" applyNumberFormat="1" applyFont="1" applyBorder="1" applyAlignment="1">
      <alignment horizontal="center" vertical="center" wrapText="1"/>
    </xf>
    <xf numFmtId="2" fontId="102" fillId="0" borderId="19" xfId="0" applyNumberFormat="1" applyFont="1" applyBorder="1" applyAlignment="1">
      <alignment horizontal="center" vertical="center" wrapText="1"/>
    </xf>
    <xf numFmtId="0" fontId="135" fillId="0" borderId="19" xfId="0" applyFont="1" applyBorder="1" applyAlignment="1">
      <alignment vertical="center" wrapText="1"/>
    </xf>
    <xf numFmtId="0" fontId="135" fillId="0" borderId="31" xfId="0" applyFont="1" applyBorder="1" applyAlignment="1">
      <alignment vertical="center" wrapText="1"/>
    </xf>
    <xf numFmtId="0" fontId="136" fillId="0" borderId="19" xfId="0" applyFont="1" applyBorder="1" applyAlignment="1">
      <alignment horizontal="center" vertical="center" wrapText="1"/>
    </xf>
    <xf numFmtId="2" fontId="136" fillId="0" borderId="19" xfId="0" applyNumberFormat="1" applyFont="1" applyBorder="1" applyAlignment="1">
      <alignment horizontal="center" vertical="center" wrapText="1"/>
    </xf>
    <xf numFmtId="0" fontId="137" fillId="0" borderId="0" xfId="0" applyFont="1"/>
    <xf numFmtId="2" fontId="85" fillId="32" borderId="19" xfId="0" applyNumberFormat="1" applyFont="1" applyFill="1" applyBorder="1" applyAlignment="1">
      <alignment horizontal="center" vertical="center" wrapText="1"/>
    </xf>
    <xf numFmtId="0" fontId="99" fillId="0" borderId="46" xfId="0" applyFont="1" applyBorder="1" applyAlignment="1">
      <alignment horizontal="center" vertical="center" wrapText="1"/>
    </xf>
    <xf numFmtId="0" fontId="88" fillId="0" borderId="47" xfId="0" applyFont="1" applyBorder="1" applyAlignment="1">
      <alignment horizontal="left"/>
    </xf>
    <xf numFmtId="0" fontId="88" fillId="0" borderId="48" xfId="0" applyFont="1" applyBorder="1" applyAlignment="1">
      <alignment horizontal="left"/>
    </xf>
    <xf numFmtId="0" fontId="87" fillId="0" borderId="34" xfId="0" applyFont="1" applyBorder="1" applyAlignment="1">
      <alignment horizontal="center" vertical="center" wrapText="1"/>
    </xf>
    <xf numFmtId="0" fontId="110" fillId="0" borderId="34" xfId="5112" applyFont="1" applyBorder="1" applyAlignment="1">
      <alignment horizontal="center" vertical="center" wrapText="1"/>
    </xf>
    <xf numFmtId="0" fontId="88" fillId="0" borderId="34" xfId="5112" applyFont="1" applyBorder="1" applyAlignment="1">
      <alignment horizontal="center" vertical="center" wrapText="1"/>
    </xf>
    <xf numFmtId="0" fontId="89" fillId="0" borderId="34" xfId="5112" applyFont="1" applyBorder="1" applyAlignment="1">
      <alignment horizontal="center" vertical="center" wrapText="1"/>
    </xf>
    <xf numFmtId="0" fontId="109" fillId="0" borderId="34" xfId="5112" applyFont="1" applyBorder="1" applyAlignment="1">
      <alignment horizontal="center" vertical="center" wrapText="1"/>
    </xf>
    <xf numFmtId="0" fontId="75" fillId="0" borderId="19" xfId="0" applyFont="1" applyBorder="1" applyAlignment="1">
      <alignment horizontal="center" vertical="center"/>
    </xf>
    <xf numFmtId="2" fontId="84" fillId="29" borderId="21" xfId="0" applyNumberFormat="1" applyFont="1" applyFill="1" applyBorder="1" applyAlignment="1">
      <alignment horizontal="center" vertical="center" wrapText="1"/>
    </xf>
    <xf numFmtId="2" fontId="75" fillId="0" borderId="19" xfId="0" applyNumberFormat="1" applyFont="1" applyBorder="1" applyAlignment="1">
      <alignment horizontal="center" vertical="center"/>
    </xf>
    <xf numFmtId="2" fontId="111" fillId="0" borderId="67" xfId="6160" applyNumberFormat="1" applyFont="1" applyFill="1" applyBorder="1" applyAlignment="1">
      <alignment horizontal="center" vertical="center" wrapText="1"/>
    </xf>
    <xf numFmtId="2" fontId="88" fillId="0" borderId="67" xfId="6160" applyNumberFormat="1" applyFont="1" applyFill="1" applyBorder="1" applyAlignment="1">
      <alignment horizontal="center" vertical="center" wrapText="1"/>
    </xf>
    <xf numFmtId="2" fontId="88" fillId="0" borderId="36" xfId="6160" applyNumberFormat="1" applyFont="1" applyFill="1" applyBorder="1" applyAlignment="1">
      <alignment horizontal="center" vertical="center" wrapText="1"/>
    </xf>
    <xf numFmtId="0" fontId="88" fillId="0" borderId="67" xfId="0" applyFont="1" applyFill="1" applyBorder="1" applyAlignment="1">
      <alignment vertical="center" wrapText="1"/>
    </xf>
    <xf numFmtId="0" fontId="88" fillId="0" borderId="67" xfId="6160" applyFont="1" applyFill="1" applyBorder="1" applyAlignment="1">
      <alignment vertical="center" wrapText="1"/>
    </xf>
    <xf numFmtId="0" fontId="110" fillId="0" borderId="0" xfId="0" applyFont="1" applyFill="1"/>
    <xf numFmtId="0" fontId="88" fillId="0" borderId="36" xfId="6160" applyFont="1" applyFill="1" applyBorder="1" applyAlignment="1">
      <alignment horizontal="center" vertical="center" wrapText="1"/>
    </xf>
    <xf numFmtId="2" fontId="88" fillId="0" borderId="73" xfId="6160" applyNumberFormat="1" applyFont="1" applyFill="1" applyBorder="1" applyAlignment="1">
      <alignment horizontal="center" vertical="center" wrapText="1"/>
    </xf>
    <xf numFmtId="2" fontId="88" fillId="0" borderId="74" xfId="6160" applyNumberFormat="1" applyFont="1" applyFill="1" applyBorder="1" applyAlignment="1">
      <alignment horizontal="center" vertical="center" wrapText="1"/>
    </xf>
    <xf numFmtId="0" fontId="88" fillId="0" borderId="74" xfId="6160" applyFont="1" applyFill="1" applyBorder="1" applyAlignment="1">
      <alignment horizontal="center" vertical="center" wrapText="1"/>
    </xf>
    <xf numFmtId="0" fontId="88" fillId="0" borderId="74" xfId="0" applyFont="1" applyFill="1" applyBorder="1" applyAlignment="1">
      <alignment vertical="top" wrapText="1"/>
    </xf>
    <xf numFmtId="0" fontId="88" fillId="0" borderId="74" xfId="0" applyFont="1" applyFill="1" applyBorder="1" applyAlignment="1">
      <alignment horizontal="center" vertical="center" wrapText="1"/>
    </xf>
    <xf numFmtId="0" fontId="88" fillId="0" borderId="73" xfId="6162" applyFont="1" applyFill="1" applyBorder="1" applyAlignment="1">
      <alignment vertical="center" wrapText="1"/>
    </xf>
    <xf numFmtId="0" fontId="88" fillId="0" borderId="73" xfId="6160" applyFont="1" applyFill="1" applyBorder="1" applyAlignment="1">
      <alignment horizontal="center" vertical="center" wrapText="1"/>
    </xf>
    <xf numFmtId="0" fontId="88" fillId="0" borderId="73" xfId="0" applyFont="1" applyFill="1" applyBorder="1" applyAlignment="1">
      <alignment horizontal="center" vertical="center" wrapText="1"/>
    </xf>
    <xf numFmtId="0" fontId="88" fillId="0" borderId="74" xfId="0" applyFont="1" applyFill="1" applyBorder="1" applyAlignment="1">
      <alignment vertical="center" wrapText="1"/>
    </xf>
    <xf numFmtId="2" fontId="111" fillId="0" borderId="73" xfId="6160" applyNumberFormat="1" applyFont="1" applyFill="1" applyBorder="1" applyAlignment="1">
      <alignment horizontal="center" vertical="center" wrapText="1"/>
    </xf>
    <xf numFmtId="0" fontId="88" fillId="0" borderId="0" xfId="0" applyFont="1" applyFill="1" applyAlignment="1">
      <alignment horizontal="center"/>
    </xf>
    <xf numFmtId="0" fontId="88" fillId="0" borderId="36" xfId="6160" applyFont="1" applyFill="1" applyBorder="1" applyAlignment="1">
      <alignment vertical="center" wrapText="1"/>
    </xf>
    <xf numFmtId="0" fontId="88" fillId="0" borderId="36" xfId="0" applyFont="1" applyFill="1" applyBorder="1" applyAlignment="1">
      <alignment vertical="center" wrapText="1"/>
    </xf>
    <xf numFmtId="0" fontId="88" fillId="0" borderId="73" xfId="0" applyFont="1" applyFill="1" applyBorder="1" applyAlignment="1">
      <alignment vertical="center" wrapText="1"/>
    </xf>
    <xf numFmtId="0" fontId="88" fillId="0" borderId="73" xfId="6160" applyFont="1" applyFill="1" applyBorder="1" applyAlignment="1">
      <alignment vertical="center" wrapText="1"/>
    </xf>
    <xf numFmtId="0" fontId="88" fillId="0" borderId="73" xfId="0" applyFont="1" applyFill="1" applyBorder="1" applyAlignment="1">
      <alignment horizontal="left" vertical="center" wrapText="1"/>
    </xf>
    <xf numFmtId="0" fontId="88" fillId="0" borderId="36" xfId="0" applyFont="1" applyFill="1" applyBorder="1" applyAlignment="1">
      <alignment horizontal="left" vertical="center" wrapText="1"/>
    </xf>
    <xf numFmtId="2" fontId="102" fillId="0" borderId="22" xfId="0" applyNumberFormat="1" applyFont="1" applyBorder="1" applyAlignment="1">
      <alignment horizontal="center" vertical="center" wrapText="1"/>
    </xf>
    <xf numFmtId="2" fontId="86" fillId="0" borderId="0" xfId="0" applyNumberFormat="1" applyFont="1" applyAlignment="1">
      <alignment vertical="center" wrapText="1"/>
    </xf>
    <xf numFmtId="2" fontId="82" fillId="0" borderId="0" xfId="0" applyNumberFormat="1" applyFont="1" applyAlignment="1">
      <alignment vertical="center" wrapText="1"/>
    </xf>
    <xf numFmtId="2" fontId="82" fillId="0" borderId="0" xfId="0" applyNumberFormat="1" applyFont="1"/>
    <xf numFmtId="2" fontId="86" fillId="0" borderId="0" xfId="0" applyNumberFormat="1" applyFont="1"/>
    <xf numFmtId="2" fontId="93" fillId="0" borderId="0" xfId="0" applyNumberFormat="1" applyFont="1" applyAlignment="1">
      <alignment vertical="center" wrapText="1"/>
    </xf>
    <xf numFmtId="2" fontId="85" fillId="29" borderId="19" xfId="0" applyNumberFormat="1" applyFont="1" applyFill="1" applyBorder="1" applyAlignment="1">
      <alignment horizontal="center" vertical="center" wrapText="1"/>
    </xf>
    <xf numFmtId="2" fontId="75" fillId="29" borderId="19" xfId="0" applyNumberFormat="1" applyFont="1" applyFill="1" applyBorder="1" applyAlignment="1">
      <alignment horizontal="center" vertical="center" wrapText="1"/>
    </xf>
    <xf numFmtId="2" fontId="75" fillId="29" borderId="22" xfId="0" applyNumberFormat="1" applyFont="1" applyFill="1" applyBorder="1" applyAlignment="1">
      <alignment horizontal="center" vertical="center" wrapText="1"/>
    </xf>
    <xf numFmtId="0" fontId="0" fillId="0" borderId="0" xfId="0"/>
    <xf numFmtId="0" fontId="3" fillId="0" borderId="0" xfId="0" applyFont="1"/>
    <xf numFmtId="194" fontId="141" fillId="0" borderId="84" xfId="0" applyNumberFormat="1" applyFont="1" applyFill="1" applyBorder="1" applyAlignment="1">
      <alignment horizontal="center" vertical="center"/>
    </xf>
    <xf numFmtId="194" fontId="141" fillId="0" borderId="12" xfId="0" applyNumberFormat="1" applyFont="1" applyFill="1" applyBorder="1" applyAlignment="1">
      <alignment horizontal="center" vertical="center"/>
    </xf>
    <xf numFmtId="43" fontId="28" fillId="0" borderId="84" xfId="0" applyNumberFormat="1" applyFont="1" applyFill="1" applyBorder="1" applyAlignment="1">
      <alignment vertical="center"/>
    </xf>
    <xf numFmtId="43" fontId="140" fillId="0" borderId="12" xfId="0" applyNumberFormat="1" applyFont="1" applyFill="1" applyBorder="1" applyAlignment="1">
      <alignment horizontal="center" vertical="center"/>
    </xf>
    <xf numFmtId="195" fontId="140" fillId="0" borderId="84" xfId="0" applyNumberFormat="1" applyFont="1" applyFill="1" applyBorder="1" applyAlignment="1">
      <alignment vertical="center"/>
    </xf>
    <xf numFmtId="43" fontId="140" fillId="0" borderId="12" xfId="0" applyNumberFormat="1" applyFont="1" applyFill="1" applyBorder="1" applyAlignment="1">
      <alignment horizontal="left" vertical="center" wrapText="1"/>
    </xf>
    <xf numFmtId="43" fontId="140" fillId="0" borderId="12" xfId="0" applyNumberFormat="1" applyFont="1" applyFill="1" applyBorder="1" applyAlignment="1">
      <alignment horizontal="center" vertical="center" wrapText="1"/>
    </xf>
    <xf numFmtId="43" fontId="28" fillId="0" borderId="12" xfId="0" applyNumberFormat="1" applyFont="1" applyFill="1" applyBorder="1" applyAlignment="1">
      <alignment vertical="center"/>
    </xf>
    <xf numFmtId="43" fontId="28" fillId="0" borderId="12" xfId="0" applyNumberFormat="1" applyFont="1" applyFill="1" applyBorder="1" applyAlignment="1">
      <alignment horizontal="center" vertical="center" wrapText="1"/>
    </xf>
    <xf numFmtId="43" fontId="142" fillId="0" borderId="12" xfId="0" applyNumberFormat="1" applyFont="1" applyFill="1" applyBorder="1" applyAlignment="1">
      <alignment horizontal="left" vertical="center"/>
    </xf>
    <xf numFmtId="43" fontId="28" fillId="0" borderId="12" xfId="0" applyNumberFormat="1" applyFont="1" applyFill="1" applyBorder="1" applyAlignment="1">
      <alignment horizontal="left" vertical="center"/>
    </xf>
    <xf numFmtId="196" fontId="28" fillId="0" borderId="84" xfId="0" applyNumberFormat="1" applyFont="1" applyFill="1" applyBorder="1" applyAlignment="1">
      <alignment vertical="center"/>
    </xf>
    <xf numFmtId="196" fontId="28" fillId="0" borderId="84" xfId="0" applyNumberFormat="1" applyFont="1" applyFill="1" applyBorder="1" applyAlignment="1">
      <alignment horizontal="left" vertical="center"/>
    </xf>
    <xf numFmtId="195" fontId="140" fillId="0" borderId="84" xfId="0" applyNumberFormat="1" applyFont="1" applyFill="1" applyBorder="1" applyAlignment="1">
      <alignment horizontal="left" vertical="center"/>
    </xf>
    <xf numFmtId="43" fontId="140" fillId="0" borderId="12" xfId="0" applyNumberFormat="1" applyFont="1" applyFill="1" applyBorder="1" applyAlignment="1">
      <alignment horizontal="left" vertical="center"/>
    </xf>
    <xf numFmtId="43" fontId="28" fillId="0" borderId="12" xfId="0" applyNumberFormat="1" applyFont="1" applyFill="1" applyBorder="1" applyAlignment="1">
      <alignment horizontal="left" vertical="center" wrapText="1"/>
    </xf>
    <xf numFmtId="49" fontId="28" fillId="0" borderId="12" xfId="0" applyNumberFormat="1" applyFont="1" applyFill="1" applyBorder="1" applyAlignment="1">
      <alignment horizontal="left" vertical="center" wrapText="1"/>
    </xf>
    <xf numFmtId="49" fontId="28" fillId="0" borderId="12" xfId="0" applyNumberFormat="1" applyFont="1" applyFill="1" applyBorder="1" applyAlignment="1">
      <alignment horizontal="left" vertical="center"/>
    </xf>
    <xf numFmtId="49" fontId="28" fillId="0" borderId="12" xfId="0" applyNumberFormat="1" applyFont="1" applyFill="1" applyBorder="1" applyAlignment="1">
      <alignment vertical="center"/>
    </xf>
    <xf numFmtId="49" fontId="28" fillId="0" borderId="12" xfId="0" applyNumberFormat="1" applyFont="1" applyFill="1" applyBorder="1" applyAlignment="1">
      <alignment vertical="center" wrapText="1"/>
    </xf>
    <xf numFmtId="43" fontId="73" fillId="0" borderId="84" xfId="0" applyNumberFormat="1" applyFont="1" applyFill="1" applyBorder="1" applyAlignment="1">
      <alignment vertical="center"/>
    </xf>
    <xf numFmtId="49" fontId="73" fillId="0" borderId="12" xfId="0" applyNumberFormat="1" applyFont="1" applyFill="1" applyBorder="1" applyAlignment="1">
      <alignment horizontal="left" vertical="center"/>
    </xf>
    <xf numFmtId="43" fontId="73" fillId="0" borderId="12" xfId="0" applyNumberFormat="1" applyFont="1" applyFill="1" applyBorder="1" applyAlignment="1">
      <alignment horizontal="center" vertical="center" wrapText="1"/>
    </xf>
    <xf numFmtId="0" fontId="73" fillId="0" borderId="84" xfId="0" applyFont="1" applyBorder="1" applyAlignment="1">
      <alignment horizontal="center"/>
    </xf>
    <xf numFmtId="0" fontId="73" fillId="0" borderId="84" xfId="0" applyFont="1" applyBorder="1"/>
    <xf numFmtId="49" fontId="73" fillId="0" borderId="12" xfId="0" applyNumberFormat="1" applyFont="1" applyBorder="1"/>
    <xf numFmtId="0" fontId="73" fillId="0" borderId="12" xfId="0" applyFont="1" applyBorder="1" applyAlignment="1">
      <alignment horizontal="center"/>
    </xf>
    <xf numFmtId="0" fontId="73" fillId="0" borderId="12" xfId="0" applyFont="1" applyBorder="1"/>
    <xf numFmtId="2" fontId="73" fillId="0" borderId="12" xfId="0" applyNumberFormat="1" applyFont="1" applyBorder="1"/>
    <xf numFmtId="0" fontId="104" fillId="0" borderId="84" xfId="0" applyFont="1" applyBorder="1"/>
    <xf numFmtId="49" fontId="104" fillId="0" borderId="12" xfId="0" applyNumberFormat="1" applyFont="1" applyBorder="1"/>
    <xf numFmtId="0" fontId="104" fillId="0" borderId="12" xfId="0" applyFont="1" applyBorder="1" applyAlignment="1">
      <alignment horizontal="center"/>
    </xf>
    <xf numFmtId="2" fontId="104" fillId="0" borderId="12" xfId="0" applyNumberFormat="1" applyFont="1" applyBorder="1"/>
    <xf numFmtId="0" fontId="73" fillId="0" borderId="85" xfId="0" applyFont="1" applyBorder="1"/>
    <xf numFmtId="0" fontId="0" fillId="0" borderId="86" xfId="0" applyBorder="1"/>
    <xf numFmtId="0" fontId="0" fillId="0" borderId="87" xfId="0" applyBorder="1"/>
    <xf numFmtId="0" fontId="143" fillId="0" borderId="87" xfId="0" applyFont="1" applyBorder="1"/>
    <xf numFmtId="0" fontId="0" fillId="0" borderId="88" xfId="0" applyBorder="1"/>
    <xf numFmtId="195" fontId="28" fillId="0" borderId="84" xfId="12209" applyNumberFormat="1" applyFont="1" applyFill="1" applyBorder="1" applyAlignment="1">
      <alignment horizontal="left" vertical="center" readingOrder="2"/>
    </xf>
    <xf numFmtId="196" fontId="28" fillId="0" borderId="12" xfId="0" applyNumberFormat="1" applyFont="1" applyFill="1" applyBorder="1" applyAlignment="1">
      <alignment horizontal="center" vertical="center" wrapText="1"/>
    </xf>
    <xf numFmtId="49" fontId="73" fillId="24" borderId="12" xfId="12210" applyNumberFormat="1" applyFont="1" applyFill="1" applyBorder="1" applyAlignment="1">
      <alignment horizontal="left" vertical="center" wrapText="1"/>
    </xf>
    <xf numFmtId="43" fontId="73" fillId="24" borderId="12" xfId="12210" applyNumberFormat="1" applyFont="1" applyFill="1" applyBorder="1" applyAlignment="1">
      <alignment horizontal="center" vertical="center" wrapText="1"/>
    </xf>
    <xf numFmtId="194" fontId="28" fillId="0" borderId="12" xfId="0" applyNumberFormat="1" applyFont="1" applyFill="1" applyBorder="1" applyAlignment="1">
      <alignment horizontal="center" vertical="center"/>
    </xf>
    <xf numFmtId="194" fontId="28" fillId="0" borderId="85" xfId="0" applyNumberFormat="1" applyFont="1" applyFill="1" applyBorder="1" applyAlignment="1">
      <alignment horizontal="center" vertical="center"/>
    </xf>
    <xf numFmtId="43" fontId="140" fillId="0" borderId="84" xfId="0" applyNumberFormat="1" applyFont="1" applyFill="1" applyBorder="1" applyAlignment="1">
      <alignment vertical="center"/>
    </xf>
    <xf numFmtId="0" fontId="0" fillId="0" borderId="0" xfId="0"/>
    <xf numFmtId="0" fontId="99" fillId="0" borderId="23" xfId="0" applyFont="1" applyBorder="1" applyAlignment="1">
      <alignment horizontal="center" vertical="center" wrapText="1"/>
    </xf>
    <xf numFmtId="2" fontId="88" fillId="0" borderId="21" xfId="0" applyNumberFormat="1" applyFont="1" applyBorder="1" applyAlignment="1">
      <alignment horizontal="center"/>
    </xf>
    <xf numFmtId="2" fontId="88" fillId="0" borderId="19" xfId="0" applyNumberFormat="1" applyFont="1" applyBorder="1" applyAlignment="1">
      <alignment horizontal="center"/>
    </xf>
    <xf numFmtId="2" fontId="88" fillId="0" borderId="21" xfId="0" applyNumberFormat="1" applyFont="1" applyBorder="1" applyAlignment="1">
      <alignment horizontal="center" vertical="center" wrapText="1"/>
    </xf>
    <xf numFmtId="2" fontId="109" fillId="0" borderId="19" xfId="0" applyNumberFormat="1" applyFont="1" applyBorder="1" applyAlignment="1">
      <alignment horizontal="center" vertical="center" wrapText="1"/>
    </xf>
    <xf numFmtId="0" fontId="73" fillId="0" borderId="89" xfId="0" applyFont="1" applyBorder="1" applyAlignment="1">
      <alignment horizontal="center" vertical="center" wrapText="1"/>
    </xf>
    <xf numFmtId="0" fontId="73" fillId="0" borderId="79" xfId="0" applyFont="1" applyBorder="1" applyAlignment="1">
      <alignment horizontal="center" vertical="center" wrapText="1"/>
    </xf>
    <xf numFmtId="0" fontId="73" fillId="0" borderId="90" xfId="0" applyFont="1" applyBorder="1" applyAlignment="1">
      <alignment horizontal="center" vertical="center" wrapText="1"/>
    </xf>
    <xf numFmtId="0" fontId="104" fillId="0" borderId="27" xfId="0" applyFont="1" applyBorder="1" applyAlignment="1">
      <alignment horizontal="center" vertical="center" wrapText="1"/>
    </xf>
    <xf numFmtId="0" fontId="130" fillId="0" borderId="84" xfId="0" applyFont="1" applyBorder="1" applyAlignment="1">
      <alignment horizontal="center" vertical="center" wrapText="1"/>
    </xf>
    <xf numFmtId="0" fontId="130" fillId="0" borderId="61" xfId="0" applyFont="1" applyBorder="1" applyAlignment="1">
      <alignment horizontal="left"/>
    </xf>
    <xf numFmtId="0" fontId="130" fillId="0" borderId="84" xfId="0" applyFont="1" applyBorder="1" applyAlignment="1">
      <alignment horizontal="center"/>
    </xf>
    <xf numFmtId="0" fontId="0" fillId="0" borderId="0" xfId="0"/>
    <xf numFmtId="0" fontId="98" fillId="0" borderId="27" xfId="0" applyFont="1" applyBorder="1" applyAlignment="1">
      <alignment horizontal="center" vertical="center" wrapText="1"/>
    </xf>
    <xf numFmtId="2" fontId="75" fillId="0" borderId="61" xfId="0" applyNumberFormat="1" applyFont="1" applyBorder="1" applyAlignment="1">
      <alignment horizontal="center" vertical="center" wrapText="1"/>
    </xf>
    <xf numFmtId="0" fontId="75" fillId="0" borderId="61" xfId="0" applyFont="1" applyBorder="1" applyAlignment="1">
      <alignment horizontal="center" vertical="center" wrapText="1"/>
    </xf>
    <xf numFmtId="2" fontId="75" fillId="0" borderId="85" xfId="0" applyNumberFormat="1" applyFont="1" applyBorder="1" applyAlignment="1">
      <alignment horizontal="center" vertical="center" wrapText="1"/>
    </xf>
    <xf numFmtId="2" fontId="98" fillId="0" borderId="61" xfId="0" applyNumberFormat="1" applyFont="1" applyBorder="1" applyAlignment="1">
      <alignment horizontal="center" vertical="center" wrapText="1"/>
    </xf>
    <xf numFmtId="2" fontId="75" fillId="0" borderId="61" xfId="0" applyNumberFormat="1" applyFont="1" applyBorder="1"/>
    <xf numFmtId="0" fontId="75" fillId="0" borderId="61" xfId="0" applyFont="1" applyBorder="1"/>
    <xf numFmtId="0" fontId="75" fillId="0" borderId="85" xfId="0" applyFont="1" applyBorder="1"/>
    <xf numFmtId="0" fontId="75" fillId="0" borderId="87" xfId="0" applyFont="1" applyBorder="1"/>
    <xf numFmtId="0" fontId="75" fillId="0" borderId="81" xfId="0" quotePrefix="1" applyFont="1" applyBorder="1" applyAlignment="1">
      <alignment horizontal="center"/>
    </xf>
    <xf numFmtId="0" fontId="88" fillId="0" borderId="82" xfId="0" applyFont="1" applyBorder="1" applyAlignment="1">
      <alignment horizontal="left"/>
    </xf>
    <xf numFmtId="2" fontId="75" fillId="0" borderId="82" xfId="0" applyNumberFormat="1" applyFont="1" applyBorder="1" applyAlignment="1">
      <alignment horizontal="center"/>
    </xf>
    <xf numFmtId="0" fontId="75" fillId="0" borderId="82" xfId="0" quotePrefix="1" applyFont="1" applyBorder="1" applyAlignment="1">
      <alignment horizontal="center"/>
    </xf>
    <xf numFmtId="2" fontId="75" fillId="0" borderId="83" xfId="0" applyNumberFormat="1" applyFont="1" applyBorder="1" applyAlignment="1">
      <alignment horizontal="center"/>
    </xf>
    <xf numFmtId="0" fontId="75" fillId="0" borderId="84" xfId="0" quotePrefix="1" applyFont="1" applyBorder="1" applyAlignment="1">
      <alignment horizontal="center"/>
    </xf>
    <xf numFmtId="0" fontId="88" fillId="0" borderId="61" xfId="0" applyFont="1" applyBorder="1" applyAlignment="1">
      <alignment horizontal="left"/>
    </xf>
    <xf numFmtId="2" fontId="75" fillId="0" borderId="61" xfId="0" applyNumberFormat="1" applyFont="1" applyBorder="1" applyAlignment="1">
      <alignment horizontal="center"/>
    </xf>
    <xf numFmtId="0" fontId="75" fillId="0" borderId="61" xfId="0" quotePrefix="1" applyFont="1" applyBorder="1" applyAlignment="1">
      <alignment horizontal="center"/>
    </xf>
    <xf numFmtId="2" fontId="75" fillId="0" borderId="91" xfId="0" applyNumberFormat="1" applyFont="1" applyBorder="1" applyAlignment="1">
      <alignment horizontal="center"/>
    </xf>
    <xf numFmtId="0" fontId="75" fillId="0" borderId="92" xfId="0" quotePrefix="1" applyFont="1" applyBorder="1" applyAlignment="1">
      <alignment horizontal="center"/>
    </xf>
    <xf numFmtId="0" fontId="98" fillId="0" borderId="92" xfId="0" applyFont="1" applyBorder="1" applyAlignment="1">
      <alignment vertical="center" wrapText="1"/>
    </xf>
    <xf numFmtId="0" fontId="0" fillId="0" borderId="92" xfId="0" applyBorder="1"/>
    <xf numFmtId="0" fontId="0" fillId="0" borderId="61" xfId="0" applyBorder="1" applyAlignment="1">
      <alignment horizontal="center"/>
    </xf>
    <xf numFmtId="2" fontId="75" fillId="0" borderId="61" xfId="0" applyNumberFormat="1" applyFont="1" applyFill="1" applyBorder="1" applyAlignment="1">
      <alignment horizontal="center"/>
    </xf>
    <xf numFmtId="0" fontId="0" fillId="0" borderId="61" xfId="0" applyBorder="1"/>
    <xf numFmtId="0" fontId="75" fillId="0" borderId="61" xfId="0" applyFont="1" applyFill="1" applyBorder="1" applyAlignment="1">
      <alignment horizontal="center"/>
    </xf>
    <xf numFmtId="0" fontId="98" fillId="0" borderId="61" xfId="0" applyFont="1" applyBorder="1" applyAlignment="1">
      <alignment vertical="center" wrapText="1"/>
    </xf>
    <xf numFmtId="2" fontId="98" fillId="0" borderId="91" xfId="0" applyNumberFormat="1" applyFont="1" applyBorder="1" applyAlignment="1">
      <alignment horizontal="center" vertical="center" wrapText="1"/>
    </xf>
    <xf numFmtId="2" fontId="0" fillId="0" borderId="61" xfId="0" applyNumberFormat="1" applyBorder="1"/>
    <xf numFmtId="0" fontId="0" fillId="0" borderId="91" xfId="0" applyBorder="1"/>
    <xf numFmtId="0" fontId="0" fillId="0" borderId="93" xfId="0" applyBorder="1"/>
    <xf numFmtId="0" fontId="88" fillId="0" borderId="94" xfId="0" applyFont="1" applyBorder="1" applyAlignment="1">
      <alignment horizontal="left"/>
    </xf>
    <xf numFmtId="0" fontId="0" fillId="0" borderId="94" xfId="0" applyBorder="1"/>
    <xf numFmtId="0" fontId="0" fillId="0" borderId="95" xfId="0" applyBorder="1"/>
    <xf numFmtId="2" fontId="75" fillId="0" borderId="96" xfId="0" applyNumberFormat="1" applyFont="1" applyBorder="1" applyAlignment="1">
      <alignment horizontal="center" vertical="center" wrapText="1"/>
    </xf>
    <xf numFmtId="2" fontId="75" fillId="0" borderId="77" xfId="0" applyNumberFormat="1" applyFont="1" applyBorder="1" applyAlignment="1">
      <alignment horizontal="center" vertical="center" wrapText="1"/>
    </xf>
    <xf numFmtId="2" fontId="5" fillId="0" borderId="0" xfId="6159" applyNumberFormat="1"/>
    <xf numFmtId="2" fontId="95" fillId="0" borderId="34" xfId="0" applyNumberFormat="1" applyFont="1" applyFill="1" applyBorder="1" applyAlignment="1">
      <alignment horizontal="center"/>
    </xf>
    <xf numFmtId="0" fontId="75" fillId="0" borderId="69" xfId="0" applyFont="1" applyBorder="1" applyAlignment="1">
      <alignment horizontal="left" vertical="center" wrapText="1"/>
    </xf>
    <xf numFmtId="2" fontId="75" fillId="0" borderId="69" xfId="0" applyNumberFormat="1" applyFont="1" applyBorder="1" applyAlignment="1">
      <alignment horizontal="center"/>
    </xf>
    <xf numFmtId="2" fontId="75" fillId="0" borderId="28" xfId="0" applyNumberFormat="1" applyFont="1" applyBorder="1" applyAlignment="1">
      <alignment horizontal="center"/>
    </xf>
    <xf numFmtId="0" fontId="75" fillId="0" borderId="97" xfId="0" applyFont="1" applyBorder="1" applyAlignment="1">
      <alignment horizontal="center" vertical="center" wrapText="1"/>
    </xf>
    <xf numFmtId="0" fontId="75" fillId="0" borderId="79" xfId="0" applyFont="1" applyBorder="1" applyAlignment="1">
      <alignment horizontal="center" vertical="center" wrapText="1"/>
    </xf>
    <xf numFmtId="0" fontId="75" fillId="0" borderId="98" xfId="0" applyFont="1" applyBorder="1" applyAlignment="1">
      <alignment horizontal="center" vertical="center" wrapText="1"/>
    </xf>
    <xf numFmtId="0" fontId="75" fillId="0" borderId="99" xfId="0" applyFont="1" applyBorder="1" applyAlignment="1">
      <alignment horizontal="center" vertical="center" wrapText="1"/>
    </xf>
    <xf numFmtId="0" fontId="75" fillId="0" borderId="0" xfId="0" applyFont="1" applyFill="1" applyBorder="1" applyAlignment="1">
      <alignment horizontal="center" vertical="center" wrapText="1"/>
    </xf>
    <xf numFmtId="0" fontId="75" fillId="0" borderId="92" xfId="0" applyFont="1" applyBorder="1" applyAlignment="1">
      <alignment horizontal="center" vertical="center" wrapText="1"/>
    </xf>
    <xf numFmtId="0" fontId="75" fillId="0" borderId="61" xfId="0" applyFont="1" applyBorder="1" applyAlignment="1">
      <alignment horizontal="left" vertical="center" wrapText="1"/>
    </xf>
    <xf numFmtId="2" fontId="75" fillId="0" borderId="91" xfId="0" applyNumberFormat="1" applyFont="1" applyBorder="1" applyAlignment="1">
      <alignment horizontal="center" vertical="center" wrapText="1"/>
    </xf>
    <xf numFmtId="0" fontId="98" fillId="0" borderId="93" xfId="0" applyFont="1" applyBorder="1" applyAlignment="1">
      <alignment horizontal="center" vertical="center" wrapText="1"/>
    </xf>
    <xf numFmtId="0" fontId="98" fillId="0" borderId="94" xfId="0" applyFont="1" applyBorder="1" applyAlignment="1">
      <alignment horizontal="center" vertical="center" wrapText="1"/>
    </xf>
    <xf numFmtId="2" fontId="98" fillId="0" borderId="95" xfId="0" applyNumberFormat="1" applyFont="1" applyBorder="1" applyAlignment="1">
      <alignment horizontal="center" vertical="center" wrapText="1"/>
    </xf>
    <xf numFmtId="0" fontId="95" fillId="0" borderId="27" xfId="0" applyFont="1" applyBorder="1" applyAlignment="1">
      <alignment horizontal="center" vertical="center" wrapText="1"/>
    </xf>
    <xf numFmtId="2" fontId="95" fillId="0" borderId="0" xfId="0" applyNumberFormat="1" applyFont="1" applyAlignment="1">
      <alignment vertical="center" wrapText="1"/>
    </xf>
    <xf numFmtId="2" fontId="88" fillId="0" borderId="0" xfId="0" applyNumberFormat="1" applyFont="1" applyAlignment="1">
      <alignment vertical="center" wrapText="1"/>
    </xf>
    <xf numFmtId="0" fontId="88" fillId="0" borderId="61" xfId="0" applyFont="1" applyBorder="1" applyAlignment="1">
      <alignment horizontal="center" vertical="center" wrapText="1"/>
    </xf>
    <xf numFmtId="0" fontId="75" fillId="0" borderId="61" xfId="0" applyFont="1" applyBorder="1" applyAlignment="1">
      <alignment horizontal="center" vertical="center" wrapText="1"/>
    </xf>
    <xf numFmtId="0" fontId="73" fillId="0" borderId="17" xfId="0" applyFont="1" applyBorder="1" applyAlignment="1">
      <alignment horizontal="center" vertical="center" wrapText="1"/>
    </xf>
    <xf numFmtId="0" fontId="73" fillId="0" borderId="21" xfId="0" applyFont="1" applyBorder="1" applyAlignment="1">
      <alignment horizontal="center"/>
    </xf>
    <xf numFmtId="0" fontId="73" fillId="0" borderId="47" xfId="0" applyFont="1" applyBorder="1" applyAlignment="1">
      <alignment horizontal="left"/>
    </xf>
    <xf numFmtId="2" fontId="73" fillId="0" borderId="21" xfId="0" applyNumberFormat="1" applyFont="1" applyBorder="1" applyAlignment="1">
      <alignment horizontal="center"/>
    </xf>
    <xf numFmtId="0" fontId="73" fillId="0" borderId="19" xfId="0" applyFont="1" applyBorder="1" applyAlignment="1">
      <alignment horizontal="center"/>
    </xf>
    <xf numFmtId="0" fontId="73" fillId="0" borderId="48" xfId="0" applyFont="1" applyBorder="1" applyAlignment="1">
      <alignment horizontal="left"/>
    </xf>
    <xf numFmtId="0" fontId="104" fillId="0" borderId="17" xfId="0" applyFont="1" applyBorder="1" applyAlignment="1">
      <alignment horizontal="center" vertical="center" wrapText="1"/>
    </xf>
    <xf numFmtId="0" fontId="88" fillId="0" borderId="97" xfId="0" applyFont="1" applyBorder="1" applyAlignment="1">
      <alignment horizontal="center"/>
    </xf>
    <xf numFmtId="0" fontId="88" fillId="0" borderId="79" xfId="0" applyFont="1" applyBorder="1" applyAlignment="1">
      <alignment horizontal="center"/>
    </xf>
    <xf numFmtId="0" fontId="73" fillId="0" borderId="55" xfId="0" applyFont="1" applyBorder="1" applyAlignment="1">
      <alignment horizontal="center" vertical="center" wrapText="1"/>
    </xf>
    <xf numFmtId="0" fontId="73" fillId="0" borderId="92" xfId="0" applyFont="1" applyBorder="1" applyAlignment="1">
      <alignment horizontal="center"/>
    </xf>
    <xf numFmtId="0" fontId="73" fillId="0" borderId="55" xfId="0" applyFont="1" applyBorder="1" applyAlignment="1">
      <alignment horizontal="left"/>
    </xf>
    <xf numFmtId="2" fontId="73" fillId="0" borderId="55" xfId="0" applyNumberFormat="1" applyFont="1" applyBorder="1" applyAlignment="1">
      <alignment horizontal="center"/>
    </xf>
    <xf numFmtId="0" fontId="73" fillId="0" borderId="55" xfId="0" applyFont="1" applyBorder="1" applyAlignment="1">
      <alignment horizontal="center"/>
    </xf>
    <xf numFmtId="2" fontId="73" fillId="0" borderId="91" xfId="0" applyNumberFormat="1" applyFont="1" applyBorder="1" applyAlignment="1">
      <alignment horizontal="center"/>
    </xf>
    <xf numFmtId="0" fontId="104" fillId="0" borderId="93" xfId="0" applyFont="1" applyBorder="1" applyAlignment="1">
      <alignment horizontal="center" vertical="center" wrapText="1"/>
    </xf>
    <xf numFmtId="0" fontId="104" fillId="0" borderId="94" xfId="0" applyFont="1" applyBorder="1" applyAlignment="1">
      <alignment horizontal="center" vertical="center" wrapText="1"/>
    </xf>
    <xf numFmtId="2" fontId="104" fillId="0" borderId="94" xfId="0" applyNumberFormat="1" applyFont="1" applyBorder="1" applyAlignment="1">
      <alignment horizontal="center" vertical="center" wrapText="1"/>
    </xf>
    <xf numFmtId="2" fontId="104" fillId="0" borderId="95" xfId="0" applyNumberFormat="1" applyFont="1" applyBorder="1" applyAlignment="1">
      <alignment horizontal="center" vertical="center" wrapText="1"/>
    </xf>
    <xf numFmtId="0" fontId="73" fillId="0" borderId="21" xfId="0" applyFont="1" applyBorder="1" applyAlignment="1">
      <alignment horizontal="center" vertical="center" wrapText="1"/>
    </xf>
    <xf numFmtId="2" fontId="73" fillId="0" borderId="21" xfId="0" applyNumberFormat="1" applyFont="1" applyBorder="1" applyAlignment="1">
      <alignment horizontal="center" vertical="center" wrapText="1"/>
    </xf>
    <xf numFmtId="0" fontId="73" fillId="0" borderId="19" xfId="0" applyFont="1" applyBorder="1" applyAlignment="1">
      <alignment horizontal="center" vertical="center" wrapText="1"/>
    </xf>
    <xf numFmtId="0" fontId="104" fillId="0" borderId="17" xfId="0" applyFont="1" applyBorder="1" applyAlignment="1">
      <alignment vertical="center" wrapText="1"/>
    </xf>
    <xf numFmtId="2" fontId="54" fillId="0" borderId="0" xfId="0" applyNumberFormat="1" applyFont="1" applyAlignment="1">
      <alignment vertical="center" wrapText="1"/>
    </xf>
    <xf numFmtId="0" fontId="0" fillId="0" borderId="0" xfId="0"/>
    <xf numFmtId="0" fontId="88" fillId="0" borderId="17" xfId="0" applyFont="1" applyBorder="1" applyAlignment="1">
      <alignment horizontal="center" vertical="center" wrapText="1"/>
    </xf>
    <xf numFmtId="0" fontId="102" fillId="0" borderId="17" xfId="0" applyFont="1" applyBorder="1" applyAlignment="1">
      <alignment horizontal="center" vertical="center" wrapText="1"/>
    </xf>
    <xf numFmtId="0" fontId="0" fillId="0" borderId="0" xfId="0"/>
    <xf numFmtId="2" fontId="95" fillId="0" borderId="17" xfId="0" applyNumberFormat="1" applyFont="1" applyBorder="1" applyAlignment="1">
      <alignment horizontal="center"/>
    </xf>
    <xf numFmtId="0" fontId="106" fillId="0" borderId="17" xfId="0" applyFont="1" applyBorder="1" applyAlignment="1">
      <alignment horizontal="center" vertical="center" wrapText="1"/>
    </xf>
    <xf numFmtId="2" fontId="86" fillId="0" borderId="19" xfId="0" applyNumberFormat="1" applyFont="1" applyBorder="1" applyAlignment="1">
      <alignment horizontal="center" vertical="center" wrapText="1"/>
    </xf>
    <xf numFmtId="2" fontId="106" fillId="0" borderId="19" xfId="0" applyNumberFormat="1" applyFont="1" applyBorder="1" applyAlignment="1">
      <alignment horizontal="center" vertical="center" wrapText="1"/>
    </xf>
    <xf numFmtId="2" fontId="106" fillId="0" borderId="22" xfId="0" applyNumberFormat="1" applyFont="1" applyBorder="1" applyAlignment="1">
      <alignment horizontal="center" vertical="center" wrapText="1"/>
    </xf>
    <xf numFmtId="2" fontId="109" fillId="0" borderId="22" xfId="0" applyNumberFormat="1" applyFont="1" applyBorder="1" applyAlignment="1">
      <alignment horizontal="center" vertical="center" wrapText="1"/>
    </xf>
    <xf numFmtId="0" fontId="4" fillId="0" borderId="0" xfId="0" applyFont="1"/>
    <xf numFmtId="2" fontId="4" fillId="0" borderId="0" xfId="0" applyNumberFormat="1" applyFont="1"/>
    <xf numFmtId="0" fontId="140" fillId="0" borderId="21" xfId="0" applyFont="1" applyBorder="1" applyAlignment="1">
      <alignment horizontal="center" vertical="center" wrapText="1"/>
    </xf>
    <xf numFmtId="2" fontId="140" fillId="0" borderId="21" xfId="0" applyNumberFormat="1" applyFont="1" applyBorder="1" applyAlignment="1">
      <alignment horizontal="center" vertical="center" wrapText="1"/>
    </xf>
    <xf numFmtId="0" fontId="28" fillId="0" borderId="19" xfId="0" applyFont="1" applyBorder="1" applyAlignment="1">
      <alignment horizontal="center" vertical="center" wrapText="1"/>
    </xf>
    <xf numFmtId="2" fontId="28" fillId="0" borderId="19" xfId="0" applyNumberFormat="1" applyFont="1" applyBorder="1" applyAlignment="1">
      <alignment horizontal="center" vertical="center" wrapText="1"/>
    </xf>
    <xf numFmtId="0" fontId="140" fillId="0" borderId="19" xfId="0" applyFont="1" applyBorder="1" applyAlignment="1">
      <alignment horizontal="center" vertical="center" wrapText="1"/>
    </xf>
    <xf numFmtId="2" fontId="140" fillId="0" borderId="19" xfId="0" applyNumberFormat="1" applyFont="1" applyBorder="1" applyAlignment="1">
      <alignment horizontal="center" vertical="center" wrapText="1"/>
    </xf>
    <xf numFmtId="0" fontId="73" fillId="0" borderId="47" xfId="0" applyFont="1" applyBorder="1" applyAlignment="1">
      <alignment horizontal="left" vertical="center"/>
    </xf>
    <xf numFmtId="0" fontId="73" fillId="0" borderId="48" xfId="0" applyFont="1" applyBorder="1" applyAlignment="1">
      <alignment horizontal="left" vertical="center"/>
    </xf>
    <xf numFmtId="0" fontId="28" fillId="0" borderId="17" xfId="0" applyFont="1" applyBorder="1" applyAlignment="1">
      <alignment horizontal="center" vertical="center" wrapText="1"/>
    </xf>
    <xf numFmtId="0" fontId="73" fillId="0" borderId="17" xfId="0" applyFont="1" applyBorder="1" applyAlignment="1">
      <alignment horizontal="center" vertical="center" wrapText="1"/>
    </xf>
    <xf numFmtId="0" fontId="140" fillId="0" borderId="19" xfId="0" applyFont="1" applyBorder="1" applyAlignment="1">
      <alignment horizontal="left" vertical="center" wrapText="1"/>
    </xf>
    <xf numFmtId="0" fontId="28" fillId="0" borderId="19" xfId="0" applyFont="1" applyBorder="1" applyAlignment="1">
      <alignment horizontal="left" vertical="center" wrapText="1"/>
    </xf>
    <xf numFmtId="0" fontId="142" fillId="0" borderId="19" xfId="0" applyFont="1" applyBorder="1" applyAlignment="1">
      <alignment horizontal="center" vertical="center" wrapText="1"/>
    </xf>
    <xf numFmtId="0" fontId="142" fillId="0" borderId="19" xfId="0" applyFont="1" applyBorder="1" applyAlignment="1">
      <alignment horizontal="left" vertical="center" wrapText="1"/>
    </xf>
    <xf numFmtId="2" fontId="142" fillId="0" borderId="19" xfId="0" applyNumberFormat="1" applyFont="1" applyBorder="1" applyAlignment="1">
      <alignment horizontal="center" vertical="center" wrapText="1"/>
    </xf>
    <xf numFmtId="0" fontId="140" fillId="32" borderId="19" xfId="0" applyFont="1" applyFill="1" applyBorder="1" applyAlignment="1">
      <alignment horizontal="center" vertical="center" wrapText="1"/>
    </xf>
    <xf numFmtId="0" fontId="140" fillId="32" borderId="19" xfId="0" applyFont="1" applyFill="1" applyBorder="1" applyAlignment="1">
      <alignment horizontal="left" vertical="center" wrapText="1"/>
    </xf>
    <xf numFmtId="2" fontId="140" fillId="32" borderId="19" xfId="0" applyNumberFormat="1" applyFont="1" applyFill="1" applyBorder="1" applyAlignment="1">
      <alignment horizontal="center" vertical="center" wrapText="1"/>
    </xf>
    <xf numFmtId="49" fontId="142" fillId="0" borderId="19" xfId="0" applyNumberFormat="1" applyFont="1" applyBorder="1" applyAlignment="1">
      <alignment horizontal="center" vertical="center" wrapText="1"/>
    </xf>
    <xf numFmtId="49" fontId="28" fillId="0" borderId="19" xfId="0" applyNumberFormat="1" applyFont="1" applyBorder="1" applyAlignment="1">
      <alignment horizontal="center" vertical="center" wrapText="1"/>
    </xf>
    <xf numFmtId="0" fontId="140" fillId="0" borderId="20" xfId="0" applyFont="1" applyBorder="1" applyAlignment="1">
      <alignment horizontal="center" vertical="center" wrapText="1"/>
    </xf>
    <xf numFmtId="0" fontId="140" fillId="0" borderId="20" xfId="0" applyFont="1" applyBorder="1" applyAlignment="1">
      <alignment horizontal="left" vertical="center" wrapText="1"/>
    </xf>
    <xf numFmtId="2" fontId="140" fillId="0" borderId="20" xfId="0" applyNumberFormat="1" applyFont="1" applyBorder="1" applyAlignment="1">
      <alignment horizontal="center" vertical="center" wrapText="1"/>
    </xf>
    <xf numFmtId="0" fontId="144" fillId="0" borderId="0" xfId="0" applyFont="1"/>
    <xf numFmtId="2" fontId="144" fillId="0" borderId="0" xfId="0" applyNumberFormat="1" applyFont="1"/>
    <xf numFmtId="2" fontId="145" fillId="0" borderId="0" xfId="0" applyNumberFormat="1" applyFont="1" applyFill="1" applyBorder="1" applyAlignment="1">
      <alignment horizontal="center" vertical="center" wrapText="1"/>
    </xf>
    <xf numFmtId="0" fontId="146" fillId="0" borderId="0" xfId="0" applyFont="1"/>
    <xf numFmtId="0" fontId="73" fillId="0" borderId="46" xfId="0" applyFont="1" applyBorder="1" applyAlignment="1">
      <alignment horizontal="center" vertical="center" wrapText="1"/>
    </xf>
    <xf numFmtId="0" fontId="104" fillId="0" borderId="21" xfId="0" applyFont="1" applyBorder="1" applyAlignment="1">
      <alignment horizontal="center" vertical="center" wrapText="1"/>
    </xf>
    <xf numFmtId="2" fontId="104" fillId="0" borderId="21" xfId="0" applyNumberFormat="1" applyFont="1" applyBorder="1" applyAlignment="1">
      <alignment horizontal="center" vertical="center" wrapText="1"/>
    </xf>
    <xf numFmtId="0" fontId="104" fillId="0" borderId="19" xfId="0" applyFont="1" applyBorder="1" applyAlignment="1">
      <alignment horizontal="center" vertical="center" wrapText="1"/>
    </xf>
    <xf numFmtId="0" fontId="104" fillId="0" borderId="19" xfId="0" applyFont="1" applyBorder="1" applyAlignment="1">
      <alignment horizontal="left" vertical="center" wrapText="1"/>
    </xf>
    <xf numFmtId="2" fontId="104" fillId="0" borderId="19" xfId="0" applyNumberFormat="1" applyFont="1" applyBorder="1" applyAlignment="1">
      <alignment horizontal="center" vertical="center" wrapText="1"/>
    </xf>
    <xf numFmtId="0" fontId="73" fillId="0" borderId="19" xfId="0" applyFont="1" applyBorder="1" applyAlignment="1">
      <alignment horizontal="left" vertical="center" wrapText="1"/>
    </xf>
    <xf numFmtId="0" fontId="104" fillId="0" borderId="20" xfId="0" applyFont="1" applyBorder="1" applyAlignment="1">
      <alignment horizontal="center" vertical="center" wrapText="1"/>
    </xf>
    <xf numFmtId="0" fontId="104" fillId="0" borderId="20" xfId="0" applyFont="1" applyBorder="1" applyAlignment="1">
      <alignment horizontal="left" vertical="center" wrapText="1"/>
    </xf>
    <xf numFmtId="2" fontId="104" fillId="0" borderId="20" xfId="0" applyNumberFormat="1" applyFont="1" applyBorder="1" applyAlignment="1">
      <alignment horizontal="center" vertical="center" wrapText="1"/>
    </xf>
    <xf numFmtId="0" fontId="28" fillId="0" borderId="46" xfId="0" applyFont="1" applyBorder="1" applyAlignment="1">
      <alignment horizontal="center" vertical="center" wrapText="1"/>
    </xf>
    <xf numFmtId="0" fontId="147" fillId="0" borderId="46" xfId="0" applyFont="1" applyBorder="1" applyAlignment="1">
      <alignment horizontal="center" vertical="center" wrapText="1"/>
    </xf>
    <xf numFmtId="0" fontId="147" fillId="0" borderId="17" xfId="0" applyFont="1" applyBorder="1" applyAlignment="1">
      <alignment horizontal="center" vertical="center" wrapText="1"/>
    </xf>
    <xf numFmtId="0" fontId="148" fillId="0" borderId="21" xfId="0" applyFont="1" applyBorder="1" applyAlignment="1">
      <alignment horizontal="center" vertical="center" wrapText="1"/>
    </xf>
    <xf numFmtId="0" fontId="148" fillId="0" borderId="21" xfId="0" applyFont="1" applyBorder="1" applyAlignment="1">
      <alignment horizontal="left" vertical="center" wrapText="1"/>
    </xf>
    <xf numFmtId="2" fontId="148" fillId="0" borderId="21" xfId="0" applyNumberFormat="1" applyFont="1" applyBorder="1" applyAlignment="1">
      <alignment horizontal="center" vertical="center" wrapText="1"/>
    </xf>
    <xf numFmtId="0" fontId="147" fillId="0" borderId="19" xfId="0" applyFont="1" applyBorder="1" applyAlignment="1">
      <alignment horizontal="center" vertical="center" wrapText="1"/>
    </xf>
    <xf numFmtId="0" fontId="147" fillId="0" borderId="19" xfId="0" applyFont="1" applyBorder="1" applyAlignment="1">
      <alignment horizontal="left" vertical="center" wrapText="1"/>
    </xf>
    <xf numFmtId="2" fontId="147" fillId="0" borderId="19" xfId="0" applyNumberFormat="1" applyFont="1" applyBorder="1" applyAlignment="1">
      <alignment horizontal="center" vertical="center" wrapText="1"/>
    </xf>
    <xf numFmtId="0" fontId="148" fillId="0" borderId="19" xfId="0" applyFont="1" applyBorder="1" applyAlignment="1">
      <alignment horizontal="center" vertical="center" wrapText="1"/>
    </xf>
    <xf numFmtId="0" fontId="148" fillId="0" borderId="19" xfId="0" applyFont="1" applyBorder="1" applyAlignment="1">
      <alignment horizontal="left" vertical="center" wrapText="1"/>
    </xf>
    <xf numFmtId="2" fontId="148" fillId="0" borderId="19" xfId="0" applyNumberFormat="1" applyFont="1" applyBorder="1" applyAlignment="1">
      <alignment horizontal="center" vertical="center" wrapText="1"/>
    </xf>
    <xf numFmtId="0" fontId="104" fillId="0" borderId="21" xfId="0" applyFont="1" applyBorder="1" applyAlignment="1">
      <alignment horizontal="left" vertical="center" wrapText="1"/>
    </xf>
    <xf numFmtId="2" fontId="147" fillId="0" borderId="21" xfId="0" applyNumberFormat="1" applyFont="1" applyBorder="1" applyAlignment="1">
      <alignment horizontal="center" vertical="center" wrapText="1"/>
    </xf>
    <xf numFmtId="0" fontId="147" fillId="0" borderId="20" xfId="0" applyFont="1" applyBorder="1" applyAlignment="1">
      <alignment horizontal="center" vertical="center" wrapText="1"/>
    </xf>
    <xf numFmtId="0" fontId="147" fillId="0" borderId="20" xfId="0" applyFont="1" applyBorder="1" applyAlignment="1">
      <alignment horizontal="left" vertical="center" wrapText="1"/>
    </xf>
    <xf numFmtId="2" fontId="147" fillId="0" borderId="20" xfId="0" applyNumberFormat="1" applyFont="1" applyBorder="1" applyAlignment="1">
      <alignment horizontal="center" vertical="center" wrapText="1"/>
    </xf>
    <xf numFmtId="0" fontId="149" fillId="0" borderId="0" xfId="0" applyFont="1"/>
    <xf numFmtId="2" fontId="149" fillId="0" borderId="0" xfId="0" applyNumberFormat="1" applyFont="1"/>
    <xf numFmtId="2" fontId="82" fillId="35" borderId="17" xfId="0" applyNumberFormat="1" applyFont="1" applyFill="1" applyBorder="1" applyAlignment="1">
      <alignment horizontal="center" vertical="center" wrapText="1"/>
    </xf>
    <xf numFmtId="2" fontId="89" fillId="35" borderId="17" xfId="0" applyNumberFormat="1" applyFont="1" applyFill="1" applyBorder="1" applyAlignment="1">
      <alignment horizontal="center" vertical="center" wrapText="1"/>
    </xf>
    <xf numFmtId="2" fontId="85" fillId="35" borderId="17" xfId="0" applyNumberFormat="1" applyFont="1" applyFill="1" applyBorder="1" applyAlignment="1">
      <alignment horizontal="center" vertical="center"/>
    </xf>
    <xf numFmtId="2" fontId="85" fillId="35" borderId="17" xfId="0" applyNumberFormat="1" applyFont="1" applyFill="1" applyBorder="1" applyAlignment="1">
      <alignment horizontal="center" vertical="center" wrapText="1"/>
    </xf>
    <xf numFmtId="2" fontId="82" fillId="32" borderId="17" xfId="0" applyNumberFormat="1" applyFont="1" applyFill="1" applyBorder="1" applyAlignment="1">
      <alignment horizontal="center" vertical="center" wrapText="1"/>
    </xf>
    <xf numFmtId="2" fontId="89" fillId="32" borderId="17" xfId="0" applyNumberFormat="1" applyFont="1" applyFill="1" applyBorder="1" applyAlignment="1">
      <alignment horizontal="center" vertical="center" wrapText="1"/>
    </xf>
    <xf numFmtId="2" fontId="85" fillId="32" borderId="17" xfId="0" applyNumberFormat="1" applyFont="1" applyFill="1" applyBorder="1" applyAlignment="1">
      <alignment horizontal="center" vertical="center"/>
    </xf>
    <xf numFmtId="2" fontId="85" fillId="32" borderId="17" xfId="0" applyNumberFormat="1" applyFont="1" applyFill="1" applyBorder="1" applyAlignment="1">
      <alignment horizontal="center" vertical="center" wrapText="1"/>
    </xf>
    <xf numFmtId="2" fontId="88" fillId="32" borderId="22" xfId="0" applyNumberFormat="1" applyFont="1" applyFill="1" applyBorder="1" applyAlignment="1">
      <alignment horizontal="center" vertical="center" wrapText="1"/>
    </xf>
    <xf numFmtId="2" fontId="146" fillId="0" borderId="0" xfId="0" applyNumberFormat="1" applyFont="1"/>
    <xf numFmtId="2" fontId="88" fillId="32" borderId="19" xfId="0" applyNumberFormat="1" applyFont="1" applyFill="1" applyBorder="1" applyAlignment="1">
      <alignment horizontal="center" vertical="center" wrapText="1"/>
    </xf>
    <xf numFmtId="2" fontId="75" fillId="35" borderId="19" xfId="0" applyNumberFormat="1" applyFont="1" applyFill="1" applyBorder="1" applyAlignment="1">
      <alignment horizontal="center"/>
    </xf>
    <xf numFmtId="2" fontId="88" fillId="35" borderId="19" xfId="0" applyNumberFormat="1" applyFont="1" applyFill="1" applyBorder="1" applyAlignment="1">
      <alignment horizontal="center" vertical="center" wrapText="1"/>
    </xf>
    <xf numFmtId="2" fontId="0" fillId="35" borderId="19" xfId="0" applyNumberFormat="1" applyFill="1" applyBorder="1" applyAlignment="1">
      <alignment horizontal="center" vertical="center" wrapText="1"/>
    </xf>
    <xf numFmtId="2" fontId="104" fillId="0" borderId="12" xfId="0" applyNumberFormat="1" applyFont="1" applyFill="1" applyBorder="1" applyAlignment="1">
      <alignment horizontal="center" vertical="center"/>
    </xf>
    <xf numFmtId="2" fontId="104" fillId="24" borderId="12" xfId="0" applyNumberFormat="1" applyFont="1" applyFill="1" applyBorder="1" applyAlignment="1">
      <alignment horizontal="center" vertical="center"/>
    </xf>
    <xf numFmtId="2" fontId="104" fillId="0" borderId="85" xfId="0" applyNumberFormat="1" applyFont="1" applyFill="1" applyBorder="1" applyAlignment="1">
      <alignment horizontal="center" vertical="center"/>
    </xf>
    <xf numFmtId="2" fontId="73" fillId="0" borderId="12" xfId="0" applyNumberFormat="1" applyFont="1" applyFill="1" applyBorder="1" applyAlignment="1">
      <alignment horizontal="center" vertical="center"/>
    </xf>
    <xf numFmtId="2" fontId="73" fillId="0" borderId="85" xfId="0" applyNumberFormat="1" applyFont="1" applyFill="1" applyBorder="1" applyAlignment="1">
      <alignment horizontal="center" vertical="center"/>
    </xf>
    <xf numFmtId="43" fontId="73" fillId="0" borderId="12" xfId="0" applyNumberFormat="1" applyFont="1" applyBorder="1" applyAlignment="1">
      <alignment horizontal="center" vertical="center"/>
    </xf>
    <xf numFmtId="2" fontId="73" fillId="0" borderId="12" xfId="0" applyNumberFormat="1" applyFont="1" applyBorder="1" applyAlignment="1">
      <alignment horizontal="center" vertical="center"/>
    </xf>
    <xf numFmtId="2" fontId="98" fillId="0" borderId="94" xfId="0" applyNumberFormat="1" applyFont="1" applyBorder="1" applyAlignment="1">
      <alignment horizontal="center" vertical="center" wrapText="1"/>
    </xf>
    <xf numFmtId="0" fontId="105" fillId="0" borderId="0" xfId="6160" applyFont="1" applyFill="1" applyAlignment="1">
      <alignment horizontal="center"/>
    </xf>
    <xf numFmtId="0" fontId="105" fillId="0" borderId="0" xfId="6160" applyFont="1" applyFill="1" applyAlignment="1">
      <alignment horizontal="center" vertical="center"/>
    </xf>
    <xf numFmtId="0" fontId="105" fillId="0" borderId="0" xfId="6160" applyFont="1" applyFill="1" applyAlignment="1">
      <alignment horizontal="left"/>
    </xf>
    <xf numFmtId="0" fontId="99" fillId="0" borderId="0" xfId="6160" applyFont="1" applyFill="1" applyAlignment="1">
      <alignment horizontal="center"/>
    </xf>
    <xf numFmtId="0" fontId="99" fillId="0" borderId="0" xfId="6160" applyFont="1" applyFill="1" applyAlignment="1">
      <alignment horizontal="center" vertical="center" wrapText="1"/>
    </xf>
    <xf numFmtId="0" fontId="99" fillId="0" borderId="0" xfId="6160" applyFont="1" applyFill="1"/>
    <xf numFmtId="0" fontId="99" fillId="0" borderId="0" xfId="6160" applyFont="1" applyFill="1" applyAlignment="1">
      <alignment horizontal="center" vertical="center"/>
    </xf>
    <xf numFmtId="2" fontId="99" fillId="0" borderId="0" xfId="6160" applyNumberFormat="1" applyFont="1" applyFill="1" applyAlignment="1">
      <alignment horizontal="center" vertical="center"/>
    </xf>
    <xf numFmtId="2" fontId="99" fillId="0" borderId="0" xfId="6160" applyNumberFormat="1" applyFont="1" applyFill="1"/>
    <xf numFmtId="2" fontId="99" fillId="0" borderId="0" xfId="6160" applyNumberFormat="1" applyFont="1" applyFill="1" applyAlignment="1">
      <alignment horizontal="center"/>
    </xf>
    <xf numFmtId="0" fontId="73" fillId="0" borderId="102" xfId="12215" applyFont="1" applyFill="1" applyBorder="1" applyAlignment="1">
      <alignment horizontal="center" vertical="center" wrapText="1"/>
    </xf>
    <xf numFmtId="0" fontId="73" fillId="0" borderId="102" xfId="12215" applyFont="1" applyFill="1" applyBorder="1" applyAlignment="1">
      <alignment horizontal="center" vertical="center"/>
    </xf>
    <xf numFmtId="0" fontId="73" fillId="0" borderId="37" xfId="12215" applyFont="1" applyFill="1" applyBorder="1" applyAlignment="1">
      <alignment horizontal="center" vertical="center"/>
    </xf>
    <xf numFmtId="0" fontId="73" fillId="0" borderId="37" xfId="6160" applyFont="1" applyFill="1" applyBorder="1" applyAlignment="1">
      <alignment horizontal="center" vertical="center"/>
    </xf>
    <xf numFmtId="0" fontId="152" fillId="0" borderId="102" xfId="6160" applyFont="1" applyFill="1" applyBorder="1" applyAlignment="1">
      <alignment horizontal="center" vertical="center" wrapText="1"/>
    </xf>
    <xf numFmtId="0" fontId="104" fillId="0" borderId="102" xfId="12215" applyFont="1" applyFill="1" applyBorder="1" applyAlignment="1">
      <alignment vertical="center" wrapText="1"/>
    </xf>
    <xf numFmtId="2" fontId="104" fillId="0" borderId="102" xfId="12215" applyNumberFormat="1" applyFont="1" applyFill="1" applyBorder="1" applyAlignment="1">
      <alignment horizontal="center" vertical="center" wrapText="1"/>
    </xf>
    <xf numFmtId="0" fontId="153" fillId="0" borderId="38" xfId="6161" applyFont="1" applyFill="1" applyBorder="1" applyAlignment="1">
      <alignment horizontal="center" vertical="center" wrapText="1"/>
    </xf>
    <xf numFmtId="49" fontId="73" fillId="0" borderId="73" xfId="6160" quotePrefix="1" applyNumberFormat="1" applyFont="1" applyFill="1" applyBorder="1" applyAlignment="1">
      <alignment horizontal="center" vertical="center" wrapText="1"/>
    </xf>
    <xf numFmtId="0" fontId="73" fillId="0" borderId="0" xfId="6160" applyFont="1" applyFill="1" applyBorder="1" applyAlignment="1">
      <alignment vertical="center" wrapText="1"/>
    </xf>
    <xf numFmtId="2" fontId="73" fillId="0" borderId="73" xfId="6160" applyNumberFormat="1" applyFont="1" applyFill="1" applyBorder="1" applyAlignment="1">
      <alignment horizontal="center" vertical="center" wrapText="1"/>
    </xf>
    <xf numFmtId="2" fontId="73" fillId="0" borderId="103" xfId="6160" applyNumberFormat="1" applyFont="1" applyFill="1" applyBorder="1" applyAlignment="1">
      <alignment horizontal="center" vertical="center" wrapText="1"/>
    </xf>
    <xf numFmtId="0" fontId="73" fillId="0" borderId="67" xfId="6160" applyFont="1" applyFill="1" applyBorder="1" applyAlignment="1">
      <alignment horizontal="center" vertical="center" wrapText="1"/>
    </xf>
    <xf numFmtId="2" fontId="73" fillId="0" borderId="67" xfId="12213" applyNumberFormat="1" applyFont="1" applyFill="1" applyBorder="1" applyAlignment="1">
      <alignment horizontal="left" vertical="center" wrapText="1"/>
    </xf>
    <xf numFmtId="0" fontId="73" fillId="0" borderId="39" xfId="6164" applyFont="1" applyFill="1" applyBorder="1" applyAlignment="1">
      <alignment horizontal="left" vertical="center" wrapText="1"/>
    </xf>
    <xf numFmtId="2" fontId="73" fillId="0" borderId="76" xfId="6160" applyNumberFormat="1" applyFont="1" applyFill="1" applyBorder="1" applyAlignment="1">
      <alignment horizontal="center" vertical="center" wrapText="1"/>
    </xf>
    <xf numFmtId="0" fontId="73" fillId="0" borderId="73" xfId="6160" applyFont="1" applyFill="1" applyBorder="1" applyAlignment="1">
      <alignment vertical="center" wrapText="1"/>
    </xf>
    <xf numFmtId="0" fontId="73" fillId="0" borderId="73" xfId="6160" applyFont="1" applyFill="1" applyBorder="1" applyAlignment="1">
      <alignment horizontal="center" vertical="center" wrapText="1"/>
    </xf>
    <xf numFmtId="2" fontId="73" fillId="0" borderId="73" xfId="12215" applyNumberFormat="1" applyFont="1" applyFill="1" applyBorder="1" applyAlignment="1">
      <alignment horizontal="left" vertical="center" wrapText="1"/>
    </xf>
    <xf numFmtId="49" fontId="104" fillId="0" borderId="102" xfId="6160" quotePrefix="1" applyNumberFormat="1" applyFont="1" applyFill="1" applyBorder="1" applyAlignment="1">
      <alignment horizontal="center" vertical="center" wrapText="1"/>
    </xf>
    <xf numFmtId="0" fontId="104" fillId="0" borderId="102" xfId="6160" applyFont="1" applyFill="1" applyBorder="1" applyAlignment="1">
      <alignment vertical="center" wrapText="1"/>
    </xf>
    <xf numFmtId="2" fontId="104" fillId="0" borderId="102" xfId="6160" applyNumberFormat="1" applyFont="1" applyFill="1" applyBorder="1" applyAlignment="1">
      <alignment horizontal="center" vertical="center" wrapText="1"/>
    </xf>
    <xf numFmtId="0" fontId="104" fillId="0" borderId="102" xfId="6160" applyFont="1" applyFill="1" applyBorder="1" applyAlignment="1">
      <alignment horizontal="center" vertical="center" wrapText="1"/>
    </xf>
    <xf numFmtId="2" fontId="104" fillId="0" borderId="102" xfId="12215" applyNumberFormat="1" applyFont="1" applyFill="1" applyBorder="1" applyAlignment="1">
      <alignment horizontal="left" vertical="center" wrapText="1"/>
    </xf>
    <xf numFmtId="194" fontId="73" fillId="0" borderId="39" xfId="12215" applyNumberFormat="1" applyFont="1" applyFill="1" applyBorder="1" applyAlignment="1">
      <alignment horizontal="center" vertical="center"/>
    </xf>
    <xf numFmtId="2" fontId="73" fillId="0" borderId="102" xfId="6160" applyNumberFormat="1" applyFont="1" applyFill="1" applyBorder="1" applyAlignment="1">
      <alignment horizontal="center" vertical="center" wrapText="1"/>
    </xf>
    <xf numFmtId="0" fontId="104" fillId="0" borderId="102" xfId="6162" applyFont="1" applyFill="1" applyBorder="1" applyAlignment="1">
      <alignment vertical="center" wrapText="1"/>
    </xf>
    <xf numFmtId="49" fontId="73" fillId="0" borderId="67" xfId="6160" quotePrefix="1" applyNumberFormat="1" applyFont="1" applyFill="1" applyBorder="1" applyAlignment="1">
      <alignment horizontal="center" vertical="center" wrapText="1"/>
    </xf>
    <xf numFmtId="0" fontId="73" fillId="0" borderId="67" xfId="6160" applyFont="1" applyFill="1" applyBorder="1" applyAlignment="1">
      <alignment vertical="center" wrapText="1"/>
    </xf>
    <xf numFmtId="2" fontId="73" fillId="0" borderId="67" xfId="6160" applyNumberFormat="1" applyFont="1" applyFill="1" applyBorder="1" applyAlignment="1">
      <alignment horizontal="center" vertical="center" wrapText="1"/>
    </xf>
    <xf numFmtId="2" fontId="73" fillId="0" borderId="67" xfId="6162" applyNumberFormat="1" applyFont="1" applyFill="1" applyBorder="1" applyAlignment="1">
      <alignment horizontal="center" vertical="center" wrapText="1"/>
    </xf>
    <xf numFmtId="2" fontId="73" fillId="0" borderId="68" xfId="6160" applyNumberFormat="1" applyFont="1" applyFill="1" applyBorder="1" applyAlignment="1">
      <alignment horizontal="center" vertical="center" wrapText="1"/>
    </xf>
    <xf numFmtId="2" fontId="73" fillId="0" borderId="41" xfId="12215" applyNumberFormat="1" applyFont="1" applyFill="1" applyBorder="1" applyAlignment="1">
      <alignment horizontal="center" vertical="center" wrapText="1"/>
    </xf>
    <xf numFmtId="2" fontId="73" fillId="0" borderId="73" xfId="6160" applyNumberFormat="1" applyFont="1" applyFill="1" applyBorder="1" applyAlignment="1">
      <alignment horizontal="center" vertical="center"/>
    </xf>
    <xf numFmtId="2" fontId="73" fillId="0" borderId="76" xfId="6160" applyNumberFormat="1" applyFont="1" applyFill="1" applyBorder="1" applyAlignment="1">
      <alignment horizontal="center" vertical="center"/>
    </xf>
    <xf numFmtId="2" fontId="73" fillId="0" borderId="39" xfId="12215" applyNumberFormat="1" applyFont="1" applyFill="1" applyBorder="1" applyAlignment="1">
      <alignment horizontal="center" vertical="center" wrapText="1"/>
    </xf>
    <xf numFmtId="49" fontId="73" fillId="0" borderId="74" xfId="6160" quotePrefix="1" applyNumberFormat="1" applyFont="1" applyFill="1" applyBorder="1" applyAlignment="1">
      <alignment horizontal="center" vertical="center" wrapText="1"/>
    </xf>
    <xf numFmtId="0" fontId="73" fillId="0" borderId="74" xfId="6160" applyFont="1" applyFill="1" applyBorder="1" applyAlignment="1">
      <alignment vertical="center" wrapText="1"/>
    </xf>
    <xf numFmtId="2" fontId="73" fillId="0" borderId="74" xfId="6160" applyNumberFormat="1" applyFont="1" applyFill="1" applyBorder="1" applyAlignment="1">
      <alignment horizontal="center" vertical="center" wrapText="1"/>
    </xf>
    <xf numFmtId="2" fontId="73" fillId="0" borderId="74" xfId="6162" applyNumberFormat="1" applyFont="1" applyFill="1" applyBorder="1" applyAlignment="1">
      <alignment horizontal="center" vertical="center" wrapText="1"/>
    </xf>
    <xf numFmtId="2" fontId="73" fillId="0" borderId="74" xfId="6160" applyNumberFormat="1" applyFont="1" applyFill="1" applyBorder="1" applyAlignment="1">
      <alignment horizontal="center" vertical="center"/>
    </xf>
    <xf numFmtId="2" fontId="73" fillId="0" borderId="78" xfId="6160" applyNumberFormat="1" applyFont="1" applyFill="1" applyBorder="1" applyAlignment="1">
      <alignment horizontal="center" vertical="center"/>
    </xf>
    <xf numFmtId="0" fontId="73" fillId="0" borderId="74" xfId="6160" applyFont="1" applyFill="1" applyBorder="1" applyAlignment="1">
      <alignment horizontal="center" vertical="center" wrapText="1"/>
    </xf>
    <xf numFmtId="2" fontId="73" fillId="0" borderId="36" xfId="12213" applyNumberFormat="1" applyFont="1" applyFill="1" applyBorder="1" applyAlignment="1">
      <alignment horizontal="left" vertical="center" wrapText="1"/>
    </xf>
    <xf numFmtId="2" fontId="104" fillId="0" borderId="102" xfId="6160" applyNumberFormat="1" applyFont="1" applyFill="1" applyBorder="1" applyAlignment="1">
      <alignment horizontal="center" vertical="center"/>
    </xf>
    <xf numFmtId="2" fontId="104" fillId="0" borderId="102" xfId="12213" applyNumberFormat="1" applyFont="1" applyFill="1" applyBorder="1" applyAlignment="1">
      <alignment horizontal="left" vertical="center" wrapText="1"/>
    </xf>
    <xf numFmtId="49" fontId="73" fillId="0" borderId="73" xfId="6160" applyNumberFormat="1" applyFont="1" applyFill="1" applyBorder="1" applyAlignment="1">
      <alignment horizontal="center" vertical="center" wrapText="1"/>
    </xf>
    <xf numFmtId="49" fontId="73" fillId="0" borderId="36" xfId="6160" applyNumberFormat="1" applyFont="1" applyFill="1" applyBorder="1" applyAlignment="1">
      <alignment horizontal="center" vertical="center" wrapText="1"/>
    </xf>
    <xf numFmtId="0" fontId="73" fillId="0" borderId="36" xfId="6160" applyFont="1" applyFill="1" applyBorder="1" applyAlignment="1">
      <alignment vertical="center" wrapText="1"/>
    </xf>
    <xf numFmtId="2" fontId="73" fillId="0" borderId="36" xfId="6160" applyNumberFormat="1" applyFont="1" applyFill="1" applyBorder="1" applyAlignment="1">
      <alignment horizontal="center" vertical="center" wrapText="1"/>
    </xf>
    <xf numFmtId="2" fontId="73" fillId="0" borderId="40" xfId="6160" applyNumberFormat="1" applyFont="1" applyFill="1" applyBorder="1" applyAlignment="1">
      <alignment horizontal="center" vertical="center" wrapText="1"/>
    </xf>
    <xf numFmtId="2" fontId="73" fillId="0" borderId="36" xfId="12215" applyNumberFormat="1" applyFont="1" applyFill="1" applyBorder="1" applyAlignment="1">
      <alignment horizontal="left" vertical="center" wrapText="1"/>
    </xf>
    <xf numFmtId="49" fontId="73" fillId="0" borderId="104" xfId="6160" applyNumberFormat="1" applyFont="1" applyFill="1" applyBorder="1" applyAlignment="1">
      <alignment horizontal="center" vertical="center" wrapText="1"/>
    </xf>
    <xf numFmtId="0" fontId="73" fillId="0" borderId="104" xfId="6160" applyFont="1" applyFill="1" applyBorder="1" applyAlignment="1">
      <alignment vertical="center" wrapText="1"/>
    </xf>
    <xf numFmtId="2" fontId="73" fillId="0" borderId="104" xfId="6160" applyNumberFormat="1" applyFont="1" applyFill="1" applyBorder="1" applyAlignment="1">
      <alignment horizontal="center" vertical="center" wrapText="1"/>
    </xf>
    <xf numFmtId="0" fontId="73" fillId="0" borderId="104" xfId="6160" applyFont="1" applyFill="1" applyBorder="1" applyAlignment="1">
      <alignment horizontal="center" vertical="center" wrapText="1"/>
    </xf>
    <xf numFmtId="2" fontId="73" fillId="0" borderId="104" xfId="12215" applyNumberFormat="1" applyFont="1" applyFill="1" applyBorder="1" applyAlignment="1">
      <alignment horizontal="left" vertical="center" wrapText="1"/>
    </xf>
    <xf numFmtId="49" fontId="73" fillId="0" borderId="38" xfId="6160" applyNumberFormat="1" applyFont="1" applyFill="1" applyBorder="1" applyAlignment="1">
      <alignment horizontal="center" vertical="center" wrapText="1"/>
    </xf>
    <xf numFmtId="0" fontId="73" fillId="0" borderId="38" xfId="6160" applyFont="1" applyFill="1" applyBorder="1" applyAlignment="1">
      <alignment vertical="center" wrapText="1"/>
    </xf>
    <xf numFmtId="2" fontId="73" fillId="0" borderId="38" xfId="6160" applyNumberFormat="1" applyFont="1" applyFill="1" applyBorder="1" applyAlignment="1">
      <alignment horizontal="center" vertical="center" wrapText="1"/>
    </xf>
    <xf numFmtId="0" fontId="73" fillId="0" borderId="38" xfId="6160" applyFont="1" applyFill="1" applyBorder="1" applyAlignment="1">
      <alignment horizontal="center" vertical="center" wrapText="1"/>
    </xf>
    <xf numFmtId="2" fontId="73" fillId="0" borderId="38" xfId="12215" applyNumberFormat="1" applyFont="1" applyFill="1" applyBorder="1" applyAlignment="1">
      <alignment horizontal="left" vertical="center" wrapText="1"/>
    </xf>
    <xf numFmtId="0" fontId="73" fillId="0" borderId="102" xfId="6160" applyFont="1" applyFill="1" applyBorder="1" applyAlignment="1">
      <alignment horizontal="center" vertical="center" wrapText="1"/>
    </xf>
    <xf numFmtId="49" fontId="73" fillId="0" borderId="36" xfId="6160" quotePrefix="1" applyNumberFormat="1" applyFont="1" applyFill="1" applyBorder="1" applyAlignment="1">
      <alignment horizontal="center" vertical="center" wrapText="1"/>
    </xf>
    <xf numFmtId="2" fontId="73" fillId="0" borderId="36" xfId="6176" applyNumberFormat="1" applyFont="1" applyFill="1" applyBorder="1" applyAlignment="1">
      <alignment horizontal="left" vertical="center" wrapText="1"/>
    </xf>
    <xf numFmtId="2" fontId="73" fillId="0" borderId="36" xfId="6160" applyNumberFormat="1" applyFont="1" applyFill="1" applyBorder="1" applyAlignment="1">
      <alignment horizontal="center" vertical="center"/>
    </xf>
    <xf numFmtId="2" fontId="73" fillId="0" borderId="40" xfId="6160" applyNumberFormat="1" applyFont="1" applyFill="1" applyBorder="1" applyAlignment="1">
      <alignment horizontal="center" vertical="center"/>
    </xf>
    <xf numFmtId="0" fontId="73" fillId="0" borderId="36" xfId="6160" applyFont="1" applyFill="1" applyBorder="1" applyAlignment="1">
      <alignment horizontal="center" vertical="center" wrapText="1"/>
    </xf>
    <xf numFmtId="191" fontId="104" fillId="0" borderId="102" xfId="12214" applyNumberFormat="1" applyFont="1" applyFill="1" applyBorder="1" applyAlignment="1">
      <alignment horizontal="left" vertical="center" wrapText="1"/>
    </xf>
    <xf numFmtId="0" fontId="73" fillId="0" borderId="73" xfId="12214" applyFont="1" applyFill="1" applyBorder="1" applyAlignment="1">
      <alignment vertical="center" wrapText="1"/>
    </xf>
    <xf numFmtId="2" fontId="104" fillId="0" borderId="73" xfId="6160" applyNumberFormat="1" applyFont="1" applyFill="1" applyBorder="1" applyAlignment="1">
      <alignment horizontal="center" vertical="center" wrapText="1"/>
    </xf>
    <xf numFmtId="2" fontId="104" fillId="0" borderId="73" xfId="6160" applyNumberFormat="1" applyFont="1" applyFill="1" applyBorder="1" applyAlignment="1">
      <alignment horizontal="center" vertical="center"/>
    </xf>
    <xf numFmtId="2" fontId="104" fillId="0" borderId="76" xfId="6160" applyNumberFormat="1" applyFont="1" applyFill="1" applyBorder="1" applyAlignment="1">
      <alignment horizontal="center" vertical="center"/>
    </xf>
    <xf numFmtId="2" fontId="104" fillId="0" borderId="73" xfId="12215" applyNumberFormat="1" applyFont="1" applyFill="1" applyBorder="1" applyAlignment="1">
      <alignment horizontal="left" vertical="center" wrapText="1"/>
    </xf>
    <xf numFmtId="2" fontId="73" fillId="0" borderId="73" xfId="12213" applyNumberFormat="1" applyFont="1" applyFill="1" applyBorder="1" applyAlignment="1">
      <alignment horizontal="left" vertical="center" wrapText="1"/>
    </xf>
    <xf numFmtId="191" fontId="73" fillId="0" borderId="72" xfId="6176" applyNumberFormat="1" applyFont="1" applyFill="1" applyBorder="1" applyAlignment="1">
      <alignment vertical="center" wrapText="1"/>
    </xf>
    <xf numFmtId="49" fontId="73" fillId="0" borderId="74" xfId="6160" applyNumberFormat="1" applyFont="1" applyFill="1" applyBorder="1" applyAlignment="1">
      <alignment horizontal="center" vertical="center" wrapText="1"/>
    </xf>
    <xf numFmtId="2" fontId="73" fillId="0" borderId="74" xfId="12215" applyNumberFormat="1" applyFont="1" applyFill="1" applyBorder="1" applyAlignment="1">
      <alignment horizontal="left" vertical="center" wrapText="1"/>
    </xf>
    <xf numFmtId="0" fontId="73" fillId="0" borderId="39" xfId="12215" applyFont="1" applyFill="1" applyBorder="1" applyAlignment="1">
      <alignment horizontal="center" vertical="center" wrapText="1"/>
    </xf>
    <xf numFmtId="0" fontId="73" fillId="0" borderId="39" xfId="12215" applyFont="1" applyFill="1" applyBorder="1" applyAlignment="1">
      <alignment horizontal="left" vertical="center" wrapText="1"/>
    </xf>
    <xf numFmtId="2" fontId="104" fillId="0" borderId="39" xfId="12215" applyNumberFormat="1" applyFont="1" applyFill="1" applyBorder="1" applyAlignment="1">
      <alignment horizontal="center" vertical="center" wrapText="1"/>
    </xf>
    <xf numFmtId="0" fontId="73" fillId="0" borderId="39" xfId="12215" applyFont="1" applyFill="1" applyBorder="1" applyAlignment="1">
      <alignment vertical="center" wrapText="1"/>
    </xf>
    <xf numFmtId="0" fontId="73" fillId="0" borderId="72" xfId="12215" applyFont="1" applyFill="1" applyBorder="1" applyAlignment="1">
      <alignment horizontal="center" vertical="center" wrapText="1"/>
    </xf>
    <xf numFmtId="0" fontId="104" fillId="0" borderId="105" xfId="12215" applyFont="1" applyFill="1" applyBorder="1" applyAlignment="1">
      <alignment horizontal="center" vertical="center" wrapText="1"/>
    </xf>
    <xf numFmtId="0" fontId="104" fillId="0" borderId="105" xfId="12215" applyFont="1" applyFill="1" applyBorder="1" applyAlignment="1">
      <alignment vertical="center" wrapText="1"/>
    </xf>
    <xf numFmtId="2" fontId="104" fillId="0" borderId="105" xfId="6160" applyNumberFormat="1" applyFont="1" applyFill="1" applyBorder="1" applyAlignment="1">
      <alignment horizontal="center" vertical="center" wrapText="1"/>
    </xf>
    <xf numFmtId="0" fontId="73" fillId="0" borderId="41" xfId="12215" applyFont="1" applyFill="1" applyBorder="1" applyAlignment="1">
      <alignment horizontal="center" vertical="center" wrapText="1"/>
    </xf>
    <xf numFmtId="0" fontId="73" fillId="0" borderId="41" xfId="12215" applyFont="1" applyFill="1" applyBorder="1" applyAlignment="1">
      <alignment vertical="center" wrapText="1"/>
    </xf>
    <xf numFmtId="0" fontId="73" fillId="0" borderId="72" xfId="12215" applyFont="1" applyFill="1" applyBorder="1" applyAlignment="1">
      <alignment vertical="center" wrapText="1"/>
    </xf>
    <xf numFmtId="0" fontId="73" fillId="0" borderId="4" xfId="12215" applyFont="1" applyFill="1" applyBorder="1" applyAlignment="1">
      <alignment horizontal="center" vertical="center" wrapText="1"/>
    </xf>
    <xf numFmtId="0" fontId="73" fillId="0" borderId="4" xfId="12215" applyFont="1" applyFill="1" applyBorder="1" applyAlignment="1">
      <alignment vertical="center" wrapText="1"/>
    </xf>
    <xf numFmtId="2" fontId="73" fillId="0" borderId="105" xfId="6160" applyNumberFormat="1" applyFont="1" applyFill="1" applyBorder="1" applyAlignment="1">
      <alignment horizontal="center" vertical="center" wrapText="1"/>
    </xf>
    <xf numFmtId="0" fontId="73" fillId="0" borderId="105" xfId="12215" applyFont="1" applyFill="1" applyBorder="1" applyAlignment="1">
      <alignment horizontal="center" vertical="center" wrapText="1"/>
    </xf>
    <xf numFmtId="2" fontId="73" fillId="0" borderId="72" xfId="12215" applyNumberFormat="1" applyFont="1" applyFill="1" applyBorder="1" applyAlignment="1">
      <alignment horizontal="center" vertical="center" wrapText="1"/>
    </xf>
    <xf numFmtId="0" fontId="73" fillId="0" borderId="14" xfId="12215" applyFont="1" applyFill="1" applyBorder="1" applyAlignment="1">
      <alignment horizontal="center" vertical="center" wrapText="1"/>
    </xf>
    <xf numFmtId="0" fontId="73" fillId="0" borderId="108" xfId="12215" applyFont="1" applyFill="1" applyBorder="1" applyAlignment="1">
      <alignment vertical="center" wrapText="1"/>
    </xf>
    <xf numFmtId="2" fontId="73" fillId="0" borderId="108" xfId="6160" applyNumberFormat="1" applyFont="1" applyFill="1" applyBorder="1" applyAlignment="1">
      <alignment horizontal="center" vertical="center" wrapText="1"/>
    </xf>
    <xf numFmtId="0" fontId="73" fillId="0" borderId="14" xfId="12215" applyFont="1" applyFill="1" applyBorder="1" applyAlignment="1">
      <alignment horizontal="left" vertical="center" wrapText="1"/>
    </xf>
    <xf numFmtId="2" fontId="73" fillId="0" borderId="39" xfId="6160" applyNumberFormat="1" applyFont="1" applyFill="1" applyBorder="1" applyAlignment="1">
      <alignment horizontal="center" vertical="center" wrapText="1"/>
    </xf>
    <xf numFmtId="0" fontId="73" fillId="0" borderId="41" xfId="12215" applyFont="1" applyFill="1" applyBorder="1" applyAlignment="1">
      <alignment horizontal="left" vertical="center" wrapText="1"/>
    </xf>
    <xf numFmtId="2" fontId="73" fillId="0" borderId="41" xfId="6160" applyNumberFormat="1" applyFont="1" applyFill="1" applyBorder="1" applyAlignment="1">
      <alignment horizontal="center" vertical="center" wrapText="1"/>
    </xf>
    <xf numFmtId="0" fontId="104" fillId="0" borderId="39" xfId="12215" applyFont="1" applyFill="1" applyBorder="1" applyAlignment="1">
      <alignment vertical="center" wrapText="1"/>
    </xf>
    <xf numFmtId="2" fontId="73" fillId="0" borderId="72" xfId="6160" applyNumberFormat="1" applyFont="1" applyFill="1" applyBorder="1" applyAlignment="1">
      <alignment horizontal="center" vertical="center" wrapText="1"/>
    </xf>
    <xf numFmtId="0" fontId="73" fillId="0" borderId="105" xfId="12215" applyFont="1" applyFill="1" applyBorder="1" applyAlignment="1">
      <alignment horizontal="center" vertical="center"/>
    </xf>
    <xf numFmtId="0" fontId="104" fillId="0" borderId="105" xfId="12215" applyFont="1" applyFill="1" applyBorder="1" applyAlignment="1">
      <alignment horizontal="left" vertical="center" wrapText="1"/>
    </xf>
    <xf numFmtId="0" fontId="73" fillId="0" borderId="105" xfId="12215" applyFont="1" applyFill="1" applyBorder="1" applyAlignment="1">
      <alignment horizontal="center"/>
    </xf>
    <xf numFmtId="0" fontId="73" fillId="0" borderId="105" xfId="12215" applyFont="1" applyFill="1" applyBorder="1"/>
    <xf numFmtId="0" fontId="73" fillId="0" borderId="105" xfId="12215" applyFont="1" applyFill="1" applyBorder="1" applyAlignment="1">
      <alignment horizontal="center" wrapText="1"/>
    </xf>
    <xf numFmtId="0" fontId="73" fillId="0" borderId="4" xfId="12215" applyFont="1" applyFill="1" applyBorder="1" applyAlignment="1">
      <alignment horizontal="center" vertical="center"/>
    </xf>
    <xf numFmtId="0" fontId="73" fillId="0" borderId="4" xfId="12215" applyFont="1" applyFill="1" applyBorder="1" applyAlignment="1">
      <alignment horizontal="left" vertical="center" wrapText="1"/>
    </xf>
    <xf numFmtId="0" fontId="73" fillId="0" borderId="4" xfId="12215" applyFont="1" applyFill="1" applyBorder="1" applyAlignment="1">
      <alignment vertical="center"/>
    </xf>
    <xf numFmtId="0" fontId="73" fillId="0" borderId="4" xfId="12215" applyFont="1" applyFill="1" applyBorder="1"/>
    <xf numFmtId="0" fontId="104" fillId="0" borderId="105" xfId="12215" applyFont="1" applyFill="1" applyBorder="1" applyAlignment="1">
      <alignment horizontal="center" vertical="center"/>
    </xf>
    <xf numFmtId="0" fontId="104" fillId="0" borderId="105" xfId="12215" applyFont="1" applyFill="1" applyBorder="1" applyAlignment="1">
      <alignment wrapText="1"/>
    </xf>
    <xf numFmtId="2" fontId="104" fillId="0" borderId="105" xfId="12215" applyNumberFormat="1" applyFont="1" applyFill="1" applyBorder="1" applyAlignment="1">
      <alignment horizontal="center" vertical="center"/>
    </xf>
    <xf numFmtId="0" fontId="104" fillId="0" borderId="105" xfId="12215" applyFont="1" applyFill="1" applyBorder="1"/>
    <xf numFmtId="0" fontId="104" fillId="0" borderId="105" xfId="12215" applyFont="1" applyFill="1" applyBorder="1" applyAlignment="1">
      <alignment horizontal="center" wrapText="1"/>
    </xf>
    <xf numFmtId="0" fontId="73" fillId="0" borderId="39" xfId="12215" applyFont="1" applyFill="1" applyBorder="1" applyAlignment="1">
      <alignment horizontal="center" vertical="center"/>
    </xf>
    <xf numFmtId="2" fontId="73" fillId="0" borderId="39" xfId="12215" applyNumberFormat="1" applyFont="1" applyFill="1" applyBorder="1" applyAlignment="1">
      <alignment horizontal="center" vertical="center"/>
    </xf>
    <xf numFmtId="0" fontId="73" fillId="0" borderId="39" xfId="12215" applyFont="1" applyFill="1" applyBorder="1"/>
    <xf numFmtId="0" fontId="73" fillId="0" borderId="39" xfId="12215" applyFont="1" applyFill="1" applyBorder="1" applyAlignment="1">
      <alignment vertical="center"/>
    </xf>
    <xf numFmtId="0" fontId="73" fillId="0" borderId="72" xfId="12215" applyFont="1" applyFill="1" applyBorder="1" applyAlignment="1">
      <alignment horizontal="center" vertical="center"/>
    </xf>
    <xf numFmtId="2" fontId="73" fillId="0" borderId="72" xfId="12215" applyNumberFormat="1" applyFont="1" applyFill="1" applyBorder="1" applyAlignment="1">
      <alignment horizontal="center" vertical="center"/>
    </xf>
    <xf numFmtId="2" fontId="73" fillId="0" borderId="72" xfId="12215" applyNumberFormat="1" applyFont="1" applyFill="1" applyBorder="1" applyAlignment="1">
      <alignment vertical="center"/>
    </xf>
    <xf numFmtId="0" fontId="73" fillId="0" borderId="72" xfId="12215" applyFont="1" applyFill="1" applyBorder="1"/>
    <xf numFmtId="0" fontId="73" fillId="0" borderId="72" xfId="12215" applyFont="1" applyFill="1" applyBorder="1" applyAlignment="1">
      <alignment vertical="center"/>
    </xf>
    <xf numFmtId="0" fontId="73" fillId="0" borderId="109" xfId="12215" applyFont="1" applyFill="1" applyBorder="1" applyAlignment="1">
      <alignment horizontal="center" vertical="center"/>
    </xf>
    <xf numFmtId="0" fontId="73" fillId="0" borderId="109" xfId="12215" applyFont="1" applyFill="1" applyBorder="1" applyAlignment="1">
      <alignment vertical="center" wrapText="1"/>
    </xf>
    <xf numFmtId="2" fontId="73" fillId="0" borderId="109" xfId="12215" applyNumberFormat="1" applyFont="1" applyFill="1" applyBorder="1" applyAlignment="1">
      <alignment horizontal="center" vertical="center"/>
    </xf>
    <xf numFmtId="0" fontId="73" fillId="0" borderId="109" xfId="12215" applyFont="1" applyFill="1" applyBorder="1" applyAlignment="1">
      <alignment horizontal="center" vertical="center" wrapText="1"/>
    </xf>
    <xf numFmtId="0" fontId="73" fillId="0" borderId="109" xfId="12215" applyFont="1" applyFill="1" applyBorder="1" applyAlignment="1">
      <alignment vertical="center"/>
    </xf>
    <xf numFmtId="0" fontId="28" fillId="0" borderId="17" xfId="0" applyFont="1" applyBorder="1" applyAlignment="1">
      <alignment vertical="center" wrapText="1"/>
    </xf>
    <xf numFmtId="0" fontId="0" fillId="0" borderId="0" xfId="0"/>
    <xf numFmtId="0" fontId="75" fillId="0" borderId="69" xfId="0" applyFont="1" applyBorder="1" applyAlignment="1">
      <alignment horizontal="center" vertical="center" wrapText="1"/>
    </xf>
    <xf numFmtId="2" fontId="75" fillId="0" borderId="69" xfId="0" applyNumberFormat="1" applyFont="1" applyBorder="1" applyAlignment="1">
      <alignment horizontal="center" vertical="center" wrapText="1"/>
    </xf>
    <xf numFmtId="0" fontId="75" fillId="35" borderId="69" xfId="0" applyFont="1" applyFill="1" applyBorder="1" applyAlignment="1">
      <alignment horizontal="center" vertical="center" wrapText="1"/>
    </xf>
    <xf numFmtId="0" fontId="75" fillId="35" borderId="69" xfId="0" applyFont="1" applyFill="1" applyBorder="1" applyAlignment="1">
      <alignment horizontal="left" vertical="center" wrapText="1"/>
    </xf>
    <xf numFmtId="2" fontId="75" fillId="35" borderId="69" xfId="0" applyNumberFormat="1" applyFont="1" applyFill="1" applyBorder="1" applyAlignment="1">
      <alignment horizontal="center" vertical="center" wrapText="1"/>
    </xf>
    <xf numFmtId="0" fontId="0" fillId="35" borderId="0" xfId="0" applyFill="1" applyAlignment="1">
      <alignment vertical="center" wrapText="1"/>
    </xf>
    <xf numFmtId="0" fontId="86" fillId="35" borderId="0" xfId="0" applyFont="1" applyFill="1" applyAlignment="1">
      <alignment vertical="center" wrapText="1"/>
    </xf>
    <xf numFmtId="0" fontId="88" fillId="0" borderId="69" xfId="0" applyFont="1" applyBorder="1" applyAlignment="1">
      <alignment vertical="center" wrapText="1"/>
    </xf>
    <xf numFmtId="2" fontId="102" fillId="0" borderId="69" xfId="0" applyNumberFormat="1" applyFont="1" applyBorder="1" applyAlignment="1">
      <alignment horizontal="center" vertical="center" wrapText="1"/>
    </xf>
    <xf numFmtId="0" fontId="88" fillId="35" borderId="69" xfId="0" applyFont="1" applyFill="1" applyBorder="1" applyAlignment="1">
      <alignment vertical="center" wrapText="1"/>
    </xf>
    <xf numFmtId="0" fontId="88" fillId="35" borderId="34" xfId="0" applyFont="1" applyFill="1" applyBorder="1" applyAlignment="1">
      <alignment vertical="center" wrapText="1"/>
    </xf>
    <xf numFmtId="0" fontId="88" fillId="35" borderId="69" xfId="0" applyFont="1" applyFill="1" applyBorder="1" applyAlignment="1">
      <alignment horizontal="center" vertical="center" wrapText="1"/>
    </xf>
    <xf numFmtId="2" fontId="88" fillId="35" borderId="69" xfId="0" applyNumberFormat="1" applyFont="1" applyFill="1" applyBorder="1" applyAlignment="1">
      <alignment horizontal="center" vertical="center" wrapText="1"/>
    </xf>
    <xf numFmtId="0" fontId="0" fillId="35" borderId="0" xfId="0" applyFill="1"/>
    <xf numFmtId="0" fontId="86" fillId="35" borderId="0" xfId="0" applyFont="1" applyFill="1"/>
    <xf numFmtId="0" fontId="99" fillId="0" borderId="17" xfId="0" applyFont="1" applyBorder="1" applyAlignment="1">
      <alignment horizontal="center" vertical="center" wrapText="1"/>
    </xf>
    <xf numFmtId="0" fontId="88" fillId="0" borderId="17" xfId="0" applyFont="1" applyBorder="1" applyAlignment="1">
      <alignment horizontal="center" vertical="center" wrapText="1"/>
    </xf>
    <xf numFmtId="0" fontId="88" fillId="0" borderId="23" xfId="0" applyFont="1" applyBorder="1" applyAlignment="1">
      <alignment horizontal="center" vertical="center" wrapText="1"/>
    </xf>
    <xf numFmtId="0" fontId="75" fillId="0" borderId="61" xfId="0" applyFont="1" applyBorder="1" applyAlignment="1">
      <alignment horizontal="center" vertical="center" wrapText="1"/>
    </xf>
    <xf numFmtId="0" fontId="88" fillId="0" borderId="69" xfId="0" applyFont="1" applyBorder="1" applyAlignment="1">
      <alignment horizontal="center" vertical="center" wrapText="1"/>
    </xf>
    <xf numFmtId="2" fontId="88" fillId="0" borderId="69" xfId="0" applyNumberFormat="1" applyFont="1" applyBorder="1" applyAlignment="1">
      <alignment horizontal="center" vertical="center" wrapText="1"/>
    </xf>
    <xf numFmtId="0" fontId="95" fillId="0" borderId="101" xfId="0" applyFont="1" applyBorder="1" applyAlignment="1">
      <alignment horizontal="center" vertical="center" wrapText="1"/>
    </xf>
    <xf numFmtId="0" fontId="95" fillId="0" borderId="101" xfId="0" applyFont="1" applyBorder="1" applyAlignment="1">
      <alignment vertical="center" wrapText="1"/>
    </xf>
    <xf numFmtId="2" fontId="95" fillId="0" borderId="101" xfId="0" applyNumberFormat="1" applyFont="1" applyBorder="1" applyAlignment="1">
      <alignment horizontal="center" vertical="center" wrapText="1"/>
    </xf>
    <xf numFmtId="0" fontId="154" fillId="0" borderId="19" xfId="0" applyFont="1" applyBorder="1" applyAlignment="1">
      <alignment horizontal="center" vertical="center" wrapText="1"/>
    </xf>
    <xf numFmtId="0" fontId="154" fillId="0" borderId="19" xfId="0" applyFont="1" applyBorder="1" applyAlignment="1">
      <alignment horizontal="left" vertical="center" wrapText="1"/>
    </xf>
    <xf numFmtId="2" fontId="154" fillId="0" borderId="19" xfId="0" applyNumberFormat="1" applyFont="1" applyBorder="1" applyAlignment="1">
      <alignment horizontal="center" vertical="center" wrapText="1"/>
    </xf>
    <xf numFmtId="2" fontId="116" fillId="0" borderId="0" xfId="0" applyNumberFormat="1" applyFont="1" applyAlignment="1">
      <alignment horizontal="center" vertical="center" wrapText="1"/>
    </xf>
    <xf numFmtId="0" fontId="155" fillId="0" borderId="19" xfId="0" applyFont="1" applyBorder="1" applyAlignment="1">
      <alignment horizontal="center" vertical="center" wrapText="1"/>
    </xf>
    <xf numFmtId="0" fontId="155" fillId="0" borderId="19" xfId="0" applyFont="1" applyBorder="1" applyAlignment="1">
      <alignment horizontal="left" vertical="center" wrapText="1"/>
    </xf>
    <xf numFmtId="2" fontId="155" fillId="0" borderId="19" xfId="0" applyNumberFormat="1" applyFont="1" applyBorder="1" applyAlignment="1">
      <alignment horizontal="center" vertical="center" wrapText="1"/>
    </xf>
    <xf numFmtId="192" fontId="140" fillId="0" borderId="21" xfId="0" applyNumberFormat="1" applyFont="1" applyBorder="1" applyAlignment="1">
      <alignment horizontal="center" vertical="center" wrapText="1"/>
    </xf>
    <xf numFmtId="192" fontId="154" fillId="0" borderId="19" xfId="0" applyNumberFormat="1" applyFont="1" applyBorder="1" applyAlignment="1">
      <alignment horizontal="center" vertical="center" wrapText="1"/>
    </xf>
    <xf numFmtId="192" fontId="140" fillId="0" borderId="19" xfId="0" applyNumberFormat="1" applyFont="1" applyBorder="1" applyAlignment="1">
      <alignment horizontal="center" vertical="center" wrapText="1"/>
    </xf>
    <xf numFmtId="192" fontId="28" fillId="0" borderId="19" xfId="0" applyNumberFormat="1" applyFont="1" applyBorder="1" applyAlignment="1">
      <alignment horizontal="center" vertical="center" wrapText="1"/>
    </xf>
    <xf numFmtId="192" fontId="142" fillId="0" borderId="19" xfId="0" applyNumberFormat="1" applyFont="1" applyBorder="1" applyAlignment="1">
      <alignment horizontal="center" vertical="center" wrapText="1"/>
    </xf>
    <xf numFmtId="192" fontId="155" fillId="0" borderId="19" xfId="0" applyNumberFormat="1" applyFont="1" applyBorder="1" applyAlignment="1">
      <alignment horizontal="center" vertical="center" wrapText="1"/>
    </xf>
    <xf numFmtId="192" fontId="140" fillId="32" borderId="19" xfId="0" applyNumberFormat="1" applyFont="1" applyFill="1" applyBorder="1" applyAlignment="1">
      <alignment horizontal="center" vertical="center" wrapText="1"/>
    </xf>
    <xf numFmtId="192" fontId="28" fillId="0" borderId="20" xfId="0" applyNumberFormat="1" applyFont="1" applyBorder="1" applyAlignment="1">
      <alignment horizontal="center" vertical="center" wrapText="1"/>
    </xf>
    <xf numFmtId="2" fontId="147" fillId="0" borderId="109" xfId="0" applyNumberFormat="1" applyFont="1" applyBorder="1" applyAlignment="1">
      <alignment horizontal="center" vertical="center" wrapText="1"/>
    </xf>
    <xf numFmtId="0" fontId="75" fillId="0" borderId="17" xfId="0" applyFont="1" applyBorder="1" applyAlignment="1">
      <alignment horizontal="center" vertical="center" wrapText="1"/>
    </xf>
    <xf numFmtId="0" fontId="0" fillId="0" borderId="0" xfId="0"/>
    <xf numFmtId="0" fontId="0" fillId="0" borderId="0" xfId="0" applyAlignment="1">
      <alignment horizontal="center"/>
    </xf>
    <xf numFmtId="0" fontId="73" fillId="0" borderId="112" xfId="0" applyFont="1" applyBorder="1" applyAlignment="1">
      <alignment vertical="center" wrapText="1"/>
    </xf>
    <xf numFmtId="0" fontId="73" fillId="0" borderId="17" xfId="0" applyFont="1" applyBorder="1" applyAlignment="1">
      <alignment vertical="center" wrapText="1"/>
    </xf>
    <xf numFmtId="0" fontId="75" fillId="0" borderId="61" xfId="0" applyFont="1" applyBorder="1" applyAlignment="1">
      <alignment horizontal="center"/>
    </xf>
    <xf numFmtId="0" fontId="75" fillId="0" borderId="85" xfId="0" applyFont="1" applyBorder="1" applyAlignment="1">
      <alignment horizontal="center"/>
    </xf>
    <xf numFmtId="2" fontId="75" fillId="0" borderId="87" xfId="0" applyNumberFormat="1" applyFont="1" applyBorder="1" applyAlignment="1">
      <alignment horizontal="center"/>
    </xf>
    <xf numFmtId="0" fontId="75" fillId="0" borderId="87" xfId="0" applyFont="1" applyBorder="1" applyAlignment="1">
      <alignment horizontal="center"/>
    </xf>
    <xf numFmtId="2" fontId="75" fillId="0" borderId="85" xfId="0" applyNumberFormat="1" applyFont="1" applyBorder="1" applyAlignment="1">
      <alignment horizontal="center"/>
    </xf>
    <xf numFmtId="2" fontId="75" fillId="0" borderId="88" xfId="0" applyNumberFormat="1" applyFont="1" applyBorder="1" applyAlignment="1">
      <alignment horizontal="center"/>
    </xf>
    <xf numFmtId="0" fontId="75" fillId="0" borderId="84" xfId="0" applyFont="1" applyBorder="1" applyAlignment="1">
      <alignment horizontal="center" vertical="center" wrapText="1"/>
    </xf>
    <xf numFmtId="0" fontId="75" fillId="0" borderId="61" xfId="0" applyFont="1" applyBorder="1" applyAlignment="1">
      <alignment horizontal="left"/>
    </xf>
    <xf numFmtId="0" fontId="75" fillId="0" borderId="84" xfId="0" applyFont="1" applyBorder="1" applyAlignment="1">
      <alignment horizontal="center"/>
    </xf>
    <xf numFmtId="0" fontId="75" fillId="0" borderId="86" xfId="0" applyFont="1" applyBorder="1" applyAlignment="1">
      <alignment horizontal="center"/>
    </xf>
    <xf numFmtId="2" fontId="112" fillId="0" borderId="19" xfId="0" applyNumberFormat="1" applyFont="1" applyBorder="1" applyAlignment="1">
      <alignment horizontal="center" vertical="center" wrapText="1"/>
    </xf>
    <xf numFmtId="2" fontId="112" fillId="29" borderId="19" xfId="0" applyNumberFormat="1" applyFont="1" applyFill="1" applyBorder="1" applyAlignment="1">
      <alignment horizontal="center" vertical="center" wrapText="1"/>
    </xf>
    <xf numFmtId="0" fontId="157" fillId="0" borderId="0" xfId="0" applyFont="1" applyAlignment="1">
      <alignment vertical="center" wrapText="1"/>
    </xf>
    <xf numFmtId="2" fontId="157" fillId="0" borderId="0" xfId="0" applyNumberFormat="1" applyFont="1" applyAlignment="1">
      <alignment vertical="center" wrapText="1"/>
    </xf>
    <xf numFmtId="0" fontId="113" fillId="0" borderId="19" xfId="0" applyFont="1" applyBorder="1" applyAlignment="1">
      <alignment horizontal="center" vertical="center" wrapText="1"/>
    </xf>
    <xf numFmtId="2" fontId="113" fillId="0" borderId="19" xfId="0" applyNumberFormat="1" applyFont="1" applyBorder="1" applyAlignment="1">
      <alignment horizontal="center" vertical="center" wrapText="1"/>
    </xf>
    <xf numFmtId="2" fontId="113" fillId="29" borderId="19" xfId="0" applyNumberFormat="1" applyFont="1" applyFill="1" applyBorder="1" applyAlignment="1">
      <alignment horizontal="center" vertical="center" wrapText="1"/>
    </xf>
    <xf numFmtId="0" fontId="157" fillId="0" borderId="0" xfId="0" applyFont="1" applyAlignment="1">
      <alignment horizontal="center" vertical="center" wrapText="1"/>
    </xf>
    <xf numFmtId="0" fontId="159" fillId="0" borderId="0" xfId="0" applyFont="1" applyAlignment="1">
      <alignment vertical="center" wrapText="1"/>
    </xf>
    <xf numFmtId="0" fontId="159" fillId="0" borderId="0" xfId="0" applyFont="1" applyAlignment="1">
      <alignment horizontal="center" vertical="center" wrapText="1"/>
    </xf>
    <xf numFmtId="0" fontId="84" fillId="0" borderId="21" xfId="0" applyFont="1" applyBorder="1" applyAlignment="1">
      <alignment vertical="center" wrapText="1"/>
    </xf>
    <xf numFmtId="0" fontId="113" fillId="0" borderId="19" xfId="0" applyFont="1" applyBorder="1" applyAlignment="1">
      <alignment vertical="center" wrapText="1"/>
    </xf>
    <xf numFmtId="0" fontId="113" fillId="0" borderId="0" xfId="0" applyFont="1" applyAlignment="1">
      <alignment vertical="center" wrapText="1"/>
    </xf>
    <xf numFmtId="0" fontId="112" fillId="0" borderId="19" xfId="0" applyFont="1" applyBorder="1" applyAlignment="1">
      <alignment vertical="center" wrapText="1"/>
    </xf>
    <xf numFmtId="0" fontId="160" fillId="0" borderId="0" xfId="0" applyFont="1" applyAlignment="1">
      <alignment vertical="center" wrapText="1"/>
    </xf>
    <xf numFmtId="0" fontId="161" fillId="0" borderId="0" xfId="0" applyFont="1" applyAlignment="1">
      <alignment vertical="center" wrapText="1"/>
    </xf>
    <xf numFmtId="0" fontId="162" fillId="0" borderId="19" xfId="0" applyFont="1" applyBorder="1" applyAlignment="1">
      <alignment vertical="center" wrapText="1"/>
    </xf>
    <xf numFmtId="0" fontId="112" fillId="0" borderId="0" xfId="0" applyFont="1" applyAlignment="1">
      <alignment vertical="center" wrapText="1"/>
    </xf>
    <xf numFmtId="2" fontId="161" fillId="0" borderId="0" xfId="0" applyNumberFormat="1" applyFont="1" applyAlignment="1">
      <alignment vertical="center" wrapText="1"/>
    </xf>
    <xf numFmtId="0" fontId="85" fillId="0" borderId="19" xfId="0" applyFont="1" applyBorder="1" applyAlignment="1">
      <alignment vertical="center" wrapText="1"/>
    </xf>
    <xf numFmtId="0" fontId="75" fillId="0" borderId="69" xfId="0" applyFont="1" applyBorder="1" applyAlignment="1">
      <alignment vertical="center" wrapText="1"/>
    </xf>
    <xf numFmtId="2" fontId="93" fillId="0" borderId="0" xfId="0" applyNumberFormat="1" applyFont="1" applyAlignment="1">
      <alignment horizontal="center" vertical="center" wrapText="1"/>
    </xf>
    <xf numFmtId="0" fontId="163" fillId="0" borderId="0" xfId="0" applyFont="1"/>
    <xf numFmtId="2" fontId="164" fillId="0" borderId="0" xfId="0" applyNumberFormat="1" applyFont="1"/>
    <xf numFmtId="0" fontId="164" fillId="0" borderId="0" xfId="0" applyFont="1"/>
    <xf numFmtId="197" fontId="157" fillId="0" borderId="0" xfId="0" applyNumberFormat="1" applyFont="1" applyAlignment="1">
      <alignment vertical="center" wrapText="1"/>
    </xf>
    <xf numFmtId="0" fontId="165" fillId="0" borderId="0" xfId="6160" applyFont="1" applyFill="1" applyAlignment="1">
      <alignment vertical="center"/>
    </xf>
    <xf numFmtId="0" fontId="166" fillId="0" borderId="0" xfId="6160" applyFont="1" applyFill="1" applyAlignment="1">
      <alignment horizontal="center" vertical="center"/>
    </xf>
    <xf numFmtId="0" fontId="95" fillId="0" borderId="0" xfId="6160" applyFont="1" applyFill="1" applyAlignment="1">
      <alignment horizontal="center"/>
    </xf>
    <xf numFmtId="0" fontId="95" fillId="0" borderId="0" xfId="6160" applyFont="1" applyFill="1" applyAlignment="1">
      <alignment horizontal="center" vertical="center"/>
    </xf>
    <xf numFmtId="0" fontId="95" fillId="0" borderId="0" xfId="6160" applyFont="1" applyFill="1" applyAlignment="1">
      <alignment horizontal="left"/>
    </xf>
    <xf numFmtId="0" fontId="88" fillId="0" borderId="0" xfId="6160" applyFont="1" applyFill="1" applyAlignment="1">
      <alignment horizontal="center"/>
    </xf>
    <xf numFmtId="0" fontId="88" fillId="0" borderId="0" xfId="6160" applyFont="1" applyFill="1" applyAlignment="1">
      <alignment horizontal="center" vertical="center" wrapText="1"/>
    </xf>
    <xf numFmtId="0" fontId="88" fillId="0" borderId="0" xfId="6160" applyFont="1" applyFill="1"/>
    <xf numFmtId="0" fontId="88" fillId="0" borderId="0" xfId="6160" applyFont="1" applyFill="1" applyAlignment="1">
      <alignment vertical="center" wrapText="1"/>
    </xf>
    <xf numFmtId="0" fontId="88" fillId="0" borderId="0" xfId="0" applyFont="1" applyFill="1" applyAlignment="1">
      <alignment horizontal="center" vertical="center" wrapText="1"/>
    </xf>
    <xf numFmtId="0" fontId="167" fillId="32" borderId="0" xfId="6160" applyFont="1" applyFill="1" applyBorder="1" applyAlignment="1">
      <alignment horizontal="center" vertical="center" wrapText="1"/>
    </xf>
    <xf numFmtId="0" fontId="168" fillId="0" borderId="0" xfId="0" applyFont="1" applyFill="1"/>
    <xf numFmtId="0" fontId="167" fillId="32" borderId="0" xfId="0" applyFont="1" applyFill="1" applyBorder="1" applyAlignment="1">
      <alignment horizontal="center" vertical="center" wrapText="1"/>
    </xf>
    <xf numFmtId="0" fontId="88" fillId="0" borderId="0" xfId="6160" applyFont="1" applyFill="1" applyAlignment="1">
      <alignment horizontal="center" vertical="center"/>
    </xf>
    <xf numFmtId="0" fontId="75" fillId="0" borderId="0" xfId="6160" applyFont="1" applyFill="1" applyAlignment="1">
      <alignment horizontal="center"/>
    </xf>
    <xf numFmtId="2" fontId="88" fillId="0" borderId="0" xfId="6160" applyNumberFormat="1" applyFont="1" applyFill="1" applyAlignment="1">
      <alignment horizontal="center" vertical="center"/>
    </xf>
    <xf numFmtId="2" fontId="88" fillId="0" borderId="0" xfId="6160" applyNumberFormat="1" applyFont="1" applyFill="1"/>
    <xf numFmtId="0" fontId="169" fillId="32" borderId="40" xfId="6161" applyFont="1" applyFill="1" applyBorder="1" applyAlignment="1">
      <alignment horizontal="center" vertical="center" wrapText="1"/>
    </xf>
    <xf numFmtId="0" fontId="88" fillId="0" borderId="36" xfId="0" applyFont="1" applyFill="1" applyBorder="1" applyAlignment="1">
      <alignment horizontal="center" vertical="center" wrapText="1"/>
    </xf>
    <xf numFmtId="0" fontId="98" fillId="36" borderId="38" xfId="6160" applyFont="1" applyFill="1" applyBorder="1" applyAlignment="1">
      <alignment horizontal="center" vertical="center" wrapText="1"/>
    </xf>
    <xf numFmtId="0" fontId="95" fillId="36" borderId="38" xfId="6160" applyFont="1" applyFill="1" applyBorder="1" applyAlignment="1">
      <alignment horizontal="left" vertical="center" wrapText="1"/>
    </xf>
    <xf numFmtId="0" fontId="95" fillId="36" borderId="38" xfId="0" applyFont="1" applyFill="1" applyBorder="1" applyAlignment="1">
      <alignment horizontal="center" vertical="center" wrapText="1"/>
    </xf>
    <xf numFmtId="0" fontId="98" fillId="36" borderId="38" xfId="0" applyFont="1" applyFill="1" applyBorder="1" applyAlignment="1">
      <alignment horizontal="center" vertical="center" wrapText="1"/>
    </xf>
    <xf numFmtId="0" fontId="95" fillId="36" borderId="38" xfId="6161" applyFont="1" applyFill="1" applyBorder="1" applyAlignment="1">
      <alignment horizontal="center" vertical="center" wrapText="1"/>
    </xf>
    <xf numFmtId="0" fontId="88" fillId="36" borderId="121" xfId="0" applyFont="1" applyFill="1" applyBorder="1" applyAlignment="1">
      <alignment horizontal="center" vertical="center" wrapText="1"/>
    </xf>
    <xf numFmtId="0" fontId="95" fillId="36" borderId="37" xfId="6160" applyFont="1" applyFill="1" applyBorder="1" applyAlignment="1">
      <alignment horizontal="center" vertical="center" wrapText="1"/>
    </xf>
    <xf numFmtId="0" fontId="95" fillId="36" borderId="121" xfId="0" applyFont="1" applyFill="1" applyBorder="1" applyAlignment="1">
      <alignment horizontal="center" vertical="center" wrapText="1"/>
    </xf>
    <xf numFmtId="0" fontId="169" fillId="0" borderId="0" xfId="6161" applyFont="1" applyFill="1" applyBorder="1" applyAlignment="1">
      <alignment horizontal="center" vertical="center" wrapText="1"/>
    </xf>
    <xf numFmtId="0" fontId="88" fillId="36" borderId="121" xfId="6160" applyFont="1" applyFill="1" applyBorder="1" applyAlignment="1">
      <alignment horizontal="center" vertical="center" wrapText="1"/>
    </xf>
    <xf numFmtId="0" fontId="95" fillId="36" borderId="121" xfId="0" applyFont="1" applyFill="1" applyBorder="1" applyAlignment="1">
      <alignment vertical="center" wrapText="1"/>
    </xf>
    <xf numFmtId="0" fontId="98" fillId="36" borderId="121" xfId="0" applyFont="1" applyFill="1" applyBorder="1" applyAlignment="1">
      <alignment horizontal="center" vertical="center" wrapText="1"/>
    </xf>
    <xf numFmtId="2" fontId="95" fillId="36" borderId="121" xfId="0" applyNumberFormat="1" applyFont="1" applyFill="1" applyBorder="1" applyAlignment="1">
      <alignment horizontal="center" vertical="center" wrapText="1"/>
    </xf>
    <xf numFmtId="2" fontId="134" fillId="36" borderId="121" xfId="6161" applyNumberFormat="1" applyFont="1" applyFill="1" applyBorder="1" applyAlignment="1">
      <alignment horizontal="center" vertical="center" wrapText="1"/>
    </xf>
    <xf numFmtId="0" fontId="133" fillId="36" borderId="121" xfId="6160" applyFont="1" applyFill="1" applyBorder="1" applyAlignment="1">
      <alignment vertical="center" wrapText="1"/>
    </xf>
    <xf numFmtId="0" fontId="133" fillId="36" borderId="121" xfId="0" applyFont="1" applyFill="1" applyBorder="1" applyAlignment="1">
      <alignment horizontal="center" vertical="center" wrapText="1"/>
    </xf>
    <xf numFmtId="0" fontId="171" fillId="0" borderId="0" xfId="6161" applyFont="1" applyFill="1" applyBorder="1" applyAlignment="1">
      <alignment horizontal="center" vertical="center" wrapText="1"/>
    </xf>
    <xf numFmtId="0" fontId="172" fillId="0" borderId="0" xfId="0" applyFont="1" applyFill="1"/>
    <xf numFmtId="0" fontId="88" fillId="0" borderId="67" xfId="6160" applyFont="1" applyFill="1" applyBorder="1" applyAlignment="1">
      <alignment horizontal="center" vertical="center" wrapText="1"/>
    </xf>
    <xf numFmtId="0" fontId="75" fillId="0" borderId="67" xfId="6160" applyFont="1" applyFill="1" applyBorder="1" applyAlignment="1">
      <alignment horizontal="center" vertical="center" wrapText="1"/>
    </xf>
    <xf numFmtId="0" fontId="88" fillId="0" borderId="67" xfId="0" applyFont="1" applyFill="1" applyBorder="1" applyAlignment="1">
      <alignment horizontal="center" vertical="center" wrapText="1"/>
    </xf>
    <xf numFmtId="0" fontId="170" fillId="0" borderId="73" xfId="6164" applyFont="1" applyFill="1" applyBorder="1" applyAlignment="1">
      <alignment horizontal="left" vertical="center" wrapText="1"/>
    </xf>
    <xf numFmtId="0" fontId="75" fillId="0" borderId="73" xfId="6160" applyFont="1" applyFill="1" applyBorder="1" applyAlignment="1">
      <alignment horizontal="center" vertical="center" wrapText="1"/>
    </xf>
    <xf numFmtId="43" fontId="88" fillId="0" borderId="73" xfId="6165" applyNumberFormat="1" applyFont="1" applyFill="1" applyBorder="1" applyAlignment="1">
      <alignment horizontal="left" vertical="center" wrapText="1"/>
    </xf>
    <xf numFmtId="43" fontId="88" fillId="0" borderId="73" xfId="6160" applyNumberFormat="1" applyFont="1" applyFill="1" applyBorder="1" applyAlignment="1">
      <alignment horizontal="center" vertical="center" wrapText="1"/>
    </xf>
    <xf numFmtId="43" fontId="167" fillId="32" borderId="0" xfId="0" applyNumberFormat="1" applyFont="1" applyFill="1" applyAlignment="1">
      <alignment horizontal="center" vertical="center" wrapText="1"/>
    </xf>
    <xf numFmtId="43" fontId="3" fillId="0" borderId="0" xfId="0" applyNumberFormat="1" applyFont="1" applyFill="1"/>
    <xf numFmtId="0" fontId="95" fillId="36" borderId="121" xfId="6160" applyFont="1" applyFill="1" applyBorder="1" applyAlignment="1">
      <alignment horizontal="center" vertical="center" wrapText="1"/>
    </xf>
    <xf numFmtId="0" fontId="95" fillId="36" borderId="121" xfId="6160" applyFont="1" applyFill="1" applyBorder="1" applyAlignment="1">
      <alignment vertical="center" wrapText="1"/>
    </xf>
    <xf numFmtId="0" fontId="98" fillId="36" borderId="121" xfId="6160" applyFont="1" applyFill="1" applyBorder="1" applyAlignment="1">
      <alignment horizontal="center" vertical="center" wrapText="1"/>
    </xf>
    <xf numFmtId="2" fontId="95" fillId="36" borderId="121" xfId="6160" applyNumberFormat="1" applyFont="1" applyFill="1" applyBorder="1" applyAlignment="1">
      <alignment horizontal="center" vertical="center" wrapText="1"/>
    </xf>
    <xf numFmtId="0" fontId="169" fillId="36" borderId="0" xfId="6160" applyFont="1" applyFill="1" applyBorder="1" applyAlignment="1">
      <alignment horizontal="center" vertical="center" wrapText="1"/>
    </xf>
    <xf numFmtId="0" fontId="173" fillId="36" borderId="0" xfId="0" applyFont="1" applyFill="1"/>
    <xf numFmtId="0" fontId="75" fillId="0" borderId="36" xfId="6160" applyFont="1" applyFill="1" applyBorder="1" applyAlignment="1">
      <alignment horizontal="center" vertical="center" wrapText="1"/>
    </xf>
    <xf numFmtId="2" fontId="130" fillId="0" borderId="36" xfId="0" applyNumberFormat="1" applyFont="1" applyFill="1" applyBorder="1" applyAlignment="1">
      <alignment horizontal="center" vertical="center"/>
    </xf>
    <xf numFmtId="0" fontId="95" fillId="36" borderId="121" xfId="6162" applyFont="1" applyFill="1" applyBorder="1" applyAlignment="1">
      <alignment vertical="center" wrapText="1"/>
    </xf>
    <xf numFmtId="0" fontId="98" fillId="36" borderId="121" xfId="6162" applyFont="1" applyFill="1" applyBorder="1" applyAlignment="1">
      <alignment horizontal="center" vertical="center" wrapText="1"/>
    </xf>
    <xf numFmtId="0" fontId="169" fillId="0" borderId="0" xfId="6160" applyFont="1" applyFill="1" applyBorder="1" applyAlignment="1">
      <alignment horizontal="center" vertical="center" wrapText="1"/>
    </xf>
    <xf numFmtId="0" fontId="173" fillId="0" borderId="0" xfId="0" applyFont="1" applyFill="1"/>
    <xf numFmtId="0" fontId="170" fillId="0" borderId="36" xfId="6160" applyFont="1" applyFill="1" applyBorder="1" applyAlignment="1">
      <alignment vertical="center" wrapText="1"/>
    </xf>
    <xf numFmtId="0" fontId="174" fillId="0" borderId="36" xfId="6160" applyFont="1" applyFill="1" applyBorder="1" applyAlignment="1">
      <alignment horizontal="center" vertical="center" wrapText="1"/>
    </xf>
    <xf numFmtId="2" fontId="170" fillId="0" borderId="36" xfId="6160" applyNumberFormat="1" applyFont="1" applyFill="1" applyBorder="1" applyAlignment="1">
      <alignment horizontal="center" vertical="center" wrapText="1"/>
    </xf>
    <xf numFmtId="2" fontId="88" fillId="0" borderId="36" xfId="6162" applyNumberFormat="1" applyFont="1" applyFill="1" applyBorder="1" applyAlignment="1">
      <alignment horizontal="center" vertical="center" wrapText="1"/>
    </xf>
    <xf numFmtId="0" fontId="156" fillId="36" borderId="121" xfId="6160" applyFont="1" applyFill="1" applyBorder="1" applyAlignment="1">
      <alignment horizontal="center" vertical="center" wrapText="1"/>
    </xf>
    <xf numFmtId="2" fontId="95" fillId="36" borderId="121" xfId="6162" applyNumberFormat="1" applyFont="1" applyFill="1" applyBorder="1" applyAlignment="1">
      <alignment horizontal="center" vertical="center" wrapText="1"/>
    </xf>
    <xf numFmtId="0" fontId="169" fillId="32" borderId="0" xfId="6160" applyFont="1" applyFill="1" applyBorder="1" applyAlignment="1">
      <alignment horizontal="center" vertical="center" wrapText="1"/>
    </xf>
    <xf numFmtId="2" fontId="88" fillId="36" borderId="121" xfId="6160" applyNumberFormat="1" applyFont="1" applyFill="1" applyBorder="1" applyAlignment="1">
      <alignment horizontal="center" vertical="center" wrapText="1"/>
    </xf>
    <xf numFmtId="0" fontId="170" fillId="0" borderId="67" xfId="6160" applyFont="1" applyFill="1" applyBorder="1" applyAlignment="1">
      <alignment vertical="center" wrapText="1"/>
    </xf>
    <xf numFmtId="0" fontId="174" fillId="0" borderId="67" xfId="6160" applyFont="1" applyFill="1" applyBorder="1" applyAlignment="1">
      <alignment horizontal="center" vertical="center" wrapText="1"/>
    </xf>
    <xf numFmtId="2" fontId="170" fillId="0" borderId="67" xfId="6160" applyNumberFormat="1" applyFont="1" applyFill="1" applyBorder="1" applyAlignment="1">
      <alignment horizontal="center" vertical="center" wrapText="1"/>
    </xf>
    <xf numFmtId="0" fontId="88" fillId="0" borderId="67" xfId="0" applyFont="1" applyFill="1" applyBorder="1" applyAlignment="1">
      <alignment horizontal="left" vertical="center" wrapText="1"/>
    </xf>
    <xf numFmtId="0" fontId="170" fillId="0" borderId="73" xfId="6160" applyFont="1" applyFill="1" applyBorder="1" applyAlignment="1">
      <alignment vertical="center" wrapText="1"/>
    </xf>
    <xf numFmtId="0" fontId="174" fillId="0" borderId="73" xfId="6160" applyFont="1" applyFill="1" applyBorder="1" applyAlignment="1">
      <alignment horizontal="center" vertical="center" wrapText="1"/>
    </xf>
    <xf numFmtId="2" fontId="170" fillId="0" borderId="73" xfId="6160" applyNumberFormat="1" applyFont="1" applyFill="1" applyBorder="1" applyAlignment="1">
      <alignment horizontal="center" vertical="center" wrapText="1"/>
    </xf>
    <xf numFmtId="0" fontId="170" fillId="0" borderId="74" xfId="6160" applyFont="1" applyFill="1" applyBorder="1" applyAlignment="1">
      <alignment vertical="center" wrapText="1"/>
    </xf>
    <xf numFmtId="0" fontId="88" fillId="0" borderId="74" xfId="0" applyFont="1" applyFill="1" applyBorder="1" applyAlignment="1">
      <alignment horizontal="left" vertical="center" wrapText="1"/>
    </xf>
    <xf numFmtId="0" fontId="175" fillId="0" borderId="74" xfId="6160" applyFont="1" applyFill="1" applyBorder="1" applyAlignment="1">
      <alignment horizontal="center" vertical="center" wrapText="1"/>
    </xf>
    <xf numFmtId="0" fontId="176" fillId="0" borderId="74" xfId="6160" applyFont="1" applyFill="1" applyBorder="1" applyAlignment="1">
      <alignment vertical="center" wrapText="1"/>
    </xf>
    <xf numFmtId="0" fontId="177" fillId="0" borderId="73" xfId="6160" applyFont="1" applyFill="1" applyBorder="1" applyAlignment="1">
      <alignment horizontal="center" vertical="center" wrapText="1"/>
    </xf>
    <xf numFmtId="2" fontId="175" fillId="0" borderId="67" xfId="6160" applyNumberFormat="1" applyFont="1" applyFill="1" applyBorder="1" applyAlignment="1">
      <alignment horizontal="center" vertical="center" wrapText="1"/>
    </xf>
    <xf numFmtId="2" fontId="176" fillId="0" borderId="73" xfId="6160" applyNumberFormat="1" applyFont="1" applyFill="1" applyBorder="1" applyAlignment="1">
      <alignment horizontal="center" vertical="center" wrapText="1"/>
    </xf>
    <xf numFmtId="2" fontId="175" fillId="0" borderId="73" xfId="6160" applyNumberFormat="1" applyFont="1" applyFill="1" applyBorder="1" applyAlignment="1">
      <alignment horizontal="center" vertical="center" wrapText="1"/>
    </xf>
    <xf numFmtId="2" fontId="175" fillId="0" borderId="74" xfId="6160" applyNumberFormat="1" applyFont="1" applyFill="1" applyBorder="1" applyAlignment="1">
      <alignment horizontal="center" vertical="center" wrapText="1"/>
    </xf>
    <xf numFmtId="0" fontId="175" fillId="0" borderId="74" xfId="0" applyFont="1" applyFill="1" applyBorder="1" applyAlignment="1">
      <alignment horizontal="left" vertical="center" wrapText="1"/>
    </xf>
    <xf numFmtId="0" fontId="175" fillId="0" borderId="36" xfId="0" applyFont="1" applyFill="1" applyBorder="1" applyAlignment="1">
      <alignment horizontal="center" vertical="center" wrapText="1"/>
    </xf>
    <xf numFmtId="0" fontId="178" fillId="32" borderId="0" xfId="6160" applyFont="1" applyFill="1" applyBorder="1" applyAlignment="1">
      <alignment horizontal="center" vertical="center" wrapText="1"/>
    </xf>
    <xf numFmtId="0" fontId="179" fillId="0" borderId="0" xfId="0" applyFont="1" applyFill="1"/>
    <xf numFmtId="0" fontId="167" fillId="32" borderId="0" xfId="0" applyFont="1" applyFill="1" applyAlignment="1">
      <alignment horizontal="center" vertical="center" wrapText="1"/>
    </xf>
    <xf numFmtId="0" fontId="88" fillId="0" borderId="0" xfId="0" applyFont="1" applyFill="1"/>
    <xf numFmtId="0" fontId="180" fillId="0" borderId="74" xfId="6160" applyFont="1" applyFill="1" applyBorder="1" applyAlignment="1">
      <alignment horizontal="center" vertical="center" wrapText="1"/>
    </xf>
    <xf numFmtId="0" fontId="180" fillId="0" borderId="74" xfId="0" applyFont="1" applyFill="1" applyBorder="1" applyAlignment="1">
      <alignment horizontal="left" vertical="center" wrapText="1"/>
    </xf>
    <xf numFmtId="0" fontId="181" fillId="0" borderId="74" xfId="6160" applyFont="1" applyFill="1" applyBorder="1" applyAlignment="1">
      <alignment horizontal="center" vertical="center" wrapText="1"/>
    </xf>
    <xf numFmtId="2" fontId="180" fillId="0" borderId="74" xfId="6160" applyNumberFormat="1" applyFont="1" applyFill="1" applyBorder="1" applyAlignment="1">
      <alignment horizontal="center" vertical="center" wrapText="1"/>
    </xf>
    <xf numFmtId="0" fontId="180" fillId="0" borderId="74" xfId="0" applyFont="1" applyFill="1" applyBorder="1" applyAlignment="1">
      <alignment horizontal="center" vertical="center" wrapText="1"/>
    </xf>
    <xf numFmtId="0" fontId="178" fillId="32" borderId="0" xfId="0" applyFont="1" applyFill="1" applyAlignment="1">
      <alignment horizontal="center" vertical="center" wrapText="1"/>
    </xf>
    <xf numFmtId="0" fontId="180" fillId="0" borderId="0" xfId="0" applyFont="1" applyFill="1"/>
    <xf numFmtId="0" fontId="180" fillId="0" borderId="74" xfId="6165" applyFont="1" applyFill="1" applyBorder="1" applyAlignment="1">
      <alignment horizontal="left" vertical="center" wrapText="1"/>
    </xf>
    <xf numFmtId="0" fontId="181" fillId="0" borderId="74" xfId="0" applyFont="1" applyFill="1" applyBorder="1" applyAlignment="1">
      <alignment horizontal="center" vertical="center" wrapText="1"/>
    </xf>
    <xf numFmtId="2" fontId="182" fillId="0" borderId="74" xfId="0" applyNumberFormat="1" applyFont="1" applyFill="1" applyBorder="1" applyAlignment="1">
      <alignment horizontal="center" vertical="center" wrapText="1"/>
    </xf>
    <xf numFmtId="0" fontId="180" fillId="0" borderId="73" xfId="6160" applyFont="1" applyFill="1" applyBorder="1" applyAlignment="1">
      <alignment horizontal="center" vertical="center" wrapText="1"/>
    </xf>
    <xf numFmtId="0" fontId="180" fillId="0" borderId="73" xfId="0" applyFont="1" applyFill="1" applyBorder="1" applyAlignment="1">
      <alignment vertical="center" wrapText="1"/>
    </xf>
    <xf numFmtId="0" fontId="181" fillId="0" borderId="73" xfId="0" applyFont="1" applyFill="1" applyBorder="1" applyAlignment="1">
      <alignment horizontal="center" vertical="center" wrapText="1"/>
    </xf>
    <xf numFmtId="2" fontId="180" fillId="0" borderId="73" xfId="6160" applyNumberFormat="1" applyFont="1" applyFill="1" applyBorder="1" applyAlignment="1">
      <alignment horizontal="center" vertical="center" wrapText="1"/>
    </xf>
    <xf numFmtId="0" fontId="180" fillId="0" borderId="73" xfId="0" applyFont="1" applyFill="1" applyBorder="1" applyAlignment="1">
      <alignment horizontal="center" vertical="center" wrapText="1"/>
    </xf>
    <xf numFmtId="0" fontId="180" fillId="0" borderId="73" xfId="0" applyFont="1" applyFill="1" applyBorder="1" applyAlignment="1">
      <alignment horizontal="left" vertical="center" wrapText="1"/>
    </xf>
    <xf numFmtId="0" fontId="75" fillId="0" borderId="67" xfId="0" applyFont="1" applyFill="1" applyBorder="1" applyAlignment="1">
      <alignment horizontal="center" vertical="center" wrapText="1"/>
    </xf>
    <xf numFmtId="0" fontId="111" fillId="0" borderId="73" xfId="6160" applyFont="1" applyFill="1" applyBorder="1" applyAlignment="1">
      <alignment horizontal="center" vertical="center" wrapText="1"/>
    </xf>
    <xf numFmtId="0" fontId="111" fillId="0" borderId="67" xfId="0" applyFont="1" applyFill="1" applyBorder="1" applyAlignment="1">
      <alignment vertical="center" wrapText="1"/>
    </xf>
    <xf numFmtId="0" fontId="112" fillId="0" borderId="67" xfId="0" applyFont="1" applyFill="1" applyBorder="1" applyAlignment="1">
      <alignment horizontal="center" vertical="center" wrapText="1"/>
    </xf>
    <xf numFmtId="0" fontId="111" fillId="0" borderId="73" xfId="6160" applyFont="1" applyFill="1" applyBorder="1" applyAlignment="1">
      <alignment vertical="center" wrapText="1"/>
    </xf>
    <xf numFmtId="0" fontId="183" fillId="0" borderId="0" xfId="0" applyFont="1" applyFill="1"/>
    <xf numFmtId="0" fontId="75" fillId="0" borderId="73" xfId="0" applyFont="1" applyFill="1" applyBorder="1" applyAlignment="1">
      <alignment horizontal="center" vertical="center" wrapText="1"/>
    </xf>
    <xf numFmtId="191" fontId="95" fillId="36" borderId="121" xfId="6163" applyNumberFormat="1" applyFont="1" applyFill="1" applyBorder="1" applyAlignment="1">
      <alignment horizontal="left" vertical="center" wrapText="1"/>
    </xf>
    <xf numFmtId="191" fontId="98" fillId="36" borderId="121" xfId="6163" applyNumberFormat="1" applyFont="1" applyFill="1" applyBorder="1" applyAlignment="1">
      <alignment horizontal="center" vertical="center" wrapText="1"/>
    </xf>
    <xf numFmtId="0" fontId="95" fillId="36" borderId="121" xfId="0" applyFont="1" applyFill="1" applyBorder="1" applyAlignment="1">
      <alignment horizontal="left" vertical="center" wrapText="1"/>
    </xf>
    <xf numFmtId="191" fontId="88" fillId="0" borderId="36" xfId="6163" applyNumberFormat="1" applyFont="1" applyFill="1" applyBorder="1" applyAlignment="1">
      <alignment horizontal="left" vertical="center" wrapText="1"/>
    </xf>
    <xf numFmtId="191" fontId="75" fillId="0" borderId="36" xfId="6163" applyNumberFormat="1" applyFont="1" applyFill="1" applyBorder="1" applyAlignment="1">
      <alignment horizontal="center" vertical="center" wrapText="1"/>
    </xf>
    <xf numFmtId="191" fontId="88" fillId="0" borderId="73" xfId="6163" applyNumberFormat="1" applyFont="1" applyFill="1" applyBorder="1" applyAlignment="1">
      <alignment horizontal="left" vertical="center" wrapText="1"/>
    </xf>
    <xf numFmtId="191" fontId="75" fillId="0" borderId="73" xfId="6163" applyNumberFormat="1" applyFont="1" applyFill="1" applyBorder="1" applyAlignment="1">
      <alignment horizontal="center" vertical="center" wrapText="1"/>
    </xf>
    <xf numFmtId="2" fontId="130" fillId="0" borderId="73" xfId="0" applyNumberFormat="1" applyFont="1" applyFill="1" applyBorder="1" applyAlignment="1">
      <alignment horizontal="center" vertical="center" wrapText="1"/>
    </xf>
    <xf numFmtId="2" fontId="130" fillId="0" borderId="73" xfId="6162" applyNumberFormat="1" applyFont="1" applyFill="1" applyBorder="1" applyAlignment="1">
      <alignment horizontal="center" vertical="center" wrapText="1"/>
    </xf>
    <xf numFmtId="0" fontId="88" fillId="0" borderId="73" xfId="0" applyFont="1" applyFill="1" applyBorder="1" applyAlignment="1">
      <alignment horizontal="left" vertical="top" wrapText="1"/>
    </xf>
    <xf numFmtId="0" fontId="184" fillId="0" borderId="73" xfId="6160" applyFont="1" applyFill="1" applyBorder="1" applyAlignment="1">
      <alignment horizontal="center" vertical="center" wrapText="1"/>
    </xf>
    <xf numFmtId="0" fontId="184" fillId="0" borderId="73" xfId="0" applyFont="1" applyFill="1" applyBorder="1" applyAlignment="1">
      <alignment vertical="center" wrapText="1"/>
    </xf>
    <xf numFmtId="0" fontId="185" fillId="0" borderId="73" xfId="6160" applyFont="1" applyFill="1" applyBorder="1" applyAlignment="1">
      <alignment horizontal="center" vertical="center" wrapText="1"/>
    </xf>
    <xf numFmtId="2" fontId="184" fillId="0" borderId="73" xfId="6160" applyNumberFormat="1" applyFont="1" applyFill="1" applyBorder="1" applyAlignment="1">
      <alignment horizontal="center" vertical="center" wrapText="1"/>
    </xf>
    <xf numFmtId="2" fontId="186" fillId="0" borderId="73" xfId="0" applyNumberFormat="1" applyFont="1" applyFill="1" applyBorder="1" applyAlignment="1">
      <alignment horizontal="center" vertical="center" wrapText="1"/>
    </xf>
    <xf numFmtId="0" fontId="184" fillId="0" borderId="73" xfId="0" applyFont="1" applyFill="1" applyBorder="1" applyAlignment="1">
      <alignment horizontal="left" vertical="top" wrapText="1"/>
    </xf>
    <xf numFmtId="0" fontId="184" fillId="0" borderId="73" xfId="0" applyFont="1" applyFill="1" applyBorder="1" applyAlignment="1">
      <alignment horizontal="center" vertical="center" wrapText="1"/>
    </xf>
    <xf numFmtId="0" fontId="184" fillId="0" borderId="0" xfId="0" applyFont="1" applyFill="1"/>
    <xf numFmtId="0" fontId="167" fillId="0" borderId="0" xfId="0" applyFont="1" applyFill="1" applyAlignment="1">
      <alignment horizontal="center" vertical="center" wrapText="1"/>
    </xf>
    <xf numFmtId="2" fontId="88" fillId="0" borderId="73" xfId="0" applyNumberFormat="1" applyFont="1" applyFill="1" applyBorder="1" applyAlignment="1">
      <alignment horizontal="center" vertical="center" wrapText="1"/>
    </xf>
    <xf numFmtId="0" fontId="88" fillId="0" borderId="0" xfId="0" applyFont="1" applyFill="1" applyAlignment="1">
      <alignment wrapText="1"/>
    </xf>
    <xf numFmtId="0" fontId="88" fillId="0" borderId="0" xfId="0" applyFont="1" applyFill="1" applyAlignment="1">
      <alignment vertical="center"/>
    </xf>
    <xf numFmtId="0" fontId="169" fillId="32" borderId="0" xfId="0" applyFont="1" applyFill="1" applyBorder="1" applyAlignment="1">
      <alignment horizontal="center" vertical="center" wrapText="1"/>
    </xf>
    <xf numFmtId="0" fontId="95" fillId="0" borderId="0" xfId="0" applyFont="1" applyFill="1" applyAlignment="1">
      <alignment wrapText="1"/>
    </xf>
    <xf numFmtId="0" fontId="181" fillId="0" borderId="73" xfId="6160" applyFont="1" applyFill="1" applyBorder="1" applyAlignment="1">
      <alignment horizontal="center" vertical="center" wrapText="1"/>
    </xf>
    <xf numFmtId="2" fontId="182" fillId="0" borderId="73" xfId="0" applyNumberFormat="1" applyFont="1" applyFill="1" applyBorder="1" applyAlignment="1">
      <alignment horizontal="center" vertical="center" wrapText="1"/>
    </xf>
    <xf numFmtId="2" fontId="180" fillId="0" borderId="73" xfId="0" applyNumberFormat="1" applyFont="1" applyFill="1" applyBorder="1" applyAlignment="1">
      <alignment horizontal="center" vertical="center" wrapText="1"/>
    </xf>
    <xf numFmtId="0" fontId="187" fillId="0" borderId="0" xfId="0" applyFont="1" applyFill="1" applyAlignment="1">
      <alignment wrapText="1"/>
    </xf>
    <xf numFmtId="0" fontId="180" fillId="0" borderId="73" xfId="0" applyFont="1" applyFill="1" applyBorder="1" applyAlignment="1">
      <alignment horizontal="left" vertical="top" wrapText="1"/>
    </xf>
    <xf numFmtId="0" fontId="187" fillId="0" borderId="0" xfId="0" applyFont="1" applyFill="1"/>
    <xf numFmtId="0" fontId="180" fillId="0" borderId="73" xfId="0" quotePrefix="1" applyFont="1" applyFill="1" applyBorder="1" applyAlignment="1">
      <alignment horizontal="left" vertical="center" wrapText="1"/>
    </xf>
    <xf numFmtId="0" fontId="180" fillId="0" borderId="73" xfId="6160" applyFont="1" applyFill="1" applyBorder="1" applyAlignment="1">
      <alignment vertical="center" wrapText="1"/>
    </xf>
    <xf numFmtId="0" fontId="178" fillId="32" borderId="0" xfId="0" applyFont="1" applyFill="1" applyBorder="1" applyAlignment="1">
      <alignment horizontal="center" vertical="center" wrapText="1"/>
    </xf>
    <xf numFmtId="0" fontId="180" fillId="0" borderId="0" xfId="0" applyFont="1" applyFill="1" applyAlignment="1">
      <alignment wrapText="1"/>
    </xf>
    <xf numFmtId="2" fontId="182" fillId="0" borderId="73" xfId="6162" applyNumberFormat="1" applyFont="1" applyFill="1" applyBorder="1" applyAlignment="1">
      <alignment horizontal="center" vertical="center" wrapText="1"/>
    </xf>
    <xf numFmtId="0" fontId="88" fillId="0" borderId="73" xfId="0" applyFont="1" applyFill="1" applyBorder="1" applyAlignment="1">
      <alignment vertical="top" wrapText="1"/>
    </xf>
    <xf numFmtId="0" fontId="110" fillId="0" borderId="73" xfId="6160" applyFont="1" applyFill="1" applyBorder="1" applyAlignment="1">
      <alignment horizontal="center" vertical="center" wrapText="1"/>
    </xf>
    <xf numFmtId="0" fontId="175" fillId="0" borderId="73" xfId="0" applyFont="1" applyFill="1" applyBorder="1" applyAlignment="1">
      <alignment vertical="center" wrapText="1"/>
    </xf>
    <xf numFmtId="0" fontId="188" fillId="0" borderId="73" xfId="6160" applyFont="1" applyFill="1" applyBorder="1" applyAlignment="1">
      <alignment horizontal="center" vertical="center" wrapText="1"/>
    </xf>
    <xf numFmtId="2" fontId="175" fillId="0" borderId="73" xfId="0" applyNumberFormat="1" applyFont="1" applyFill="1" applyBorder="1" applyAlignment="1">
      <alignment horizontal="center" vertical="center" wrapText="1"/>
    </xf>
    <xf numFmtId="0" fontId="175" fillId="0" borderId="73" xfId="0" applyFont="1" applyFill="1" applyBorder="1" applyAlignment="1">
      <alignment vertical="top" wrapText="1"/>
    </xf>
    <xf numFmtId="0" fontId="175" fillId="0" borderId="73" xfId="0" applyFont="1" applyFill="1" applyBorder="1" applyAlignment="1">
      <alignment horizontal="center" vertical="center" wrapText="1"/>
    </xf>
    <xf numFmtId="0" fontId="175" fillId="0" borderId="0" xfId="0" applyFont="1" applyFill="1" applyAlignment="1">
      <alignment wrapText="1"/>
    </xf>
    <xf numFmtId="2" fontId="175" fillId="0" borderId="73" xfId="6176" applyNumberFormat="1" applyFont="1" applyFill="1" applyBorder="1" applyAlignment="1">
      <alignment horizontal="left" vertical="center" wrapText="1"/>
    </xf>
    <xf numFmtId="0" fontId="188" fillId="0" borderId="73" xfId="0" applyFont="1" applyFill="1" applyBorder="1" applyAlignment="1">
      <alignment horizontal="center" vertical="center" wrapText="1"/>
    </xf>
    <xf numFmtId="0" fontId="175" fillId="0" borderId="73" xfId="6160" applyFont="1" applyFill="1" applyBorder="1" applyAlignment="1">
      <alignment horizontal="center" vertical="center" wrapText="1"/>
    </xf>
    <xf numFmtId="0" fontId="175" fillId="0" borderId="73" xfId="6160" applyFont="1" applyFill="1" applyBorder="1" applyAlignment="1">
      <alignment vertical="center" wrapText="1"/>
    </xf>
    <xf numFmtId="0" fontId="188" fillId="0" borderId="0" xfId="0" applyFont="1" applyFill="1" applyAlignment="1">
      <alignment vertical="center" wrapText="1"/>
    </xf>
    <xf numFmtId="0" fontId="175" fillId="0" borderId="73" xfId="0" applyFont="1" applyFill="1" applyBorder="1" applyAlignment="1">
      <alignment horizontal="left" vertical="center" wrapText="1"/>
    </xf>
    <xf numFmtId="0" fontId="175" fillId="0" borderId="0" xfId="0" applyFont="1" applyFill="1"/>
    <xf numFmtId="0" fontId="175" fillId="0" borderId="73" xfId="6165" applyFont="1" applyFill="1" applyBorder="1" applyAlignment="1">
      <alignment horizontal="left" vertical="center" wrapText="1"/>
    </xf>
    <xf numFmtId="0" fontId="188" fillId="0" borderId="73" xfId="6165" applyFont="1" applyFill="1" applyBorder="1" applyAlignment="1">
      <alignment horizontal="center" vertical="center" wrapText="1"/>
    </xf>
    <xf numFmtId="0" fontId="88" fillId="0" borderId="73" xfId="0" quotePrefix="1" applyFont="1" applyFill="1" applyBorder="1" applyAlignment="1">
      <alignment horizontal="left" vertical="center" wrapText="1"/>
    </xf>
    <xf numFmtId="0" fontId="180" fillId="0" borderId="73" xfId="6162" applyFont="1" applyFill="1" applyBorder="1" applyAlignment="1">
      <alignment vertical="center" wrapText="1"/>
    </xf>
    <xf numFmtId="0" fontId="88" fillId="0" borderId="0" xfId="0" applyFont="1" applyFill="1" applyAlignment="1">
      <alignment vertical="center" wrapText="1"/>
    </xf>
    <xf numFmtId="2" fontId="189" fillId="0" borderId="73" xfId="0" applyNumberFormat="1" applyFont="1" applyFill="1" applyBorder="1" applyAlignment="1">
      <alignment horizontal="center" vertical="center" wrapText="1"/>
    </xf>
    <xf numFmtId="0" fontId="110" fillId="0" borderId="0" xfId="0" applyFont="1" applyFill="1" applyAlignment="1">
      <alignment vertical="center" wrapText="1"/>
    </xf>
    <xf numFmtId="0" fontId="175" fillId="0" borderId="73" xfId="0" applyFont="1" applyFill="1" applyBorder="1" applyAlignment="1">
      <alignment horizontal="left" vertical="top" wrapText="1"/>
    </xf>
    <xf numFmtId="0" fontId="175" fillId="0" borderId="0" xfId="0" applyFont="1" applyFill="1" applyAlignment="1">
      <alignment vertical="center" wrapText="1"/>
    </xf>
    <xf numFmtId="0" fontId="188" fillId="0" borderId="73" xfId="0" applyFont="1" applyFill="1" applyBorder="1" applyAlignment="1">
      <alignment vertical="center" wrapText="1"/>
    </xf>
    <xf numFmtId="2" fontId="188" fillId="0" borderId="73" xfId="6160" applyNumberFormat="1" applyFont="1" applyFill="1" applyBorder="1" applyAlignment="1">
      <alignment horizontal="center" vertical="center" wrapText="1"/>
    </xf>
    <xf numFmtId="2" fontId="188" fillId="0" borderId="73" xfId="0" applyNumberFormat="1" applyFont="1" applyFill="1" applyBorder="1" applyAlignment="1">
      <alignment horizontal="center" vertical="center" wrapText="1"/>
    </xf>
    <xf numFmtId="0" fontId="188" fillId="0" borderId="73" xfId="0" applyFont="1" applyFill="1" applyBorder="1" applyAlignment="1">
      <alignment horizontal="left" vertical="top" wrapText="1"/>
    </xf>
    <xf numFmtId="0" fontId="110" fillId="0" borderId="74" xfId="6160" applyFont="1" applyFill="1" applyBorder="1" applyAlignment="1">
      <alignment horizontal="center" vertical="center" wrapText="1"/>
    </xf>
    <xf numFmtId="0" fontId="175" fillId="0" borderId="74" xfId="6163" applyFont="1" applyFill="1" applyBorder="1" applyAlignment="1">
      <alignment vertical="center" wrapText="1"/>
    </xf>
    <xf numFmtId="0" fontId="188" fillId="0" borderId="74" xfId="0" applyFont="1" applyFill="1" applyBorder="1" applyAlignment="1">
      <alignment horizontal="center" vertical="center" wrapText="1"/>
    </xf>
    <xf numFmtId="0" fontId="175" fillId="0" borderId="74" xfId="6160" applyFont="1" applyFill="1" applyBorder="1" applyAlignment="1">
      <alignment vertical="center" wrapText="1"/>
    </xf>
    <xf numFmtId="0" fontId="110" fillId="0" borderId="36" xfId="6160" applyFont="1" applyFill="1" applyBorder="1" applyAlignment="1">
      <alignment horizontal="center" vertical="center" wrapText="1"/>
    </xf>
    <xf numFmtId="0" fontId="175" fillId="0" borderId="36" xfId="6163" applyFont="1" applyFill="1" applyBorder="1" applyAlignment="1">
      <alignment vertical="center" wrapText="1"/>
    </xf>
    <xf numFmtId="0" fontId="188" fillId="0" borderId="36" xfId="0" applyFont="1" applyFill="1" applyBorder="1" applyAlignment="1">
      <alignment horizontal="center" vertical="center" wrapText="1"/>
    </xf>
    <xf numFmtId="2" fontId="175" fillId="0" borderId="36" xfId="6160" applyNumberFormat="1" applyFont="1" applyFill="1" applyBorder="1" applyAlignment="1">
      <alignment horizontal="center" vertical="center" wrapText="1"/>
    </xf>
    <xf numFmtId="0" fontId="175" fillId="0" borderId="36" xfId="6160" applyFont="1" applyFill="1" applyBorder="1" applyAlignment="1">
      <alignment vertical="center" wrapText="1"/>
    </xf>
    <xf numFmtId="0" fontId="175" fillId="0" borderId="36" xfId="6160" applyFont="1" applyFill="1" applyBorder="1" applyAlignment="1">
      <alignment horizontal="center" vertical="center" wrapText="1"/>
    </xf>
    <xf numFmtId="0" fontId="75" fillId="0" borderId="36" xfId="0" applyFont="1" applyFill="1" applyBorder="1" applyAlignment="1">
      <alignment horizontal="center" vertical="center" wrapText="1"/>
    </xf>
    <xf numFmtId="2" fontId="88" fillId="0" borderId="36" xfId="0" applyNumberFormat="1" applyFont="1" applyFill="1" applyBorder="1" applyAlignment="1">
      <alignment horizontal="center" vertical="center" wrapText="1"/>
    </xf>
    <xf numFmtId="2" fontId="88" fillId="0" borderId="67" xfId="0" applyNumberFormat="1" applyFont="1" applyFill="1" applyBorder="1" applyAlignment="1">
      <alignment horizontal="center" vertical="center" wrapText="1"/>
    </xf>
    <xf numFmtId="0" fontId="75" fillId="0" borderId="74" xfId="0" applyFont="1" applyFill="1" applyBorder="1" applyAlignment="1">
      <alignment horizontal="center" vertical="center" wrapText="1"/>
    </xf>
    <xf numFmtId="0" fontId="95" fillId="36" borderId="121" xfId="0" applyFont="1" applyFill="1" applyBorder="1"/>
    <xf numFmtId="0" fontId="95" fillId="36" borderId="121" xfId="0" applyFont="1" applyFill="1" applyBorder="1" applyAlignment="1">
      <alignment horizontal="center"/>
    </xf>
    <xf numFmtId="0" fontId="169" fillId="32" borderId="0" xfId="0" applyFont="1" applyFill="1" applyAlignment="1">
      <alignment horizontal="center" vertical="center" wrapText="1"/>
    </xf>
    <xf numFmtId="0" fontId="95" fillId="0" borderId="0" xfId="0" applyFont="1" applyFill="1"/>
    <xf numFmtId="0" fontId="75" fillId="0" borderId="67" xfId="2825" applyFont="1" applyFill="1" applyBorder="1" applyAlignment="1">
      <alignment horizontal="left" vertical="center" wrapText="1"/>
    </xf>
    <xf numFmtId="0" fontId="130" fillId="0" borderId="73" xfId="0" applyFont="1" applyFill="1" applyBorder="1" applyAlignment="1">
      <alignment horizontal="left" vertical="center" wrapText="1"/>
    </xf>
    <xf numFmtId="0" fontId="130" fillId="0" borderId="73" xfId="0" applyFont="1" applyFill="1" applyBorder="1" applyAlignment="1">
      <alignment horizontal="center" vertical="center"/>
    </xf>
    <xf numFmtId="0" fontId="130" fillId="0" borderId="73" xfId="0" applyFont="1" applyFill="1" applyBorder="1" applyAlignment="1">
      <alignment horizontal="justify" vertical="top"/>
    </xf>
    <xf numFmtId="0" fontId="190" fillId="0" borderId="0" xfId="0" applyFont="1" applyFill="1" applyAlignment="1">
      <alignment vertical="center" wrapText="1"/>
    </xf>
    <xf numFmtId="0" fontId="88" fillId="0" borderId="74" xfId="0" quotePrefix="1" applyFont="1" applyFill="1" applyBorder="1" applyAlignment="1">
      <alignment horizontal="left" vertical="center" wrapText="1"/>
    </xf>
    <xf numFmtId="0" fontId="170" fillId="0" borderId="74" xfId="0" applyFont="1" applyFill="1" applyBorder="1" applyAlignment="1">
      <alignment horizontal="center" vertical="center" wrapText="1"/>
    </xf>
    <xf numFmtId="2" fontId="88" fillId="36" borderId="121" xfId="0" applyNumberFormat="1" applyFont="1" applyFill="1" applyBorder="1" applyAlignment="1">
      <alignment horizontal="center" vertical="center" wrapText="1"/>
    </xf>
    <xf numFmtId="0" fontId="95" fillId="32" borderId="0" xfId="0" applyFont="1" applyFill="1" applyAlignment="1">
      <alignment wrapText="1"/>
    </xf>
    <xf numFmtId="0" fontId="88" fillId="32" borderId="115" xfId="6160" applyFont="1" applyFill="1" applyBorder="1" applyAlignment="1">
      <alignment horizontal="center" vertical="center" wrapText="1"/>
    </xf>
    <xf numFmtId="0" fontId="88" fillId="32" borderId="115" xfId="0" applyFont="1" applyFill="1" applyBorder="1" applyAlignment="1">
      <alignment vertical="center" wrapText="1"/>
    </xf>
    <xf numFmtId="0" fontId="75" fillId="32" borderId="122" xfId="0" applyFont="1" applyFill="1" applyBorder="1" applyAlignment="1">
      <alignment horizontal="center" vertical="center" wrapText="1"/>
    </xf>
    <xf numFmtId="2" fontId="88" fillId="32" borderId="115" xfId="6160" applyNumberFormat="1" applyFont="1" applyFill="1" applyBorder="1" applyAlignment="1">
      <alignment horizontal="center" vertical="center" wrapText="1"/>
    </xf>
    <xf numFmtId="2" fontId="88" fillId="32" borderId="115" xfId="0" applyNumberFormat="1" applyFont="1" applyFill="1" applyBorder="1" applyAlignment="1">
      <alignment horizontal="center" vertical="center" wrapText="1"/>
    </xf>
    <xf numFmtId="0" fontId="88" fillId="32" borderId="115" xfId="0" applyFont="1" applyFill="1" applyBorder="1" applyAlignment="1">
      <alignment horizontal="center" vertical="center" wrapText="1"/>
    </xf>
    <xf numFmtId="0" fontId="88" fillId="32" borderId="0" xfId="0" applyFont="1" applyFill="1" applyAlignment="1">
      <alignment wrapText="1"/>
    </xf>
    <xf numFmtId="0" fontId="88" fillId="32" borderId="104" xfId="6160" applyFont="1" applyFill="1" applyBorder="1" applyAlignment="1">
      <alignment horizontal="center" vertical="center" wrapText="1"/>
    </xf>
    <xf numFmtId="0" fontId="88" fillId="32" borderId="104" xfId="0" applyFont="1" applyFill="1" applyBorder="1" applyAlignment="1">
      <alignment vertical="center" wrapText="1"/>
    </xf>
    <xf numFmtId="0" fontId="75" fillId="32" borderId="36" xfId="0" applyFont="1" applyFill="1" applyBorder="1" applyAlignment="1">
      <alignment horizontal="center" vertical="center" wrapText="1"/>
    </xf>
    <xf numFmtId="2" fontId="88" fillId="32" borderId="104" xfId="6160" applyNumberFormat="1" applyFont="1" applyFill="1" applyBorder="1" applyAlignment="1">
      <alignment horizontal="center" vertical="center" wrapText="1"/>
    </xf>
    <xf numFmtId="2" fontId="88" fillId="32" borderId="104" xfId="0" applyNumberFormat="1" applyFont="1" applyFill="1" applyBorder="1" applyAlignment="1">
      <alignment horizontal="center" vertical="center" wrapText="1"/>
    </xf>
    <xf numFmtId="0" fontId="88" fillId="32" borderId="104" xfId="0" applyFont="1" applyFill="1" applyBorder="1" applyAlignment="1">
      <alignment horizontal="center" vertical="center" wrapText="1"/>
    </xf>
    <xf numFmtId="2" fontId="88" fillId="0" borderId="74" xfId="0" applyNumberFormat="1" applyFont="1" applyFill="1" applyBorder="1" applyAlignment="1">
      <alignment horizontal="center" vertical="center" wrapText="1"/>
    </xf>
    <xf numFmtId="0" fontId="75" fillId="0" borderId="0" xfId="0" applyFont="1" applyFill="1"/>
    <xf numFmtId="0" fontId="191" fillId="0" borderId="73" xfId="6160" applyFont="1" applyFill="1" applyBorder="1" applyAlignment="1">
      <alignment horizontal="center" vertical="center" wrapText="1"/>
    </xf>
    <xf numFmtId="0" fontId="185" fillId="0" borderId="73" xfId="0" applyFont="1" applyFill="1" applyBorder="1" applyAlignment="1">
      <alignment horizontal="center" vertical="center" wrapText="1"/>
    </xf>
    <xf numFmtId="2" fontId="185" fillId="0" borderId="73" xfId="6160" applyNumberFormat="1" applyFont="1" applyFill="1" applyBorder="1" applyAlignment="1">
      <alignment horizontal="center" vertical="center" wrapText="1"/>
    </xf>
    <xf numFmtId="0" fontId="185" fillId="0" borderId="0" xfId="0" applyFont="1" applyFill="1"/>
    <xf numFmtId="0" fontId="75" fillId="0" borderId="73" xfId="2825" applyFont="1" applyFill="1" applyBorder="1" applyAlignment="1">
      <alignment horizontal="left" vertical="top" wrapText="1"/>
    </xf>
    <xf numFmtId="0" fontId="185" fillId="0" borderId="73" xfId="2825" applyFont="1" applyFill="1" applyBorder="1" applyAlignment="1">
      <alignment horizontal="left" vertical="top" wrapText="1"/>
    </xf>
    <xf numFmtId="2" fontId="99" fillId="0" borderId="73" xfId="6160" applyNumberFormat="1" applyFont="1" applyFill="1" applyBorder="1" applyAlignment="1">
      <alignment horizontal="center" vertical="center" wrapText="1"/>
    </xf>
    <xf numFmtId="2" fontId="192" fillId="0" borderId="73" xfId="6160" applyNumberFormat="1" applyFont="1" applyFill="1" applyBorder="1" applyAlignment="1">
      <alignment horizontal="center" vertical="center" wrapText="1"/>
    </xf>
    <xf numFmtId="0" fontId="184" fillId="0" borderId="73" xfId="0" quotePrefix="1" applyFont="1" applyFill="1" applyBorder="1" applyAlignment="1">
      <alignment vertical="top" wrapText="1"/>
    </xf>
    <xf numFmtId="0" fontId="186" fillId="0" borderId="73" xfId="0" applyFont="1" applyFill="1" applyBorder="1" applyAlignment="1">
      <alignment horizontal="center" vertical="center" wrapText="1"/>
    </xf>
    <xf numFmtId="43" fontId="88" fillId="0" borderId="74" xfId="0" applyNumberFormat="1" applyFont="1" applyFill="1" applyBorder="1" applyAlignment="1">
      <alignment vertical="center" wrapText="1"/>
    </xf>
    <xf numFmtId="43" fontId="88" fillId="0" borderId="74" xfId="0" applyNumberFormat="1" applyFont="1" applyFill="1" applyBorder="1" applyAlignment="1">
      <alignment horizontal="center" vertical="center" wrapText="1"/>
    </xf>
    <xf numFmtId="43" fontId="88" fillId="0" borderId="0" xfId="0" applyNumberFormat="1" applyFont="1" applyFill="1"/>
    <xf numFmtId="0" fontId="75" fillId="36" borderId="121" xfId="0" applyFont="1" applyFill="1" applyBorder="1" applyAlignment="1">
      <alignment horizontal="center" vertical="center" wrapText="1"/>
    </xf>
    <xf numFmtId="0" fontId="88" fillId="36" borderId="121" xfId="0" applyFont="1" applyFill="1" applyBorder="1" applyAlignment="1">
      <alignment vertical="center" wrapText="1"/>
    </xf>
    <xf numFmtId="0" fontId="88" fillId="0" borderId="104" xfId="6160" applyFont="1" applyFill="1" applyBorder="1" applyAlignment="1">
      <alignment horizontal="center" vertical="center" wrapText="1"/>
    </xf>
    <xf numFmtId="0" fontId="88" fillId="0" borderId="104" xfId="0" applyFont="1" applyFill="1" applyBorder="1" applyAlignment="1">
      <alignment vertical="center" wrapText="1"/>
    </xf>
    <xf numFmtId="0" fontId="75" fillId="0" borderId="104" xfId="0" applyFont="1" applyFill="1" applyBorder="1" applyAlignment="1">
      <alignment horizontal="center" vertical="center" wrapText="1"/>
    </xf>
    <xf numFmtId="0" fontId="75" fillId="0" borderId="115" xfId="0" applyFont="1" applyFill="1" applyBorder="1" applyAlignment="1">
      <alignment horizontal="center" vertical="center" wrapText="1"/>
    </xf>
    <xf numFmtId="0" fontId="130" fillId="0" borderId="74" xfId="0" applyFont="1" applyFill="1" applyBorder="1" applyAlignment="1">
      <alignment vertical="center" wrapText="1"/>
    </xf>
    <xf numFmtId="2" fontId="130" fillId="0" borderId="74" xfId="6162" applyNumberFormat="1" applyFont="1" applyFill="1" applyBorder="1" applyAlignment="1">
      <alignment horizontal="center" vertical="center" wrapText="1"/>
    </xf>
    <xf numFmtId="2" fontId="130" fillId="0" borderId="74" xfId="0" applyNumberFormat="1" applyFont="1" applyFill="1" applyBorder="1" applyAlignment="1">
      <alignment horizontal="center" vertical="center" wrapText="1"/>
    </xf>
    <xf numFmtId="0" fontId="130" fillId="0" borderId="74" xfId="0" applyFont="1" applyFill="1" applyBorder="1" applyAlignment="1">
      <alignment horizontal="center" vertical="center"/>
    </xf>
    <xf numFmtId="0" fontId="130" fillId="0" borderId="74" xfId="0" applyFont="1" applyFill="1" applyBorder="1" applyAlignment="1">
      <alignment horizontal="left" vertical="top" wrapText="1"/>
    </xf>
    <xf numFmtId="0" fontId="130" fillId="0" borderId="104" xfId="0" applyFont="1" applyFill="1" applyBorder="1" applyAlignment="1">
      <alignment vertical="center" wrapText="1"/>
    </xf>
    <xf numFmtId="2" fontId="130" fillId="0" borderId="104" xfId="6162" applyNumberFormat="1" applyFont="1" applyFill="1" applyBorder="1" applyAlignment="1">
      <alignment horizontal="center" vertical="center" wrapText="1"/>
    </xf>
    <xf numFmtId="2" fontId="130" fillId="0" borderId="104" xfId="0" applyNumberFormat="1" applyFont="1" applyFill="1" applyBorder="1" applyAlignment="1">
      <alignment horizontal="center" vertical="center" wrapText="1"/>
    </xf>
    <xf numFmtId="0" fontId="130" fillId="0" borderId="104" xfId="0" applyFont="1" applyFill="1" applyBorder="1" applyAlignment="1">
      <alignment horizontal="center" vertical="center"/>
    </xf>
    <xf numFmtId="0" fontId="130" fillId="0" borderId="104" xfId="0" applyFont="1" applyFill="1" applyBorder="1" applyAlignment="1">
      <alignment horizontal="left" vertical="top" wrapText="1"/>
    </xf>
    <xf numFmtId="0" fontId="88" fillId="0" borderId="104" xfId="0" applyFont="1" applyFill="1" applyBorder="1" applyAlignment="1">
      <alignment horizontal="center" vertical="center" wrapText="1"/>
    </xf>
    <xf numFmtId="0" fontId="170" fillId="0" borderId="73" xfId="0" applyFont="1" applyFill="1" applyBorder="1" applyAlignment="1">
      <alignment horizontal="center" vertical="center" wrapText="1"/>
    </xf>
    <xf numFmtId="0" fontId="88" fillId="0" borderId="73" xfId="6165" applyFont="1" applyFill="1" applyBorder="1" applyAlignment="1">
      <alignment horizontal="left" vertical="center" wrapText="1"/>
    </xf>
    <xf numFmtId="0" fontId="167" fillId="0" borderId="0" xfId="0" applyFont="1" applyFill="1" applyBorder="1" applyAlignment="1">
      <alignment horizontal="center" vertical="center" wrapText="1"/>
    </xf>
    <xf numFmtId="43" fontId="88" fillId="0" borderId="73" xfId="0" applyNumberFormat="1" applyFont="1" applyFill="1" applyBorder="1" applyAlignment="1">
      <alignment vertical="center" wrapText="1"/>
    </xf>
    <xf numFmtId="49" fontId="88" fillId="0" borderId="73" xfId="0" applyNumberFormat="1" applyFont="1" applyFill="1" applyBorder="1" applyAlignment="1">
      <alignment horizontal="left" vertical="center" wrapText="1"/>
    </xf>
    <xf numFmtId="49" fontId="88" fillId="0" borderId="73" xfId="0" applyNumberFormat="1" applyFont="1" applyFill="1" applyBorder="1" applyAlignment="1">
      <alignment horizontal="center" vertical="center" wrapText="1"/>
    </xf>
    <xf numFmtId="43" fontId="75" fillId="0" borderId="73" xfId="6160" applyNumberFormat="1" applyFont="1" applyFill="1" applyBorder="1" applyAlignment="1">
      <alignment horizontal="center" vertical="center" wrapText="1"/>
    </xf>
    <xf numFmtId="43" fontId="75" fillId="0" borderId="73" xfId="0" applyNumberFormat="1" applyFont="1" applyFill="1" applyBorder="1" applyAlignment="1">
      <alignment horizontal="left" vertical="center" wrapText="1"/>
    </xf>
    <xf numFmtId="43" fontId="75" fillId="0" borderId="73" xfId="0" applyNumberFormat="1" applyFont="1" applyFill="1" applyBorder="1" applyAlignment="1">
      <alignment horizontal="center" vertical="center" wrapText="1"/>
    </xf>
    <xf numFmtId="43" fontId="6" fillId="0" borderId="0" xfId="0" applyNumberFormat="1" applyFont="1" applyFill="1"/>
    <xf numFmtId="43" fontId="95" fillId="0" borderId="73" xfId="6165" applyNumberFormat="1" applyFont="1" applyFill="1" applyBorder="1" applyAlignment="1">
      <alignment horizontal="left" vertical="center" wrapText="1"/>
    </xf>
    <xf numFmtId="2" fontId="88" fillId="0" borderId="73" xfId="0" applyNumberFormat="1" applyFont="1" applyFill="1" applyBorder="1" applyAlignment="1">
      <alignment horizontal="center" vertical="center"/>
    </xf>
    <xf numFmtId="0" fontId="3" fillId="0" borderId="0" xfId="0" applyFont="1" applyFill="1"/>
    <xf numFmtId="2" fontId="95" fillId="36" borderId="121" xfId="0" applyNumberFormat="1" applyFont="1" applyFill="1" applyBorder="1" applyAlignment="1">
      <alignment horizontal="center" vertical="center"/>
    </xf>
    <xf numFmtId="2" fontId="88" fillId="0" borderId="67" xfId="0" applyNumberFormat="1" applyFont="1" applyFill="1" applyBorder="1" applyAlignment="1">
      <alignment horizontal="center" vertical="center"/>
    </xf>
    <xf numFmtId="0" fontId="95" fillId="0" borderId="0" xfId="0" applyFont="1" applyFill="1" applyAlignment="1">
      <alignment vertical="center"/>
    </xf>
    <xf numFmtId="0" fontId="88" fillId="0" borderId="123" xfId="6160" applyFont="1" applyFill="1" applyBorder="1" applyAlignment="1">
      <alignment horizontal="center" vertical="center" wrapText="1"/>
    </xf>
    <xf numFmtId="0" fontId="88" fillId="0" borderId="123" xfId="0" applyFont="1" applyFill="1" applyBorder="1" applyAlignment="1">
      <alignment vertical="center" wrapText="1"/>
    </xf>
    <xf numFmtId="0" fontId="75" fillId="0" borderId="123" xfId="0" applyFont="1" applyFill="1" applyBorder="1" applyAlignment="1">
      <alignment horizontal="center" vertical="center" wrapText="1"/>
    </xf>
    <xf numFmtId="2" fontId="88" fillId="0" borderId="123" xfId="0" applyNumberFormat="1" applyFont="1" applyFill="1" applyBorder="1" applyAlignment="1">
      <alignment horizontal="center" vertical="center"/>
    </xf>
    <xf numFmtId="2" fontId="88" fillId="0" borderId="123" xfId="0" applyNumberFormat="1" applyFont="1" applyFill="1" applyBorder="1" applyAlignment="1">
      <alignment horizontal="center" vertical="center" wrapText="1"/>
    </xf>
    <xf numFmtId="0" fontId="88" fillId="0" borderId="123" xfId="0" applyFont="1" applyFill="1" applyBorder="1" applyAlignment="1">
      <alignment horizontal="center" vertical="center" wrapText="1"/>
    </xf>
    <xf numFmtId="0" fontId="88" fillId="0" borderId="0" xfId="0" applyFont="1" applyFill="1" applyBorder="1"/>
    <xf numFmtId="0" fontId="88" fillId="0" borderId="0" xfId="0" applyFont="1" applyFill="1" applyBorder="1" applyAlignment="1">
      <alignment horizontal="center"/>
    </xf>
    <xf numFmtId="0" fontId="193" fillId="32" borderId="0" xfId="0" applyFont="1" applyFill="1"/>
    <xf numFmtId="0" fontId="88" fillId="0" borderId="0" xfId="0" applyFont="1" applyFill="1" applyAlignment="1">
      <alignment horizontal="center" vertical="center"/>
    </xf>
    <xf numFmtId="0" fontId="75" fillId="0" borderId="0" xfId="0" applyFont="1" applyFill="1" applyAlignment="1">
      <alignment horizontal="center"/>
    </xf>
    <xf numFmtId="0" fontId="88" fillId="0" borderId="0" xfId="0" applyFont="1" applyFill="1" applyAlignment="1">
      <alignment horizontal="center" wrapText="1"/>
    </xf>
    <xf numFmtId="0" fontId="168" fillId="0" borderId="0" xfId="0" applyFont="1" applyFill="1" applyAlignment="1">
      <alignment horizontal="center" vertical="center"/>
    </xf>
    <xf numFmtId="0" fontId="6" fillId="0" borderId="0" xfId="0" applyFont="1" applyFill="1" applyAlignment="1">
      <alignment horizontal="center"/>
    </xf>
    <xf numFmtId="0" fontId="168" fillId="0" borderId="0" xfId="0" applyFont="1" applyFill="1" applyAlignment="1">
      <alignment horizontal="center"/>
    </xf>
    <xf numFmtId="0" fontId="168" fillId="0" borderId="0" xfId="0" applyFont="1" applyFill="1" applyAlignment="1">
      <alignment horizontal="center" wrapText="1"/>
    </xf>
    <xf numFmtId="0" fontId="94" fillId="0" borderId="0" xfId="0" applyFont="1" applyAlignment="1">
      <alignment horizontal="center"/>
    </xf>
    <xf numFmtId="0" fontId="96" fillId="0" borderId="0" xfId="6160" applyFont="1" applyFill="1" applyAlignment="1">
      <alignment horizontal="center"/>
    </xf>
    <xf numFmtId="0" fontId="98" fillId="0" borderId="115" xfId="6160" applyFont="1" applyFill="1" applyBorder="1" applyAlignment="1">
      <alignment horizontal="center" vertical="center" wrapText="1"/>
    </xf>
    <xf numFmtId="0" fontId="98" fillId="0" borderId="36" xfId="6160" applyFont="1" applyFill="1" applyBorder="1" applyAlignment="1">
      <alignment horizontal="center" vertical="center" wrapText="1"/>
    </xf>
    <xf numFmtId="0" fontId="98" fillId="0" borderId="38" xfId="6160" applyFont="1" applyFill="1" applyBorder="1" applyAlignment="1">
      <alignment horizontal="center" vertical="center" wrapText="1"/>
    </xf>
    <xf numFmtId="0" fontId="95" fillId="0" borderId="115" xfId="6160" applyFont="1" applyFill="1" applyBorder="1" applyAlignment="1">
      <alignment horizontal="center" vertical="center" wrapText="1"/>
    </xf>
    <xf numFmtId="0" fontId="95" fillId="0" borderId="36" xfId="6160" applyFont="1" applyFill="1" applyBorder="1" applyAlignment="1">
      <alignment horizontal="center" vertical="center" wrapText="1"/>
    </xf>
    <xf numFmtId="0" fontId="95" fillId="0" borderId="38" xfId="6160" applyFont="1" applyFill="1" applyBorder="1" applyAlignment="1">
      <alignment horizontal="center" vertical="center" wrapText="1"/>
    </xf>
    <xf numFmtId="0" fontId="95" fillId="0" borderId="115" xfId="0" applyFont="1" applyFill="1" applyBorder="1" applyAlignment="1">
      <alignment horizontal="center" vertical="center" wrapText="1"/>
    </xf>
    <xf numFmtId="0" fontId="95" fillId="0" borderId="36" xfId="0" applyFont="1" applyFill="1" applyBorder="1" applyAlignment="1">
      <alignment horizontal="center" vertical="center" wrapText="1"/>
    </xf>
    <xf numFmtId="0" fontId="95" fillId="0" borderId="38" xfId="0" applyFont="1" applyFill="1" applyBorder="1" applyAlignment="1">
      <alignment horizontal="center" vertical="center" wrapText="1"/>
    </xf>
    <xf numFmtId="0" fontId="98" fillId="0" borderId="115" xfId="0" applyFont="1" applyFill="1" applyBorder="1" applyAlignment="1">
      <alignment horizontal="center" vertical="center" wrapText="1"/>
    </xf>
    <xf numFmtId="0" fontId="98" fillId="0" borderId="36" xfId="0" applyFont="1" applyFill="1" applyBorder="1" applyAlignment="1">
      <alignment horizontal="center" vertical="center" wrapText="1"/>
    </xf>
    <xf numFmtId="0" fontId="98" fillId="0" borderId="38" xfId="0" applyFont="1" applyFill="1" applyBorder="1" applyAlignment="1">
      <alignment horizontal="center" vertical="center" wrapText="1"/>
    </xf>
    <xf numFmtId="0" fontId="95" fillId="0" borderId="115" xfId="6161" applyFont="1" applyFill="1" applyBorder="1" applyAlignment="1">
      <alignment horizontal="center" vertical="center" wrapText="1"/>
    </xf>
    <xf numFmtId="0" fontId="95" fillId="0" borderId="36" xfId="6161" applyFont="1" applyFill="1" applyBorder="1" applyAlignment="1">
      <alignment horizontal="center" vertical="center" wrapText="1"/>
    </xf>
    <xf numFmtId="0" fontId="95" fillId="0" borderId="38" xfId="6161" applyFont="1" applyFill="1" applyBorder="1" applyAlignment="1">
      <alignment horizontal="center" vertical="center" wrapText="1"/>
    </xf>
    <xf numFmtId="0" fontId="95" fillId="0" borderId="116" xfId="6160" applyFont="1" applyFill="1" applyBorder="1" applyAlignment="1">
      <alignment horizontal="center" vertical="center" wrapText="1"/>
    </xf>
    <xf numFmtId="0" fontId="95" fillId="0" borderId="71" xfId="6160" applyFont="1" applyFill="1" applyBorder="1" applyAlignment="1">
      <alignment horizontal="center" vertical="center" wrapText="1"/>
    </xf>
    <xf numFmtId="0" fontId="95" fillId="0" borderId="119" xfId="6160" applyFont="1" applyFill="1" applyBorder="1" applyAlignment="1">
      <alignment horizontal="center" vertical="center" wrapText="1"/>
    </xf>
    <xf numFmtId="0" fontId="95" fillId="0" borderId="117" xfId="0" applyFont="1" applyFill="1" applyBorder="1" applyAlignment="1">
      <alignment horizontal="center" vertical="center" wrapText="1"/>
    </xf>
    <xf numFmtId="0" fontId="95" fillId="0" borderId="118" xfId="0" applyFont="1" applyFill="1" applyBorder="1" applyAlignment="1">
      <alignment horizontal="center" vertical="center" wrapText="1"/>
    </xf>
    <xf numFmtId="0" fontId="95" fillId="0" borderId="120" xfId="0" applyFont="1" applyFill="1" applyBorder="1" applyAlignment="1">
      <alignment horizontal="center" vertical="center" wrapText="1"/>
    </xf>
    <xf numFmtId="0" fontId="98" fillId="0" borderId="17" xfId="0" applyFont="1" applyBorder="1" applyAlignment="1">
      <alignment horizontal="center" vertical="center" wrapText="1"/>
    </xf>
    <xf numFmtId="0" fontId="132" fillId="0" borderId="0" xfId="0" applyFont="1"/>
    <xf numFmtId="0" fontId="131" fillId="0" borderId="0" xfId="0" applyFont="1" applyAlignment="1">
      <alignment horizontal="center"/>
    </xf>
    <xf numFmtId="0" fontId="100" fillId="0" borderId="24" xfId="0" applyFont="1" applyBorder="1" applyAlignment="1">
      <alignment horizontal="right"/>
    </xf>
    <xf numFmtId="0" fontId="94" fillId="0" borderId="17" xfId="0" applyFont="1" applyBorder="1" applyAlignment="1">
      <alignment horizontal="center" vertical="center" wrapText="1"/>
    </xf>
    <xf numFmtId="0" fontId="75" fillId="0" borderId="17" xfId="0" applyFont="1" applyBorder="1" applyAlignment="1">
      <alignment horizontal="center" vertical="center" wrapText="1"/>
    </xf>
    <xf numFmtId="0" fontId="101" fillId="0" borderId="0" xfId="0" applyFont="1"/>
    <xf numFmtId="0" fontId="96" fillId="0" borderId="0" xfId="0" applyFont="1" applyAlignment="1">
      <alignment horizontal="center"/>
    </xf>
    <xf numFmtId="0" fontId="102" fillId="0" borderId="17" xfId="0" applyFont="1" applyBorder="1" applyAlignment="1">
      <alignment horizontal="center" vertical="center" wrapText="1"/>
    </xf>
    <xf numFmtId="0" fontId="97" fillId="0" borderId="0" xfId="0" applyFont="1"/>
    <xf numFmtId="43" fontId="28" fillId="0" borderId="83" xfId="0" applyNumberFormat="1" applyFont="1" applyFill="1" applyBorder="1" applyAlignment="1">
      <alignment horizontal="center" vertical="center" wrapText="1"/>
    </xf>
    <xf numFmtId="43" fontId="28" fillId="0" borderId="85" xfId="0" applyNumberFormat="1" applyFont="1" applyFill="1" applyBorder="1" applyAlignment="1">
      <alignment horizontal="center" vertical="center" wrapText="1"/>
    </xf>
    <xf numFmtId="0" fontId="130" fillId="0" borderId="80" xfId="0" applyFont="1" applyBorder="1" applyAlignment="1">
      <alignment horizontal="center"/>
    </xf>
    <xf numFmtId="0" fontId="0" fillId="0" borderId="80" xfId="0" applyBorder="1" applyAlignment="1">
      <alignment horizontal="center"/>
    </xf>
    <xf numFmtId="43" fontId="140" fillId="0" borderId="81" xfId="0" applyNumberFormat="1" applyFont="1" applyFill="1" applyBorder="1" applyAlignment="1">
      <alignment horizontal="center" vertical="center"/>
    </xf>
    <xf numFmtId="43" fontId="140" fillId="0" borderId="84" xfId="0" applyNumberFormat="1" applyFont="1" applyFill="1" applyBorder="1" applyAlignment="1">
      <alignment horizontal="center" vertical="center"/>
    </xf>
    <xf numFmtId="43" fontId="140" fillId="0" borderId="82" xfId="0" applyNumberFormat="1" applyFont="1" applyFill="1" applyBorder="1" applyAlignment="1">
      <alignment horizontal="center" vertical="center"/>
    </xf>
    <xf numFmtId="43" fontId="140" fillId="0" borderId="12" xfId="0" applyNumberFormat="1" applyFont="1" applyFill="1" applyBorder="1" applyAlignment="1">
      <alignment horizontal="center" vertical="center"/>
    </xf>
    <xf numFmtId="43" fontId="28" fillId="0" borderId="82" xfId="0" applyNumberFormat="1" applyFont="1" applyFill="1" applyBorder="1" applyAlignment="1">
      <alignment horizontal="center" vertical="center"/>
    </xf>
    <xf numFmtId="43" fontId="28" fillId="0" borderId="12" xfId="0" applyNumberFormat="1" applyFont="1" applyFill="1" applyBorder="1" applyAlignment="1">
      <alignment horizontal="center" vertical="center"/>
    </xf>
    <xf numFmtId="43" fontId="28" fillId="0" borderId="100" xfId="0" applyNumberFormat="1" applyFont="1" applyFill="1" applyBorder="1" applyAlignment="1">
      <alignment horizontal="center" vertical="center" wrapText="1"/>
    </xf>
    <xf numFmtId="43" fontId="28" fillId="0" borderId="101" xfId="0" applyNumberFormat="1" applyFont="1" applyFill="1" applyBorder="1" applyAlignment="1">
      <alignment horizontal="center" vertical="center" wrapText="1"/>
    </xf>
    <xf numFmtId="43" fontId="28" fillId="0" borderId="82" xfId="0" applyNumberFormat="1" applyFont="1" applyFill="1" applyBorder="1" applyAlignment="1">
      <alignment horizontal="center" vertical="center" wrapText="1"/>
    </xf>
    <xf numFmtId="43" fontId="28" fillId="0" borderId="12" xfId="0" applyNumberFormat="1" applyFont="1" applyFill="1" applyBorder="1" applyAlignment="1">
      <alignment horizontal="center" vertical="center" wrapText="1"/>
    </xf>
    <xf numFmtId="0" fontId="88" fillId="0" borderId="0" xfId="0" applyFont="1"/>
    <xf numFmtId="0" fontId="0" fillId="0" borderId="0" xfId="0"/>
    <xf numFmtId="0" fontId="99" fillId="0" borderId="17" xfId="0" applyFont="1" applyBorder="1" applyAlignment="1">
      <alignment horizontal="center" vertical="center" wrapText="1"/>
    </xf>
    <xf numFmtId="0" fontId="0" fillId="0" borderId="0" xfId="0" applyAlignment="1">
      <alignment horizontal="center"/>
    </xf>
    <xf numFmtId="0" fontId="75" fillId="0" borderId="0" xfId="0" applyFont="1"/>
    <xf numFmtId="0" fontId="94" fillId="0" borderId="0" xfId="0" applyFont="1" applyBorder="1" applyAlignment="1">
      <alignment horizontal="center" vertical="center" wrapText="1"/>
    </xf>
    <xf numFmtId="0" fontId="0" fillId="0" borderId="34" xfId="0" applyBorder="1" applyAlignment="1">
      <alignment horizontal="center"/>
    </xf>
    <xf numFmtId="0" fontId="5" fillId="0" borderId="0" xfId="0" applyFont="1" applyAlignment="1">
      <alignment horizontal="center" vertical="center" wrapText="1"/>
    </xf>
    <xf numFmtId="0" fontId="0" fillId="0" borderId="0" xfId="0" applyAlignment="1">
      <alignment horizontal="center" vertical="center" wrapText="1"/>
    </xf>
    <xf numFmtId="0" fontId="98" fillId="0" borderId="0" xfId="0" applyFont="1"/>
    <xf numFmtId="0" fontId="28" fillId="0" borderId="17" xfId="0" applyFont="1" applyBorder="1" applyAlignment="1">
      <alignment horizontal="center" vertical="center" wrapText="1"/>
    </xf>
    <xf numFmtId="0" fontId="28" fillId="0" borderId="110" xfId="0" applyFont="1" applyBorder="1" applyAlignment="1">
      <alignment horizontal="center" vertical="center" wrapText="1"/>
    </xf>
    <xf numFmtId="0" fontId="28" fillId="0" borderId="111" xfId="0" applyFont="1" applyBorder="1" applyAlignment="1">
      <alignment horizontal="center" vertical="center" wrapText="1"/>
    </xf>
    <xf numFmtId="0" fontId="28" fillId="0" borderId="112" xfId="0" applyFont="1" applyBorder="1" applyAlignment="1">
      <alignment horizontal="center" vertical="center" wrapText="1"/>
    </xf>
    <xf numFmtId="0" fontId="73" fillId="0" borderId="17" xfId="0" applyFont="1" applyBorder="1" applyAlignment="1">
      <alignment horizontal="center" vertical="center" wrapText="1"/>
    </xf>
    <xf numFmtId="0" fontId="94" fillId="0" borderId="0" xfId="0" applyFont="1" applyAlignment="1">
      <alignment horizontal="center" vertical="center" wrapText="1"/>
    </xf>
    <xf numFmtId="0" fontId="147" fillId="0" borderId="17" xfId="0" applyFont="1" applyBorder="1" applyAlignment="1">
      <alignment horizontal="center" vertical="center" wrapText="1"/>
    </xf>
    <xf numFmtId="0" fontId="156" fillId="0" borderId="0" xfId="0" applyFont="1"/>
    <xf numFmtId="0" fontId="95" fillId="0" borderId="0" xfId="0" applyFont="1" applyAlignment="1">
      <alignment horizontal="left"/>
    </xf>
    <xf numFmtId="0" fontId="73" fillId="0" borderId="72" xfId="12215" applyFont="1" applyFill="1" applyBorder="1" applyAlignment="1">
      <alignment horizontal="center" vertical="center" wrapText="1"/>
    </xf>
    <xf numFmtId="0" fontId="73" fillId="0" borderId="41" xfId="12215" applyFont="1" applyFill="1" applyBorder="1" applyAlignment="1">
      <alignment horizontal="center" vertical="center" wrapText="1"/>
    </xf>
    <xf numFmtId="2" fontId="73" fillId="0" borderId="74" xfId="6160" applyNumberFormat="1" applyFont="1" applyFill="1" applyBorder="1" applyAlignment="1">
      <alignment horizontal="center" vertical="center" wrapText="1"/>
    </xf>
    <xf numFmtId="2" fontId="73" fillId="0" borderId="67" xfId="6160" applyNumberFormat="1" applyFont="1" applyFill="1" applyBorder="1" applyAlignment="1">
      <alignment horizontal="center" vertical="center" wrapText="1"/>
    </xf>
    <xf numFmtId="0" fontId="73" fillId="0" borderId="74" xfId="6160" applyFont="1" applyFill="1" applyBorder="1" applyAlignment="1">
      <alignment horizontal="center" vertical="center" wrapText="1"/>
    </xf>
    <xf numFmtId="0" fontId="73" fillId="0" borderId="67" xfId="6160" applyFont="1" applyFill="1" applyBorder="1" applyAlignment="1">
      <alignment horizontal="center" vertical="center" wrapText="1"/>
    </xf>
    <xf numFmtId="2" fontId="73" fillId="0" borderId="74" xfId="12215" applyNumberFormat="1" applyFont="1" applyFill="1" applyBorder="1" applyAlignment="1">
      <alignment horizontal="center" vertical="center" wrapText="1"/>
    </xf>
    <xf numFmtId="2" fontId="73" fillId="0" borderId="67" xfId="12215" applyNumberFormat="1" applyFont="1" applyFill="1" applyBorder="1" applyAlignment="1">
      <alignment horizontal="center" vertical="center" wrapText="1"/>
    </xf>
    <xf numFmtId="0" fontId="73" fillId="0" borderId="106" xfId="12215" applyFont="1" applyFill="1" applyBorder="1" applyAlignment="1">
      <alignment horizontal="left" vertical="center" wrapText="1"/>
    </xf>
    <xf numFmtId="0" fontId="73" fillId="0" borderId="107" xfId="12215" applyFont="1" applyFill="1" applyBorder="1" applyAlignment="1">
      <alignment horizontal="left" vertical="center" wrapText="1"/>
    </xf>
    <xf numFmtId="2" fontId="73" fillId="0" borderId="75" xfId="6160" applyNumberFormat="1" applyFont="1" applyFill="1" applyBorder="1" applyAlignment="1">
      <alignment horizontal="center" vertical="center" wrapText="1"/>
    </xf>
    <xf numFmtId="2" fontId="73" fillId="0" borderId="70" xfId="6160" applyNumberFormat="1" applyFont="1" applyFill="1" applyBorder="1" applyAlignment="1">
      <alignment horizontal="center" vertical="center" wrapText="1"/>
    </xf>
    <xf numFmtId="0" fontId="73" fillId="0" borderId="106" xfId="12215" applyFont="1" applyFill="1" applyBorder="1" applyAlignment="1">
      <alignment horizontal="center" vertical="center" wrapText="1"/>
    </xf>
    <xf numFmtId="0" fontId="73" fillId="0" borderId="107" xfId="12215" applyFont="1" applyFill="1" applyBorder="1" applyAlignment="1">
      <alignment horizontal="center" vertical="center" wrapText="1"/>
    </xf>
    <xf numFmtId="49" fontId="73" fillId="0" borderId="74" xfId="6160" quotePrefix="1" applyNumberFormat="1" applyFont="1" applyFill="1" applyBorder="1" applyAlignment="1">
      <alignment horizontal="center" vertical="center" wrapText="1"/>
    </xf>
    <xf numFmtId="49" fontId="73" fillId="0" borderId="67" xfId="6160" quotePrefix="1" applyNumberFormat="1" applyFont="1" applyFill="1" applyBorder="1" applyAlignment="1">
      <alignment horizontal="center" vertical="center" wrapText="1"/>
    </xf>
    <xf numFmtId="0" fontId="104" fillId="0" borderId="42" xfId="6161" applyFont="1" applyFill="1" applyBorder="1" applyAlignment="1">
      <alignment horizontal="center" vertical="center" wrapText="1"/>
    </xf>
    <xf numFmtId="0" fontId="104" fillId="0" borderId="38" xfId="6161" applyFont="1" applyFill="1" applyBorder="1" applyAlignment="1">
      <alignment horizontal="center" vertical="center" wrapText="1"/>
    </xf>
    <xf numFmtId="0" fontId="73" fillId="0" borderId="43" xfId="6160" applyFont="1" applyFill="1" applyBorder="1" applyAlignment="1">
      <alignment horizontal="center" vertical="center" wrapText="1"/>
    </xf>
    <xf numFmtId="0" fontId="73" fillId="0" borderId="44" xfId="6160" applyFont="1" applyFill="1" applyBorder="1" applyAlignment="1">
      <alignment horizontal="center" vertical="center" wrapText="1"/>
    </xf>
    <xf numFmtId="0" fontId="151" fillId="0" borderId="0" xfId="6160" applyFont="1" applyFill="1" applyAlignment="1">
      <alignment horizontal="left" vertical="center"/>
    </xf>
    <xf numFmtId="0" fontId="105" fillId="0" borderId="0" xfId="6160" applyFont="1" applyFill="1" applyAlignment="1">
      <alignment horizontal="center"/>
    </xf>
    <xf numFmtId="0" fontId="104" fillId="0" borderId="42" xfId="6160" applyFont="1" applyFill="1" applyBorder="1" applyAlignment="1">
      <alignment horizontal="center" vertical="center" wrapText="1"/>
    </xf>
    <xf numFmtId="0" fontId="104" fillId="0" borderId="36" xfId="6160" applyFont="1" applyFill="1" applyBorder="1" applyAlignment="1">
      <alignment horizontal="center" vertical="center" wrapText="1"/>
    </xf>
    <xf numFmtId="0" fontId="104" fillId="0" borderId="38" xfId="6160" applyFont="1" applyFill="1" applyBorder="1" applyAlignment="1">
      <alignment horizontal="center" vertical="center" wrapText="1"/>
    </xf>
    <xf numFmtId="0" fontId="104" fillId="0" borderId="42" xfId="12215" applyFont="1" applyFill="1" applyBorder="1" applyAlignment="1">
      <alignment horizontal="center" vertical="center" wrapText="1"/>
    </xf>
    <xf numFmtId="0" fontId="104" fillId="0" borderId="36" xfId="12215" applyFont="1" applyFill="1" applyBorder="1" applyAlignment="1">
      <alignment horizontal="center" vertical="center" wrapText="1"/>
    </xf>
    <xf numFmtId="0" fontId="104" fillId="0" borderId="38" xfId="12215" applyFont="1" applyFill="1" applyBorder="1" applyAlignment="1">
      <alignment horizontal="center" vertical="center" wrapText="1"/>
    </xf>
    <xf numFmtId="0" fontId="104" fillId="0" borderId="43" xfId="6160" applyFont="1" applyFill="1" applyBorder="1" applyAlignment="1">
      <alignment horizontal="center" vertical="center" wrapText="1"/>
    </xf>
    <xf numFmtId="0" fontId="104" fillId="0" borderId="44" xfId="6160" applyFont="1" applyFill="1" applyBorder="1" applyAlignment="1">
      <alignment horizontal="center" vertical="center" wrapText="1"/>
    </xf>
    <xf numFmtId="0" fontId="104" fillId="0" borderId="36" xfId="6161" applyFont="1" applyFill="1" applyBorder="1" applyAlignment="1">
      <alignment horizontal="center" vertical="center" wrapText="1"/>
    </xf>
    <xf numFmtId="0" fontId="104" fillId="0" borderId="42" xfId="6161" applyFont="1" applyFill="1" applyBorder="1" applyAlignment="1">
      <alignment horizontal="left" vertical="center" wrapText="1"/>
    </xf>
    <xf numFmtId="0" fontId="104" fillId="0" borderId="36" xfId="6161" applyFont="1" applyFill="1" applyBorder="1" applyAlignment="1">
      <alignment horizontal="left" vertical="center" wrapText="1"/>
    </xf>
    <xf numFmtId="0" fontId="104" fillId="0" borderId="38" xfId="6161" applyFont="1" applyFill="1" applyBorder="1" applyAlignment="1">
      <alignment horizontal="left" vertical="center" wrapText="1"/>
    </xf>
    <xf numFmtId="0" fontId="73" fillId="0" borderId="74" xfId="6160" applyFont="1" applyFill="1" applyBorder="1" applyAlignment="1">
      <alignment horizontal="left" vertical="center" wrapText="1"/>
    </xf>
    <xf numFmtId="0" fontId="73" fillId="0" borderId="67" xfId="6160" applyFont="1" applyFill="1" applyBorder="1" applyAlignment="1">
      <alignment horizontal="left" vertical="center" wrapText="1"/>
    </xf>
    <xf numFmtId="0" fontId="95" fillId="0" borderId="0" xfId="0" applyFont="1" applyAlignment="1">
      <alignment horizontal="center"/>
    </xf>
    <xf numFmtId="0" fontId="95" fillId="35" borderId="29" xfId="0" applyFont="1" applyFill="1" applyBorder="1" applyAlignment="1">
      <alignment horizontal="center"/>
    </xf>
    <xf numFmtId="0" fontId="88" fillId="0" borderId="17" xfId="0" applyFont="1" applyBorder="1" applyAlignment="1">
      <alignment horizontal="center" vertical="center" wrapText="1"/>
    </xf>
    <xf numFmtId="0" fontId="0" fillId="0" borderId="17" xfId="0" applyBorder="1" applyAlignment="1">
      <alignment horizontal="center" vertical="center" wrapText="1"/>
    </xf>
    <xf numFmtId="0" fontId="94" fillId="0" borderId="0" xfId="0" applyFont="1"/>
    <xf numFmtId="0" fontId="88" fillId="0" borderId="24" xfId="0" applyFont="1" applyBorder="1" applyAlignment="1">
      <alignment horizontal="right"/>
    </xf>
    <xf numFmtId="0" fontId="95" fillId="0" borderId="18" xfId="0" applyFont="1" applyBorder="1" applyAlignment="1">
      <alignment horizontal="center" vertical="center" wrapText="1"/>
    </xf>
    <xf numFmtId="0" fontId="95" fillId="0" borderId="20" xfId="0" applyFont="1" applyBorder="1" applyAlignment="1">
      <alignment horizontal="center" vertical="center" wrapText="1"/>
    </xf>
    <xf numFmtId="0" fontId="95" fillId="0" borderId="25" xfId="0" applyFont="1" applyBorder="1" applyAlignment="1">
      <alignment horizontal="center" vertical="center" wrapText="1"/>
    </xf>
    <xf numFmtId="0" fontId="95" fillId="0" borderId="26" xfId="0" applyFont="1" applyBorder="1" applyAlignment="1">
      <alignment horizontal="center" vertical="center" wrapText="1"/>
    </xf>
    <xf numFmtId="0" fontId="95" fillId="0" borderId="27" xfId="0" applyFont="1" applyBorder="1" applyAlignment="1">
      <alignment horizontal="center" vertical="center" wrapText="1"/>
    </xf>
    <xf numFmtId="0" fontId="98" fillId="0" borderId="23" xfId="0" applyFont="1" applyBorder="1" applyAlignment="1">
      <alignment horizontal="center" vertical="center" wrapText="1"/>
    </xf>
    <xf numFmtId="0" fontId="98" fillId="0" borderId="28" xfId="0" applyFont="1" applyBorder="1" applyAlignment="1">
      <alignment horizontal="center" vertical="center" wrapText="1"/>
    </xf>
    <xf numFmtId="0" fontId="158" fillId="0" borderId="0" xfId="0" applyFont="1" applyAlignment="1">
      <alignment horizontal="center"/>
    </xf>
    <xf numFmtId="0" fontId="95" fillId="0" borderId="17" xfId="0" applyFont="1" applyBorder="1" applyAlignment="1">
      <alignment horizontal="center" vertical="center" wrapText="1"/>
    </xf>
    <xf numFmtId="0" fontId="98" fillId="0" borderId="34" xfId="0" applyFont="1" applyBorder="1" applyAlignment="1">
      <alignment horizontal="center" vertical="center" wrapText="1"/>
    </xf>
    <xf numFmtId="0" fontId="98" fillId="0" borderId="0" xfId="0" applyFont="1" applyBorder="1" applyAlignment="1">
      <alignment horizontal="center"/>
    </xf>
    <xf numFmtId="0" fontId="73" fillId="0" borderId="81" xfId="0" applyFont="1" applyBorder="1" applyAlignment="1">
      <alignment horizontal="center" vertical="center" wrapText="1"/>
    </xf>
    <xf numFmtId="0" fontId="73" fillId="0" borderId="92" xfId="0" applyFont="1" applyBorder="1" applyAlignment="1">
      <alignment horizontal="center" vertical="center" wrapText="1"/>
    </xf>
    <xf numFmtId="0" fontId="73" fillId="0" borderId="82" xfId="0" applyFont="1" applyBorder="1" applyAlignment="1">
      <alignment horizontal="center" vertical="center" wrapText="1"/>
    </xf>
    <xf numFmtId="0" fontId="73" fillId="0" borderId="55" xfId="0" applyFont="1" applyBorder="1" applyAlignment="1">
      <alignment horizontal="center" vertical="center" wrapText="1"/>
    </xf>
    <xf numFmtId="0" fontId="73" fillId="0" borderId="83" xfId="0" applyFont="1" applyBorder="1" applyAlignment="1">
      <alignment horizontal="center" vertical="center" wrapText="1"/>
    </xf>
    <xf numFmtId="0" fontId="73" fillId="0" borderId="91" xfId="0" applyFont="1" applyBorder="1" applyAlignment="1">
      <alignment horizontal="center" vertical="center" wrapText="1"/>
    </xf>
    <xf numFmtId="0" fontId="100" fillId="0" borderId="0" xfId="0" applyFont="1" applyBorder="1" applyAlignment="1">
      <alignment horizontal="right"/>
    </xf>
    <xf numFmtId="0" fontId="75" fillId="0" borderId="17" xfId="0" applyFont="1" applyBorder="1" applyAlignment="1">
      <alignment horizontal="center"/>
    </xf>
    <xf numFmtId="0" fontId="75" fillId="0" borderId="27" xfId="0" applyFont="1" applyBorder="1" applyAlignment="1">
      <alignment horizontal="center" vertical="center" wrapText="1"/>
    </xf>
    <xf numFmtId="0" fontId="75" fillId="0" borderId="17" xfId="0" applyFont="1" applyFill="1" applyBorder="1" applyAlignment="1">
      <alignment horizontal="center" vertical="center" wrapText="1"/>
    </xf>
    <xf numFmtId="0" fontId="94" fillId="0" borderId="0" xfId="0" applyFont="1" applyBorder="1" applyAlignment="1">
      <alignment horizontal="center"/>
    </xf>
    <xf numFmtId="0" fontId="73" fillId="0" borderId="113" xfId="0" applyFont="1" applyBorder="1" applyAlignment="1">
      <alignment horizontal="center" vertical="center" wrapText="1"/>
    </xf>
    <xf numFmtId="0" fontId="73" fillId="0" borderId="34" xfId="0" applyFont="1" applyBorder="1" applyAlignment="1">
      <alignment horizontal="center" vertical="center" wrapText="1"/>
    </xf>
    <xf numFmtId="0" fontId="73" fillId="0" borderId="114" xfId="0" applyFont="1" applyBorder="1" applyAlignment="1">
      <alignment horizontal="center" vertical="center" wrapText="1"/>
    </xf>
    <xf numFmtId="0" fontId="98" fillId="0" borderId="0" xfId="0" applyFont="1" applyAlignment="1">
      <alignment horizontal="center"/>
    </xf>
    <xf numFmtId="0" fontId="88" fillId="0" borderId="23" xfId="0" applyFont="1" applyBorder="1" applyAlignment="1">
      <alignment vertical="center" wrapText="1"/>
    </xf>
    <xf numFmtId="0" fontId="88" fillId="0" borderId="4" xfId="0" applyFont="1" applyBorder="1" applyAlignment="1">
      <alignment vertical="center" wrapText="1"/>
    </xf>
    <xf numFmtId="0" fontId="88" fillId="0" borderId="28" xfId="0" applyFont="1" applyBorder="1" applyAlignment="1">
      <alignment vertical="center" wrapText="1"/>
    </xf>
    <xf numFmtId="0" fontId="88" fillId="0" borderId="17" xfId="0" applyFont="1" applyBorder="1" applyAlignment="1">
      <alignment horizontal="left" vertical="center" wrapText="1"/>
    </xf>
    <xf numFmtId="0" fontId="99" fillId="0" borderId="17" xfId="0" applyFont="1" applyBorder="1" applyAlignment="1">
      <alignment horizontal="center"/>
    </xf>
    <xf numFmtId="0" fontId="99" fillId="0" borderId="17" xfId="0" applyFont="1" applyFill="1" applyBorder="1" applyAlignment="1">
      <alignment horizontal="center" vertical="center" wrapText="1"/>
    </xf>
    <xf numFmtId="0" fontId="75" fillId="0" borderId="81" xfId="0" applyFont="1" applyBorder="1" applyAlignment="1">
      <alignment horizontal="center" vertical="center" wrapText="1"/>
    </xf>
    <xf numFmtId="0" fontId="75" fillId="0" borderId="84" xfId="0" applyFont="1" applyBorder="1" applyAlignment="1">
      <alignment horizontal="center" vertical="center" wrapText="1"/>
    </xf>
    <xf numFmtId="0" fontId="75" fillId="0" borderId="82" xfId="0" applyFont="1" applyBorder="1" applyAlignment="1">
      <alignment horizontal="center" vertical="center" wrapText="1"/>
    </xf>
    <xf numFmtId="0" fontId="75" fillId="0" borderId="61" xfId="0" applyFont="1" applyBorder="1" applyAlignment="1">
      <alignment horizontal="center" vertical="center" wrapText="1"/>
    </xf>
    <xf numFmtId="0" fontId="88" fillId="0" borderId="82" xfId="0" applyFont="1" applyBorder="1" applyAlignment="1">
      <alignment horizontal="center" vertical="center" wrapText="1"/>
    </xf>
    <xf numFmtId="0" fontId="75" fillId="0" borderId="83" xfId="0" applyFont="1" applyBorder="1" applyAlignment="1">
      <alignment horizontal="center" vertical="center" wrapText="1"/>
    </xf>
    <xf numFmtId="0" fontId="75" fillId="0" borderId="85" xfId="0" applyFont="1" applyBorder="1" applyAlignment="1">
      <alignment horizontal="center" vertical="center" wrapText="1"/>
    </xf>
    <xf numFmtId="0" fontId="99" fillId="0" borderId="27" xfId="0" applyFont="1" applyBorder="1" applyAlignment="1">
      <alignment horizontal="center" vertical="center" wrapText="1"/>
    </xf>
    <xf numFmtId="0" fontId="88" fillId="0" borderId="23" xfId="0" applyFont="1" applyBorder="1" applyAlignment="1">
      <alignment horizontal="center" vertical="center" wrapText="1"/>
    </xf>
    <xf numFmtId="0" fontId="88" fillId="0" borderId="28" xfId="0" applyFont="1" applyBorder="1" applyAlignment="1">
      <alignment horizontal="center" vertical="center" wrapText="1"/>
    </xf>
    <xf numFmtId="0" fontId="98" fillId="0" borderId="26" xfId="0" applyFont="1" applyBorder="1" applyAlignment="1">
      <alignment horizontal="center" vertical="center" wrapText="1"/>
    </xf>
    <xf numFmtId="0" fontId="98" fillId="0" borderId="27" xfId="0" applyFont="1" applyBorder="1" applyAlignment="1">
      <alignment horizontal="center" vertical="center" wrapText="1"/>
    </xf>
    <xf numFmtId="0" fontId="75" fillId="0" borderId="26" xfId="0" applyFont="1" applyBorder="1" applyAlignment="1">
      <alignment horizontal="center" vertical="center" wrapText="1"/>
    </xf>
    <xf numFmtId="0" fontId="99" fillId="0" borderId="23" xfId="0" applyFont="1" applyFill="1" applyBorder="1" applyAlignment="1">
      <alignment horizontal="center" vertical="center" wrapText="1"/>
    </xf>
    <xf numFmtId="0" fontId="105" fillId="0" borderId="17" xfId="0" applyFont="1" applyBorder="1" applyAlignment="1">
      <alignment horizontal="center" vertical="center" wrapText="1"/>
    </xf>
    <xf numFmtId="0" fontId="105" fillId="0" borderId="23" xfId="0" applyFont="1" applyBorder="1" applyAlignment="1">
      <alignment horizontal="center" vertical="center" wrapText="1"/>
    </xf>
    <xf numFmtId="0" fontId="99" fillId="0" borderId="23" xfId="0" applyFont="1" applyBorder="1" applyAlignment="1">
      <alignment horizontal="center" vertical="center" wrapText="1"/>
    </xf>
    <xf numFmtId="0" fontId="75" fillId="0" borderId="23" xfId="0" applyFont="1" applyBorder="1" applyAlignment="1">
      <alignment horizontal="center" vertical="center" wrapText="1"/>
    </xf>
    <xf numFmtId="0" fontId="75" fillId="0" borderId="28" xfId="0" applyFont="1" applyBorder="1" applyAlignment="1">
      <alignment horizontal="center" vertical="center" wrapText="1"/>
    </xf>
    <xf numFmtId="0" fontId="100" fillId="0" borderId="24" xfId="0" applyFont="1" applyBorder="1" applyAlignment="1">
      <alignment horizontal="center"/>
    </xf>
    <xf numFmtId="0" fontId="99" fillId="0" borderId="4" xfId="0" applyFont="1" applyBorder="1" applyAlignment="1">
      <alignment horizontal="center" vertical="center" wrapText="1"/>
    </xf>
    <xf numFmtId="0" fontId="99" fillId="0" borderId="28" xfId="0" applyFont="1" applyBorder="1" applyAlignment="1">
      <alignment horizontal="center" vertical="center" wrapText="1"/>
    </xf>
    <xf numFmtId="0" fontId="100" fillId="0" borderId="35" xfId="0" applyFont="1" applyBorder="1" applyAlignment="1">
      <alignment horizontal="right"/>
    </xf>
    <xf numFmtId="0" fontId="75" fillId="0" borderId="25" xfId="0" applyFont="1" applyBorder="1" applyAlignment="1">
      <alignment horizontal="center" vertical="center" wrapText="1"/>
    </xf>
    <xf numFmtId="0" fontId="99" fillId="0" borderId="4" xfId="0" applyFont="1" applyFill="1" applyBorder="1" applyAlignment="1">
      <alignment horizontal="center" vertical="center" wrapText="1"/>
    </xf>
    <xf numFmtId="0" fontId="99" fillId="0" borderId="28" xfId="0" applyFont="1" applyFill="1" applyBorder="1" applyAlignment="1">
      <alignment horizontal="center" vertical="center" wrapText="1"/>
    </xf>
    <xf numFmtId="0" fontId="99" fillId="0" borderId="25" xfId="0" applyFont="1" applyBorder="1" applyAlignment="1">
      <alignment horizontal="center"/>
    </xf>
    <xf numFmtId="0" fontId="99" fillId="0" borderId="27" xfId="0" applyFont="1" applyBorder="1" applyAlignment="1">
      <alignment horizontal="center"/>
    </xf>
    <xf numFmtId="0" fontId="98" fillId="0" borderId="0" xfId="0" applyFont="1" applyAlignment="1">
      <alignment horizontal="center" vertical="center" wrapText="1"/>
    </xf>
    <xf numFmtId="0" fontId="105" fillId="0" borderId="27" xfId="0" applyFont="1" applyBorder="1" applyAlignment="1">
      <alignment horizontal="center" vertical="center" wrapText="1"/>
    </xf>
    <xf numFmtId="0" fontId="75" fillId="0" borderId="92" xfId="0" applyFont="1" applyBorder="1" applyAlignment="1">
      <alignment horizontal="center" vertical="center" wrapText="1"/>
    </xf>
    <xf numFmtId="0" fontId="75" fillId="0" borderId="91" xfId="0" applyFont="1" applyBorder="1" applyAlignment="1">
      <alignment horizontal="center" vertical="center" wrapText="1"/>
    </xf>
    <xf numFmtId="0" fontId="95" fillId="0" borderId="0" xfId="0" applyFont="1" applyAlignment="1">
      <alignment horizontal="center" vertical="center" wrapText="1"/>
    </xf>
    <xf numFmtId="0" fontId="88" fillId="0" borderId="26" xfId="0" applyFont="1" applyBorder="1" applyAlignment="1">
      <alignment horizontal="center" vertical="center" wrapText="1"/>
    </xf>
    <xf numFmtId="0" fontId="88" fillId="0" borderId="27" xfId="0" applyFont="1" applyBorder="1" applyAlignment="1">
      <alignment horizontal="center" vertical="center" wrapText="1"/>
    </xf>
    <xf numFmtId="0" fontId="95" fillId="0" borderId="0" xfId="0" applyFont="1" applyAlignment="1">
      <alignment horizontal="center" wrapText="1"/>
    </xf>
    <xf numFmtId="0" fontId="123" fillId="34" borderId="17" xfId="0" applyFont="1" applyFill="1" applyBorder="1" applyAlignment="1">
      <alignment horizontal="center" vertical="center" wrapText="1"/>
    </xf>
    <xf numFmtId="0" fontId="124" fillId="34" borderId="17" xfId="0" applyFont="1" applyFill="1" applyBorder="1" applyAlignment="1">
      <alignment horizontal="center" vertical="center"/>
    </xf>
    <xf numFmtId="0" fontId="124" fillId="34" borderId="17" xfId="0" applyFont="1" applyFill="1" applyBorder="1" applyAlignment="1">
      <alignment horizontal="center" vertical="center" wrapText="1"/>
    </xf>
    <xf numFmtId="0" fontId="126" fillId="0" borderId="17" xfId="0" applyFont="1" applyBorder="1" applyAlignment="1">
      <alignment horizontal="center" vertical="center" wrapText="1"/>
    </xf>
  </cellXfs>
  <cellStyles count="12216">
    <cellStyle name="          _x000d__x000a_shell=progman.exe_x000d__x000a_m" xfId="1"/>
    <cellStyle name="          _x000d__x000a_shell=progman.exe_x000d__x000a_m 10" xfId="2"/>
    <cellStyle name="          _x000d__x000a_shell=progman.exe_x000d__x000a_m 11" xfId="3"/>
    <cellStyle name="          _x000d__x000a_shell=progman.exe_x000d__x000a_m 12" xfId="4"/>
    <cellStyle name="          _x000d__x000a_shell=progman.exe_x000d__x000a_m 13" xfId="5"/>
    <cellStyle name="          _x000d__x000a_shell=progman.exe_x000d__x000a_m 14" xfId="6"/>
    <cellStyle name="          _x000d__x000a_shell=progman.exe_x000d__x000a_m 15" xfId="7"/>
    <cellStyle name="          _x000d__x000a_shell=progman.exe_x000d__x000a_m 16" xfId="8"/>
    <cellStyle name="          _x000d__x000a_shell=progman.exe_x000d__x000a_m 17" xfId="9"/>
    <cellStyle name="          _x000d__x000a_shell=progman.exe_x000d__x000a_m 18" xfId="10"/>
    <cellStyle name="          _x000d__x000a_shell=progman.exe_x000d__x000a_m 19" xfId="11"/>
    <cellStyle name="          _x000d__x000a_shell=progman.exe_x000d__x000a_m 2" xfId="12"/>
    <cellStyle name="          _x000d__x000a_shell=progman.exe_x000d__x000a_m 20" xfId="13"/>
    <cellStyle name="          _x000d__x000a_shell=progman.exe_x000d__x000a_m 21" xfId="14"/>
    <cellStyle name="          _x000d__x000a_shell=progman.exe_x000d__x000a_m 22" xfId="15"/>
    <cellStyle name="          _x000d__x000a_shell=progman.exe_x000d__x000a_m 23" xfId="16"/>
    <cellStyle name="          _x000d__x000a_shell=progman.exe_x000d__x000a_m 24" xfId="17"/>
    <cellStyle name="          _x000d__x000a_shell=progman.exe_x000d__x000a_m 25" xfId="18"/>
    <cellStyle name="          _x000d__x000a_shell=progman.exe_x000d__x000a_m 26" xfId="19"/>
    <cellStyle name="          _x000d__x000a_shell=progman.exe_x000d__x000a_m 3" xfId="20"/>
    <cellStyle name="          _x000d__x000a_shell=progman.exe_x000d__x000a_m 4" xfId="21"/>
    <cellStyle name="          _x000d__x000a_shell=progman.exe_x000d__x000a_m 5" xfId="22"/>
    <cellStyle name="          _x000d__x000a_shell=progman.exe_x000d__x000a_m 6" xfId="23"/>
    <cellStyle name="          _x000d__x000a_shell=progman.exe_x000d__x000a_m 7" xfId="24"/>
    <cellStyle name="          _x000d__x000a_shell=progman.exe_x000d__x000a_m 8" xfId="25"/>
    <cellStyle name="          _x000d__x000a_shell=progman.exe_x000d__x000a_m 9" xfId="26"/>
    <cellStyle name="          _x000d__x000a_shell=progman.exe_x000d__x000a_m_B 10 c" xfId="27"/>
    <cellStyle name="??" xfId="28"/>
    <cellStyle name="?? [0.00]_      " xfId="29"/>
    <cellStyle name="?? [0]" xfId="30"/>
    <cellStyle name="?? [0] 10" xfId="31"/>
    <cellStyle name="?? [0] 10 10" xfId="32"/>
    <cellStyle name="?? [0] 10 10 2" xfId="6188"/>
    <cellStyle name="?? [0] 10 11" xfId="33"/>
    <cellStyle name="?? [0] 10 11 2" xfId="6189"/>
    <cellStyle name="?? [0] 10 12" xfId="34"/>
    <cellStyle name="?? [0] 10 12 2" xfId="6190"/>
    <cellStyle name="?? [0] 10 13" xfId="35"/>
    <cellStyle name="?? [0] 10 13 2" xfId="6191"/>
    <cellStyle name="?? [0] 10 14" xfId="36"/>
    <cellStyle name="?? [0] 10 14 2" xfId="6192"/>
    <cellStyle name="?? [0] 10 15" xfId="37"/>
    <cellStyle name="?? [0] 10 15 2" xfId="6193"/>
    <cellStyle name="?? [0] 10 16" xfId="38"/>
    <cellStyle name="?? [0] 10 16 2" xfId="6194"/>
    <cellStyle name="?? [0] 10 17" xfId="39"/>
    <cellStyle name="?? [0] 10 17 2" xfId="6195"/>
    <cellStyle name="?? [0] 10 18" xfId="40"/>
    <cellStyle name="?? [0] 10 18 2" xfId="6196"/>
    <cellStyle name="?? [0] 10 19" xfId="41"/>
    <cellStyle name="?? [0] 10 19 2" xfId="6197"/>
    <cellStyle name="?? [0] 10 2" xfId="42"/>
    <cellStyle name="?? [0] 10 2 2" xfId="6198"/>
    <cellStyle name="?? [0] 10 20" xfId="43"/>
    <cellStyle name="?? [0] 10 20 2" xfId="6199"/>
    <cellStyle name="?? [0] 10 21" xfId="44"/>
    <cellStyle name="?? [0] 10 21 2" xfId="6200"/>
    <cellStyle name="?? [0] 10 22" xfId="6187"/>
    <cellStyle name="?? [0] 10 3" xfId="45"/>
    <cellStyle name="?? [0] 10 3 2" xfId="6201"/>
    <cellStyle name="?? [0] 10 4" xfId="46"/>
    <cellStyle name="?? [0] 10 4 2" xfId="6202"/>
    <cellStyle name="?? [0] 10 5" xfId="47"/>
    <cellStyle name="?? [0] 10 5 2" xfId="6203"/>
    <cellStyle name="?? [0] 10 6" xfId="48"/>
    <cellStyle name="?? [0] 10 6 2" xfId="6204"/>
    <cellStyle name="?? [0] 10 7" xfId="49"/>
    <cellStyle name="?? [0] 10 7 2" xfId="6205"/>
    <cellStyle name="?? [0] 10 8" xfId="50"/>
    <cellStyle name="?? [0] 10 8 2" xfId="6206"/>
    <cellStyle name="?? [0] 10 9" xfId="51"/>
    <cellStyle name="?? [0] 10 9 2" xfId="6207"/>
    <cellStyle name="?? [0] 11" xfId="52"/>
    <cellStyle name="?? [0] 11 10" xfId="53"/>
    <cellStyle name="?? [0] 11 10 2" xfId="6209"/>
    <cellStyle name="?? [0] 11 11" xfId="54"/>
    <cellStyle name="?? [0] 11 11 2" xfId="6210"/>
    <cellStyle name="?? [0] 11 12" xfId="55"/>
    <cellStyle name="?? [0] 11 12 2" xfId="6211"/>
    <cellStyle name="?? [0] 11 13" xfId="56"/>
    <cellStyle name="?? [0] 11 13 2" xfId="6212"/>
    <cellStyle name="?? [0] 11 14" xfId="57"/>
    <cellStyle name="?? [0] 11 14 2" xfId="6213"/>
    <cellStyle name="?? [0] 11 15" xfId="58"/>
    <cellStyle name="?? [0] 11 15 2" xfId="6214"/>
    <cellStyle name="?? [0] 11 16" xfId="59"/>
    <cellStyle name="?? [0] 11 16 2" xfId="6215"/>
    <cellStyle name="?? [0] 11 17" xfId="60"/>
    <cellStyle name="?? [0] 11 17 2" xfId="6216"/>
    <cellStyle name="?? [0] 11 18" xfId="61"/>
    <cellStyle name="?? [0] 11 18 2" xfId="6217"/>
    <cellStyle name="?? [0] 11 19" xfId="62"/>
    <cellStyle name="?? [0] 11 19 2" xfId="6218"/>
    <cellStyle name="?? [0] 11 2" xfId="63"/>
    <cellStyle name="?? [0] 11 2 2" xfId="6219"/>
    <cellStyle name="?? [0] 11 20" xfId="64"/>
    <cellStyle name="?? [0] 11 20 2" xfId="6220"/>
    <cellStyle name="?? [0] 11 21" xfId="65"/>
    <cellStyle name="?? [0] 11 21 2" xfId="6221"/>
    <cellStyle name="?? [0] 11 22" xfId="6208"/>
    <cellStyle name="?? [0] 11 3" xfId="66"/>
    <cellStyle name="?? [0] 11 3 2" xfId="6222"/>
    <cellStyle name="?? [0] 11 4" xfId="67"/>
    <cellStyle name="?? [0] 11 4 2" xfId="6223"/>
    <cellStyle name="?? [0] 11 5" xfId="68"/>
    <cellStyle name="?? [0] 11 5 2" xfId="6224"/>
    <cellStyle name="?? [0] 11 6" xfId="69"/>
    <cellStyle name="?? [0] 11 6 2" xfId="6225"/>
    <cellStyle name="?? [0] 11 7" xfId="70"/>
    <cellStyle name="?? [0] 11 7 2" xfId="6226"/>
    <cellStyle name="?? [0] 11 8" xfId="71"/>
    <cellStyle name="?? [0] 11 8 2" xfId="6227"/>
    <cellStyle name="?? [0] 11 9" xfId="72"/>
    <cellStyle name="?? [0] 11 9 2" xfId="6228"/>
    <cellStyle name="?? [0] 12" xfId="73"/>
    <cellStyle name="?? [0] 12 10" xfId="74"/>
    <cellStyle name="?? [0] 12 10 2" xfId="6230"/>
    <cellStyle name="?? [0] 12 11" xfId="75"/>
    <cellStyle name="?? [0] 12 11 2" xfId="6231"/>
    <cellStyle name="?? [0] 12 12" xfId="76"/>
    <cellStyle name="?? [0] 12 12 2" xfId="6232"/>
    <cellStyle name="?? [0] 12 13" xfId="77"/>
    <cellStyle name="?? [0] 12 13 2" xfId="6233"/>
    <cellStyle name="?? [0] 12 14" xfId="78"/>
    <cellStyle name="?? [0] 12 14 2" xfId="6234"/>
    <cellStyle name="?? [0] 12 15" xfId="79"/>
    <cellStyle name="?? [0] 12 15 2" xfId="6235"/>
    <cellStyle name="?? [0] 12 16" xfId="80"/>
    <cellStyle name="?? [0] 12 16 2" xfId="6236"/>
    <cellStyle name="?? [0] 12 17" xfId="81"/>
    <cellStyle name="?? [0] 12 17 2" xfId="6237"/>
    <cellStyle name="?? [0] 12 18" xfId="82"/>
    <cellStyle name="?? [0] 12 18 2" xfId="6238"/>
    <cellStyle name="?? [0] 12 19" xfId="83"/>
    <cellStyle name="?? [0] 12 19 2" xfId="6239"/>
    <cellStyle name="?? [0] 12 2" xfId="84"/>
    <cellStyle name="?? [0] 12 2 2" xfId="6240"/>
    <cellStyle name="?? [0] 12 20" xfId="85"/>
    <cellStyle name="?? [0] 12 20 2" xfId="6241"/>
    <cellStyle name="?? [0] 12 21" xfId="86"/>
    <cellStyle name="?? [0] 12 21 2" xfId="6242"/>
    <cellStyle name="?? [0] 12 22" xfId="6229"/>
    <cellStyle name="?? [0] 12 3" xfId="87"/>
    <cellStyle name="?? [0] 12 3 2" xfId="6243"/>
    <cellStyle name="?? [0] 12 4" xfId="88"/>
    <cellStyle name="?? [0] 12 4 2" xfId="6244"/>
    <cellStyle name="?? [0] 12 5" xfId="89"/>
    <cellStyle name="?? [0] 12 5 2" xfId="6245"/>
    <cellStyle name="?? [0] 12 6" xfId="90"/>
    <cellStyle name="?? [0] 12 6 2" xfId="6246"/>
    <cellStyle name="?? [0] 12 7" xfId="91"/>
    <cellStyle name="?? [0] 12 7 2" xfId="6247"/>
    <cellStyle name="?? [0] 12 8" xfId="92"/>
    <cellStyle name="?? [0] 12 8 2" xfId="6248"/>
    <cellStyle name="?? [0] 12 9" xfId="93"/>
    <cellStyle name="?? [0] 12 9 2" xfId="6249"/>
    <cellStyle name="?? [0] 13" xfId="94"/>
    <cellStyle name="?? [0] 13 10" xfId="95"/>
    <cellStyle name="?? [0] 13 10 2" xfId="6251"/>
    <cellStyle name="?? [0] 13 11" xfId="96"/>
    <cellStyle name="?? [0] 13 11 2" xfId="6252"/>
    <cellStyle name="?? [0] 13 12" xfId="97"/>
    <cellStyle name="?? [0] 13 12 2" xfId="6253"/>
    <cellStyle name="?? [0] 13 13" xfId="98"/>
    <cellStyle name="?? [0] 13 13 2" xfId="6254"/>
    <cellStyle name="?? [0] 13 14" xfId="99"/>
    <cellStyle name="?? [0] 13 14 2" xfId="6255"/>
    <cellStyle name="?? [0] 13 15" xfId="100"/>
    <cellStyle name="?? [0] 13 15 2" xfId="6256"/>
    <cellStyle name="?? [0] 13 16" xfId="101"/>
    <cellStyle name="?? [0] 13 16 2" xfId="6257"/>
    <cellStyle name="?? [0] 13 17" xfId="102"/>
    <cellStyle name="?? [0] 13 17 2" xfId="6258"/>
    <cellStyle name="?? [0] 13 18" xfId="103"/>
    <cellStyle name="?? [0] 13 18 2" xfId="6259"/>
    <cellStyle name="?? [0] 13 19" xfId="104"/>
    <cellStyle name="?? [0] 13 19 2" xfId="6260"/>
    <cellStyle name="?? [0] 13 2" xfId="105"/>
    <cellStyle name="?? [0] 13 2 2" xfId="6261"/>
    <cellStyle name="?? [0] 13 20" xfId="106"/>
    <cellStyle name="?? [0] 13 20 2" xfId="6262"/>
    <cellStyle name="?? [0] 13 21" xfId="107"/>
    <cellStyle name="?? [0] 13 21 2" xfId="6263"/>
    <cellStyle name="?? [0] 13 22" xfId="6250"/>
    <cellStyle name="?? [0] 13 3" xfId="108"/>
    <cellStyle name="?? [0] 13 3 2" xfId="6264"/>
    <cellStyle name="?? [0] 13 4" xfId="109"/>
    <cellStyle name="?? [0] 13 4 2" xfId="6265"/>
    <cellStyle name="?? [0] 13 5" xfId="110"/>
    <cellStyle name="?? [0] 13 5 2" xfId="6266"/>
    <cellStyle name="?? [0] 13 6" xfId="111"/>
    <cellStyle name="?? [0] 13 6 2" xfId="6267"/>
    <cellStyle name="?? [0] 13 7" xfId="112"/>
    <cellStyle name="?? [0] 13 7 2" xfId="6268"/>
    <cellStyle name="?? [0] 13 8" xfId="113"/>
    <cellStyle name="?? [0] 13 8 2" xfId="6269"/>
    <cellStyle name="?? [0] 13 9" xfId="114"/>
    <cellStyle name="?? [0] 13 9 2" xfId="6270"/>
    <cellStyle name="?? [0] 14" xfId="115"/>
    <cellStyle name="?? [0] 14 10" xfId="116"/>
    <cellStyle name="?? [0] 14 10 2" xfId="6272"/>
    <cellStyle name="?? [0] 14 11" xfId="117"/>
    <cellStyle name="?? [0] 14 11 2" xfId="6273"/>
    <cellStyle name="?? [0] 14 12" xfId="118"/>
    <cellStyle name="?? [0] 14 12 2" xfId="6274"/>
    <cellStyle name="?? [0] 14 13" xfId="119"/>
    <cellStyle name="?? [0] 14 13 2" xfId="6275"/>
    <cellStyle name="?? [0] 14 14" xfId="120"/>
    <cellStyle name="?? [0] 14 14 2" xfId="6276"/>
    <cellStyle name="?? [0] 14 15" xfId="121"/>
    <cellStyle name="?? [0] 14 15 2" xfId="6277"/>
    <cellStyle name="?? [0] 14 16" xfId="122"/>
    <cellStyle name="?? [0] 14 16 2" xfId="6278"/>
    <cellStyle name="?? [0] 14 17" xfId="123"/>
    <cellStyle name="?? [0] 14 17 2" xfId="6279"/>
    <cellStyle name="?? [0] 14 18" xfId="124"/>
    <cellStyle name="?? [0] 14 18 2" xfId="6280"/>
    <cellStyle name="?? [0] 14 19" xfId="125"/>
    <cellStyle name="?? [0] 14 19 2" xfId="6281"/>
    <cellStyle name="?? [0] 14 2" xfId="126"/>
    <cellStyle name="?? [0] 14 2 2" xfId="6282"/>
    <cellStyle name="?? [0] 14 20" xfId="127"/>
    <cellStyle name="?? [0] 14 20 2" xfId="6283"/>
    <cellStyle name="?? [0] 14 21" xfId="128"/>
    <cellStyle name="?? [0] 14 21 2" xfId="6284"/>
    <cellStyle name="?? [0] 14 22" xfId="6271"/>
    <cellStyle name="?? [0] 14 3" xfId="129"/>
    <cellStyle name="?? [0] 14 3 2" xfId="6285"/>
    <cellStyle name="?? [0] 14 4" xfId="130"/>
    <cellStyle name="?? [0] 14 4 2" xfId="6286"/>
    <cellStyle name="?? [0] 14 5" xfId="131"/>
    <cellStyle name="?? [0] 14 5 2" xfId="6287"/>
    <cellStyle name="?? [0] 14 6" xfId="132"/>
    <cellStyle name="?? [0] 14 6 2" xfId="6288"/>
    <cellStyle name="?? [0] 14 7" xfId="133"/>
    <cellStyle name="?? [0] 14 7 2" xfId="6289"/>
    <cellStyle name="?? [0] 14 8" xfId="134"/>
    <cellStyle name="?? [0] 14 8 2" xfId="6290"/>
    <cellStyle name="?? [0] 14 9" xfId="135"/>
    <cellStyle name="?? [0] 14 9 2" xfId="6291"/>
    <cellStyle name="?? [0] 15" xfId="136"/>
    <cellStyle name="?? [0] 15 10" xfId="137"/>
    <cellStyle name="?? [0] 15 10 2" xfId="6293"/>
    <cellStyle name="?? [0] 15 11" xfId="138"/>
    <cellStyle name="?? [0] 15 11 2" xfId="6294"/>
    <cellStyle name="?? [0] 15 12" xfId="139"/>
    <cellStyle name="?? [0] 15 12 2" xfId="6295"/>
    <cellStyle name="?? [0] 15 13" xfId="140"/>
    <cellStyle name="?? [0] 15 13 2" xfId="6296"/>
    <cellStyle name="?? [0] 15 14" xfId="141"/>
    <cellStyle name="?? [0] 15 14 2" xfId="6297"/>
    <cellStyle name="?? [0] 15 15" xfId="142"/>
    <cellStyle name="?? [0] 15 15 2" xfId="6298"/>
    <cellStyle name="?? [0] 15 16" xfId="143"/>
    <cellStyle name="?? [0] 15 16 2" xfId="6299"/>
    <cellStyle name="?? [0] 15 17" xfId="144"/>
    <cellStyle name="?? [0] 15 17 2" xfId="6300"/>
    <cellStyle name="?? [0] 15 18" xfId="145"/>
    <cellStyle name="?? [0] 15 18 2" xfId="6301"/>
    <cellStyle name="?? [0] 15 19" xfId="146"/>
    <cellStyle name="?? [0] 15 19 2" xfId="6302"/>
    <cellStyle name="?? [0] 15 2" xfId="147"/>
    <cellStyle name="?? [0] 15 2 2" xfId="6303"/>
    <cellStyle name="?? [0] 15 20" xfId="148"/>
    <cellStyle name="?? [0] 15 20 2" xfId="6304"/>
    <cellStyle name="?? [0] 15 21" xfId="149"/>
    <cellStyle name="?? [0] 15 21 2" xfId="6305"/>
    <cellStyle name="?? [0] 15 22" xfId="6292"/>
    <cellStyle name="?? [0] 15 3" xfId="150"/>
    <cellStyle name="?? [0] 15 3 2" xfId="6306"/>
    <cellStyle name="?? [0] 15 4" xfId="151"/>
    <cellStyle name="?? [0] 15 4 2" xfId="6307"/>
    <cellStyle name="?? [0] 15 5" xfId="152"/>
    <cellStyle name="?? [0] 15 5 2" xfId="6308"/>
    <cellStyle name="?? [0] 15 6" xfId="153"/>
    <cellStyle name="?? [0] 15 6 2" xfId="6309"/>
    <cellStyle name="?? [0] 15 7" xfId="154"/>
    <cellStyle name="?? [0] 15 7 2" xfId="6310"/>
    <cellStyle name="?? [0] 15 8" xfId="155"/>
    <cellStyle name="?? [0] 15 8 2" xfId="6311"/>
    <cellStyle name="?? [0] 15 9" xfId="156"/>
    <cellStyle name="?? [0] 15 9 2" xfId="6312"/>
    <cellStyle name="?? [0] 16" xfId="157"/>
    <cellStyle name="?? [0] 16 10" xfId="158"/>
    <cellStyle name="?? [0] 16 10 2" xfId="6314"/>
    <cellStyle name="?? [0] 16 11" xfId="159"/>
    <cellStyle name="?? [0] 16 11 2" xfId="6315"/>
    <cellStyle name="?? [0] 16 12" xfId="160"/>
    <cellStyle name="?? [0] 16 12 2" xfId="6316"/>
    <cellStyle name="?? [0] 16 13" xfId="161"/>
    <cellStyle name="?? [0] 16 13 2" xfId="6317"/>
    <cellStyle name="?? [0] 16 14" xfId="162"/>
    <cellStyle name="?? [0] 16 14 2" xfId="6318"/>
    <cellStyle name="?? [0] 16 15" xfId="163"/>
    <cellStyle name="?? [0] 16 15 2" xfId="6319"/>
    <cellStyle name="?? [0] 16 16" xfId="164"/>
    <cellStyle name="?? [0] 16 16 2" xfId="6320"/>
    <cellStyle name="?? [0] 16 17" xfId="165"/>
    <cellStyle name="?? [0] 16 17 2" xfId="6321"/>
    <cellStyle name="?? [0] 16 18" xfId="166"/>
    <cellStyle name="?? [0] 16 18 2" xfId="6322"/>
    <cellStyle name="?? [0] 16 19" xfId="167"/>
    <cellStyle name="?? [0] 16 19 2" xfId="6323"/>
    <cellStyle name="?? [0] 16 2" xfId="168"/>
    <cellStyle name="?? [0] 16 2 2" xfId="6324"/>
    <cellStyle name="?? [0] 16 20" xfId="169"/>
    <cellStyle name="?? [0] 16 20 2" xfId="6325"/>
    <cellStyle name="?? [0] 16 21" xfId="170"/>
    <cellStyle name="?? [0] 16 21 2" xfId="6326"/>
    <cellStyle name="?? [0] 16 22" xfId="6313"/>
    <cellStyle name="?? [0] 16 3" xfId="171"/>
    <cellStyle name="?? [0] 16 3 2" xfId="6327"/>
    <cellStyle name="?? [0] 16 4" xfId="172"/>
    <cellStyle name="?? [0] 16 4 2" xfId="6328"/>
    <cellStyle name="?? [0] 16 5" xfId="173"/>
    <cellStyle name="?? [0] 16 5 2" xfId="6329"/>
    <cellStyle name="?? [0] 16 6" xfId="174"/>
    <cellStyle name="?? [0] 16 6 2" xfId="6330"/>
    <cellStyle name="?? [0] 16 7" xfId="175"/>
    <cellStyle name="?? [0] 16 7 2" xfId="6331"/>
    <cellStyle name="?? [0] 16 8" xfId="176"/>
    <cellStyle name="?? [0] 16 8 2" xfId="6332"/>
    <cellStyle name="?? [0] 16 9" xfId="177"/>
    <cellStyle name="?? [0] 16 9 2" xfId="6333"/>
    <cellStyle name="?? [0] 17" xfId="178"/>
    <cellStyle name="?? [0] 17 10" xfId="179"/>
    <cellStyle name="?? [0] 17 10 2" xfId="6335"/>
    <cellStyle name="?? [0] 17 11" xfId="180"/>
    <cellStyle name="?? [0] 17 11 2" xfId="6336"/>
    <cellStyle name="?? [0] 17 12" xfId="181"/>
    <cellStyle name="?? [0] 17 12 2" xfId="6337"/>
    <cellStyle name="?? [0] 17 13" xfId="182"/>
    <cellStyle name="?? [0] 17 13 2" xfId="6338"/>
    <cellStyle name="?? [0] 17 14" xfId="183"/>
    <cellStyle name="?? [0] 17 14 2" xfId="6339"/>
    <cellStyle name="?? [0] 17 15" xfId="184"/>
    <cellStyle name="?? [0] 17 15 2" xfId="6340"/>
    <cellStyle name="?? [0] 17 16" xfId="185"/>
    <cellStyle name="?? [0] 17 16 2" xfId="6341"/>
    <cellStyle name="?? [0] 17 17" xfId="186"/>
    <cellStyle name="?? [0] 17 17 2" xfId="6342"/>
    <cellStyle name="?? [0] 17 18" xfId="187"/>
    <cellStyle name="?? [0] 17 18 2" xfId="6343"/>
    <cellStyle name="?? [0] 17 19" xfId="188"/>
    <cellStyle name="?? [0] 17 19 2" xfId="6344"/>
    <cellStyle name="?? [0] 17 2" xfId="189"/>
    <cellStyle name="?? [0] 17 2 2" xfId="6345"/>
    <cellStyle name="?? [0] 17 20" xfId="190"/>
    <cellStyle name="?? [0] 17 20 2" xfId="6346"/>
    <cellStyle name="?? [0] 17 21" xfId="191"/>
    <cellStyle name="?? [0] 17 21 2" xfId="6347"/>
    <cellStyle name="?? [0] 17 22" xfId="6334"/>
    <cellStyle name="?? [0] 17 3" xfId="192"/>
    <cellStyle name="?? [0] 17 3 2" xfId="6348"/>
    <cellStyle name="?? [0] 17 4" xfId="193"/>
    <cellStyle name="?? [0] 17 4 2" xfId="6349"/>
    <cellStyle name="?? [0] 17 5" xfId="194"/>
    <cellStyle name="?? [0] 17 5 2" xfId="6350"/>
    <cellStyle name="?? [0] 17 6" xfId="195"/>
    <cellStyle name="?? [0] 17 6 2" xfId="6351"/>
    <cellStyle name="?? [0] 17 7" xfId="196"/>
    <cellStyle name="?? [0] 17 7 2" xfId="6352"/>
    <cellStyle name="?? [0] 17 8" xfId="197"/>
    <cellStyle name="?? [0] 17 8 2" xfId="6353"/>
    <cellStyle name="?? [0] 17 9" xfId="198"/>
    <cellStyle name="?? [0] 17 9 2" xfId="6354"/>
    <cellStyle name="?? [0] 18" xfId="199"/>
    <cellStyle name="?? [0] 18 10" xfId="200"/>
    <cellStyle name="?? [0] 18 10 2" xfId="6356"/>
    <cellStyle name="?? [0] 18 11" xfId="201"/>
    <cellStyle name="?? [0] 18 11 2" xfId="6357"/>
    <cellStyle name="?? [0] 18 12" xfId="202"/>
    <cellStyle name="?? [0] 18 12 2" xfId="6358"/>
    <cellStyle name="?? [0] 18 13" xfId="203"/>
    <cellStyle name="?? [0] 18 13 2" xfId="6359"/>
    <cellStyle name="?? [0] 18 14" xfId="204"/>
    <cellStyle name="?? [0] 18 14 2" xfId="6360"/>
    <cellStyle name="?? [0] 18 15" xfId="205"/>
    <cellStyle name="?? [0] 18 15 2" xfId="6361"/>
    <cellStyle name="?? [0] 18 16" xfId="206"/>
    <cellStyle name="?? [0] 18 16 2" xfId="6362"/>
    <cellStyle name="?? [0] 18 17" xfId="207"/>
    <cellStyle name="?? [0] 18 17 2" xfId="6363"/>
    <cellStyle name="?? [0] 18 18" xfId="208"/>
    <cellStyle name="?? [0] 18 18 2" xfId="6364"/>
    <cellStyle name="?? [0] 18 19" xfId="209"/>
    <cellStyle name="?? [0] 18 19 2" xfId="6365"/>
    <cellStyle name="?? [0] 18 2" xfId="210"/>
    <cellStyle name="?? [0] 18 2 2" xfId="6366"/>
    <cellStyle name="?? [0] 18 20" xfId="211"/>
    <cellStyle name="?? [0] 18 20 2" xfId="6367"/>
    <cellStyle name="?? [0] 18 21" xfId="212"/>
    <cellStyle name="?? [0] 18 21 2" xfId="6368"/>
    <cellStyle name="?? [0] 18 22" xfId="6355"/>
    <cellStyle name="?? [0] 18 3" xfId="213"/>
    <cellStyle name="?? [0] 18 3 2" xfId="6369"/>
    <cellStyle name="?? [0] 18 4" xfId="214"/>
    <cellStyle name="?? [0] 18 4 2" xfId="6370"/>
    <cellStyle name="?? [0] 18 5" xfId="215"/>
    <cellStyle name="?? [0] 18 5 2" xfId="6371"/>
    <cellStyle name="?? [0] 18 6" xfId="216"/>
    <cellStyle name="?? [0] 18 6 2" xfId="6372"/>
    <cellStyle name="?? [0] 18 7" xfId="217"/>
    <cellStyle name="?? [0] 18 7 2" xfId="6373"/>
    <cellStyle name="?? [0] 18 8" xfId="218"/>
    <cellStyle name="?? [0] 18 8 2" xfId="6374"/>
    <cellStyle name="?? [0] 18 9" xfId="219"/>
    <cellStyle name="?? [0] 18 9 2" xfId="6375"/>
    <cellStyle name="?? [0] 19" xfId="220"/>
    <cellStyle name="?? [0] 19 10" xfId="221"/>
    <cellStyle name="?? [0] 19 10 2" xfId="6377"/>
    <cellStyle name="?? [0] 19 11" xfId="222"/>
    <cellStyle name="?? [0] 19 11 2" xfId="6378"/>
    <cellStyle name="?? [0] 19 12" xfId="223"/>
    <cellStyle name="?? [0] 19 12 2" xfId="6379"/>
    <cellStyle name="?? [0] 19 13" xfId="224"/>
    <cellStyle name="?? [0] 19 13 2" xfId="6380"/>
    <cellStyle name="?? [0] 19 14" xfId="225"/>
    <cellStyle name="?? [0] 19 14 2" xfId="6381"/>
    <cellStyle name="?? [0] 19 15" xfId="226"/>
    <cellStyle name="?? [0] 19 15 2" xfId="6382"/>
    <cellStyle name="?? [0] 19 16" xfId="227"/>
    <cellStyle name="?? [0] 19 16 2" xfId="6383"/>
    <cellStyle name="?? [0] 19 17" xfId="228"/>
    <cellStyle name="?? [0] 19 17 2" xfId="6384"/>
    <cellStyle name="?? [0] 19 18" xfId="229"/>
    <cellStyle name="?? [0] 19 18 2" xfId="6385"/>
    <cellStyle name="?? [0] 19 19" xfId="230"/>
    <cellStyle name="?? [0] 19 19 2" xfId="6386"/>
    <cellStyle name="?? [0] 19 2" xfId="231"/>
    <cellStyle name="?? [0] 19 2 2" xfId="6387"/>
    <cellStyle name="?? [0] 19 20" xfId="232"/>
    <cellStyle name="?? [0] 19 20 2" xfId="6388"/>
    <cellStyle name="?? [0] 19 21" xfId="233"/>
    <cellStyle name="?? [0] 19 21 2" xfId="6389"/>
    <cellStyle name="?? [0] 19 22" xfId="6376"/>
    <cellStyle name="?? [0] 19 3" xfId="234"/>
    <cellStyle name="?? [0] 19 3 2" xfId="6390"/>
    <cellStyle name="?? [0] 19 4" xfId="235"/>
    <cellStyle name="?? [0] 19 4 2" xfId="6391"/>
    <cellStyle name="?? [0] 19 5" xfId="236"/>
    <cellStyle name="?? [0] 19 5 2" xfId="6392"/>
    <cellStyle name="?? [0] 19 6" xfId="237"/>
    <cellStyle name="?? [0] 19 6 2" xfId="6393"/>
    <cellStyle name="?? [0] 19 7" xfId="238"/>
    <cellStyle name="?? [0] 19 7 2" xfId="6394"/>
    <cellStyle name="?? [0] 19 8" xfId="239"/>
    <cellStyle name="?? [0] 19 8 2" xfId="6395"/>
    <cellStyle name="?? [0] 19 9" xfId="240"/>
    <cellStyle name="?? [0] 19 9 2" xfId="6396"/>
    <cellStyle name="?? [0] 2" xfId="241"/>
    <cellStyle name="?? [0] 2 10" xfId="242"/>
    <cellStyle name="?? [0] 2 10 2" xfId="6398"/>
    <cellStyle name="?? [0] 2 11" xfId="243"/>
    <cellStyle name="?? [0] 2 11 2" xfId="6399"/>
    <cellStyle name="?? [0] 2 12" xfId="244"/>
    <cellStyle name="?? [0] 2 12 2" xfId="6400"/>
    <cellStyle name="?? [0] 2 13" xfId="245"/>
    <cellStyle name="?? [0] 2 13 2" xfId="6401"/>
    <cellStyle name="?? [0] 2 14" xfId="246"/>
    <cellStyle name="?? [0] 2 14 2" xfId="6402"/>
    <cellStyle name="?? [0] 2 15" xfId="247"/>
    <cellStyle name="?? [0] 2 15 2" xfId="6403"/>
    <cellStyle name="?? [0] 2 16" xfId="248"/>
    <cellStyle name="?? [0] 2 16 2" xfId="6404"/>
    <cellStyle name="?? [0] 2 17" xfId="249"/>
    <cellStyle name="?? [0] 2 17 2" xfId="6405"/>
    <cellStyle name="?? [0] 2 18" xfId="250"/>
    <cellStyle name="?? [0] 2 18 2" xfId="6406"/>
    <cellStyle name="?? [0] 2 19" xfId="251"/>
    <cellStyle name="?? [0] 2 19 2" xfId="6407"/>
    <cellStyle name="?? [0] 2 2" xfId="252"/>
    <cellStyle name="?? [0] 2 2 2" xfId="6408"/>
    <cellStyle name="?? [0] 2 20" xfId="253"/>
    <cellStyle name="?? [0] 2 20 2" xfId="6409"/>
    <cellStyle name="?? [0] 2 21" xfId="254"/>
    <cellStyle name="?? [0] 2 21 2" xfId="6410"/>
    <cellStyle name="?? [0] 2 22" xfId="255"/>
    <cellStyle name="?? [0] 2 22 2" xfId="6411"/>
    <cellStyle name="?? [0] 2 23" xfId="6397"/>
    <cellStyle name="?? [0] 2 3" xfId="256"/>
    <cellStyle name="?? [0] 2 3 2" xfId="6412"/>
    <cellStyle name="?? [0] 2 4" xfId="257"/>
    <cellStyle name="?? [0] 2 4 2" xfId="6413"/>
    <cellStyle name="?? [0] 2 5" xfId="258"/>
    <cellStyle name="?? [0] 2 5 2" xfId="6414"/>
    <cellStyle name="?? [0] 2 6" xfId="259"/>
    <cellStyle name="?? [0] 2 6 2" xfId="6415"/>
    <cellStyle name="?? [0] 2 7" xfId="260"/>
    <cellStyle name="?? [0] 2 7 2" xfId="6416"/>
    <cellStyle name="?? [0] 2 8" xfId="261"/>
    <cellStyle name="?? [0] 2 8 2" xfId="6417"/>
    <cellStyle name="?? [0] 2 9" xfId="262"/>
    <cellStyle name="?? [0] 2 9 2" xfId="6418"/>
    <cellStyle name="?? [0] 20" xfId="263"/>
    <cellStyle name="?? [0] 20 10" xfId="264"/>
    <cellStyle name="?? [0] 20 10 2" xfId="6420"/>
    <cellStyle name="?? [0] 20 11" xfId="265"/>
    <cellStyle name="?? [0] 20 11 2" xfId="6421"/>
    <cellStyle name="?? [0] 20 12" xfId="266"/>
    <cellStyle name="?? [0] 20 12 2" xfId="6422"/>
    <cellStyle name="?? [0] 20 13" xfId="267"/>
    <cellStyle name="?? [0] 20 13 2" xfId="6423"/>
    <cellStyle name="?? [0] 20 14" xfId="268"/>
    <cellStyle name="?? [0] 20 14 2" xfId="6424"/>
    <cellStyle name="?? [0] 20 15" xfId="269"/>
    <cellStyle name="?? [0] 20 15 2" xfId="6425"/>
    <cellStyle name="?? [0] 20 16" xfId="270"/>
    <cellStyle name="?? [0] 20 16 2" xfId="6426"/>
    <cellStyle name="?? [0] 20 17" xfId="271"/>
    <cellStyle name="?? [0] 20 17 2" xfId="6427"/>
    <cellStyle name="?? [0] 20 18" xfId="272"/>
    <cellStyle name="?? [0] 20 18 2" xfId="6428"/>
    <cellStyle name="?? [0] 20 19" xfId="273"/>
    <cellStyle name="?? [0] 20 19 2" xfId="6429"/>
    <cellStyle name="?? [0] 20 2" xfId="274"/>
    <cellStyle name="?? [0] 20 2 2" xfId="6430"/>
    <cellStyle name="?? [0] 20 20" xfId="275"/>
    <cellStyle name="?? [0] 20 20 2" xfId="6431"/>
    <cellStyle name="?? [0] 20 21" xfId="276"/>
    <cellStyle name="?? [0] 20 21 2" xfId="6432"/>
    <cellStyle name="?? [0] 20 22" xfId="6419"/>
    <cellStyle name="?? [0] 20 3" xfId="277"/>
    <cellStyle name="?? [0] 20 3 2" xfId="6433"/>
    <cellStyle name="?? [0] 20 4" xfId="278"/>
    <cellStyle name="?? [0] 20 4 2" xfId="6434"/>
    <cellStyle name="?? [0] 20 5" xfId="279"/>
    <cellStyle name="?? [0] 20 5 2" xfId="6435"/>
    <cellStyle name="?? [0] 20 6" xfId="280"/>
    <cellStyle name="?? [0] 20 6 2" xfId="6436"/>
    <cellStyle name="?? [0] 20 7" xfId="281"/>
    <cellStyle name="?? [0] 20 7 2" xfId="6437"/>
    <cellStyle name="?? [0] 20 8" xfId="282"/>
    <cellStyle name="?? [0] 20 8 2" xfId="6438"/>
    <cellStyle name="?? [0] 20 9" xfId="283"/>
    <cellStyle name="?? [0] 20 9 2" xfId="6439"/>
    <cellStyle name="?? [0] 21" xfId="284"/>
    <cellStyle name="?? [0] 21 10" xfId="285"/>
    <cellStyle name="?? [0] 21 10 2" xfId="6441"/>
    <cellStyle name="?? [0] 21 11" xfId="286"/>
    <cellStyle name="?? [0] 21 11 2" xfId="6442"/>
    <cellStyle name="?? [0] 21 12" xfId="287"/>
    <cellStyle name="?? [0] 21 12 2" xfId="6443"/>
    <cellStyle name="?? [0] 21 13" xfId="288"/>
    <cellStyle name="?? [0] 21 13 2" xfId="6444"/>
    <cellStyle name="?? [0] 21 14" xfId="289"/>
    <cellStyle name="?? [0] 21 14 2" xfId="6445"/>
    <cellStyle name="?? [0] 21 15" xfId="290"/>
    <cellStyle name="?? [0] 21 15 2" xfId="6446"/>
    <cellStyle name="?? [0] 21 16" xfId="291"/>
    <cellStyle name="?? [0] 21 16 2" xfId="6447"/>
    <cellStyle name="?? [0] 21 17" xfId="292"/>
    <cellStyle name="?? [0] 21 17 2" xfId="6448"/>
    <cellStyle name="?? [0] 21 18" xfId="293"/>
    <cellStyle name="?? [0] 21 18 2" xfId="6449"/>
    <cellStyle name="?? [0] 21 19" xfId="294"/>
    <cellStyle name="?? [0] 21 19 2" xfId="6450"/>
    <cellStyle name="?? [0] 21 2" xfId="295"/>
    <cellStyle name="?? [0] 21 2 2" xfId="6451"/>
    <cellStyle name="?? [0] 21 20" xfId="296"/>
    <cellStyle name="?? [0] 21 20 2" xfId="6452"/>
    <cellStyle name="?? [0] 21 21" xfId="297"/>
    <cellStyle name="?? [0] 21 21 2" xfId="6453"/>
    <cellStyle name="?? [0] 21 22" xfId="6440"/>
    <cellStyle name="?? [0] 21 3" xfId="298"/>
    <cellStyle name="?? [0] 21 3 2" xfId="6454"/>
    <cellStyle name="?? [0] 21 4" xfId="299"/>
    <cellStyle name="?? [0] 21 4 2" xfId="6455"/>
    <cellStyle name="?? [0] 21 5" xfId="300"/>
    <cellStyle name="?? [0] 21 5 2" xfId="6456"/>
    <cellStyle name="?? [0] 21 6" xfId="301"/>
    <cellStyle name="?? [0] 21 6 2" xfId="6457"/>
    <cellStyle name="?? [0] 21 7" xfId="302"/>
    <cellStyle name="?? [0] 21 7 2" xfId="6458"/>
    <cellStyle name="?? [0] 21 8" xfId="303"/>
    <cellStyle name="?? [0] 21 8 2" xfId="6459"/>
    <cellStyle name="?? [0] 21 9" xfId="304"/>
    <cellStyle name="?? [0] 21 9 2" xfId="6460"/>
    <cellStyle name="?? [0] 22" xfId="305"/>
    <cellStyle name="?? [0] 22 10" xfId="306"/>
    <cellStyle name="?? [0] 22 10 2" xfId="6462"/>
    <cellStyle name="?? [0] 22 11" xfId="307"/>
    <cellStyle name="?? [0] 22 11 2" xfId="6463"/>
    <cellStyle name="?? [0] 22 12" xfId="308"/>
    <cellStyle name="?? [0] 22 12 2" xfId="6464"/>
    <cellStyle name="?? [0] 22 13" xfId="309"/>
    <cellStyle name="?? [0] 22 13 2" xfId="6465"/>
    <cellStyle name="?? [0] 22 14" xfId="310"/>
    <cellStyle name="?? [0] 22 14 2" xfId="6466"/>
    <cellStyle name="?? [0] 22 15" xfId="311"/>
    <cellStyle name="?? [0] 22 15 2" xfId="6467"/>
    <cellStyle name="?? [0] 22 16" xfId="312"/>
    <cellStyle name="?? [0] 22 16 2" xfId="6468"/>
    <cellStyle name="?? [0] 22 17" xfId="313"/>
    <cellStyle name="?? [0] 22 17 2" xfId="6469"/>
    <cellStyle name="?? [0] 22 18" xfId="314"/>
    <cellStyle name="?? [0] 22 18 2" xfId="6470"/>
    <cellStyle name="?? [0] 22 19" xfId="315"/>
    <cellStyle name="?? [0] 22 19 2" xfId="6471"/>
    <cellStyle name="?? [0] 22 2" xfId="316"/>
    <cellStyle name="?? [0] 22 2 2" xfId="6472"/>
    <cellStyle name="?? [0] 22 20" xfId="317"/>
    <cellStyle name="?? [0] 22 20 2" xfId="6473"/>
    <cellStyle name="?? [0] 22 21" xfId="318"/>
    <cellStyle name="?? [0] 22 21 2" xfId="6474"/>
    <cellStyle name="?? [0] 22 22" xfId="6461"/>
    <cellStyle name="?? [0] 22 3" xfId="319"/>
    <cellStyle name="?? [0] 22 3 2" xfId="6475"/>
    <cellStyle name="?? [0] 22 4" xfId="320"/>
    <cellStyle name="?? [0] 22 4 2" xfId="6476"/>
    <cellStyle name="?? [0] 22 5" xfId="321"/>
    <cellStyle name="?? [0] 22 5 2" xfId="6477"/>
    <cellStyle name="?? [0] 22 6" xfId="322"/>
    <cellStyle name="?? [0] 22 6 2" xfId="6478"/>
    <cellStyle name="?? [0] 22 7" xfId="323"/>
    <cellStyle name="?? [0] 22 7 2" xfId="6479"/>
    <cellStyle name="?? [0] 22 8" xfId="324"/>
    <cellStyle name="?? [0] 22 8 2" xfId="6480"/>
    <cellStyle name="?? [0] 22 9" xfId="325"/>
    <cellStyle name="?? [0] 22 9 2" xfId="6481"/>
    <cellStyle name="?? [0] 23" xfId="326"/>
    <cellStyle name="?? [0] 23 10" xfId="327"/>
    <cellStyle name="?? [0] 23 10 2" xfId="6483"/>
    <cellStyle name="?? [0] 23 11" xfId="328"/>
    <cellStyle name="?? [0] 23 11 2" xfId="6484"/>
    <cellStyle name="?? [0] 23 12" xfId="329"/>
    <cellStyle name="?? [0] 23 12 2" xfId="6485"/>
    <cellStyle name="?? [0] 23 13" xfId="330"/>
    <cellStyle name="?? [0] 23 13 2" xfId="6486"/>
    <cellStyle name="?? [0] 23 14" xfId="331"/>
    <cellStyle name="?? [0] 23 14 2" xfId="6487"/>
    <cellStyle name="?? [0] 23 15" xfId="332"/>
    <cellStyle name="?? [0] 23 15 2" xfId="6488"/>
    <cellStyle name="?? [0] 23 16" xfId="333"/>
    <cellStyle name="?? [0] 23 16 2" xfId="6489"/>
    <cellStyle name="?? [0] 23 17" xfId="334"/>
    <cellStyle name="?? [0] 23 17 2" xfId="6490"/>
    <cellStyle name="?? [0] 23 18" xfId="335"/>
    <cellStyle name="?? [0] 23 18 2" xfId="6491"/>
    <cellStyle name="?? [0] 23 19" xfId="336"/>
    <cellStyle name="?? [0] 23 19 2" xfId="6492"/>
    <cellStyle name="?? [0] 23 2" xfId="337"/>
    <cellStyle name="?? [0] 23 2 2" xfId="6493"/>
    <cellStyle name="?? [0] 23 20" xfId="338"/>
    <cellStyle name="?? [0] 23 20 2" xfId="6494"/>
    <cellStyle name="?? [0] 23 21" xfId="339"/>
    <cellStyle name="?? [0] 23 21 2" xfId="6495"/>
    <cellStyle name="?? [0] 23 22" xfId="6482"/>
    <cellStyle name="?? [0] 23 3" xfId="340"/>
    <cellStyle name="?? [0] 23 3 2" xfId="6496"/>
    <cellStyle name="?? [0] 23 4" xfId="341"/>
    <cellStyle name="?? [0] 23 4 2" xfId="6497"/>
    <cellStyle name="?? [0] 23 5" xfId="342"/>
    <cellStyle name="?? [0] 23 5 2" xfId="6498"/>
    <cellStyle name="?? [0] 23 6" xfId="343"/>
    <cellStyle name="?? [0] 23 6 2" xfId="6499"/>
    <cellStyle name="?? [0] 23 7" xfId="344"/>
    <cellStyle name="?? [0] 23 7 2" xfId="6500"/>
    <cellStyle name="?? [0] 23 8" xfId="345"/>
    <cellStyle name="?? [0] 23 8 2" xfId="6501"/>
    <cellStyle name="?? [0] 23 9" xfId="346"/>
    <cellStyle name="?? [0] 23 9 2" xfId="6502"/>
    <cellStyle name="?? [0] 24" xfId="347"/>
    <cellStyle name="?? [0] 24 10" xfId="348"/>
    <cellStyle name="?? [0] 24 10 2" xfId="6504"/>
    <cellStyle name="?? [0] 24 11" xfId="349"/>
    <cellStyle name="?? [0] 24 11 2" xfId="6505"/>
    <cellStyle name="?? [0] 24 12" xfId="350"/>
    <cellStyle name="?? [0] 24 12 2" xfId="6506"/>
    <cellStyle name="?? [0] 24 13" xfId="351"/>
    <cellStyle name="?? [0] 24 13 2" xfId="6507"/>
    <cellStyle name="?? [0] 24 14" xfId="352"/>
    <cellStyle name="?? [0] 24 14 2" xfId="6508"/>
    <cellStyle name="?? [0] 24 15" xfId="353"/>
    <cellStyle name="?? [0] 24 15 2" xfId="6509"/>
    <cellStyle name="?? [0] 24 16" xfId="354"/>
    <cellStyle name="?? [0] 24 16 2" xfId="6510"/>
    <cellStyle name="?? [0] 24 17" xfId="355"/>
    <cellStyle name="?? [0] 24 17 2" xfId="6511"/>
    <cellStyle name="?? [0] 24 18" xfId="356"/>
    <cellStyle name="?? [0] 24 18 2" xfId="6512"/>
    <cellStyle name="?? [0] 24 19" xfId="357"/>
    <cellStyle name="?? [0] 24 19 2" xfId="6513"/>
    <cellStyle name="?? [0] 24 2" xfId="358"/>
    <cellStyle name="?? [0] 24 2 2" xfId="6514"/>
    <cellStyle name="?? [0] 24 20" xfId="359"/>
    <cellStyle name="?? [0] 24 20 2" xfId="6515"/>
    <cellStyle name="?? [0] 24 21" xfId="360"/>
    <cellStyle name="?? [0] 24 21 2" xfId="6516"/>
    <cellStyle name="?? [0] 24 22" xfId="6503"/>
    <cellStyle name="?? [0] 24 3" xfId="361"/>
    <cellStyle name="?? [0] 24 3 2" xfId="6517"/>
    <cellStyle name="?? [0] 24 4" xfId="362"/>
    <cellStyle name="?? [0] 24 4 2" xfId="6518"/>
    <cellStyle name="?? [0] 24 5" xfId="363"/>
    <cellStyle name="?? [0] 24 5 2" xfId="6519"/>
    <cellStyle name="?? [0] 24 6" xfId="364"/>
    <cellStyle name="?? [0] 24 6 2" xfId="6520"/>
    <cellStyle name="?? [0] 24 7" xfId="365"/>
    <cellStyle name="?? [0] 24 7 2" xfId="6521"/>
    <cellStyle name="?? [0] 24 8" xfId="366"/>
    <cellStyle name="?? [0] 24 8 2" xfId="6522"/>
    <cellStyle name="?? [0] 24 9" xfId="367"/>
    <cellStyle name="?? [0] 24 9 2" xfId="6523"/>
    <cellStyle name="?? [0] 25" xfId="368"/>
    <cellStyle name="?? [0] 25 10" xfId="369"/>
    <cellStyle name="?? [0] 25 10 2" xfId="6525"/>
    <cellStyle name="?? [0] 25 11" xfId="370"/>
    <cellStyle name="?? [0] 25 11 2" xfId="6526"/>
    <cellStyle name="?? [0] 25 12" xfId="371"/>
    <cellStyle name="?? [0] 25 12 2" xfId="6527"/>
    <cellStyle name="?? [0] 25 13" xfId="372"/>
    <cellStyle name="?? [0] 25 13 2" xfId="6528"/>
    <cellStyle name="?? [0] 25 14" xfId="373"/>
    <cellStyle name="?? [0] 25 14 2" xfId="6529"/>
    <cellStyle name="?? [0] 25 15" xfId="374"/>
    <cellStyle name="?? [0] 25 15 2" xfId="6530"/>
    <cellStyle name="?? [0] 25 16" xfId="375"/>
    <cellStyle name="?? [0] 25 16 2" xfId="6531"/>
    <cellStyle name="?? [0] 25 17" xfId="376"/>
    <cellStyle name="?? [0] 25 17 2" xfId="6532"/>
    <cellStyle name="?? [0] 25 18" xfId="377"/>
    <cellStyle name="?? [0] 25 18 2" xfId="6533"/>
    <cellStyle name="?? [0] 25 19" xfId="378"/>
    <cellStyle name="?? [0] 25 19 2" xfId="6534"/>
    <cellStyle name="?? [0] 25 2" xfId="379"/>
    <cellStyle name="?? [0] 25 2 2" xfId="6535"/>
    <cellStyle name="?? [0] 25 20" xfId="380"/>
    <cellStyle name="?? [0] 25 20 2" xfId="6536"/>
    <cellStyle name="?? [0] 25 21" xfId="381"/>
    <cellStyle name="?? [0] 25 21 2" xfId="6537"/>
    <cellStyle name="?? [0] 25 22" xfId="6524"/>
    <cellStyle name="?? [0] 25 3" xfId="382"/>
    <cellStyle name="?? [0] 25 3 2" xfId="6538"/>
    <cellStyle name="?? [0] 25 4" xfId="383"/>
    <cellStyle name="?? [0] 25 4 2" xfId="6539"/>
    <cellStyle name="?? [0] 25 5" xfId="384"/>
    <cellStyle name="?? [0] 25 5 2" xfId="6540"/>
    <cellStyle name="?? [0] 25 6" xfId="385"/>
    <cellStyle name="?? [0] 25 6 2" xfId="6541"/>
    <cellStyle name="?? [0] 25 7" xfId="386"/>
    <cellStyle name="?? [0] 25 7 2" xfId="6542"/>
    <cellStyle name="?? [0] 25 8" xfId="387"/>
    <cellStyle name="?? [0] 25 8 2" xfId="6543"/>
    <cellStyle name="?? [0] 25 9" xfId="388"/>
    <cellStyle name="?? [0] 25 9 2" xfId="6544"/>
    <cellStyle name="?? [0] 26" xfId="389"/>
    <cellStyle name="?? [0] 26 10" xfId="390"/>
    <cellStyle name="?? [0] 26 10 2" xfId="6546"/>
    <cellStyle name="?? [0] 26 11" xfId="391"/>
    <cellStyle name="?? [0] 26 11 2" xfId="6547"/>
    <cellStyle name="?? [0] 26 12" xfId="392"/>
    <cellStyle name="?? [0] 26 12 2" xfId="6548"/>
    <cellStyle name="?? [0] 26 13" xfId="393"/>
    <cellStyle name="?? [0] 26 13 2" xfId="6549"/>
    <cellStyle name="?? [0] 26 14" xfId="394"/>
    <cellStyle name="?? [0] 26 14 2" xfId="6550"/>
    <cellStyle name="?? [0] 26 15" xfId="395"/>
    <cellStyle name="?? [0] 26 15 2" xfId="6551"/>
    <cellStyle name="?? [0] 26 16" xfId="396"/>
    <cellStyle name="?? [0] 26 16 2" xfId="6552"/>
    <cellStyle name="?? [0] 26 17" xfId="397"/>
    <cellStyle name="?? [0] 26 17 2" xfId="6553"/>
    <cellStyle name="?? [0] 26 18" xfId="398"/>
    <cellStyle name="?? [0] 26 18 2" xfId="6554"/>
    <cellStyle name="?? [0] 26 19" xfId="399"/>
    <cellStyle name="?? [0] 26 19 2" xfId="6555"/>
    <cellStyle name="?? [0] 26 2" xfId="400"/>
    <cellStyle name="?? [0] 26 2 2" xfId="6556"/>
    <cellStyle name="?? [0] 26 20" xfId="401"/>
    <cellStyle name="?? [0] 26 20 2" xfId="6557"/>
    <cellStyle name="?? [0] 26 21" xfId="402"/>
    <cellStyle name="?? [0] 26 21 2" xfId="6558"/>
    <cellStyle name="?? [0] 26 22" xfId="6545"/>
    <cellStyle name="?? [0] 26 3" xfId="403"/>
    <cellStyle name="?? [0] 26 3 2" xfId="6559"/>
    <cellStyle name="?? [0] 26 4" xfId="404"/>
    <cellStyle name="?? [0] 26 4 2" xfId="6560"/>
    <cellStyle name="?? [0] 26 5" xfId="405"/>
    <cellStyle name="?? [0] 26 5 2" xfId="6561"/>
    <cellStyle name="?? [0] 26 6" xfId="406"/>
    <cellStyle name="?? [0] 26 6 2" xfId="6562"/>
    <cellStyle name="?? [0] 26 7" xfId="407"/>
    <cellStyle name="?? [0] 26 7 2" xfId="6563"/>
    <cellStyle name="?? [0] 26 8" xfId="408"/>
    <cellStyle name="?? [0] 26 8 2" xfId="6564"/>
    <cellStyle name="?? [0] 26 9" xfId="409"/>
    <cellStyle name="?? [0] 26 9 2" xfId="6565"/>
    <cellStyle name="?? [0] 27" xfId="410"/>
    <cellStyle name="?? [0] 27 2" xfId="6566"/>
    <cellStyle name="?? [0] 28" xfId="411"/>
    <cellStyle name="?? [0] 28 2" xfId="6567"/>
    <cellStyle name="?? [0] 29" xfId="412"/>
    <cellStyle name="?? [0] 29 2" xfId="6568"/>
    <cellStyle name="?? [0] 3" xfId="413"/>
    <cellStyle name="?? [0] 3 10" xfId="414"/>
    <cellStyle name="?? [0] 3 10 2" xfId="6570"/>
    <cellStyle name="?? [0] 3 11" xfId="415"/>
    <cellStyle name="?? [0] 3 11 2" xfId="6571"/>
    <cellStyle name="?? [0] 3 12" xfId="416"/>
    <cellStyle name="?? [0] 3 12 2" xfId="6572"/>
    <cellStyle name="?? [0] 3 13" xfId="417"/>
    <cellStyle name="?? [0] 3 13 2" xfId="6573"/>
    <cellStyle name="?? [0] 3 14" xfId="418"/>
    <cellStyle name="?? [0] 3 14 2" xfId="6574"/>
    <cellStyle name="?? [0] 3 15" xfId="419"/>
    <cellStyle name="?? [0] 3 15 2" xfId="6575"/>
    <cellStyle name="?? [0] 3 16" xfId="420"/>
    <cellStyle name="?? [0] 3 16 2" xfId="6576"/>
    <cellStyle name="?? [0] 3 17" xfId="421"/>
    <cellStyle name="?? [0] 3 17 2" xfId="6577"/>
    <cellStyle name="?? [0] 3 18" xfId="422"/>
    <cellStyle name="?? [0] 3 18 2" xfId="6578"/>
    <cellStyle name="?? [0] 3 19" xfId="423"/>
    <cellStyle name="?? [0] 3 19 2" xfId="6579"/>
    <cellStyle name="?? [0] 3 2" xfId="424"/>
    <cellStyle name="?? [0] 3 2 2" xfId="6580"/>
    <cellStyle name="?? [0] 3 20" xfId="425"/>
    <cellStyle name="?? [0] 3 20 2" xfId="6581"/>
    <cellStyle name="?? [0] 3 21" xfId="426"/>
    <cellStyle name="?? [0] 3 21 2" xfId="6582"/>
    <cellStyle name="?? [0] 3 22" xfId="427"/>
    <cellStyle name="?? [0] 3 22 2" xfId="6583"/>
    <cellStyle name="?? [0] 3 23" xfId="6569"/>
    <cellStyle name="?? [0] 3 3" xfId="428"/>
    <cellStyle name="?? [0] 3 3 2" xfId="6584"/>
    <cellStyle name="?? [0] 3 4" xfId="429"/>
    <cellStyle name="?? [0] 3 4 2" xfId="6585"/>
    <cellStyle name="?? [0] 3 5" xfId="430"/>
    <cellStyle name="?? [0] 3 5 2" xfId="6586"/>
    <cellStyle name="?? [0] 3 6" xfId="431"/>
    <cellStyle name="?? [0] 3 6 2" xfId="6587"/>
    <cellStyle name="?? [0] 3 7" xfId="432"/>
    <cellStyle name="?? [0] 3 7 2" xfId="6588"/>
    <cellStyle name="?? [0] 3 8" xfId="433"/>
    <cellStyle name="?? [0] 3 8 2" xfId="6589"/>
    <cellStyle name="?? [0] 3 9" xfId="434"/>
    <cellStyle name="?? [0] 3 9 2" xfId="6590"/>
    <cellStyle name="?? [0] 30" xfId="435"/>
    <cellStyle name="?? [0] 30 2" xfId="6591"/>
    <cellStyle name="?? [0] 31" xfId="436"/>
    <cellStyle name="?? [0] 31 2" xfId="6592"/>
    <cellStyle name="?? [0] 32" xfId="437"/>
    <cellStyle name="?? [0] 32 2" xfId="6593"/>
    <cellStyle name="?? [0] 33" xfId="438"/>
    <cellStyle name="?? [0] 33 2" xfId="6594"/>
    <cellStyle name="?? [0] 34" xfId="439"/>
    <cellStyle name="?? [0] 34 2" xfId="6595"/>
    <cellStyle name="?? [0] 35" xfId="440"/>
    <cellStyle name="?? [0] 35 2" xfId="6596"/>
    <cellStyle name="?? [0] 36" xfId="441"/>
    <cellStyle name="?? [0] 36 2" xfId="6597"/>
    <cellStyle name="?? [0] 37" xfId="442"/>
    <cellStyle name="?? [0] 37 2" xfId="6598"/>
    <cellStyle name="?? [0] 38" xfId="443"/>
    <cellStyle name="?? [0] 38 2" xfId="6599"/>
    <cellStyle name="?? [0] 39" xfId="444"/>
    <cellStyle name="?? [0] 39 2" xfId="6600"/>
    <cellStyle name="?? [0] 4" xfId="445"/>
    <cellStyle name="?? [0] 4 2" xfId="6601"/>
    <cellStyle name="?? [0] 40" xfId="446"/>
    <cellStyle name="?? [0] 40 2" xfId="6602"/>
    <cellStyle name="?? [0] 41" xfId="447"/>
    <cellStyle name="?? [0] 41 2" xfId="6603"/>
    <cellStyle name="?? [0] 42" xfId="448"/>
    <cellStyle name="?? [0] 42 2" xfId="6604"/>
    <cellStyle name="?? [0] 43" xfId="449"/>
    <cellStyle name="?? [0] 43 2" xfId="6605"/>
    <cellStyle name="?? [0] 44" xfId="450"/>
    <cellStyle name="?? [0] 44 2" xfId="6606"/>
    <cellStyle name="?? [0] 45" xfId="451"/>
    <cellStyle name="?? [0] 45 2" xfId="6607"/>
    <cellStyle name="?? [0] 46" xfId="452"/>
    <cellStyle name="?? [0] 46 2" xfId="6608"/>
    <cellStyle name="?? [0] 47" xfId="453"/>
    <cellStyle name="?? [0] 47 2" xfId="6609"/>
    <cellStyle name="?? [0] 48" xfId="6186"/>
    <cellStyle name="?? [0] 5" xfId="454"/>
    <cellStyle name="?? [0] 5 10" xfId="455"/>
    <cellStyle name="?? [0] 5 10 2" xfId="6611"/>
    <cellStyle name="?? [0] 5 11" xfId="456"/>
    <cellStyle name="?? [0] 5 11 2" xfId="6612"/>
    <cellStyle name="?? [0] 5 12" xfId="457"/>
    <cellStyle name="?? [0] 5 12 2" xfId="6613"/>
    <cellStyle name="?? [0] 5 13" xfId="458"/>
    <cellStyle name="?? [0] 5 13 2" xfId="6614"/>
    <cellStyle name="?? [0] 5 14" xfId="459"/>
    <cellStyle name="?? [0] 5 14 2" xfId="6615"/>
    <cellStyle name="?? [0] 5 15" xfId="460"/>
    <cellStyle name="?? [0] 5 15 2" xfId="6616"/>
    <cellStyle name="?? [0] 5 16" xfId="461"/>
    <cellStyle name="?? [0] 5 16 2" xfId="6617"/>
    <cellStyle name="?? [0] 5 17" xfId="462"/>
    <cellStyle name="?? [0] 5 17 2" xfId="6618"/>
    <cellStyle name="?? [0] 5 18" xfId="463"/>
    <cellStyle name="?? [0] 5 18 2" xfId="6619"/>
    <cellStyle name="?? [0] 5 19" xfId="464"/>
    <cellStyle name="?? [0] 5 19 2" xfId="6620"/>
    <cellStyle name="?? [0] 5 2" xfId="465"/>
    <cellStyle name="?? [0] 5 2 2" xfId="6621"/>
    <cellStyle name="?? [0] 5 20" xfId="466"/>
    <cellStyle name="?? [0] 5 20 2" xfId="6622"/>
    <cellStyle name="?? [0] 5 21" xfId="467"/>
    <cellStyle name="?? [0] 5 21 2" xfId="6623"/>
    <cellStyle name="?? [0] 5 22" xfId="6610"/>
    <cellStyle name="?? [0] 5 3" xfId="468"/>
    <cellStyle name="?? [0] 5 3 2" xfId="6624"/>
    <cellStyle name="?? [0] 5 4" xfId="469"/>
    <cellStyle name="?? [0] 5 4 2" xfId="6625"/>
    <cellStyle name="?? [0] 5 5" xfId="470"/>
    <cellStyle name="?? [0] 5 5 2" xfId="6626"/>
    <cellStyle name="?? [0] 5 6" xfId="471"/>
    <cellStyle name="?? [0] 5 6 2" xfId="6627"/>
    <cellStyle name="?? [0] 5 7" xfId="472"/>
    <cellStyle name="?? [0] 5 7 2" xfId="6628"/>
    <cellStyle name="?? [0] 5 8" xfId="473"/>
    <cellStyle name="?? [0] 5 8 2" xfId="6629"/>
    <cellStyle name="?? [0] 5 9" xfId="474"/>
    <cellStyle name="?? [0] 5 9 2" xfId="6630"/>
    <cellStyle name="?? [0] 6" xfId="475"/>
    <cellStyle name="?? [0] 6 10" xfId="476"/>
    <cellStyle name="?? [0] 6 10 2" xfId="6632"/>
    <cellStyle name="?? [0] 6 11" xfId="477"/>
    <cellStyle name="?? [0] 6 11 2" xfId="6633"/>
    <cellStyle name="?? [0] 6 12" xfId="478"/>
    <cellStyle name="?? [0] 6 12 2" xfId="6634"/>
    <cellStyle name="?? [0] 6 13" xfId="479"/>
    <cellStyle name="?? [0] 6 13 2" xfId="6635"/>
    <cellStyle name="?? [0] 6 14" xfId="480"/>
    <cellStyle name="?? [0] 6 14 2" xfId="6636"/>
    <cellStyle name="?? [0] 6 15" xfId="481"/>
    <cellStyle name="?? [0] 6 15 2" xfId="6637"/>
    <cellStyle name="?? [0] 6 16" xfId="482"/>
    <cellStyle name="?? [0] 6 16 2" xfId="6638"/>
    <cellStyle name="?? [0] 6 17" xfId="483"/>
    <cellStyle name="?? [0] 6 17 2" xfId="6639"/>
    <cellStyle name="?? [0] 6 18" xfId="484"/>
    <cellStyle name="?? [0] 6 18 2" xfId="6640"/>
    <cellStyle name="?? [0] 6 19" xfId="485"/>
    <cellStyle name="?? [0] 6 19 2" xfId="6641"/>
    <cellStyle name="?? [0] 6 2" xfId="486"/>
    <cellStyle name="?? [0] 6 2 2" xfId="6642"/>
    <cellStyle name="?? [0] 6 20" xfId="487"/>
    <cellStyle name="?? [0] 6 20 2" xfId="6643"/>
    <cellStyle name="?? [0] 6 21" xfId="488"/>
    <cellStyle name="?? [0] 6 21 2" xfId="6644"/>
    <cellStyle name="?? [0] 6 22" xfId="6631"/>
    <cellStyle name="?? [0] 6 3" xfId="489"/>
    <cellStyle name="?? [0] 6 3 2" xfId="6645"/>
    <cellStyle name="?? [0] 6 4" xfId="490"/>
    <cellStyle name="?? [0] 6 4 2" xfId="6646"/>
    <cellStyle name="?? [0] 6 5" xfId="491"/>
    <cellStyle name="?? [0] 6 5 2" xfId="6647"/>
    <cellStyle name="?? [0] 6 6" xfId="492"/>
    <cellStyle name="?? [0] 6 6 2" xfId="6648"/>
    <cellStyle name="?? [0] 6 7" xfId="493"/>
    <cellStyle name="?? [0] 6 7 2" xfId="6649"/>
    <cellStyle name="?? [0] 6 8" xfId="494"/>
    <cellStyle name="?? [0] 6 8 2" xfId="6650"/>
    <cellStyle name="?? [0] 6 9" xfId="495"/>
    <cellStyle name="?? [0] 6 9 2" xfId="6651"/>
    <cellStyle name="?? [0] 7" xfId="496"/>
    <cellStyle name="?? [0] 7 10" xfId="497"/>
    <cellStyle name="?? [0] 7 10 2" xfId="6653"/>
    <cellStyle name="?? [0] 7 11" xfId="498"/>
    <cellStyle name="?? [0] 7 11 2" xfId="6654"/>
    <cellStyle name="?? [0] 7 12" xfId="499"/>
    <cellStyle name="?? [0] 7 12 2" xfId="6655"/>
    <cellStyle name="?? [0] 7 13" xfId="500"/>
    <cellStyle name="?? [0] 7 13 2" xfId="6656"/>
    <cellStyle name="?? [0] 7 14" xfId="501"/>
    <cellStyle name="?? [0] 7 14 2" xfId="6657"/>
    <cellStyle name="?? [0] 7 15" xfId="502"/>
    <cellStyle name="?? [0] 7 15 2" xfId="6658"/>
    <cellStyle name="?? [0] 7 16" xfId="503"/>
    <cellStyle name="?? [0] 7 16 2" xfId="6659"/>
    <cellStyle name="?? [0] 7 17" xfId="504"/>
    <cellStyle name="?? [0] 7 17 2" xfId="6660"/>
    <cellStyle name="?? [0] 7 18" xfId="505"/>
    <cellStyle name="?? [0] 7 18 2" xfId="6661"/>
    <cellStyle name="?? [0] 7 19" xfId="506"/>
    <cellStyle name="?? [0] 7 19 2" xfId="6662"/>
    <cellStyle name="?? [0] 7 2" xfId="507"/>
    <cellStyle name="?? [0] 7 2 2" xfId="6663"/>
    <cellStyle name="?? [0] 7 20" xfId="508"/>
    <cellStyle name="?? [0] 7 20 2" xfId="6664"/>
    <cellStyle name="?? [0] 7 21" xfId="509"/>
    <cellStyle name="?? [0] 7 21 2" xfId="6665"/>
    <cellStyle name="?? [0] 7 22" xfId="6652"/>
    <cellStyle name="?? [0] 7 3" xfId="510"/>
    <cellStyle name="?? [0] 7 3 2" xfId="6666"/>
    <cellStyle name="?? [0] 7 4" xfId="511"/>
    <cellStyle name="?? [0] 7 4 2" xfId="6667"/>
    <cellStyle name="?? [0] 7 5" xfId="512"/>
    <cellStyle name="?? [0] 7 5 2" xfId="6668"/>
    <cellStyle name="?? [0] 7 6" xfId="513"/>
    <cellStyle name="?? [0] 7 6 2" xfId="6669"/>
    <cellStyle name="?? [0] 7 7" xfId="514"/>
    <cellStyle name="?? [0] 7 7 2" xfId="6670"/>
    <cellStyle name="?? [0] 7 8" xfId="515"/>
    <cellStyle name="?? [0] 7 8 2" xfId="6671"/>
    <cellStyle name="?? [0] 7 9" xfId="516"/>
    <cellStyle name="?? [0] 7 9 2" xfId="6672"/>
    <cellStyle name="?? [0] 8" xfId="517"/>
    <cellStyle name="?? [0] 8 10" xfId="518"/>
    <cellStyle name="?? [0] 8 10 2" xfId="6674"/>
    <cellStyle name="?? [0] 8 11" xfId="519"/>
    <cellStyle name="?? [0] 8 11 2" xfId="6675"/>
    <cellStyle name="?? [0] 8 12" xfId="520"/>
    <cellStyle name="?? [0] 8 12 2" xfId="6676"/>
    <cellStyle name="?? [0] 8 13" xfId="521"/>
    <cellStyle name="?? [0] 8 13 2" xfId="6677"/>
    <cellStyle name="?? [0] 8 14" xfId="522"/>
    <cellStyle name="?? [0] 8 14 2" xfId="6678"/>
    <cellStyle name="?? [0] 8 15" xfId="523"/>
    <cellStyle name="?? [0] 8 15 2" xfId="6679"/>
    <cellStyle name="?? [0] 8 16" xfId="524"/>
    <cellStyle name="?? [0] 8 16 2" xfId="6680"/>
    <cellStyle name="?? [0] 8 17" xfId="525"/>
    <cellStyle name="?? [0] 8 17 2" xfId="6681"/>
    <cellStyle name="?? [0] 8 18" xfId="526"/>
    <cellStyle name="?? [0] 8 18 2" xfId="6682"/>
    <cellStyle name="?? [0] 8 19" xfId="527"/>
    <cellStyle name="?? [0] 8 19 2" xfId="6683"/>
    <cellStyle name="?? [0] 8 2" xfId="528"/>
    <cellStyle name="?? [0] 8 2 2" xfId="6684"/>
    <cellStyle name="?? [0] 8 20" xfId="529"/>
    <cellStyle name="?? [0] 8 20 2" xfId="6685"/>
    <cellStyle name="?? [0] 8 21" xfId="530"/>
    <cellStyle name="?? [0] 8 21 2" xfId="6686"/>
    <cellStyle name="?? [0] 8 22" xfId="6673"/>
    <cellStyle name="?? [0] 8 3" xfId="531"/>
    <cellStyle name="?? [0] 8 3 2" xfId="6687"/>
    <cellStyle name="?? [0] 8 4" xfId="532"/>
    <cellStyle name="?? [0] 8 4 2" xfId="6688"/>
    <cellStyle name="?? [0] 8 5" xfId="533"/>
    <cellStyle name="?? [0] 8 5 2" xfId="6689"/>
    <cellStyle name="?? [0] 8 6" xfId="534"/>
    <cellStyle name="?? [0] 8 6 2" xfId="6690"/>
    <cellStyle name="?? [0] 8 7" xfId="535"/>
    <cellStyle name="?? [0] 8 7 2" xfId="6691"/>
    <cellStyle name="?? [0] 8 8" xfId="536"/>
    <cellStyle name="?? [0] 8 8 2" xfId="6692"/>
    <cellStyle name="?? [0] 8 9" xfId="537"/>
    <cellStyle name="?? [0] 8 9 2" xfId="6693"/>
    <cellStyle name="?? [0] 9" xfId="538"/>
    <cellStyle name="?? [0] 9 10" xfId="539"/>
    <cellStyle name="?? [0] 9 10 2" xfId="6695"/>
    <cellStyle name="?? [0] 9 11" xfId="540"/>
    <cellStyle name="?? [0] 9 11 2" xfId="6696"/>
    <cellStyle name="?? [0] 9 12" xfId="541"/>
    <cellStyle name="?? [0] 9 12 2" xfId="6697"/>
    <cellStyle name="?? [0] 9 13" xfId="542"/>
    <cellStyle name="?? [0] 9 13 2" xfId="6698"/>
    <cellStyle name="?? [0] 9 14" xfId="543"/>
    <cellStyle name="?? [0] 9 14 2" xfId="6699"/>
    <cellStyle name="?? [0] 9 15" xfId="544"/>
    <cellStyle name="?? [0] 9 15 2" xfId="6700"/>
    <cellStyle name="?? [0] 9 16" xfId="545"/>
    <cellStyle name="?? [0] 9 16 2" xfId="6701"/>
    <cellStyle name="?? [0] 9 17" xfId="546"/>
    <cellStyle name="?? [0] 9 17 2" xfId="6702"/>
    <cellStyle name="?? [0] 9 18" xfId="547"/>
    <cellStyle name="?? [0] 9 18 2" xfId="6703"/>
    <cellStyle name="?? [0] 9 19" xfId="548"/>
    <cellStyle name="?? [0] 9 19 2" xfId="6704"/>
    <cellStyle name="?? [0] 9 2" xfId="549"/>
    <cellStyle name="?? [0] 9 2 2" xfId="6705"/>
    <cellStyle name="?? [0] 9 20" xfId="550"/>
    <cellStyle name="?? [0] 9 20 2" xfId="6706"/>
    <cellStyle name="?? [0] 9 21" xfId="551"/>
    <cellStyle name="?? [0] 9 21 2" xfId="6707"/>
    <cellStyle name="?? [0] 9 22" xfId="6694"/>
    <cellStyle name="?? [0] 9 3" xfId="552"/>
    <cellStyle name="?? [0] 9 3 2" xfId="6708"/>
    <cellStyle name="?? [0] 9 4" xfId="553"/>
    <cellStyle name="?? [0] 9 4 2" xfId="6709"/>
    <cellStyle name="?? [0] 9 5" xfId="554"/>
    <cellStyle name="?? [0] 9 5 2" xfId="6710"/>
    <cellStyle name="?? [0] 9 6" xfId="555"/>
    <cellStyle name="?? [0] 9 6 2" xfId="6711"/>
    <cellStyle name="?? [0] 9 7" xfId="556"/>
    <cellStyle name="?? [0] 9 7 2" xfId="6712"/>
    <cellStyle name="?? [0] 9 8" xfId="557"/>
    <cellStyle name="?? [0] 9 8 2" xfId="6713"/>
    <cellStyle name="?? [0] 9 9" xfId="558"/>
    <cellStyle name="?? [0] 9 9 2" xfId="6714"/>
    <cellStyle name="?? [0]_CAN" xfId="559"/>
    <cellStyle name="?? 10" xfId="560"/>
    <cellStyle name="?? 10 2" xfId="6715"/>
    <cellStyle name="?? 11" xfId="561"/>
    <cellStyle name="?? 11 2" xfId="6716"/>
    <cellStyle name="?? 12" xfId="562"/>
    <cellStyle name="?? 12 2" xfId="6717"/>
    <cellStyle name="?? 13" xfId="563"/>
    <cellStyle name="?? 13 2" xfId="6718"/>
    <cellStyle name="?? 14" xfId="564"/>
    <cellStyle name="?? 14 2" xfId="6719"/>
    <cellStyle name="?? 15" xfId="565"/>
    <cellStyle name="?? 15 2" xfId="6720"/>
    <cellStyle name="?? 16" xfId="566"/>
    <cellStyle name="?? 16 2" xfId="6721"/>
    <cellStyle name="?? 17" xfId="567"/>
    <cellStyle name="?? 17 2" xfId="6722"/>
    <cellStyle name="?? 18" xfId="568"/>
    <cellStyle name="?? 18 2" xfId="6723"/>
    <cellStyle name="?? 19" xfId="569"/>
    <cellStyle name="?? 19 2" xfId="6724"/>
    <cellStyle name="?? 2" xfId="570"/>
    <cellStyle name="?? 2 2" xfId="6725"/>
    <cellStyle name="?? 20" xfId="571"/>
    <cellStyle name="?? 20 2" xfId="6726"/>
    <cellStyle name="?? 21" xfId="572"/>
    <cellStyle name="?? 21 2" xfId="6727"/>
    <cellStyle name="?? 22" xfId="573"/>
    <cellStyle name="?? 22 2" xfId="6728"/>
    <cellStyle name="?? 23" xfId="5108"/>
    <cellStyle name="?? 23 2" xfId="9763"/>
    <cellStyle name="?? 24" xfId="5111"/>
    <cellStyle name="?? 24 2" xfId="9766"/>
    <cellStyle name="?? 25" xfId="6158"/>
    <cellStyle name="?? 25 2" xfId="10813"/>
    <cellStyle name="?? 26" xfId="6185"/>
    <cellStyle name="?? 27" xfId="8657"/>
    <cellStyle name="?? 28" xfId="11976"/>
    <cellStyle name="?? 29" xfId="6825"/>
    <cellStyle name="?? 3" xfId="574"/>
    <cellStyle name="?? 3 2" xfId="6729"/>
    <cellStyle name="?? 30" xfId="12197"/>
    <cellStyle name="?? 4" xfId="575"/>
    <cellStyle name="?? 4 2" xfId="6730"/>
    <cellStyle name="?? 5" xfId="576"/>
    <cellStyle name="?? 5 2" xfId="6731"/>
    <cellStyle name="?? 6" xfId="577"/>
    <cellStyle name="?? 6 2" xfId="6732"/>
    <cellStyle name="?? 7" xfId="578"/>
    <cellStyle name="?? 7 2" xfId="6733"/>
    <cellStyle name="?? 8" xfId="579"/>
    <cellStyle name="?? 8 2" xfId="6734"/>
    <cellStyle name="?? 9" xfId="580"/>
    <cellStyle name="?? 9 2" xfId="6735"/>
    <cellStyle name="?_x001d_??%U©÷u&amp;H©÷9_x0008_? s_x000a__x0007__x0001__x0001_" xfId="581"/>
    <cellStyle name="?_x001d_??%U©÷u&amp;H©÷9_x0008_? s_x000a__x0007__x0001__x0001_ 10" xfId="582"/>
    <cellStyle name="?_x001d_??%U©÷u&amp;H©÷9_x0008_? s_x000a__x0007__x0001__x0001_ 10 2" xfId="6737"/>
    <cellStyle name="?_x001d_??%U©÷u&amp;H©÷9_x0008_? s_x000a__x0007__x0001__x0001_ 11" xfId="583"/>
    <cellStyle name="?_x001d_??%U©÷u&amp;H©÷9_x0008_? s_x000a__x0007__x0001__x0001_ 11 2" xfId="6738"/>
    <cellStyle name="?_x001d_??%U©÷u&amp;H©÷9_x0008_? s_x000a__x0007__x0001__x0001_ 12" xfId="584"/>
    <cellStyle name="?_x001d_??%U©÷u&amp;H©÷9_x0008_? s_x000a__x0007__x0001__x0001_ 12 2" xfId="6739"/>
    <cellStyle name="?_x001d_??%U©÷u&amp;H©÷9_x0008_? s_x000a__x0007__x0001__x0001_ 13" xfId="585"/>
    <cellStyle name="?_x001d_??%U©÷u&amp;H©÷9_x0008_? s_x000a__x0007__x0001__x0001_ 13 2" xfId="6740"/>
    <cellStyle name="?_x001d_??%U©÷u&amp;H©÷9_x0008_? s_x000a__x0007__x0001__x0001_ 14" xfId="586"/>
    <cellStyle name="?_x001d_??%U©÷u&amp;H©÷9_x0008_? s_x000a__x0007__x0001__x0001_ 14 2" xfId="6741"/>
    <cellStyle name="?_x001d_??%U©÷u&amp;H©÷9_x0008_? s_x000a__x0007__x0001__x0001_ 15" xfId="587"/>
    <cellStyle name="?_x001d_??%U©÷u&amp;H©÷9_x0008_? s_x000a__x0007__x0001__x0001_ 15 2" xfId="6742"/>
    <cellStyle name="?_x001d_??%U©÷u&amp;H©÷9_x0008_? s_x000a__x0007__x0001__x0001_ 16" xfId="588"/>
    <cellStyle name="?_x001d_??%U©÷u&amp;H©÷9_x0008_? s_x000a__x0007__x0001__x0001_ 16 2" xfId="6743"/>
    <cellStyle name="?_x001d_??%U©÷u&amp;H©÷9_x0008_? s_x000a__x0007__x0001__x0001_ 17" xfId="589"/>
    <cellStyle name="?_x001d_??%U©÷u&amp;H©÷9_x0008_? s_x000a__x0007__x0001__x0001_ 17 2" xfId="6744"/>
    <cellStyle name="?_x001d_??%U©÷u&amp;H©÷9_x0008_? s_x000a__x0007__x0001__x0001_ 18" xfId="590"/>
    <cellStyle name="?_x001d_??%U©÷u&amp;H©÷9_x0008_? s_x000a__x0007__x0001__x0001_ 18 2" xfId="6745"/>
    <cellStyle name="?_x001d_??%U©÷u&amp;H©÷9_x0008_? s_x000a__x0007__x0001__x0001_ 19" xfId="591"/>
    <cellStyle name="?_x001d_??%U©÷u&amp;H©÷9_x0008_? s_x000a__x0007__x0001__x0001_ 19 2" xfId="6746"/>
    <cellStyle name="?_x001d_??%U©÷u&amp;H©÷9_x0008_? s_x000a__x0007__x0001__x0001_ 2" xfId="592"/>
    <cellStyle name="?_x001d_??%U©÷u&amp;H©÷9_x0008_? s_x000a__x0007__x0001__x0001_ 2 10" xfId="593"/>
    <cellStyle name="?_x001d_??%U©÷u&amp;H©÷9_x0008_? s_x000a__x0007__x0001__x0001_ 2 10 2" xfId="6748"/>
    <cellStyle name="?_x001d_??%U©÷u&amp;H©÷9_x0008_? s_x000a__x0007__x0001__x0001_ 2 11" xfId="594"/>
    <cellStyle name="?_x001d_??%U©÷u&amp;H©÷9_x0008_? s_x000a__x0007__x0001__x0001_ 2 11 2" xfId="6749"/>
    <cellStyle name="?_x001d_??%U©÷u&amp;H©÷9_x0008_? s_x000a__x0007__x0001__x0001_ 2 12" xfId="595"/>
    <cellStyle name="?_x001d_??%U©÷u&amp;H©÷9_x0008_? s_x000a__x0007__x0001__x0001_ 2 12 2" xfId="6750"/>
    <cellStyle name="?_x001d_??%U©÷u&amp;H©÷9_x0008_? s_x000a__x0007__x0001__x0001_ 2 13" xfId="596"/>
    <cellStyle name="?_x001d_??%U©÷u&amp;H©÷9_x0008_? s_x000a__x0007__x0001__x0001_ 2 13 2" xfId="6751"/>
    <cellStyle name="?_x001d_??%U©÷u&amp;H©÷9_x0008_? s_x000a__x0007__x0001__x0001_ 2 14" xfId="597"/>
    <cellStyle name="?_x001d_??%U©÷u&amp;H©÷9_x0008_? s_x000a__x0007__x0001__x0001_ 2 14 2" xfId="6752"/>
    <cellStyle name="?_x001d_??%U©÷u&amp;H©÷9_x0008_? s_x000a__x0007__x0001__x0001_ 2 15" xfId="598"/>
    <cellStyle name="?_x001d_??%U©÷u&amp;H©÷9_x0008_? s_x000a__x0007__x0001__x0001_ 2 15 2" xfId="6753"/>
    <cellStyle name="?_x001d_??%U©÷u&amp;H©÷9_x0008_? s_x000a__x0007__x0001__x0001_ 2 16" xfId="599"/>
    <cellStyle name="?_x001d_??%U©÷u&amp;H©÷9_x0008_? s_x000a__x0007__x0001__x0001_ 2 16 2" xfId="6754"/>
    <cellStyle name="?_x001d_??%U©÷u&amp;H©÷9_x0008_? s_x000a__x0007__x0001__x0001_ 2 17" xfId="600"/>
    <cellStyle name="?_x001d_??%U©÷u&amp;H©÷9_x0008_? s_x000a__x0007__x0001__x0001_ 2 17 2" xfId="6755"/>
    <cellStyle name="?_x001d_??%U©÷u&amp;H©÷9_x0008_? s_x000a__x0007__x0001__x0001_ 2 18" xfId="601"/>
    <cellStyle name="?_x001d_??%U©÷u&amp;H©÷9_x0008_? s_x000a__x0007__x0001__x0001_ 2 18 2" xfId="6756"/>
    <cellStyle name="?_x001d_??%U©÷u&amp;H©÷9_x0008_? s_x000a__x0007__x0001__x0001_ 2 19" xfId="602"/>
    <cellStyle name="?_x001d_??%U©÷u&amp;H©÷9_x0008_? s_x000a__x0007__x0001__x0001_ 2 19 2" xfId="6757"/>
    <cellStyle name="?_x001d_??%U©÷u&amp;H©÷9_x0008_? s_x000a__x0007__x0001__x0001_ 2 2" xfId="603"/>
    <cellStyle name="?_x001d_??%U©÷u&amp;H©÷9_x0008_? s_x000a__x0007__x0001__x0001_ 2 2 2" xfId="6758"/>
    <cellStyle name="?_x001d_??%U©÷u&amp;H©÷9_x0008_? s_x000a__x0007__x0001__x0001_ 2 20" xfId="604"/>
    <cellStyle name="?_x001d_??%U©÷u&amp;H©÷9_x0008_? s_x000a__x0007__x0001__x0001_ 2 20 2" xfId="6759"/>
    <cellStyle name="?_x001d_??%U©÷u&amp;H©÷9_x0008_? s_x000a__x0007__x0001__x0001_ 2 21" xfId="605"/>
    <cellStyle name="?_x001d_??%U©÷u&amp;H©÷9_x0008_? s_x000a__x0007__x0001__x0001_ 2 21 2" xfId="6760"/>
    <cellStyle name="?_x001d_??%U©÷u&amp;H©÷9_x0008_? s_x000a__x0007__x0001__x0001_ 2 22" xfId="6747"/>
    <cellStyle name="?_x001d_??%U©÷u&amp;H©÷9_x0008_? s_x000a__x0007__x0001__x0001_ 2 3" xfId="606"/>
    <cellStyle name="?_x001d_??%U©÷u&amp;H©÷9_x0008_? s_x000a__x0007__x0001__x0001_ 2 3 2" xfId="6761"/>
    <cellStyle name="?_x001d_??%U©÷u&amp;H©÷9_x0008_? s_x000a__x0007__x0001__x0001_ 2 4" xfId="607"/>
    <cellStyle name="?_x001d_??%U©÷u&amp;H©÷9_x0008_? s_x000a__x0007__x0001__x0001_ 2 4 2" xfId="6762"/>
    <cellStyle name="?_x001d_??%U©÷u&amp;H©÷9_x0008_? s_x000a__x0007__x0001__x0001_ 2 5" xfId="608"/>
    <cellStyle name="?_x001d_??%U©÷u&amp;H©÷9_x0008_? s_x000a__x0007__x0001__x0001_ 2 5 2" xfId="6763"/>
    <cellStyle name="?_x001d_??%U©÷u&amp;H©÷9_x0008_? s_x000a__x0007__x0001__x0001_ 2 6" xfId="609"/>
    <cellStyle name="?_x001d_??%U©÷u&amp;H©÷9_x0008_? s_x000a__x0007__x0001__x0001_ 2 6 2" xfId="6764"/>
    <cellStyle name="?_x001d_??%U©÷u&amp;H©÷9_x0008_? s_x000a__x0007__x0001__x0001_ 2 7" xfId="610"/>
    <cellStyle name="?_x001d_??%U©÷u&amp;H©÷9_x0008_? s_x000a__x0007__x0001__x0001_ 2 7 2" xfId="6765"/>
    <cellStyle name="?_x001d_??%U©÷u&amp;H©÷9_x0008_? s_x000a__x0007__x0001__x0001_ 2 8" xfId="611"/>
    <cellStyle name="?_x001d_??%U©÷u&amp;H©÷9_x0008_? s_x000a__x0007__x0001__x0001_ 2 8 2" xfId="6766"/>
    <cellStyle name="?_x001d_??%U©÷u&amp;H©÷9_x0008_? s_x000a__x0007__x0001__x0001_ 2 9" xfId="612"/>
    <cellStyle name="?_x001d_??%U©÷u&amp;H©÷9_x0008_? s_x000a__x0007__x0001__x0001_ 2 9 2" xfId="6767"/>
    <cellStyle name="?_x001d_??%U©÷u&amp;H©÷9_x0008_? s_x000a__x0007__x0001__x0001_ 20" xfId="613"/>
    <cellStyle name="?_x001d_??%U©÷u&amp;H©÷9_x0008_? s_x000a__x0007__x0001__x0001_ 20 2" xfId="6768"/>
    <cellStyle name="?_x001d_??%U©÷u&amp;H©÷9_x0008_? s_x000a__x0007__x0001__x0001_ 21" xfId="614"/>
    <cellStyle name="?_x001d_??%U©÷u&amp;H©÷9_x0008_? s_x000a__x0007__x0001__x0001_ 21 2" xfId="6769"/>
    <cellStyle name="?_x001d_??%U©÷u&amp;H©÷9_x0008_? s_x000a__x0007__x0001__x0001_ 22" xfId="615"/>
    <cellStyle name="?_x001d_??%U©÷u&amp;H©÷9_x0008_? s_x000a__x0007__x0001__x0001_ 22 2" xfId="6770"/>
    <cellStyle name="?_x001d_??%U©÷u&amp;H©÷9_x0008_? s_x000a__x0007__x0001__x0001_ 23" xfId="616"/>
    <cellStyle name="?_x001d_??%U©÷u&amp;H©÷9_x0008_? s_x000a__x0007__x0001__x0001_ 23 2" xfId="6771"/>
    <cellStyle name="?_x001d_??%U©÷u&amp;H©÷9_x0008_? s_x000a__x0007__x0001__x0001_ 24" xfId="6736"/>
    <cellStyle name="?_x001d_??%U©÷u&amp;H©÷9_x0008_? s_x000a__x0007__x0001__x0001_ 3" xfId="617"/>
    <cellStyle name="?_x001d_??%U©÷u&amp;H©÷9_x0008_? s_x000a__x0007__x0001__x0001_ 3 2" xfId="6772"/>
    <cellStyle name="?_x001d_??%U©÷u&amp;H©÷9_x0008_? s_x000a__x0007__x0001__x0001_ 4" xfId="618"/>
    <cellStyle name="?_x001d_??%U©÷u&amp;H©÷9_x0008_? s_x000a__x0007__x0001__x0001_ 4 2" xfId="6773"/>
    <cellStyle name="?_x001d_??%U©÷u&amp;H©÷9_x0008_? s_x000a__x0007__x0001__x0001_ 5" xfId="619"/>
    <cellStyle name="?_x001d_??%U©÷u&amp;H©÷9_x0008_? s_x000a__x0007__x0001__x0001_ 5 2" xfId="6774"/>
    <cellStyle name="?_x001d_??%U©÷u&amp;H©÷9_x0008_? s_x000a__x0007__x0001__x0001_ 6" xfId="620"/>
    <cellStyle name="?_x001d_??%U©÷u&amp;H©÷9_x0008_? s_x000a__x0007__x0001__x0001_ 6 2" xfId="6775"/>
    <cellStyle name="?_x001d_??%U©÷u&amp;H©÷9_x0008_? s_x000a__x0007__x0001__x0001_ 7" xfId="621"/>
    <cellStyle name="?_x001d_??%U©÷u&amp;H©÷9_x0008_? s_x000a__x0007__x0001__x0001_ 7 2" xfId="6776"/>
    <cellStyle name="?_x001d_??%U©÷u&amp;H©÷9_x0008_? s_x000a__x0007__x0001__x0001_ 8" xfId="622"/>
    <cellStyle name="?_x001d_??%U©÷u&amp;H©÷9_x0008_? s_x000a__x0007__x0001__x0001_ 8 2" xfId="6777"/>
    <cellStyle name="?_x001d_??%U©÷u&amp;H©÷9_x0008_? s_x000a__x0007__x0001__x0001_ 9" xfId="623"/>
    <cellStyle name="?_x001d_??%U©÷u&amp;H©÷9_x0008_? s_x000a__x0007__x0001__x0001_ 9 2" xfId="6778"/>
    <cellStyle name="?_x001d_??%U©÷u&amp;H©÷9_x0008_? s_x000a__x0007__x0001__x0001__10CH" xfId="624"/>
    <cellStyle name="?_x001d_??%U©÷u&amp;H©÷9_x0008_?_x0009_s_x000a__x0007__x0001__x0001_" xfId="625"/>
    <cellStyle name="?_x001d_??%U©÷u&amp;H©÷9_x0008_?_x0009_s_x000a__x0007__x0001__x0001_ 2" xfId="626"/>
    <cellStyle name="?_x001d_??%U©÷u&amp;H©÷9_x0008_?_x0009_s_x000a__x0007__x0001__x0001_ 2 2" xfId="5110"/>
    <cellStyle name="?_x001d_??%U©÷u&amp;H©÷9_x0008_?_x0009_s_x000a__x0007__x0001__x0001_ 2 2 2" xfId="9765"/>
    <cellStyle name="?_x001d_??%U©÷u&amp;H©÷9_x0008_?_x0009_s_x000a__x0007__x0001__x0001_ 2 3" xfId="6780"/>
    <cellStyle name="?_x001d_??%U©÷u&amp;H©÷9_x0008_?_x0009_s_x000a__x0007__x0001__x0001_ 3" xfId="5109"/>
    <cellStyle name="?_x001d_??%U©÷u&amp;H©÷9_x0008_?_x0009_s_x000a__x0007__x0001__x0001_ 3 2" xfId="9764"/>
    <cellStyle name="?_x001d_??%U©÷u&amp;H©÷9_x0008_?_x0009_s_x000a__x0007__x0001__x0001_ 4" xfId="6779"/>
    <cellStyle name="?_x001d_??%U©÷u&amp;H©÷9_x0008_?_x0009_s_x000a__x0007__x0001__x0001__10CH" xfId="627"/>
    <cellStyle name="???? [0.00]_      " xfId="628"/>
    <cellStyle name="????_      " xfId="629"/>
    <cellStyle name="???[0]_?? DI" xfId="630"/>
    <cellStyle name="???_?? DI" xfId="631"/>
    <cellStyle name="??[0]_BRE" xfId="632"/>
    <cellStyle name="??_      " xfId="633"/>
    <cellStyle name="??A? [0]_ÿÿÿÿÿÿ_1_¢¬???¢â? " xfId="634"/>
    <cellStyle name="??A?_ÿÿÿÿÿÿ_1_¢¬???¢â? " xfId="635"/>
    <cellStyle name="?¡±¢¥?_?¨ù??¢´¢¥_¢¬???¢â? " xfId="636"/>
    <cellStyle name="?ðÇ%U?&amp;H?_x0008_?s_x000a__x0007__x0001__x0001_" xfId="637"/>
    <cellStyle name="?ðÇ%U?&amp;H?_x0008_?s_x000a__x0007__x0001__x0001_ 10" xfId="638"/>
    <cellStyle name="?ðÇ%U?&amp;H?_x0008_?s_x000a__x0007__x0001__x0001_ 10 2" xfId="6782"/>
    <cellStyle name="?ðÇ%U?&amp;H?_x0008_?s_x000a__x0007__x0001__x0001_ 11" xfId="639"/>
    <cellStyle name="?ðÇ%U?&amp;H?_x0008_?s_x000a__x0007__x0001__x0001_ 11 2" xfId="6783"/>
    <cellStyle name="?ðÇ%U?&amp;H?_x0008_?s_x000a__x0007__x0001__x0001_ 12" xfId="640"/>
    <cellStyle name="?ðÇ%U?&amp;H?_x0008_?s_x000a__x0007__x0001__x0001_ 12 2" xfId="6784"/>
    <cellStyle name="?ðÇ%U?&amp;H?_x0008_?s_x000a__x0007__x0001__x0001_ 13" xfId="641"/>
    <cellStyle name="?ðÇ%U?&amp;H?_x0008_?s_x000a__x0007__x0001__x0001_ 13 2" xfId="6785"/>
    <cellStyle name="?ðÇ%U?&amp;H?_x0008_?s_x000a__x0007__x0001__x0001_ 14" xfId="642"/>
    <cellStyle name="?ðÇ%U?&amp;H?_x0008_?s_x000a__x0007__x0001__x0001_ 14 2" xfId="6786"/>
    <cellStyle name="?ðÇ%U?&amp;H?_x0008_?s_x000a__x0007__x0001__x0001_ 15" xfId="643"/>
    <cellStyle name="?ðÇ%U?&amp;H?_x0008_?s_x000a__x0007__x0001__x0001_ 15 2" xfId="6787"/>
    <cellStyle name="?ðÇ%U?&amp;H?_x0008_?s_x000a__x0007__x0001__x0001_ 16" xfId="644"/>
    <cellStyle name="?ðÇ%U?&amp;H?_x0008_?s_x000a__x0007__x0001__x0001_ 16 2" xfId="6788"/>
    <cellStyle name="?ðÇ%U?&amp;H?_x0008_?s_x000a__x0007__x0001__x0001_ 17" xfId="645"/>
    <cellStyle name="?ðÇ%U?&amp;H?_x0008_?s_x000a__x0007__x0001__x0001_ 17 2" xfId="6789"/>
    <cellStyle name="?ðÇ%U?&amp;H?_x0008_?s_x000a__x0007__x0001__x0001_ 18" xfId="646"/>
    <cellStyle name="?ðÇ%U?&amp;H?_x0008_?s_x000a__x0007__x0001__x0001_ 18 2" xfId="6790"/>
    <cellStyle name="?ðÇ%U?&amp;H?_x0008_?s_x000a__x0007__x0001__x0001_ 19" xfId="647"/>
    <cellStyle name="?ðÇ%U?&amp;H?_x0008_?s_x000a__x0007__x0001__x0001_ 19 2" xfId="6791"/>
    <cellStyle name="?ðÇ%U?&amp;H?_x0008_?s_x000a__x0007__x0001__x0001_ 2" xfId="648"/>
    <cellStyle name="?ðÇ%U?&amp;H?_x0008_?s_x000a__x0007__x0001__x0001_ 2 10" xfId="649"/>
    <cellStyle name="?ðÇ%U?&amp;H?_x0008_?s_x000a__x0007__x0001__x0001_ 2 10 2" xfId="6793"/>
    <cellStyle name="?ðÇ%U?&amp;H?_x0008_?s_x000a__x0007__x0001__x0001_ 2 11" xfId="650"/>
    <cellStyle name="?ðÇ%U?&amp;H?_x0008_?s_x000a__x0007__x0001__x0001_ 2 11 2" xfId="6794"/>
    <cellStyle name="?ðÇ%U?&amp;H?_x0008_?s_x000a__x0007__x0001__x0001_ 2 12" xfId="651"/>
    <cellStyle name="?ðÇ%U?&amp;H?_x0008_?s_x000a__x0007__x0001__x0001_ 2 12 2" xfId="6795"/>
    <cellStyle name="?ðÇ%U?&amp;H?_x0008_?s_x000a__x0007__x0001__x0001_ 2 13" xfId="652"/>
    <cellStyle name="?ðÇ%U?&amp;H?_x0008_?s_x000a__x0007__x0001__x0001_ 2 13 2" xfId="6796"/>
    <cellStyle name="?ðÇ%U?&amp;H?_x0008_?s_x000a__x0007__x0001__x0001_ 2 14" xfId="653"/>
    <cellStyle name="?ðÇ%U?&amp;H?_x0008_?s_x000a__x0007__x0001__x0001_ 2 14 2" xfId="6797"/>
    <cellStyle name="?ðÇ%U?&amp;H?_x0008_?s_x000a__x0007__x0001__x0001_ 2 15" xfId="654"/>
    <cellStyle name="?ðÇ%U?&amp;H?_x0008_?s_x000a__x0007__x0001__x0001_ 2 15 2" xfId="6798"/>
    <cellStyle name="?ðÇ%U?&amp;H?_x0008_?s_x000a__x0007__x0001__x0001_ 2 16" xfId="655"/>
    <cellStyle name="?ðÇ%U?&amp;H?_x0008_?s_x000a__x0007__x0001__x0001_ 2 16 2" xfId="6799"/>
    <cellStyle name="?ðÇ%U?&amp;H?_x0008_?s_x000a__x0007__x0001__x0001_ 2 17" xfId="656"/>
    <cellStyle name="?ðÇ%U?&amp;H?_x0008_?s_x000a__x0007__x0001__x0001_ 2 17 2" xfId="6800"/>
    <cellStyle name="?ðÇ%U?&amp;H?_x0008_?s_x000a__x0007__x0001__x0001_ 2 18" xfId="657"/>
    <cellStyle name="?ðÇ%U?&amp;H?_x0008_?s_x000a__x0007__x0001__x0001_ 2 18 2" xfId="6801"/>
    <cellStyle name="?ðÇ%U?&amp;H?_x0008_?s_x000a__x0007__x0001__x0001_ 2 19" xfId="658"/>
    <cellStyle name="?ðÇ%U?&amp;H?_x0008_?s_x000a__x0007__x0001__x0001_ 2 19 2" xfId="6802"/>
    <cellStyle name="?ðÇ%U?&amp;H?_x0008_?s_x000a__x0007__x0001__x0001_ 2 2" xfId="659"/>
    <cellStyle name="?ðÇ%U?&amp;H?_x0008_?s_x000a__x0007__x0001__x0001_ 2 2 2" xfId="6803"/>
    <cellStyle name="?ðÇ%U?&amp;H?_x0008_?s_x000a__x0007__x0001__x0001_ 2 20" xfId="660"/>
    <cellStyle name="?ðÇ%U?&amp;H?_x0008_?s_x000a__x0007__x0001__x0001_ 2 20 2" xfId="6804"/>
    <cellStyle name="?ðÇ%U?&amp;H?_x0008_?s_x000a__x0007__x0001__x0001_ 2 21" xfId="661"/>
    <cellStyle name="?ðÇ%U?&amp;H?_x0008_?s_x000a__x0007__x0001__x0001_ 2 21 2" xfId="6805"/>
    <cellStyle name="?ðÇ%U?&amp;H?_x0008_?s_x000a__x0007__x0001__x0001_ 2 22" xfId="662"/>
    <cellStyle name="?ðÇ%U?&amp;H?_x0008_?s_x000a__x0007__x0001__x0001_ 2 22 2" xfId="6806"/>
    <cellStyle name="?ðÇ%U?&amp;H?_x0008_?s_x000a__x0007__x0001__x0001_ 2 23" xfId="6792"/>
    <cellStyle name="?ðÇ%U?&amp;H?_x0008_?s_x000a__x0007__x0001__x0001_ 2 3" xfId="663"/>
    <cellStyle name="?ðÇ%U?&amp;H?_x0008_?s_x000a__x0007__x0001__x0001_ 2 3 2" xfId="6807"/>
    <cellStyle name="?ðÇ%U?&amp;H?_x0008_?s_x000a__x0007__x0001__x0001_ 2 4" xfId="664"/>
    <cellStyle name="?ðÇ%U?&amp;H?_x0008_?s_x000a__x0007__x0001__x0001_ 2 4 2" xfId="6808"/>
    <cellStyle name="?ðÇ%U?&amp;H?_x0008_?s_x000a__x0007__x0001__x0001_ 2 5" xfId="665"/>
    <cellStyle name="?ðÇ%U?&amp;H?_x0008_?s_x000a__x0007__x0001__x0001_ 2 5 2" xfId="6809"/>
    <cellStyle name="?ðÇ%U?&amp;H?_x0008_?s_x000a__x0007__x0001__x0001_ 2 6" xfId="666"/>
    <cellStyle name="?ðÇ%U?&amp;H?_x0008_?s_x000a__x0007__x0001__x0001_ 2 6 2" xfId="6810"/>
    <cellStyle name="?ðÇ%U?&amp;H?_x0008_?s_x000a__x0007__x0001__x0001_ 2 7" xfId="667"/>
    <cellStyle name="?ðÇ%U?&amp;H?_x0008_?s_x000a__x0007__x0001__x0001_ 2 7 2" xfId="6811"/>
    <cellStyle name="?ðÇ%U?&amp;H?_x0008_?s_x000a__x0007__x0001__x0001_ 2 8" xfId="668"/>
    <cellStyle name="?ðÇ%U?&amp;H?_x0008_?s_x000a__x0007__x0001__x0001_ 2 8 2" xfId="6812"/>
    <cellStyle name="?ðÇ%U?&amp;H?_x0008_?s_x000a__x0007__x0001__x0001_ 2 9" xfId="669"/>
    <cellStyle name="?ðÇ%U?&amp;H?_x0008_?s_x000a__x0007__x0001__x0001_ 2 9 2" xfId="6813"/>
    <cellStyle name="?ðÇ%U?&amp;H?_x0008_?s_x000a__x0007__x0001__x0001_ 20" xfId="670"/>
    <cellStyle name="?ðÇ%U?&amp;H?_x0008_?s_x000a__x0007__x0001__x0001_ 20 2" xfId="6814"/>
    <cellStyle name="?ðÇ%U?&amp;H?_x0008_?s_x000a__x0007__x0001__x0001_ 21" xfId="671"/>
    <cellStyle name="?ðÇ%U?&amp;H?_x0008_?s_x000a__x0007__x0001__x0001_ 21 2" xfId="6815"/>
    <cellStyle name="?ðÇ%U?&amp;H?_x0008_?s_x000a__x0007__x0001__x0001_ 22" xfId="672"/>
    <cellStyle name="?ðÇ%U?&amp;H?_x0008_?s_x000a__x0007__x0001__x0001_ 22 2" xfId="6816"/>
    <cellStyle name="?ðÇ%U?&amp;H?_x0008_?s_x000a__x0007__x0001__x0001_ 23" xfId="673"/>
    <cellStyle name="?ðÇ%U?&amp;H?_x0008_?s_x000a__x0007__x0001__x0001_ 23 2" xfId="6817"/>
    <cellStyle name="?ðÇ%U?&amp;H?_x0008_?s_x000a__x0007__x0001__x0001_ 24" xfId="6781"/>
    <cellStyle name="?ðÇ%U?&amp;H?_x0008_?s_x000a__x0007__x0001__x0001_ 3" xfId="674"/>
    <cellStyle name="?ðÇ%U?&amp;H?_x0008_?s_x000a__x0007__x0001__x0001_ 3 2" xfId="6818"/>
    <cellStyle name="?ðÇ%U?&amp;H?_x0008_?s_x000a__x0007__x0001__x0001_ 4" xfId="675"/>
    <cellStyle name="?ðÇ%U?&amp;H?_x0008_?s_x000a__x0007__x0001__x0001_ 4 2" xfId="6819"/>
    <cellStyle name="?ðÇ%U?&amp;H?_x0008_?s_x000a__x0007__x0001__x0001_ 5" xfId="676"/>
    <cellStyle name="?ðÇ%U?&amp;H?_x0008_?s_x000a__x0007__x0001__x0001_ 5 2" xfId="6820"/>
    <cellStyle name="?ðÇ%U?&amp;H?_x0008_?s_x000a__x0007__x0001__x0001_ 6" xfId="677"/>
    <cellStyle name="?ðÇ%U?&amp;H?_x0008_?s_x000a__x0007__x0001__x0001_ 6 2" xfId="6821"/>
    <cellStyle name="?ðÇ%U?&amp;H?_x0008_?s_x000a__x0007__x0001__x0001_ 7" xfId="678"/>
    <cellStyle name="?ðÇ%U?&amp;H?_x0008_?s_x000a__x0007__x0001__x0001_ 7 2" xfId="6822"/>
    <cellStyle name="?ðÇ%U?&amp;H?_x0008_?s_x000a__x0007__x0001__x0001_ 8" xfId="679"/>
    <cellStyle name="?ðÇ%U?&amp;H?_x0008_?s_x000a__x0007__x0001__x0001_ 8 2" xfId="6823"/>
    <cellStyle name="?ðÇ%U?&amp;H?_x0008_?s_x000a__x0007__x0001__x0001_ 9" xfId="680"/>
    <cellStyle name="?ðÇ%U?&amp;H?_x0008_?s_x000a__x0007__x0001__x0001_ 9 2" xfId="6824"/>
    <cellStyle name="?ðÇ%U?&amp;H?_x0008_?s_x000a__x0007__x0001__x0001__10CH" xfId="681"/>
    <cellStyle name="_Bieu KHSDD 2015" xfId="682"/>
    <cellStyle name="•W€_STDFOR" xfId="683"/>
    <cellStyle name="W_STDFOR" xfId="684"/>
    <cellStyle name="1" xfId="685"/>
    <cellStyle name="¹éºÐÀ²_±âÅ¸" xfId="686"/>
    <cellStyle name="2" xfId="687"/>
    <cellStyle name="20" xfId="688"/>
    <cellStyle name="20 10" xfId="689"/>
    <cellStyle name="20 11" xfId="690"/>
    <cellStyle name="20 12" xfId="691"/>
    <cellStyle name="20 13" xfId="692"/>
    <cellStyle name="20 14" xfId="693"/>
    <cellStyle name="20 15" xfId="694"/>
    <cellStyle name="20 16" xfId="695"/>
    <cellStyle name="20 17" xfId="696"/>
    <cellStyle name="20 18" xfId="697"/>
    <cellStyle name="20 19" xfId="698"/>
    <cellStyle name="20 2" xfId="699"/>
    <cellStyle name="20 20" xfId="700"/>
    <cellStyle name="20 21" xfId="701"/>
    <cellStyle name="20 22" xfId="702"/>
    <cellStyle name="20 23" xfId="703"/>
    <cellStyle name="20 24" xfId="704"/>
    <cellStyle name="20 25" xfId="705"/>
    <cellStyle name="20 26" xfId="706"/>
    <cellStyle name="20 3" xfId="707"/>
    <cellStyle name="20 4" xfId="708"/>
    <cellStyle name="20 5" xfId="709"/>
    <cellStyle name="20 6" xfId="710"/>
    <cellStyle name="20 7" xfId="711"/>
    <cellStyle name="20 8" xfId="712"/>
    <cellStyle name="20 9" xfId="713"/>
    <cellStyle name="20% - Accent1" xfId="714" builtinId="30" customBuiltin="1"/>
    <cellStyle name="20% - Accent1 10" xfId="715"/>
    <cellStyle name="20% - Accent1 11" xfId="716"/>
    <cellStyle name="20% - Accent1 12" xfId="717"/>
    <cellStyle name="20% - Accent1 13" xfId="718"/>
    <cellStyle name="20% - Accent1 14" xfId="719"/>
    <cellStyle name="20% - Accent1 15" xfId="720"/>
    <cellStyle name="20% - Accent1 16" xfId="721"/>
    <cellStyle name="20% - Accent1 17" xfId="722"/>
    <cellStyle name="20% - Accent1 18" xfId="723"/>
    <cellStyle name="20% - Accent1 19" xfId="724"/>
    <cellStyle name="20% - Accent1 2" xfId="725"/>
    <cellStyle name="20% - Accent1 20" xfId="726"/>
    <cellStyle name="20% - Accent1 21" xfId="727"/>
    <cellStyle name="20% - Accent1 22" xfId="728"/>
    <cellStyle name="20% - Accent1 23" xfId="729"/>
    <cellStyle name="20% - Accent1 24" xfId="730"/>
    <cellStyle name="20% - Accent1 25" xfId="731"/>
    <cellStyle name="20% - Accent1 26" xfId="732"/>
    <cellStyle name="20% - Accent1 27" xfId="733"/>
    <cellStyle name="20% - Accent1 28" xfId="734"/>
    <cellStyle name="20% - Accent1 29" xfId="735"/>
    <cellStyle name="20% - Accent1 3" xfId="736"/>
    <cellStyle name="20% - Accent1 30" xfId="737"/>
    <cellStyle name="20% - Accent1 31" xfId="738"/>
    <cellStyle name="20% - Accent1 32" xfId="739"/>
    <cellStyle name="20% - Accent1 32 2" xfId="740"/>
    <cellStyle name="20% - Accent1 33" xfId="741"/>
    <cellStyle name="20% - Accent1 33 2" xfId="742"/>
    <cellStyle name="20% - Accent1 34" xfId="743"/>
    <cellStyle name="20% - Accent1 35" xfId="744"/>
    <cellStyle name="20% - Accent1 35 2" xfId="745"/>
    <cellStyle name="20% - Accent1 35 3" xfId="746"/>
    <cellStyle name="20% - Accent1 35 4" xfId="747"/>
    <cellStyle name="20% - Accent1 35 5" xfId="748"/>
    <cellStyle name="20% - Accent1 35 6" xfId="749"/>
    <cellStyle name="20% - Accent1 35 7" xfId="750"/>
    <cellStyle name="20% - Accent1 35 8" xfId="751"/>
    <cellStyle name="20% - Accent1 36" xfId="752"/>
    <cellStyle name="20% - Accent1 37" xfId="753"/>
    <cellStyle name="20% - Accent1 38" xfId="754"/>
    <cellStyle name="20% - Accent1 39" xfId="755"/>
    <cellStyle name="20% - Accent1 4" xfId="756"/>
    <cellStyle name="20% - Accent1 40" xfId="757"/>
    <cellStyle name="20% - Accent1 41" xfId="758"/>
    <cellStyle name="20% - Accent1 42" xfId="759"/>
    <cellStyle name="20% - Accent1 43" xfId="760"/>
    <cellStyle name="20% - Accent1 44" xfId="761"/>
    <cellStyle name="20% - Accent1 45" xfId="762"/>
    <cellStyle name="20% - Accent1 46" xfId="763"/>
    <cellStyle name="20% - Accent1 47" xfId="764"/>
    <cellStyle name="20% - Accent1 48" xfId="765"/>
    <cellStyle name="20% - Accent1 49" xfId="766"/>
    <cellStyle name="20% - Accent1 5" xfId="767"/>
    <cellStyle name="20% - Accent1 50" xfId="768"/>
    <cellStyle name="20% - Accent1 51" xfId="769"/>
    <cellStyle name="20% - Accent1 52" xfId="770"/>
    <cellStyle name="20% - Accent1 53" xfId="771"/>
    <cellStyle name="20% - Accent1 54" xfId="772"/>
    <cellStyle name="20% - Accent1 6" xfId="773"/>
    <cellStyle name="20% - Accent1 7" xfId="774"/>
    <cellStyle name="20% - Accent1 8" xfId="775"/>
    <cellStyle name="20% - Accent1 9" xfId="776"/>
    <cellStyle name="20% - Accent2" xfId="777" builtinId="34" customBuiltin="1"/>
    <cellStyle name="20% - Accent2 10" xfId="778"/>
    <cellStyle name="20% - Accent2 11" xfId="779"/>
    <cellStyle name="20% - Accent2 12" xfId="780"/>
    <cellStyle name="20% - Accent2 13" xfId="781"/>
    <cellStyle name="20% - Accent2 14" xfId="782"/>
    <cellStyle name="20% - Accent2 15" xfId="783"/>
    <cellStyle name="20% - Accent2 16" xfId="784"/>
    <cellStyle name="20% - Accent2 17" xfId="785"/>
    <cellStyle name="20% - Accent2 18" xfId="786"/>
    <cellStyle name="20% - Accent2 19" xfId="787"/>
    <cellStyle name="20% - Accent2 2" xfId="788"/>
    <cellStyle name="20% - Accent2 20" xfId="789"/>
    <cellStyle name="20% - Accent2 21" xfId="790"/>
    <cellStyle name="20% - Accent2 22" xfId="791"/>
    <cellStyle name="20% - Accent2 23" xfId="792"/>
    <cellStyle name="20% - Accent2 24" xfId="793"/>
    <cellStyle name="20% - Accent2 25" xfId="794"/>
    <cellStyle name="20% - Accent2 26" xfId="795"/>
    <cellStyle name="20% - Accent2 27" xfId="796"/>
    <cellStyle name="20% - Accent2 28" xfId="797"/>
    <cellStyle name="20% - Accent2 29" xfId="798"/>
    <cellStyle name="20% - Accent2 3" xfId="799"/>
    <cellStyle name="20% - Accent2 30" xfId="800"/>
    <cellStyle name="20% - Accent2 31" xfId="801"/>
    <cellStyle name="20% - Accent2 32" xfId="802"/>
    <cellStyle name="20% - Accent2 32 2" xfId="803"/>
    <cellStyle name="20% - Accent2 33" xfId="804"/>
    <cellStyle name="20% - Accent2 33 2" xfId="805"/>
    <cellStyle name="20% - Accent2 34" xfId="806"/>
    <cellStyle name="20% - Accent2 35" xfId="807"/>
    <cellStyle name="20% - Accent2 35 2" xfId="808"/>
    <cellStyle name="20% - Accent2 35 3" xfId="809"/>
    <cellStyle name="20% - Accent2 35 4" xfId="810"/>
    <cellStyle name="20% - Accent2 35 5" xfId="811"/>
    <cellStyle name="20% - Accent2 35 6" xfId="812"/>
    <cellStyle name="20% - Accent2 35 7" xfId="813"/>
    <cellStyle name="20% - Accent2 35 8" xfId="814"/>
    <cellStyle name="20% - Accent2 36" xfId="815"/>
    <cellStyle name="20% - Accent2 37" xfId="816"/>
    <cellStyle name="20% - Accent2 38" xfId="817"/>
    <cellStyle name="20% - Accent2 39" xfId="818"/>
    <cellStyle name="20% - Accent2 4" xfId="819"/>
    <cellStyle name="20% - Accent2 40" xfId="820"/>
    <cellStyle name="20% - Accent2 41" xfId="821"/>
    <cellStyle name="20% - Accent2 42" xfId="822"/>
    <cellStyle name="20% - Accent2 43" xfId="823"/>
    <cellStyle name="20% - Accent2 44" xfId="824"/>
    <cellStyle name="20% - Accent2 45" xfId="825"/>
    <cellStyle name="20% - Accent2 46" xfId="826"/>
    <cellStyle name="20% - Accent2 47" xfId="827"/>
    <cellStyle name="20% - Accent2 48" xfId="828"/>
    <cellStyle name="20% - Accent2 49" xfId="829"/>
    <cellStyle name="20% - Accent2 5" xfId="830"/>
    <cellStyle name="20% - Accent2 50" xfId="831"/>
    <cellStyle name="20% - Accent2 51" xfId="832"/>
    <cellStyle name="20% - Accent2 52" xfId="833"/>
    <cellStyle name="20% - Accent2 53" xfId="834"/>
    <cellStyle name="20% - Accent2 54" xfId="835"/>
    <cellStyle name="20% - Accent2 6" xfId="836"/>
    <cellStyle name="20% - Accent2 7" xfId="837"/>
    <cellStyle name="20% - Accent2 8" xfId="838"/>
    <cellStyle name="20% - Accent2 9" xfId="839"/>
    <cellStyle name="20% - Accent3" xfId="840" builtinId="38" customBuiltin="1"/>
    <cellStyle name="20% - Accent3 10" xfId="841"/>
    <cellStyle name="20% - Accent3 11" xfId="842"/>
    <cellStyle name="20% - Accent3 12" xfId="843"/>
    <cellStyle name="20% - Accent3 13" xfId="844"/>
    <cellStyle name="20% - Accent3 14" xfId="845"/>
    <cellStyle name="20% - Accent3 15" xfId="846"/>
    <cellStyle name="20% - Accent3 16" xfId="847"/>
    <cellStyle name="20% - Accent3 17" xfId="848"/>
    <cellStyle name="20% - Accent3 18" xfId="849"/>
    <cellStyle name="20% - Accent3 19" xfId="850"/>
    <cellStyle name="20% - Accent3 2" xfId="851"/>
    <cellStyle name="20% - Accent3 20" xfId="852"/>
    <cellStyle name="20% - Accent3 21" xfId="853"/>
    <cellStyle name="20% - Accent3 22" xfId="854"/>
    <cellStyle name="20% - Accent3 23" xfId="855"/>
    <cellStyle name="20% - Accent3 24" xfId="856"/>
    <cellStyle name="20% - Accent3 25" xfId="857"/>
    <cellStyle name="20% - Accent3 26" xfId="858"/>
    <cellStyle name="20% - Accent3 27" xfId="859"/>
    <cellStyle name="20% - Accent3 28" xfId="860"/>
    <cellStyle name="20% - Accent3 29" xfId="861"/>
    <cellStyle name="20% - Accent3 3" xfId="862"/>
    <cellStyle name="20% - Accent3 30" xfId="863"/>
    <cellStyle name="20% - Accent3 31" xfId="864"/>
    <cellStyle name="20% - Accent3 32" xfId="865"/>
    <cellStyle name="20% - Accent3 32 2" xfId="866"/>
    <cellStyle name="20% - Accent3 33" xfId="867"/>
    <cellStyle name="20% - Accent3 33 2" xfId="868"/>
    <cellStyle name="20% - Accent3 34" xfId="869"/>
    <cellStyle name="20% - Accent3 35" xfId="870"/>
    <cellStyle name="20% - Accent3 35 2" xfId="871"/>
    <cellStyle name="20% - Accent3 35 3" xfId="872"/>
    <cellStyle name="20% - Accent3 35 4" xfId="873"/>
    <cellStyle name="20% - Accent3 35 5" xfId="874"/>
    <cellStyle name="20% - Accent3 35 6" xfId="875"/>
    <cellStyle name="20% - Accent3 35 7" xfId="876"/>
    <cellStyle name="20% - Accent3 35 8" xfId="877"/>
    <cellStyle name="20% - Accent3 36" xfId="878"/>
    <cellStyle name="20% - Accent3 37" xfId="879"/>
    <cellStyle name="20% - Accent3 38" xfId="880"/>
    <cellStyle name="20% - Accent3 39" xfId="881"/>
    <cellStyle name="20% - Accent3 4" xfId="882"/>
    <cellStyle name="20% - Accent3 40" xfId="883"/>
    <cellStyle name="20% - Accent3 41" xfId="884"/>
    <cellStyle name="20% - Accent3 42" xfId="885"/>
    <cellStyle name="20% - Accent3 43" xfId="886"/>
    <cellStyle name="20% - Accent3 44" xfId="887"/>
    <cellStyle name="20% - Accent3 45" xfId="888"/>
    <cellStyle name="20% - Accent3 46" xfId="889"/>
    <cellStyle name="20% - Accent3 47" xfId="890"/>
    <cellStyle name="20% - Accent3 48" xfId="891"/>
    <cellStyle name="20% - Accent3 49" xfId="892"/>
    <cellStyle name="20% - Accent3 5" xfId="893"/>
    <cellStyle name="20% - Accent3 50" xfId="894"/>
    <cellStyle name="20% - Accent3 51" xfId="895"/>
    <cellStyle name="20% - Accent3 52" xfId="896"/>
    <cellStyle name="20% - Accent3 53" xfId="897"/>
    <cellStyle name="20% - Accent3 54" xfId="898"/>
    <cellStyle name="20% - Accent3 6" xfId="899"/>
    <cellStyle name="20% - Accent3 7" xfId="900"/>
    <cellStyle name="20% - Accent3 8" xfId="901"/>
    <cellStyle name="20% - Accent3 9" xfId="902"/>
    <cellStyle name="20% - Accent4" xfId="903" builtinId="42" customBuiltin="1"/>
    <cellStyle name="20% - Accent4 10" xfId="904"/>
    <cellStyle name="20% - Accent4 11" xfId="905"/>
    <cellStyle name="20% - Accent4 12" xfId="906"/>
    <cellStyle name="20% - Accent4 13" xfId="907"/>
    <cellStyle name="20% - Accent4 14" xfId="908"/>
    <cellStyle name="20% - Accent4 15" xfId="909"/>
    <cellStyle name="20% - Accent4 16" xfId="910"/>
    <cellStyle name="20% - Accent4 17" xfId="911"/>
    <cellStyle name="20% - Accent4 18" xfId="912"/>
    <cellStyle name="20% - Accent4 19" xfId="913"/>
    <cellStyle name="20% - Accent4 2" xfId="914"/>
    <cellStyle name="20% - Accent4 20" xfId="915"/>
    <cellStyle name="20% - Accent4 21" xfId="916"/>
    <cellStyle name="20% - Accent4 22" xfId="917"/>
    <cellStyle name="20% - Accent4 23" xfId="918"/>
    <cellStyle name="20% - Accent4 24" xfId="919"/>
    <cellStyle name="20% - Accent4 25" xfId="920"/>
    <cellStyle name="20% - Accent4 26" xfId="921"/>
    <cellStyle name="20% - Accent4 27" xfId="922"/>
    <cellStyle name="20% - Accent4 28" xfId="923"/>
    <cellStyle name="20% - Accent4 29" xfId="924"/>
    <cellStyle name="20% - Accent4 3" xfId="925"/>
    <cellStyle name="20% - Accent4 30" xfId="926"/>
    <cellStyle name="20% - Accent4 31" xfId="927"/>
    <cellStyle name="20% - Accent4 32" xfId="928"/>
    <cellStyle name="20% - Accent4 32 2" xfId="929"/>
    <cellStyle name="20% - Accent4 33" xfId="930"/>
    <cellStyle name="20% - Accent4 33 2" xfId="931"/>
    <cellStyle name="20% - Accent4 34" xfId="932"/>
    <cellStyle name="20% - Accent4 35" xfId="933"/>
    <cellStyle name="20% - Accent4 35 2" xfId="934"/>
    <cellStyle name="20% - Accent4 35 3" xfId="935"/>
    <cellStyle name="20% - Accent4 35 4" xfId="936"/>
    <cellStyle name="20% - Accent4 35 5" xfId="937"/>
    <cellStyle name="20% - Accent4 35 6" xfId="938"/>
    <cellStyle name="20% - Accent4 35 7" xfId="939"/>
    <cellStyle name="20% - Accent4 35 8" xfId="940"/>
    <cellStyle name="20% - Accent4 36" xfId="941"/>
    <cellStyle name="20% - Accent4 37" xfId="942"/>
    <cellStyle name="20% - Accent4 38" xfId="943"/>
    <cellStyle name="20% - Accent4 39" xfId="944"/>
    <cellStyle name="20% - Accent4 4" xfId="945"/>
    <cellStyle name="20% - Accent4 40" xfId="946"/>
    <cellStyle name="20% - Accent4 41" xfId="947"/>
    <cellStyle name="20% - Accent4 42" xfId="948"/>
    <cellStyle name="20% - Accent4 43" xfId="949"/>
    <cellStyle name="20% - Accent4 44" xfId="950"/>
    <cellStyle name="20% - Accent4 45" xfId="951"/>
    <cellStyle name="20% - Accent4 46" xfId="952"/>
    <cellStyle name="20% - Accent4 47" xfId="953"/>
    <cellStyle name="20% - Accent4 48" xfId="954"/>
    <cellStyle name="20% - Accent4 49" xfId="955"/>
    <cellStyle name="20% - Accent4 5" xfId="956"/>
    <cellStyle name="20% - Accent4 50" xfId="957"/>
    <cellStyle name="20% - Accent4 51" xfId="958"/>
    <cellStyle name="20% - Accent4 52" xfId="959"/>
    <cellStyle name="20% - Accent4 53" xfId="960"/>
    <cellStyle name="20% - Accent4 54" xfId="961"/>
    <cellStyle name="20% - Accent4 6" xfId="962"/>
    <cellStyle name="20% - Accent4 7" xfId="963"/>
    <cellStyle name="20% - Accent4 8" xfId="964"/>
    <cellStyle name="20% - Accent4 9" xfId="965"/>
    <cellStyle name="20% - Accent5" xfId="966" builtinId="46" customBuiltin="1"/>
    <cellStyle name="20% - Accent5 10" xfId="967"/>
    <cellStyle name="20% - Accent5 11" xfId="968"/>
    <cellStyle name="20% - Accent5 12" xfId="969"/>
    <cellStyle name="20% - Accent5 13" xfId="970"/>
    <cellStyle name="20% - Accent5 14" xfId="971"/>
    <cellStyle name="20% - Accent5 15" xfId="972"/>
    <cellStyle name="20% - Accent5 16" xfId="973"/>
    <cellStyle name="20% - Accent5 17" xfId="974"/>
    <cellStyle name="20% - Accent5 18" xfId="975"/>
    <cellStyle name="20% - Accent5 19" xfId="976"/>
    <cellStyle name="20% - Accent5 2" xfId="977"/>
    <cellStyle name="20% - Accent5 20" xfId="978"/>
    <cellStyle name="20% - Accent5 21" xfId="979"/>
    <cellStyle name="20% - Accent5 22" xfId="980"/>
    <cellStyle name="20% - Accent5 23" xfId="981"/>
    <cellStyle name="20% - Accent5 24" xfId="982"/>
    <cellStyle name="20% - Accent5 25" xfId="983"/>
    <cellStyle name="20% - Accent5 26" xfId="984"/>
    <cellStyle name="20% - Accent5 27" xfId="985"/>
    <cellStyle name="20% - Accent5 28" xfId="986"/>
    <cellStyle name="20% - Accent5 29" xfId="987"/>
    <cellStyle name="20% - Accent5 3" xfId="988"/>
    <cellStyle name="20% - Accent5 30" xfId="989"/>
    <cellStyle name="20% - Accent5 31" xfId="990"/>
    <cellStyle name="20% - Accent5 32" xfId="991"/>
    <cellStyle name="20% - Accent5 32 2" xfId="992"/>
    <cellStyle name="20% - Accent5 33" xfId="993"/>
    <cellStyle name="20% - Accent5 33 2" xfId="994"/>
    <cellStyle name="20% - Accent5 34" xfId="995"/>
    <cellStyle name="20% - Accent5 35" xfId="996"/>
    <cellStyle name="20% - Accent5 35 2" xfId="997"/>
    <cellStyle name="20% - Accent5 35 3" xfId="998"/>
    <cellStyle name="20% - Accent5 35 4" xfId="999"/>
    <cellStyle name="20% - Accent5 35 5" xfId="1000"/>
    <cellStyle name="20% - Accent5 35 6" xfId="1001"/>
    <cellStyle name="20% - Accent5 35 7" xfId="1002"/>
    <cellStyle name="20% - Accent5 35 8" xfId="1003"/>
    <cellStyle name="20% - Accent5 36" xfId="1004"/>
    <cellStyle name="20% - Accent5 37" xfId="1005"/>
    <cellStyle name="20% - Accent5 38" xfId="1006"/>
    <cellStyle name="20% - Accent5 39" xfId="1007"/>
    <cellStyle name="20% - Accent5 4" xfId="1008"/>
    <cellStyle name="20% - Accent5 40" xfId="1009"/>
    <cellStyle name="20% - Accent5 41" xfId="1010"/>
    <cellStyle name="20% - Accent5 42" xfId="1011"/>
    <cellStyle name="20% - Accent5 43" xfId="1012"/>
    <cellStyle name="20% - Accent5 44" xfId="1013"/>
    <cellStyle name="20% - Accent5 45" xfId="1014"/>
    <cellStyle name="20% - Accent5 46" xfId="1015"/>
    <cellStyle name="20% - Accent5 47" xfId="1016"/>
    <cellStyle name="20% - Accent5 48" xfId="1017"/>
    <cellStyle name="20% - Accent5 49" xfId="1018"/>
    <cellStyle name="20% - Accent5 5" xfId="1019"/>
    <cellStyle name="20% - Accent5 50" xfId="1020"/>
    <cellStyle name="20% - Accent5 51" xfId="1021"/>
    <cellStyle name="20% - Accent5 52" xfId="1022"/>
    <cellStyle name="20% - Accent5 53" xfId="1023"/>
    <cellStyle name="20% - Accent5 54" xfId="1024"/>
    <cellStyle name="20% - Accent5 6" xfId="1025"/>
    <cellStyle name="20% - Accent5 7" xfId="1026"/>
    <cellStyle name="20% - Accent5 8" xfId="1027"/>
    <cellStyle name="20% - Accent5 9" xfId="1028"/>
    <cellStyle name="20% - Accent6" xfId="1029" builtinId="50" customBuiltin="1"/>
    <cellStyle name="20% - Accent6 10" xfId="1030"/>
    <cellStyle name="20% - Accent6 11" xfId="1031"/>
    <cellStyle name="20% - Accent6 12" xfId="1032"/>
    <cellStyle name="20% - Accent6 13" xfId="1033"/>
    <cellStyle name="20% - Accent6 14" xfId="1034"/>
    <cellStyle name="20% - Accent6 15" xfId="1035"/>
    <cellStyle name="20% - Accent6 16" xfId="1036"/>
    <cellStyle name="20% - Accent6 17" xfId="1037"/>
    <cellStyle name="20% - Accent6 18" xfId="1038"/>
    <cellStyle name="20% - Accent6 19" xfId="1039"/>
    <cellStyle name="20% - Accent6 2" xfId="1040"/>
    <cellStyle name="20% - Accent6 20" xfId="1041"/>
    <cellStyle name="20% - Accent6 21" xfId="1042"/>
    <cellStyle name="20% - Accent6 22" xfId="1043"/>
    <cellStyle name="20% - Accent6 23" xfId="1044"/>
    <cellStyle name="20% - Accent6 24" xfId="1045"/>
    <cellStyle name="20% - Accent6 25" xfId="1046"/>
    <cellStyle name="20% - Accent6 26" xfId="1047"/>
    <cellStyle name="20% - Accent6 27" xfId="1048"/>
    <cellStyle name="20% - Accent6 28" xfId="1049"/>
    <cellStyle name="20% - Accent6 29" xfId="1050"/>
    <cellStyle name="20% - Accent6 3" xfId="1051"/>
    <cellStyle name="20% - Accent6 30" xfId="1052"/>
    <cellStyle name="20% - Accent6 31" xfId="1053"/>
    <cellStyle name="20% - Accent6 32" xfId="1054"/>
    <cellStyle name="20% - Accent6 32 2" xfId="1055"/>
    <cellStyle name="20% - Accent6 33" xfId="1056"/>
    <cellStyle name="20% - Accent6 33 2" xfId="1057"/>
    <cellStyle name="20% - Accent6 34" xfId="1058"/>
    <cellStyle name="20% - Accent6 35" xfId="1059"/>
    <cellStyle name="20% - Accent6 35 2" xfId="1060"/>
    <cellStyle name="20% - Accent6 35 3" xfId="1061"/>
    <cellStyle name="20% - Accent6 35 4" xfId="1062"/>
    <cellStyle name="20% - Accent6 35 5" xfId="1063"/>
    <cellStyle name="20% - Accent6 35 6" xfId="1064"/>
    <cellStyle name="20% - Accent6 35 7" xfId="1065"/>
    <cellStyle name="20% - Accent6 35 8" xfId="1066"/>
    <cellStyle name="20% - Accent6 36" xfId="1067"/>
    <cellStyle name="20% - Accent6 37" xfId="1068"/>
    <cellStyle name="20% - Accent6 38" xfId="1069"/>
    <cellStyle name="20% - Accent6 39" xfId="1070"/>
    <cellStyle name="20% - Accent6 4" xfId="1071"/>
    <cellStyle name="20% - Accent6 40" xfId="1072"/>
    <cellStyle name="20% - Accent6 41" xfId="1073"/>
    <cellStyle name="20% - Accent6 42" xfId="1074"/>
    <cellStyle name="20% - Accent6 43" xfId="1075"/>
    <cellStyle name="20% - Accent6 44" xfId="1076"/>
    <cellStyle name="20% - Accent6 45" xfId="1077"/>
    <cellStyle name="20% - Accent6 46" xfId="1078"/>
    <cellStyle name="20% - Accent6 47" xfId="1079"/>
    <cellStyle name="20% - Accent6 48" xfId="1080"/>
    <cellStyle name="20% - Accent6 49" xfId="1081"/>
    <cellStyle name="20% - Accent6 5" xfId="1082"/>
    <cellStyle name="20% - Accent6 50" xfId="1083"/>
    <cellStyle name="20% - Accent6 51" xfId="1084"/>
    <cellStyle name="20% - Accent6 52" xfId="1085"/>
    <cellStyle name="20% - Accent6 53" xfId="1086"/>
    <cellStyle name="20% - Accent6 54" xfId="1087"/>
    <cellStyle name="20% - Accent6 6" xfId="1088"/>
    <cellStyle name="20% - Accent6 7" xfId="1089"/>
    <cellStyle name="20% - Accent6 8" xfId="1090"/>
    <cellStyle name="20% - Accent6 9" xfId="1091"/>
    <cellStyle name="3" xfId="1092"/>
    <cellStyle name="4" xfId="1093"/>
    <cellStyle name="40% - Accent1" xfId="1094" builtinId="31" customBuiltin="1"/>
    <cellStyle name="40% - Accent1 10" xfId="1095"/>
    <cellStyle name="40% - Accent1 11" xfId="1096"/>
    <cellStyle name="40% - Accent1 12" xfId="1097"/>
    <cellStyle name="40% - Accent1 13" xfId="1098"/>
    <cellStyle name="40% - Accent1 14" xfId="1099"/>
    <cellStyle name="40% - Accent1 15" xfId="1100"/>
    <cellStyle name="40% - Accent1 16" xfId="1101"/>
    <cellStyle name="40% - Accent1 17" xfId="1102"/>
    <cellStyle name="40% - Accent1 18" xfId="1103"/>
    <cellStyle name="40% - Accent1 19" xfId="1104"/>
    <cellStyle name="40% - Accent1 2" xfId="1105"/>
    <cellStyle name="40% - Accent1 20" xfId="1106"/>
    <cellStyle name="40% - Accent1 21" xfId="1107"/>
    <cellStyle name="40% - Accent1 22" xfId="1108"/>
    <cellStyle name="40% - Accent1 23" xfId="1109"/>
    <cellStyle name="40% - Accent1 24" xfId="1110"/>
    <cellStyle name="40% - Accent1 25" xfId="1111"/>
    <cellStyle name="40% - Accent1 26" xfId="1112"/>
    <cellStyle name="40% - Accent1 27" xfId="1113"/>
    <cellStyle name="40% - Accent1 28" xfId="1114"/>
    <cellStyle name="40% - Accent1 29" xfId="1115"/>
    <cellStyle name="40% - Accent1 3" xfId="1116"/>
    <cellStyle name="40% - Accent1 30" xfId="1117"/>
    <cellStyle name="40% - Accent1 31" xfId="1118"/>
    <cellStyle name="40% - Accent1 32" xfId="1119"/>
    <cellStyle name="40% - Accent1 32 2" xfId="1120"/>
    <cellStyle name="40% - Accent1 33" xfId="1121"/>
    <cellStyle name="40% - Accent1 33 2" xfId="1122"/>
    <cellStyle name="40% - Accent1 34" xfId="1123"/>
    <cellStyle name="40% - Accent1 35" xfId="1124"/>
    <cellStyle name="40% - Accent1 35 2" xfId="1125"/>
    <cellStyle name="40% - Accent1 35 3" xfId="1126"/>
    <cellStyle name="40% - Accent1 35 4" xfId="1127"/>
    <cellStyle name="40% - Accent1 35 5" xfId="1128"/>
    <cellStyle name="40% - Accent1 35 6" xfId="1129"/>
    <cellStyle name="40% - Accent1 35 7" xfId="1130"/>
    <cellStyle name="40% - Accent1 35 8" xfId="1131"/>
    <cellStyle name="40% - Accent1 36" xfId="1132"/>
    <cellStyle name="40% - Accent1 37" xfId="1133"/>
    <cellStyle name="40% - Accent1 38" xfId="1134"/>
    <cellStyle name="40% - Accent1 39" xfId="1135"/>
    <cellStyle name="40% - Accent1 4" xfId="1136"/>
    <cellStyle name="40% - Accent1 40" xfId="1137"/>
    <cellStyle name="40% - Accent1 41" xfId="1138"/>
    <cellStyle name="40% - Accent1 42" xfId="1139"/>
    <cellStyle name="40% - Accent1 43" xfId="1140"/>
    <cellStyle name="40% - Accent1 44" xfId="1141"/>
    <cellStyle name="40% - Accent1 45" xfId="1142"/>
    <cellStyle name="40% - Accent1 46" xfId="1143"/>
    <cellStyle name="40% - Accent1 47" xfId="1144"/>
    <cellStyle name="40% - Accent1 48" xfId="1145"/>
    <cellStyle name="40% - Accent1 49" xfId="1146"/>
    <cellStyle name="40% - Accent1 5" xfId="1147"/>
    <cellStyle name="40% - Accent1 50" xfId="1148"/>
    <cellStyle name="40% - Accent1 51" xfId="1149"/>
    <cellStyle name="40% - Accent1 52" xfId="1150"/>
    <cellStyle name="40% - Accent1 53" xfId="1151"/>
    <cellStyle name="40% - Accent1 54" xfId="1152"/>
    <cellStyle name="40% - Accent1 6" xfId="1153"/>
    <cellStyle name="40% - Accent1 7" xfId="1154"/>
    <cellStyle name="40% - Accent1 8" xfId="1155"/>
    <cellStyle name="40% - Accent1 9" xfId="1156"/>
    <cellStyle name="40% - Accent2" xfId="1157" builtinId="35" customBuiltin="1"/>
    <cellStyle name="40% - Accent2 10" xfId="1158"/>
    <cellStyle name="40% - Accent2 11" xfId="1159"/>
    <cellStyle name="40% - Accent2 12" xfId="1160"/>
    <cellStyle name="40% - Accent2 13" xfId="1161"/>
    <cellStyle name="40% - Accent2 14" xfId="1162"/>
    <cellStyle name="40% - Accent2 15" xfId="1163"/>
    <cellStyle name="40% - Accent2 16" xfId="1164"/>
    <cellStyle name="40% - Accent2 17" xfId="1165"/>
    <cellStyle name="40% - Accent2 18" xfId="1166"/>
    <cellStyle name="40% - Accent2 19" xfId="1167"/>
    <cellStyle name="40% - Accent2 2" xfId="1168"/>
    <cellStyle name="40% - Accent2 20" xfId="1169"/>
    <cellStyle name="40% - Accent2 21" xfId="1170"/>
    <cellStyle name="40% - Accent2 22" xfId="1171"/>
    <cellStyle name="40% - Accent2 23" xfId="1172"/>
    <cellStyle name="40% - Accent2 24" xfId="1173"/>
    <cellStyle name="40% - Accent2 25" xfId="1174"/>
    <cellStyle name="40% - Accent2 26" xfId="1175"/>
    <cellStyle name="40% - Accent2 27" xfId="1176"/>
    <cellStyle name="40% - Accent2 28" xfId="1177"/>
    <cellStyle name="40% - Accent2 29" xfId="1178"/>
    <cellStyle name="40% - Accent2 3" xfId="1179"/>
    <cellStyle name="40% - Accent2 30" xfId="1180"/>
    <cellStyle name="40% - Accent2 31" xfId="1181"/>
    <cellStyle name="40% - Accent2 32" xfId="1182"/>
    <cellStyle name="40% - Accent2 32 2" xfId="1183"/>
    <cellStyle name="40% - Accent2 33" xfId="1184"/>
    <cellStyle name="40% - Accent2 33 2" xfId="1185"/>
    <cellStyle name="40% - Accent2 34" xfId="1186"/>
    <cellStyle name="40% - Accent2 35" xfId="1187"/>
    <cellStyle name="40% - Accent2 35 2" xfId="1188"/>
    <cellStyle name="40% - Accent2 35 3" xfId="1189"/>
    <cellStyle name="40% - Accent2 35 4" xfId="1190"/>
    <cellStyle name="40% - Accent2 35 5" xfId="1191"/>
    <cellStyle name="40% - Accent2 35 6" xfId="1192"/>
    <cellStyle name="40% - Accent2 35 7" xfId="1193"/>
    <cellStyle name="40% - Accent2 35 8" xfId="1194"/>
    <cellStyle name="40% - Accent2 36" xfId="1195"/>
    <cellStyle name="40% - Accent2 37" xfId="1196"/>
    <cellStyle name="40% - Accent2 38" xfId="1197"/>
    <cellStyle name="40% - Accent2 39" xfId="1198"/>
    <cellStyle name="40% - Accent2 4" xfId="1199"/>
    <cellStyle name="40% - Accent2 40" xfId="1200"/>
    <cellStyle name="40% - Accent2 41" xfId="1201"/>
    <cellStyle name="40% - Accent2 42" xfId="1202"/>
    <cellStyle name="40% - Accent2 43" xfId="1203"/>
    <cellStyle name="40% - Accent2 44" xfId="1204"/>
    <cellStyle name="40% - Accent2 45" xfId="1205"/>
    <cellStyle name="40% - Accent2 46" xfId="1206"/>
    <cellStyle name="40% - Accent2 47" xfId="1207"/>
    <cellStyle name="40% - Accent2 48" xfId="1208"/>
    <cellStyle name="40% - Accent2 49" xfId="1209"/>
    <cellStyle name="40% - Accent2 5" xfId="1210"/>
    <cellStyle name="40% - Accent2 50" xfId="1211"/>
    <cellStyle name="40% - Accent2 51" xfId="1212"/>
    <cellStyle name="40% - Accent2 52" xfId="1213"/>
    <cellStyle name="40% - Accent2 53" xfId="1214"/>
    <cellStyle name="40% - Accent2 54" xfId="1215"/>
    <cellStyle name="40% - Accent2 6" xfId="1216"/>
    <cellStyle name="40% - Accent2 7" xfId="1217"/>
    <cellStyle name="40% - Accent2 8" xfId="1218"/>
    <cellStyle name="40% - Accent2 9" xfId="1219"/>
    <cellStyle name="40% - Accent3" xfId="1220" builtinId="39" customBuiltin="1"/>
    <cellStyle name="40% - Accent3 10" xfId="1221"/>
    <cellStyle name="40% - Accent3 11" xfId="1222"/>
    <cellStyle name="40% - Accent3 12" xfId="1223"/>
    <cellStyle name="40% - Accent3 13" xfId="1224"/>
    <cellStyle name="40% - Accent3 14" xfId="1225"/>
    <cellStyle name="40% - Accent3 15" xfId="1226"/>
    <cellStyle name="40% - Accent3 16" xfId="1227"/>
    <cellStyle name="40% - Accent3 17" xfId="1228"/>
    <cellStyle name="40% - Accent3 18" xfId="1229"/>
    <cellStyle name="40% - Accent3 19" xfId="1230"/>
    <cellStyle name="40% - Accent3 2" xfId="1231"/>
    <cellStyle name="40% - Accent3 20" xfId="1232"/>
    <cellStyle name="40% - Accent3 21" xfId="1233"/>
    <cellStyle name="40% - Accent3 22" xfId="1234"/>
    <cellStyle name="40% - Accent3 23" xfId="1235"/>
    <cellStyle name="40% - Accent3 24" xfId="1236"/>
    <cellStyle name="40% - Accent3 25" xfId="1237"/>
    <cellStyle name="40% - Accent3 26" xfId="1238"/>
    <cellStyle name="40% - Accent3 27" xfId="1239"/>
    <cellStyle name="40% - Accent3 28" xfId="1240"/>
    <cellStyle name="40% - Accent3 29" xfId="1241"/>
    <cellStyle name="40% - Accent3 3" xfId="1242"/>
    <cellStyle name="40% - Accent3 30" xfId="1243"/>
    <cellStyle name="40% - Accent3 31" xfId="1244"/>
    <cellStyle name="40% - Accent3 32" xfId="1245"/>
    <cellStyle name="40% - Accent3 33" xfId="1246"/>
    <cellStyle name="40% - Accent3 34" xfId="1247"/>
    <cellStyle name="40% - Accent3 35" xfId="1248"/>
    <cellStyle name="40% - Accent3 36" xfId="1249"/>
    <cellStyle name="40% - Accent3 37" xfId="1250"/>
    <cellStyle name="40% - Accent3 38" xfId="1251"/>
    <cellStyle name="40% - Accent3 39" xfId="1252"/>
    <cellStyle name="40% - Accent3 4" xfId="1253"/>
    <cellStyle name="40% - Accent3 40" xfId="1254"/>
    <cellStyle name="40% - Accent3 41" xfId="1255"/>
    <cellStyle name="40% - Accent3 42" xfId="1256"/>
    <cellStyle name="40% - Accent3 43" xfId="1257"/>
    <cellStyle name="40% - Accent3 44" xfId="1258"/>
    <cellStyle name="40% - Accent3 45" xfId="1259"/>
    <cellStyle name="40% - Accent3 46" xfId="1260"/>
    <cellStyle name="40% - Accent3 47" xfId="1261"/>
    <cellStyle name="40% - Accent3 48" xfId="1262"/>
    <cellStyle name="40% - Accent3 49" xfId="1263"/>
    <cellStyle name="40% - Accent3 5" xfId="1264"/>
    <cellStyle name="40% - Accent3 50" xfId="1265"/>
    <cellStyle name="40% - Accent3 6" xfId="1266"/>
    <cellStyle name="40% - Accent3 6 2" xfId="1267"/>
    <cellStyle name="40% - Accent3 7" xfId="1268"/>
    <cellStyle name="40% - Accent3 7 2" xfId="1269"/>
    <cellStyle name="40% - Accent3 8" xfId="1270"/>
    <cellStyle name="40% - Accent3 9" xfId="1271"/>
    <cellStyle name="40% - Accent3 9 2" xfId="1272"/>
    <cellStyle name="40% - Accent3 9 3" xfId="1273"/>
    <cellStyle name="40% - Accent3 9 4" xfId="1274"/>
    <cellStyle name="40% - Accent3 9 5" xfId="1275"/>
    <cellStyle name="40% - Accent3 9 6" xfId="1276"/>
    <cellStyle name="40% - Accent3 9 7" xfId="1277"/>
    <cellStyle name="40% - Accent3 9 8" xfId="1278"/>
    <cellStyle name="40% - Accent4" xfId="1279" builtinId="43" customBuiltin="1"/>
    <cellStyle name="40% - Accent4 10" xfId="1280"/>
    <cellStyle name="40% - Accent4 11" xfId="1281"/>
    <cellStyle name="40% - Accent4 12" xfId="1282"/>
    <cellStyle name="40% - Accent4 13" xfId="1283"/>
    <cellStyle name="40% - Accent4 14" xfId="1284"/>
    <cellStyle name="40% - Accent4 15" xfId="1285"/>
    <cellStyle name="40% - Accent4 16" xfId="1286"/>
    <cellStyle name="40% - Accent4 17" xfId="1287"/>
    <cellStyle name="40% - Accent4 18" xfId="1288"/>
    <cellStyle name="40% - Accent4 19" xfId="1289"/>
    <cellStyle name="40% - Accent4 2" xfId="1290"/>
    <cellStyle name="40% - Accent4 2 2" xfId="1291"/>
    <cellStyle name="40% - Accent4 20" xfId="1292"/>
    <cellStyle name="40% - Accent4 21" xfId="1293"/>
    <cellStyle name="40% - Accent4 22" xfId="1294"/>
    <cellStyle name="40% - Accent4 23" xfId="1295"/>
    <cellStyle name="40% - Accent4 24" xfId="1296"/>
    <cellStyle name="40% - Accent4 3" xfId="1297"/>
    <cellStyle name="40% - Accent4 3 2" xfId="1298"/>
    <cellStyle name="40% - Accent4 4" xfId="1299"/>
    <cellStyle name="40% - Accent4 5" xfId="1300"/>
    <cellStyle name="40% - Accent4 5 2" xfId="1301"/>
    <cellStyle name="40% - Accent4 5 3" xfId="1302"/>
    <cellStyle name="40% - Accent4 5 4" xfId="1303"/>
    <cellStyle name="40% - Accent4 5 5" xfId="1304"/>
    <cellStyle name="40% - Accent4 5 6" xfId="1305"/>
    <cellStyle name="40% - Accent4 5 7" xfId="1306"/>
    <cellStyle name="40% - Accent4 5 8" xfId="1307"/>
    <cellStyle name="40% - Accent4 6" xfId="1308"/>
    <cellStyle name="40% - Accent4 7" xfId="1309"/>
    <cellStyle name="40% - Accent4 8" xfId="1310"/>
    <cellStyle name="40% - Accent4 9" xfId="1311"/>
    <cellStyle name="40% - Accent5" xfId="1312" builtinId="47" customBuiltin="1"/>
    <cellStyle name="40% - Accent5 10" xfId="1313"/>
    <cellStyle name="40% - Accent5 11" xfId="1314"/>
    <cellStyle name="40% - Accent5 12" xfId="1315"/>
    <cellStyle name="40% - Accent5 13" xfId="1316"/>
    <cellStyle name="40% - Accent5 14" xfId="1317"/>
    <cellStyle name="40% - Accent5 15" xfId="1318"/>
    <cellStyle name="40% - Accent5 16" xfId="1319"/>
    <cellStyle name="40% - Accent5 17" xfId="1320"/>
    <cellStyle name="40% - Accent5 18" xfId="1321"/>
    <cellStyle name="40% - Accent5 19" xfId="1322"/>
    <cellStyle name="40% - Accent5 2" xfId="1323"/>
    <cellStyle name="40% - Accent5 2 2" xfId="1324"/>
    <cellStyle name="40% - Accent5 20" xfId="1325"/>
    <cellStyle name="40% - Accent5 21" xfId="1326"/>
    <cellStyle name="40% - Accent5 22" xfId="1327"/>
    <cellStyle name="40% - Accent5 23" xfId="1328"/>
    <cellStyle name="40% - Accent5 24" xfId="1329"/>
    <cellStyle name="40% - Accent5 3" xfId="1330"/>
    <cellStyle name="40% - Accent5 3 2" xfId="1331"/>
    <cellStyle name="40% - Accent5 4" xfId="1332"/>
    <cellStyle name="40% - Accent5 5" xfId="1333"/>
    <cellStyle name="40% - Accent5 5 2" xfId="1334"/>
    <cellStyle name="40% - Accent5 5 3" xfId="1335"/>
    <cellStyle name="40% - Accent5 5 4" xfId="1336"/>
    <cellStyle name="40% - Accent5 5 5" xfId="1337"/>
    <cellStyle name="40% - Accent5 5 6" xfId="1338"/>
    <cellStyle name="40% - Accent5 5 7" xfId="1339"/>
    <cellStyle name="40% - Accent5 5 8" xfId="1340"/>
    <cellStyle name="40% - Accent5 6" xfId="1341"/>
    <cellStyle name="40% - Accent5 7" xfId="1342"/>
    <cellStyle name="40% - Accent5 8" xfId="1343"/>
    <cellStyle name="40% - Accent5 9" xfId="1344"/>
    <cellStyle name="40% - Accent6" xfId="1345" builtinId="51" customBuiltin="1"/>
    <cellStyle name="40% - Accent6 10" xfId="1346"/>
    <cellStyle name="40% - Accent6 11" xfId="1347"/>
    <cellStyle name="40% - Accent6 12" xfId="1348"/>
    <cellStyle name="40% - Accent6 13" xfId="1349"/>
    <cellStyle name="40% - Accent6 14" xfId="1350"/>
    <cellStyle name="40% - Accent6 15" xfId="1351"/>
    <cellStyle name="40% - Accent6 16" xfId="1352"/>
    <cellStyle name="40% - Accent6 17" xfId="1353"/>
    <cellStyle name="40% - Accent6 18" xfId="1354"/>
    <cellStyle name="40% - Accent6 19" xfId="1355"/>
    <cellStyle name="40% - Accent6 2" xfId="1356"/>
    <cellStyle name="40% - Accent6 2 2" xfId="1357"/>
    <cellStyle name="40% - Accent6 20" xfId="1358"/>
    <cellStyle name="40% - Accent6 21" xfId="1359"/>
    <cellStyle name="40% - Accent6 22" xfId="1360"/>
    <cellStyle name="40% - Accent6 23" xfId="1361"/>
    <cellStyle name="40% - Accent6 24" xfId="1362"/>
    <cellStyle name="40% - Accent6 3" xfId="1363"/>
    <cellStyle name="40% - Accent6 3 2" xfId="1364"/>
    <cellStyle name="40% - Accent6 4" xfId="1365"/>
    <cellStyle name="40% - Accent6 5" xfId="1366"/>
    <cellStyle name="40% - Accent6 5 2" xfId="1367"/>
    <cellStyle name="40% - Accent6 5 3" xfId="1368"/>
    <cellStyle name="40% - Accent6 5 4" xfId="1369"/>
    <cellStyle name="40% - Accent6 5 5" xfId="1370"/>
    <cellStyle name="40% - Accent6 5 6" xfId="1371"/>
    <cellStyle name="40% - Accent6 5 7" xfId="1372"/>
    <cellStyle name="40% - Accent6 5 8" xfId="1373"/>
    <cellStyle name="40% - Accent6 6" xfId="1374"/>
    <cellStyle name="40% - Accent6 7" xfId="1375"/>
    <cellStyle name="40% - Accent6 8" xfId="1376"/>
    <cellStyle name="40% - Accent6 9" xfId="1377"/>
    <cellStyle name="6" xfId="1378"/>
    <cellStyle name="6 2" xfId="1379"/>
    <cellStyle name="6_ĐONG XA" xfId="1380"/>
    <cellStyle name="6_T.T CAI RONG" xfId="1381"/>
    <cellStyle name="60% - Accent1" xfId="1382" builtinId="32" customBuiltin="1"/>
    <cellStyle name="60% - Accent2" xfId="1383" builtinId="36" customBuiltin="1"/>
    <cellStyle name="60% - Accent3" xfId="1384" builtinId="40" customBuiltin="1"/>
    <cellStyle name="60% - Accent4" xfId="1385" builtinId="44" customBuiltin="1"/>
    <cellStyle name="60% - Accent5" xfId="1386" builtinId="48" customBuiltin="1"/>
    <cellStyle name="60% - Accent6" xfId="1387" builtinId="52" customBuiltin="1"/>
    <cellStyle name="Accent1" xfId="1388" builtinId="29" customBuiltin="1"/>
    <cellStyle name="Accent2" xfId="1389" builtinId="33" customBuiltin="1"/>
    <cellStyle name="Accent3" xfId="1390" builtinId="37" customBuiltin="1"/>
    <cellStyle name="Accent4" xfId="1391" builtinId="41" customBuiltin="1"/>
    <cellStyle name="Accent5" xfId="1392" builtinId="45" customBuiltin="1"/>
    <cellStyle name="Accent6" xfId="1393" builtinId="49" customBuiltin="1"/>
    <cellStyle name="ÅëÈ­ [0]_¿ì¹°Åë" xfId="1394"/>
    <cellStyle name="AeE­ [0]_INQUIRY ¿?¾÷AßAø " xfId="1395"/>
    <cellStyle name="ÅëÈ­ [0]_Sheet1" xfId="1396"/>
    <cellStyle name="ÅëÈ­_¿ì¹°Åë" xfId="1397"/>
    <cellStyle name="AeE­_INQUIRY ¿µ¾÷AßAø " xfId="1398"/>
    <cellStyle name="ÅëÈ­_Sheet1" xfId="1399"/>
    <cellStyle name="args.style" xfId="1400"/>
    <cellStyle name="args.style 10" xfId="1401"/>
    <cellStyle name="args.style 11" xfId="1402"/>
    <cellStyle name="args.style 12" xfId="1403"/>
    <cellStyle name="args.style 13" xfId="1404"/>
    <cellStyle name="args.style 14" xfId="1405"/>
    <cellStyle name="args.style 15" xfId="1406"/>
    <cellStyle name="args.style 16" xfId="1407"/>
    <cellStyle name="args.style 17" xfId="1408"/>
    <cellStyle name="args.style 18" xfId="1409"/>
    <cellStyle name="args.style 19" xfId="1410"/>
    <cellStyle name="args.style 2" xfId="1411"/>
    <cellStyle name="args.style 2 2" xfId="1412"/>
    <cellStyle name="args.style 20" xfId="1413"/>
    <cellStyle name="args.style 21" xfId="1414"/>
    <cellStyle name="args.style 22" xfId="1415"/>
    <cellStyle name="args.style 23" xfId="1416"/>
    <cellStyle name="args.style 24" xfId="1417"/>
    <cellStyle name="args.style 3" xfId="1418"/>
    <cellStyle name="args.style 3 2" xfId="1419"/>
    <cellStyle name="args.style 4" xfId="1420"/>
    <cellStyle name="args.style 5" xfId="1421"/>
    <cellStyle name="args.style 6" xfId="1422"/>
    <cellStyle name="args.style 7" xfId="1423"/>
    <cellStyle name="args.style 8" xfId="1424"/>
    <cellStyle name="args.style 9" xfId="1425"/>
    <cellStyle name="args.style_10CH" xfId="1426"/>
    <cellStyle name="ÄÞ¸¶ [0]_¿ì¹°Åë" xfId="1427"/>
    <cellStyle name="AÞ¸¶ [0]_INQUIRY ¿?¾÷AßAø " xfId="1428"/>
    <cellStyle name="ÄÞ¸¶ [0]_L601CPT" xfId="1429"/>
    <cellStyle name="ÄÞ¸¶_¿ì¹°Åë" xfId="1430"/>
    <cellStyle name="AÞ¸¶_INQUIRY ¿?¾÷AßAø " xfId="1431"/>
    <cellStyle name="ÄÞ¸¶_L601CPT" xfId="1432"/>
    <cellStyle name="Bad" xfId="1433" builtinId="27" customBuiltin="1"/>
    <cellStyle name="Bangchu" xfId="1434"/>
    <cellStyle name="Body" xfId="1435"/>
    <cellStyle name="C?AØ_¿?¾÷CoE² " xfId="1436"/>
    <cellStyle name="Ç¥ÁØ_#2(M17)_1" xfId="1437"/>
    <cellStyle name="C￥AØ_¿μ¾÷CoE² " xfId="1438"/>
    <cellStyle name="Ç¥ÁØ_±³°¢¼ö·®" xfId="1439"/>
    <cellStyle name="Calc Currency (0)" xfId="1440"/>
    <cellStyle name="Calc Currency (0) 10" xfId="1441"/>
    <cellStyle name="Calc Currency (0) 11" xfId="1442"/>
    <cellStyle name="Calc Currency (0) 12" xfId="1443"/>
    <cellStyle name="Calc Currency (0) 13" xfId="1444"/>
    <cellStyle name="Calc Currency (0) 14" xfId="1445"/>
    <cellStyle name="Calc Currency (0) 15" xfId="1446"/>
    <cellStyle name="Calc Currency (0) 16" xfId="1447"/>
    <cellStyle name="Calc Currency (0) 17" xfId="1448"/>
    <cellStyle name="Calc Currency (0) 18" xfId="1449"/>
    <cellStyle name="Calc Currency (0) 19" xfId="1450"/>
    <cellStyle name="Calc Currency (0) 2" xfId="1451"/>
    <cellStyle name="Calc Currency (0) 2 2" xfId="1452"/>
    <cellStyle name="Calc Currency (0) 20" xfId="1453"/>
    <cellStyle name="Calc Currency (0) 21" xfId="1454"/>
    <cellStyle name="Calc Currency (0) 22" xfId="1455"/>
    <cellStyle name="Calc Currency (0) 23" xfId="1456"/>
    <cellStyle name="Calc Currency (0) 24" xfId="1457"/>
    <cellStyle name="Calc Currency (0) 3" xfId="1458"/>
    <cellStyle name="Calc Currency (0) 3 2" xfId="1459"/>
    <cellStyle name="Calc Currency (0) 4" xfId="1460"/>
    <cellStyle name="Calc Currency (0) 5" xfId="1461"/>
    <cellStyle name="Calc Currency (0) 6" xfId="1462"/>
    <cellStyle name="Calc Currency (0) 7" xfId="1463"/>
    <cellStyle name="Calc Currency (0) 8" xfId="1464"/>
    <cellStyle name="Calc Currency (0) 9" xfId="1465"/>
    <cellStyle name="Calc Currency (0)_10CH" xfId="1466"/>
    <cellStyle name="Calculation" xfId="1467" builtinId="22" customBuiltin="1"/>
    <cellStyle name="Calculation 2" xfId="12196"/>
    <cellStyle name="Calculation 3" xfId="6827"/>
    <cellStyle name="category" xfId="1468"/>
    <cellStyle name="category 2" xfId="1469"/>
    <cellStyle name="category_BPhu PNN" xfId="1470"/>
    <cellStyle name="Check Cell" xfId="1471" builtinId="23" customBuiltin="1"/>
    <cellStyle name="Comma" xfId="12209" builtinId="3"/>
    <cellStyle name="Comma  - Style1" xfId="1472"/>
    <cellStyle name="Comma  - Style2" xfId="1473"/>
    <cellStyle name="Comma  - Style3" xfId="1474"/>
    <cellStyle name="Comma  - Style4" xfId="1475"/>
    <cellStyle name="Comma  - Style5" xfId="1476"/>
    <cellStyle name="Comma  - Style6" xfId="1477"/>
    <cellStyle name="Comma  - Style7" xfId="1478"/>
    <cellStyle name="Comma  - Style8" xfId="1479"/>
    <cellStyle name="Comma 10" xfId="1480"/>
    <cellStyle name="Comma 10 10" xfId="1481"/>
    <cellStyle name="Comma 10 10 2" xfId="6829"/>
    <cellStyle name="Comma 10 11" xfId="1482"/>
    <cellStyle name="Comma 10 11 2" xfId="6830"/>
    <cellStyle name="Comma 10 12" xfId="1483"/>
    <cellStyle name="Comma 10 12 2" xfId="6831"/>
    <cellStyle name="Comma 10 13" xfId="1484"/>
    <cellStyle name="Comma 10 13 2" xfId="6832"/>
    <cellStyle name="Comma 10 14" xfId="1485"/>
    <cellStyle name="Comma 10 14 2" xfId="6833"/>
    <cellStyle name="Comma 10 15" xfId="1486"/>
    <cellStyle name="Comma 10 15 2" xfId="6834"/>
    <cellStyle name="Comma 10 16" xfId="1487"/>
    <cellStyle name="Comma 10 16 2" xfId="6835"/>
    <cellStyle name="Comma 10 17" xfId="1488"/>
    <cellStyle name="Comma 10 17 2" xfId="6836"/>
    <cellStyle name="Comma 10 18" xfId="1489"/>
    <cellStyle name="Comma 10 18 2" xfId="6837"/>
    <cellStyle name="Comma 10 19" xfId="1490"/>
    <cellStyle name="Comma 10 19 2" xfId="6838"/>
    <cellStyle name="Comma 10 2" xfId="1491"/>
    <cellStyle name="Comma 10 2 2" xfId="6839"/>
    <cellStyle name="Comma 10 20" xfId="1492"/>
    <cellStyle name="Comma 10 20 2" xfId="6840"/>
    <cellStyle name="Comma 10 21" xfId="1493"/>
    <cellStyle name="Comma 10 21 2" xfId="6841"/>
    <cellStyle name="Comma 10 22" xfId="1494"/>
    <cellStyle name="Comma 10 22 2" xfId="6842"/>
    <cellStyle name="Comma 10 23" xfId="6828"/>
    <cellStyle name="Comma 10 3" xfId="1495"/>
    <cellStyle name="Comma 10 3 2" xfId="6843"/>
    <cellStyle name="Comma 10 4" xfId="1496"/>
    <cellStyle name="Comma 10 4 2" xfId="6844"/>
    <cellStyle name="Comma 10 5" xfId="1497"/>
    <cellStyle name="Comma 10 5 2" xfId="6845"/>
    <cellStyle name="Comma 10 6" xfId="1498"/>
    <cellStyle name="Comma 10 6 2" xfId="6846"/>
    <cellStyle name="Comma 10 7" xfId="1499"/>
    <cellStyle name="Comma 10 7 2" xfId="6847"/>
    <cellStyle name="Comma 10 8" xfId="1500"/>
    <cellStyle name="Comma 10 8 2" xfId="6848"/>
    <cellStyle name="Comma 10 9" xfId="1501"/>
    <cellStyle name="Comma 10 9 2" xfId="6849"/>
    <cellStyle name="Comma 11" xfId="1502"/>
    <cellStyle name="Comma 11 10" xfId="1503"/>
    <cellStyle name="Comma 11 10 2" xfId="6851"/>
    <cellStyle name="Comma 11 11" xfId="1504"/>
    <cellStyle name="Comma 11 11 2" xfId="6852"/>
    <cellStyle name="Comma 11 12" xfId="1505"/>
    <cellStyle name="Comma 11 12 2" xfId="6853"/>
    <cellStyle name="Comma 11 13" xfId="1506"/>
    <cellStyle name="Comma 11 13 2" xfId="6854"/>
    <cellStyle name="Comma 11 14" xfId="1507"/>
    <cellStyle name="Comma 11 14 2" xfId="6855"/>
    <cellStyle name="Comma 11 15" xfId="1508"/>
    <cellStyle name="Comma 11 15 2" xfId="6856"/>
    <cellStyle name="Comma 11 16" xfId="1509"/>
    <cellStyle name="Comma 11 16 2" xfId="6857"/>
    <cellStyle name="Comma 11 17" xfId="1510"/>
    <cellStyle name="Comma 11 17 2" xfId="6858"/>
    <cellStyle name="Comma 11 18" xfId="1511"/>
    <cellStyle name="Comma 11 18 2" xfId="6859"/>
    <cellStyle name="Comma 11 19" xfId="1512"/>
    <cellStyle name="Comma 11 19 2" xfId="6860"/>
    <cellStyle name="Comma 11 2" xfId="1513"/>
    <cellStyle name="Comma 11 2 2" xfId="6861"/>
    <cellStyle name="Comma 11 20" xfId="1514"/>
    <cellStyle name="Comma 11 20 2" xfId="6862"/>
    <cellStyle name="Comma 11 21" xfId="1515"/>
    <cellStyle name="Comma 11 21 2" xfId="6863"/>
    <cellStyle name="Comma 11 22" xfId="1516"/>
    <cellStyle name="Comma 11 22 2" xfId="6864"/>
    <cellStyle name="Comma 11 23" xfId="6850"/>
    <cellStyle name="Comma 11 3" xfId="1517"/>
    <cellStyle name="Comma 11 3 2" xfId="6865"/>
    <cellStyle name="Comma 11 4" xfId="1518"/>
    <cellStyle name="Comma 11 4 2" xfId="6866"/>
    <cellStyle name="Comma 11 5" xfId="1519"/>
    <cellStyle name="Comma 11 5 2" xfId="6867"/>
    <cellStyle name="Comma 11 6" xfId="1520"/>
    <cellStyle name="Comma 11 6 2" xfId="6868"/>
    <cellStyle name="Comma 11 7" xfId="1521"/>
    <cellStyle name="Comma 11 7 2" xfId="6869"/>
    <cellStyle name="Comma 11 8" xfId="1522"/>
    <cellStyle name="Comma 11 8 2" xfId="6870"/>
    <cellStyle name="Comma 11 9" xfId="1523"/>
    <cellStyle name="Comma 11 9 2" xfId="6871"/>
    <cellStyle name="Comma 12" xfId="1524"/>
    <cellStyle name="Comma 13" xfId="1525"/>
    <cellStyle name="Comma 13 10" xfId="1526"/>
    <cellStyle name="Comma 13 10 2" xfId="6873"/>
    <cellStyle name="Comma 13 11" xfId="1527"/>
    <cellStyle name="Comma 13 11 2" xfId="6874"/>
    <cellStyle name="Comma 13 12" xfId="1528"/>
    <cellStyle name="Comma 13 12 2" xfId="6875"/>
    <cellStyle name="Comma 13 13" xfId="1529"/>
    <cellStyle name="Comma 13 13 2" xfId="6876"/>
    <cellStyle name="Comma 13 14" xfId="1530"/>
    <cellStyle name="Comma 13 14 2" xfId="6877"/>
    <cellStyle name="Comma 13 15" xfId="1531"/>
    <cellStyle name="Comma 13 15 2" xfId="6878"/>
    <cellStyle name="Comma 13 16" xfId="1532"/>
    <cellStyle name="Comma 13 16 2" xfId="6879"/>
    <cellStyle name="Comma 13 17" xfId="1533"/>
    <cellStyle name="Comma 13 17 2" xfId="6880"/>
    <cellStyle name="Comma 13 18" xfId="1534"/>
    <cellStyle name="Comma 13 18 2" xfId="6881"/>
    <cellStyle name="Comma 13 19" xfId="1535"/>
    <cellStyle name="Comma 13 19 2" xfId="6882"/>
    <cellStyle name="Comma 13 2" xfId="1536"/>
    <cellStyle name="Comma 13 2 2" xfId="6883"/>
    <cellStyle name="Comma 13 20" xfId="1537"/>
    <cellStyle name="Comma 13 20 2" xfId="6884"/>
    <cellStyle name="Comma 13 21" xfId="1538"/>
    <cellStyle name="Comma 13 21 2" xfId="6885"/>
    <cellStyle name="Comma 13 22" xfId="1539"/>
    <cellStyle name="Comma 13 22 2" xfId="6886"/>
    <cellStyle name="Comma 13 23" xfId="6872"/>
    <cellStyle name="Comma 13 3" xfId="1540"/>
    <cellStyle name="Comma 13 3 2" xfId="6887"/>
    <cellStyle name="Comma 13 4" xfId="1541"/>
    <cellStyle name="Comma 13 4 2" xfId="6888"/>
    <cellStyle name="Comma 13 5" xfId="1542"/>
    <cellStyle name="Comma 13 5 2" xfId="6889"/>
    <cellStyle name="Comma 13 6" xfId="1543"/>
    <cellStyle name="Comma 13 6 2" xfId="6890"/>
    <cellStyle name="Comma 13 7" xfId="1544"/>
    <cellStyle name="Comma 13 7 2" xfId="6891"/>
    <cellStyle name="Comma 13 8" xfId="1545"/>
    <cellStyle name="Comma 13 8 2" xfId="6892"/>
    <cellStyle name="Comma 13 9" xfId="1546"/>
    <cellStyle name="Comma 13 9 2" xfId="6893"/>
    <cellStyle name="Comma 14" xfId="1547"/>
    <cellStyle name="Comma 14 10" xfId="1548"/>
    <cellStyle name="Comma 14 10 2" xfId="6895"/>
    <cellStyle name="Comma 14 11" xfId="1549"/>
    <cellStyle name="Comma 14 11 2" xfId="6896"/>
    <cellStyle name="Comma 14 12" xfId="1550"/>
    <cellStyle name="Comma 14 12 2" xfId="6897"/>
    <cellStyle name="Comma 14 13" xfId="1551"/>
    <cellStyle name="Comma 14 13 2" xfId="6898"/>
    <cellStyle name="Comma 14 14" xfId="1552"/>
    <cellStyle name="Comma 14 14 2" xfId="6899"/>
    <cellStyle name="Comma 14 15" xfId="1553"/>
    <cellStyle name="Comma 14 15 2" xfId="6900"/>
    <cellStyle name="Comma 14 16" xfId="1554"/>
    <cellStyle name="Comma 14 16 2" xfId="6901"/>
    <cellStyle name="Comma 14 17" xfId="1555"/>
    <cellStyle name="Comma 14 17 2" xfId="6902"/>
    <cellStyle name="Comma 14 18" xfId="1556"/>
    <cellStyle name="Comma 14 18 2" xfId="6903"/>
    <cellStyle name="Comma 14 19" xfId="1557"/>
    <cellStyle name="Comma 14 19 2" xfId="6904"/>
    <cellStyle name="Comma 14 2" xfId="1558"/>
    <cellStyle name="Comma 14 2 2" xfId="6905"/>
    <cellStyle name="Comma 14 20" xfId="1559"/>
    <cellStyle name="Comma 14 20 2" xfId="6906"/>
    <cellStyle name="Comma 14 21" xfId="1560"/>
    <cellStyle name="Comma 14 21 2" xfId="6907"/>
    <cellStyle name="Comma 14 22" xfId="1561"/>
    <cellStyle name="Comma 14 22 2" xfId="6908"/>
    <cellStyle name="Comma 14 23" xfId="6894"/>
    <cellStyle name="Comma 14 3" xfId="1562"/>
    <cellStyle name="Comma 14 3 2" xfId="6909"/>
    <cellStyle name="Comma 14 4" xfId="1563"/>
    <cellStyle name="Comma 14 4 2" xfId="6910"/>
    <cellStyle name="Comma 14 5" xfId="1564"/>
    <cellStyle name="Comma 14 5 2" xfId="6911"/>
    <cellStyle name="Comma 14 6" xfId="1565"/>
    <cellStyle name="Comma 14 6 2" xfId="6912"/>
    <cellStyle name="Comma 14 7" xfId="1566"/>
    <cellStyle name="Comma 14 7 2" xfId="6913"/>
    <cellStyle name="Comma 14 8" xfId="1567"/>
    <cellStyle name="Comma 14 8 2" xfId="6914"/>
    <cellStyle name="Comma 14 9" xfId="1568"/>
    <cellStyle name="Comma 14 9 2" xfId="6915"/>
    <cellStyle name="Comma 15" xfId="1569"/>
    <cellStyle name="Comma 15 10" xfId="1570"/>
    <cellStyle name="Comma 15 10 2" xfId="6917"/>
    <cellStyle name="Comma 15 11" xfId="1571"/>
    <cellStyle name="Comma 15 11 2" xfId="6918"/>
    <cellStyle name="Comma 15 12" xfId="1572"/>
    <cellStyle name="Comma 15 12 2" xfId="6919"/>
    <cellStyle name="Comma 15 13" xfId="1573"/>
    <cellStyle name="Comma 15 13 2" xfId="6920"/>
    <cellStyle name="Comma 15 14" xfId="1574"/>
    <cellStyle name="Comma 15 14 2" xfId="6921"/>
    <cellStyle name="Comma 15 15" xfId="1575"/>
    <cellStyle name="Comma 15 15 2" xfId="6922"/>
    <cellStyle name="Comma 15 16" xfId="1576"/>
    <cellStyle name="Comma 15 16 2" xfId="6923"/>
    <cellStyle name="Comma 15 17" xfId="1577"/>
    <cellStyle name="Comma 15 17 2" xfId="6924"/>
    <cellStyle name="Comma 15 18" xfId="1578"/>
    <cellStyle name="Comma 15 18 2" xfId="6925"/>
    <cellStyle name="Comma 15 19" xfId="1579"/>
    <cellStyle name="Comma 15 19 2" xfId="6926"/>
    <cellStyle name="Comma 15 2" xfId="1580"/>
    <cellStyle name="Comma 15 2 2" xfId="6927"/>
    <cellStyle name="Comma 15 20" xfId="1581"/>
    <cellStyle name="Comma 15 20 2" xfId="6928"/>
    <cellStyle name="Comma 15 21" xfId="1582"/>
    <cellStyle name="Comma 15 21 2" xfId="6929"/>
    <cellStyle name="Comma 15 22" xfId="1583"/>
    <cellStyle name="Comma 15 22 2" xfId="6930"/>
    <cellStyle name="Comma 15 23" xfId="6916"/>
    <cellStyle name="Comma 15 3" xfId="1584"/>
    <cellStyle name="Comma 15 3 2" xfId="6931"/>
    <cellStyle name="Comma 15 4" xfId="1585"/>
    <cellStyle name="Comma 15 4 2" xfId="6932"/>
    <cellStyle name="Comma 15 5" xfId="1586"/>
    <cellStyle name="Comma 15 5 2" xfId="6933"/>
    <cellStyle name="Comma 15 6" xfId="1587"/>
    <cellStyle name="Comma 15 6 2" xfId="6934"/>
    <cellStyle name="Comma 15 7" xfId="1588"/>
    <cellStyle name="Comma 15 7 2" xfId="6935"/>
    <cellStyle name="Comma 15 8" xfId="1589"/>
    <cellStyle name="Comma 15 8 2" xfId="6936"/>
    <cellStyle name="Comma 15 9" xfId="1590"/>
    <cellStyle name="Comma 15 9 2" xfId="6937"/>
    <cellStyle name="Comma 16" xfId="1591"/>
    <cellStyle name="Comma 16 10" xfId="1592"/>
    <cellStyle name="Comma 16 10 2" xfId="6939"/>
    <cellStyle name="Comma 16 11" xfId="1593"/>
    <cellStyle name="Comma 16 11 2" xfId="6940"/>
    <cellStyle name="Comma 16 12" xfId="1594"/>
    <cellStyle name="Comma 16 12 2" xfId="6941"/>
    <cellStyle name="Comma 16 13" xfId="1595"/>
    <cellStyle name="Comma 16 13 2" xfId="6942"/>
    <cellStyle name="Comma 16 14" xfId="1596"/>
    <cellStyle name="Comma 16 14 2" xfId="6943"/>
    <cellStyle name="Comma 16 15" xfId="1597"/>
    <cellStyle name="Comma 16 15 2" xfId="6944"/>
    <cellStyle name="Comma 16 16" xfId="1598"/>
    <cellStyle name="Comma 16 16 2" xfId="6945"/>
    <cellStyle name="Comma 16 17" xfId="1599"/>
    <cellStyle name="Comma 16 17 2" xfId="6946"/>
    <cellStyle name="Comma 16 18" xfId="1600"/>
    <cellStyle name="Comma 16 18 2" xfId="6947"/>
    <cellStyle name="Comma 16 19" xfId="1601"/>
    <cellStyle name="Comma 16 19 2" xfId="6948"/>
    <cellStyle name="Comma 16 2" xfId="1602"/>
    <cellStyle name="Comma 16 2 2" xfId="6949"/>
    <cellStyle name="Comma 16 20" xfId="1603"/>
    <cellStyle name="Comma 16 20 2" xfId="6950"/>
    <cellStyle name="Comma 16 21" xfId="1604"/>
    <cellStyle name="Comma 16 21 2" xfId="6951"/>
    <cellStyle name="Comma 16 22" xfId="1605"/>
    <cellStyle name="Comma 16 22 2" xfId="6952"/>
    <cellStyle name="Comma 16 23" xfId="6938"/>
    <cellStyle name="Comma 16 3" xfId="1606"/>
    <cellStyle name="Comma 16 3 2" xfId="6953"/>
    <cellStyle name="Comma 16 4" xfId="1607"/>
    <cellStyle name="Comma 16 4 2" xfId="6954"/>
    <cellStyle name="Comma 16 5" xfId="1608"/>
    <cellStyle name="Comma 16 5 2" xfId="6955"/>
    <cellStyle name="Comma 16 6" xfId="1609"/>
    <cellStyle name="Comma 16 6 2" xfId="6956"/>
    <cellStyle name="Comma 16 7" xfId="1610"/>
    <cellStyle name="Comma 16 7 2" xfId="6957"/>
    <cellStyle name="Comma 16 8" xfId="1611"/>
    <cellStyle name="Comma 16 8 2" xfId="6958"/>
    <cellStyle name="Comma 16 9" xfId="1612"/>
    <cellStyle name="Comma 16 9 2" xfId="6959"/>
    <cellStyle name="Comma 17" xfId="1613"/>
    <cellStyle name="Comma 17 10" xfId="1614"/>
    <cellStyle name="Comma 17 10 2" xfId="6961"/>
    <cellStyle name="Comma 17 11" xfId="1615"/>
    <cellStyle name="Comma 17 11 2" xfId="6962"/>
    <cellStyle name="Comma 17 12" xfId="1616"/>
    <cellStyle name="Comma 17 12 2" xfId="6963"/>
    <cellStyle name="Comma 17 13" xfId="1617"/>
    <cellStyle name="Comma 17 13 2" xfId="6964"/>
    <cellStyle name="Comma 17 14" xfId="1618"/>
    <cellStyle name="Comma 17 14 2" xfId="6965"/>
    <cellStyle name="Comma 17 15" xfId="1619"/>
    <cellStyle name="Comma 17 15 2" xfId="6966"/>
    <cellStyle name="Comma 17 16" xfId="1620"/>
    <cellStyle name="Comma 17 16 2" xfId="6967"/>
    <cellStyle name="Comma 17 17" xfId="1621"/>
    <cellStyle name="Comma 17 17 2" xfId="6968"/>
    <cellStyle name="Comma 17 18" xfId="1622"/>
    <cellStyle name="Comma 17 18 2" xfId="6969"/>
    <cellStyle name="Comma 17 19" xfId="1623"/>
    <cellStyle name="Comma 17 19 2" xfId="6970"/>
    <cellStyle name="Comma 17 2" xfId="1624"/>
    <cellStyle name="Comma 17 2 2" xfId="6971"/>
    <cellStyle name="Comma 17 20" xfId="1625"/>
    <cellStyle name="Comma 17 20 2" xfId="6972"/>
    <cellStyle name="Comma 17 21" xfId="1626"/>
    <cellStyle name="Comma 17 21 2" xfId="6973"/>
    <cellStyle name="Comma 17 22" xfId="1627"/>
    <cellStyle name="Comma 17 22 2" xfId="6974"/>
    <cellStyle name="Comma 17 23" xfId="6960"/>
    <cellStyle name="Comma 17 3" xfId="1628"/>
    <cellStyle name="Comma 17 3 2" xfId="6975"/>
    <cellStyle name="Comma 17 4" xfId="1629"/>
    <cellStyle name="Comma 17 4 2" xfId="6976"/>
    <cellStyle name="Comma 17 5" xfId="1630"/>
    <cellStyle name="Comma 17 5 2" xfId="6977"/>
    <cellStyle name="Comma 17 6" xfId="1631"/>
    <cellStyle name="Comma 17 6 2" xfId="6978"/>
    <cellStyle name="Comma 17 7" xfId="1632"/>
    <cellStyle name="Comma 17 7 2" xfId="6979"/>
    <cellStyle name="Comma 17 8" xfId="1633"/>
    <cellStyle name="Comma 17 8 2" xfId="6980"/>
    <cellStyle name="Comma 17 9" xfId="1634"/>
    <cellStyle name="Comma 17 9 2" xfId="6981"/>
    <cellStyle name="Comma 18" xfId="1635"/>
    <cellStyle name="Comma 18 10" xfId="1636"/>
    <cellStyle name="Comma 18 10 2" xfId="6983"/>
    <cellStyle name="Comma 18 11" xfId="1637"/>
    <cellStyle name="Comma 18 11 2" xfId="6984"/>
    <cellStyle name="Comma 18 12" xfId="1638"/>
    <cellStyle name="Comma 18 12 2" xfId="6985"/>
    <cellStyle name="Comma 18 13" xfId="1639"/>
    <cellStyle name="Comma 18 13 2" xfId="6986"/>
    <cellStyle name="Comma 18 14" xfId="1640"/>
    <cellStyle name="Comma 18 14 2" xfId="6987"/>
    <cellStyle name="Comma 18 15" xfId="1641"/>
    <cellStyle name="Comma 18 15 2" xfId="6988"/>
    <cellStyle name="Comma 18 16" xfId="1642"/>
    <cellStyle name="Comma 18 16 2" xfId="6989"/>
    <cellStyle name="Comma 18 17" xfId="1643"/>
    <cellStyle name="Comma 18 17 2" xfId="6990"/>
    <cellStyle name="Comma 18 18" xfId="1644"/>
    <cellStyle name="Comma 18 18 2" xfId="6991"/>
    <cellStyle name="Comma 18 19" xfId="1645"/>
    <cellStyle name="Comma 18 19 2" xfId="6992"/>
    <cellStyle name="Comma 18 2" xfId="1646"/>
    <cellStyle name="Comma 18 2 2" xfId="6993"/>
    <cellStyle name="Comma 18 20" xfId="1647"/>
    <cellStyle name="Comma 18 20 2" xfId="6994"/>
    <cellStyle name="Comma 18 21" xfId="1648"/>
    <cellStyle name="Comma 18 21 2" xfId="6995"/>
    <cellStyle name="Comma 18 22" xfId="1649"/>
    <cellStyle name="Comma 18 22 2" xfId="6996"/>
    <cellStyle name="Comma 18 23" xfId="6982"/>
    <cellStyle name="Comma 18 3" xfId="1650"/>
    <cellStyle name="Comma 18 3 2" xfId="6997"/>
    <cellStyle name="Comma 18 4" xfId="1651"/>
    <cellStyle name="Comma 18 4 2" xfId="6998"/>
    <cellStyle name="Comma 18 5" xfId="1652"/>
    <cellStyle name="Comma 18 5 2" xfId="6999"/>
    <cellStyle name="Comma 18 6" xfId="1653"/>
    <cellStyle name="Comma 18 6 2" xfId="7000"/>
    <cellStyle name="Comma 18 7" xfId="1654"/>
    <cellStyle name="Comma 18 7 2" xfId="7001"/>
    <cellStyle name="Comma 18 8" xfId="1655"/>
    <cellStyle name="Comma 18 8 2" xfId="7002"/>
    <cellStyle name="Comma 18 9" xfId="1656"/>
    <cellStyle name="Comma 18 9 2" xfId="7003"/>
    <cellStyle name="Comma 19" xfId="1657"/>
    <cellStyle name="Comma 19 10" xfId="1658"/>
    <cellStyle name="Comma 19 10 2" xfId="7005"/>
    <cellStyle name="Comma 19 11" xfId="1659"/>
    <cellStyle name="Comma 19 11 2" xfId="7006"/>
    <cellStyle name="Comma 19 12" xfId="1660"/>
    <cellStyle name="Comma 19 12 2" xfId="7007"/>
    <cellStyle name="Comma 19 13" xfId="1661"/>
    <cellStyle name="Comma 19 13 2" xfId="7008"/>
    <cellStyle name="Comma 19 14" xfId="1662"/>
    <cellStyle name="Comma 19 14 2" xfId="7009"/>
    <cellStyle name="Comma 19 15" xfId="1663"/>
    <cellStyle name="Comma 19 15 2" xfId="7010"/>
    <cellStyle name="Comma 19 16" xfId="1664"/>
    <cellStyle name="Comma 19 16 2" xfId="7011"/>
    <cellStyle name="Comma 19 17" xfId="1665"/>
    <cellStyle name="Comma 19 17 2" xfId="7012"/>
    <cellStyle name="Comma 19 18" xfId="1666"/>
    <cellStyle name="Comma 19 18 2" xfId="7013"/>
    <cellStyle name="Comma 19 19" xfId="1667"/>
    <cellStyle name="Comma 19 19 2" xfId="7014"/>
    <cellStyle name="Comma 19 2" xfId="1668"/>
    <cellStyle name="Comma 19 2 2" xfId="7015"/>
    <cellStyle name="Comma 19 20" xfId="1669"/>
    <cellStyle name="Comma 19 20 2" xfId="7016"/>
    <cellStyle name="Comma 19 21" xfId="1670"/>
    <cellStyle name="Comma 19 21 2" xfId="7017"/>
    <cellStyle name="Comma 19 22" xfId="1671"/>
    <cellStyle name="Comma 19 22 2" xfId="7018"/>
    <cellStyle name="Comma 19 23" xfId="7004"/>
    <cellStyle name="Comma 19 3" xfId="1672"/>
    <cellStyle name="Comma 19 3 2" xfId="7019"/>
    <cellStyle name="Comma 19 4" xfId="1673"/>
    <cellStyle name="Comma 19 4 2" xfId="7020"/>
    <cellStyle name="Comma 19 5" xfId="1674"/>
    <cellStyle name="Comma 19 5 2" xfId="7021"/>
    <cellStyle name="Comma 19 6" xfId="1675"/>
    <cellStyle name="Comma 19 6 2" xfId="7022"/>
    <cellStyle name="Comma 19 7" xfId="1676"/>
    <cellStyle name="Comma 19 7 2" xfId="7023"/>
    <cellStyle name="Comma 19 8" xfId="1677"/>
    <cellStyle name="Comma 19 8 2" xfId="7024"/>
    <cellStyle name="Comma 19 9" xfId="1678"/>
    <cellStyle name="Comma 19 9 2" xfId="7025"/>
    <cellStyle name="Comma 2" xfId="1679"/>
    <cellStyle name="Comma 2 10" xfId="1680"/>
    <cellStyle name="Comma 2 10 2" xfId="7027"/>
    <cellStyle name="Comma 2 11" xfId="1681"/>
    <cellStyle name="Comma 2 11 2" xfId="7028"/>
    <cellStyle name="Comma 2 12" xfId="1682"/>
    <cellStyle name="Comma 2 12 2" xfId="7029"/>
    <cellStyle name="Comma 2 13" xfId="1683"/>
    <cellStyle name="Comma 2 13 2" xfId="7030"/>
    <cellStyle name="Comma 2 14" xfId="1684"/>
    <cellStyle name="Comma 2 14 2" xfId="7031"/>
    <cellStyle name="Comma 2 15" xfId="1685"/>
    <cellStyle name="Comma 2 15 2" xfId="7032"/>
    <cellStyle name="Comma 2 16" xfId="1686"/>
    <cellStyle name="Comma 2 16 2" xfId="7033"/>
    <cellStyle name="Comma 2 17" xfId="1687"/>
    <cellStyle name="Comma 2 17 2" xfId="7034"/>
    <cellStyle name="Comma 2 18" xfId="1688"/>
    <cellStyle name="Comma 2 18 2" xfId="7035"/>
    <cellStyle name="Comma 2 19" xfId="1689"/>
    <cellStyle name="Comma 2 19 2" xfId="7036"/>
    <cellStyle name="Comma 2 2" xfId="1690"/>
    <cellStyle name="Comma 2 2 10" xfId="1691"/>
    <cellStyle name="Comma 2 2 10 2" xfId="7038"/>
    <cellStyle name="Comma 2 2 11" xfId="1692"/>
    <cellStyle name="Comma 2 2 11 2" xfId="7039"/>
    <cellStyle name="Comma 2 2 12" xfId="1693"/>
    <cellStyle name="Comma 2 2 12 2" xfId="7040"/>
    <cellStyle name="Comma 2 2 13" xfId="1694"/>
    <cellStyle name="Comma 2 2 13 2" xfId="7041"/>
    <cellStyle name="Comma 2 2 14" xfId="1695"/>
    <cellStyle name="Comma 2 2 14 2" xfId="7042"/>
    <cellStyle name="Comma 2 2 15" xfId="1696"/>
    <cellStyle name="Comma 2 2 15 2" xfId="7043"/>
    <cellStyle name="Comma 2 2 16" xfId="1697"/>
    <cellStyle name="Comma 2 2 16 2" xfId="7044"/>
    <cellStyle name="Comma 2 2 17" xfId="1698"/>
    <cellStyle name="Comma 2 2 17 2" xfId="7045"/>
    <cellStyle name="Comma 2 2 18" xfId="1699"/>
    <cellStyle name="Comma 2 2 18 2" xfId="7046"/>
    <cellStyle name="Comma 2 2 19" xfId="1700"/>
    <cellStyle name="Comma 2 2 19 2" xfId="7047"/>
    <cellStyle name="Comma 2 2 2" xfId="1701"/>
    <cellStyle name="Comma 2 2 2 2" xfId="7048"/>
    <cellStyle name="Comma 2 2 20" xfId="1702"/>
    <cellStyle name="Comma 2 2 20 2" xfId="7049"/>
    <cellStyle name="Comma 2 2 21" xfId="1703"/>
    <cellStyle name="Comma 2 2 21 2" xfId="7050"/>
    <cellStyle name="Comma 2 2 22" xfId="1704"/>
    <cellStyle name="Comma 2 2 22 2" xfId="7051"/>
    <cellStyle name="Comma 2 2 23" xfId="7037"/>
    <cellStyle name="Comma 2 2 3" xfId="1705"/>
    <cellStyle name="Comma 2 2 3 2" xfId="7052"/>
    <cellStyle name="Comma 2 2 4" xfId="1706"/>
    <cellStyle name="Comma 2 2 4 2" xfId="7053"/>
    <cellStyle name="Comma 2 2 5" xfId="1707"/>
    <cellStyle name="Comma 2 2 5 2" xfId="7054"/>
    <cellStyle name="Comma 2 2 6" xfId="1708"/>
    <cellStyle name="Comma 2 2 6 2" xfId="7055"/>
    <cellStyle name="Comma 2 2 7" xfId="1709"/>
    <cellStyle name="Comma 2 2 7 2" xfId="7056"/>
    <cellStyle name="Comma 2 2 8" xfId="1710"/>
    <cellStyle name="Comma 2 2 8 2" xfId="7057"/>
    <cellStyle name="Comma 2 2 9" xfId="1711"/>
    <cellStyle name="Comma 2 2 9 2" xfId="7058"/>
    <cellStyle name="Comma 2 20" xfId="1712"/>
    <cellStyle name="Comma 2 20 2" xfId="7059"/>
    <cellStyle name="Comma 2 21" xfId="1713"/>
    <cellStyle name="Comma 2 21 2" xfId="7060"/>
    <cellStyle name="Comma 2 22" xfId="1714"/>
    <cellStyle name="Comma 2 22 2" xfId="7061"/>
    <cellStyle name="Comma 2 23" xfId="1715"/>
    <cellStyle name="Comma 2 23 2" xfId="7062"/>
    <cellStyle name="Comma 2 24" xfId="7026"/>
    <cellStyle name="Comma 2 3" xfId="1716"/>
    <cellStyle name="Comma 2 3 2" xfId="7063"/>
    <cellStyle name="Comma 2 4" xfId="1717"/>
    <cellStyle name="Comma 2 4 2" xfId="7064"/>
    <cellStyle name="Comma 2 5" xfId="1718"/>
    <cellStyle name="Comma 2 5 2" xfId="7065"/>
    <cellStyle name="Comma 2 6" xfId="1719"/>
    <cellStyle name="Comma 2 6 2" xfId="7066"/>
    <cellStyle name="Comma 2 7" xfId="1720"/>
    <cellStyle name="Comma 2 7 2" xfId="7067"/>
    <cellStyle name="Comma 2 8" xfId="1721"/>
    <cellStyle name="Comma 2 8 2" xfId="7068"/>
    <cellStyle name="Comma 2 9" xfId="1722"/>
    <cellStyle name="Comma 2 9 2" xfId="7069"/>
    <cellStyle name="Comma 20" xfId="1723"/>
    <cellStyle name="Comma 20 10" xfId="1724"/>
    <cellStyle name="Comma 20 11" xfId="1725"/>
    <cellStyle name="Comma 20 12" xfId="1726"/>
    <cellStyle name="Comma 20 13" xfId="1727"/>
    <cellStyle name="Comma 20 14" xfId="1728"/>
    <cellStyle name="Comma 20 15" xfId="1729"/>
    <cellStyle name="Comma 20 16" xfId="1730"/>
    <cellStyle name="Comma 20 17" xfId="1731"/>
    <cellStyle name="Comma 20 18" xfId="1732"/>
    <cellStyle name="Comma 20 19" xfId="1733"/>
    <cellStyle name="Comma 20 2" xfId="1734"/>
    <cellStyle name="Comma 20 20" xfId="1735"/>
    <cellStyle name="Comma 20 21" xfId="1736"/>
    <cellStyle name="Comma 20 22" xfId="1737"/>
    <cellStyle name="Comma 20 23" xfId="1738"/>
    <cellStyle name="Comma 20 3" xfId="1739"/>
    <cellStyle name="Comma 20 4" xfId="1740"/>
    <cellStyle name="Comma 20 4 2" xfId="1741"/>
    <cellStyle name="Comma 20 4 2 2" xfId="7070"/>
    <cellStyle name="Comma 20 5" xfId="1742"/>
    <cellStyle name="Comma 20 6" xfId="1743"/>
    <cellStyle name="Comma 20 7" xfId="1744"/>
    <cellStyle name="Comma 20 8" xfId="1745"/>
    <cellStyle name="Comma 20 9" xfId="1746"/>
    <cellStyle name="Comma 21" xfId="1747"/>
    <cellStyle name="Comma 21 10" xfId="1748"/>
    <cellStyle name="Comma 21 11" xfId="1749"/>
    <cellStyle name="Comma 21 12" xfId="1750"/>
    <cellStyle name="Comma 21 13" xfId="1751"/>
    <cellStyle name="Comma 21 14" xfId="1752"/>
    <cellStyle name="Comma 21 15" xfId="1753"/>
    <cellStyle name="Comma 21 16" xfId="1754"/>
    <cellStyle name="Comma 21 17" xfId="1755"/>
    <cellStyle name="Comma 21 18" xfId="1756"/>
    <cellStyle name="Comma 21 19" xfId="1757"/>
    <cellStyle name="Comma 21 2" xfId="1758"/>
    <cellStyle name="Comma 21 20" xfId="1759"/>
    <cellStyle name="Comma 21 21" xfId="1760"/>
    <cellStyle name="Comma 21 22" xfId="1761"/>
    <cellStyle name="Comma 21 23" xfId="1762"/>
    <cellStyle name="Comma 21 3" xfId="1763"/>
    <cellStyle name="Comma 21 4" xfId="1764"/>
    <cellStyle name="Comma 21 5" xfId="1765"/>
    <cellStyle name="Comma 21 6" xfId="1766"/>
    <cellStyle name="Comma 21 7" xfId="1767"/>
    <cellStyle name="Comma 21 8" xfId="1768"/>
    <cellStyle name="Comma 21 9" xfId="1769"/>
    <cellStyle name="Comma 22" xfId="1770"/>
    <cellStyle name="Comma 22 10" xfId="1771"/>
    <cellStyle name="Comma 22 11" xfId="1772"/>
    <cellStyle name="Comma 22 12" xfId="1773"/>
    <cellStyle name="Comma 22 13" xfId="1774"/>
    <cellStyle name="Comma 22 14" xfId="1775"/>
    <cellStyle name="Comma 22 15" xfId="1776"/>
    <cellStyle name="Comma 22 16" xfId="1777"/>
    <cellStyle name="Comma 22 17" xfId="1778"/>
    <cellStyle name="Comma 22 18" xfId="1779"/>
    <cellStyle name="Comma 22 19" xfId="1780"/>
    <cellStyle name="Comma 22 2" xfId="1781"/>
    <cellStyle name="Comma 22 20" xfId="1782"/>
    <cellStyle name="Comma 22 21" xfId="1783"/>
    <cellStyle name="Comma 22 22" xfId="1784"/>
    <cellStyle name="Comma 22 23" xfId="1785"/>
    <cellStyle name="Comma 22 3" xfId="1786"/>
    <cellStyle name="Comma 22 4" xfId="1787"/>
    <cellStyle name="Comma 22 5" xfId="1788"/>
    <cellStyle name="Comma 22 6" xfId="1789"/>
    <cellStyle name="Comma 22 7" xfId="1790"/>
    <cellStyle name="Comma 22 8" xfId="1791"/>
    <cellStyle name="Comma 22 9" xfId="1792"/>
    <cellStyle name="Comma 23" xfId="1793"/>
    <cellStyle name="Comma 23 10" xfId="1794"/>
    <cellStyle name="Comma 23 11" xfId="1795"/>
    <cellStyle name="Comma 23 12" xfId="1796"/>
    <cellStyle name="Comma 23 13" xfId="1797"/>
    <cellStyle name="Comma 23 14" xfId="1798"/>
    <cellStyle name="Comma 23 15" xfId="1799"/>
    <cellStyle name="Comma 23 16" xfId="1800"/>
    <cellStyle name="Comma 23 17" xfId="1801"/>
    <cellStyle name="Comma 23 18" xfId="1802"/>
    <cellStyle name="Comma 23 19" xfId="1803"/>
    <cellStyle name="Comma 23 2" xfId="1804"/>
    <cellStyle name="Comma 23 20" xfId="1805"/>
    <cellStyle name="Comma 23 21" xfId="1806"/>
    <cellStyle name="Comma 23 22" xfId="1807"/>
    <cellStyle name="Comma 23 23" xfId="1808"/>
    <cellStyle name="Comma 23 3" xfId="1809"/>
    <cellStyle name="Comma 23 4" xfId="1810"/>
    <cellStyle name="Comma 23 5" xfId="1811"/>
    <cellStyle name="Comma 23 6" xfId="1812"/>
    <cellStyle name="Comma 23 7" xfId="1813"/>
    <cellStyle name="Comma 23 8" xfId="1814"/>
    <cellStyle name="Comma 23 9" xfId="1815"/>
    <cellStyle name="Comma 24" xfId="1816"/>
    <cellStyle name="Comma 24 10" xfId="1817"/>
    <cellStyle name="Comma 24 11" xfId="1818"/>
    <cellStyle name="Comma 24 12" xfId="1819"/>
    <cellStyle name="Comma 24 13" xfId="1820"/>
    <cellStyle name="Comma 24 14" xfId="1821"/>
    <cellStyle name="Comma 24 15" xfId="1822"/>
    <cellStyle name="Comma 24 16" xfId="1823"/>
    <cellStyle name="Comma 24 17" xfId="1824"/>
    <cellStyle name="Comma 24 18" xfId="1825"/>
    <cellStyle name="Comma 24 19" xfId="1826"/>
    <cellStyle name="Comma 24 2" xfId="1827"/>
    <cellStyle name="Comma 24 20" xfId="1828"/>
    <cellStyle name="Comma 24 21" xfId="1829"/>
    <cellStyle name="Comma 24 22" xfId="1830"/>
    <cellStyle name="Comma 24 23" xfId="1831"/>
    <cellStyle name="Comma 24 3" xfId="1832"/>
    <cellStyle name="Comma 24 4" xfId="1833"/>
    <cellStyle name="Comma 24 5" xfId="1834"/>
    <cellStyle name="Comma 24 6" xfId="1835"/>
    <cellStyle name="Comma 24 7" xfId="1836"/>
    <cellStyle name="Comma 24 8" xfId="1837"/>
    <cellStyle name="Comma 24 9" xfId="1838"/>
    <cellStyle name="Comma 25" xfId="1839"/>
    <cellStyle name="Comma 25 10" xfId="1840"/>
    <cellStyle name="Comma 25 10 2" xfId="7072"/>
    <cellStyle name="Comma 25 11" xfId="1841"/>
    <cellStyle name="Comma 25 11 2" xfId="7073"/>
    <cellStyle name="Comma 25 12" xfId="1842"/>
    <cellStyle name="Comma 25 12 2" xfId="7074"/>
    <cellStyle name="Comma 25 13" xfId="1843"/>
    <cellStyle name="Comma 25 13 2" xfId="7075"/>
    <cellStyle name="Comma 25 14" xfId="1844"/>
    <cellStyle name="Comma 25 14 2" xfId="7076"/>
    <cellStyle name="Comma 25 15" xfId="1845"/>
    <cellStyle name="Comma 25 15 2" xfId="7077"/>
    <cellStyle name="Comma 25 16" xfId="1846"/>
    <cellStyle name="Comma 25 16 2" xfId="7078"/>
    <cellStyle name="Comma 25 17" xfId="1847"/>
    <cellStyle name="Comma 25 17 2" xfId="7079"/>
    <cellStyle name="Comma 25 18" xfId="1848"/>
    <cellStyle name="Comma 25 18 2" xfId="7080"/>
    <cellStyle name="Comma 25 19" xfId="1849"/>
    <cellStyle name="Comma 25 19 2" xfId="7081"/>
    <cellStyle name="Comma 25 2" xfId="1850"/>
    <cellStyle name="Comma 25 2 2" xfId="7082"/>
    <cellStyle name="Comma 25 20" xfId="1851"/>
    <cellStyle name="Comma 25 20 2" xfId="7083"/>
    <cellStyle name="Comma 25 21" xfId="1852"/>
    <cellStyle name="Comma 25 21 2" xfId="7084"/>
    <cellStyle name="Comma 25 22" xfId="7071"/>
    <cellStyle name="Comma 25 3" xfId="1853"/>
    <cellStyle name="Comma 25 3 2" xfId="7085"/>
    <cellStyle name="Comma 25 4" xfId="1854"/>
    <cellStyle name="Comma 25 4 2" xfId="7086"/>
    <cellStyle name="Comma 25 5" xfId="1855"/>
    <cellStyle name="Comma 25 5 2" xfId="7087"/>
    <cellStyle name="Comma 25 6" xfId="1856"/>
    <cellStyle name="Comma 25 6 2" xfId="7088"/>
    <cellStyle name="Comma 25 7" xfId="1857"/>
    <cellStyle name="Comma 25 7 2" xfId="7089"/>
    <cellStyle name="Comma 25 8" xfId="1858"/>
    <cellStyle name="Comma 25 8 2" xfId="7090"/>
    <cellStyle name="Comma 25 9" xfId="1859"/>
    <cellStyle name="Comma 25 9 2" xfId="7091"/>
    <cellStyle name="Comma 26" xfId="1860"/>
    <cellStyle name="Comma 26 10" xfId="1861"/>
    <cellStyle name="Comma 26 10 2" xfId="7093"/>
    <cellStyle name="Comma 26 11" xfId="1862"/>
    <cellStyle name="Comma 26 11 2" xfId="7094"/>
    <cellStyle name="Comma 26 12" xfId="1863"/>
    <cellStyle name="Comma 26 12 2" xfId="7095"/>
    <cellStyle name="Comma 26 13" xfId="1864"/>
    <cellStyle name="Comma 26 13 2" xfId="7096"/>
    <cellStyle name="Comma 26 14" xfId="1865"/>
    <cellStyle name="Comma 26 14 2" xfId="7097"/>
    <cellStyle name="Comma 26 15" xfId="1866"/>
    <cellStyle name="Comma 26 15 2" xfId="7098"/>
    <cellStyle name="Comma 26 16" xfId="1867"/>
    <cellStyle name="Comma 26 16 2" xfId="7099"/>
    <cellStyle name="Comma 26 17" xfId="1868"/>
    <cellStyle name="Comma 26 17 2" xfId="7100"/>
    <cellStyle name="Comma 26 18" xfId="1869"/>
    <cellStyle name="Comma 26 18 2" xfId="7101"/>
    <cellStyle name="Comma 26 19" xfId="1870"/>
    <cellStyle name="Comma 26 19 2" xfId="7102"/>
    <cellStyle name="Comma 26 2" xfId="1871"/>
    <cellStyle name="Comma 26 2 2" xfId="7103"/>
    <cellStyle name="Comma 26 20" xfId="1872"/>
    <cellStyle name="Comma 26 20 2" xfId="7104"/>
    <cellStyle name="Comma 26 21" xfId="1873"/>
    <cellStyle name="Comma 26 21 2" xfId="7105"/>
    <cellStyle name="Comma 26 22" xfId="7092"/>
    <cellStyle name="Comma 26 3" xfId="1874"/>
    <cellStyle name="Comma 26 3 2" xfId="7106"/>
    <cellStyle name="Comma 26 4" xfId="1875"/>
    <cellStyle name="Comma 26 4 2" xfId="7107"/>
    <cellStyle name="Comma 26 5" xfId="1876"/>
    <cellStyle name="Comma 26 5 2" xfId="7108"/>
    <cellStyle name="Comma 26 6" xfId="1877"/>
    <cellStyle name="Comma 26 6 2" xfId="7109"/>
    <cellStyle name="Comma 26 7" xfId="1878"/>
    <cellStyle name="Comma 26 7 2" xfId="7110"/>
    <cellStyle name="Comma 26 8" xfId="1879"/>
    <cellStyle name="Comma 26 8 2" xfId="7111"/>
    <cellStyle name="Comma 26 9" xfId="1880"/>
    <cellStyle name="Comma 26 9 2" xfId="7112"/>
    <cellStyle name="Comma 27" xfId="1881"/>
    <cellStyle name="Comma 27 2" xfId="7113"/>
    <cellStyle name="Comma 3" xfId="1882"/>
    <cellStyle name="Comma 3 10" xfId="1883"/>
    <cellStyle name="Comma 3 10 2" xfId="7115"/>
    <cellStyle name="Comma 3 11" xfId="1884"/>
    <cellStyle name="Comma 3 11 2" xfId="7116"/>
    <cellStyle name="Comma 3 12" xfId="1885"/>
    <cellStyle name="Comma 3 12 2" xfId="7117"/>
    <cellStyle name="Comma 3 13" xfId="1886"/>
    <cellStyle name="Comma 3 13 2" xfId="7118"/>
    <cellStyle name="Comma 3 14" xfId="1887"/>
    <cellStyle name="Comma 3 14 2" xfId="7119"/>
    <cellStyle name="Comma 3 15" xfId="1888"/>
    <cellStyle name="Comma 3 15 2" xfId="7120"/>
    <cellStyle name="Comma 3 16" xfId="1889"/>
    <cellStyle name="Comma 3 16 2" xfId="7121"/>
    <cellStyle name="Comma 3 17" xfId="1890"/>
    <cellStyle name="Comma 3 17 2" xfId="7122"/>
    <cellStyle name="Comma 3 18" xfId="1891"/>
    <cellStyle name="Comma 3 18 2" xfId="7123"/>
    <cellStyle name="Comma 3 19" xfId="1892"/>
    <cellStyle name="Comma 3 19 2" xfId="7124"/>
    <cellStyle name="Comma 3 2" xfId="1893"/>
    <cellStyle name="Comma 3 2 2" xfId="7125"/>
    <cellStyle name="Comma 3 20" xfId="1894"/>
    <cellStyle name="Comma 3 20 2" xfId="7126"/>
    <cellStyle name="Comma 3 21" xfId="1895"/>
    <cellStyle name="Comma 3 21 2" xfId="7127"/>
    <cellStyle name="Comma 3 22" xfId="1896"/>
    <cellStyle name="Comma 3 22 2" xfId="7128"/>
    <cellStyle name="Comma 3 23" xfId="7114"/>
    <cellStyle name="Comma 3 3" xfId="1897"/>
    <cellStyle name="Comma 3 3 2" xfId="7129"/>
    <cellStyle name="Comma 3 4" xfId="1898"/>
    <cellStyle name="Comma 3 4 2" xfId="7130"/>
    <cellStyle name="Comma 3 5" xfId="1899"/>
    <cellStyle name="Comma 3 5 2" xfId="7131"/>
    <cellStyle name="Comma 3 6" xfId="1900"/>
    <cellStyle name="Comma 3 6 2" xfId="7132"/>
    <cellStyle name="Comma 3 7" xfId="1901"/>
    <cellStyle name="Comma 3 7 2" xfId="7133"/>
    <cellStyle name="Comma 3 8" xfId="1902"/>
    <cellStyle name="Comma 3 8 2" xfId="7134"/>
    <cellStyle name="Comma 3 9" xfId="1903"/>
    <cellStyle name="Comma 3 9 2" xfId="7135"/>
    <cellStyle name="Comma 4" xfId="1904"/>
    <cellStyle name="Comma 4 10" xfId="1905"/>
    <cellStyle name="Comma 4 10 2" xfId="7137"/>
    <cellStyle name="Comma 4 11" xfId="1906"/>
    <cellStyle name="Comma 4 11 2" xfId="7138"/>
    <cellStyle name="Comma 4 12" xfId="1907"/>
    <cellStyle name="Comma 4 12 2" xfId="7139"/>
    <cellStyle name="Comma 4 13" xfId="1908"/>
    <cellStyle name="Comma 4 13 2" xfId="7140"/>
    <cellStyle name="Comma 4 14" xfId="1909"/>
    <cellStyle name="Comma 4 14 2" xfId="7141"/>
    <cellStyle name="Comma 4 15" xfId="1910"/>
    <cellStyle name="Comma 4 15 2" xfId="7142"/>
    <cellStyle name="Comma 4 16" xfId="1911"/>
    <cellStyle name="Comma 4 16 2" xfId="7143"/>
    <cellStyle name="Comma 4 17" xfId="1912"/>
    <cellStyle name="Comma 4 17 2" xfId="7144"/>
    <cellStyle name="Comma 4 18" xfId="1913"/>
    <cellStyle name="Comma 4 18 2" xfId="7145"/>
    <cellStyle name="Comma 4 19" xfId="1914"/>
    <cellStyle name="Comma 4 19 2" xfId="7146"/>
    <cellStyle name="Comma 4 2" xfId="1915"/>
    <cellStyle name="Comma 4 2 2" xfId="7147"/>
    <cellStyle name="Comma 4 20" xfId="1916"/>
    <cellStyle name="Comma 4 20 2" xfId="7148"/>
    <cellStyle name="Comma 4 21" xfId="1917"/>
    <cellStyle name="Comma 4 21 2" xfId="7149"/>
    <cellStyle name="Comma 4 22" xfId="1918"/>
    <cellStyle name="Comma 4 22 2" xfId="7150"/>
    <cellStyle name="Comma 4 23" xfId="7136"/>
    <cellStyle name="Comma 4 3" xfId="1919"/>
    <cellStyle name="Comma 4 3 2" xfId="7151"/>
    <cellStyle name="Comma 4 4" xfId="1920"/>
    <cellStyle name="Comma 4 4 2" xfId="7152"/>
    <cellStyle name="Comma 4 5" xfId="1921"/>
    <cellStyle name="Comma 4 5 2" xfId="7153"/>
    <cellStyle name="Comma 4 6" xfId="1922"/>
    <cellStyle name="Comma 4 6 2" xfId="7154"/>
    <cellStyle name="Comma 4 7" xfId="1923"/>
    <cellStyle name="Comma 4 7 2" xfId="7155"/>
    <cellStyle name="Comma 4 8" xfId="1924"/>
    <cellStyle name="Comma 4 8 2" xfId="7156"/>
    <cellStyle name="Comma 4 9" xfId="1925"/>
    <cellStyle name="Comma 4 9 2" xfId="7157"/>
    <cellStyle name="Comma 5" xfId="1926"/>
    <cellStyle name="Comma 5 10" xfId="1927"/>
    <cellStyle name="Comma 5 10 2" xfId="7159"/>
    <cellStyle name="Comma 5 11" xfId="1928"/>
    <cellStyle name="Comma 5 11 2" xfId="7160"/>
    <cellStyle name="Comma 5 12" xfId="1929"/>
    <cellStyle name="Comma 5 12 2" xfId="7161"/>
    <cellStyle name="Comma 5 13" xfId="1930"/>
    <cellStyle name="Comma 5 13 2" xfId="7162"/>
    <cellStyle name="Comma 5 14" xfId="1931"/>
    <cellStyle name="Comma 5 14 2" xfId="7163"/>
    <cellStyle name="Comma 5 15" xfId="1932"/>
    <cellStyle name="Comma 5 15 2" xfId="7164"/>
    <cellStyle name="Comma 5 16" xfId="1933"/>
    <cellStyle name="Comma 5 16 2" xfId="7165"/>
    <cellStyle name="Comma 5 17" xfId="1934"/>
    <cellStyle name="Comma 5 17 2" xfId="7166"/>
    <cellStyle name="Comma 5 18" xfId="1935"/>
    <cellStyle name="Comma 5 18 2" xfId="7167"/>
    <cellStyle name="Comma 5 19" xfId="1936"/>
    <cellStyle name="Comma 5 19 2" xfId="7168"/>
    <cellStyle name="Comma 5 2" xfId="1937"/>
    <cellStyle name="Comma 5 2 2" xfId="7169"/>
    <cellStyle name="Comma 5 20" xfId="1938"/>
    <cellStyle name="Comma 5 20 2" xfId="7170"/>
    <cellStyle name="Comma 5 21" xfId="1939"/>
    <cellStyle name="Comma 5 21 2" xfId="7171"/>
    <cellStyle name="Comma 5 22" xfId="1940"/>
    <cellStyle name="Comma 5 22 2" xfId="7172"/>
    <cellStyle name="Comma 5 23" xfId="7158"/>
    <cellStyle name="Comma 5 3" xfId="1941"/>
    <cellStyle name="Comma 5 3 2" xfId="7173"/>
    <cellStyle name="Comma 5 4" xfId="1942"/>
    <cellStyle name="Comma 5 4 2" xfId="7174"/>
    <cellStyle name="Comma 5 5" xfId="1943"/>
    <cellStyle name="Comma 5 5 2" xfId="7175"/>
    <cellStyle name="Comma 5 6" xfId="1944"/>
    <cellStyle name="Comma 5 6 2" xfId="7176"/>
    <cellStyle name="Comma 5 7" xfId="1945"/>
    <cellStyle name="Comma 5 7 2" xfId="7177"/>
    <cellStyle name="Comma 5 8" xfId="1946"/>
    <cellStyle name="Comma 5 8 2" xfId="7178"/>
    <cellStyle name="Comma 5 9" xfId="1947"/>
    <cellStyle name="Comma 5 9 2" xfId="7179"/>
    <cellStyle name="Comma 6" xfId="1948"/>
    <cellStyle name="Comma 6 10" xfId="1949"/>
    <cellStyle name="Comma 6 10 2" xfId="7181"/>
    <cellStyle name="Comma 6 11" xfId="1950"/>
    <cellStyle name="Comma 6 11 2" xfId="7182"/>
    <cellStyle name="Comma 6 12" xfId="1951"/>
    <cellStyle name="Comma 6 12 2" xfId="7183"/>
    <cellStyle name="Comma 6 13" xfId="1952"/>
    <cellStyle name="Comma 6 13 2" xfId="7184"/>
    <cellStyle name="Comma 6 14" xfId="1953"/>
    <cellStyle name="Comma 6 14 2" xfId="7185"/>
    <cellStyle name="Comma 6 15" xfId="1954"/>
    <cellStyle name="Comma 6 15 2" xfId="7186"/>
    <cellStyle name="Comma 6 16" xfId="1955"/>
    <cellStyle name="Comma 6 16 2" xfId="7187"/>
    <cellStyle name="Comma 6 17" xfId="1956"/>
    <cellStyle name="Comma 6 17 2" xfId="7188"/>
    <cellStyle name="Comma 6 18" xfId="1957"/>
    <cellStyle name="Comma 6 18 2" xfId="7189"/>
    <cellStyle name="Comma 6 19" xfId="1958"/>
    <cellStyle name="Comma 6 19 2" xfId="7190"/>
    <cellStyle name="Comma 6 2" xfId="1959"/>
    <cellStyle name="Comma 6 2 2" xfId="7191"/>
    <cellStyle name="Comma 6 20" xfId="1960"/>
    <cellStyle name="Comma 6 20 2" xfId="7192"/>
    <cellStyle name="Comma 6 21" xfId="1961"/>
    <cellStyle name="Comma 6 21 2" xfId="7193"/>
    <cellStyle name="Comma 6 22" xfId="1962"/>
    <cellStyle name="Comma 6 22 2" xfId="7194"/>
    <cellStyle name="Comma 6 23" xfId="7180"/>
    <cellStyle name="Comma 6 3" xfId="1963"/>
    <cellStyle name="Comma 6 3 2" xfId="7195"/>
    <cellStyle name="Comma 6 4" xfId="1964"/>
    <cellStyle name="Comma 6 4 2" xfId="7196"/>
    <cellStyle name="Comma 6 5" xfId="1965"/>
    <cellStyle name="Comma 6 5 2" xfId="7197"/>
    <cellStyle name="Comma 6 6" xfId="1966"/>
    <cellStyle name="Comma 6 6 2" xfId="7198"/>
    <cellStyle name="Comma 6 7" xfId="1967"/>
    <cellStyle name="Comma 6 7 2" xfId="7199"/>
    <cellStyle name="Comma 6 8" xfId="1968"/>
    <cellStyle name="Comma 6 8 2" xfId="7200"/>
    <cellStyle name="Comma 6 9" xfId="1969"/>
    <cellStyle name="Comma 6 9 2" xfId="7201"/>
    <cellStyle name="Comma 7" xfId="1970"/>
    <cellStyle name="Comma 7 10" xfId="1971"/>
    <cellStyle name="Comma 7 10 2" xfId="7203"/>
    <cellStyle name="Comma 7 11" xfId="1972"/>
    <cellStyle name="Comma 7 11 2" xfId="7204"/>
    <cellStyle name="Comma 7 12" xfId="1973"/>
    <cellStyle name="Comma 7 12 2" xfId="7205"/>
    <cellStyle name="Comma 7 13" xfId="1974"/>
    <cellStyle name="Comma 7 13 2" xfId="7206"/>
    <cellStyle name="Comma 7 14" xfId="1975"/>
    <cellStyle name="Comma 7 14 2" xfId="7207"/>
    <cellStyle name="Comma 7 15" xfId="1976"/>
    <cellStyle name="Comma 7 15 2" xfId="7208"/>
    <cellStyle name="Comma 7 16" xfId="1977"/>
    <cellStyle name="Comma 7 16 2" xfId="7209"/>
    <cellStyle name="Comma 7 17" xfId="1978"/>
    <cellStyle name="Comma 7 17 2" xfId="7210"/>
    <cellStyle name="Comma 7 18" xfId="1979"/>
    <cellStyle name="Comma 7 18 2" xfId="7211"/>
    <cellStyle name="Comma 7 19" xfId="1980"/>
    <cellStyle name="Comma 7 19 2" xfId="7212"/>
    <cellStyle name="Comma 7 2" xfId="1981"/>
    <cellStyle name="Comma 7 2 2" xfId="7213"/>
    <cellStyle name="Comma 7 20" xfId="1982"/>
    <cellStyle name="Comma 7 20 2" xfId="7214"/>
    <cellStyle name="Comma 7 21" xfId="1983"/>
    <cellStyle name="Comma 7 21 2" xfId="7215"/>
    <cellStyle name="Comma 7 22" xfId="1984"/>
    <cellStyle name="Comma 7 22 2" xfId="7216"/>
    <cellStyle name="Comma 7 23" xfId="7202"/>
    <cellStyle name="Comma 7 3" xfId="1985"/>
    <cellStyle name="Comma 7 3 2" xfId="7217"/>
    <cellStyle name="Comma 7 4" xfId="1986"/>
    <cellStyle name="Comma 7 4 2" xfId="7218"/>
    <cellStyle name="Comma 7 5" xfId="1987"/>
    <cellStyle name="Comma 7 5 2" xfId="7219"/>
    <cellStyle name="Comma 7 6" xfId="1988"/>
    <cellStyle name="Comma 7 6 2" xfId="7220"/>
    <cellStyle name="Comma 7 7" xfId="1989"/>
    <cellStyle name="Comma 7 7 2" xfId="7221"/>
    <cellStyle name="Comma 7 8" xfId="1990"/>
    <cellStyle name="Comma 7 8 2" xfId="7222"/>
    <cellStyle name="Comma 7 9" xfId="1991"/>
    <cellStyle name="Comma 7 9 2" xfId="7223"/>
    <cellStyle name="Comma 8" xfId="1992"/>
    <cellStyle name="Comma 8 10" xfId="1993"/>
    <cellStyle name="Comma 8 10 2" xfId="7225"/>
    <cellStyle name="Comma 8 11" xfId="1994"/>
    <cellStyle name="Comma 8 11 2" xfId="7226"/>
    <cellStyle name="Comma 8 12" xfId="1995"/>
    <cellStyle name="Comma 8 12 2" xfId="7227"/>
    <cellStyle name="Comma 8 13" xfId="1996"/>
    <cellStyle name="Comma 8 13 2" xfId="7228"/>
    <cellStyle name="Comma 8 14" xfId="1997"/>
    <cellStyle name="Comma 8 14 2" xfId="7229"/>
    <cellStyle name="Comma 8 15" xfId="1998"/>
    <cellStyle name="Comma 8 15 2" xfId="7230"/>
    <cellStyle name="Comma 8 16" xfId="1999"/>
    <cellStyle name="Comma 8 16 2" xfId="7231"/>
    <cellStyle name="Comma 8 17" xfId="2000"/>
    <cellStyle name="Comma 8 17 2" xfId="7232"/>
    <cellStyle name="Comma 8 18" xfId="2001"/>
    <cellStyle name="Comma 8 18 2" xfId="7233"/>
    <cellStyle name="Comma 8 19" xfId="2002"/>
    <cellStyle name="Comma 8 19 2" xfId="7234"/>
    <cellStyle name="Comma 8 2" xfId="2003"/>
    <cellStyle name="Comma 8 2 2" xfId="7235"/>
    <cellStyle name="Comma 8 20" xfId="2004"/>
    <cellStyle name="Comma 8 20 2" xfId="7236"/>
    <cellStyle name="Comma 8 21" xfId="2005"/>
    <cellStyle name="Comma 8 21 2" xfId="7237"/>
    <cellStyle name="Comma 8 22" xfId="2006"/>
    <cellStyle name="Comma 8 22 2" xfId="7238"/>
    <cellStyle name="Comma 8 23" xfId="7224"/>
    <cellStyle name="Comma 8 3" xfId="2007"/>
    <cellStyle name="Comma 8 3 2" xfId="7239"/>
    <cellStyle name="Comma 8 4" xfId="2008"/>
    <cellStyle name="Comma 8 4 2" xfId="7240"/>
    <cellStyle name="Comma 8 5" xfId="2009"/>
    <cellStyle name="Comma 8 5 2" xfId="7241"/>
    <cellStyle name="Comma 8 6" xfId="2010"/>
    <cellStyle name="Comma 8 6 2" xfId="7242"/>
    <cellStyle name="Comma 8 7" xfId="2011"/>
    <cellStyle name="Comma 8 7 2" xfId="7243"/>
    <cellStyle name="Comma 8 8" xfId="2012"/>
    <cellStyle name="Comma 8 8 2" xfId="7244"/>
    <cellStyle name="Comma 8 9" xfId="2013"/>
    <cellStyle name="Comma 8 9 2" xfId="7245"/>
    <cellStyle name="Comma 9" xfId="2014"/>
    <cellStyle name="Comma 9 10" xfId="2015"/>
    <cellStyle name="Comma 9 10 2" xfId="7247"/>
    <cellStyle name="Comma 9 11" xfId="2016"/>
    <cellStyle name="Comma 9 11 2" xfId="7248"/>
    <cellStyle name="Comma 9 12" xfId="2017"/>
    <cellStyle name="Comma 9 12 2" xfId="7249"/>
    <cellStyle name="Comma 9 13" xfId="2018"/>
    <cellStyle name="Comma 9 13 2" xfId="7250"/>
    <cellStyle name="Comma 9 14" xfId="2019"/>
    <cellStyle name="Comma 9 14 2" xfId="7251"/>
    <cellStyle name="Comma 9 15" xfId="2020"/>
    <cellStyle name="Comma 9 15 2" xfId="7252"/>
    <cellStyle name="Comma 9 16" xfId="2021"/>
    <cellStyle name="Comma 9 16 2" xfId="7253"/>
    <cellStyle name="Comma 9 17" xfId="2022"/>
    <cellStyle name="Comma 9 17 2" xfId="7254"/>
    <cellStyle name="Comma 9 18" xfId="2023"/>
    <cellStyle name="Comma 9 18 2" xfId="7255"/>
    <cellStyle name="Comma 9 19" xfId="2024"/>
    <cellStyle name="Comma 9 19 2" xfId="7256"/>
    <cellStyle name="Comma 9 2" xfId="2025"/>
    <cellStyle name="Comma 9 2 2" xfId="7257"/>
    <cellStyle name="Comma 9 20" xfId="2026"/>
    <cellStyle name="Comma 9 20 2" xfId="7258"/>
    <cellStyle name="Comma 9 21" xfId="2027"/>
    <cellStyle name="Comma 9 21 2" xfId="7259"/>
    <cellStyle name="Comma 9 22" xfId="2028"/>
    <cellStyle name="Comma 9 22 2" xfId="7260"/>
    <cellStyle name="Comma 9 23" xfId="7246"/>
    <cellStyle name="Comma 9 3" xfId="2029"/>
    <cellStyle name="Comma 9 3 2" xfId="7261"/>
    <cellStyle name="Comma 9 4" xfId="2030"/>
    <cellStyle name="Comma 9 4 2" xfId="7262"/>
    <cellStyle name="Comma 9 5" xfId="2031"/>
    <cellStyle name="Comma 9 5 2" xfId="7263"/>
    <cellStyle name="Comma 9 6" xfId="2032"/>
    <cellStyle name="Comma 9 6 2" xfId="7264"/>
    <cellStyle name="Comma 9 7" xfId="2033"/>
    <cellStyle name="Comma 9 7 2" xfId="7265"/>
    <cellStyle name="Comma 9 8" xfId="2034"/>
    <cellStyle name="Comma 9 8 2" xfId="7266"/>
    <cellStyle name="Comma 9 9" xfId="2035"/>
    <cellStyle name="Comma 9 9 2" xfId="7267"/>
    <cellStyle name="Comma0" xfId="2036"/>
    <cellStyle name="Comma0 10" xfId="2037"/>
    <cellStyle name="Comma0 10 2" xfId="7269"/>
    <cellStyle name="Comma0 11" xfId="2038"/>
    <cellStyle name="Comma0 11 2" xfId="7270"/>
    <cellStyle name="Comma0 12" xfId="2039"/>
    <cellStyle name="Comma0 12 2" xfId="7271"/>
    <cellStyle name="Comma0 13" xfId="2040"/>
    <cellStyle name="Comma0 13 2" xfId="7272"/>
    <cellStyle name="Comma0 14" xfId="2041"/>
    <cellStyle name="Comma0 14 2" xfId="7273"/>
    <cellStyle name="Comma0 15" xfId="2042"/>
    <cellStyle name="Comma0 15 2" xfId="7274"/>
    <cellStyle name="Comma0 16" xfId="2043"/>
    <cellStyle name="Comma0 16 2" xfId="7275"/>
    <cellStyle name="Comma0 17" xfId="2044"/>
    <cellStyle name="Comma0 17 2" xfId="7276"/>
    <cellStyle name="Comma0 18" xfId="2045"/>
    <cellStyle name="Comma0 18 2" xfId="7277"/>
    <cellStyle name="Comma0 19" xfId="2046"/>
    <cellStyle name="Comma0 19 2" xfId="7278"/>
    <cellStyle name="Comma0 2" xfId="2047"/>
    <cellStyle name="Comma0 2 10" xfId="2048"/>
    <cellStyle name="Comma0 2 10 2" xfId="7280"/>
    <cellStyle name="Comma0 2 11" xfId="2049"/>
    <cellStyle name="Comma0 2 11 2" xfId="7281"/>
    <cellStyle name="Comma0 2 12" xfId="2050"/>
    <cellStyle name="Comma0 2 12 2" xfId="7282"/>
    <cellStyle name="Comma0 2 13" xfId="2051"/>
    <cellStyle name="Comma0 2 13 2" xfId="7283"/>
    <cellStyle name="Comma0 2 14" xfId="2052"/>
    <cellStyle name="Comma0 2 14 2" xfId="7284"/>
    <cellStyle name="Comma0 2 15" xfId="2053"/>
    <cellStyle name="Comma0 2 15 2" xfId="7285"/>
    <cellStyle name="Comma0 2 16" xfId="2054"/>
    <cellStyle name="Comma0 2 16 2" xfId="7286"/>
    <cellStyle name="Comma0 2 17" xfId="2055"/>
    <cellStyle name="Comma0 2 17 2" xfId="7287"/>
    <cellStyle name="Comma0 2 18" xfId="2056"/>
    <cellStyle name="Comma0 2 18 2" xfId="7288"/>
    <cellStyle name="Comma0 2 19" xfId="2057"/>
    <cellStyle name="Comma0 2 19 2" xfId="7289"/>
    <cellStyle name="Comma0 2 2" xfId="2058"/>
    <cellStyle name="Comma0 2 2 2" xfId="7290"/>
    <cellStyle name="Comma0 2 20" xfId="2059"/>
    <cellStyle name="Comma0 2 20 2" xfId="7291"/>
    <cellStyle name="Comma0 2 21" xfId="2060"/>
    <cellStyle name="Comma0 2 21 2" xfId="7292"/>
    <cellStyle name="Comma0 2 22" xfId="2061"/>
    <cellStyle name="Comma0 2 22 2" xfId="7293"/>
    <cellStyle name="Comma0 2 23" xfId="7279"/>
    <cellStyle name="Comma0 2 3" xfId="2062"/>
    <cellStyle name="Comma0 2 3 2" xfId="7294"/>
    <cellStyle name="Comma0 2 4" xfId="2063"/>
    <cellStyle name="Comma0 2 4 2" xfId="7295"/>
    <cellStyle name="Comma0 2 5" xfId="2064"/>
    <cellStyle name="Comma0 2 5 2" xfId="7296"/>
    <cellStyle name="Comma0 2 6" xfId="2065"/>
    <cellStyle name="Comma0 2 6 2" xfId="7297"/>
    <cellStyle name="Comma0 2 7" xfId="2066"/>
    <cellStyle name="Comma0 2 7 2" xfId="7298"/>
    <cellStyle name="Comma0 2 8" xfId="2067"/>
    <cellStyle name="Comma0 2 8 2" xfId="7299"/>
    <cellStyle name="Comma0 2 9" xfId="2068"/>
    <cellStyle name="Comma0 2 9 2" xfId="7300"/>
    <cellStyle name="Comma0 20" xfId="2069"/>
    <cellStyle name="Comma0 20 2" xfId="7301"/>
    <cellStyle name="Comma0 21" xfId="2070"/>
    <cellStyle name="Comma0 21 2" xfId="7302"/>
    <cellStyle name="Comma0 22" xfId="2071"/>
    <cellStyle name="Comma0 22 2" xfId="7303"/>
    <cellStyle name="Comma0 23" xfId="2072"/>
    <cellStyle name="Comma0 23 2" xfId="7304"/>
    <cellStyle name="Comma0 24" xfId="7268"/>
    <cellStyle name="Comma0 3" xfId="2073"/>
    <cellStyle name="Comma0 3 2" xfId="7305"/>
    <cellStyle name="Comma0 4" xfId="2074"/>
    <cellStyle name="Comma0 4 2" xfId="7306"/>
    <cellStyle name="Comma0 5" xfId="2075"/>
    <cellStyle name="Comma0 5 2" xfId="7307"/>
    <cellStyle name="Comma0 6" xfId="2076"/>
    <cellStyle name="Comma0 6 2" xfId="7308"/>
    <cellStyle name="Comma0 7" xfId="2077"/>
    <cellStyle name="Comma0 7 2" xfId="7309"/>
    <cellStyle name="Comma0 8" xfId="2078"/>
    <cellStyle name="Comma0 8 2" xfId="7310"/>
    <cellStyle name="Comma0 9" xfId="2079"/>
    <cellStyle name="Comma0 9 2" xfId="7311"/>
    <cellStyle name="cong" xfId="2080"/>
    <cellStyle name="Copied" xfId="2081"/>
    <cellStyle name="Copied 2" xfId="2082"/>
    <cellStyle name="Copied 2 10" xfId="2083"/>
    <cellStyle name="Copied 2 11" xfId="2084"/>
    <cellStyle name="Copied 2 12" xfId="2085"/>
    <cellStyle name="Copied 2 13" xfId="2086"/>
    <cellStyle name="Copied 2 14" xfId="2087"/>
    <cellStyle name="Copied 2 15" xfId="2088"/>
    <cellStyle name="Copied 2 16" xfId="2089"/>
    <cellStyle name="Copied 2 17" xfId="2090"/>
    <cellStyle name="Copied 2 18" xfId="2091"/>
    <cellStyle name="Copied 2 19" xfId="2092"/>
    <cellStyle name="Copied 2 2" xfId="2093"/>
    <cellStyle name="Copied 2 20" xfId="2094"/>
    <cellStyle name="Copied 2 21" xfId="2095"/>
    <cellStyle name="Copied 2 22" xfId="2096"/>
    <cellStyle name="Copied 2 3" xfId="2097"/>
    <cellStyle name="Copied 2 4" xfId="2098"/>
    <cellStyle name="Copied 2 5" xfId="2099"/>
    <cellStyle name="Copied 2 6" xfId="2100"/>
    <cellStyle name="Copied 2 7" xfId="2101"/>
    <cellStyle name="Copied 2 8" xfId="2102"/>
    <cellStyle name="Copied 2 9" xfId="2103"/>
    <cellStyle name="Copied 3" xfId="2104"/>
    <cellStyle name="Copied 3 10" xfId="2105"/>
    <cellStyle name="Copied 3 11" xfId="2106"/>
    <cellStyle name="Copied 3 12" xfId="2107"/>
    <cellStyle name="Copied 3 13" xfId="2108"/>
    <cellStyle name="Copied 3 14" xfId="2109"/>
    <cellStyle name="Copied 3 15" xfId="2110"/>
    <cellStyle name="Copied 3 16" xfId="2111"/>
    <cellStyle name="Copied 3 17" xfId="2112"/>
    <cellStyle name="Copied 3 18" xfId="2113"/>
    <cellStyle name="Copied 3 19" xfId="2114"/>
    <cellStyle name="Copied 3 2" xfId="2115"/>
    <cellStyle name="Copied 3 20" xfId="2116"/>
    <cellStyle name="Copied 3 21" xfId="2117"/>
    <cellStyle name="Copied 3 22" xfId="2118"/>
    <cellStyle name="Copied 3 3" xfId="2119"/>
    <cellStyle name="Copied 3 4" xfId="2120"/>
    <cellStyle name="Copied 3 5" xfId="2121"/>
    <cellStyle name="Copied 3 6" xfId="2122"/>
    <cellStyle name="Copied 3 7" xfId="2123"/>
    <cellStyle name="Copied 3 8" xfId="2124"/>
    <cellStyle name="Copied 3 9" xfId="2125"/>
    <cellStyle name="Copied 4" xfId="2126"/>
    <cellStyle name="Copied 4 10" xfId="2127"/>
    <cellStyle name="Copied 4 11" xfId="2128"/>
    <cellStyle name="Copied 4 12" xfId="2129"/>
    <cellStyle name="Copied 4 13" xfId="2130"/>
    <cellStyle name="Copied 4 14" xfId="2131"/>
    <cellStyle name="Copied 4 15" xfId="2132"/>
    <cellStyle name="Copied 4 16" xfId="2133"/>
    <cellStyle name="Copied 4 17" xfId="2134"/>
    <cellStyle name="Copied 4 18" xfId="2135"/>
    <cellStyle name="Copied 4 19" xfId="2136"/>
    <cellStyle name="Copied 4 2" xfId="2137"/>
    <cellStyle name="Copied 4 20" xfId="2138"/>
    <cellStyle name="Copied 4 21" xfId="2139"/>
    <cellStyle name="Copied 4 3" xfId="2140"/>
    <cellStyle name="Copied 4 4" xfId="2141"/>
    <cellStyle name="Copied 4 5" xfId="2142"/>
    <cellStyle name="Copied 4 6" xfId="2143"/>
    <cellStyle name="Copied 4 7" xfId="2144"/>
    <cellStyle name="Copied 4 8" xfId="2145"/>
    <cellStyle name="Copied 4 9" xfId="2146"/>
    <cellStyle name="Copied_10CH" xfId="2147"/>
    <cellStyle name="Currency0" xfId="2148"/>
    <cellStyle name="D1" xfId="2149"/>
    <cellStyle name="Date" xfId="2150"/>
    <cellStyle name="Date 10" xfId="2151"/>
    <cellStyle name="Date 10 2" xfId="7313"/>
    <cellStyle name="Date 11" xfId="2152"/>
    <cellStyle name="Date 11 2" xfId="7314"/>
    <cellStyle name="Date 12" xfId="2153"/>
    <cellStyle name="Date 12 2" xfId="7315"/>
    <cellStyle name="Date 13" xfId="2154"/>
    <cellStyle name="Date 13 2" xfId="7316"/>
    <cellStyle name="Date 14" xfId="2155"/>
    <cellStyle name="Date 14 2" xfId="7317"/>
    <cellStyle name="Date 15" xfId="2156"/>
    <cellStyle name="Date 15 2" xfId="7318"/>
    <cellStyle name="Date 16" xfId="2157"/>
    <cellStyle name="Date 16 2" xfId="7319"/>
    <cellStyle name="Date 17" xfId="2158"/>
    <cellStyle name="Date 17 2" xfId="7320"/>
    <cellStyle name="Date 18" xfId="2159"/>
    <cellStyle name="Date 18 2" xfId="7321"/>
    <cellStyle name="Date 19" xfId="2160"/>
    <cellStyle name="Date 19 2" xfId="7322"/>
    <cellStyle name="Date 2" xfId="2161"/>
    <cellStyle name="Date 2 10" xfId="2162"/>
    <cellStyle name="Date 2 10 2" xfId="7324"/>
    <cellStyle name="Date 2 11" xfId="2163"/>
    <cellStyle name="Date 2 11 2" xfId="7325"/>
    <cellStyle name="Date 2 12" xfId="2164"/>
    <cellStyle name="Date 2 12 2" xfId="7326"/>
    <cellStyle name="Date 2 13" xfId="2165"/>
    <cellStyle name="Date 2 13 2" xfId="7327"/>
    <cellStyle name="Date 2 14" xfId="2166"/>
    <cellStyle name="Date 2 14 2" xfId="7328"/>
    <cellStyle name="Date 2 15" xfId="2167"/>
    <cellStyle name="Date 2 15 2" xfId="7329"/>
    <cellStyle name="Date 2 16" xfId="2168"/>
    <cellStyle name="Date 2 16 2" xfId="7330"/>
    <cellStyle name="Date 2 17" xfId="2169"/>
    <cellStyle name="Date 2 17 2" xfId="7331"/>
    <cellStyle name="Date 2 18" xfId="2170"/>
    <cellStyle name="Date 2 18 2" xfId="7332"/>
    <cellStyle name="Date 2 19" xfId="2171"/>
    <cellStyle name="Date 2 19 2" xfId="7333"/>
    <cellStyle name="Date 2 2" xfId="2172"/>
    <cellStyle name="Date 2 2 2" xfId="7334"/>
    <cellStyle name="Date 2 20" xfId="2173"/>
    <cellStyle name="Date 2 20 2" xfId="7335"/>
    <cellStyle name="Date 2 21" xfId="2174"/>
    <cellStyle name="Date 2 21 2" xfId="7336"/>
    <cellStyle name="Date 2 22" xfId="2175"/>
    <cellStyle name="Date 2 22 2" xfId="7337"/>
    <cellStyle name="Date 2 23" xfId="7323"/>
    <cellStyle name="Date 2 3" xfId="2176"/>
    <cellStyle name="Date 2 3 2" xfId="7338"/>
    <cellStyle name="Date 2 4" xfId="2177"/>
    <cellStyle name="Date 2 4 2" xfId="7339"/>
    <cellStyle name="Date 2 5" xfId="2178"/>
    <cellStyle name="Date 2 5 2" xfId="7340"/>
    <cellStyle name="Date 2 6" xfId="2179"/>
    <cellStyle name="Date 2 6 2" xfId="7341"/>
    <cellStyle name="Date 2 7" xfId="2180"/>
    <cellStyle name="Date 2 7 2" xfId="7342"/>
    <cellStyle name="Date 2 8" xfId="2181"/>
    <cellStyle name="Date 2 8 2" xfId="7343"/>
    <cellStyle name="Date 2 9" xfId="2182"/>
    <cellStyle name="Date 2 9 2" xfId="7344"/>
    <cellStyle name="Date 20" xfId="2183"/>
    <cellStyle name="Date 20 2" xfId="7345"/>
    <cellStyle name="Date 21" xfId="2184"/>
    <cellStyle name="Date 21 2" xfId="7346"/>
    <cellStyle name="Date 22" xfId="2185"/>
    <cellStyle name="Date 22 2" xfId="7347"/>
    <cellStyle name="Date 23" xfId="2186"/>
    <cellStyle name="Date 23 2" xfId="7348"/>
    <cellStyle name="Date 24" xfId="7312"/>
    <cellStyle name="Date 3" xfId="2187"/>
    <cellStyle name="Date 3 2" xfId="7349"/>
    <cellStyle name="Date 4" xfId="2188"/>
    <cellStyle name="Date 4 2" xfId="7350"/>
    <cellStyle name="Date 5" xfId="2189"/>
    <cellStyle name="Date 5 2" xfId="7351"/>
    <cellStyle name="Date 6" xfId="2190"/>
    <cellStyle name="Date 6 2" xfId="7352"/>
    <cellStyle name="Date 7" xfId="2191"/>
    <cellStyle name="Date 7 2" xfId="7353"/>
    <cellStyle name="Date 8" xfId="2192"/>
    <cellStyle name="Date 8 2" xfId="7354"/>
    <cellStyle name="Date 9" xfId="2193"/>
    <cellStyle name="Date 9 2" xfId="7355"/>
    <cellStyle name="DAUDE" xfId="2194"/>
    <cellStyle name="Dezimal [0]_NEGS" xfId="2195"/>
    <cellStyle name="Dezimal_NEGS" xfId="2196"/>
    <cellStyle name="e" xfId="2197"/>
    <cellStyle name="e 10" xfId="2198"/>
    <cellStyle name="e 11" xfId="2199"/>
    <cellStyle name="e 12" xfId="2200"/>
    <cellStyle name="e 13" xfId="2201"/>
    <cellStyle name="e 14" xfId="2202"/>
    <cellStyle name="e 15" xfId="2203"/>
    <cellStyle name="e 16" xfId="2204"/>
    <cellStyle name="e 17" xfId="2205"/>
    <cellStyle name="e 18" xfId="2206"/>
    <cellStyle name="e 19" xfId="2207"/>
    <cellStyle name="e 2" xfId="2208"/>
    <cellStyle name="e 20" xfId="2209"/>
    <cellStyle name="e 21" xfId="2210"/>
    <cellStyle name="e 22" xfId="2211"/>
    <cellStyle name="e 23" xfId="2212"/>
    <cellStyle name="e 24" xfId="2213"/>
    <cellStyle name="e 25" xfId="2214"/>
    <cellStyle name="e 26" xfId="2215"/>
    <cellStyle name="e 27" xfId="2216"/>
    <cellStyle name="e 3" xfId="2217"/>
    <cellStyle name="e 4" xfId="2218"/>
    <cellStyle name="e 5" xfId="2219"/>
    <cellStyle name="e 6" xfId="2220"/>
    <cellStyle name="e 7" xfId="2221"/>
    <cellStyle name="e 8" xfId="2222"/>
    <cellStyle name="e 9" xfId="2223"/>
    <cellStyle name="Entered" xfId="2224"/>
    <cellStyle name="Entered 2" xfId="2225"/>
    <cellStyle name="Entered 2 10" xfId="2226"/>
    <cellStyle name="Entered 2 11" xfId="2227"/>
    <cellStyle name="Entered 2 12" xfId="2228"/>
    <cellStyle name="Entered 2 13" xfId="2229"/>
    <cellStyle name="Entered 2 14" xfId="2230"/>
    <cellStyle name="Entered 2 15" xfId="2231"/>
    <cellStyle name="Entered 2 16" xfId="2232"/>
    <cellStyle name="Entered 2 17" xfId="2233"/>
    <cellStyle name="Entered 2 18" xfId="2234"/>
    <cellStyle name="Entered 2 19" xfId="2235"/>
    <cellStyle name="Entered 2 2" xfId="2236"/>
    <cellStyle name="Entered 2 20" xfId="2237"/>
    <cellStyle name="Entered 2 21" xfId="2238"/>
    <cellStyle name="Entered 2 22" xfId="2239"/>
    <cellStyle name="Entered 2 3" xfId="2240"/>
    <cellStyle name="Entered 2 4" xfId="2241"/>
    <cellStyle name="Entered 2 5" xfId="2242"/>
    <cellStyle name="Entered 2 6" xfId="2243"/>
    <cellStyle name="Entered 2 7" xfId="2244"/>
    <cellStyle name="Entered 2 8" xfId="2245"/>
    <cellStyle name="Entered 2 9" xfId="2246"/>
    <cellStyle name="Entered 3" xfId="2247"/>
    <cellStyle name="Entered 3 10" xfId="2248"/>
    <cellStyle name="Entered 3 11" xfId="2249"/>
    <cellStyle name="Entered 3 12" xfId="2250"/>
    <cellStyle name="Entered 3 13" xfId="2251"/>
    <cellStyle name="Entered 3 14" xfId="2252"/>
    <cellStyle name="Entered 3 15" xfId="2253"/>
    <cellStyle name="Entered 3 16" xfId="2254"/>
    <cellStyle name="Entered 3 17" xfId="2255"/>
    <cellStyle name="Entered 3 18" xfId="2256"/>
    <cellStyle name="Entered 3 19" xfId="2257"/>
    <cellStyle name="Entered 3 2" xfId="2258"/>
    <cellStyle name="Entered 3 20" xfId="2259"/>
    <cellStyle name="Entered 3 21" xfId="2260"/>
    <cellStyle name="Entered 3 22" xfId="2261"/>
    <cellStyle name="Entered 3 3" xfId="2262"/>
    <cellStyle name="Entered 3 4" xfId="2263"/>
    <cellStyle name="Entered 3 5" xfId="2264"/>
    <cellStyle name="Entered 3 6" xfId="2265"/>
    <cellStyle name="Entered 3 7" xfId="2266"/>
    <cellStyle name="Entered 3 8" xfId="2267"/>
    <cellStyle name="Entered 3 9" xfId="2268"/>
    <cellStyle name="Entered 4" xfId="2269"/>
    <cellStyle name="Entered 4 10" xfId="2270"/>
    <cellStyle name="Entered 4 11" xfId="2271"/>
    <cellStyle name="Entered 4 12" xfId="2272"/>
    <cellStyle name="Entered 4 13" xfId="2273"/>
    <cellStyle name="Entered 4 14" xfId="2274"/>
    <cellStyle name="Entered 4 15" xfId="2275"/>
    <cellStyle name="Entered 4 16" xfId="2276"/>
    <cellStyle name="Entered 4 17" xfId="2277"/>
    <cellStyle name="Entered 4 18" xfId="2278"/>
    <cellStyle name="Entered 4 19" xfId="2279"/>
    <cellStyle name="Entered 4 2" xfId="2280"/>
    <cellStyle name="Entered 4 20" xfId="2281"/>
    <cellStyle name="Entered 4 21" xfId="2282"/>
    <cellStyle name="Entered 4 3" xfId="2283"/>
    <cellStyle name="Entered 4 4" xfId="2284"/>
    <cellStyle name="Entered 4 5" xfId="2285"/>
    <cellStyle name="Entered 4 6" xfId="2286"/>
    <cellStyle name="Entered 4 7" xfId="2287"/>
    <cellStyle name="Entered 4 8" xfId="2288"/>
    <cellStyle name="Entered 4 9" xfId="2289"/>
    <cellStyle name="Entered_10CH" xfId="2290"/>
    <cellStyle name="Explanatory Text" xfId="2291" builtinId="53" customBuiltin="1"/>
    <cellStyle name="f" xfId="2292"/>
    <cellStyle name="f 10" xfId="2293"/>
    <cellStyle name="f 11" xfId="2294"/>
    <cellStyle name="f 12" xfId="2295"/>
    <cellStyle name="f 13" xfId="2296"/>
    <cellStyle name="f 14" xfId="2297"/>
    <cellStyle name="f 15" xfId="2298"/>
    <cellStyle name="f 16" xfId="2299"/>
    <cellStyle name="f 17" xfId="2300"/>
    <cellStyle name="f 18" xfId="2301"/>
    <cellStyle name="f 19" xfId="2302"/>
    <cellStyle name="f 2" xfId="2303"/>
    <cellStyle name="f 20" xfId="2304"/>
    <cellStyle name="f 21" xfId="2305"/>
    <cellStyle name="f 22" xfId="2306"/>
    <cellStyle name="f 23" xfId="2307"/>
    <cellStyle name="f 24" xfId="2308"/>
    <cellStyle name="f 25" xfId="2309"/>
    <cellStyle name="f 26" xfId="2310"/>
    <cellStyle name="f 27" xfId="2311"/>
    <cellStyle name="f 3" xfId="2312"/>
    <cellStyle name="f 4" xfId="2313"/>
    <cellStyle name="f 5" xfId="2314"/>
    <cellStyle name="f 6" xfId="2315"/>
    <cellStyle name="f 7" xfId="2316"/>
    <cellStyle name="f 8" xfId="2317"/>
    <cellStyle name="f 9" xfId="2318"/>
    <cellStyle name="Fixed" xfId="2319"/>
    <cellStyle name="Fixed 10" xfId="2320"/>
    <cellStyle name="Fixed 10 2" xfId="7357"/>
    <cellStyle name="Fixed 11" xfId="2321"/>
    <cellStyle name="Fixed 11 2" xfId="7358"/>
    <cellStyle name="Fixed 12" xfId="2322"/>
    <cellStyle name="Fixed 12 2" xfId="7359"/>
    <cellStyle name="Fixed 13" xfId="2323"/>
    <cellStyle name="Fixed 13 2" xfId="7360"/>
    <cellStyle name="Fixed 14" xfId="2324"/>
    <cellStyle name="Fixed 14 2" xfId="7361"/>
    <cellStyle name="Fixed 15" xfId="2325"/>
    <cellStyle name="Fixed 15 2" xfId="7362"/>
    <cellStyle name="Fixed 16" xfId="2326"/>
    <cellStyle name="Fixed 16 2" xfId="7363"/>
    <cellStyle name="Fixed 17" xfId="2327"/>
    <cellStyle name="Fixed 17 2" xfId="7364"/>
    <cellStyle name="Fixed 18" xfId="2328"/>
    <cellStyle name="Fixed 18 2" xfId="7365"/>
    <cellStyle name="Fixed 19" xfId="2329"/>
    <cellStyle name="Fixed 19 2" xfId="7366"/>
    <cellStyle name="Fixed 2" xfId="2330"/>
    <cellStyle name="Fixed 2 10" xfId="2331"/>
    <cellStyle name="Fixed 2 10 2" xfId="7368"/>
    <cellStyle name="Fixed 2 11" xfId="2332"/>
    <cellStyle name="Fixed 2 11 2" xfId="7369"/>
    <cellStyle name="Fixed 2 12" xfId="2333"/>
    <cellStyle name="Fixed 2 12 2" xfId="7370"/>
    <cellStyle name="Fixed 2 13" xfId="2334"/>
    <cellStyle name="Fixed 2 13 2" xfId="7371"/>
    <cellStyle name="Fixed 2 14" xfId="2335"/>
    <cellStyle name="Fixed 2 14 2" xfId="7372"/>
    <cellStyle name="Fixed 2 15" xfId="2336"/>
    <cellStyle name="Fixed 2 15 2" xfId="7373"/>
    <cellStyle name="Fixed 2 16" xfId="2337"/>
    <cellStyle name="Fixed 2 16 2" xfId="7374"/>
    <cellStyle name="Fixed 2 17" xfId="2338"/>
    <cellStyle name="Fixed 2 17 2" xfId="7375"/>
    <cellStyle name="Fixed 2 18" xfId="2339"/>
    <cellStyle name="Fixed 2 18 2" xfId="7376"/>
    <cellStyle name="Fixed 2 19" xfId="2340"/>
    <cellStyle name="Fixed 2 19 2" xfId="7377"/>
    <cellStyle name="Fixed 2 2" xfId="2341"/>
    <cellStyle name="Fixed 2 2 2" xfId="7378"/>
    <cellStyle name="Fixed 2 20" xfId="2342"/>
    <cellStyle name="Fixed 2 20 2" xfId="7379"/>
    <cellStyle name="Fixed 2 21" xfId="2343"/>
    <cellStyle name="Fixed 2 21 2" xfId="7380"/>
    <cellStyle name="Fixed 2 22" xfId="2344"/>
    <cellStyle name="Fixed 2 22 2" xfId="7381"/>
    <cellStyle name="Fixed 2 23" xfId="7367"/>
    <cellStyle name="Fixed 2 3" xfId="2345"/>
    <cellStyle name="Fixed 2 3 2" xfId="7382"/>
    <cellStyle name="Fixed 2 4" xfId="2346"/>
    <cellStyle name="Fixed 2 4 2" xfId="7383"/>
    <cellStyle name="Fixed 2 5" xfId="2347"/>
    <cellStyle name="Fixed 2 5 2" xfId="7384"/>
    <cellStyle name="Fixed 2 6" xfId="2348"/>
    <cellStyle name="Fixed 2 6 2" xfId="7385"/>
    <cellStyle name="Fixed 2 7" xfId="2349"/>
    <cellStyle name="Fixed 2 7 2" xfId="7386"/>
    <cellStyle name="Fixed 2 8" xfId="2350"/>
    <cellStyle name="Fixed 2 8 2" xfId="7387"/>
    <cellStyle name="Fixed 2 9" xfId="2351"/>
    <cellStyle name="Fixed 2 9 2" xfId="7388"/>
    <cellStyle name="Fixed 20" xfId="2352"/>
    <cellStyle name="Fixed 20 2" xfId="7389"/>
    <cellStyle name="Fixed 21" xfId="2353"/>
    <cellStyle name="Fixed 21 2" xfId="7390"/>
    <cellStyle name="Fixed 22" xfId="2354"/>
    <cellStyle name="Fixed 22 2" xfId="7391"/>
    <cellStyle name="Fixed 23" xfId="2355"/>
    <cellStyle name="Fixed 23 2" xfId="7392"/>
    <cellStyle name="Fixed 24" xfId="7356"/>
    <cellStyle name="Fixed 3" xfId="2356"/>
    <cellStyle name="Fixed 3 2" xfId="7393"/>
    <cellStyle name="Fixed 4" xfId="2357"/>
    <cellStyle name="Fixed 4 2" xfId="7394"/>
    <cellStyle name="Fixed 5" xfId="2358"/>
    <cellStyle name="Fixed 5 2" xfId="7395"/>
    <cellStyle name="Fixed 6" xfId="2359"/>
    <cellStyle name="Fixed 6 2" xfId="7396"/>
    <cellStyle name="Fixed 7" xfId="2360"/>
    <cellStyle name="Fixed 7 2" xfId="7397"/>
    <cellStyle name="Fixed 8" xfId="2361"/>
    <cellStyle name="Fixed 8 2" xfId="7398"/>
    <cellStyle name="Fixed 9" xfId="2362"/>
    <cellStyle name="Fixed 9 2" xfId="7399"/>
    <cellStyle name="gia" xfId="2363"/>
    <cellStyle name="GIA-MOI" xfId="2364"/>
    <cellStyle name="GIA-MOI 10" xfId="2365"/>
    <cellStyle name="GIA-MOI 10 2" xfId="7401"/>
    <cellStyle name="GIA-MOI 10 3" xfId="10921"/>
    <cellStyle name="GIA-MOI 10 4" xfId="11586"/>
    <cellStyle name="GIA-MOI 10 5" xfId="11453"/>
    <cellStyle name="GIA-MOI 10 6" xfId="11611"/>
    <cellStyle name="GIA-MOI 11" xfId="2366"/>
    <cellStyle name="GIA-MOI 11 2" xfId="7402"/>
    <cellStyle name="GIA-MOI 11 3" xfId="10922"/>
    <cellStyle name="GIA-MOI 11 4" xfId="11585"/>
    <cellStyle name="GIA-MOI 11 5" xfId="11454"/>
    <cellStyle name="GIA-MOI 11 6" xfId="11610"/>
    <cellStyle name="GIA-MOI 12" xfId="2367"/>
    <cellStyle name="GIA-MOI 12 2" xfId="7403"/>
    <cellStyle name="GIA-MOI 12 3" xfId="10923"/>
    <cellStyle name="GIA-MOI 12 4" xfId="11584"/>
    <cellStyle name="GIA-MOI 12 5" xfId="11455"/>
    <cellStyle name="GIA-MOI 12 6" xfId="11609"/>
    <cellStyle name="GIA-MOI 13" xfId="2368"/>
    <cellStyle name="GIA-MOI 13 2" xfId="7404"/>
    <cellStyle name="GIA-MOI 13 3" xfId="10924"/>
    <cellStyle name="GIA-MOI 13 4" xfId="11583"/>
    <cellStyle name="GIA-MOI 13 5" xfId="11456"/>
    <cellStyle name="GIA-MOI 13 6" xfId="11608"/>
    <cellStyle name="GIA-MOI 14" xfId="2369"/>
    <cellStyle name="GIA-MOI 14 2" xfId="7405"/>
    <cellStyle name="GIA-MOI 14 3" xfId="10925"/>
    <cellStyle name="GIA-MOI 14 4" xfId="11582"/>
    <cellStyle name="GIA-MOI 14 5" xfId="11457"/>
    <cellStyle name="GIA-MOI 14 6" xfId="11607"/>
    <cellStyle name="GIA-MOI 15" xfId="2370"/>
    <cellStyle name="GIA-MOI 15 2" xfId="7406"/>
    <cellStyle name="GIA-MOI 15 3" xfId="10926"/>
    <cellStyle name="GIA-MOI 15 4" xfId="11581"/>
    <cellStyle name="GIA-MOI 15 5" xfId="11458"/>
    <cellStyle name="GIA-MOI 15 6" xfId="11606"/>
    <cellStyle name="GIA-MOI 16" xfId="2371"/>
    <cellStyle name="GIA-MOI 16 2" xfId="7407"/>
    <cellStyle name="GIA-MOI 16 3" xfId="10927"/>
    <cellStyle name="GIA-MOI 16 4" xfId="11580"/>
    <cellStyle name="GIA-MOI 16 5" xfId="11459"/>
    <cellStyle name="GIA-MOI 16 6" xfId="11605"/>
    <cellStyle name="GIA-MOI 17" xfId="2372"/>
    <cellStyle name="GIA-MOI 17 2" xfId="7408"/>
    <cellStyle name="GIA-MOI 17 3" xfId="10928"/>
    <cellStyle name="GIA-MOI 17 4" xfId="11579"/>
    <cellStyle name="GIA-MOI 17 5" xfId="11460"/>
    <cellStyle name="GIA-MOI 17 6" xfId="11604"/>
    <cellStyle name="GIA-MOI 18" xfId="2373"/>
    <cellStyle name="GIA-MOI 18 2" xfId="7409"/>
    <cellStyle name="GIA-MOI 18 3" xfId="10929"/>
    <cellStyle name="GIA-MOI 18 4" xfId="11578"/>
    <cellStyle name="GIA-MOI 18 5" xfId="11461"/>
    <cellStyle name="GIA-MOI 18 6" xfId="11603"/>
    <cellStyle name="GIA-MOI 19" xfId="2374"/>
    <cellStyle name="GIA-MOI 19 2" xfId="7410"/>
    <cellStyle name="GIA-MOI 19 3" xfId="10930"/>
    <cellStyle name="GIA-MOI 19 4" xfId="11577"/>
    <cellStyle name="GIA-MOI 19 5" xfId="11462"/>
    <cellStyle name="GIA-MOI 19 6" xfId="11602"/>
    <cellStyle name="GIA-MOI 2" xfId="2375"/>
    <cellStyle name="GIA-MOI 2 2" xfId="7411"/>
    <cellStyle name="GIA-MOI 2 3" xfId="10931"/>
    <cellStyle name="GIA-MOI 2 4" xfId="11576"/>
    <cellStyle name="GIA-MOI 2 5" xfId="11463"/>
    <cellStyle name="GIA-MOI 2 6" xfId="11601"/>
    <cellStyle name="GIA-MOI 20" xfId="2376"/>
    <cellStyle name="GIA-MOI 20 2" xfId="7412"/>
    <cellStyle name="GIA-MOI 20 3" xfId="10932"/>
    <cellStyle name="GIA-MOI 20 4" xfId="11575"/>
    <cellStyle name="GIA-MOI 20 5" xfId="11464"/>
    <cellStyle name="GIA-MOI 20 6" xfId="11600"/>
    <cellStyle name="GIA-MOI 21" xfId="2377"/>
    <cellStyle name="GIA-MOI 21 2" xfId="7413"/>
    <cellStyle name="GIA-MOI 21 3" xfId="10933"/>
    <cellStyle name="GIA-MOI 21 4" xfId="11574"/>
    <cellStyle name="GIA-MOI 21 5" xfId="11465"/>
    <cellStyle name="GIA-MOI 21 6" xfId="11599"/>
    <cellStyle name="GIA-MOI 22" xfId="2378"/>
    <cellStyle name="GIA-MOI 22 2" xfId="7414"/>
    <cellStyle name="GIA-MOI 22 3" xfId="10934"/>
    <cellStyle name="GIA-MOI 22 4" xfId="11573"/>
    <cellStyle name="GIA-MOI 22 5" xfId="11466"/>
    <cellStyle name="GIA-MOI 22 6" xfId="11598"/>
    <cellStyle name="GIA-MOI 23" xfId="2379"/>
    <cellStyle name="GIA-MOI 23 2" xfId="7415"/>
    <cellStyle name="GIA-MOI 23 3" xfId="10935"/>
    <cellStyle name="GIA-MOI 23 4" xfId="11572"/>
    <cellStyle name="GIA-MOI 23 5" xfId="11467"/>
    <cellStyle name="GIA-MOI 23 6" xfId="11597"/>
    <cellStyle name="GIA-MOI 24" xfId="2380"/>
    <cellStyle name="GIA-MOI 24 2" xfId="7416"/>
    <cellStyle name="GIA-MOI 24 3" xfId="10936"/>
    <cellStyle name="GIA-MOI 24 4" xfId="11571"/>
    <cellStyle name="GIA-MOI 24 5" xfId="11468"/>
    <cellStyle name="GIA-MOI 24 6" xfId="11596"/>
    <cellStyle name="GIA-MOI 25" xfId="2381"/>
    <cellStyle name="GIA-MOI 25 2" xfId="7417"/>
    <cellStyle name="GIA-MOI 25 3" xfId="10937"/>
    <cellStyle name="GIA-MOI 25 4" xfId="11570"/>
    <cellStyle name="GIA-MOI 25 5" xfId="12203"/>
    <cellStyle name="GIA-MOI 25 6" xfId="12205"/>
    <cellStyle name="GIA-MOI 26" xfId="2382"/>
    <cellStyle name="GIA-MOI 26 2" xfId="7418"/>
    <cellStyle name="GIA-MOI 26 3" xfId="10938"/>
    <cellStyle name="GIA-MOI 26 4" xfId="11569"/>
    <cellStyle name="GIA-MOI 26 5" xfId="11469"/>
    <cellStyle name="GIA-MOI 26 6" xfId="11595"/>
    <cellStyle name="GIA-MOI 27" xfId="7400"/>
    <cellStyle name="GIA-MOI 28" xfId="10920"/>
    <cellStyle name="GIA-MOI 29" xfId="11587"/>
    <cellStyle name="GIA-MOI 3" xfId="2383"/>
    <cellStyle name="GIA-MOI 3 2" xfId="7419"/>
    <cellStyle name="GIA-MOI 3 3" xfId="10939"/>
    <cellStyle name="GIA-MOI 3 4" xfId="11568"/>
    <cellStyle name="GIA-MOI 3 5" xfId="11470"/>
    <cellStyle name="GIA-MOI 3 6" xfId="11594"/>
    <cellStyle name="GIA-MOI 30" xfId="11452"/>
    <cellStyle name="GIA-MOI 31" xfId="11612"/>
    <cellStyle name="GIA-MOI 4" xfId="2384"/>
    <cellStyle name="GIA-MOI 4 2" xfId="7420"/>
    <cellStyle name="GIA-MOI 4 3" xfId="10940"/>
    <cellStyle name="GIA-MOI 4 4" xfId="11567"/>
    <cellStyle name="GIA-MOI 4 5" xfId="11471"/>
    <cellStyle name="GIA-MOI 4 6" xfId="11593"/>
    <cellStyle name="GIA-MOI 5" xfId="2385"/>
    <cellStyle name="GIA-MOI 5 2" xfId="7421"/>
    <cellStyle name="GIA-MOI 5 3" xfId="10941"/>
    <cellStyle name="GIA-MOI 5 4" xfId="11566"/>
    <cellStyle name="GIA-MOI 5 5" xfId="11472"/>
    <cellStyle name="GIA-MOI 5 6" xfId="11592"/>
    <cellStyle name="GIA-MOI 6" xfId="2386"/>
    <cellStyle name="GIA-MOI 6 2" xfId="7422"/>
    <cellStyle name="GIA-MOI 6 3" xfId="10942"/>
    <cellStyle name="GIA-MOI 6 4" xfId="11565"/>
    <cellStyle name="GIA-MOI 6 5" xfId="11473"/>
    <cellStyle name="GIA-MOI 6 6" xfId="11591"/>
    <cellStyle name="GIA-MOI 7" xfId="2387"/>
    <cellStyle name="GIA-MOI 7 2" xfId="7423"/>
    <cellStyle name="GIA-MOI 7 3" xfId="10943"/>
    <cellStyle name="GIA-MOI 7 4" xfId="11564"/>
    <cellStyle name="GIA-MOI 7 5" xfId="11474"/>
    <cellStyle name="GIA-MOI 7 6" xfId="11590"/>
    <cellStyle name="GIA-MOI 8" xfId="2388"/>
    <cellStyle name="GIA-MOI 8 2" xfId="7424"/>
    <cellStyle name="GIA-MOI 8 3" xfId="10944"/>
    <cellStyle name="GIA-MOI 8 4" xfId="11563"/>
    <cellStyle name="GIA-MOI 8 5" xfId="11475"/>
    <cellStyle name="GIA-MOI 8 6" xfId="11589"/>
    <cellStyle name="GIA-MOI 9" xfId="2389"/>
    <cellStyle name="GIA-MOI 9 2" xfId="7425"/>
    <cellStyle name="GIA-MOI 9 3" xfId="10945"/>
    <cellStyle name="GIA-MOI 9 4" xfId="11562"/>
    <cellStyle name="GIA-MOI 9 5" xfId="11476"/>
    <cellStyle name="GIA-MOI 9 6" xfId="11588"/>
    <cellStyle name="GIA-MOI_B 10 c" xfId="2390"/>
    <cellStyle name="Good" xfId="2391" builtinId="26" customBuiltin="1"/>
    <cellStyle name="Grey" xfId="2392"/>
    <cellStyle name="Grey 2" xfId="2393"/>
    <cellStyle name="Grey 2 2" xfId="2394"/>
    <cellStyle name="Grey 3" xfId="2395"/>
    <cellStyle name="Grey 4" xfId="2396"/>
    <cellStyle name="Grey_10CH" xfId="2397"/>
    <cellStyle name="Head 1" xfId="2398"/>
    <cellStyle name="Head 1 2" xfId="2399"/>
    <cellStyle name="Head 1 3" xfId="2400"/>
    <cellStyle name="Head 1 4" xfId="2401"/>
    <cellStyle name="Head 1 5" xfId="2402"/>
    <cellStyle name="Head 1 6" xfId="2403"/>
    <cellStyle name="Head 1 7" xfId="2404"/>
    <cellStyle name="Head 1_BPhu PNN" xfId="2405"/>
    <cellStyle name="HEADER" xfId="2406"/>
    <cellStyle name="HEADER 2" xfId="2407"/>
    <cellStyle name="HEADER_BPhu PNN" xfId="2408"/>
    <cellStyle name="Header1" xfId="2409"/>
    <cellStyle name="Header2" xfId="2410"/>
    <cellStyle name="Header2 2" xfId="7426"/>
    <cellStyle name="Header2 3" xfId="10965"/>
    <cellStyle name="Header2 4" xfId="12204"/>
    <cellStyle name="Heading 1" xfId="2411" builtinId="16" customBuiltin="1"/>
    <cellStyle name="Heading 1 2" xfId="2412"/>
    <cellStyle name="Heading 1 3" xfId="2413"/>
    <cellStyle name="Heading 2" xfId="2414" builtinId="17" customBuiltin="1"/>
    <cellStyle name="Heading 2 2" xfId="2415"/>
    <cellStyle name="Heading 2 3" xfId="2416"/>
    <cellStyle name="Heading 3" xfId="2417" builtinId="18" customBuiltin="1"/>
    <cellStyle name="Heading 4" xfId="2418" builtinId="19" customBuiltin="1"/>
    <cellStyle name="Heading1" xfId="2419"/>
    <cellStyle name="Heading2" xfId="2420"/>
    <cellStyle name="HEADINGS" xfId="2421"/>
    <cellStyle name="HEADINGS 2" xfId="2422"/>
    <cellStyle name="HEADINGS 2 10" xfId="2423"/>
    <cellStyle name="HEADINGS 2 11" xfId="2424"/>
    <cellStyle name="HEADINGS 2 12" xfId="2425"/>
    <cellStyle name="HEADINGS 2 13" xfId="2426"/>
    <cellStyle name="HEADINGS 2 14" xfId="2427"/>
    <cellStyle name="HEADINGS 2 15" xfId="2428"/>
    <cellStyle name="HEADINGS 2 16" xfId="2429"/>
    <cellStyle name="HEADINGS 2 17" xfId="2430"/>
    <cellStyle name="HEADINGS 2 18" xfId="2431"/>
    <cellStyle name="HEADINGS 2 19" xfId="2432"/>
    <cellStyle name="HEADINGS 2 2" xfId="2433"/>
    <cellStyle name="HEADINGS 2 20" xfId="2434"/>
    <cellStyle name="HEADINGS 2 21" xfId="2435"/>
    <cellStyle name="HEADINGS 2 22" xfId="2436"/>
    <cellStyle name="HEADINGS 2 3" xfId="2437"/>
    <cellStyle name="HEADINGS 2 4" xfId="2438"/>
    <cellStyle name="HEADINGS 2 5" xfId="2439"/>
    <cellStyle name="HEADINGS 2 6" xfId="2440"/>
    <cellStyle name="HEADINGS 2 7" xfId="2441"/>
    <cellStyle name="HEADINGS 2 8" xfId="2442"/>
    <cellStyle name="HEADINGS 2 9" xfId="2443"/>
    <cellStyle name="HEADINGS 3" xfId="2444"/>
    <cellStyle name="HEADINGS 3 10" xfId="2445"/>
    <cellStyle name="HEADINGS 3 11" xfId="2446"/>
    <cellStyle name="HEADINGS 3 12" xfId="2447"/>
    <cellStyle name="HEADINGS 3 13" xfId="2448"/>
    <cellStyle name="HEADINGS 3 14" xfId="2449"/>
    <cellStyle name="HEADINGS 3 15" xfId="2450"/>
    <cellStyle name="HEADINGS 3 16" xfId="2451"/>
    <cellStyle name="HEADINGS 3 17" xfId="2452"/>
    <cellStyle name="HEADINGS 3 18" xfId="2453"/>
    <cellStyle name="HEADINGS 3 19" xfId="2454"/>
    <cellStyle name="HEADINGS 3 2" xfId="2455"/>
    <cellStyle name="HEADINGS 3 20" xfId="2456"/>
    <cellStyle name="HEADINGS 3 21" xfId="2457"/>
    <cellStyle name="HEADINGS 3 22" xfId="2458"/>
    <cellStyle name="HEADINGS 3 3" xfId="2459"/>
    <cellStyle name="HEADINGS 3 4" xfId="2460"/>
    <cellStyle name="HEADINGS 3 5" xfId="2461"/>
    <cellStyle name="HEADINGS 3 6" xfId="2462"/>
    <cellStyle name="HEADINGS 3 7" xfId="2463"/>
    <cellStyle name="HEADINGS 3 8" xfId="2464"/>
    <cellStyle name="HEADINGS 3 9" xfId="2465"/>
    <cellStyle name="HEADINGS 4" xfId="2466"/>
    <cellStyle name="HEADINGS 4 10" xfId="2467"/>
    <cellStyle name="HEADINGS 4 11" xfId="2468"/>
    <cellStyle name="HEADINGS 4 12" xfId="2469"/>
    <cellStyle name="HEADINGS 4 13" xfId="2470"/>
    <cellStyle name="HEADINGS 4 14" xfId="2471"/>
    <cellStyle name="HEADINGS 4 15" xfId="2472"/>
    <cellStyle name="HEADINGS 4 16" xfId="2473"/>
    <cellStyle name="HEADINGS 4 17" xfId="2474"/>
    <cellStyle name="HEADINGS 4 18" xfId="2475"/>
    <cellStyle name="HEADINGS 4 19" xfId="2476"/>
    <cellStyle name="HEADINGS 4 2" xfId="2477"/>
    <cellStyle name="HEADINGS 4 20" xfId="2478"/>
    <cellStyle name="HEADINGS 4 21" xfId="2479"/>
    <cellStyle name="HEADINGS 4 3" xfId="2480"/>
    <cellStyle name="HEADINGS 4 4" xfId="2481"/>
    <cellStyle name="HEADINGS 4 5" xfId="2482"/>
    <cellStyle name="HEADINGS 4 6" xfId="2483"/>
    <cellStyle name="HEADINGS 4 7" xfId="2484"/>
    <cellStyle name="HEADINGS 4 8" xfId="2485"/>
    <cellStyle name="HEADINGS 4 9" xfId="2486"/>
    <cellStyle name="HEADINGS_10CH" xfId="2487"/>
    <cellStyle name="HEADINGSTOP" xfId="2488"/>
    <cellStyle name="HEADINGSTOP 2" xfId="2489"/>
    <cellStyle name="HEADINGSTOP 2 10" xfId="2490"/>
    <cellStyle name="HEADINGSTOP 2 11" xfId="2491"/>
    <cellStyle name="HEADINGSTOP 2 12" xfId="2492"/>
    <cellStyle name="HEADINGSTOP 2 13" xfId="2493"/>
    <cellStyle name="HEADINGSTOP 2 14" xfId="2494"/>
    <cellStyle name="HEADINGSTOP 2 15" xfId="2495"/>
    <cellStyle name="HEADINGSTOP 2 16" xfId="2496"/>
    <cellStyle name="HEADINGSTOP 2 17" xfId="2497"/>
    <cellStyle name="HEADINGSTOP 2 18" xfId="2498"/>
    <cellStyle name="HEADINGSTOP 2 19" xfId="2499"/>
    <cellStyle name="HEADINGSTOP 2 2" xfId="2500"/>
    <cellStyle name="HEADINGSTOP 2 20" xfId="2501"/>
    <cellStyle name="HEADINGSTOP 2 21" xfId="2502"/>
    <cellStyle name="HEADINGSTOP 2 22" xfId="2503"/>
    <cellStyle name="HEADINGSTOP 2 3" xfId="2504"/>
    <cellStyle name="HEADINGSTOP 2 4" xfId="2505"/>
    <cellStyle name="HEADINGSTOP 2 5" xfId="2506"/>
    <cellStyle name="HEADINGSTOP 2 6" xfId="2507"/>
    <cellStyle name="HEADINGSTOP 2 7" xfId="2508"/>
    <cellStyle name="HEADINGSTOP 2 8" xfId="2509"/>
    <cellStyle name="HEADINGSTOP 2 9" xfId="2510"/>
    <cellStyle name="HEADINGSTOP 3" xfId="2511"/>
    <cellStyle name="HEADINGSTOP 3 10" xfId="2512"/>
    <cellStyle name="HEADINGSTOP 3 11" xfId="2513"/>
    <cellStyle name="HEADINGSTOP 3 12" xfId="2514"/>
    <cellStyle name="HEADINGSTOP 3 13" xfId="2515"/>
    <cellStyle name="HEADINGSTOP 3 14" xfId="2516"/>
    <cellStyle name="HEADINGSTOP 3 15" xfId="2517"/>
    <cellStyle name="HEADINGSTOP 3 16" xfId="2518"/>
    <cellStyle name="HEADINGSTOP 3 17" xfId="2519"/>
    <cellStyle name="HEADINGSTOP 3 18" xfId="2520"/>
    <cellStyle name="HEADINGSTOP 3 19" xfId="2521"/>
    <cellStyle name="HEADINGSTOP 3 2" xfId="2522"/>
    <cellStyle name="HEADINGSTOP 3 20" xfId="2523"/>
    <cellStyle name="HEADINGSTOP 3 21" xfId="2524"/>
    <cellStyle name="HEADINGSTOP 3 22" xfId="2525"/>
    <cellStyle name="HEADINGSTOP 3 3" xfId="2526"/>
    <cellStyle name="HEADINGSTOP 3 4" xfId="2527"/>
    <cellStyle name="HEADINGSTOP 3 5" xfId="2528"/>
    <cellStyle name="HEADINGSTOP 3 6" xfId="2529"/>
    <cellStyle name="HEADINGSTOP 3 7" xfId="2530"/>
    <cellStyle name="HEADINGSTOP 3 8" xfId="2531"/>
    <cellStyle name="HEADINGSTOP 3 9" xfId="2532"/>
    <cellStyle name="HEADINGSTOP 4" xfId="2533"/>
    <cellStyle name="HEADINGSTOP 4 10" xfId="2534"/>
    <cellStyle name="HEADINGSTOP 4 11" xfId="2535"/>
    <cellStyle name="HEADINGSTOP 4 12" xfId="2536"/>
    <cellStyle name="HEADINGSTOP 4 13" xfId="2537"/>
    <cellStyle name="HEADINGSTOP 4 14" xfId="2538"/>
    <cellStyle name="HEADINGSTOP 4 15" xfId="2539"/>
    <cellStyle name="HEADINGSTOP 4 16" xfId="2540"/>
    <cellStyle name="HEADINGSTOP 4 17" xfId="2541"/>
    <cellStyle name="HEADINGSTOP 4 18" xfId="2542"/>
    <cellStyle name="HEADINGSTOP 4 19" xfId="2543"/>
    <cellStyle name="HEADINGSTOP 4 2" xfId="2544"/>
    <cellStyle name="HEADINGSTOP 4 20" xfId="2545"/>
    <cellStyle name="HEADINGSTOP 4 21" xfId="2546"/>
    <cellStyle name="HEADINGSTOP 4 3" xfId="2547"/>
    <cellStyle name="HEADINGSTOP 4 4" xfId="2548"/>
    <cellStyle name="HEADINGSTOP 4 5" xfId="2549"/>
    <cellStyle name="HEADINGSTOP 4 6" xfId="2550"/>
    <cellStyle name="HEADINGSTOP 4 7" xfId="2551"/>
    <cellStyle name="HEADINGSTOP 4 8" xfId="2552"/>
    <cellStyle name="HEADINGSTOP 4 9" xfId="2553"/>
    <cellStyle name="HEADINGSTOP_10CH" xfId="2554"/>
    <cellStyle name="Input" xfId="2555" builtinId="20" customBuiltin="1"/>
    <cellStyle name="Input [yellow]" xfId="2556"/>
    <cellStyle name="Input [yellow] 2" xfId="2557"/>
    <cellStyle name="Input [yellow] 2 2" xfId="2558"/>
    <cellStyle name="Input [yellow] 2 2 2" xfId="7429"/>
    <cellStyle name="Input [yellow] 2 2 3" xfId="11113"/>
    <cellStyle name="Input [yellow] 2 2 4" xfId="11479"/>
    <cellStyle name="Input [yellow] 2 3" xfId="7428"/>
    <cellStyle name="Input [yellow] 2 4" xfId="11112"/>
    <cellStyle name="Input [yellow] 2 5" xfId="11478"/>
    <cellStyle name="Input [yellow] 3" xfId="2559"/>
    <cellStyle name="Input [yellow] 3 2" xfId="7430"/>
    <cellStyle name="Input [yellow] 3 3" xfId="11114"/>
    <cellStyle name="Input [yellow] 3 4" xfId="11480"/>
    <cellStyle name="Input [yellow] 4" xfId="2560"/>
    <cellStyle name="Input [yellow] 4 2" xfId="7431"/>
    <cellStyle name="Input [yellow] 4 3" xfId="11115"/>
    <cellStyle name="Input [yellow] 4 4" xfId="11481"/>
    <cellStyle name="Input [yellow] 5" xfId="7427"/>
    <cellStyle name="Input [yellow] 6" xfId="11111"/>
    <cellStyle name="Input [yellow] 7" xfId="11477"/>
    <cellStyle name="Input [yellow]_10CH" xfId="2561"/>
    <cellStyle name="Input 2" xfId="11541"/>
    <cellStyle name="Input 3" xfId="12202"/>
    <cellStyle name="Input 4" xfId="11561"/>
    <cellStyle name="KLBXUNG" xfId="2562"/>
    <cellStyle name="KLBXUNG 10" xfId="2563"/>
    <cellStyle name="KLBXUNG 10 2" xfId="7433"/>
    <cellStyle name="KLBXUNG 10 3" xfId="11117"/>
    <cellStyle name="KLBXUNG 10 4" xfId="11534"/>
    <cellStyle name="KLBXUNG 10 5" xfId="11483"/>
    <cellStyle name="KLBXUNG 10 6" xfId="11559"/>
    <cellStyle name="KLBXUNG 11" xfId="2564"/>
    <cellStyle name="KLBXUNG 11 2" xfId="7434"/>
    <cellStyle name="KLBXUNG 11 3" xfId="11118"/>
    <cellStyle name="KLBXUNG 11 4" xfId="11533"/>
    <cellStyle name="KLBXUNG 11 5" xfId="11484"/>
    <cellStyle name="KLBXUNG 11 6" xfId="11558"/>
    <cellStyle name="KLBXUNG 12" xfId="2565"/>
    <cellStyle name="KLBXUNG 12 2" xfId="7435"/>
    <cellStyle name="KLBXUNG 12 3" xfId="11119"/>
    <cellStyle name="KLBXUNG 12 4" xfId="11532"/>
    <cellStyle name="KLBXUNG 12 5" xfId="11485"/>
    <cellStyle name="KLBXUNG 12 6" xfId="11557"/>
    <cellStyle name="KLBXUNG 13" xfId="2566"/>
    <cellStyle name="KLBXUNG 13 2" xfId="7436"/>
    <cellStyle name="KLBXUNG 13 3" xfId="11120"/>
    <cellStyle name="KLBXUNG 13 4" xfId="11531"/>
    <cellStyle name="KLBXUNG 13 5" xfId="11486"/>
    <cellStyle name="KLBXUNG 13 6" xfId="11556"/>
    <cellStyle name="KLBXUNG 14" xfId="2567"/>
    <cellStyle name="KLBXUNG 14 2" xfId="7437"/>
    <cellStyle name="KLBXUNG 14 3" xfId="11121"/>
    <cellStyle name="KLBXUNG 14 4" xfId="11530"/>
    <cellStyle name="KLBXUNG 14 5" xfId="11487"/>
    <cellStyle name="KLBXUNG 14 6" xfId="11555"/>
    <cellStyle name="KLBXUNG 15" xfId="2568"/>
    <cellStyle name="KLBXUNG 15 2" xfId="7438"/>
    <cellStyle name="KLBXUNG 15 3" xfId="11122"/>
    <cellStyle name="KLBXUNG 15 4" xfId="11529"/>
    <cellStyle name="KLBXUNG 15 5" xfId="11488"/>
    <cellStyle name="KLBXUNG 15 6" xfId="11554"/>
    <cellStyle name="KLBXUNG 16" xfId="2569"/>
    <cellStyle name="KLBXUNG 16 2" xfId="7439"/>
    <cellStyle name="KLBXUNG 16 3" xfId="11123"/>
    <cellStyle name="KLBXUNG 16 4" xfId="11528"/>
    <cellStyle name="KLBXUNG 16 5" xfId="11489"/>
    <cellStyle name="KLBXUNG 16 6" xfId="11553"/>
    <cellStyle name="KLBXUNG 17" xfId="2570"/>
    <cellStyle name="KLBXUNG 17 2" xfId="7440"/>
    <cellStyle name="KLBXUNG 17 3" xfId="11124"/>
    <cellStyle name="KLBXUNG 17 4" xfId="11527"/>
    <cellStyle name="KLBXUNG 17 5" xfId="11490"/>
    <cellStyle name="KLBXUNG 17 6" xfId="11552"/>
    <cellStyle name="KLBXUNG 18" xfId="2571"/>
    <cellStyle name="KLBXUNG 18 2" xfId="7441"/>
    <cellStyle name="KLBXUNG 18 3" xfId="11125"/>
    <cellStyle name="KLBXUNG 18 4" xfId="11526"/>
    <cellStyle name="KLBXUNG 18 5" xfId="11491"/>
    <cellStyle name="KLBXUNG 18 6" xfId="11551"/>
    <cellStyle name="KLBXUNG 19" xfId="2572"/>
    <cellStyle name="KLBXUNG 19 2" xfId="7442"/>
    <cellStyle name="KLBXUNG 19 3" xfId="11126"/>
    <cellStyle name="KLBXUNG 19 4" xfId="11525"/>
    <cellStyle name="KLBXUNG 19 5" xfId="11492"/>
    <cellStyle name="KLBXUNG 19 6" xfId="11550"/>
    <cellStyle name="KLBXUNG 2" xfId="2573"/>
    <cellStyle name="KLBXUNG 2 2" xfId="7443"/>
    <cellStyle name="KLBXUNG 2 3" xfId="11127"/>
    <cellStyle name="KLBXUNG 2 4" xfId="11524"/>
    <cellStyle name="KLBXUNG 2 5" xfId="11493"/>
    <cellStyle name="KLBXUNG 2 6" xfId="11549"/>
    <cellStyle name="KLBXUNG 20" xfId="2574"/>
    <cellStyle name="KLBXUNG 20 2" xfId="7444"/>
    <cellStyle name="KLBXUNG 20 3" xfId="11128"/>
    <cellStyle name="KLBXUNG 20 4" xfId="11523"/>
    <cellStyle name="KLBXUNG 20 5" xfId="11494"/>
    <cellStyle name="KLBXUNG 20 6" xfId="11548"/>
    <cellStyle name="KLBXUNG 21" xfId="2575"/>
    <cellStyle name="KLBXUNG 21 2" xfId="7445"/>
    <cellStyle name="KLBXUNG 21 3" xfId="11129"/>
    <cellStyle name="KLBXUNG 21 4" xfId="11522"/>
    <cellStyle name="KLBXUNG 21 5" xfId="11495"/>
    <cellStyle name="KLBXUNG 21 6" xfId="11547"/>
    <cellStyle name="KLBXUNG 22" xfId="2576"/>
    <cellStyle name="KLBXUNG 22 2" xfId="7446"/>
    <cellStyle name="KLBXUNG 22 3" xfId="11130"/>
    <cellStyle name="KLBXUNG 22 4" xfId="11521"/>
    <cellStyle name="KLBXUNG 22 5" xfId="11496"/>
    <cellStyle name="KLBXUNG 22 6" xfId="11546"/>
    <cellStyle name="KLBXUNG 23" xfId="2577"/>
    <cellStyle name="KLBXUNG 23 2" xfId="7447"/>
    <cellStyle name="KLBXUNG 23 3" xfId="11131"/>
    <cellStyle name="KLBXUNG 23 4" xfId="11520"/>
    <cellStyle name="KLBXUNG 23 5" xfId="11497"/>
    <cellStyle name="KLBXUNG 23 6" xfId="11545"/>
    <cellStyle name="KLBXUNG 24" xfId="2578"/>
    <cellStyle name="KLBXUNG 24 2" xfId="7448"/>
    <cellStyle name="KLBXUNG 24 3" xfId="11132"/>
    <cellStyle name="KLBXUNG 24 4" xfId="11519"/>
    <cellStyle name="KLBXUNG 24 5" xfId="11498"/>
    <cellStyle name="KLBXUNG 24 6" xfId="11544"/>
    <cellStyle name="KLBXUNG 25" xfId="2579"/>
    <cellStyle name="KLBXUNG 25 2" xfId="7449"/>
    <cellStyle name="KLBXUNG 25 3" xfId="11133"/>
    <cellStyle name="KLBXUNG 25 4" xfId="11518"/>
    <cellStyle name="KLBXUNG 25 5" xfId="11499"/>
    <cellStyle name="KLBXUNG 25 6" xfId="11543"/>
    <cellStyle name="KLBXUNG 26" xfId="2580"/>
    <cellStyle name="KLBXUNG 26 2" xfId="7450"/>
    <cellStyle name="KLBXUNG 26 3" xfId="11134"/>
    <cellStyle name="KLBXUNG 26 4" xfId="11517"/>
    <cellStyle name="KLBXUNG 26 5" xfId="11500"/>
    <cellStyle name="KLBXUNG 26 6" xfId="11542"/>
    <cellStyle name="KLBXUNG 27" xfId="7432"/>
    <cellStyle name="KLBXUNG 28" xfId="11116"/>
    <cellStyle name="KLBXUNG 29" xfId="11535"/>
    <cellStyle name="KLBXUNG 3" xfId="2581"/>
    <cellStyle name="KLBXUNG 3 2" xfId="7451"/>
    <cellStyle name="KLBXUNG 3 3" xfId="11135"/>
    <cellStyle name="KLBXUNG 3 4" xfId="11516"/>
    <cellStyle name="KLBXUNG 3 5" xfId="11501"/>
    <cellStyle name="KLBXUNG 3 6" xfId="11540"/>
    <cellStyle name="KLBXUNG 30" xfId="11482"/>
    <cellStyle name="KLBXUNG 31" xfId="11560"/>
    <cellStyle name="KLBXUNG 4" xfId="2582"/>
    <cellStyle name="KLBXUNG 4 2" xfId="7452"/>
    <cellStyle name="KLBXUNG 4 3" xfId="11136"/>
    <cellStyle name="KLBXUNG 4 4" xfId="11515"/>
    <cellStyle name="KLBXUNG 4 5" xfId="11502"/>
    <cellStyle name="KLBXUNG 4 6" xfId="11539"/>
    <cellStyle name="KLBXUNG 5" xfId="2583"/>
    <cellStyle name="KLBXUNG 5 2" xfId="7453"/>
    <cellStyle name="KLBXUNG 5 3" xfId="11137"/>
    <cellStyle name="KLBXUNG 5 4" xfId="11514"/>
    <cellStyle name="KLBXUNG 5 5" xfId="11503"/>
    <cellStyle name="KLBXUNG 5 6" xfId="11538"/>
    <cellStyle name="KLBXUNG 6" xfId="2584"/>
    <cellStyle name="KLBXUNG 6 2" xfId="7454"/>
    <cellStyle name="KLBXUNG 6 3" xfId="11138"/>
    <cellStyle name="KLBXUNG 6 4" xfId="11513"/>
    <cellStyle name="KLBXUNG 6 5" xfId="11504"/>
    <cellStyle name="KLBXUNG 6 6" xfId="11537"/>
    <cellStyle name="KLBXUNG 7" xfId="2585"/>
    <cellStyle name="KLBXUNG 7 2" xfId="7455"/>
    <cellStyle name="KLBXUNG 7 3" xfId="11139"/>
    <cellStyle name="KLBXUNG 7 4" xfId="11512"/>
    <cellStyle name="KLBXUNG 7 5" xfId="11505"/>
    <cellStyle name="KLBXUNG 7 6" xfId="11536"/>
    <cellStyle name="KLBXUNG 8" xfId="2586"/>
    <cellStyle name="KLBXUNG 8 2" xfId="7456"/>
    <cellStyle name="KLBXUNG 8 3" xfId="11140"/>
    <cellStyle name="KLBXUNG 8 4" xfId="11511"/>
    <cellStyle name="KLBXUNG 8 5" xfId="11506"/>
    <cellStyle name="KLBXUNG 8 6" xfId="11509"/>
    <cellStyle name="KLBXUNG 9" xfId="2587"/>
    <cellStyle name="KLBXUNG 9 2" xfId="7457"/>
    <cellStyle name="KLBXUNG 9 3" xfId="11141"/>
    <cellStyle name="KLBXUNG 9 4" xfId="11510"/>
    <cellStyle name="KLBXUNG 9 5" xfId="11507"/>
    <cellStyle name="KLBXUNG 9 6" xfId="11508"/>
    <cellStyle name="KLBXUNG_B 10 c" xfId="2588"/>
    <cellStyle name="Linked Cell" xfId="2589" builtinId="24" customBuiltin="1"/>
    <cellStyle name="Millares [0]_Well Timing" xfId="2590"/>
    <cellStyle name="Millares_Well Timing" xfId="2591"/>
    <cellStyle name="Model" xfId="2592"/>
    <cellStyle name="Model 2" xfId="2593"/>
    <cellStyle name="Model_BPhu PNN" xfId="2594"/>
    <cellStyle name="moi" xfId="2595"/>
    <cellStyle name="moi 2" xfId="11148"/>
    <cellStyle name="Moneda [0]_Well Timing" xfId="2596"/>
    <cellStyle name="Moneda_Well Timing" xfId="2597"/>
    <cellStyle name="n" xfId="2598"/>
    <cellStyle name="n 2" xfId="2599"/>
    <cellStyle name="n 2 2" xfId="2600"/>
    <cellStyle name="n 3" xfId="2601"/>
    <cellStyle name="n 4" xfId="2602"/>
    <cellStyle name="Neutral" xfId="2603" builtinId="28" customBuiltin="1"/>
    <cellStyle name="Normal" xfId="0" builtinId="0"/>
    <cellStyle name="Normal - Style1" xfId="2604"/>
    <cellStyle name="Normal - Style1 2" xfId="2605"/>
    <cellStyle name="Normal - Style1 3" xfId="2606"/>
    <cellStyle name="Normal - Style1_10CH" xfId="2607"/>
    <cellStyle name="Normal 10" xfId="2608"/>
    <cellStyle name="Normal 10 10" xfId="2609"/>
    <cellStyle name="Normal 10 10 2" xfId="7459"/>
    <cellStyle name="Normal 10 11" xfId="2610"/>
    <cellStyle name="Normal 10 11 2" xfId="7460"/>
    <cellStyle name="Normal 10 12" xfId="2611"/>
    <cellStyle name="Normal 10 12 2" xfId="7461"/>
    <cellStyle name="Normal 10 13" xfId="2612"/>
    <cellStyle name="Normal 10 13 2" xfId="7462"/>
    <cellStyle name="Normal 10 14" xfId="2613"/>
    <cellStyle name="Normal 10 14 2" xfId="7463"/>
    <cellStyle name="Normal 10 15" xfId="2614"/>
    <cellStyle name="Normal 10 15 2" xfId="7464"/>
    <cellStyle name="Normal 10 16" xfId="2615"/>
    <cellStyle name="Normal 10 16 2" xfId="7465"/>
    <cellStyle name="Normal 10 17" xfId="2616"/>
    <cellStyle name="Normal 10 17 2" xfId="7466"/>
    <cellStyle name="Normal 10 18" xfId="2617"/>
    <cellStyle name="Normal 10 18 2" xfId="7467"/>
    <cellStyle name="Normal 10 19" xfId="2618"/>
    <cellStyle name="Normal 10 19 2" xfId="7468"/>
    <cellStyle name="Normal 10 2" xfId="2619"/>
    <cellStyle name="Normal 10 20" xfId="2620"/>
    <cellStyle name="Normal 10 20 2" xfId="7469"/>
    <cellStyle name="Normal 10 21" xfId="2621"/>
    <cellStyle name="Normal 10 21 2" xfId="7470"/>
    <cellStyle name="Normal 10 22" xfId="2622"/>
    <cellStyle name="Normal 10 22 2" xfId="7471"/>
    <cellStyle name="Normal 10 23" xfId="2623"/>
    <cellStyle name="Normal 10 23 2" xfId="7472"/>
    <cellStyle name="Normal 10 24" xfId="2624"/>
    <cellStyle name="Normal 10 24 2" xfId="7473"/>
    <cellStyle name="Normal 10 25" xfId="2625"/>
    <cellStyle name="Normal 10 25 2" xfId="7474"/>
    <cellStyle name="Normal 10 26" xfId="2626"/>
    <cellStyle name="Normal 10 26 2" xfId="7475"/>
    <cellStyle name="Normal 10 27" xfId="2627"/>
    <cellStyle name="Normal 10 27 2" xfId="7476"/>
    <cellStyle name="Normal 10 28" xfId="7458"/>
    <cellStyle name="Normal 10 3" xfId="2628"/>
    <cellStyle name="Normal 10 4" xfId="2629"/>
    <cellStyle name="Normal 10 5" xfId="2630"/>
    <cellStyle name="Normal 10 6" xfId="2631"/>
    <cellStyle name="Normal 10 7" xfId="2632"/>
    <cellStyle name="Normal 10 7 2" xfId="7477"/>
    <cellStyle name="Normal 10 8" xfId="2633"/>
    <cellStyle name="Normal 10 8 2" xfId="7478"/>
    <cellStyle name="Normal 10 9" xfId="2634"/>
    <cellStyle name="Normal 10 9 2" xfId="7479"/>
    <cellStyle name="Normal 10_nam 2016" xfId="2635"/>
    <cellStyle name="Normal 11" xfId="2636"/>
    <cellStyle name="Normal 11 10" xfId="2637"/>
    <cellStyle name="Normal 11 10 2" xfId="7481"/>
    <cellStyle name="Normal 11 11" xfId="2638"/>
    <cellStyle name="Normal 11 11 2" xfId="7482"/>
    <cellStyle name="Normal 11 12" xfId="2639"/>
    <cellStyle name="Normal 11 12 2" xfId="7483"/>
    <cellStyle name="Normal 11 13" xfId="2640"/>
    <cellStyle name="Normal 11 13 2" xfId="7484"/>
    <cellStyle name="Normal 11 14" xfId="2641"/>
    <cellStyle name="Normal 11 14 2" xfId="7485"/>
    <cellStyle name="Normal 11 15" xfId="2642"/>
    <cellStyle name="Normal 11 15 2" xfId="7486"/>
    <cellStyle name="Normal 11 16" xfId="2643"/>
    <cellStyle name="Normal 11 16 2" xfId="7487"/>
    <cellStyle name="Normal 11 17" xfId="2644"/>
    <cellStyle name="Normal 11 17 2" xfId="7488"/>
    <cellStyle name="Normal 11 18" xfId="2645"/>
    <cellStyle name="Normal 11 18 2" xfId="7489"/>
    <cellStyle name="Normal 11 19" xfId="2646"/>
    <cellStyle name="Normal 11 19 2" xfId="7490"/>
    <cellStyle name="Normal 11 2" xfId="2647"/>
    <cellStyle name="Normal 11 20" xfId="2648"/>
    <cellStyle name="Normal 11 20 2" xfId="7491"/>
    <cellStyle name="Normal 11 21" xfId="2649"/>
    <cellStyle name="Normal 11 21 2" xfId="7492"/>
    <cellStyle name="Normal 11 22" xfId="2650"/>
    <cellStyle name="Normal 11 22 2" xfId="7493"/>
    <cellStyle name="Normal 11 23" xfId="2651"/>
    <cellStyle name="Normal 11 23 2" xfId="7494"/>
    <cellStyle name="Normal 11 24" xfId="2652"/>
    <cellStyle name="Normal 11 24 2" xfId="7495"/>
    <cellStyle name="Normal 11 25" xfId="2653"/>
    <cellStyle name="Normal 11 25 2" xfId="7496"/>
    <cellStyle name="Normal 11 26" xfId="2654"/>
    <cellStyle name="Normal 11 26 2" xfId="7497"/>
    <cellStyle name="Normal 11 27" xfId="2655"/>
    <cellStyle name="Normal 11 27 2" xfId="7498"/>
    <cellStyle name="Normal 11 28" xfId="7480"/>
    <cellStyle name="Normal 11 3" xfId="2656"/>
    <cellStyle name="Normal 11 4" xfId="2657"/>
    <cellStyle name="Normal 11 5" xfId="2658"/>
    <cellStyle name="Normal 11 6" xfId="2659"/>
    <cellStyle name="Normal 11 7" xfId="2660"/>
    <cellStyle name="Normal 11 7 2" xfId="7499"/>
    <cellStyle name="Normal 11 8" xfId="2661"/>
    <cellStyle name="Normal 11 8 2" xfId="7500"/>
    <cellStyle name="Normal 11 9" xfId="2662"/>
    <cellStyle name="Normal 11 9 2" xfId="7501"/>
    <cellStyle name="Normal 11_nam 2016" xfId="2663"/>
    <cellStyle name="Normal 111" xfId="6170"/>
    <cellStyle name="Normal 113" xfId="6171"/>
    <cellStyle name="Normal 12" xfId="2664"/>
    <cellStyle name="Normal 12 10" xfId="2665"/>
    <cellStyle name="Normal 12 10 2" xfId="7503"/>
    <cellStyle name="Normal 12 11" xfId="2666"/>
    <cellStyle name="Normal 12 11 2" xfId="7504"/>
    <cellStyle name="Normal 12 12" xfId="2667"/>
    <cellStyle name="Normal 12 12 2" xfId="7505"/>
    <cellStyle name="Normal 12 13" xfId="2668"/>
    <cellStyle name="Normal 12 13 2" xfId="7506"/>
    <cellStyle name="Normal 12 14" xfId="2669"/>
    <cellStyle name="Normal 12 14 2" xfId="7507"/>
    <cellStyle name="Normal 12 15" xfId="2670"/>
    <cellStyle name="Normal 12 15 2" xfId="7508"/>
    <cellStyle name="Normal 12 16" xfId="2671"/>
    <cellStyle name="Normal 12 16 2" xfId="7509"/>
    <cellStyle name="Normal 12 17" xfId="2672"/>
    <cellStyle name="Normal 12 17 2" xfId="7510"/>
    <cellStyle name="Normal 12 18" xfId="2673"/>
    <cellStyle name="Normal 12 18 2" xfId="7511"/>
    <cellStyle name="Normal 12 19" xfId="2674"/>
    <cellStyle name="Normal 12 19 2" xfId="7512"/>
    <cellStyle name="Normal 12 2" xfId="2675"/>
    <cellStyle name="Normal 12 2 2" xfId="7513"/>
    <cellStyle name="Normal 12 20" xfId="2676"/>
    <cellStyle name="Normal 12 20 2" xfId="7514"/>
    <cellStyle name="Normal 12 21" xfId="2677"/>
    <cellStyle name="Normal 12 21 2" xfId="7515"/>
    <cellStyle name="Normal 12 22" xfId="2678"/>
    <cellStyle name="Normal 12 22 2" xfId="7516"/>
    <cellStyle name="Normal 12 23" xfId="7502"/>
    <cellStyle name="Normal 12 3" xfId="2679"/>
    <cellStyle name="Normal 12 3 2" xfId="7517"/>
    <cellStyle name="Normal 12 4" xfId="2680"/>
    <cellStyle name="Normal 12 4 2" xfId="7518"/>
    <cellStyle name="Normal 12 5" xfId="2681"/>
    <cellStyle name="Normal 12 5 2" xfId="7519"/>
    <cellStyle name="Normal 12 6" xfId="2682"/>
    <cellStyle name="Normal 12 6 2" xfId="7520"/>
    <cellStyle name="Normal 12 7" xfId="2683"/>
    <cellStyle name="Normal 12 7 2" xfId="7521"/>
    <cellStyle name="Normal 12 8" xfId="2684"/>
    <cellStyle name="Normal 12 8 2" xfId="7522"/>
    <cellStyle name="Normal 12 9" xfId="2685"/>
    <cellStyle name="Normal 12 9 2" xfId="7523"/>
    <cellStyle name="Normal 13" xfId="2686"/>
    <cellStyle name="Normal 14" xfId="2687"/>
    <cellStyle name="Normal 14 10" xfId="2688"/>
    <cellStyle name="Normal 14 10 2" xfId="7525"/>
    <cellStyle name="Normal 14 11" xfId="2689"/>
    <cellStyle name="Normal 14 11 2" xfId="7526"/>
    <cellStyle name="Normal 14 12" xfId="2690"/>
    <cellStyle name="Normal 14 12 2" xfId="7527"/>
    <cellStyle name="Normal 14 13" xfId="2691"/>
    <cellStyle name="Normal 14 13 2" xfId="7528"/>
    <cellStyle name="Normal 14 14" xfId="2692"/>
    <cellStyle name="Normal 14 14 2" xfId="7529"/>
    <cellStyle name="Normal 14 15" xfId="2693"/>
    <cellStyle name="Normal 14 15 2" xfId="7530"/>
    <cellStyle name="Normal 14 16" xfId="2694"/>
    <cellStyle name="Normal 14 16 2" xfId="7531"/>
    <cellStyle name="Normal 14 17" xfId="2695"/>
    <cellStyle name="Normal 14 17 2" xfId="7532"/>
    <cellStyle name="Normal 14 18" xfId="2696"/>
    <cellStyle name="Normal 14 18 2" xfId="7533"/>
    <cellStyle name="Normal 14 19" xfId="2697"/>
    <cellStyle name="Normal 14 19 2" xfId="7534"/>
    <cellStyle name="Normal 14 2" xfId="2698"/>
    <cellStyle name="Normal 14 20" xfId="2699"/>
    <cellStyle name="Normal 14 20 2" xfId="7535"/>
    <cellStyle name="Normal 14 21" xfId="2700"/>
    <cellStyle name="Normal 14 21 2" xfId="7536"/>
    <cellStyle name="Normal 14 22" xfId="2701"/>
    <cellStyle name="Normal 14 22 2" xfId="7537"/>
    <cellStyle name="Normal 14 23" xfId="2702"/>
    <cellStyle name="Normal 14 23 2" xfId="7538"/>
    <cellStyle name="Normal 14 24" xfId="2703"/>
    <cellStyle name="Normal 14 24 2" xfId="7539"/>
    <cellStyle name="Normal 14 25" xfId="2704"/>
    <cellStyle name="Normal 14 25 2" xfId="7540"/>
    <cellStyle name="Normal 14 26" xfId="2705"/>
    <cellStyle name="Normal 14 26 2" xfId="7541"/>
    <cellStyle name="Normal 14 27" xfId="2706"/>
    <cellStyle name="Normal 14 27 2" xfId="7542"/>
    <cellStyle name="Normal 14 28" xfId="7524"/>
    <cellStyle name="Normal 14 3" xfId="2707"/>
    <cellStyle name="Normal 14 4" xfId="2708"/>
    <cellStyle name="Normal 14 5" xfId="2709"/>
    <cellStyle name="Normal 14 6" xfId="2710"/>
    <cellStyle name="Normal 14 7" xfId="2711"/>
    <cellStyle name="Normal 14 7 2" xfId="7543"/>
    <cellStyle name="Normal 14 8" xfId="2712"/>
    <cellStyle name="Normal 14 8 2" xfId="7544"/>
    <cellStyle name="Normal 14 9" xfId="2713"/>
    <cellStyle name="Normal 14 9 2" xfId="7545"/>
    <cellStyle name="Normal 14_nam 2016" xfId="2714"/>
    <cellStyle name="Normal 15" xfId="2715"/>
    <cellStyle name="Normal 15 10" xfId="2716"/>
    <cellStyle name="Normal 15 10 2" xfId="7547"/>
    <cellStyle name="Normal 15 11" xfId="2717"/>
    <cellStyle name="Normal 15 11 2" xfId="7548"/>
    <cellStyle name="Normal 15 12" xfId="2718"/>
    <cellStyle name="Normal 15 12 2" xfId="7549"/>
    <cellStyle name="Normal 15 13" xfId="2719"/>
    <cellStyle name="Normal 15 13 2" xfId="7550"/>
    <cellStyle name="Normal 15 14" xfId="2720"/>
    <cellStyle name="Normal 15 14 2" xfId="7551"/>
    <cellStyle name="Normal 15 15" xfId="2721"/>
    <cellStyle name="Normal 15 15 2" xfId="7552"/>
    <cellStyle name="Normal 15 16" xfId="2722"/>
    <cellStyle name="Normal 15 16 2" xfId="7553"/>
    <cellStyle name="Normal 15 17" xfId="2723"/>
    <cellStyle name="Normal 15 17 2" xfId="7554"/>
    <cellStyle name="Normal 15 18" xfId="2724"/>
    <cellStyle name="Normal 15 18 2" xfId="7555"/>
    <cellStyle name="Normal 15 19" xfId="2725"/>
    <cellStyle name="Normal 15 19 2" xfId="7556"/>
    <cellStyle name="Normal 15 2" xfId="2726"/>
    <cellStyle name="Normal 15 2 2" xfId="7557"/>
    <cellStyle name="Normal 15 20" xfId="2727"/>
    <cellStyle name="Normal 15 20 2" xfId="7558"/>
    <cellStyle name="Normal 15 21" xfId="2728"/>
    <cellStyle name="Normal 15 21 2" xfId="7559"/>
    <cellStyle name="Normal 15 22" xfId="2729"/>
    <cellStyle name="Normal 15 22 2" xfId="7560"/>
    <cellStyle name="Normal 15 23" xfId="7546"/>
    <cellStyle name="Normal 15 3" xfId="2730"/>
    <cellStyle name="Normal 15 3 2" xfId="7561"/>
    <cellStyle name="Normal 15 4" xfId="2731"/>
    <cellStyle name="Normal 15 4 2" xfId="7562"/>
    <cellStyle name="Normal 15 5" xfId="2732"/>
    <cellStyle name="Normal 15 5 2" xfId="7563"/>
    <cellStyle name="Normal 15 6" xfId="2733"/>
    <cellStyle name="Normal 15 6 2" xfId="7564"/>
    <cellStyle name="Normal 15 7" xfId="2734"/>
    <cellStyle name="Normal 15 7 2" xfId="7565"/>
    <cellStyle name="Normal 15 8" xfId="2735"/>
    <cellStyle name="Normal 15 8 2" xfId="7566"/>
    <cellStyle name="Normal 15 9" xfId="2736"/>
    <cellStyle name="Normal 15 9 2" xfId="7567"/>
    <cellStyle name="Normal 16" xfId="2737"/>
    <cellStyle name="Normal 16 10" xfId="2738"/>
    <cellStyle name="Normal 16 10 2" xfId="7569"/>
    <cellStyle name="Normal 16 11" xfId="2739"/>
    <cellStyle name="Normal 16 11 2" xfId="7570"/>
    <cellStyle name="Normal 16 12" xfId="2740"/>
    <cellStyle name="Normal 16 12 2" xfId="7571"/>
    <cellStyle name="Normal 16 13" xfId="2741"/>
    <cellStyle name="Normal 16 13 2" xfId="7572"/>
    <cellStyle name="Normal 16 14" xfId="2742"/>
    <cellStyle name="Normal 16 14 2" xfId="7573"/>
    <cellStyle name="Normal 16 15" xfId="2743"/>
    <cellStyle name="Normal 16 15 2" xfId="7574"/>
    <cellStyle name="Normal 16 16" xfId="2744"/>
    <cellStyle name="Normal 16 16 2" xfId="7575"/>
    <cellStyle name="Normal 16 17" xfId="2745"/>
    <cellStyle name="Normal 16 17 2" xfId="7576"/>
    <cellStyle name="Normal 16 18" xfId="2746"/>
    <cellStyle name="Normal 16 18 2" xfId="7577"/>
    <cellStyle name="Normal 16 19" xfId="2747"/>
    <cellStyle name="Normal 16 19 2" xfId="7578"/>
    <cellStyle name="Normal 16 2" xfId="2748"/>
    <cellStyle name="Normal 16 2 2" xfId="7579"/>
    <cellStyle name="Normal 16 20" xfId="2749"/>
    <cellStyle name="Normal 16 20 2" xfId="7580"/>
    <cellStyle name="Normal 16 21" xfId="2750"/>
    <cellStyle name="Normal 16 21 2" xfId="7581"/>
    <cellStyle name="Normal 16 22" xfId="2751"/>
    <cellStyle name="Normal 16 22 2" xfId="7582"/>
    <cellStyle name="Normal 16 23" xfId="7568"/>
    <cellStyle name="Normal 16 3" xfId="2752"/>
    <cellStyle name="Normal 16 3 2" xfId="7583"/>
    <cellStyle name="Normal 16 4" xfId="2753"/>
    <cellStyle name="Normal 16 4 2" xfId="7584"/>
    <cellStyle name="Normal 16 5" xfId="2754"/>
    <cellStyle name="Normal 16 5 2" xfId="7585"/>
    <cellStyle name="Normal 16 6" xfId="2755"/>
    <cellStyle name="Normal 16 6 2" xfId="7586"/>
    <cellStyle name="Normal 16 7" xfId="2756"/>
    <cellStyle name="Normal 16 7 2" xfId="7587"/>
    <cellStyle name="Normal 16 8" xfId="2757"/>
    <cellStyle name="Normal 16 8 2" xfId="7588"/>
    <cellStyle name="Normal 16 9" xfId="2758"/>
    <cellStyle name="Normal 16 9 2" xfId="7589"/>
    <cellStyle name="Normal 17" xfId="2759"/>
    <cellStyle name="Normal 17 10" xfId="2760"/>
    <cellStyle name="Normal 17 10 2" xfId="7591"/>
    <cellStyle name="Normal 17 11" xfId="2761"/>
    <cellStyle name="Normal 17 11 2" xfId="7592"/>
    <cellStyle name="Normal 17 12" xfId="2762"/>
    <cellStyle name="Normal 17 12 2" xfId="7593"/>
    <cellStyle name="Normal 17 13" xfId="2763"/>
    <cellStyle name="Normal 17 13 2" xfId="7594"/>
    <cellStyle name="Normal 17 14" xfId="2764"/>
    <cellStyle name="Normal 17 14 2" xfId="7595"/>
    <cellStyle name="Normal 17 15" xfId="2765"/>
    <cellStyle name="Normal 17 15 2" xfId="7596"/>
    <cellStyle name="Normal 17 16" xfId="2766"/>
    <cellStyle name="Normal 17 16 2" xfId="7597"/>
    <cellStyle name="Normal 17 17" xfId="2767"/>
    <cellStyle name="Normal 17 17 2" xfId="7598"/>
    <cellStyle name="Normal 17 18" xfId="2768"/>
    <cellStyle name="Normal 17 18 2" xfId="7599"/>
    <cellStyle name="Normal 17 19" xfId="2769"/>
    <cellStyle name="Normal 17 19 2" xfId="7600"/>
    <cellStyle name="Normal 17 2" xfId="2770"/>
    <cellStyle name="Normal 17 2 2" xfId="7601"/>
    <cellStyle name="Normal 17 20" xfId="2771"/>
    <cellStyle name="Normal 17 20 2" xfId="7602"/>
    <cellStyle name="Normal 17 21" xfId="2772"/>
    <cellStyle name="Normal 17 21 2" xfId="7603"/>
    <cellStyle name="Normal 17 22" xfId="2773"/>
    <cellStyle name="Normal 17 22 2" xfId="7604"/>
    <cellStyle name="Normal 17 23" xfId="7590"/>
    <cellStyle name="Normal 17 3" xfId="2774"/>
    <cellStyle name="Normal 17 3 2" xfId="7605"/>
    <cellStyle name="Normal 17 4" xfId="2775"/>
    <cellStyle name="Normal 17 4 2" xfId="7606"/>
    <cellStyle name="Normal 17 5" xfId="2776"/>
    <cellStyle name="Normal 17 5 2" xfId="7607"/>
    <cellStyle name="Normal 17 6" xfId="2777"/>
    <cellStyle name="Normal 17 6 2" xfId="7608"/>
    <cellStyle name="Normal 17 7" xfId="2778"/>
    <cellStyle name="Normal 17 7 2" xfId="7609"/>
    <cellStyle name="Normal 17 8" xfId="2779"/>
    <cellStyle name="Normal 17 8 2" xfId="7610"/>
    <cellStyle name="Normal 17 9" xfId="2780"/>
    <cellStyle name="Normal 17 9 2" xfId="7611"/>
    <cellStyle name="Normal 171" xfId="6168"/>
    <cellStyle name="Normal 18" xfId="2781"/>
    <cellStyle name="Normal 18 10" xfId="2782"/>
    <cellStyle name="Normal 18 10 2" xfId="7613"/>
    <cellStyle name="Normal 18 11" xfId="2783"/>
    <cellStyle name="Normal 18 11 2" xfId="7614"/>
    <cellStyle name="Normal 18 12" xfId="2784"/>
    <cellStyle name="Normal 18 12 2" xfId="7615"/>
    <cellStyle name="Normal 18 13" xfId="2785"/>
    <cellStyle name="Normal 18 13 2" xfId="7616"/>
    <cellStyle name="Normal 18 14" xfId="2786"/>
    <cellStyle name="Normal 18 14 2" xfId="7617"/>
    <cellStyle name="Normal 18 15" xfId="2787"/>
    <cellStyle name="Normal 18 15 2" xfId="7618"/>
    <cellStyle name="Normal 18 16" xfId="2788"/>
    <cellStyle name="Normal 18 16 2" xfId="7619"/>
    <cellStyle name="Normal 18 17" xfId="2789"/>
    <cellStyle name="Normal 18 17 2" xfId="7620"/>
    <cellStyle name="Normal 18 18" xfId="2790"/>
    <cellStyle name="Normal 18 18 2" xfId="7621"/>
    <cellStyle name="Normal 18 19" xfId="2791"/>
    <cellStyle name="Normal 18 19 2" xfId="7622"/>
    <cellStyle name="Normal 18 2" xfId="2792"/>
    <cellStyle name="Normal 18 2 2" xfId="7623"/>
    <cellStyle name="Normal 18 20" xfId="2793"/>
    <cellStyle name="Normal 18 20 2" xfId="7624"/>
    <cellStyle name="Normal 18 21" xfId="2794"/>
    <cellStyle name="Normal 18 21 2" xfId="7625"/>
    <cellStyle name="Normal 18 22" xfId="2795"/>
    <cellStyle name="Normal 18 22 2" xfId="7626"/>
    <cellStyle name="Normal 18 23" xfId="7612"/>
    <cellStyle name="Normal 18 3" xfId="2796"/>
    <cellStyle name="Normal 18 3 2" xfId="7627"/>
    <cellStyle name="Normal 18 4" xfId="2797"/>
    <cellStyle name="Normal 18 4 2" xfId="7628"/>
    <cellStyle name="Normal 18 5" xfId="2798"/>
    <cellStyle name="Normal 18 5 2" xfId="7629"/>
    <cellStyle name="Normal 18 6" xfId="2799"/>
    <cellStyle name="Normal 18 6 2" xfId="7630"/>
    <cellStyle name="Normal 18 7" xfId="2800"/>
    <cellStyle name="Normal 18 7 2" xfId="7631"/>
    <cellStyle name="Normal 18 8" xfId="2801"/>
    <cellStyle name="Normal 18 8 2" xfId="7632"/>
    <cellStyle name="Normal 18 9" xfId="2802"/>
    <cellStyle name="Normal 18 9 2" xfId="7633"/>
    <cellStyle name="Normal 19" xfId="2803"/>
    <cellStyle name="Normal 19 10" xfId="2804"/>
    <cellStyle name="Normal 19 10 2" xfId="7635"/>
    <cellStyle name="Normal 19 11" xfId="2805"/>
    <cellStyle name="Normal 19 11 2" xfId="7636"/>
    <cellStyle name="Normal 19 12" xfId="2806"/>
    <cellStyle name="Normal 19 12 2" xfId="7637"/>
    <cellStyle name="Normal 19 13" xfId="2807"/>
    <cellStyle name="Normal 19 13 2" xfId="7638"/>
    <cellStyle name="Normal 19 14" xfId="2808"/>
    <cellStyle name="Normal 19 14 2" xfId="7639"/>
    <cellStyle name="Normal 19 15" xfId="2809"/>
    <cellStyle name="Normal 19 15 2" xfId="7640"/>
    <cellStyle name="Normal 19 16" xfId="2810"/>
    <cellStyle name="Normal 19 16 2" xfId="7641"/>
    <cellStyle name="Normal 19 17" xfId="2811"/>
    <cellStyle name="Normal 19 17 2" xfId="7642"/>
    <cellStyle name="Normal 19 18" xfId="2812"/>
    <cellStyle name="Normal 19 18 2" xfId="7643"/>
    <cellStyle name="Normal 19 19" xfId="2813"/>
    <cellStyle name="Normal 19 19 2" xfId="7644"/>
    <cellStyle name="Normal 19 2" xfId="2814"/>
    <cellStyle name="Normal 19 2 2" xfId="7645"/>
    <cellStyle name="Normal 19 20" xfId="2815"/>
    <cellStyle name="Normal 19 20 2" xfId="7646"/>
    <cellStyle name="Normal 19 21" xfId="2816"/>
    <cellStyle name="Normal 19 21 2" xfId="7647"/>
    <cellStyle name="Normal 19 22" xfId="2817"/>
    <cellStyle name="Normal 19 22 2" xfId="7648"/>
    <cellStyle name="Normal 19 23" xfId="7634"/>
    <cellStyle name="Normal 19 3" xfId="2818"/>
    <cellStyle name="Normal 19 3 2" xfId="7649"/>
    <cellStyle name="Normal 19 4" xfId="2819"/>
    <cellStyle name="Normal 19 4 2" xfId="7650"/>
    <cellStyle name="Normal 19 5" xfId="2820"/>
    <cellStyle name="Normal 19 5 2" xfId="7651"/>
    <cellStyle name="Normal 19 6" xfId="2821"/>
    <cellStyle name="Normal 19 6 2" xfId="7652"/>
    <cellStyle name="Normal 19 7" xfId="2822"/>
    <cellStyle name="Normal 19 7 2" xfId="7653"/>
    <cellStyle name="Normal 19 8" xfId="2823"/>
    <cellStyle name="Normal 19 8 2" xfId="7654"/>
    <cellStyle name="Normal 19 9" xfId="2824"/>
    <cellStyle name="Normal 19 9 2" xfId="7655"/>
    <cellStyle name="Normal 2" xfId="2825"/>
    <cellStyle name="Normal 2 10" xfId="2826"/>
    <cellStyle name="Normal 2 11" xfId="2827"/>
    <cellStyle name="Normal 2 12" xfId="2828"/>
    <cellStyle name="Normal 2 13" xfId="2829"/>
    <cellStyle name="Normal 2 14" xfId="2830"/>
    <cellStyle name="Normal 2 15" xfId="2831"/>
    <cellStyle name="Normal 2 16" xfId="2832"/>
    <cellStyle name="Normal 2 17" xfId="2833"/>
    <cellStyle name="Normal 2 18" xfId="2834"/>
    <cellStyle name="Normal 2 19" xfId="2835"/>
    <cellStyle name="Normal 2 2" xfId="2836"/>
    <cellStyle name="Normal 2 2 10" xfId="2837"/>
    <cellStyle name="Normal 2 2 10 2" xfId="7657"/>
    <cellStyle name="Normal 2 2 11" xfId="2838"/>
    <cellStyle name="Normal 2 2 11 2" xfId="7658"/>
    <cellStyle name="Normal 2 2 12" xfId="2839"/>
    <cellStyle name="Normal 2 2 12 2" xfId="7659"/>
    <cellStyle name="Normal 2 2 13" xfId="2840"/>
    <cellStyle name="Normal 2 2 13 2" xfId="7660"/>
    <cellStyle name="Normal 2 2 14" xfId="2841"/>
    <cellStyle name="Normal 2 2 14 2" xfId="7661"/>
    <cellStyle name="Normal 2 2 15" xfId="2842"/>
    <cellStyle name="Normal 2 2 15 2" xfId="7662"/>
    <cellStyle name="Normal 2 2 16" xfId="2843"/>
    <cellStyle name="Normal 2 2 16 2" xfId="7663"/>
    <cellStyle name="Normal 2 2 17" xfId="2844"/>
    <cellStyle name="Normal 2 2 17 2" xfId="7664"/>
    <cellStyle name="Normal 2 2 18" xfId="2845"/>
    <cellStyle name="Normal 2 2 18 2" xfId="7665"/>
    <cellStyle name="Normal 2 2 19" xfId="2846"/>
    <cellStyle name="Normal 2 2 19 2" xfId="7666"/>
    <cellStyle name="Normal 2 2 2" xfId="2847"/>
    <cellStyle name="Normal 2 2 2 2" xfId="7667"/>
    <cellStyle name="Normal 2 2 20" xfId="2848"/>
    <cellStyle name="Normal 2 2 20 2" xfId="7668"/>
    <cellStyle name="Normal 2 2 21" xfId="2849"/>
    <cellStyle name="Normal 2 2 21 2" xfId="7669"/>
    <cellStyle name="Normal 2 2 22" xfId="2850"/>
    <cellStyle name="Normal 2 2 22 2" xfId="7670"/>
    <cellStyle name="Normal 2 2 23" xfId="7656"/>
    <cellStyle name="Normal 2 2 3" xfId="2851"/>
    <cellStyle name="Normal 2 2 3 2" xfId="7671"/>
    <cellStyle name="Normal 2 2 4" xfId="2852"/>
    <cellStyle name="Normal 2 2 4 2" xfId="7672"/>
    <cellStyle name="Normal 2 2 5" xfId="2853"/>
    <cellStyle name="Normal 2 2 5 2" xfId="7673"/>
    <cellStyle name="Normal 2 2 6" xfId="2854"/>
    <cellStyle name="Normal 2 2 6 2" xfId="7674"/>
    <cellStyle name="Normal 2 2 7" xfId="2855"/>
    <cellStyle name="Normal 2 2 7 2" xfId="7675"/>
    <cellStyle name="Normal 2 2 8" xfId="2856"/>
    <cellStyle name="Normal 2 2 8 2" xfId="7676"/>
    <cellStyle name="Normal 2 2 9" xfId="2857"/>
    <cellStyle name="Normal 2 2 9 2" xfId="7677"/>
    <cellStyle name="Normal 2 20" xfId="2858"/>
    <cellStyle name="Normal 2 21" xfId="2859"/>
    <cellStyle name="Normal 2 22" xfId="2860"/>
    <cellStyle name="Normal 2 23" xfId="2861"/>
    <cellStyle name="Normal 2 24" xfId="2862"/>
    <cellStyle name="Normal 2 25" xfId="2863"/>
    <cellStyle name="Normal 2 26" xfId="2864"/>
    <cellStyle name="Normal 2 27" xfId="2865"/>
    <cellStyle name="Normal 2 28" xfId="2866"/>
    <cellStyle name="Normal 2 29" xfId="2867"/>
    <cellStyle name="Normal 2 3" xfId="2868"/>
    <cellStyle name="Normal 2 3 10" xfId="2869"/>
    <cellStyle name="Normal 2 3 10 2" xfId="7679"/>
    <cellStyle name="Normal 2 3 11" xfId="2870"/>
    <cellStyle name="Normal 2 3 11 2" xfId="7680"/>
    <cellStyle name="Normal 2 3 12" xfId="2871"/>
    <cellStyle name="Normal 2 3 12 2" xfId="7681"/>
    <cellStyle name="Normal 2 3 13" xfId="2872"/>
    <cellStyle name="Normal 2 3 13 2" xfId="7682"/>
    <cellStyle name="Normal 2 3 14" xfId="2873"/>
    <cellStyle name="Normal 2 3 14 2" xfId="7683"/>
    <cellStyle name="Normal 2 3 15" xfId="2874"/>
    <cellStyle name="Normal 2 3 15 2" xfId="7684"/>
    <cellStyle name="Normal 2 3 16" xfId="2875"/>
    <cellStyle name="Normal 2 3 16 2" xfId="7685"/>
    <cellStyle name="Normal 2 3 17" xfId="2876"/>
    <cellStyle name="Normal 2 3 17 2" xfId="7686"/>
    <cellStyle name="Normal 2 3 18" xfId="2877"/>
    <cellStyle name="Normal 2 3 18 2" xfId="7687"/>
    <cellStyle name="Normal 2 3 19" xfId="2878"/>
    <cellStyle name="Normal 2 3 19 2" xfId="7688"/>
    <cellStyle name="Normal 2 3 2" xfId="2879"/>
    <cellStyle name="Normal 2 3 2 2" xfId="7689"/>
    <cellStyle name="Normal 2 3 20" xfId="2880"/>
    <cellStyle name="Normal 2 3 20 2" xfId="7690"/>
    <cellStyle name="Normal 2 3 21" xfId="2881"/>
    <cellStyle name="Normal 2 3 21 2" xfId="7691"/>
    <cellStyle name="Normal 2 3 22" xfId="7678"/>
    <cellStyle name="Normal 2 3 3" xfId="2882"/>
    <cellStyle name="Normal 2 3 3 2" xfId="7692"/>
    <cellStyle name="Normal 2 3 4" xfId="2883"/>
    <cellStyle name="Normal 2 3 4 2" xfId="7693"/>
    <cellStyle name="Normal 2 3 5" xfId="2884"/>
    <cellStyle name="Normal 2 3 5 2" xfId="7694"/>
    <cellStyle name="Normal 2 3 6" xfId="2885"/>
    <cellStyle name="Normal 2 3 6 2" xfId="7695"/>
    <cellStyle name="Normal 2 3 7" xfId="2886"/>
    <cellStyle name="Normal 2 3 7 2" xfId="7696"/>
    <cellStyle name="Normal 2 3 8" xfId="2887"/>
    <cellStyle name="Normal 2 3 8 2" xfId="7697"/>
    <cellStyle name="Normal 2 3 9" xfId="2888"/>
    <cellStyle name="Normal 2 3 9 2" xfId="7698"/>
    <cellStyle name="Normal 2 4" xfId="2889"/>
    <cellStyle name="Normal 2 4 10" xfId="2890"/>
    <cellStyle name="Normal 2 4 10 2" xfId="7700"/>
    <cellStyle name="Normal 2 4 11" xfId="2891"/>
    <cellStyle name="Normal 2 4 11 2" xfId="7701"/>
    <cellStyle name="Normal 2 4 12" xfId="2892"/>
    <cellStyle name="Normal 2 4 12 2" xfId="7702"/>
    <cellStyle name="Normal 2 4 13" xfId="2893"/>
    <cellStyle name="Normal 2 4 13 2" xfId="7703"/>
    <cellStyle name="Normal 2 4 14" xfId="2894"/>
    <cellStyle name="Normal 2 4 14 2" xfId="7704"/>
    <cellStyle name="Normal 2 4 15" xfId="2895"/>
    <cellStyle name="Normal 2 4 15 2" xfId="7705"/>
    <cellStyle name="Normal 2 4 16" xfId="2896"/>
    <cellStyle name="Normal 2 4 16 2" xfId="7706"/>
    <cellStyle name="Normal 2 4 17" xfId="2897"/>
    <cellStyle name="Normal 2 4 17 2" xfId="7707"/>
    <cellStyle name="Normal 2 4 18" xfId="2898"/>
    <cellStyle name="Normal 2 4 18 2" xfId="7708"/>
    <cellStyle name="Normal 2 4 19" xfId="2899"/>
    <cellStyle name="Normal 2 4 19 2" xfId="7709"/>
    <cellStyle name="Normal 2 4 2" xfId="2900"/>
    <cellStyle name="Normal 2 4 2 2" xfId="7710"/>
    <cellStyle name="Normal 2 4 20" xfId="2901"/>
    <cellStyle name="Normal 2 4 20 2" xfId="7711"/>
    <cellStyle name="Normal 2 4 21" xfId="2902"/>
    <cellStyle name="Normal 2 4 21 2" xfId="7712"/>
    <cellStyle name="Normal 2 4 22" xfId="7699"/>
    <cellStyle name="Normal 2 4 3" xfId="2903"/>
    <cellStyle name="Normal 2 4 3 2" xfId="7713"/>
    <cellStyle name="Normal 2 4 4" xfId="2904"/>
    <cellStyle name="Normal 2 4 4 2" xfId="7714"/>
    <cellStyle name="Normal 2 4 5" xfId="2905"/>
    <cellStyle name="Normal 2 4 5 2" xfId="7715"/>
    <cellStyle name="Normal 2 4 6" xfId="2906"/>
    <cellStyle name="Normal 2 4 6 2" xfId="7716"/>
    <cellStyle name="Normal 2 4 7" xfId="2907"/>
    <cellStyle name="Normal 2 4 7 2" xfId="7717"/>
    <cellStyle name="Normal 2 4 8" xfId="2908"/>
    <cellStyle name="Normal 2 4 8 2" xfId="7718"/>
    <cellStyle name="Normal 2 4 9" xfId="2909"/>
    <cellStyle name="Normal 2 4 9 2" xfId="7719"/>
    <cellStyle name="Normal 2 5" xfId="2910"/>
    <cellStyle name="Normal 2 5 10" xfId="2911"/>
    <cellStyle name="Normal 2 5 10 2" xfId="7721"/>
    <cellStyle name="Normal 2 5 11" xfId="2912"/>
    <cellStyle name="Normal 2 5 11 2" xfId="7722"/>
    <cellStyle name="Normal 2 5 12" xfId="2913"/>
    <cellStyle name="Normal 2 5 12 2" xfId="7723"/>
    <cellStyle name="Normal 2 5 13" xfId="2914"/>
    <cellStyle name="Normal 2 5 13 2" xfId="7724"/>
    <cellStyle name="Normal 2 5 14" xfId="2915"/>
    <cellStyle name="Normal 2 5 14 2" xfId="7725"/>
    <cellStyle name="Normal 2 5 15" xfId="2916"/>
    <cellStyle name="Normal 2 5 15 2" xfId="7726"/>
    <cellStyle name="Normal 2 5 16" xfId="2917"/>
    <cellStyle name="Normal 2 5 16 2" xfId="7727"/>
    <cellStyle name="Normal 2 5 17" xfId="2918"/>
    <cellStyle name="Normal 2 5 17 2" xfId="7728"/>
    <cellStyle name="Normal 2 5 18" xfId="2919"/>
    <cellStyle name="Normal 2 5 18 2" xfId="7729"/>
    <cellStyle name="Normal 2 5 19" xfId="2920"/>
    <cellStyle name="Normal 2 5 19 2" xfId="7730"/>
    <cellStyle name="Normal 2 5 2" xfId="2921"/>
    <cellStyle name="Normal 2 5 2 2" xfId="7731"/>
    <cellStyle name="Normal 2 5 20" xfId="2922"/>
    <cellStyle name="Normal 2 5 20 2" xfId="7732"/>
    <cellStyle name="Normal 2 5 21" xfId="2923"/>
    <cellStyle name="Normal 2 5 21 2" xfId="7733"/>
    <cellStyle name="Normal 2 5 22" xfId="7720"/>
    <cellStyle name="Normal 2 5 3" xfId="2924"/>
    <cellStyle name="Normal 2 5 3 2" xfId="7734"/>
    <cellStyle name="Normal 2 5 4" xfId="2925"/>
    <cellStyle name="Normal 2 5 4 2" xfId="7735"/>
    <cellStyle name="Normal 2 5 5" xfId="2926"/>
    <cellStyle name="Normal 2 5 5 2" xfId="7736"/>
    <cellStyle name="Normal 2 5 6" xfId="2927"/>
    <cellStyle name="Normal 2 5 6 2" xfId="7737"/>
    <cellStyle name="Normal 2 5 7" xfId="2928"/>
    <cellStyle name="Normal 2 5 7 2" xfId="7738"/>
    <cellStyle name="Normal 2 5 8" xfId="2929"/>
    <cellStyle name="Normal 2 5 8 2" xfId="7739"/>
    <cellStyle name="Normal 2 5 9" xfId="2930"/>
    <cellStyle name="Normal 2 5 9 2" xfId="7740"/>
    <cellStyle name="Normal 2 6" xfId="2931"/>
    <cellStyle name="Normal 2 6 10" xfId="2932"/>
    <cellStyle name="Normal 2 6 10 2" xfId="7742"/>
    <cellStyle name="Normal 2 6 11" xfId="2933"/>
    <cellStyle name="Normal 2 6 11 2" xfId="7743"/>
    <cellStyle name="Normal 2 6 12" xfId="2934"/>
    <cellStyle name="Normal 2 6 12 2" xfId="7744"/>
    <cellStyle name="Normal 2 6 13" xfId="2935"/>
    <cellStyle name="Normal 2 6 13 2" xfId="7745"/>
    <cellStyle name="Normal 2 6 14" xfId="2936"/>
    <cellStyle name="Normal 2 6 14 2" xfId="7746"/>
    <cellStyle name="Normal 2 6 15" xfId="2937"/>
    <cellStyle name="Normal 2 6 15 2" xfId="7747"/>
    <cellStyle name="Normal 2 6 16" xfId="2938"/>
    <cellStyle name="Normal 2 6 16 2" xfId="7748"/>
    <cellStyle name="Normal 2 6 17" xfId="2939"/>
    <cellStyle name="Normal 2 6 17 2" xfId="7749"/>
    <cellStyle name="Normal 2 6 18" xfId="2940"/>
    <cellStyle name="Normal 2 6 18 2" xfId="7750"/>
    <cellStyle name="Normal 2 6 19" xfId="2941"/>
    <cellStyle name="Normal 2 6 19 2" xfId="7751"/>
    <cellStyle name="Normal 2 6 2" xfId="2942"/>
    <cellStyle name="Normal 2 6 2 2" xfId="7752"/>
    <cellStyle name="Normal 2 6 20" xfId="2943"/>
    <cellStyle name="Normal 2 6 20 2" xfId="7753"/>
    <cellStyle name="Normal 2 6 21" xfId="2944"/>
    <cellStyle name="Normal 2 6 21 2" xfId="7754"/>
    <cellStyle name="Normal 2 6 22" xfId="7741"/>
    <cellStyle name="Normal 2 6 3" xfId="2945"/>
    <cellStyle name="Normal 2 6 3 2" xfId="7755"/>
    <cellStyle name="Normal 2 6 4" xfId="2946"/>
    <cellStyle name="Normal 2 6 4 2" xfId="7756"/>
    <cellStyle name="Normal 2 6 5" xfId="2947"/>
    <cellStyle name="Normal 2 6 5 2" xfId="7757"/>
    <cellStyle name="Normal 2 6 6" xfId="2948"/>
    <cellStyle name="Normal 2 6 6 2" xfId="7758"/>
    <cellStyle name="Normal 2 6 7" xfId="2949"/>
    <cellStyle name="Normal 2 6 7 2" xfId="7759"/>
    <cellStyle name="Normal 2 6 8" xfId="2950"/>
    <cellStyle name="Normal 2 6 8 2" xfId="7760"/>
    <cellStyle name="Normal 2 6 9" xfId="2951"/>
    <cellStyle name="Normal 2 6 9 2" xfId="7761"/>
    <cellStyle name="Normal 2 7" xfId="2952"/>
    <cellStyle name="Normal 2 7 10" xfId="2953"/>
    <cellStyle name="Normal 2 7 10 2" xfId="7763"/>
    <cellStyle name="Normal 2 7 11" xfId="2954"/>
    <cellStyle name="Normal 2 7 11 2" xfId="7764"/>
    <cellStyle name="Normal 2 7 12" xfId="2955"/>
    <cellStyle name="Normal 2 7 12 2" xfId="7765"/>
    <cellStyle name="Normal 2 7 13" xfId="2956"/>
    <cellStyle name="Normal 2 7 13 2" xfId="7766"/>
    <cellStyle name="Normal 2 7 14" xfId="2957"/>
    <cellStyle name="Normal 2 7 14 2" xfId="7767"/>
    <cellStyle name="Normal 2 7 15" xfId="2958"/>
    <cellStyle name="Normal 2 7 15 2" xfId="7768"/>
    <cellStyle name="Normal 2 7 16" xfId="2959"/>
    <cellStyle name="Normal 2 7 16 2" xfId="7769"/>
    <cellStyle name="Normal 2 7 17" xfId="2960"/>
    <cellStyle name="Normal 2 7 17 2" xfId="7770"/>
    <cellStyle name="Normal 2 7 18" xfId="2961"/>
    <cellStyle name="Normal 2 7 18 2" xfId="7771"/>
    <cellStyle name="Normal 2 7 19" xfId="2962"/>
    <cellStyle name="Normal 2 7 19 2" xfId="7772"/>
    <cellStyle name="Normal 2 7 2" xfId="2963"/>
    <cellStyle name="Normal 2 7 2 2" xfId="7773"/>
    <cellStyle name="Normal 2 7 20" xfId="2964"/>
    <cellStyle name="Normal 2 7 20 2" xfId="7774"/>
    <cellStyle name="Normal 2 7 21" xfId="2965"/>
    <cellStyle name="Normal 2 7 21 2" xfId="7775"/>
    <cellStyle name="Normal 2 7 22" xfId="7762"/>
    <cellStyle name="Normal 2 7 3" xfId="2966"/>
    <cellStyle name="Normal 2 7 3 2" xfId="7776"/>
    <cellStyle name="Normal 2 7 4" xfId="2967"/>
    <cellStyle name="Normal 2 7 4 2" xfId="7777"/>
    <cellStyle name="Normal 2 7 5" xfId="2968"/>
    <cellStyle name="Normal 2 7 5 2" xfId="7778"/>
    <cellStyle name="Normal 2 7 6" xfId="2969"/>
    <cellStyle name="Normal 2 7 6 2" xfId="7779"/>
    <cellStyle name="Normal 2 7 7" xfId="2970"/>
    <cellStyle name="Normal 2 7 7 2" xfId="7780"/>
    <cellStyle name="Normal 2 7 8" xfId="2971"/>
    <cellStyle name="Normal 2 7 8 2" xfId="7781"/>
    <cellStyle name="Normal 2 7 9" xfId="2972"/>
    <cellStyle name="Normal 2 7 9 2" xfId="7782"/>
    <cellStyle name="Normal 2 8" xfId="2973"/>
    <cellStyle name="Normal 2 9" xfId="2974"/>
    <cellStyle name="Normal 2_CAN" xfId="2975"/>
    <cellStyle name="Normal 20" xfId="2976"/>
    <cellStyle name="Normal 20 10" xfId="2977"/>
    <cellStyle name="Normal 20 10 2" xfId="7784"/>
    <cellStyle name="Normal 20 11" xfId="2978"/>
    <cellStyle name="Normal 20 11 2" xfId="7785"/>
    <cellStyle name="Normal 20 12" xfId="2979"/>
    <cellStyle name="Normal 20 12 2" xfId="7786"/>
    <cellStyle name="Normal 20 13" xfId="2980"/>
    <cellStyle name="Normal 20 13 2" xfId="7787"/>
    <cellStyle name="Normal 20 14" xfId="2981"/>
    <cellStyle name="Normal 20 14 2" xfId="7788"/>
    <cellStyle name="Normal 20 15" xfId="2982"/>
    <cellStyle name="Normal 20 15 2" xfId="7789"/>
    <cellStyle name="Normal 20 16" xfId="2983"/>
    <cellStyle name="Normal 20 16 2" xfId="7790"/>
    <cellStyle name="Normal 20 17" xfId="2984"/>
    <cellStyle name="Normal 20 17 2" xfId="7791"/>
    <cellStyle name="Normal 20 18" xfId="2985"/>
    <cellStyle name="Normal 20 18 2" xfId="7792"/>
    <cellStyle name="Normal 20 19" xfId="2986"/>
    <cellStyle name="Normal 20 19 2" xfId="7793"/>
    <cellStyle name="Normal 20 2" xfId="2987"/>
    <cellStyle name="Normal 20 2 2" xfId="7794"/>
    <cellStyle name="Normal 20 20" xfId="2988"/>
    <cellStyle name="Normal 20 20 2" xfId="7795"/>
    <cellStyle name="Normal 20 21" xfId="2989"/>
    <cellStyle name="Normal 20 21 2" xfId="7796"/>
    <cellStyle name="Normal 20 22" xfId="2990"/>
    <cellStyle name="Normal 20 22 2" xfId="7797"/>
    <cellStyle name="Normal 20 23" xfId="7783"/>
    <cellStyle name="Normal 20 3" xfId="2991"/>
    <cellStyle name="Normal 20 3 2" xfId="7798"/>
    <cellStyle name="Normal 20 4" xfId="2992"/>
    <cellStyle name="Normal 20 4 2" xfId="7799"/>
    <cellStyle name="Normal 20 5" xfId="2993"/>
    <cellStyle name="Normal 20 5 2" xfId="7800"/>
    <cellStyle name="Normal 20 6" xfId="2994"/>
    <cellStyle name="Normal 20 6 2" xfId="7801"/>
    <cellStyle name="Normal 20 7" xfId="2995"/>
    <cellStyle name="Normal 20 7 2" xfId="7802"/>
    <cellStyle name="Normal 20 8" xfId="2996"/>
    <cellStyle name="Normal 20 8 2" xfId="7803"/>
    <cellStyle name="Normal 20 9" xfId="2997"/>
    <cellStyle name="Normal 20 9 2" xfId="7804"/>
    <cellStyle name="Normal 21" xfId="2998"/>
    <cellStyle name="Normal 21 10" xfId="2999"/>
    <cellStyle name="Normal 21 10 2" xfId="7806"/>
    <cellStyle name="Normal 21 11" xfId="3000"/>
    <cellStyle name="Normal 21 11 2" xfId="7807"/>
    <cellStyle name="Normal 21 12" xfId="3001"/>
    <cellStyle name="Normal 21 12 2" xfId="7808"/>
    <cellStyle name="Normal 21 13" xfId="3002"/>
    <cellStyle name="Normal 21 13 2" xfId="7809"/>
    <cellStyle name="Normal 21 14" xfId="3003"/>
    <cellStyle name="Normal 21 14 2" xfId="7810"/>
    <cellStyle name="Normal 21 15" xfId="3004"/>
    <cellStyle name="Normal 21 15 2" xfId="7811"/>
    <cellStyle name="Normal 21 16" xfId="3005"/>
    <cellStyle name="Normal 21 16 2" xfId="7812"/>
    <cellStyle name="Normal 21 17" xfId="3006"/>
    <cellStyle name="Normal 21 17 2" xfId="7813"/>
    <cellStyle name="Normal 21 18" xfId="3007"/>
    <cellStyle name="Normal 21 18 2" xfId="7814"/>
    <cellStyle name="Normal 21 19" xfId="3008"/>
    <cellStyle name="Normal 21 19 2" xfId="7815"/>
    <cellStyle name="Normal 21 2" xfId="3009"/>
    <cellStyle name="Normal 21 2 2" xfId="7816"/>
    <cellStyle name="Normal 21 20" xfId="3010"/>
    <cellStyle name="Normal 21 20 2" xfId="7817"/>
    <cellStyle name="Normal 21 21" xfId="3011"/>
    <cellStyle name="Normal 21 21 2" xfId="7818"/>
    <cellStyle name="Normal 21 22" xfId="3012"/>
    <cellStyle name="Normal 21 22 2" xfId="7819"/>
    <cellStyle name="Normal 21 23" xfId="7805"/>
    <cellStyle name="Normal 21 3" xfId="3013"/>
    <cellStyle name="Normal 21 3 2" xfId="7820"/>
    <cellStyle name="Normal 21 4" xfId="3014"/>
    <cellStyle name="Normal 21 4 2" xfId="7821"/>
    <cellStyle name="Normal 21 5" xfId="3015"/>
    <cellStyle name="Normal 21 5 2" xfId="7822"/>
    <cellStyle name="Normal 21 6" xfId="3016"/>
    <cellStyle name="Normal 21 6 2" xfId="7823"/>
    <cellStyle name="Normal 21 7" xfId="3017"/>
    <cellStyle name="Normal 21 7 2" xfId="7824"/>
    <cellStyle name="Normal 21 8" xfId="3018"/>
    <cellStyle name="Normal 21 8 2" xfId="7825"/>
    <cellStyle name="Normal 21 9" xfId="3019"/>
    <cellStyle name="Normal 21 9 2" xfId="7826"/>
    <cellStyle name="Normal 22" xfId="3020"/>
    <cellStyle name="Normal 229 3" xfId="12207"/>
    <cellStyle name="Normal 23" xfId="3021"/>
    <cellStyle name="Normal 24" xfId="3022"/>
    <cellStyle name="Normal 25" xfId="3023"/>
    <cellStyle name="Normal 25 10" xfId="3024"/>
    <cellStyle name="Normal 25 10 2" xfId="7828"/>
    <cellStyle name="Normal 25 11" xfId="3025"/>
    <cellStyle name="Normal 25 11 2" xfId="7829"/>
    <cellStyle name="Normal 25 12" xfId="3026"/>
    <cellStyle name="Normal 25 12 2" xfId="7830"/>
    <cellStyle name="Normal 25 13" xfId="3027"/>
    <cellStyle name="Normal 25 13 2" xfId="7831"/>
    <cellStyle name="Normal 25 14" xfId="3028"/>
    <cellStyle name="Normal 25 14 2" xfId="7832"/>
    <cellStyle name="Normal 25 15" xfId="3029"/>
    <cellStyle name="Normal 25 15 2" xfId="7833"/>
    <cellStyle name="Normal 25 16" xfId="3030"/>
    <cellStyle name="Normal 25 16 2" xfId="7834"/>
    <cellStyle name="Normal 25 17" xfId="3031"/>
    <cellStyle name="Normal 25 17 2" xfId="7835"/>
    <cellStyle name="Normal 25 18" xfId="3032"/>
    <cellStyle name="Normal 25 18 2" xfId="7836"/>
    <cellStyle name="Normal 25 19" xfId="3033"/>
    <cellStyle name="Normal 25 19 2" xfId="7837"/>
    <cellStyle name="Normal 25 2" xfId="3034"/>
    <cellStyle name="Normal 25 2 2" xfId="7838"/>
    <cellStyle name="Normal 25 20" xfId="3035"/>
    <cellStyle name="Normal 25 20 2" xfId="7839"/>
    <cellStyle name="Normal 25 21" xfId="3036"/>
    <cellStyle name="Normal 25 21 2" xfId="7840"/>
    <cellStyle name="Normal 25 22" xfId="3037"/>
    <cellStyle name="Normal 25 22 2" xfId="7841"/>
    <cellStyle name="Normal 25 23" xfId="7827"/>
    <cellStyle name="Normal 25 3" xfId="3038"/>
    <cellStyle name="Normal 25 3 2" xfId="7842"/>
    <cellStyle name="Normal 25 4" xfId="3039"/>
    <cellStyle name="Normal 25 4 2" xfId="7843"/>
    <cellStyle name="Normal 25 5" xfId="3040"/>
    <cellStyle name="Normal 25 5 2" xfId="7844"/>
    <cellStyle name="Normal 25 6" xfId="3041"/>
    <cellStyle name="Normal 25 6 2" xfId="7845"/>
    <cellStyle name="Normal 25 7" xfId="3042"/>
    <cellStyle name="Normal 25 7 2" xfId="7846"/>
    <cellStyle name="Normal 25 8" xfId="3043"/>
    <cellStyle name="Normal 25 8 2" xfId="7847"/>
    <cellStyle name="Normal 25 9" xfId="3044"/>
    <cellStyle name="Normal 25 9 2" xfId="7848"/>
    <cellStyle name="Normal 26" xfId="3045"/>
    <cellStyle name="Normal 26 10" xfId="3046"/>
    <cellStyle name="Normal 26 10 2" xfId="7850"/>
    <cellStyle name="Normal 26 11" xfId="3047"/>
    <cellStyle name="Normal 26 11 2" xfId="7851"/>
    <cellStyle name="Normal 26 12" xfId="3048"/>
    <cellStyle name="Normal 26 12 2" xfId="7852"/>
    <cellStyle name="Normal 26 13" xfId="3049"/>
    <cellStyle name="Normal 26 13 2" xfId="7853"/>
    <cellStyle name="Normal 26 14" xfId="3050"/>
    <cellStyle name="Normal 26 14 2" xfId="7854"/>
    <cellStyle name="Normal 26 15" xfId="3051"/>
    <cellStyle name="Normal 26 15 2" xfId="7855"/>
    <cellStyle name="Normal 26 16" xfId="3052"/>
    <cellStyle name="Normal 26 16 2" xfId="7856"/>
    <cellStyle name="Normal 26 17" xfId="3053"/>
    <cellStyle name="Normal 26 17 2" xfId="7857"/>
    <cellStyle name="Normal 26 18" xfId="3054"/>
    <cellStyle name="Normal 26 18 2" xfId="7858"/>
    <cellStyle name="Normal 26 19" xfId="3055"/>
    <cellStyle name="Normal 26 19 2" xfId="7859"/>
    <cellStyle name="Normal 26 2" xfId="3056"/>
    <cellStyle name="Normal 26 2 2" xfId="7860"/>
    <cellStyle name="Normal 26 20" xfId="3057"/>
    <cellStyle name="Normal 26 20 2" xfId="7861"/>
    <cellStyle name="Normal 26 21" xfId="3058"/>
    <cellStyle name="Normal 26 21 2" xfId="7862"/>
    <cellStyle name="Normal 26 22" xfId="3059"/>
    <cellStyle name="Normal 26 22 2" xfId="7863"/>
    <cellStyle name="Normal 26 23" xfId="7849"/>
    <cellStyle name="Normal 26 3" xfId="3060"/>
    <cellStyle name="Normal 26 3 2" xfId="7864"/>
    <cellStyle name="Normal 26 4" xfId="3061"/>
    <cellStyle name="Normal 26 4 2" xfId="7865"/>
    <cellStyle name="Normal 26 5" xfId="3062"/>
    <cellStyle name="Normal 26 5 2" xfId="7866"/>
    <cellStyle name="Normal 26 6" xfId="3063"/>
    <cellStyle name="Normal 26 6 2" xfId="7867"/>
    <cellStyle name="Normal 26 7" xfId="3064"/>
    <cellStyle name="Normal 26 7 2" xfId="7868"/>
    <cellStyle name="Normal 26 8" xfId="3065"/>
    <cellStyle name="Normal 26 8 2" xfId="7869"/>
    <cellStyle name="Normal 26 9" xfId="3066"/>
    <cellStyle name="Normal 26 9 2" xfId="7870"/>
    <cellStyle name="Normal 268 2" xfId="6173"/>
    <cellStyle name="Normal 27" xfId="3067"/>
    <cellStyle name="Normal 27 10" xfId="3068"/>
    <cellStyle name="Normal 27 10 2" xfId="7872"/>
    <cellStyle name="Normal 27 11" xfId="3069"/>
    <cellStyle name="Normal 27 11 2" xfId="7873"/>
    <cellStyle name="Normal 27 12" xfId="3070"/>
    <cellStyle name="Normal 27 12 2" xfId="7874"/>
    <cellStyle name="Normal 27 13" xfId="3071"/>
    <cellStyle name="Normal 27 13 2" xfId="7875"/>
    <cellStyle name="Normal 27 14" xfId="3072"/>
    <cellStyle name="Normal 27 14 2" xfId="7876"/>
    <cellStyle name="Normal 27 15" xfId="3073"/>
    <cellStyle name="Normal 27 15 2" xfId="7877"/>
    <cellStyle name="Normal 27 16" xfId="3074"/>
    <cellStyle name="Normal 27 16 2" xfId="7878"/>
    <cellStyle name="Normal 27 17" xfId="3075"/>
    <cellStyle name="Normal 27 17 2" xfId="7879"/>
    <cellStyle name="Normal 27 18" xfId="3076"/>
    <cellStyle name="Normal 27 18 2" xfId="7880"/>
    <cellStyle name="Normal 27 19" xfId="3077"/>
    <cellStyle name="Normal 27 19 2" xfId="7881"/>
    <cellStyle name="Normal 27 2" xfId="3078"/>
    <cellStyle name="Normal 27 2 2" xfId="7882"/>
    <cellStyle name="Normal 27 20" xfId="3079"/>
    <cellStyle name="Normal 27 20 2" xfId="7883"/>
    <cellStyle name="Normal 27 21" xfId="3080"/>
    <cellStyle name="Normal 27 21 2" xfId="7884"/>
    <cellStyle name="Normal 27 22" xfId="3081"/>
    <cellStyle name="Normal 27 22 2" xfId="7885"/>
    <cellStyle name="Normal 27 23" xfId="7871"/>
    <cellStyle name="Normal 27 3" xfId="3082"/>
    <cellStyle name="Normal 27 3 2" xfId="7886"/>
    <cellStyle name="Normal 27 4" xfId="3083"/>
    <cellStyle name="Normal 27 4 2" xfId="7887"/>
    <cellStyle name="Normal 27 5" xfId="3084"/>
    <cellStyle name="Normal 27 5 2" xfId="7888"/>
    <cellStyle name="Normal 27 6" xfId="3085"/>
    <cellStyle name="Normal 27 6 2" xfId="7889"/>
    <cellStyle name="Normal 27 7" xfId="3086"/>
    <cellStyle name="Normal 27 7 2" xfId="7890"/>
    <cellStyle name="Normal 27 8" xfId="3087"/>
    <cellStyle name="Normal 27 8 2" xfId="7891"/>
    <cellStyle name="Normal 27 9" xfId="3088"/>
    <cellStyle name="Normal 27 9 2" xfId="7892"/>
    <cellStyle name="Normal 270" xfId="6181"/>
    <cellStyle name="Normal 28" xfId="3089"/>
    <cellStyle name="Normal 28 10" xfId="3090"/>
    <cellStyle name="Normal 28 10 2" xfId="7894"/>
    <cellStyle name="Normal 28 11" xfId="3091"/>
    <cellStyle name="Normal 28 11 2" xfId="7895"/>
    <cellStyle name="Normal 28 12" xfId="3092"/>
    <cellStyle name="Normal 28 12 2" xfId="7896"/>
    <cellStyle name="Normal 28 13" xfId="3093"/>
    <cellStyle name="Normal 28 13 2" xfId="7897"/>
    <cellStyle name="Normal 28 14" xfId="3094"/>
    <cellStyle name="Normal 28 14 2" xfId="7898"/>
    <cellStyle name="Normal 28 15" xfId="3095"/>
    <cellStyle name="Normal 28 15 2" xfId="7899"/>
    <cellStyle name="Normal 28 16" xfId="3096"/>
    <cellStyle name="Normal 28 16 2" xfId="7900"/>
    <cellStyle name="Normal 28 17" xfId="3097"/>
    <cellStyle name="Normal 28 17 2" xfId="7901"/>
    <cellStyle name="Normal 28 18" xfId="3098"/>
    <cellStyle name="Normal 28 18 2" xfId="7902"/>
    <cellStyle name="Normal 28 19" xfId="3099"/>
    <cellStyle name="Normal 28 19 2" xfId="7903"/>
    <cellStyle name="Normal 28 2" xfId="3100"/>
    <cellStyle name="Normal 28 2 2" xfId="7904"/>
    <cellStyle name="Normal 28 20" xfId="3101"/>
    <cellStyle name="Normal 28 20 2" xfId="7905"/>
    <cellStyle name="Normal 28 21" xfId="3102"/>
    <cellStyle name="Normal 28 21 2" xfId="7906"/>
    <cellStyle name="Normal 28 22" xfId="3103"/>
    <cellStyle name="Normal 28 22 2" xfId="7907"/>
    <cellStyle name="Normal 28 23" xfId="7893"/>
    <cellStyle name="Normal 28 3" xfId="3104"/>
    <cellStyle name="Normal 28 3 2" xfId="7908"/>
    <cellStyle name="Normal 28 4" xfId="3105"/>
    <cellStyle name="Normal 28 4 2" xfId="7909"/>
    <cellStyle name="Normal 28 5" xfId="3106"/>
    <cellStyle name="Normal 28 5 2" xfId="7910"/>
    <cellStyle name="Normal 28 6" xfId="3107"/>
    <cellStyle name="Normal 28 6 2" xfId="7911"/>
    <cellStyle name="Normal 28 7" xfId="3108"/>
    <cellStyle name="Normal 28 7 2" xfId="7912"/>
    <cellStyle name="Normal 28 8" xfId="3109"/>
    <cellStyle name="Normal 28 8 2" xfId="7913"/>
    <cellStyle name="Normal 28 9" xfId="3110"/>
    <cellStyle name="Normal 28 9 2" xfId="7914"/>
    <cellStyle name="Normal 29" xfId="3111"/>
    <cellStyle name="Normal 29 10" xfId="3112"/>
    <cellStyle name="Normal 29 10 2" xfId="7916"/>
    <cellStyle name="Normal 29 11" xfId="3113"/>
    <cellStyle name="Normal 29 11 2" xfId="7917"/>
    <cellStyle name="Normal 29 12" xfId="3114"/>
    <cellStyle name="Normal 29 12 2" xfId="7918"/>
    <cellStyle name="Normal 29 13" xfId="3115"/>
    <cellStyle name="Normal 29 13 2" xfId="7919"/>
    <cellStyle name="Normal 29 14" xfId="3116"/>
    <cellStyle name="Normal 29 14 2" xfId="7920"/>
    <cellStyle name="Normal 29 15" xfId="3117"/>
    <cellStyle name="Normal 29 15 2" xfId="7921"/>
    <cellStyle name="Normal 29 16" xfId="3118"/>
    <cellStyle name="Normal 29 16 2" xfId="7922"/>
    <cellStyle name="Normal 29 17" xfId="3119"/>
    <cellStyle name="Normal 29 17 2" xfId="7923"/>
    <cellStyle name="Normal 29 18" xfId="3120"/>
    <cellStyle name="Normal 29 18 2" xfId="7924"/>
    <cellStyle name="Normal 29 19" xfId="3121"/>
    <cellStyle name="Normal 29 19 2" xfId="7925"/>
    <cellStyle name="Normal 29 2" xfId="3122"/>
    <cellStyle name="Normal 29 2 2" xfId="7926"/>
    <cellStyle name="Normal 29 20" xfId="3123"/>
    <cellStyle name="Normal 29 20 2" xfId="7927"/>
    <cellStyle name="Normal 29 21" xfId="3124"/>
    <cellStyle name="Normal 29 21 2" xfId="7928"/>
    <cellStyle name="Normal 29 22" xfId="3125"/>
    <cellStyle name="Normal 29 22 2" xfId="7929"/>
    <cellStyle name="Normal 29 23" xfId="7915"/>
    <cellStyle name="Normal 29 3" xfId="3126"/>
    <cellStyle name="Normal 29 3 2" xfId="7930"/>
    <cellStyle name="Normal 29 4" xfId="3127"/>
    <cellStyle name="Normal 29 4 2" xfId="7931"/>
    <cellStyle name="Normal 29 5" xfId="3128"/>
    <cellStyle name="Normal 29 5 2" xfId="7932"/>
    <cellStyle name="Normal 29 6" xfId="3129"/>
    <cellStyle name="Normal 29 6 2" xfId="7933"/>
    <cellStyle name="Normal 29 7" xfId="3130"/>
    <cellStyle name="Normal 29 7 2" xfId="7934"/>
    <cellStyle name="Normal 29 8" xfId="3131"/>
    <cellStyle name="Normal 29 8 2" xfId="7935"/>
    <cellStyle name="Normal 29 9" xfId="3132"/>
    <cellStyle name="Normal 29 9 2" xfId="7936"/>
    <cellStyle name="Normal 293" xfId="6175"/>
    <cellStyle name="Normal 294" xfId="6179"/>
    <cellStyle name="Normal 3" xfId="3133"/>
    <cellStyle name="Normal 3 10" xfId="3134"/>
    <cellStyle name="Normal 3 10 2" xfId="7938"/>
    <cellStyle name="Normal 3 11" xfId="3135"/>
    <cellStyle name="Normal 3 11 2" xfId="7939"/>
    <cellStyle name="Normal 3 12" xfId="3136"/>
    <cellStyle name="Normal 3 12 2" xfId="7940"/>
    <cellStyle name="Normal 3 13" xfId="3137"/>
    <cellStyle name="Normal 3 13 2" xfId="7941"/>
    <cellStyle name="Normal 3 14" xfId="3138"/>
    <cellStyle name="Normal 3 14 2" xfId="7942"/>
    <cellStyle name="Normal 3 15" xfId="3139"/>
    <cellStyle name="Normal 3 15 2" xfId="7943"/>
    <cellStyle name="Normal 3 16" xfId="3140"/>
    <cellStyle name="Normal 3 16 2" xfId="7944"/>
    <cellStyle name="Normal 3 17" xfId="3141"/>
    <cellStyle name="Normal 3 17 2" xfId="7945"/>
    <cellStyle name="Normal 3 18" xfId="3142"/>
    <cellStyle name="Normal 3 18 2" xfId="7946"/>
    <cellStyle name="Normal 3 19" xfId="3143"/>
    <cellStyle name="Normal 3 19 2" xfId="7947"/>
    <cellStyle name="Normal 3 2" xfId="3144"/>
    <cellStyle name="Normal 3 2 2" xfId="3145"/>
    <cellStyle name="Normal 3 20" xfId="3146"/>
    <cellStyle name="Normal 3 20 2" xfId="7948"/>
    <cellStyle name="Normal 3 21" xfId="3147"/>
    <cellStyle name="Normal 3 21 2" xfId="7949"/>
    <cellStyle name="Normal 3 22" xfId="3148"/>
    <cellStyle name="Normal 3 22 2" xfId="7950"/>
    <cellStyle name="Normal 3 23" xfId="3149"/>
    <cellStyle name="Normal 3 23 2" xfId="7951"/>
    <cellStyle name="Normal 3 24" xfId="3150"/>
    <cellStyle name="Normal 3 24 2" xfId="7952"/>
    <cellStyle name="Normal 3 25" xfId="3151"/>
    <cellStyle name="Normal 3 25 2" xfId="7953"/>
    <cellStyle name="Normal 3 26" xfId="3152"/>
    <cellStyle name="Normal 3 26 2" xfId="7954"/>
    <cellStyle name="Normal 3 27" xfId="3153"/>
    <cellStyle name="Normal 3 27 2" xfId="7955"/>
    <cellStyle name="Normal 3 28" xfId="3154"/>
    <cellStyle name="Normal 3 28 2" xfId="7956"/>
    <cellStyle name="Normal 3 29" xfId="7937"/>
    <cellStyle name="Normal 3 3" xfId="3155"/>
    <cellStyle name="Normal 3 4" xfId="3156"/>
    <cellStyle name="Normal 3 5" xfId="3157"/>
    <cellStyle name="Normal 3 6" xfId="3158"/>
    <cellStyle name="Normal 3 7" xfId="3159"/>
    <cellStyle name="Normal 3 8" xfId="3160"/>
    <cellStyle name="Normal 3 8 2" xfId="7957"/>
    <cellStyle name="Normal 3 9" xfId="3161"/>
    <cellStyle name="Normal 3 9 2" xfId="7958"/>
    <cellStyle name="Normal 3_nam 2016" xfId="3162"/>
    <cellStyle name="Normal 30" xfId="3163"/>
    <cellStyle name="Normal 30 2" xfId="3164"/>
    <cellStyle name="Normal 304" xfId="6184"/>
    <cellStyle name="Normal 31" xfId="3165"/>
    <cellStyle name="Normal 31 2" xfId="7959"/>
    <cellStyle name="Normal 315" xfId="6169"/>
    <cellStyle name="Normal 317" xfId="6172"/>
    <cellStyle name="Normal 319" xfId="6174"/>
    <cellStyle name="Normal 32" xfId="3166"/>
    <cellStyle name="Normal 32 2" xfId="7960"/>
    <cellStyle name="Normal 321" xfId="6166"/>
    <cellStyle name="Normal 322" xfId="6167"/>
    <cellStyle name="Normal 326" xfId="6178"/>
    <cellStyle name="Normal 33" xfId="3167"/>
    <cellStyle name="Normal 33 2" xfId="7961"/>
    <cellStyle name="Normal 34" xfId="3168"/>
    <cellStyle name="Normal 34 2" xfId="7962"/>
    <cellStyle name="Normal 35" xfId="3169"/>
    <cellStyle name="Normal 35 2" xfId="7963"/>
    <cellStyle name="Normal 36" xfId="3170"/>
    <cellStyle name="Normal 36 2" xfId="7964"/>
    <cellStyle name="Normal 36 2 2" xfId="12206"/>
    <cellStyle name="Normal 37" xfId="3171"/>
    <cellStyle name="Normal 37 2" xfId="7965"/>
    <cellStyle name="Normal 38" xfId="3172"/>
    <cellStyle name="Normal 38 2" xfId="7966"/>
    <cellStyle name="Normal 39" xfId="5107"/>
    <cellStyle name="Normal 39 2" xfId="9762"/>
    <cellStyle name="Normal 4" xfId="3173"/>
    <cellStyle name="Normal 4 10" xfId="3174"/>
    <cellStyle name="Normal 4 10 2" xfId="7968"/>
    <cellStyle name="Normal 4 11" xfId="3175"/>
    <cellStyle name="Normal 4 11 2" xfId="7969"/>
    <cellStyle name="Normal 4 12" xfId="3176"/>
    <cellStyle name="Normal 4 12 2" xfId="7970"/>
    <cellStyle name="Normal 4 13" xfId="3177"/>
    <cellStyle name="Normal 4 13 2" xfId="7971"/>
    <cellStyle name="Normal 4 14" xfId="3178"/>
    <cellStyle name="Normal 4 14 2" xfId="7972"/>
    <cellStyle name="Normal 4 15" xfId="3179"/>
    <cellStyle name="Normal 4 15 2" xfId="7973"/>
    <cellStyle name="Normal 4 16" xfId="3180"/>
    <cellStyle name="Normal 4 16 2" xfId="7974"/>
    <cellStyle name="Normal 4 17" xfId="3181"/>
    <cellStyle name="Normal 4 17 2" xfId="7975"/>
    <cellStyle name="Normal 4 18" xfId="3182"/>
    <cellStyle name="Normal 4 18 2" xfId="7976"/>
    <cellStyle name="Normal 4 19" xfId="3183"/>
    <cellStyle name="Normal 4 19 2" xfId="7977"/>
    <cellStyle name="Normal 4 2" xfId="3184"/>
    <cellStyle name="Normal 4 2 2" xfId="7978"/>
    <cellStyle name="Normal 4 20" xfId="3185"/>
    <cellStyle name="Normal 4 20 2" xfId="7979"/>
    <cellStyle name="Normal 4 21" xfId="3186"/>
    <cellStyle name="Normal 4 21 2" xfId="7980"/>
    <cellStyle name="Normal 4 22" xfId="3187"/>
    <cellStyle name="Normal 4 22 2" xfId="7981"/>
    <cellStyle name="Normal 4 23" xfId="7967"/>
    <cellStyle name="Normal 4 3" xfId="3188"/>
    <cellStyle name="Normal 4 3 2" xfId="7982"/>
    <cellStyle name="Normal 4 4" xfId="3189"/>
    <cellStyle name="Normal 4 4 2" xfId="7983"/>
    <cellStyle name="Normal 4 5" xfId="3190"/>
    <cellStyle name="Normal 4 5 2" xfId="7984"/>
    <cellStyle name="Normal 4 6" xfId="3191"/>
    <cellStyle name="Normal 4 6 2" xfId="7985"/>
    <cellStyle name="Normal 4 7" xfId="3192"/>
    <cellStyle name="Normal 4 7 2" xfId="7986"/>
    <cellStyle name="Normal 4 8" xfId="3193"/>
    <cellStyle name="Normal 4 8 2" xfId="7987"/>
    <cellStyle name="Normal 4 9" xfId="3194"/>
    <cellStyle name="Normal 4 9 2" xfId="7988"/>
    <cellStyle name="Normal 40" xfId="5112"/>
    <cellStyle name="Normal 40 2" xfId="9767"/>
    <cellStyle name="Normal 41" xfId="6159"/>
    <cellStyle name="Normal 41 2" xfId="10814"/>
    <cellStyle name="Normal 42" xfId="8659"/>
    <cellStyle name="Normal 42 3" xfId="6180"/>
    <cellStyle name="Normal 43" xfId="11977"/>
    <cellStyle name="Normal 44" xfId="6826"/>
    <cellStyle name="Normal 45" xfId="12198"/>
    <cellStyle name="Normal 46" xfId="12211"/>
    <cellStyle name="Normal 47" xfId="12215"/>
    <cellStyle name="Normal 48 3" xfId="6183"/>
    <cellStyle name="Normal 5" xfId="3195"/>
    <cellStyle name="Normal 5 10" xfId="3196"/>
    <cellStyle name="Normal 5 10 2" xfId="7990"/>
    <cellStyle name="Normal 5 11" xfId="3197"/>
    <cellStyle name="Normal 5 11 2" xfId="7991"/>
    <cellStyle name="Normal 5 12" xfId="3198"/>
    <cellStyle name="Normal 5 12 2" xfId="7992"/>
    <cellStyle name="Normal 5 13" xfId="3199"/>
    <cellStyle name="Normal 5 13 2" xfId="7993"/>
    <cellStyle name="Normal 5 14" xfId="3200"/>
    <cellStyle name="Normal 5 14 2" xfId="7994"/>
    <cellStyle name="Normal 5 15" xfId="3201"/>
    <cellStyle name="Normal 5 15 2" xfId="7995"/>
    <cellStyle name="Normal 5 16" xfId="3202"/>
    <cellStyle name="Normal 5 16 2" xfId="7996"/>
    <cellStyle name="Normal 5 17" xfId="3203"/>
    <cellStyle name="Normal 5 17 2" xfId="7997"/>
    <cellStyle name="Normal 5 18" xfId="3204"/>
    <cellStyle name="Normal 5 18 2" xfId="7998"/>
    <cellStyle name="Normal 5 19" xfId="3205"/>
    <cellStyle name="Normal 5 19 2" xfId="7999"/>
    <cellStyle name="Normal 5 2" xfId="3206"/>
    <cellStyle name="Normal 5 20" xfId="3207"/>
    <cellStyle name="Normal 5 20 2" xfId="8000"/>
    <cellStyle name="Normal 5 21" xfId="3208"/>
    <cellStyle name="Normal 5 21 2" xfId="8001"/>
    <cellStyle name="Normal 5 22" xfId="3209"/>
    <cellStyle name="Normal 5 22 2" xfId="8002"/>
    <cellStyle name="Normal 5 23" xfId="3210"/>
    <cellStyle name="Normal 5 23 2" xfId="8003"/>
    <cellStyle name="Normal 5 24" xfId="3211"/>
    <cellStyle name="Normal 5 24 2" xfId="8004"/>
    <cellStyle name="Normal 5 25" xfId="3212"/>
    <cellStyle name="Normal 5 25 2" xfId="8005"/>
    <cellStyle name="Normal 5 26" xfId="3213"/>
    <cellStyle name="Normal 5 26 2" xfId="8006"/>
    <cellStyle name="Normal 5 27" xfId="3214"/>
    <cellStyle name="Normal 5 27 2" xfId="8007"/>
    <cellStyle name="Normal 5 28" xfId="7989"/>
    <cellStyle name="Normal 5 3" xfId="3215"/>
    <cellStyle name="Normal 5 4" xfId="3216"/>
    <cellStyle name="Normal 5 5" xfId="3217"/>
    <cellStyle name="Normal 5 6" xfId="3218"/>
    <cellStyle name="Normal 5 7" xfId="3219"/>
    <cellStyle name="Normal 5 7 2" xfId="8008"/>
    <cellStyle name="Normal 5 8" xfId="3220"/>
    <cellStyle name="Normal 5 8 2" xfId="8009"/>
    <cellStyle name="Normal 5 9" xfId="3221"/>
    <cellStyle name="Normal 5 9 2" xfId="8010"/>
    <cellStyle name="Normal 5_nam 2016" xfId="3222"/>
    <cellStyle name="Normal 54 3" xfId="6177"/>
    <cellStyle name="Normal 54 3 2" xfId="12212"/>
    <cellStyle name="Normal 6" xfId="3223"/>
    <cellStyle name="Normal 6 10" xfId="3224"/>
    <cellStyle name="Normal 6 10 2" xfId="8012"/>
    <cellStyle name="Normal 6 11" xfId="3225"/>
    <cellStyle name="Normal 6 11 2" xfId="8013"/>
    <cellStyle name="Normal 6 12" xfId="3226"/>
    <cellStyle name="Normal 6 12 2" xfId="8014"/>
    <cellStyle name="Normal 6 13" xfId="3227"/>
    <cellStyle name="Normal 6 13 2" xfId="8015"/>
    <cellStyle name="Normal 6 14" xfId="3228"/>
    <cellStyle name="Normal 6 14 2" xfId="8016"/>
    <cellStyle name="Normal 6 15" xfId="3229"/>
    <cellStyle name="Normal 6 15 2" xfId="8017"/>
    <cellStyle name="Normal 6 16" xfId="3230"/>
    <cellStyle name="Normal 6 16 2" xfId="8018"/>
    <cellStyle name="Normal 6 17" xfId="3231"/>
    <cellStyle name="Normal 6 17 2" xfId="8019"/>
    <cellStyle name="Normal 6 18" xfId="3232"/>
    <cellStyle name="Normal 6 18 2" xfId="8020"/>
    <cellStyle name="Normal 6 19" xfId="3233"/>
    <cellStyle name="Normal 6 19 2" xfId="8021"/>
    <cellStyle name="Normal 6 2" xfId="3234"/>
    <cellStyle name="Normal 6 20" xfId="3235"/>
    <cellStyle name="Normal 6 20 2" xfId="8022"/>
    <cellStyle name="Normal 6 21" xfId="3236"/>
    <cellStyle name="Normal 6 21 2" xfId="8023"/>
    <cellStyle name="Normal 6 22" xfId="3237"/>
    <cellStyle name="Normal 6 22 2" xfId="8024"/>
    <cellStyle name="Normal 6 23" xfId="3238"/>
    <cellStyle name="Normal 6 23 2" xfId="8025"/>
    <cellStyle name="Normal 6 24" xfId="3239"/>
    <cellStyle name="Normal 6 24 2" xfId="8026"/>
    <cellStyle name="Normal 6 25" xfId="3240"/>
    <cellStyle name="Normal 6 25 2" xfId="8027"/>
    <cellStyle name="Normal 6 26" xfId="3241"/>
    <cellStyle name="Normal 6 26 2" xfId="8028"/>
    <cellStyle name="Normal 6 27" xfId="3242"/>
    <cellStyle name="Normal 6 27 2" xfId="8029"/>
    <cellStyle name="Normal 6 28" xfId="8011"/>
    <cellStyle name="Normal 6 3" xfId="3243"/>
    <cellStyle name="Normal 6 4" xfId="3244"/>
    <cellStyle name="Normal 6 5" xfId="3245"/>
    <cellStyle name="Normal 6 6" xfId="3246"/>
    <cellStyle name="Normal 6 7" xfId="3247"/>
    <cellStyle name="Normal 6 7 2" xfId="8030"/>
    <cellStyle name="Normal 6 8" xfId="3248"/>
    <cellStyle name="Normal 6 8 2" xfId="8031"/>
    <cellStyle name="Normal 6 9" xfId="3249"/>
    <cellStyle name="Normal 6 9 2" xfId="8032"/>
    <cellStyle name="Normal 6_nam 2016" xfId="3250"/>
    <cellStyle name="Normal 60" xfId="12208"/>
    <cellStyle name="Normal 61 2" xfId="6182"/>
    <cellStyle name="Normal 7" xfId="3251"/>
    <cellStyle name="Normal 7 2" xfId="3252"/>
    <cellStyle name="Normal 7 3" xfId="3253"/>
    <cellStyle name="Normal 7 4" xfId="3254"/>
    <cellStyle name="Normal 7 5" xfId="3255"/>
    <cellStyle name="Normal 7 6" xfId="3256"/>
    <cellStyle name="Normal 7_nam 2016" xfId="3257"/>
    <cellStyle name="Normal 8" xfId="3258"/>
    <cellStyle name="Normal 8 10" xfId="3259"/>
    <cellStyle name="Normal 8 10 2" xfId="8034"/>
    <cellStyle name="Normal 8 11" xfId="3260"/>
    <cellStyle name="Normal 8 11 2" xfId="8035"/>
    <cellStyle name="Normal 8 12" xfId="3261"/>
    <cellStyle name="Normal 8 12 2" xfId="8036"/>
    <cellStyle name="Normal 8 13" xfId="3262"/>
    <cellStyle name="Normal 8 13 2" xfId="8037"/>
    <cellStyle name="Normal 8 14" xfId="3263"/>
    <cellStyle name="Normal 8 14 2" xfId="8038"/>
    <cellStyle name="Normal 8 15" xfId="3264"/>
    <cellStyle name="Normal 8 15 2" xfId="8039"/>
    <cellStyle name="Normal 8 16" xfId="3265"/>
    <cellStyle name="Normal 8 16 2" xfId="8040"/>
    <cellStyle name="Normal 8 17" xfId="3266"/>
    <cellStyle name="Normal 8 17 2" xfId="8041"/>
    <cellStyle name="Normal 8 18" xfId="3267"/>
    <cellStyle name="Normal 8 18 2" xfId="8042"/>
    <cellStyle name="Normal 8 19" xfId="3268"/>
    <cellStyle name="Normal 8 19 2" xfId="8043"/>
    <cellStyle name="Normal 8 2" xfId="3269"/>
    <cellStyle name="Normal 8 2 2" xfId="8044"/>
    <cellStyle name="Normal 8 20" xfId="3270"/>
    <cellStyle name="Normal 8 20 2" xfId="8045"/>
    <cellStyle name="Normal 8 21" xfId="3271"/>
    <cellStyle name="Normal 8 21 2" xfId="8046"/>
    <cellStyle name="Normal 8 22" xfId="3272"/>
    <cellStyle name="Normal 8 22 2" xfId="8047"/>
    <cellStyle name="Normal 8 23" xfId="8033"/>
    <cellStyle name="Normal 8 3" xfId="3273"/>
    <cellStyle name="Normal 8 3 2" xfId="8048"/>
    <cellStyle name="Normal 8 4" xfId="3274"/>
    <cellStyle name="Normal 8 4 2" xfId="8049"/>
    <cellStyle name="Normal 8 5" xfId="3275"/>
    <cellStyle name="Normal 8 5 2" xfId="8050"/>
    <cellStyle name="Normal 8 6" xfId="3276"/>
    <cellStyle name="Normal 8 6 2" xfId="8051"/>
    <cellStyle name="Normal 8 7" xfId="3277"/>
    <cellStyle name="Normal 8 7 2" xfId="8052"/>
    <cellStyle name="Normal 8 8" xfId="3278"/>
    <cellStyle name="Normal 8 8 2" xfId="8053"/>
    <cellStyle name="Normal 8 9" xfId="3279"/>
    <cellStyle name="Normal 8 9 2" xfId="8054"/>
    <cellStyle name="Normal 9" xfId="3280"/>
    <cellStyle name="Normal 9 10" xfId="3281"/>
    <cellStyle name="Normal 9 10 2" xfId="8056"/>
    <cellStyle name="Normal 9 11" xfId="3282"/>
    <cellStyle name="Normal 9 11 2" xfId="8057"/>
    <cellStyle name="Normal 9 12" xfId="3283"/>
    <cellStyle name="Normal 9 12 2" xfId="8058"/>
    <cellStyle name="Normal 9 13" xfId="3284"/>
    <cellStyle name="Normal 9 13 2" xfId="8059"/>
    <cellStyle name="Normal 9 14" xfId="3285"/>
    <cellStyle name="Normal 9 14 2" xfId="8060"/>
    <cellStyle name="Normal 9 15" xfId="3286"/>
    <cellStyle name="Normal 9 15 2" xfId="8061"/>
    <cellStyle name="Normal 9 16" xfId="3287"/>
    <cellStyle name="Normal 9 16 2" xfId="8062"/>
    <cellStyle name="Normal 9 17" xfId="3288"/>
    <cellStyle name="Normal 9 17 2" xfId="8063"/>
    <cellStyle name="Normal 9 18" xfId="3289"/>
    <cellStyle name="Normal 9 18 2" xfId="8064"/>
    <cellStyle name="Normal 9 19" xfId="3290"/>
    <cellStyle name="Normal 9 19 2" xfId="8065"/>
    <cellStyle name="Normal 9 2" xfId="3291"/>
    <cellStyle name="Normal 9 2 2" xfId="8066"/>
    <cellStyle name="Normal 9 20" xfId="3292"/>
    <cellStyle name="Normal 9 20 2" xfId="8067"/>
    <cellStyle name="Normal 9 21" xfId="3293"/>
    <cellStyle name="Normal 9 21 2" xfId="8068"/>
    <cellStyle name="Normal 9 22" xfId="3294"/>
    <cellStyle name="Normal 9 22 2" xfId="8069"/>
    <cellStyle name="Normal 9 23" xfId="8055"/>
    <cellStyle name="Normal 9 3" xfId="3295"/>
    <cellStyle name="Normal 9 3 2" xfId="8070"/>
    <cellStyle name="Normal 9 4" xfId="3296"/>
    <cellStyle name="Normal 9 4 2" xfId="8071"/>
    <cellStyle name="Normal 9 5" xfId="3297"/>
    <cellStyle name="Normal 9 5 2" xfId="8072"/>
    <cellStyle name="Normal 9 6" xfId="3298"/>
    <cellStyle name="Normal 9 6 2" xfId="8073"/>
    <cellStyle name="Normal 9 7" xfId="3299"/>
    <cellStyle name="Normal 9 7 2" xfId="8074"/>
    <cellStyle name="Normal 9 8" xfId="3300"/>
    <cellStyle name="Normal 9 8 2" xfId="8075"/>
    <cellStyle name="Normal 9 9" xfId="3301"/>
    <cellStyle name="Normal 9 9 2" xfId="8076"/>
    <cellStyle name="Normal_10" xfId="12213"/>
    <cellStyle name="Normal_10CHUAN" xfId="6160"/>
    <cellStyle name="Normal_10CHUAN 2 2" xfId="6162"/>
    <cellStyle name="Normal_BIEU-CC1" xfId="12210"/>
    <cellStyle name="Normal_Cong hoa" xfId="6164"/>
    <cellStyle name="Normal_Dong mai" xfId="6165"/>
    <cellStyle name="Normal_Sheet1" xfId="12214"/>
    <cellStyle name="Normal_Sheet1 2 2" xfId="6163"/>
    <cellStyle name="Normal_Sheet1_1" xfId="6176"/>
    <cellStyle name="Normal_Sheet2" xfId="6161"/>
    <cellStyle name="Normal1" xfId="3302"/>
    <cellStyle name="Note" xfId="3303" builtinId="10" customBuiltin="1"/>
    <cellStyle name="Note 10" xfId="3304"/>
    <cellStyle name="Note 10 10" xfId="3305"/>
    <cellStyle name="Note 10 10 2" xfId="8079"/>
    <cellStyle name="Note 10 10 3" xfId="11449"/>
    <cellStyle name="Note 10 10 4" xfId="11615"/>
    <cellStyle name="Note 10 11" xfId="3306"/>
    <cellStyle name="Note 10 11 2" xfId="8080"/>
    <cellStyle name="Note 10 11 3" xfId="11448"/>
    <cellStyle name="Note 10 11 4" xfId="11616"/>
    <cellStyle name="Note 10 12" xfId="3307"/>
    <cellStyle name="Note 10 12 2" xfId="8081"/>
    <cellStyle name="Note 10 12 3" xfId="11447"/>
    <cellStyle name="Note 10 12 4" xfId="11617"/>
    <cellStyle name="Note 10 13" xfId="3308"/>
    <cellStyle name="Note 10 13 2" xfId="8082"/>
    <cellStyle name="Note 10 13 3" xfId="11446"/>
    <cellStyle name="Note 10 13 4" xfId="11618"/>
    <cellStyle name="Note 10 14" xfId="3309"/>
    <cellStyle name="Note 10 14 2" xfId="8083"/>
    <cellStyle name="Note 10 14 3" xfId="11445"/>
    <cellStyle name="Note 10 14 4" xfId="11619"/>
    <cellStyle name="Note 10 15" xfId="3310"/>
    <cellStyle name="Note 10 15 2" xfId="8084"/>
    <cellStyle name="Note 10 15 3" xfId="11444"/>
    <cellStyle name="Note 10 15 4" xfId="11620"/>
    <cellStyle name="Note 10 16" xfId="3311"/>
    <cellStyle name="Note 10 16 2" xfId="8085"/>
    <cellStyle name="Note 10 16 3" xfId="11443"/>
    <cellStyle name="Note 10 16 4" xfId="11621"/>
    <cellStyle name="Note 10 17" xfId="3312"/>
    <cellStyle name="Note 10 17 2" xfId="8086"/>
    <cellStyle name="Note 10 17 3" xfId="11442"/>
    <cellStyle name="Note 10 17 4" xfId="11622"/>
    <cellStyle name="Note 10 18" xfId="3313"/>
    <cellStyle name="Note 10 18 2" xfId="8087"/>
    <cellStyle name="Note 10 18 3" xfId="11441"/>
    <cellStyle name="Note 10 18 4" xfId="11623"/>
    <cellStyle name="Note 10 19" xfId="3314"/>
    <cellStyle name="Note 10 19 2" xfId="8088"/>
    <cellStyle name="Note 10 19 3" xfId="11440"/>
    <cellStyle name="Note 10 19 4" xfId="11624"/>
    <cellStyle name="Note 10 2" xfId="3315"/>
    <cellStyle name="Note 10 2 2" xfId="8089"/>
    <cellStyle name="Note 10 2 3" xfId="11439"/>
    <cellStyle name="Note 10 2 4" xfId="11625"/>
    <cellStyle name="Note 10 20" xfId="3316"/>
    <cellStyle name="Note 10 20 2" xfId="8090"/>
    <cellStyle name="Note 10 20 3" xfId="11438"/>
    <cellStyle name="Note 10 20 4" xfId="11626"/>
    <cellStyle name="Note 10 21" xfId="3317"/>
    <cellStyle name="Note 10 21 2" xfId="8091"/>
    <cellStyle name="Note 10 21 3" xfId="11437"/>
    <cellStyle name="Note 10 21 4" xfId="11627"/>
    <cellStyle name="Note 10 22" xfId="8078"/>
    <cellStyle name="Note 10 23" xfId="11450"/>
    <cellStyle name="Note 10 24" xfId="11614"/>
    <cellStyle name="Note 10 3" xfId="3318"/>
    <cellStyle name="Note 10 3 2" xfId="8092"/>
    <cellStyle name="Note 10 3 3" xfId="11436"/>
    <cellStyle name="Note 10 3 4" xfId="11628"/>
    <cellStyle name="Note 10 4" xfId="3319"/>
    <cellStyle name="Note 10 4 2" xfId="8093"/>
    <cellStyle name="Note 10 4 3" xfId="11435"/>
    <cellStyle name="Note 10 4 4" xfId="11629"/>
    <cellStyle name="Note 10 5" xfId="3320"/>
    <cellStyle name="Note 10 5 2" xfId="8094"/>
    <cellStyle name="Note 10 5 3" xfId="11434"/>
    <cellStyle name="Note 10 5 4" xfId="11630"/>
    <cellStyle name="Note 10 6" xfId="3321"/>
    <cellStyle name="Note 10 6 2" xfId="8095"/>
    <cellStyle name="Note 10 6 3" xfId="11433"/>
    <cellStyle name="Note 10 6 4" xfId="11631"/>
    <cellStyle name="Note 10 7" xfId="3322"/>
    <cellStyle name="Note 10 7 2" xfId="8096"/>
    <cellStyle name="Note 10 7 3" xfId="11432"/>
    <cellStyle name="Note 10 7 4" xfId="11632"/>
    <cellStyle name="Note 10 8" xfId="3323"/>
    <cellStyle name="Note 10 8 2" xfId="8097"/>
    <cellStyle name="Note 10 8 3" xfId="11431"/>
    <cellStyle name="Note 10 8 4" xfId="11633"/>
    <cellStyle name="Note 10 9" xfId="3324"/>
    <cellStyle name="Note 10 9 2" xfId="8098"/>
    <cellStyle name="Note 10 9 3" xfId="11430"/>
    <cellStyle name="Note 10 9 4" xfId="11634"/>
    <cellStyle name="Note 11" xfId="3325"/>
    <cellStyle name="Note 11 10" xfId="3326"/>
    <cellStyle name="Note 11 10 2" xfId="8100"/>
    <cellStyle name="Note 11 10 3" xfId="11428"/>
    <cellStyle name="Note 11 10 4" xfId="11636"/>
    <cellStyle name="Note 11 11" xfId="3327"/>
    <cellStyle name="Note 11 11 2" xfId="8101"/>
    <cellStyle name="Note 11 11 3" xfId="11427"/>
    <cellStyle name="Note 11 11 4" xfId="11637"/>
    <cellStyle name="Note 11 12" xfId="3328"/>
    <cellStyle name="Note 11 12 2" xfId="8102"/>
    <cellStyle name="Note 11 12 3" xfId="11426"/>
    <cellStyle name="Note 11 12 4" xfId="11638"/>
    <cellStyle name="Note 11 13" xfId="3329"/>
    <cellStyle name="Note 11 13 2" xfId="8103"/>
    <cellStyle name="Note 11 13 3" xfId="11425"/>
    <cellStyle name="Note 11 13 4" xfId="11639"/>
    <cellStyle name="Note 11 14" xfId="3330"/>
    <cellStyle name="Note 11 14 2" xfId="8104"/>
    <cellStyle name="Note 11 14 3" xfId="11424"/>
    <cellStyle name="Note 11 14 4" xfId="11640"/>
    <cellStyle name="Note 11 15" xfId="3331"/>
    <cellStyle name="Note 11 15 2" xfId="8105"/>
    <cellStyle name="Note 11 15 3" xfId="11423"/>
    <cellStyle name="Note 11 15 4" xfId="11641"/>
    <cellStyle name="Note 11 16" xfId="3332"/>
    <cellStyle name="Note 11 16 2" xfId="8106"/>
    <cellStyle name="Note 11 16 3" xfId="11422"/>
    <cellStyle name="Note 11 16 4" xfId="11642"/>
    <cellStyle name="Note 11 17" xfId="3333"/>
    <cellStyle name="Note 11 17 2" xfId="8107"/>
    <cellStyle name="Note 11 17 3" xfId="11421"/>
    <cellStyle name="Note 11 17 4" xfId="11643"/>
    <cellStyle name="Note 11 18" xfId="3334"/>
    <cellStyle name="Note 11 18 2" xfId="8108"/>
    <cellStyle name="Note 11 18 3" xfId="11420"/>
    <cellStyle name="Note 11 18 4" xfId="11644"/>
    <cellStyle name="Note 11 19" xfId="3335"/>
    <cellStyle name="Note 11 19 2" xfId="8109"/>
    <cellStyle name="Note 11 19 3" xfId="11419"/>
    <cellStyle name="Note 11 19 4" xfId="11645"/>
    <cellStyle name="Note 11 2" xfId="3336"/>
    <cellStyle name="Note 11 2 2" xfId="8110"/>
    <cellStyle name="Note 11 2 3" xfId="11418"/>
    <cellStyle name="Note 11 2 4" xfId="11646"/>
    <cellStyle name="Note 11 20" xfId="3337"/>
    <cellStyle name="Note 11 20 2" xfId="8111"/>
    <cellStyle name="Note 11 20 3" xfId="11417"/>
    <cellStyle name="Note 11 20 4" xfId="11647"/>
    <cellStyle name="Note 11 21" xfId="3338"/>
    <cellStyle name="Note 11 21 2" xfId="8112"/>
    <cellStyle name="Note 11 21 3" xfId="11416"/>
    <cellStyle name="Note 11 21 4" xfId="11648"/>
    <cellStyle name="Note 11 22" xfId="8099"/>
    <cellStyle name="Note 11 23" xfId="11429"/>
    <cellStyle name="Note 11 24" xfId="11635"/>
    <cellStyle name="Note 11 3" xfId="3339"/>
    <cellStyle name="Note 11 3 2" xfId="8113"/>
    <cellStyle name="Note 11 3 3" xfId="11415"/>
    <cellStyle name="Note 11 3 4" xfId="11649"/>
    <cellStyle name="Note 11 4" xfId="3340"/>
    <cellStyle name="Note 11 4 2" xfId="8114"/>
    <cellStyle name="Note 11 4 3" xfId="11414"/>
    <cellStyle name="Note 11 4 4" xfId="11650"/>
    <cellStyle name="Note 11 5" xfId="3341"/>
    <cellStyle name="Note 11 5 2" xfId="8115"/>
    <cellStyle name="Note 11 5 3" xfId="11413"/>
    <cellStyle name="Note 11 5 4" xfId="11651"/>
    <cellStyle name="Note 11 6" xfId="3342"/>
    <cellStyle name="Note 11 6 2" xfId="8116"/>
    <cellStyle name="Note 11 6 3" xfId="11412"/>
    <cellStyle name="Note 11 6 4" xfId="11652"/>
    <cellStyle name="Note 11 7" xfId="3343"/>
    <cellStyle name="Note 11 7 2" xfId="8117"/>
    <cellStyle name="Note 11 7 3" xfId="11411"/>
    <cellStyle name="Note 11 7 4" xfId="11653"/>
    <cellStyle name="Note 11 8" xfId="3344"/>
    <cellStyle name="Note 11 8 2" xfId="8118"/>
    <cellStyle name="Note 11 8 3" xfId="11410"/>
    <cellStyle name="Note 11 8 4" xfId="11654"/>
    <cellStyle name="Note 11 9" xfId="3345"/>
    <cellStyle name="Note 11 9 2" xfId="8119"/>
    <cellStyle name="Note 11 9 3" xfId="11409"/>
    <cellStyle name="Note 11 9 4" xfId="11655"/>
    <cellStyle name="Note 12" xfId="3346"/>
    <cellStyle name="Note 12 10" xfId="3347"/>
    <cellStyle name="Note 12 10 2" xfId="8121"/>
    <cellStyle name="Note 12 10 3" xfId="11407"/>
    <cellStyle name="Note 12 10 4" xfId="11657"/>
    <cellStyle name="Note 12 11" xfId="3348"/>
    <cellStyle name="Note 12 11 2" xfId="8122"/>
    <cellStyle name="Note 12 11 3" xfId="11406"/>
    <cellStyle name="Note 12 11 4" xfId="11658"/>
    <cellStyle name="Note 12 12" xfId="3349"/>
    <cellStyle name="Note 12 12 2" xfId="8123"/>
    <cellStyle name="Note 12 12 3" xfId="11405"/>
    <cellStyle name="Note 12 12 4" xfId="11659"/>
    <cellStyle name="Note 12 13" xfId="3350"/>
    <cellStyle name="Note 12 13 2" xfId="8124"/>
    <cellStyle name="Note 12 13 3" xfId="11404"/>
    <cellStyle name="Note 12 13 4" xfId="11660"/>
    <cellStyle name="Note 12 14" xfId="3351"/>
    <cellStyle name="Note 12 14 2" xfId="8125"/>
    <cellStyle name="Note 12 14 3" xfId="11403"/>
    <cellStyle name="Note 12 14 4" xfId="11661"/>
    <cellStyle name="Note 12 15" xfId="3352"/>
    <cellStyle name="Note 12 15 2" xfId="8126"/>
    <cellStyle name="Note 12 15 3" xfId="11402"/>
    <cellStyle name="Note 12 15 4" xfId="11662"/>
    <cellStyle name="Note 12 16" xfId="3353"/>
    <cellStyle name="Note 12 16 2" xfId="8127"/>
    <cellStyle name="Note 12 16 3" xfId="11401"/>
    <cellStyle name="Note 12 16 4" xfId="11663"/>
    <cellStyle name="Note 12 17" xfId="3354"/>
    <cellStyle name="Note 12 17 2" xfId="8128"/>
    <cellStyle name="Note 12 17 3" xfId="11400"/>
    <cellStyle name="Note 12 17 4" xfId="11664"/>
    <cellStyle name="Note 12 18" xfId="3355"/>
    <cellStyle name="Note 12 18 2" xfId="8129"/>
    <cellStyle name="Note 12 18 3" xfId="11399"/>
    <cellStyle name="Note 12 18 4" xfId="11665"/>
    <cellStyle name="Note 12 19" xfId="3356"/>
    <cellStyle name="Note 12 19 2" xfId="8130"/>
    <cellStyle name="Note 12 19 3" xfId="11398"/>
    <cellStyle name="Note 12 19 4" xfId="11666"/>
    <cellStyle name="Note 12 2" xfId="3357"/>
    <cellStyle name="Note 12 2 2" xfId="8131"/>
    <cellStyle name="Note 12 2 3" xfId="11397"/>
    <cellStyle name="Note 12 2 4" xfId="11667"/>
    <cellStyle name="Note 12 20" xfId="3358"/>
    <cellStyle name="Note 12 20 2" xfId="8132"/>
    <cellStyle name="Note 12 20 3" xfId="11396"/>
    <cellStyle name="Note 12 20 4" xfId="11668"/>
    <cellStyle name="Note 12 21" xfId="3359"/>
    <cellStyle name="Note 12 21 2" xfId="8133"/>
    <cellStyle name="Note 12 21 3" xfId="11395"/>
    <cellStyle name="Note 12 21 4" xfId="11669"/>
    <cellStyle name="Note 12 22" xfId="8120"/>
    <cellStyle name="Note 12 23" xfId="11408"/>
    <cellStyle name="Note 12 24" xfId="11656"/>
    <cellStyle name="Note 12 3" xfId="3360"/>
    <cellStyle name="Note 12 3 2" xfId="8134"/>
    <cellStyle name="Note 12 3 3" xfId="11394"/>
    <cellStyle name="Note 12 3 4" xfId="11670"/>
    <cellStyle name="Note 12 4" xfId="3361"/>
    <cellStyle name="Note 12 4 2" xfId="8135"/>
    <cellStyle name="Note 12 4 3" xfId="11393"/>
    <cellStyle name="Note 12 4 4" xfId="11671"/>
    <cellStyle name="Note 12 5" xfId="3362"/>
    <cellStyle name="Note 12 5 2" xfId="8136"/>
    <cellStyle name="Note 12 5 3" xfId="11392"/>
    <cellStyle name="Note 12 5 4" xfId="11672"/>
    <cellStyle name="Note 12 6" xfId="3363"/>
    <cellStyle name="Note 12 6 2" xfId="8137"/>
    <cellStyle name="Note 12 6 3" xfId="11391"/>
    <cellStyle name="Note 12 6 4" xfId="11673"/>
    <cellStyle name="Note 12 7" xfId="3364"/>
    <cellStyle name="Note 12 7 2" xfId="8138"/>
    <cellStyle name="Note 12 7 3" xfId="11390"/>
    <cellStyle name="Note 12 7 4" xfId="11674"/>
    <cellStyle name="Note 12 8" xfId="3365"/>
    <cellStyle name="Note 12 8 2" xfId="8139"/>
    <cellStyle name="Note 12 8 3" xfId="11389"/>
    <cellStyle name="Note 12 8 4" xfId="11675"/>
    <cellStyle name="Note 12 9" xfId="3366"/>
    <cellStyle name="Note 12 9 2" xfId="8140"/>
    <cellStyle name="Note 12 9 3" xfId="11388"/>
    <cellStyle name="Note 12 9 4" xfId="11676"/>
    <cellStyle name="Note 13" xfId="3367"/>
    <cellStyle name="Note 13 10" xfId="3368"/>
    <cellStyle name="Note 13 10 2" xfId="8142"/>
    <cellStyle name="Note 13 10 3" xfId="11386"/>
    <cellStyle name="Note 13 10 4" xfId="11678"/>
    <cellStyle name="Note 13 11" xfId="3369"/>
    <cellStyle name="Note 13 11 2" xfId="8143"/>
    <cellStyle name="Note 13 11 3" xfId="11385"/>
    <cellStyle name="Note 13 11 4" xfId="11679"/>
    <cellStyle name="Note 13 12" xfId="3370"/>
    <cellStyle name="Note 13 12 2" xfId="8144"/>
    <cellStyle name="Note 13 12 3" xfId="11384"/>
    <cellStyle name="Note 13 12 4" xfId="11680"/>
    <cellStyle name="Note 13 13" xfId="3371"/>
    <cellStyle name="Note 13 13 2" xfId="8145"/>
    <cellStyle name="Note 13 13 3" xfId="11383"/>
    <cellStyle name="Note 13 13 4" xfId="11681"/>
    <cellStyle name="Note 13 14" xfId="3372"/>
    <cellStyle name="Note 13 14 2" xfId="8146"/>
    <cellStyle name="Note 13 14 3" xfId="11382"/>
    <cellStyle name="Note 13 14 4" xfId="11682"/>
    <cellStyle name="Note 13 15" xfId="3373"/>
    <cellStyle name="Note 13 15 2" xfId="8147"/>
    <cellStyle name="Note 13 15 3" xfId="11381"/>
    <cellStyle name="Note 13 15 4" xfId="11683"/>
    <cellStyle name="Note 13 16" xfId="3374"/>
    <cellStyle name="Note 13 16 2" xfId="8148"/>
    <cellStyle name="Note 13 16 3" xfId="11380"/>
    <cellStyle name="Note 13 16 4" xfId="11684"/>
    <cellStyle name="Note 13 17" xfId="3375"/>
    <cellStyle name="Note 13 17 2" xfId="8149"/>
    <cellStyle name="Note 13 17 3" xfId="11379"/>
    <cellStyle name="Note 13 17 4" xfId="11685"/>
    <cellStyle name="Note 13 18" xfId="3376"/>
    <cellStyle name="Note 13 18 2" xfId="8150"/>
    <cellStyle name="Note 13 18 3" xfId="11378"/>
    <cellStyle name="Note 13 18 4" xfId="11686"/>
    <cellStyle name="Note 13 19" xfId="3377"/>
    <cellStyle name="Note 13 19 2" xfId="8151"/>
    <cellStyle name="Note 13 19 3" xfId="11377"/>
    <cellStyle name="Note 13 19 4" xfId="11687"/>
    <cellStyle name="Note 13 2" xfId="3378"/>
    <cellStyle name="Note 13 2 2" xfId="8152"/>
    <cellStyle name="Note 13 2 3" xfId="11376"/>
    <cellStyle name="Note 13 2 4" xfId="11688"/>
    <cellStyle name="Note 13 20" xfId="3379"/>
    <cellStyle name="Note 13 20 2" xfId="8153"/>
    <cellStyle name="Note 13 20 3" xfId="11375"/>
    <cellStyle name="Note 13 20 4" xfId="11689"/>
    <cellStyle name="Note 13 21" xfId="3380"/>
    <cellStyle name="Note 13 21 2" xfId="8154"/>
    <cellStyle name="Note 13 21 3" xfId="11374"/>
    <cellStyle name="Note 13 21 4" xfId="11690"/>
    <cellStyle name="Note 13 22" xfId="8141"/>
    <cellStyle name="Note 13 23" xfId="11387"/>
    <cellStyle name="Note 13 24" xfId="11677"/>
    <cellStyle name="Note 13 3" xfId="3381"/>
    <cellStyle name="Note 13 3 2" xfId="8155"/>
    <cellStyle name="Note 13 3 3" xfId="11373"/>
    <cellStyle name="Note 13 3 4" xfId="11691"/>
    <cellStyle name="Note 13 4" xfId="3382"/>
    <cellStyle name="Note 13 4 2" xfId="8156"/>
    <cellStyle name="Note 13 4 3" xfId="11372"/>
    <cellStyle name="Note 13 4 4" xfId="11692"/>
    <cellStyle name="Note 13 5" xfId="3383"/>
    <cellStyle name="Note 13 5 2" xfId="8157"/>
    <cellStyle name="Note 13 5 3" xfId="11371"/>
    <cellStyle name="Note 13 5 4" xfId="11693"/>
    <cellStyle name="Note 13 6" xfId="3384"/>
    <cellStyle name="Note 13 6 2" xfId="8158"/>
    <cellStyle name="Note 13 6 3" xfId="11370"/>
    <cellStyle name="Note 13 6 4" xfId="11694"/>
    <cellStyle name="Note 13 7" xfId="3385"/>
    <cellStyle name="Note 13 7 2" xfId="8159"/>
    <cellStyle name="Note 13 7 3" xfId="11369"/>
    <cellStyle name="Note 13 7 4" xfId="11695"/>
    <cellStyle name="Note 13 8" xfId="3386"/>
    <cellStyle name="Note 13 8 2" xfId="8160"/>
    <cellStyle name="Note 13 8 3" xfId="11368"/>
    <cellStyle name="Note 13 8 4" xfId="11696"/>
    <cellStyle name="Note 13 9" xfId="3387"/>
    <cellStyle name="Note 13 9 2" xfId="8161"/>
    <cellStyle name="Note 13 9 3" xfId="11367"/>
    <cellStyle name="Note 13 9 4" xfId="11697"/>
    <cellStyle name="Note 14" xfId="3388"/>
    <cellStyle name="Note 14 10" xfId="3389"/>
    <cellStyle name="Note 14 10 2" xfId="8163"/>
    <cellStyle name="Note 14 10 3" xfId="11365"/>
    <cellStyle name="Note 14 10 4" xfId="11699"/>
    <cellStyle name="Note 14 11" xfId="3390"/>
    <cellStyle name="Note 14 11 2" xfId="8164"/>
    <cellStyle name="Note 14 11 3" xfId="11364"/>
    <cellStyle name="Note 14 11 4" xfId="11700"/>
    <cellStyle name="Note 14 12" xfId="3391"/>
    <cellStyle name="Note 14 12 2" xfId="8165"/>
    <cellStyle name="Note 14 12 3" xfId="11363"/>
    <cellStyle name="Note 14 12 4" xfId="11701"/>
    <cellStyle name="Note 14 13" xfId="3392"/>
    <cellStyle name="Note 14 13 2" xfId="8166"/>
    <cellStyle name="Note 14 13 3" xfId="11362"/>
    <cellStyle name="Note 14 13 4" xfId="11702"/>
    <cellStyle name="Note 14 14" xfId="3393"/>
    <cellStyle name="Note 14 14 2" xfId="8167"/>
    <cellStyle name="Note 14 14 3" xfId="11361"/>
    <cellStyle name="Note 14 14 4" xfId="11703"/>
    <cellStyle name="Note 14 15" xfId="3394"/>
    <cellStyle name="Note 14 15 2" xfId="8168"/>
    <cellStyle name="Note 14 15 3" xfId="11360"/>
    <cellStyle name="Note 14 15 4" xfId="11704"/>
    <cellStyle name="Note 14 16" xfId="3395"/>
    <cellStyle name="Note 14 16 2" xfId="8169"/>
    <cellStyle name="Note 14 16 3" xfId="11359"/>
    <cellStyle name="Note 14 16 4" xfId="11705"/>
    <cellStyle name="Note 14 17" xfId="3396"/>
    <cellStyle name="Note 14 17 2" xfId="8170"/>
    <cellStyle name="Note 14 17 3" xfId="11358"/>
    <cellStyle name="Note 14 17 4" xfId="11706"/>
    <cellStyle name="Note 14 18" xfId="3397"/>
    <cellStyle name="Note 14 18 2" xfId="8171"/>
    <cellStyle name="Note 14 18 3" xfId="11357"/>
    <cellStyle name="Note 14 18 4" xfId="11707"/>
    <cellStyle name="Note 14 19" xfId="3398"/>
    <cellStyle name="Note 14 19 2" xfId="8172"/>
    <cellStyle name="Note 14 19 3" xfId="11356"/>
    <cellStyle name="Note 14 19 4" xfId="11708"/>
    <cellStyle name="Note 14 2" xfId="3399"/>
    <cellStyle name="Note 14 2 2" xfId="8173"/>
    <cellStyle name="Note 14 2 3" xfId="11355"/>
    <cellStyle name="Note 14 2 4" xfId="11709"/>
    <cellStyle name="Note 14 20" xfId="3400"/>
    <cellStyle name="Note 14 20 2" xfId="8174"/>
    <cellStyle name="Note 14 20 3" xfId="11354"/>
    <cellStyle name="Note 14 20 4" xfId="11710"/>
    <cellStyle name="Note 14 21" xfId="3401"/>
    <cellStyle name="Note 14 21 2" xfId="8175"/>
    <cellStyle name="Note 14 21 3" xfId="11353"/>
    <cellStyle name="Note 14 21 4" xfId="11711"/>
    <cellStyle name="Note 14 22" xfId="8162"/>
    <cellStyle name="Note 14 23" xfId="11366"/>
    <cellStyle name="Note 14 24" xfId="11698"/>
    <cellStyle name="Note 14 3" xfId="3402"/>
    <cellStyle name="Note 14 3 2" xfId="8176"/>
    <cellStyle name="Note 14 3 3" xfId="11352"/>
    <cellStyle name="Note 14 3 4" xfId="11712"/>
    <cellStyle name="Note 14 4" xfId="3403"/>
    <cellStyle name="Note 14 4 2" xfId="8177"/>
    <cellStyle name="Note 14 4 3" xfId="11351"/>
    <cellStyle name="Note 14 4 4" xfId="11713"/>
    <cellStyle name="Note 14 5" xfId="3404"/>
    <cellStyle name="Note 14 5 2" xfId="8178"/>
    <cellStyle name="Note 14 5 3" xfId="11350"/>
    <cellStyle name="Note 14 5 4" xfId="11714"/>
    <cellStyle name="Note 14 6" xfId="3405"/>
    <cellStyle name="Note 14 6 2" xfId="8179"/>
    <cellStyle name="Note 14 6 3" xfId="11349"/>
    <cellStyle name="Note 14 6 4" xfId="11715"/>
    <cellStyle name="Note 14 7" xfId="3406"/>
    <cellStyle name="Note 14 7 2" xfId="8180"/>
    <cellStyle name="Note 14 7 3" xfId="11348"/>
    <cellStyle name="Note 14 7 4" xfId="11716"/>
    <cellStyle name="Note 14 8" xfId="3407"/>
    <cellStyle name="Note 14 8 2" xfId="8181"/>
    <cellStyle name="Note 14 8 3" xfId="11347"/>
    <cellStyle name="Note 14 8 4" xfId="11717"/>
    <cellStyle name="Note 14 9" xfId="3408"/>
    <cellStyle name="Note 14 9 2" xfId="8182"/>
    <cellStyle name="Note 14 9 3" xfId="11346"/>
    <cellStyle name="Note 14 9 4" xfId="11718"/>
    <cellStyle name="Note 15" xfId="3409"/>
    <cellStyle name="Note 15 10" xfId="3410"/>
    <cellStyle name="Note 15 10 2" xfId="8184"/>
    <cellStyle name="Note 15 10 3" xfId="11344"/>
    <cellStyle name="Note 15 10 4" xfId="11720"/>
    <cellStyle name="Note 15 11" xfId="3411"/>
    <cellStyle name="Note 15 11 2" xfId="8185"/>
    <cellStyle name="Note 15 11 3" xfId="11343"/>
    <cellStyle name="Note 15 11 4" xfId="11721"/>
    <cellStyle name="Note 15 12" xfId="3412"/>
    <cellStyle name="Note 15 12 2" xfId="8186"/>
    <cellStyle name="Note 15 12 3" xfId="11342"/>
    <cellStyle name="Note 15 12 4" xfId="11722"/>
    <cellStyle name="Note 15 13" xfId="3413"/>
    <cellStyle name="Note 15 13 2" xfId="8187"/>
    <cellStyle name="Note 15 13 3" xfId="11341"/>
    <cellStyle name="Note 15 13 4" xfId="11723"/>
    <cellStyle name="Note 15 14" xfId="3414"/>
    <cellStyle name="Note 15 14 2" xfId="8188"/>
    <cellStyle name="Note 15 14 3" xfId="11340"/>
    <cellStyle name="Note 15 14 4" xfId="11724"/>
    <cellStyle name="Note 15 15" xfId="3415"/>
    <cellStyle name="Note 15 15 2" xfId="8189"/>
    <cellStyle name="Note 15 15 3" xfId="11339"/>
    <cellStyle name="Note 15 15 4" xfId="11725"/>
    <cellStyle name="Note 15 16" xfId="3416"/>
    <cellStyle name="Note 15 16 2" xfId="8190"/>
    <cellStyle name="Note 15 16 3" xfId="11338"/>
    <cellStyle name="Note 15 16 4" xfId="11726"/>
    <cellStyle name="Note 15 17" xfId="3417"/>
    <cellStyle name="Note 15 17 2" xfId="8191"/>
    <cellStyle name="Note 15 17 3" xfId="11337"/>
    <cellStyle name="Note 15 17 4" xfId="11727"/>
    <cellStyle name="Note 15 18" xfId="3418"/>
    <cellStyle name="Note 15 18 2" xfId="8192"/>
    <cellStyle name="Note 15 18 3" xfId="11336"/>
    <cellStyle name="Note 15 18 4" xfId="11728"/>
    <cellStyle name="Note 15 19" xfId="3419"/>
    <cellStyle name="Note 15 19 2" xfId="8193"/>
    <cellStyle name="Note 15 19 3" xfId="11335"/>
    <cellStyle name="Note 15 19 4" xfId="11729"/>
    <cellStyle name="Note 15 2" xfId="3420"/>
    <cellStyle name="Note 15 2 2" xfId="8194"/>
    <cellStyle name="Note 15 2 3" xfId="11334"/>
    <cellStyle name="Note 15 2 4" xfId="11730"/>
    <cellStyle name="Note 15 20" xfId="3421"/>
    <cellStyle name="Note 15 20 2" xfId="8195"/>
    <cellStyle name="Note 15 20 3" xfId="12199"/>
    <cellStyle name="Note 15 20 4" xfId="11731"/>
    <cellStyle name="Note 15 21" xfId="3422"/>
    <cellStyle name="Note 15 21 2" xfId="8196"/>
    <cellStyle name="Note 15 21 3" xfId="11333"/>
    <cellStyle name="Note 15 21 4" xfId="11732"/>
    <cellStyle name="Note 15 22" xfId="8183"/>
    <cellStyle name="Note 15 23" xfId="11345"/>
    <cellStyle name="Note 15 24" xfId="11719"/>
    <cellStyle name="Note 15 3" xfId="3423"/>
    <cellStyle name="Note 15 3 2" xfId="8197"/>
    <cellStyle name="Note 15 3 3" xfId="11332"/>
    <cellStyle name="Note 15 3 4" xfId="11733"/>
    <cellStyle name="Note 15 4" xfId="3424"/>
    <cellStyle name="Note 15 4 2" xfId="8198"/>
    <cellStyle name="Note 15 4 3" xfId="11331"/>
    <cellStyle name="Note 15 4 4" xfId="11734"/>
    <cellStyle name="Note 15 5" xfId="3425"/>
    <cellStyle name="Note 15 5 2" xfId="8199"/>
    <cellStyle name="Note 15 5 3" xfId="11330"/>
    <cellStyle name="Note 15 5 4" xfId="11735"/>
    <cellStyle name="Note 15 6" xfId="3426"/>
    <cellStyle name="Note 15 6 2" xfId="8200"/>
    <cellStyle name="Note 15 6 3" xfId="11329"/>
    <cellStyle name="Note 15 6 4" xfId="11736"/>
    <cellStyle name="Note 15 7" xfId="3427"/>
    <cellStyle name="Note 15 7 2" xfId="8201"/>
    <cellStyle name="Note 15 7 3" xfId="11328"/>
    <cellStyle name="Note 15 7 4" xfId="11737"/>
    <cellStyle name="Note 15 8" xfId="3428"/>
    <cellStyle name="Note 15 8 2" xfId="8202"/>
    <cellStyle name="Note 15 8 3" xfId="11327"/>
    <cellStyle name="Note 15 8 4" xfId="11738"/>
    <cellStyle name="Note 15 9" xfId="3429"/>
    <cellStyle name="Note 15 9 2" xfId="8203"/>
    <cellStyle name="Note 15 9 3" xfId="11326"/>
    <cellStyle name="Note 15 9 4" xfId="11739"/>
    <cellStyle name="Note 16" xfId="3430"/>
    <cellStyle name="Note 16 10" xfId="3431"/>
    <cellStyle name="Note 16 10 2" xfId="8205"/>
    <cellStyle name="Note 16 10 3" xfId="11324"/>
    <cellStyle name="Note 16 10 4" xfId="11741"/>
    <cellStyle name="Note 16 11" xfId="3432"/>
    <cellStyle name="Note 16 11 2" xfId="8206"/>
    <cellStyle name="Note 16 11 3" xfId="11323"/>
    <cellStyle name="Note 16 11 4" xfId="11742"/>
    <cellStyle name="Note 16 12" xfId="3433"/>
    <cellStyle name="Note 16 12 2" xfId="8207"/>
    <cellStyle name="Note 16 12 3" xfId="11322"/>
    <cellStyle name="Note 16 12 4" xfId="11743"/>
    <cellStyle name="Note 16 13" xfId="3434"/>
    <cellStyle name="Note 16 13 2" xfId="8208"/>
    <cellStyle name="Note 16 13 3" xfId="11321"/>
    <cellStyle name="Note 16 13 4" xfId="11744"/>
    <cellStyle name="Note 16 14" xfId="3435"/>
    <cellStyle name="Note 16 14 2" xfId="8209"/>
    <cellStyle name="Note 16 14 3" xfId="11320"/>
    <cellStyle name="Note 16 14 4" xfId="11745"/>
    <cellStyle name="Note 16 15" xfId="3436"/>
    <cellStyle name="Note 16 15 2" xfId="8210"/>
    <cellStyle name="Note 16 15 3" xfId="11319"/>
    <cellStyle name="Note 16 15 4" xfId="11746"/>
    <cellStyle name="Note 16 16" xfId="3437"/>
    <cellStyle name="Note 16 16 2" xfId="8211"/>
    <cellStyle name="Note 16 16 3" xfId="11318"/>
    <cellStyle name="Note 16 16 4" xfId="11747"/>
    <cellStyle name="Note 16 17" xfId="3438"/>
    <cellStyle name="Note 16 17 2" xfId="8212"/>
    <cellStyle name="Note 16 17 3" xfId="11317"/>
    <cellStyle name="Note 16 17 4" xfId="11748"/>
    <cellStyle name="Note 16 18" xfId="3439"/>
    <cellStyle name="Note 16 18 2" xfId="8213"/>
    <cellStyle name="Note 16 18 3" xfId="11316"/>
    <cellStyle name="Note 16 18 4" xfId="11749"/>
    <cellStyle name="Note 16 19" xfId="3440"/>
    <cellStyle name="Note 16 19 2" xfId="8214"/>
    <cellStyle name="Note 16 19 3" xfId="11315"/>
    <cellStyle name="Note 16 19 4" xfId="11750"/>
    <cellStyle name="Note 16 2" xfId="3441"/>
    <cellStyle name="Note 16 2 2" xfId="8215"/>
    <cellStyle name="Note 16 2 3" xfId="11314"/>
    <cellStyle name="Note 16 2 4" xfId="11751"/>
    <cellStyle name="Note 16 20" xfId="3442"/>
    <cellStyle name="Note 16 20 2" xfId="8216"/>
    <cellStyle name="Note 16 20 3" xfId="11313"/>
    <cellStyle name="Note 16 20 4" xfId="11752"/>
    <cellStyle name="Note 16 21" xfId="3443"/>
    <cellStyle name="Note 16 21 2" xfId="8217"/>
    <cellStyle name="Note 16 21 3" xfId="11312"/>
    <cellStyle name="Note 16 21 4" xfId="11753"/>
    <cellStyle name="Note 16 22" xfId="8204"/>
    <cellStyle name="Note 16 23" xfId="11325"/>
    <cellStyle name="Note 16 24" xfId="11740"/>
    <cellStyle name="Note 16 3" xfId="3444"/>
    <cellStyle name="Note 16 3 2" xfId="8218"/>
    <cellStyle name="Note 16 3 3" xfId="11311"/>
    <cellStyle name="Note 16 3 4" xfId="11978"/>
    <cellStyle name="Note 16 4" xfId="3445"/>
    <cellStyle name="Note 16 4 2" xfId="8219"/>
    <cellStyle name="Note 16 4 3" xfId="11310"/>
    <cellStyle name="Note 16 4 4" xfId="11754"/>
    <cellStyle name="Note 16 5" xfId="3446"/>
    <cellStyle name="Note 16 5 2" xfId="8220"/>
    <cellStyle name="Note 16 5 3" xfId="11309"/>
    <cellStyle name="Note 16 5 4" xfId="11979"/>
    <cellStyle name="Note 16 6" xfId="3447"/>
    <cellStyle name="Note 16 6 2" xfId="8221"/>
    <cellStyle name="Note 16 6 3" xfId="11308"/>
    <cellStyle name="Note 16 6 4" xfId="11755"/>
    <cellStyle name="Note 16 7" xfId="3448"/>
    <cellStyle name="Note 16 7 2" xfId="8222"/>
    <cellStyle name="Note 16 7 3" xfId="11307"/>
    <cellStyle name="Note 16 7 4" xfId="11980"/>
    <cellStyle name="Note 16 8" xfId="3449"/>
    <cellStyle name="Note 16 8 2" xfId="8223"/>
    <cellStyle name="Note 16 8 3" xfId="11306"/>
    <cellStyle name="Note 16 8 4" xfId="11756"/>
    <cellStyle name="Note 16 9" xfId="3450"/>
    <cellStyle name="Note 16 9 2" xfId="8224"/>
    <cellStyle name="Note 16 9 3" xfId="11305"/>
    <cellStyle name="Note 16 9 4" xfId="11981"/>
    <cellStyle name="Note 17" xfId="3451"/>
    <cellStyle name="Note 17 10" xfId="3452"/>
    <cellStyle name="Note 17 10 2" xfId="8226"/>
    <cellStyle name="Note 17 10 3" xfId="11303"/>
    <cellStyle name="Note 17 10 4" xfId="11982"/>
    <cellStyle name="Note 17 11" xfId="3453"/>
    <cellStyle name="Note 17 11 2" xfId="8227"/>
    <cellStyle name="Note 17 11 3" xfId="11302"/>
    <cellStyle name="Note 17 11 4" xfId="11758"/>
    <cellStyle name="Note 17 12" xfId="3454"/>
    <cellStyle name="Note 17 12 2" xfId="8228"/>
    <cellStyle name="Note 17 12 3" xfId="11301"/>
    <cellStyle name="Note 17 12 4" xfId="11983"/>
    <cellStyle name="Note 17 13" xfId="3455"/>
    <cellStyle name="Note 17 13 2" xfId="8229"/>
    <cellStyle name="Note 17 13 3" xfId="11300"/>
    <cellStyle name="Note 17 13 4" xfId="11759"/>
    <cellStyle name="Note 17 14" xfId="3456"/>
    <cellStyle name="Note 17 14 2" xfId="8230"/>
    <cellStyle name="Note 17 14 3" xfId="11299"/>
    <cellStyle name="Note 17 14 4" xfId="11984"/>
    <cellStyle name="Note 17 15" xfId="3457"/>
    <cellStyle name="Note 17 15 2" xfId="8231"/>
    <cellStyle name="Note 17 15 3" xfId="11298"/>
    <cellStyle name="Note 17 15 4" xfId="11760"/>
    <cellStyle name="Note 17 16" xfId="3458"/>
    <cellStyle name="Note 17 16 2" xfId="8232"/>
    <cellStyle name="Note 17 16 3" xfId="11297"/>
    <cellStyle name="Note 17 16 4" xfId="11985"/>
    <cellStyle name="Note 17 17" xfId="3459"/>
    <cellStyle name="Note 17 17 2" xfId="8233"/>
    <cellStyle name="Note 17 17 3" xfId="11296"/>
    <cellStyle name="Note 17 17 4" xfId="11761"/>
    <cellStyle name="Note 17 18" xfId="3460"/>
    <cellStyle name="Note 17 18 2" xfId="8234"/>
    <cellStyle name="Note 17 18 3" xfId="11295"/>
    <cellStyle name="Note 17 18 4" xfId="11986"/>
    <cellStyle name="Note 17 19" xfId="3461"/>
    <cellStyle name="Note 17 19 2" xfId="8235"/>
    <cellStyle name="Note 17 19 3" xfId="11294"/>
    <cellStyle name="Note 17 19 4" xfId="11762"/>
    <cellStyle name="Note 17 2" xfId="3462"/>
    <cellStyle name="Note 17 2 2" xfId="8236"/>
    <cellStyle name="Note 17 2 3" xfId="11293"/>
    <cellStyle name="Note 17 2 4" xfId="11987"/>
    <cellStyle name="Note 17 20" xfId="3463"/>
    <cellStyle name="Note 17 20 2" xfId="8237"/>
    <cellStyle name="Note 17 20 3" xfId="11292"/>
    <cellStyle name="Note 17 20 4" xfId="11763"/>
    <cellStyle name="Note 17 21" xfId="3464"/>
    <cellStyle name="Note 17 21 2" xfId="8238"/>
    <cellStyle name="Note 17 21 3" xfId="11291"/>
    <cellStyle name="Note 17 21 4" xfId="11988"/>
    <cellStyle name="Note 17 22" xfId="8225"/>
    <cellStyle name="Note 17 23" xfId="11304"/>
    <cellStyle name="Note 17 24" xfId="11757"/>
    <cellStyle name="Note 17 3" xfId="3465"/>
    <cellStyle name="Note 17 3 2" xfId="8239"/>
    <cellStyle name="Note 17 3 3" xfId="11290"/>
    <cellStyle name="Note 17 3 4" xfId="11764"/>
    <cellStyle name="Note 17 4" xfId="3466"/>
    <cellStyle name="Note 17 4 2" xfId="8240"/>
    <cellStyle name="Note 17 4 3" xfId="11289"/>
    <cellStyle name="Note 17 4 4" xfId="11765"/>
    <cellStyle name="Note 17 5" xfId="3467"/>
    <cellStyle name="Note 17 5 2" xfId="8241"/>
    <cellStyle name="Note 17 5 3" xfId="11288"/>
    <cellStyle name="Note 17 5 4" xfId="11990"/>
    <cellStyle name="Note 17 6" xfId="3468"/>
    <cellStyle name="Note 17 6 2" xfId="8242"/>
    <cellStyle name="Note 17 6 3" xfId="11287"/>
    <cellStyle name="Note 17 6 4" xfId="11766"/>
    <cellStyle name="Note 17 7" xfId="3469"/>
    <cellStyle name="Note 17 7 2" xfId="8243"/>
    <cellStyle name="Note 17 7 3" xfId="11286"/>
    <cellStyle name="Note 17 7 4" xfId="11991"/>
    <cellStyle name="Note 17 8" xfId="3470"/>
    <cellStyle name="Note 17 8 2" xfId="8244"/>
    <cellStyle name="Note 17 8 3" xfId="11285"/>
    <cellStyle name="Note 17 8 4" xfId="11767"/>
    <cellStyle name="Note 17 9" xfId="3471"/>
    <cellStyle name="Note 17 9 2" xfId="8245"/>
    <cellStyle name="Note 17 9 3" xfId="11284"/>
    <cellStyle name="Note 17 9 4" xfId="11992"/>
    <cellStyle name="Note 18" xfId="3472"/>
    <cellStyle name="Note 18 10" xfId="3473"/>
    <cellStyle name="Note 18 10 2" xfId="8247"/>
    <cellStyle name="Note 18 10 3" xfId="11282"/>
    <cellStyle name="Note 18 10 4" xfId="11993"/>
    <cellStyle name="Note 18 11" xfId="3474"/>
    <cellStyle name="Note 18 11 2" xfId="8248"/>
    <cellStyle name="Note 18 11 3" xfId="11281"/>
    <cellStyle name="Note 18 11 4" xfId="11769"/>
    <cellStyle name="Note 18 12" xfId="3475"/>
    <cellStyle name="Note 18 12 2" xfId="8249"/>
    <cellStyle name="Note 18 12 3" xfId="11280"/>
    <cellStyle name="Note 18 12 4" xfId="11994"/>
    <cellStyle name="Note 18 13" xfId="3476"/>
    <cellStyle name="Note 18 13 2" xfId="8250"/>
    <cellStyle name="Note 18 13 3" xfId="11279"/>
    <cellStyle name="Note 18 13 4" xfId="11770"/>
    <cellStyle name="Note 18 14" xfId="3477"/>
    <cellStyle name="Note 18 14 2" xfId="8251"/>
    <cellStyle name="Note 18 14 3" xfId="11278"/>
    <cellStyle name="Note 18 14 4" xfId="11995"/>
    <cellStyle name="Note 18 15" xfId="3478"/>
    <cellStyle name="Note 18 15 2" xfId="8252"/>
    <cellStyle name="Note 18 15 3" xfId="11277"/>
    <cellStyle name="Note 18 15 4" xfId="11771"/>
    <cellStyle name="Note 18 16" xfId="3479"/>
    <cellStyle name="Note 18 16 2" xfId="8253"/>
    <cellStyle name="Note 18 16 3" xfId="11276"/>
    <cellStyle name="Note 18 16 4" xfId="11996"/>
    <cellStyle name="Note 18 17" xfId="3480"/>
    <cellStyle name="Note 18 17 2" xfId="8254"/>
    <cellStyle name="Note 18 17 3" xfId="11275"/>
    <cellStyle name="Note 18 17 4" xfId="11772"/>
    <cellStyle name="Note 18 18" xfId="3481"/>
    <cellStyle name="Note 18 18 2" xfId="8255"/>
    <cellStyle name="Note 18 18 3" xfId="11274"/>
    <cellStyle name="Note 18 18 4" xfId="11997"/>
    <cellStyle name="Note 18 19" xfId="3482"/>
    <cellStyle name="Note 18 19 2" xfId="8256"/>
    <cellStyle name="Note 18 19 3" xfId="11273"/>
    <cellStyle name="Note 18 19 4" xfId="11773"/>
    <cellStyle name="Note 18 2" xfId="3483"/>
    <cellStyle name="Note 18 2 2" xfId="8257"/>
    <cellStyle name="Note 18 2 3" xfId="11272"/>
    <cellStyle name="Note 18 2 4" xfId="11998"/>
    <cellStyle name="Note 18 20" xfId="3484"/>
    <cellStyle name="Note 18 20 2" xfId="8258"/>
    <cellStyle name="Note 18 20 3" xfId="11271"/>
    <cellStyle name="Note 18 20 4" xfId="11774"/>
    <cellStyle name="Note 18 21" xfId="3485"/>
    <cellStyle name="Note 18 21 2" xfId="8259"/>
    <cellStyle name="Note 18 21 3" xfId="11270"/>
    <cellStyle name="Note 18 21 4" xfId="11999"/>
    <cellStyle name="Note 18 22" xfId="8246"/>
    <cellStyle name="Note 18 23" xfId="11283"/>
    <cellStyle name="Note 18 24" xfId="11768"/>
    <cellStyle name="Note 18 3" xfId="3486"/>
    <cellStyle name="Note 18 3 2" xfId="8260"/>
    <cellStyle name="Note 18 3 3" xfId="11269"/>
    <cellStyle name="Note 18 3 4" xfId="11775"/>
    <cellStyle name="Note 18 4" xfId="3487"/>
    <cellStyle name="Note 18 4 2" xfId="8261"/>
    <cellStyle name="Note 18 4 3" xfId="11268"/>
    <cellStyle name="Note 18 4 4" xfId="12000"/>
    <cellStyle name="Note 18 5" xfId="3488"/>
    <cellStyle name="Note 18 5 2" xfId="8262"/>
    <cellStyle name="Note 18 5 3" xfId="11267"/>
    <cellStyle name="Note 18 5 4" xfId="11776"/>
    <cellStyle name="Note 18 6" xfId="3489"/>
    <cellStyle name="Note 18 6 2" xfId="8263"/>
    <cellStyle name="Note 18 6 3" xfId="11266"/>
    <cellStyle name="Note 18 6 4" xfId="12001"/>
    <cellStyle name="Note 18 7" xfId="3490"/>
    <cellStyle name="Note 18 7 2" xfId="8264"/>
    <cellStyle name="Note 18 7 3" xfId="11265"/>
    <cellStyle name="Note 18 7 4" xfId="11777"/>
    <cellStyle name="Note 18 8" xfId="3491"/>
    <cellStyle name="Note 18 8 2" xfId="8265"/>
    <cellStyle name="Note 18 8 3" xfId="11264"/>
    <cellStyle name="Note 18 8 4" xfId="12002"/>
    <cellStyle name="Note 18 9" xfId="3492"/>
    <cellStyle name="Note 18 9 2" xfId="8266"/>
    <cellStyle name="Note 18 9 3" xfId="11263"/>
    <cellStyle name="Note 18 9 4" xfId="11778"/>
    <cellStyle name="Note 19" xfId="3493"/>
    <cellStyle name="Note 19 10" xfId="3494"/>
    <cellStyle name="Note 19 10 2" xfId="8268"/>
    <cellStyle name="Note 19 10 3" xfId="11261"/>
    <cellStyle name="Note 19 10 4" xfId="11779"/>
    <cellStyle name="Note 19 11" xfId="3495"/>
    <cellStyle name="Note 19 11 2" xfId="8269"/>
    <cellStyle name="Note 19 11 3" xfId="11260"/>
    <cellStyle name="Note 19 11 4" xfId="12004"/>
    <cellStyle name="Note 19 12" xfId="3496"/>
    <cellStyle name="Note 19 12 2" xfId="8270"/>
    <cellStyle name="Note 19 12 3" xfId="11259"/>
    <cellStyle name="Note 19 12 4" xfId="11989"/>
    <cellStyle name="Note 19 13" xfId="3497"/>
    <cellStyle name="Note 19 13 2" xfId="8271"/>
    <cellStyle name="Note 19 13 3" xfId="11258"/>
    <cellStyle name="Note 19 13 4" xfId="11780"/>
    <cellStyle name="Note 19 14" xfId="3498"/>
    <cellStyle name="Note 19 14 2" xfId="8272"/>
    <cellStyle name="Note 19 14 3" xfId="11257"/>
    <cellStyle name="Note 19 14 4" xfId="12005"/>
    <cellStyle name="Note 19 15" xfId="3499"/>
    <cellStyle name="Note 19 15 2" xfId="8273"/>
    <cellStyle name="Note 19 15 3" xfId="11256"/>
    <cellStyle name="Note 19 15 4" xfId="11781"/>
    <cellStyle name="Note 19 16" xfId="3500"/>
    <cellStyle name="Note 19 16 2" xfId="8274"/>
    <cellStyle name="Note 19 16 3" xfId="11255"/>
    <cellStyle name="Note 19 16 4" xfId="12006"/>
    <cellStyle name="Note 19 17" xfId="3501"/>
    <cellStyle name="Note 19 17 2" xfId="8275"/>
    <cellStyle name="Note 19 17 3" xfId="11254"/>
    <cellStyle name="Note 19 17 4" xfId="11782"/>
    <cellStyle name="Note 19 18" xfId="3502"/>
    <cellStyle name="Note 19 18 2" xfId="8276"/>
    <cellStyle name="Note 19 18 3" xfId="11253"/>
    <cellStyle name="Note 19 18 4" xfId="12007"/>
    <cellStyle name="Note 19 19" xfId="3503"/>
    <cellStyle name="Note 19 19 2" xfId="8277"/>
    <cellStyle name="Note 19 19 3" xfId="11252"/>
    <cellStyle name="Note 19 19 4" xfId="11783"/>
    <cellStyle name="Note 19 2" xfId="3504"/>
    <cellStyle name="Note 19 2 2" xfId="8278"/>
    <cellStyle name="Note 19 2 3" xfId="11251"/>
    <cellStyle name="Note 19 2 4" xfId="12008"/>
    <cellStyle name="Note 19 20" xfId="3505"/>
    <cellStyle name="Note 19 20 2" xfId="8279"/>
    <cellStyle name="Note 19 20 3" xfId="11250"/>
    <cellStyle name="Note 19 20 4" xfId="11784"/>
    <cellStyle name="Note 19 21" xfId="3506"/>
    <cellStyle name="Note 19 21 2" xfId="8280"/>
    <cellStyle name="Note 19 21 3" xfId="11249"/>
    <cellStyle name="Note 19 21 4" xfId="12009"/>
    <cellStyle name="Note 19 22" xfId="8267"/>
    <cellStyle name="Note 19 23" xfId="11262"/>
    <cellStyle name="Note 19 24" xfId="12003"/>
    <cellStyle name="Note 19 3" xfId="3507"/>
    <cellStyle name="Note 19 3 2" xfId="8281"/>
    <cellStyle name="Note 19 3 3" xfId="11248"/>
    <cellStyle name="Note 19 3 4" xfId="11785"/>
    <cellStyle name="Note 19 4" xfId="3508"/>
    <cellStyle name="Note 19 4 2" xfId="8282"/>
    <cellStyle name="Note 19 4 3" xfId="11247"/>
    <cellStyle name="Note 19 4 4" xfId="12010"/>
    <cellStyle name="Note 19 5" xfId="3509"/>
    <cellStyle name="Note 19 5 2" xfId="8283"/>
    <cellStyle name="Note 19 5 3" xfId="11246"/>
    <cellStyle name="Note 19 5 4" xfId="11786"/>
    <cellStyle name="Note 19 6" xfId="3510"/>
    <cellStyle name="Note 19 6 2" xfId="8284"/>
    <cellStyle name="Note 19 6 3" xfId="11245"/>
    <cellStyle name="Note 19 6 4" xfId="12011"/>
    <cellStyle name="Note 19 7" xfId="3511"/>
    <cellStyle name="Note 19 7 2" xfId="8285"/>
    <cellStyle name="Note 19 7 3" xfId="11244"/>
    <cellStyle name="Note 19 7 4" xfId="11787"/>
    <cellStyle name="Note 19 8" xfId="3512"/>
    <cellStyle name="Note 19 8 2" xfId="8286"/>
    <cellStyle name="Note 19 8 3" xfId="11243"/>
    <cellStyle name="Note 19 8 4" xfId="11788"/>
    <cellStyle name="Note 19 9" xfId="3513"/>
    <cellStyle name="Note 19 9 2" xfId="8287"/>
    <cellStyle name="Note 19 9 3" xfId="11242"/>
    <cellStyle name="Note 19 9 4" xfId="12013"/>
    <cellStyle name="Note 2" xfId="3514"/>
    <cellStyle name="Note 2 10" xfId="3515"/>
    <cellStyle name="Note 2 10 2" xfId="8289"/>
    <cellStyle name="Note 2 10 3" xfId="11240"/>
    <cellStyle name="Note 2 10 4" xfId="12014"/>
    <cellStyle name="Note 2 11" xfId="3516"/>
    <cellStyle name="Note 2 11 2" xfId="8290"/>
    <cellStyle name="Note 2 11 3" xfId="11239"/>
    <cellStyle name="Note 2 11 4" xfId="11790"/>
    <cellStyle name="Note 2 12" xfId="3517"/>
    <cellStyle name="Note 2 12 2" xfId="8291"/>
    <cellStyle name="Note 2 12 3" xfId="11238"/>
    <cellStyle name="Note 2 12 4" xfId="12015"/>
    <cellStyle name="Note 2 13" xfId="3518"/>
    <cellStyle name="Note 2 13 2" xfId="8292"/>
    <cellStyle name="Note 2 13 3" xfId="11237"/>
    <cellStyle name="Note 2 13 4" xfId="11791"/>
    <cellStyle name="Note 2 14" xfId="3519"/>
    <cellStyle name="Note 2 14 2" xfId="8293"/>
    <cellStyle name="Note 2 14 3" xfId="11236"/>
    <cellStyle name="Note 2 14 4" xfId="12016"/>
    <cellStyle name="Note 2 15" xfId="3520"/>
    <cellStyle name="Note 2 15 2" xfId="8294"/>
    <cellStyle name="Note 2 15 3" xfId="11235"/>
    <cellStyle name="Note 2 15 4" xfId="11792"/>
    <cellStyle name="Note 2 16" xfId="3521"/>
    <cellStyle name="Note 2 16 2" xfId="8295"/>
    <cellStyle name="Note 2 16 3" xfId="11234"/>
    <cellStyle name="Note 2 16 4" xfId="12017"/>
    <cellStyle name="Note 2 17" xfId="3522"/>
    <cellStyle name="Note 2 17 2" xfId="8296"/>
    <cellStyle name="Note 2 17 3" xfId="11233"/>
    <cellStyle name="Note 2 17 4" xfId="11793"/>
    <cellStyle name="Note 2 18" xfId="3523"/>
    <cellStyle name="Note 2 18 2" xfId="8297"/>
    <cellStyle name="Note 2 18 3" xfId="11232"/>
    <cellStyle name="Note 2 18 4" xfId="12018"/>
    <cellStyle name="Note 2 19" xfId="3524"/>
    <cellStyle name="Note 2 19 2" xfId="8298"/>
    <cellStyle name="Note 2 19 3" xfId="11231"/>
    <cellStyle name="Note 2 19 4" xfId="11794"/>
    <cellStyle name="Note 2 2" xfId="3525"/>
    <cellStyle name="Note 2 2 2" xfId="8299"/>
    <cellStyle name="Note 2 2 3" xfId="11230"/>
    <cellStyle name="Note 2 2 4" xfId="12019"/>
    <cellStyle name="Note 2 20" xfId="3526"/>
    <cellStyle name="Note 2 20 2" xfId="8300"/>
    <cellStyle name="Note 2 20 3" xfId="11229"/>
    <cellStyle name="Note 2 20 4" xfId="11795"/>
    <cellStyle name="Note 2 21" xfId="3527"/>
    <cellStyle name="Note 2 21 2" xfId="8301"/>
    <cellStyle name="Note 2 21 3" xfId="11228"/>
    <cellStyle name="Note 2 21 4" xfId="12020"/>
    <cellStyle name="Note 2 22" xfId="3528"/>
    <cellStyle name="Note 2 22 2" xfId="8302"/>
    <cellStyle name="Note 2 22 3" xfId="11227"/>
    <cellStyle name="Note 2 22 4" xfId="11796"/>
    <cellStyle name="Note 2 23" xfId="8288"/>
    <cellStyle name="Note 2 24" xfId="11241"/>
    <cellStyle name="Note 2 25" xfId="11789"/>
    <cellStyle name="Note 2 3" xfId="3529"/>
    <cellStyle name="Note 2 3 2" xfId="8303"/>
    <cellStyle name="Note 2 3 3" xfId="11226"/>
    <cellStyle name="Note 2 3 4" xfId="12021"/>
    <cellStyle name="Note 2 4" xfId="3530"/>
    <cellStyle name="Note 2 4 2" xfId="8304"/>
    <cellStyle name="Note 2 4 3" xfId="11225"/>
    <cellStyle name="Note 2 4 4" xfId="11797"/>
    <cellStyle name="Note 2 5" xfId="3531"/>
    <cellStyle name="Note 2 5 2" xfId="8305"/>
    <cellStyle name="Note 2 5 3" xfId="11224"/>
    <cellStyle name="Note 2 5 4" xfId="12022"/>
    <cellStyle name="Note 2 6" xfId="3532"/>
    <cellStyle name="Note 2 6 2" xfId="8306"/>
    <cellStyle name="Note 2 6 3" xfId="11223"/>
    <cellStyle name="Note 2 6 4" xfId="11798"/>
    <cellStyle name="Note 2 7" xfId="3533"/>
    <cellStyle name="Note 2 7 2" xfId="8307"/>
    <cellStyle name="Note 2 7 3" xfId="11222"/>
    <cellStyle name="Note 2 7 4" xfId="12023"/>
    <cellStyle name="Note 2 8" xfId="3534"/>
    <cellStyle name="Note 2 8 2" xfId="8308"/>
    <cellStyle name="Note 2 8 3" xfId="11221"/>
    <cellStyle name="Note 2 8 4" xfId="11799"/>
    <cellStyle name="Note 2 9" xfId="3535"/>
    <cellStyle name="Note 2 9 2" xfId="8309"/>
    <cellStyle name="Note 2 9 3" xfId="11220"/>
    <cellStyle name="Note 2 9 4" xfId="12024"/>
    <cellStyle name="Note 20" xfId="3536"/>
    <cellStyle name="Note 20 10" xfId="3537"/>
    <cellStyle name="Note 20 10 2" xfId="8311"/>
    <cellStyle name="Note 20 10 3" xfId="11218"/>
    <cellStyle name="Note 20 10 4" xfId="12025"/>
    <cellStyle name="Note 20 11" xfId="3538"/>
    <cellStyle name="Note 20 11 2" xfId="8312"/>
    <cellStyle name="Note 20 11 3" xfId="11217"/>
    <cellStyle name="Note 20 11 4" xfId="11801"/>
    <cellStyle name="Note 20 12" xfId="3539"/>
    <cellStyle name="Note 20 12 2" xfId="8313"/>
    <cellStyle name="Note 20 12 3" xfId="12201"/>
    <cellStyle name="Note 20 12 4" xfId="12026"/>
    <cellStyle name="Note 20 13" xfId="3540"/>
    <cellStyle name="Note 20 13 2" xfId="8314"/>
    <cellStyle name="Note 20 13 3" xfId="12200"/>
    <cellStyle name="Note 20 13 4" xfId="11802"/>
    <cellStyle name="Note 20 14" xfId="3541"/>
    <cellStyle name="Note 20 14 2" xfId="8315"/>
    <cellStyle name="Note 20 14 3" xfId="11216"/>
    <cellStyle name="Note 20 14 4" xfId="12027"/>
    <cellStyle name="Note 20 15" xfId="3542"/>
    <cellStyle name="Note 20 15 2" xfId="8316"/>
    <cellStyle name="Note 20 15 3" xfId="11215"/>
    <cellStyle name="Note 20 15 4" xfId="12012"/>
    <cellStyle name="Note 20 16" xfId="3543"/>
    <cellStyle name="Note 20 16 2" xfId="8317"/>
    <cellStyle name="Note 20 16 3" xfId="11214"/>
    <cellStyle name="Note 20 16 4" xfId="11803"/>
    <cellStyle name="Note 20 17" xfId="3544"/>
    <cellStyle name="Note 20 17 2" xfId="8318"/>
    <cellStyle name="Note 20 17 3" xfId="11213"/>
    <cellStyle name="Note 20 17 4" xfId="12028"/>
    <cellStyle name="Note 20 18" xfId="3545"/>
    <cellStyle name="Note 20 18 2" xfId="8319"/>
    <cellStyle name="Note 20 18 3" xfId="11212"/>
    <cellStyle name="Note 20 18 4" xfId="11804"/>
    <cellStyle name="Note 20 19" xfId="3546"/>
    <cellStyle name="Note 20 19 2" xfId="8320"/>
    <cellStyle name="Note 20 19 3" xfId="11211"/>
    <cellStyle name="Note 20 19 4" xfId="12029"/>
    <cellStyle name="Note 20 2" xfId="3547"/>
    <cellStyle name="Note 20 2 2" xfId="8321"/>
    <cellStyle name="Note 20 2 3" xfId="11210"/>
    <cellStyle name="Note 20 2 4" xfId="11805"/>
    <cellStyle name="Note 20 20" xfId="3548"/>
    <cellStyle name="Note 20 20 2" xfId="8322"/>
    <cellStyle name="Note 20 20 3" xfId="11209"/>
    <cellStyle name="Note 20 20 4" xfId="12030"/>
    <cellStyle name="Note 20 21" xfId="3549"/>
    <cellStyle name="Note 20 21 2" xfId="8323"/>
    <cellStyle name="Note 20 21 3" xfId="11208"/>
    <cellStyle name="Note 20 21 4" xfId="11806"/>
    <cellStyle name="Note 20 22" xfId="8310"/>
    <cellStyle name="Note 20 23" xfId="11219"/>
    <cellStyle name="Note 20 24" xfId="11800"/>
    <cellStyle name="Note 20 3" xfId="3550"/>
    <cellStyle name="Note 20 3 2" xfId="8324"/>
    <cellStyle name="Note 20 3 3" xfId="11207"/>
    <cellStyle name="Note 20 3 4" xfId="12031"/>
    <cellStyle name="Note 20 4" xfId="3551"/>
    <cellStyle name="Note 20 4 2" xfId="8325"/>
    <cellStyle name="Note 20 4 3" xfId="11206"/>
    <cellStyle name="Note 20 4 4" xfId="11807"/>
    <cellStyle name="Note 20 5" xfId="3552"/>
    <cellStyle name="Note 20 5 2" xfId="8326"/>
    <cellStyle name="Note 20 5 3" xfId="11205"/>
    <cellStyle name="Note 20 5 4" xfId="12032"/>
    <cellStyle name="Note 20 6" xfId="3553"/>
    <cellStyle name="Note 20 6 2" xfId="8327"/>
    <cellStyle name="Note 20 6 3" xfId="11204"/>
    <cellStyle name="Note 20 6 4" xfId="11808"/>
    <cellStyle name="Note 20 7" xfId="3554"/>
    <cellStyle name="Note 20 7 2" xfId="8328"/>
    <cellStyle name="Note 20 7 3" xfId="11203"/>
    <cellStyle name="Note 20 7 4" xfId="12033"/>
    <cellStyle name="Note 20 8" xfId="3555"/>
    <cellStyle name="Note 20 8 2" xfId="8329"/>
    <cellStyle name="Note 20 8 3" xfId="11202"/>
    <cellStyle name="Note 20 8 4" xfId="11809"/>
    <cellStyle name="Note 20 9" xfId="3556"/>
    <cellStyle name="Note 20 9 2" xfId="8330"/>
    <cellStyle name="Note 20 9 3" xfId="11201"/>
    <cellStyle name="Note 20 9 4" xfId="12034"/>
    <cellStyle name="Note 21" xfId="3557"/>
    <cellStyle name="Note 21 10" xfId="3558"/>
    <cellStyle name="Note 21 10 2" xfId="8332"/>
    <cellStyle name="Note 21 10 3" xfId="11199"/>
    <cellStyle name="Note 21 10 4" xfId="11811"/>
    <cellStyle name="Note 21 11" xfId="3559"/>
    <cellStyle name="Note 21 11 2" xfId="8333"/>
    <cellStyle name="Note 21 11 3" xfId="11198"/>
    <cellStyle name="Note 21 11 4" xfId="12036"/>
    <cellStyle name="Note 21 12" xfId="3560"/>
    <cellStyle name="Note 21 12 2" xfId="8334"/>
    <cellStyle name="Note 21 12 3" xfId="11197"/>
    <cellStyle name="Note 21 12 4" xfId="11812"/>
    <cellStyle name="Note 21 13" xfId="3561"/>
    <cellStyle name="Note 21 13 2" xfId="8335"/>
    <cellStyle name="Note 21 13 3" xfId="11196"/>
    <cellStyle name="Note 21 13 4" xfId="12037"/>
    <cellStyle name="Note 21 14" xfId="3562"/>
    <cellStyle name="Note 21 14 2" xfId="8336"/>
    <cellStyle name="Note 21 14 3" xfId="11195"/>
    <cellStyle name="Note 21 14 4" xfId="11813"/>
    <cellStyle name="Note 21 15" xfId="3563"/>
    <cellStyle name="Note 21 15 2" xfId="8337"/>
    <cellStyle name="Note 21 15 3" xfId="11194"/>
    <cellStyle name="Note 21 15 4" xfId="12038"/>
    <cellStyle name="Note 21 16" xfId="3564"/>
    <cellStyle name="Note 21 16 2" xfId="8338"/>
    <cellStyle name="Note 21 16 3" xfId="11193"/>
    <cellStyle name="Note 21 16 4" xfId="11814"/>
    <cellStyle name="Note 21 17" xfId="3565"/>
    <cellStyle name="Note 21 17 2" xfId="8339"/>
    <cellStyle name="Note 21 17 3" xfId="11192"/>
    <cellStyle name="Note 21 17 4" xfId="12039"/>
    <cellStyle name="Note 21 18" xfId="3566"/>
    <cellStyle name="Note 21 18 2" xfId="8340"/>
    <cellStyle name="Note 21 18 3" xfId="11191"/>
    <cellStyle name="Note 21 18 4" xfId="11815"/>
    <cellStyle name="Note 21 19" xfId="3567"/>
    <cellStyle name="Note 21 19 2" xfId="8341"/>
    <cellStyle name="Note 21 19 3" xfId="11190"/>
    <cellStyle name="Note 21 19 4" xfId="12040"/>
    <cellStyle name="Note 21 2" xfId="3568"/>
    <cellStyle name="Note 21 2 2" xfId="8342"/>
    <cellStyle name="Note 21 2 3" xfId="11189"/>
    <cellStyle name="Note 21 2 4" xfId="11816"/>
    <cellStyle name="Note 21 20" xfId="3569"/>
    <cellStyle name="Note 21 20 2" xfId="8343"/>
    <cellStyle name="Note 21 20 3" xfId="11188"/>
    <cellStyle name="Note 21 20 4" xfId="12041"/>
    <cellStyle name="Note 21 21" xfId="3570"/>
    <cellStyle name="Note 21 21 2" xfId="8344"/>
    <cellStyle name="Note 21 21 3" xfId="11187"/>
    <cellStyle name="Note 21 21 4" xfId="11817"/>
    <cellStyle name="Note 21 22" xfId="8331"/>
    <cellStyle name="Note 21 23" xfId="11200"/>
    <cellStyle name="Note 21 24" xfId="11810"/>
    <cellStyle name="Note 21 3" xfId="3571"/>
    <cellStyle name="Note 21 3 2" xfId="8345"/>
    <cellStyle name="Note 21 3 3" xfId="11186"/>
    <cellStyle name="Note 21 3 4" xfId="12042"/>
    <cellStyle name="Note 21 4" xfId="3572"/>
    <cellStyle name="Note 21 4 2" xfId="8346"/>
    <cellStyle name="Note 21 4 3" xfId="11185"/>
    <cellStyle name="Note 21 4 4" xfId="11818"/>
    <cellStyle name="Note 21 5" xfId="3573"/>
    <cellStyle name="Note 21 5 2" xfId="8347"/>
    <cellStyle name="Note 21 5 3" xfId="11184"/>
    <cellStyle name="Note 21 5 4" xfId="12043"/>
    <cellStyle name="Note 21 6" xfId="3574"/>
    <cellStyle name="Note 21 6 2" xfId="8348"/>
    <cellStyle name="Note 21 6 3" xfId="11183"/>
    <cellStyle name="Note 21 6 4" xfId="11819"/>
    <cellStyle name="Note 21 7" xfId="3575"/>
    <cellStyle name="Note 21 7 2" xfId="8349"/>
    <cellStyle name="Note 21 7 3" xfId="11182"/>
    <cellStyle name="Note 21 7 4" xfId="12044"/>
    <cellStyle name="Note 21 8" xfId="3576"/>
    <cellStyle name="Note 21 8 2" xfId="8350"/>
    <cellStyle name="Note 21 8 3" xfId="11181"/>
    <cellStyle name="Note 21 8 4" xfId="11820"/>
    <cellStyle name="Note 21 9" xfId="3577"/>
    <cellStyle name="Note 21 9 2" xfId="8351"/>
    <cellStyle name="Note 21 9 3" xfId="11180"/>
    <cellStyle name="Note 21 9 4" xfId="12045"/>
    <cellStyle name="Note 22" xfId="3578"/>
    <cellStyle name="Note 22 10" xfId="3579"/>
    <cellStyle name="Note 22 10 2" xfId="8353"/>
    <cellStyle name="Note 22 10 3" xfId="11178"/>
    <cellStyle name="Note 22 10 4" xfId="12046"/>
    <cellStyle name="Note 22 11" xfId="3580"/>
    <cellStyle name="Note 22 11 2" xfId="8354"/>
    <cellStyle name="Note 22 11 3" xfId="11177"/>
    <cellStyle name="Note 22 11 4" xfId="11822"/>
    <cellStyle name="Note 22 12" xfId="3581"/>
    <cellStyle name="Note 22 12 2" xfId="8355"/>
    <cellStyle name="Note 22 12 3" xfId="11176"/>
    <cellStyle name="Note 22 12 4" xfId="12047"/>
    <cellStyle name="Note 22 13" xfId="3582"/>
    <cellStyle name="Note 22 13 2" xfId="8356"/>
    <cellStyle name="Note 22 13 3" xfId="11175"/>
    <cellStyle name="Note 22 13 4" xfId="11823"/>
    <cellStyle name="Note 22 14" xfId="3583"/>
    <cellStyle name="Note 22 14 2" xfId="8357"/>
    <cellStyle name="Note 22 14 3" xfId="11174"/>
    <cellStyle name="Note 22 14 4" xfId="12048"/>
    <cellStyle name="Note 22 15" xfId="3584"/>
    <cellStyle name="Note 22 15 2" xfId="8358"/>
    <cellStyle name="Note 22 15 3" xfId="11173"/>
    <cellStyle name="Note 22 15 4" xfId="12035"/>
    <cellStyle name="Note 22 16" xfId="3585"/>
    <cellStyle name="Note 22 16 2" xfId="8359"/>
    <cellStyle name="Note 22 16 3" xfId="11172"/>
    <cellStyle name="Note 22 16 4" xfId="11824"/>
    <cellStyle name="Note 22 17" xfId="3586"/>
    <cellStyle name="Note 22 17 2" xfId="8360"/>
    <cellStyle name="Note 22 17 3" xfId="11171"/>
    <cellStyle name="Note 22 17 4" xfId="12049"/>
    <cellStyle name="Note 22 18" xfId="3587"/>
    <cellStyle name="Note 22 18 2" xfId="8361"/>
    <cellStyle name="Note 22 18 3" xfId="11170"/>
    <cellStyle name="Note 22 18 4" xfId="11825"/>
    <cellStyle name="Note 22 19" xfId="3588"/>
    <cellStyle name="Note 22 19 2" xfId="8362"/>
    <cellStyle name="Note 22 19 3" xfId="11169"/>
    <cellStyle name="Note 22 19 4" xfId="12050"/>
    <cellStyle name="Note 22 2" xfId="3589"/>
    <cellStyle name="Note 22 2 2" xfId="8363"/>
    <cellStyle name="Note 22 2 3" xfId="11168"/>
    <cellStyle name="Note 22 2 4" xfId="11826"/>
    <cellStyle name="Note 22 20" xfId="3590"/>
    <cellStyle name="Note 22 20 2" xfId="8364"/>
    <cellStyle name="Note 22 20 3" xfId="11167"/>
    <cellStyle name="Note 22 20 4" xfId="12051"/>
    <cellStyle name="Note 22 21" xfId="3591"/>
    <cellStyle name="Note 22 21 2" xfId="8365"/>
    <cellStyle name="Note 22 21 3" xfId="11166"/>
    <cellStyle name="Note 22 21 4" xfId="11827"/>
    <cellStyle name="Note 22 22" xfId="8352"/>
    <cellStyle name="Note 22 23" xfId="11179"/>
    <cellStyle name="Note 22 24" xfId="11821"/>
    <cellStyle name="Note 22 3" xfId="3592"/>
    <cellStyle name="Note 22 3 2" xfId="8366"/>
    <cellStyle name="Note 22 3 3" xfId="11165"/>
    <cellStyle name="Note 22 3 4" xfId="12052"/>
    <cellStyle name="Note 22 4" xfId="3593"/>
    <cellStyle name="Note 22 4 2" xfId="8367"/>
    <cellStyle name="Note 22 4 3" xfId="11164"/>
    <cellStyle name="Note 22 4 4" xfId="11828"/>
    <cellStyle name="Note 22 5" xfId="3594"/>
    <cellStyle name="Note 22 5 2" xfId="8368"/>
    <cellStyle name="Note 22 5 3" xfId="11163"/>
    <cellStyle name="Note 22 5 4" xfId="12053"/>
    <cellStyle name="Note 22 6" xfId="3595"/>
    <cellStyle name="Note 22 6 2" xfId="8369"/>
    <cellStyle name="Note 22 6 3" xfId="11162"/>
    <cellStyle name="Note 22 6 4" xfId="11829"/>
    <cellStyle name="Note 22 7" xfId="3596"/>
    <cellStyle name="Note 22 7 2" xfId="8370"/>
    <cellStyle name="Note 22 7 3" xfId="11161"/>
    <cellStyle name="Note 22 7 4" xfId="12054"/>
    <cellStyle name="Note 22 8" xfId="3597"/>
    <cellStyle name="Note 22 8 2" xfId="8371"/>
    <cellStyle name="Note 22 8 3" xfId="11160"/>
    <cellStyle name="Note 22 8 4" xfId="11830"/>
    <cellStyle name="Note 22 9" xfId="3598"/>
    <cellStyle name="Note 22 9 2" xfId="8372"/>
    <cellStyle name="Note 22 9 3" xfId="11159"/>
    <cellStyle name="Note 22 9 4" xfId="12055"/>
    <cellStyle name="Note 23" xfId="3599"/>
    <cellStyle name="Note 23 10" xfId="3600"/>
    <cellStyle name="Note 23 10 2" xfId="8374"/>
    <cellStyle name="Note 23 10 3" xfId="11157"/>
    <cellStyle name="Note 23 10 4" xfId="12056"/>
    <cellStyle name="Note 23 11" xfId="3601"/>
    <cellStyle name="Note 23 11 2" xfId="8375"/>
    <cellStyle name="Note 23 11 3" xfId="11156"/>
    <cellStyle name="Note 23 11 4" xfId="11832"/>
    <cellStyle name="Note 23 12" xfId="3602"/>
    <cellStyle name="Note 23 12 2" xfId="8376"/>
    <cellStyle name="Note 23 12 3" xfId="11155"/>
    <cellStyle name="Note 23 12 4" xfId="12057"/>
    <cellStyle name="Note 23 13" xfId="3603"/>
    <cellStyle name="Note 23 13 2" xfId="8377"/>
    <cellStyle name="Note 23 13 3" xfId="11154"/>
    <cellStyle name="Note 23 13 4" xfId="11833"/>
    <cellStyle name="Note 23 14" xfId="3604"/>
    <cellStyle name="Note 23 14 2" xfId="8378"/>
    <cellStyle name="Note 23 14 3" xfId="11153"/>
    <cellStyle name="Note 23 14 4" xfId="11834"/>
    <cellStyle name="Note 23 15" xfId="3605"/>
    <cellStyle name="Note 23 15 2" xfId="8379"/>
    <cellStyle name="Note 23 15 3" xfId="11152"/>
    <cellStyle name="Note 23 15 4" xfId="11835"/>
    <cellStyle name="Note 23 16" xfId="3606"/>
    <cellStyle name="Note 23 16 2" xfId="8380"/>
    <cellStyle name="Note 23 16 3" xfId="11151"/>
    <cellStyle name="Note 23 16 4" xfId="12060"/>
    <cellStyle name="Note 23 17" xfId="3607"/>
    <cellStyle name="Note 23 17 2" xfId="8381"/>
    <cellStyle name="Note 23 17 3" xfId="11150"/>
    <cellStyle name="Note 23 17 4" xfId="11836"/>
    <cellStyle name="Note 23 18" xfId="3608"/>
    <cellStyle name="Note 23 18 2" xfId="8382"/>
    <cellStyle name="Note 23 18 3" xfId="11149"/>
    <cellStyle name="Note 23 18 4" xfId="12061"/>
    <cellStyle name="Note 23 19" xfId="3609"/>
    <cellStyle name="Note 23 19 2" xfId="8383"/>
    <cellStyle name="Note 23 19 3" xfId="11147"/>
    <cellStyle name="Note 23 19 4" xfId="11837"/>
    <cellStyle name="Note 23 2" xfId="3610"/>
    <cellStyle name="Note 23 2 2" xfId="8384"/>
    <cellStyle name="Note 23 2 3" xfId="11146"/>
    <cellStyle name="Note 23 2 4" xfId="12062"/>
    <cellStyle name="Note 23 20" xfId="3611"/>
    <cellStyle name="Note 23 20 2" xfId="8385"/>
    <cellStyle name="Note 23 20 3" xfId="11145"/>
    <cellStyle name="Note 23 20 4" xfId="11838"/>
    <cellStyle name="Note 23 21" xfId="3612"/>
    <cellStyle name="Note 23 21 2" xfId="8386"/>
    <cellStyle name="Note 23 21 3" xfId="11144"/>
    <cellStyle name="Note 23 21 4" xfId="12063"/>
    <cellStyle name="Note 23 22" xfId="8373"/>
    <cellStyle name="Note 23 23" xfId="11158"/>
    <cellStyle name="Note 23 24" xfId="11831"/>
    <cellStyle name="Note 23 3" xfId="3613"/>
    <cellStyle name="Note 23 3 2" xfId="8387"/>
    <cellStyle name="Note 23 3 3" xfId="11143"/>
    <cellStyle name="Note 23 3 4" xfId="11839"/>
    <cellStyle name="Note 23 4" xfId="3614"/>
    <cellStyle name="Note 23 4 2" xfId="8388"/>
    <cellStyle name="Note 23 4 3" xfId="11142"/>
    <cellStyle name="Note 23 4 4" xfId="12064"/>
    <cellStyle name="Note 23 5" xfId="3615"/>
    <cellStyle name="Note 23 5 2" xfId="8389"/>
    <cellStyle name="Note 23 5 3" xfId="11110"/>
    <cellStyle name="Note 23 5 4" xfId="11840"/>
    <cellStyle name="Note 23 6" xfId="3616"/>
    <cellStyle name="Note 23 6 2" xfId="8390"/>
    <cellStyle name="Note 23 6 3" xfId="11109"/>
    <cellStyle name="Note 23 6 4" xfId="12065"/>
    <cellStyle name="Note 23 7" xfId="3617"/>
    <cellStyle name="Note 23 7 2" xfId="8391"/>
    <cellStyle name="Note 23 7 3" xfId="11108"/>
    <cellStyle name="Note 23 7 4" xfId="11841"/>
    <cellStyle name="Note 23 8" xfId="3618"/>
    <cellStyle name="Note 23 8 2" xfId="8392"/>
    <cellStyle name="Note 23 8 3" xfId="11107"/>
    <cellStyle name="Note 23 8 4" xfId="12066"/>
    <cellStyle name="Note 23 9" xfId="3619"/>
    <cellStyle name="Note 23 9 2" xfId="8393"/>
    <cellStyle name="Note 23 9 3" xfId="11106"/>
    <cellStyle name="Note 23 9 4" xfId="11842"/>
    <cellStyle name="Note 24" xfId="3620"/>
    <cellStyle name="Note 24 10" xfId="3621"/>
    <cellStyle name="Note 24 10 2" xfId="8395"/>
    <cellStyle name="Note 24 10 3" xfId="11104"/>
    <cellStyle name="Note 24 10 4" xfId="11843"/>
    <cellStyle name="Note 24 11" xfId="3622"/>
    <cellStyle name="Note 24 11 2" xfId="8396"/>
    <cellStyle name="Note 24 11 3" xfId="11103"/>
    <cellStyle name="Note 24 11 4" xfId="12068"/>
    <cellStyle name="Note 24 12" xfId="3623"/>
    <cellStyle name="Note 24 12 2" xfId="8397"/>
    <cellStyle name="Note 24 12 3" xfId="11102"/>
    <cellStyle name="Note 24 12 4" xfId="11844"/>
    <cellStyle name="Note 24 13" xfId="3624"/>
    <cellStyle name="Note 24 13 2" xfId="8398"/>
    <cellStyle name="Note 24 13 3" xfId="11101"/>
    <cellStyle name="Note 24 13 4" xfId="12069"/>
    <cellStyle name="Note 24 14" xfId="3625"/>
    <cellStyle name="Note 24 14 2" xfId="8399"/>
    <cellStyle name="Note 24 14 3" xfId="11100"/>
    <cellStyle name="Note 24 14 4" xfId="11845"/>
    <cellStyle name="Note 24 15" xfId="3626"/>
    <cellStyle name="Note 24 15 2" xfId="8400"/>
    <cellStyle name="Note 24 15 3" xfId="11099"/>
    <cellStyle name="Note 24 15 4" xfId="12070"/>
    <cellStyle name="Note 24 16" xfId="3627"/>
    <cellStyle name="Note 24 16 2" xfId="8401"/>
    <cellStyle name="Note 24 16 3" xfId="11098"/>
    <cellStyle name="Note 24 16 4" xfId="11846"/>
    <cellStyle name="Note 24 17" xfId="3628"/>
    <cellStyle name="Note 24 17 2" xfId="8402"/>
    <cellStyle name="Note 24 17 3" xfId="11097"/>
    <cellStyle name="Note 24 17 4" xfId="12071"/>
    <cellStyle name="Note 24 18" xfId="3629"/>
    <cellStyle name="Note 24 18 2" xfId="8403"/>
    <cellStyle name="Note 24 18 3" xfId="11096"/>
    <cellStyle name="Note 24 18 4" xfId="11847"/>
    <cellStyle name="Note 24 19" xfId="3630"/>
    <cellStyle name="Note 24 19 2" xfId="8404"/>
    <cellStyle name="Note 24 19 3" xfId="11095"/>
    <cellStyle name="Note 24 19 4" xfId="12072"/>
    <cellStyle name="Note 24 2" xfId="3631"/>
    <cellStyle name="Note 24 2 2" xfId="8405"/>
    <cellStyle name="Note 24 2 3" xfId="11094"/>
    <cellStyle name="Note 24 2 4" xfId="11848"/>
    <cellStyle name="Note 24 20" xfId="3632"/>
    <cellStyle name="Note 24 20 2" xfId="8406"/>
    <cellStyle name="Note 24 20 3" xfId="11093"/>
    <cellStyle name="Note 24 20 4" xfId="12073"/>
    <cellStyle name="Note 24 21" xfId="3633"/>
    <cellStyle name="Note 24 21 2" xfId="8407"/>
    <cellStyle name="Note 24 21 3" xfId="11092"/>
    <cellStyle name="Note 24 21 4" xfId="12059"/>
    <cellStyle name="Note 24 22" xfId="8394"/>
    <cellStyle name="Note 24 23" xfId="11105"/>
    <cellStyle name="Note 24 24" xfId="12067"/>
    <cellStyle name="Note 24 3" xfId="3634"/>
    <cellStyle name="Note 24 3 2" xfId="8408"/>
    <cellStyle name="Note 24 3 3" xfId="11091"/>
    <cellStyle name="Note 24 3 4" xfId="11849"/>
    <cellStyle name="Note 24 4" xfId="3635"/>
    <cellStyle name="Note 24 4 2" xfId="8409"/>
    <cellStyle name="Note 24 4 3" xfId="11090"/>
    <cellStyle name="Note 24 4 4" xfId="12074"/>
    <cellStyle name="Note 24 5" xfId="3636"/>
    <cellStyle name="Note 24 5 2" xfId="8410"/>
    <cellStyle name="Note 24 5 3" xfId="11089"/>
    <cellStyle name="Note 24 5 4" xfId="11850"/>
    <cellStyle name="Note 24 6" xfId="3637"/>
    <cellStyle name="Note 24 6 2" xfId="8411"/>
    <cellStyle name="Note 24 6 3" xfId="11088"/>
    <cellStyle name="Note 24 6 4" xfId="12075"/>
    <cellStyle name="Note 24 7" xfId="3638"/>
    <cellStyle name="Note 24 7 2" xfId="8412"/>
    <cellStyle name="Note 24 7 3" xfId="11087"/>
    <cellStyle name="Note 24 7 4" xfId="11851"/>
    <cellStyle name="Note 24 8" xfId="3639"/>
    <cellStyle name="Note 24 8 2" xfId="8413"/>
    <cellStyle name="Note 24 8 3" xfId="11086"/>
    <cellStyle name="Note 24 8 4" xfId="12076"/>
    <cellStyle name="Note 24 9" xfId="3640"/>
    <cellStyle name="Note 24 9 2" xfId="8414"/>
    <cellStyle name="Note 24 9 3" xfId="11085"/>
    <cellStyle name="Note 24 9 4" xfId="11852"/>
    <cellStyle name="Note 25" xfId="3641"/>
    <cellStyle name="Note 25 10" xfId="3642"/>
    <cellStyle name="Note 25 10 2" xfId="8416"/>
    <cellStyle name="Note 25 10 3" xfId="11083"/>
    <cellStyle name="Note 25 10 4" xfId="11853"/>
    <cellStyle name="Note 25 11" xfId="3643"/>
    <cellStyle name="Note 25 11 2" xfId="8417"/>
    <cellStyle name="Note 25 11 3" xfId="11082"/>
    <cellStyle name="Note 25 11 4" xfId="12078"/>
    <cellStyle name="Note 25 12" xfId="3644"/>
    <cellStyle name="Note 25 12 2" xfId="8418"/>
    <cellStyle name="Note 25 12 3" xfId="11081"/>
    <cellStyle name="Note 25 12 4" xfId="11854"/>
    <cellStyle name="Note 25 13" xfId="3645"/>
    <cellStyle name="Note 25 13 2" xfId="8419"/>
    <cellStyle name="Note 25 13 3" xfId="11080"/>
    <cellStyle name="Note 25 13 4" xfId="12079"/>
    <cellStyle name="Note 25 14" xfId="3646"/>
    <cellStyle name="Note 25 14 2" xfId="8420"/>
    <cellStyle name="Note 25 14 3" xfId="11079"/>
    <cellStyle name="Note 25 14 4" xfId="11855"/>
    <cellStyle name="Note 25 15" xfId="3647"/>
    <cellStyle name="Note 25 15 2" xfId="8421"/>
    <cellStyle name="Note 25 15 3" xfId="11078"/>
    <cellStyle name="Note 25 15 4" xfId="12080"/>
    <cellStyle name="Note 25 16" xfId="3648"/>
    <cellStyle name="Note 25 16 2" xfId="8422"/>
    <cellStyle name="Note 25 16 3" xfId="11077"/>
    <cellStyle name="Note 25 16 4" xfId="11856"/>
    <cellStyle name="Note 25 17" xfId="3649"/>
    <cellStyle name="Note 25 17 2" xfId="8423"/>
    <cellStyle name="Note 25 17 3" xfId="11076"/>
    <cellStyle name="Note 25 17 4" xfId="11857"/>
    <cellStyle name="Note 25 18" xfId="3650"/>
    <cellStyle name="Note 25 18 2" xfId="8424"/>
    <cellStyle name="Note 25 18 3" xfId="11075"/>
    <cellStyle name="Note 25 18 4" xfId="12082"/>
    <cellStyle name="Note 25 19" xfId="3651"/>
    <cellStyle name="Note 25 19 2" xfId="8425"/>
    <cellStyle name="Note 25 19 3" xfId="11074"/>
    <cellStyle name="Note 25 19 4" xfId="11858"/>
    <cellStyle name="Note 25 2" xfId="3652"/>
    <cellStyle name="Note 25 2 2" xfId="8426"/>
    <cellStyle name="Note 25 2 3" xfId="11073"/>
    <cellStyle name="Note 25 2 4" xfId="12083"/>
    <cellStyle name="Note 25 20" xfId="3653"/>
    <cellStyle name="Note 25 20 2" xfId="8427"/>
    <cellStyle name="Note 25 20 3" xfId="11072"/>
    <cellStyle name="Note 25 20 4" xfId="11859"/>
    <cellStyle name="Note 25 21" xfId="3654"/>
    <cellStyle name="Note 25 21 2" xfId="8428"/>
    <cellStyle name="Note 25 21 3" xfId="11071"/>
    <cellStyle name="Note 25 21 4" xfId="12084"/>
    <cellStyle name="Note 25 22" xfId="8415"/>
    <cellStyle name="Note 25 23" xfId="11084"/>
    <cellStyle name="Note 25 24" xfId="12077"/>
    <cellStyle name="Note 25 3" xfId="3655"/>
    <cellStyle name="Note 25 3 2" xfId="8429"/>
    <cellStyle name="Note 25 3 3" xfId="11070"/>
    <cellStyle name="Note 25 3 4" xfId="11860"/>
    <cellStyle name="Note 25 4" xfId="3656"/>
    <cellStyle name="Note 25 4 2" xfId="8430"/>
    <cellStyle name="Note 25 4 3" xfId="11069"/>
    <cellStyle name="Note 25 4 4" xfId="12085"/>
    <cellStyle name="Note 25 5" xfId="3657"/>
    <cellStyle name="Note 25 5 2" xfId="8431"/>
    <cellStyle name="Note 25 5 3" xfId="11068"/>
    <cellStyle name="Note 25 5 4" xfId="11861"/>
    <cellStyle name="Note 25 6" xfId="3658"/>
    <cellStyle name="Note 25 6 2" xfId="8432"/>
    <cellStyle name="Note 25 6 3" xfId="11067"/>
    <cellStyle name="Note 25 6 4" xfId="12086"/>
    <cellStyle name="Note 25 7" xfId="3659"/>
    <cellStyle name="Note 25 7 2" xfId="8433"/>
    <cellStyle name="Note 25 7 3" xfId="11066"/>
    <cellStyle name="Note 25 7 4" xfId="11862"/>
    <cellStyle name="Note 25 8" xfId="3660"/>
    <cellStyle name="Note 25 8 2" xfId="8434"/>
    <cellStyle name="Note 25 8 3" xfId="11065"/>
    <cellStyle name="Note 25 8 4" xfId="12087"/>
    <cellStyle name="Note 25 9" xfId="3661"/>
    <cellStyle name="Note 25 9 2" xfId="8435"/>
    <cellStyle name="Note 25 9 3" xfId="11064"/>
    <cellStyle name="Note 25 9 4" xfId="11863"/>
    <cellStyle name="Note 26" xfId="3662"/>
    <cellStyle name="Note 26 10" xfId="3663"/>
    <cellStyle name="Note 26 10 2" xfId="8437"/>
    <cellStyle name="Note 26 10 3" xfId="11062"/>
    <cellStyle name="Note 26 10 4" xfId="11864"/>
    <cellStyle name="Note 26 11" xfId="3664"/>
    <cellStyle name="Note 26 11 2" xfId="8438"/>
    <cellStyle name="Note 26 11 3" xfId="11061"/>
    <cellStyle name="Note 26 11 4" xfId="12089"/>
    <cellStyle name="Note 26 12" xfId="3665"/>
    <cellStyle name="Note 26 12 2" xfId="8439"/>
    <cellStyle name="Note 26 12 3" xfId="11060"/>
    <cellStyle name="Note 26 12 4" xfId="11865"/>
    <cellStyle name="Note 26 13" xfId="3666"/>
    <cellStyle name="Note 26 13 2" xfId="8440"/>
    <cellStyle name="Note 26 13 3" xfId="11059"/>
    <cellStyle name="Note 26 13 4" xfId="12090"/>
    <cellStyle name="Note 26 14" xfId="3667"/>
    <cellStyle name="Note 26 14 2" xfId="8441"/>
    <cellStyle name="Note 26 14 3" xfId="11058"/>
    <cellStyle name="Note 26 14 4" xfId="11866"/>
    <cellStyle name="Note 26 15" xfId="3668"/>
    <cellStyle name="Note 26 15 2" xfId="8442"/>
    <cellStyle name="Note 26 15 3" xfId="11057"/>
    <cellStyle name="Note 26 15 4" xfId="12091"/>
    <cellStyle name="Note 26 16" xfId="3669"/>
    <cellStyle name="Note 26 16 2" xfId="8443"/>
    <cellStyle name="Note 26 16 3" xfId="11056"/>
    <cellStyle name="Note 26 16 4" xfId="11867"/>
    <cellStyle name="Note 26 17" xfId="3670"/>
    <cellStyle name="Note 26 17 2" xfId="8444"/>
    <cellStyle name="Note 26 17 3" xfId="11055"/>
    <cellStyle name="Note 26 17 4" xfId="12092"/>
    <cellStyle name="Note 26 18" xfId="3671"/>
    <cellStyle name="Note 26 18 2" xfId="8445"/>
    <cellStyle name="Note 26 18 3" xfId="11054"/>
    <cellStyle name="Note 26 18 4" xfId="11868"/>
    <cellStyle name="Note 26 19" xfId="3672"/>
    <cellStyle name="Note 26 19 2" xfId="8446"/>
    <cellStyle name="Note 26 19 3" xfId="11053"/>
    <cellStyle name="Note 26 19 4" xfId="12093"/>
    <cellStyle name="Note 26 2" xfId="3673"/>
    <cellStyle name="Note 26 2 2" xfId="8447"/>
    <cellStyle name="Note 26 2 3" xfId="11052"/>
    <cellStyle name="Note 26 2 4" xfId="11869"/>
    <cellStyle name="Note 26 20" xfId="3674"/>
    <cellStyle name="Note 26 20 2" xfId="8448"/>
    <cellStyle name="Note 26 20 3" xfId="11051"/>
    <cellStyle name="Note 26 20 4" xfId="12094"/>
    <cellStyle name="Note 26 21" xfId="3675"/>
    <cellStyle name="Note 26 21 2" xfId="8449"/>
    <cellStyle name="Note 26 21 3" xfId="11050"/>
    <cellStyle name="Note 26 21 4" xfId="11870"/>
    <cellStyle name="Note 26 22" xfId="8436"/>
    <cellStyle name="Note 26 23" xfId="11063"/>
    <cellStyle name="Note 26 24" xfId="12088"/>
    <cellStyle name="Note 26 3" xfId="3676"/>
    <cellStyle name="Note 26 3 2" xfId="8450"/>
    <cellStyle name="Note 26 3 3" xfId="11049"/>
    <cellStyle name="Note 26 3 4" xfId="12095"/>
    <cellStyle name="Note 26 4" xfId="3677"/>
    <cellStyle name="Note 26 4 2" xfId="8451"/>
    <cellStyle name="Note 26 4 3" xfId="11048"/>
    <cellStyle name="Note 26 4 4" xfId="12081"/>
    <cellStyle name="Note 26 5" xfId="3678"/>
    <cellStyle name="Note 26 5 2" xfId="8452"/>
    <cellStyle name="Note 26 5 3" xfId="11047"/>
    <cellStyle name="Note 26 5 4" xfId="11871"/>
    <cellStyle name="Note 26 6" xfId="3679"/>
    <cellStyle name="Note 26 6 2" xfId="8453"/>
    <cellStyle name="Note 26 6 3" xfId="11046"/>
    <cellStyle name="Note 26 6 4" xfId="12096"/>
    <cellStyle name="Note 26 7" xfId="3680"/>
    <cellStyle name="Note 26 7 2" xfId="8454"/>
    <cellStyle name="Note 26 7 3" xfId="11045"/>
    <cellStyle name="Note 26 7 4" xfId="11872"/>
    <cellStyle name="Note 26 8" xfId="3681"/>
    <cellStyle name="Note 26 8 2" xfId="8455"/>
    <cellStyle name="Note 26 8 3" xfId="11044"/>
    <cellStyle name="Note 26 8 4" xfId="12097"/>
    <cellStyle name="Note 26 9" xfId="3682"/>
    <cellStyle name="Note 26 9 2" xfId="8456"/>
    <cellStyle name="Note 26 9 3" xfId="11043"/>
    <cellStyle name="Note 26 9 4" xfId="11873"/>
    <cellStyle name="Note 27" xfId="3683"/>
    <cellStyle name="Note 27 10" xfId="3684"/>
    <cellStyle name="Note 27 10 2" xfId="8458"/>
    <cellStyle name="Note 27 10 3" xfId="11041"/>
    <cellStyle name="Note 27 10 4" xfId="11874"/>
    <cellStyle name="Note 27 11" xfId="3685"/>
    <cellStyle name="Note 27 11 2" xfId="8459"/>
    <cellStyle name="Note 27 11 3" xfId="11040"/>
    <cellStyle name="Note 27 11 4" xfId="12099"/>
    <cellStyle name="Note 27 12" xfId="3686"/>
    <cellStyle name="Note 27 12 2" xfId="8460"/>
    <cellStyle name="Note 27 12 3" xfId="11039"/>
    <cellStyle name="Note 27 12 4" xfId="11875"/>
    <cellStyle name="Note 27 13" xfId="3687"/>
    <cellStyle name="Note 27 13 2" xfId="8461"/>
    <cellStyle name="Note 27 13 3" xfId="11038"/>
    <cellStyle name="Note 27 13 4" xfId="12100"/>
    <cellStyle name="Note 27 14" xfId="3688"/>
    <cellStyle name="Note 27 14 2" xfId="8462"/>
    <cellStyle name="Note 27 14 3" xfId="11037"/>
    <cellStyle name="Note 27 14 4" xfId="11876"/>
    <cellStyle name="Note 27 15" xfId="3689"/>
    <cellStyle name="Note 27 15 2" xfId="8463"/>
    <cellStyle name="Note 27 15 3" xfId="11036"/>
    <cellStyle name="Note 27 15 4" xfId="12101"/>
    <cellStyle name="Note 27 16" xfId="3690"/>
    <cellStyle name="Note 27 16 2" xfId="8464"/>
    <cellStyle name="Note 27 16 3" xfId="11035"/>
    <cellStyle name="Note 27 16 4" xfId="11877"/>
    <cellStyle name="Note 27 17" xfId="3691"/>
    <cellStyle name="Note 27 17 2" xfId="8465"/>
    <cellStyle name="Note 27 17 3" xfId="11034"/>
    <cellStyle name="Note 27 17 4" xfId="12102"/>
    <cellStyle name="Note 27 18" xfId="3692"/>
    <cellStyle name="Note 27 18 2" xfId="8466"/>
    <cellStyle name="Note 27 18 3" xfId="11033"/>
    <cellStyle name="Note 27 18 4" xfId="11878"/>
    <cellStyle name="Note 27 19" xfId="3693"/>
    <cellStyle name="Note 27 19 2" xfId="8467"/>
    <cellStyle name="Note 27 19 3" xfId="11032"/>
    <cellStyle name="Note 27 19 4" xfId="11879"/>
    <cellStyle name="Note 27 2" xfId="3694"/>
    <cellStyle name="Note 27 2 10" xfId="3695"/>
    <cellStyle name="Note 27 2 10 2" xfId="8469"/>
    <cellStyle name="Note 27 2 10 3" xfId="11030"/>
    <cellStyle name="Note 27 2 10 4" xfId="11880"/>
    <cellStyle name="Note 27 2 11" xfId="3696"/>
    <cellStyle name="Note 27 2 11 2" xfId="8470"/>
    <cellStyle name="Note 27 2 11 3" xfId="11029"/>
    <cellStyle name="Note 27 2 11 4" xfId="12105"/>
    <cellStyle name="Note 27 2 12" xfId="3697"/>
    <cellStyle name="Note 27 2 12 2" xfId="8471"/>
    <cellStyle name="Note 27 2 12 3" xfId="11028"/>
    <cellStyle name="Note 27 2 12 4" xfId="11881"/>
    <cellStyle name="Note 27 2 13" xfId="3698"/>
    <cellStyle name="Note 27 2 13 2" xfId="8472"/>
    <cellStyle name="Note 27 2 13 3" xfId="11027"/>
    <cellStyle name="Note 27 2 13 4" xfId="12106"/>
    <cellStyle name="Note 27 2 14" xfId="3699"/>
    <cellStyle name="Note 27 2 14 2" xfId="8473"/>
    <cellStyle name="Note 27 2 14 3" xfId="11026"/>
    <cellStyle name="Note 27 2 14 4" xfId="11882"/>
    <cellStyle name="Note 27 2 15" xfId="3700"/>
    <cellStyle name="Note 27 2 15 2" xfId="8474"/>
    <cellStyle name="Note 27 2 15 3" xfId="11025"/>
    <cellStyle name="Note 27 2 15 4" xfId="12107"/>
    <cellStyle name="Note 27 2 16" xfId="3701"/>
    <cellStyle name="Note 27 2 16 2" xfId="8475"/>
    <cellStyle name="Note 27 2 16 3" xfId="11024"/>
    <cellStyle name="Note 27 2 16 4" xfId="11883"/>
    <cellStyle name="Note 27 2 17" xfId="3702"/>
    <cellStyle name="Note 27 2 17 2" xfId="8476"/>
    <cellStyle name="Note 27 2 17 3" xfId="11023"/>
    <cellStyle name="Note 27 2 17 4" xfId="12108"/>
    <cellStyle name="Note 27 2 18" xfId="3703"/>
    <cellStyle name="Note 27 2 18 2" xfId="8477"/>
    <cellStyle name="Note 27 2 18 3" xfId="11022"/>
    <cellStyle name="Note 27 2 18 4" xfId="11884"/>
    <cellStyle name="Note 27 2 19" xfId="3704"/>
    <cellStyle name="Note 27 2 19 2" xfId="8478"/>
    <cellStyle name="Note 27 2 19 3" xfId="11021"/>
    <cellStyle name="Note 27 2 19 4" xfId="12109"/>
    <cellStyle name="Note 27 2 2" xfId="3705"/>
    <cellStyle name="Note 27 2 2 2" xfId="8479"/>
    <cellStyle name="Note 27 2 2 3" xfId="11020"/>
    <cellStyle name="Note 27 2 2 4" xfId="11885"/>
    <cellStyle name="Note 27 2 20" xfId="3706"/>
    <cellStyle name="Note 27 2 20 2" xfId="8480"/>
    <cellStyle name="Note 27 2 20 3" xfId="11019"/>
    <cellStyle name="Note 27 2 20 4" xfId="12110"/>
    <cellStyle name="Note 27 2 21" xfId="3707"/>
    <cellStyle name="Note 27 2 21 2" xfId="8481"/>
    <cellStyle name="Note 27 2 21 3" xfId="11018"/>
    <cellStyle name="Note 27 2 21 4" xfId="11886"/>
    <cellStyle name="Note 27 2 22" xfId="8468"/>
    <cellStyle name="Note 27 2 23" xfId="11031"/>
    <cellStyle name="Note 27 2 24" xfId="12104"/>
    <cellStyle name="Note 27 2 3" xfId="3708"/>
    <cellStyle name="Note 27 2 3 2" xfId="8482"/>
    <cellStyle name="Note 27 2 3 3" xfId="11017"/>
    <cellStyle name="Note 27 2 3 4" xfId="12111"/>
    <cellStyle name="Note 27 2 4" xfId="3709"/>
    <cellStyle name="Note 27 2 4 2" xfId="8483"/>
    <cellStyle name="Note 27 2 4 3" xfId="11016"/>
    <cellStyle name="Note 27 2 4 4" xfId="11887"/>
    <cellStyle name="Note 27 2 5" xfId="3710"/>
    <cellStyle name="Note 27 2 5 2" xfId="8484"/>
    <cellStyle name="Note 27 2 5 3" xfId="11015"/>
    <cellStyle name="Note 27 2 5 4" xfId="12112"/>
    <cellStyle name="Note 27 2 6" xfId="3711"/>
    <cellStyle name="Note 27 2 6 2" xfId="8485"/>
    <cellStyle name="Note 27 2 6 3" xfId="11014"/>
    <cellStyle name="Note 27 2 6 4" xfId="11888"/>
    <cellStyle name="Note 27 2 7" xfId="3712"/>
    <cellStyle name="Note 27 2 7 2" xfId="8486"/>
    <cellStyle name="Note 27 2 7 3" xfId="11013"/>
    <cellStyle name="Note 27 2 7 4" xfId="12113"/>
    <cellStyle name="Note 27 2 8" xfId="3713"/>
    <cellStyle name="Note 27 2 8 2" xfId="8487"/>
    <cellStyle name="Note 27 2 8 3" xfId="11012"/>
    <cellStyle name="Note 27 2 8 4" xfId="11889"/>
    <cellStyle name="Note 27 2 9" xfId="3714"/>
    <cellStyle name="Note 27 2 9 2" xfId="8488"/>
    <cellStyle name="Note 27 2 9 3" xfId="11011"/>
    <cellStyle name="Note 27 2 9 4" xfId="12114"/>
    <cellStyle name="Note 27 20" xfId="3715"/>
    <cellStyle name="Note 27 20 2" xfId="8489"/>
    <cellStyle name="Note 27 20 3" xfId="11010"/>
    <cellStyle name="Note 27 20 4" xfId="11890"/>
    <cellStyle name="Note 27 21" xfId="3716"/>
    <cellStyle name="Note 27 21 2" xfId="8490"/>
    <cellStyle name="Note 27 21 3" xfId="11009"/>
    <cellStyle name="Note 27 21 4" xfId="12115"/>
    <cellStyle name="Note 27 22" xfId="3717"/>
    <cellStyle name="Note 27 22 2" xfId="8491"/>
    <cellStyle name="Note 27 22 3" xfId="11008"/>
    <cellStyle name="Note 27 22 4" xfId="11891"/>
    <cellStyle name="Note 27 23" xfId="8457"/>
    <cellStyle name="Note 27 24" xfId="11042"/>
    <cellStyle name="Note 27 25" xfId="12098"/>
    <cellStyle name="Note 27 3" xfId="3718"/>
    <cellStyle name="Note 27 3 2" xfId="8492"/>
    <cellStyle name="Note 27 3 3" xfId="11007"/>
    <cellStyle name="Note 27 3 4" xfId="12116"/>
    <cellStyle name="Note 27 4" xfId="3719"/>
    <cellStyle name="Note 27 4 2" xfId="8493"/>
    <cellStyle name="Note 27 4 3" xfId="11006"/>
    <cellStyle name="Note 27 4 4" xfId="12103"/>
    <cellStyle name="Note 27 5" xfId="3720"/>
    <cellStyle name="Note 27 5 2" xfId="8494"/>
    <cellStyle name="Note 27 5 3" xfId="11005"/>
    <cellStyle name="Note 27 5 4" xfId="11892"/>
    <cellStyle name="Note 27 6" xfId="3721"/>
    <cellStyle name="Note 27 6 2" xfId="8495"/>
    <cellStyle name="Note 27 6 3" xfId="11004"/>
    <cellStyle name="Note 27 6 4" xfId="12117"/>
    <cellStyle name="Note 27 7" xfId="3722"/>
    <cellStyle name="Note 27 7 2" xfId="8496"/>
    <cellStyle name="Note 27 7 3" xfId="11003"/>
    <cellStyle name="Note 27 7 4" xfId="11893"/>
    <cellStyle name="Note 27 8" xfId="3723"/>
    <cellStyle name="Note 27 8 2" xfId="8497"/>
    <cellStyle name="Note 27 8 3" xfId="11002"/>
    <cellStyle name="Note 27 8 4" xfId="12118"/>
    <cellStyle name="Note 27 9" xfId="3724"/>
    <cellStyle name="Note 27 9 2" xfId="8498"/>
    <cellStyle name="Note 27 9 3" xfId="11001"/>
    <cellStyle name="Note 27 9 4" xfId="11894"/>
    <cellStyle name="Note 28" xfId="3725"/>
    <cellStyle name="Note 28 2" xfId="3726"/>
    <cellStyle name="Note 28 2 2" xfId="8500"/>
    <cellStyle name="Note 28 2 3" xfId="10999"/>
    <cellStyle name="Note 28 2 4" xfId="11895"/>
    <cellStyle name="Note 28 3" xfId="8499"/>
    <cellStyle name="Note 28 4" xfId="11000"/>
    <cellStyle name="Note 28 5" xfId="12119"/>
    <cellStyle name="Note 29" xfId="3727"/>
    <cellStyle name="Note 29 2" xfId="8501"/>
    <cellStyle name="Note 29 3" xfId="10998"/>
    <cellStyle name="Note 29 4" xfId="12120"/>
    <cellStyle name="Note 3" xfId="3728"/>
    <cellStyle name="Note 3 10" xfId="3729"/>
    <cellStyle name="Note 3 10 2" xfId="8503"/>
    <cellStyle name="Note 3 10 3" xfId="10996"/>
    <cellStyle name="Note 3 10 4" xfId="12121"/>
    <cellStyle name="Note 3 11" xfId="3730"/>
    <cellStyle name="Note 3 11 2" xfId="8504"/>
    <cellStyle name="Note 3 11 3" xfId="10995"/>
    <cellStyle name="Note 3 11 4" xfId="11897"/>
    <cellStyle name="Note 3 12" xfId="3731"/>
    <cellStyle name="Note 3 12 2" xfId="8505"/>
    <cellStyle name="Note 3 12 3" xfId="10994"/>
    <cellStyle name="Note 3 12 4" xfId="12122"/>
    <cellStyle name="Note 3 13" xfId="3732"/>
    <cellStyle name="Note 3 13 2" xfId="8506"/>
    <cellStyle name="Note 3 13 3" xfId="10993"/>
    <cellStyle name="Note 3 13 4" xfId="11898"/>
    <cellStyle name="Note 3 14" xfId="3733"/>
    <cellStyle name="Note 3 14 2" xfId="8507"/>
    <cellStyle name="Note 3 14 3" xfId="10992"/>
    <cellStyle name="Note 3 14 4" xfId="12123"/>
    <cellStyle name="Note 3 15" xfId="3734"/>
    <cellStyle name="Note 3 15 2" xfId="8508"/>
    <cellStyle name="Note 3 15 3" xfId="10991"/>
    <cellStyle name="Note 3 15 4" xfId="12058"/>
    <cellStyle name="Note 3 16" xfId="3735"/>
    <cellStyle name="Note 3 16 2" xfId="8509"/>
    <cellStyle name="Note 3 16 3" xfId="10990"/>
    <cellStyle name="Note 3 16 4" xfId="11899"/>
    <cellStyle name="Note 3 17" xfId="3736"/>
    <cellStyle name="Note 3 17 2" xfId="8510"/>
    <cellStyle name="Note 3 17 3" xfId="10989"/>
    <cellStyle name="Note 3 17 4" xfId="12124"/>
    <cellStyle name="Note 3 18" xfId="3737"/>
    <cellStyle name="Note 3 18 2" xfId="8511"/>
    <cellStyle name="Note 3 18 3" xfId="10988"/>
    <cellStyle name="Note 3 18 4" xfId="11900"/>
    <cellStyle name="Note 3 19" xfId="3738"/>
    <cellStyle name="Note 3 19 2" xfId="8512"/>
    <cellStyle name="Note 3 19 3" xfId="10987"/>
    <cellStyle name="Note 3 19 4" xfId="11901"/>
    <cellStyle name="Note 3 2" xfId="3739"/>
    <cellStyle name="Note 3 2 2" xfId="8513"/>
    <cellStyle name="Note 3 2 3" xfId="10986"/>
    <cellStyle name="Note 3 2 4" xfId="12126"/>
    <cellStyle name="Note 3 20" xfId="3740"/>
    <cellStyle name="Note 3 20 2" xfId="8514"/>
    <cellStyle name="Note 3 20 3" xfId="10985"/>
    <cellStyle name="Note 3 20 4" xfId="11902"/>
    <cellStyle name="Note 3 21" xfId="3741"/>
    <cellStyle name="Note 3 21 2" xfId="8515"/>
    <cellStyle name="Note 3 21 3" xfId="10984"/>
    <cellStyle name="Note 3 21 4" xfId="12127"/>
    <cellStyle name="Note 3 22" xfId="3742"/>
    <cellStyle name="Note 3 22 2" xfId="8516"/>
    <cellStyle name="Note 3 22 3" xfId="10983"/>
    <cellStyle name="Note 3 22 4" xfId="11903"/>
    <cellStyle name="Note 3 23" xfId="8502"/>
    <cellStyle name="Note 3 24" xfId="10997"/>
    <cellStyle name="Note 3 25" xfId="11896"/>
    <cellStyle name="Note 3 3" xfId="3743"/>
    <cellStyle name="Note 3 3 2" xfId="8517"/>
    <cellStyle name="Note 3 3 3" xfId="10982"/>
    <cellStyle name="Note 3 3 4" xfId="12128"/>
    <cellStyle name="Note 3 4" xfId="3744"/>
    <cellStyle name="Note 3 4 2" xfId="8518"/>
    <cellStyle name="Note 3 4 3" xfId="10981"/>
    <cellStyle name="Note 3 4 4" xfId="11904"/>
    <cellStyle name="Note 3 5" xfId="3745"/>
    <cellStyle name="Note 3 5 2" xfId="8519"/>
    <cellStyle name="Note 3 5 3" xfId="10980"/>
    <cellStyle name="Note 3 5 4" xfId="12129"/>
    <cellStyle name="Note 3 6" xfId="3746"/>
    <cellStyle name="Note 3 6 2" xfId="8520"/>
    <cellStyle name="Note 3 6 3" xfId="10979"/>
    <cellStyle name="Note 3 6 4" xfId="11905"/>
    <cellStyle name="Note 3 7" xfId="3747"/>
    <cellStyle name="Note 3 7 2" xfId="8521"/>
    <cellStyle name="Note 3 7 3" xfId="10978"/>
    <cellStyle name="Note 3 7 4" xfId="12130"/>
    <cellStyle name="Note 3 8" xfId="3748"/>
    <cellStyle name="Note 3 8 2" xfId="8522"/>
    <cellStyle name="Note 3 8 3" xfId="10977"/>
    <cellStyle name="Note 3 8 4" xfId="11906"/>
    <cellStyle name="Note 3 9" xfId="3749"/>
    <cellStyle name="Note 3 9 2" xfId="8523"/>
    <cellStyle name="Note 3 9 3" xfId="10976"/>
    <cellStyle name="Note 3 9 4" xfId="12131"/>
    <cellStyle name="Note 30" xfId="3750"/>
    <cellStyle name="Note 30 10" xfId="10975"/>
    <cellStyle name="Note 30 11" xfId="11907"/>
    <cellStyle name="Note 30 2" xfId="3751"/>
    <cellStyle name="Note 30 2 2" xfId="8525"/>
    <cellStyle name="Note 30 2 3" xfId="10974"/>
    <cellStyle name="Note 30 2 4" xfId="12132"/>
    <cellStyle name="Note 30 3" xfId="3752"/>
    <cellStyle name="Note 30 3 2" xfId="8526"/>
    <cellStyle name="Note 30 3 3" xfId="10973"/>
    <cellStyle name="Note 30 3 4" xfId="11908"/>
    <cellStyle name="Note 30 4" xfId="3753"/>
    <cellStyle name="Note 30 4 2" xfId="8527"/>
    <cellStyle name="Note 30 4 3" xfId="10972"/>
    <cellStyle name="Note 30 4 4" xfId="12133"/>
    <cellStyle name="Note 30 5" xfId="3754"/>
    <cellStyle name="Note 30 5 2" xfId="8528"/>
    <cellStyle name="Note 30 5 3" xfId="10971"/>
    <cellStyle name="Note 30 5 4" xfId="11909"/>
    <cellStyle name="Note 30 6" xfId="3755"/>
    <cellStyle name="Note 30 6 2" xfId="8529"/>
    <cellStyle name="Note 30 6 3" xfId="10970"/>
    <cellStyle name="Note 30 6 4" xfId="12134"/>
    <cellStyle name="Note 30 7" xfId="3756"/>
    <cellStyle name="Note 30 7 2" xfId="8530"/>
    <cellStyle name="Note 30 7 3" xfId="10969"/>
    <cellStyle name="Note 30 7 4" xfId="11910"/>
    <cellStyle name="Note 30 8" xfId="3757"/>
    <cellStyle name="Note 30 8 2" xfId="8531"/>
    <cellStyle name="Note 30 8 3" xfId="10968"/>
    <cellStyle name="Note 30 8 4" xfId="12135"/>
    <cellStyle name="Note 30 9" xfId="8524"/>
    <cellStyle name="Note 31" xfId="3758"/>
    <cellStyle name="Note 31 2" xfId="8532"/>
    <cellStyle name="Note 31 3" xfId="10967"/>
    <cellStyle name="Note 31 4" xfId="11911"/>
    <cellStyle name="Note 32" xfId="3759"/>
    <cellStyle name="Note 32 2" xfId="8533"/>
    <cellStyle name="Note 32 3" xfId="10966"/>
    <cellStyle name="Note 32 4" xfId="12136"/>
    <cellStyle name="Note 33" xfId="3760"/>
    <cellStyle name="Note 33 2" xfId="8534"/>
    <cellStyle name="Note 33 3" xfId="10964"/>
    <cellStyle name="Note 33 4" xfId="11912"/>
    <cellStyle name="Note 34" xfId="3761"/>
    <cellStyle name="Note 34 2" xfId="8535"/>
    <cellStyle name="Note 34 3" xfId="10963"/>
    <cellStyle name="Note 34 4" xfId="12137"/>
    <cellStyle name="Note 35" xfId="3762"/>
    <cellStyle name="Note 35 2" xfId="8536"/>
    <cellStyle name="Note 35 3" xfId="10962"/>
    <cellStyle name="Note 35 4" xfId="11913"/>
    <cellStyle name="Note 36" xfId="3763"/>
    <cellStyle name="Note 36 2" xfId="8537"/>
    <cellStyle name="Note 36 3" xfId="10961"/>
    <cellStyle name="Note 36 4" xfId="12138"/>
    <cellStyle name="Note 37" xfId="3764"/>
    <cellStyle name="Note 37 2" xfId="8538"/>
    <cellStyle name="Note 37 3" xfId="10960"/>
    <cellStyle name="Note 37 4" xfId="11914"/>
    <cellStyle name="Note 38" xfId="3765"/>
    <cellStyle name="Note 38 2" xfId="8539"/>
    <cellStyle name="Note 38 3" xfId="10959"/>
    <cellStyle name="Note 38 4" xfId="12139"/>
    <cellStyle name="Note 39" xfId="3766"/>
    <cellStyle name="Note 39 2" xfId="8540"/>
    <cellStyle name="Note 39 3" xfId="10958"/>
    <cellStyle name="Note 39 4" xfId="11915"/>
    <cellStyle name="Note 4" xfId="3767"/>
    <cellStyle name="Note 4 2" xfId="8541"/>
    <cellStyle name="Note 4 3" xfId="10957"/>
    <cellStyle name="Note 4 4" xfId="12140"/>
    <cellStyle name="Note 40" xfId="3768"/>
    <cellStyle name="Note 40 2" xfId="8542"/>
    <cellStyle name="Note 40 3" xfId="10956"/>
    <cellStyle name="Note 40 4" xfId="11916"/>
    <cellStyle name="Note 41" xfId="3769"/>
    <cellStyle name="Note 41 2" xfId="8543"/>
    <cellStyle name="Note 41 3" xfId="10955"/>
    <cellStyle name="Note 41 4" xfId="12141"/>
    <cellStyle name="Note 42" xfId="3770"/>
    <cellStyle name="Note 42 2" xfId="8544"/>
    <cellStyle name="Note 42 3" xfId="10954"/>
    <cellStyle name="Note 42 4" xfId="11917"/>
    <cellStyle name="Note 43" xfId="3771"/>
    <cellStyle name="Note 43 2" xfId="8545"/>
    <cellStyle name="Note 43 3" xfId="10953"/>
    <cellStyle name="Note 43 4" xfId="12142"/>
    <cellStyle name="Note 44" xfId="3772"/>
    <cellStyle name="Note 44 2" xfId="8546"/>
    <cellStyle name="Note 44 3" xfId="10952"/>
    <cellStyle name="Note 44 4" xfId="11918"/>
    <cellStyle name="Note 45" xfId="3773"/>
    <cellStyle name="Note 45 2" xfId="8547"/>
    <cellStyle name="Note 45 3" xfId="10951"/>
    <cellStyle name="Note 45 4" xfId="12143"/>
    <cellStyle name="Note 46" xfId="3774"/>
    <cellStyle name="Note 46 2" xfId="8548"/>
    <cellStyle name="Note 46 3" xfId="10950"/>
    <cellStyle name="Note 46 4" xfId="12125"/>
    <cellStyle name="Note 47" xfId="3775"/>
    <cellStyle name="Note 47 2" xfId="8549"/>
    <cellStyle name="Note 47 3" xfId="10949"/>
    <cellStyle name="Note 47 4" xfId="11919"/>
    <cellStyle name="Note 48" xfId="3776"/>
    <cellStyle name="Note 48 2" xfId="8550"/>
    <cellStyle name="Note 48 3" xfId="10948"/>
    <cellStyle name="Note 48 4" xfId="12144"/>
    <cellStyle name="Note 49" xfId="3777"/>
    <cellStyle name="Note 49 2" xfId="8551"/>
    <cellStyle name="Note 49 3" xfId="10947"/>
    <cellStyle name="Note 49 4" xfId="11920"/>
    <cellStyle name="Note 5" xfId="3778"/>
    <cellStyle name="Note 5 10" xfId="3779"/>
    <cellStyle name="Note 5 10 2" xfId="8553"/>
    <cellStyle name="Note 5 10 3" xfId="10919"/>
    <cellStyle name="Note 5 10 4" xfId="11921"/>
    <cellStyle name="Note 5 11" xfId="3780"/>
    <cellStyle name="Note 5 11 2" xfId="8554"/>
    <cellStyle name="Note 5 11 3" xfId="10918"/>
    <cellStyle name="Note 5 11 4" xfId="12146"/>
    <cellStyle name="Note 5 12" xfId="3781"/>
    <cellStyle name="Note 5 12 2" xfId="8555"/>
    <cellStyle name="Note 5 12 3" xfId="10917"/>
    <cellStyle name="Note 5 12 4" xfId="11922"/>
    <cellStyle name="Note 5 13" xfId="3782"/>
    <cellStyle name="Note 5 13 2" xfId="8556"/>
    <cellStyle name="Note 5 13 3" xfId="10916"/>
    <cellStyle name="Note 5 13 4" xfId="12147"/>
    <cellStyle name="Note 5 14" xfId="3783"/>
    <cellStyle name="Note 5 14 2" xfId="8557"/>
    <cellStyle name="Note 5 14 3" xfId="10915"/>
    <cellStyle name="Note 5 14 4" xfId="11923"/>
    <cellStyle name="Note 5 15" xfId="3784"/>
    <cellStyle name="Note 5 15 2" xfId="8558"/>
    <cellStyle name="Note 5 15 3" xfId="10914"/>
    <cellStyle name="Note 5 15 4" xfId="12148"/>
    <cellStyle name="Note 5 16" xfId="3785"/>
    <cellStyle name="Note 5 16 2" xfId="8559"/>
    <cellStyle name="Note 5 16 3" xfId="10913"/>
    <cellStyle name="Note 5 16 4" xfId="11924"/>
    <cellStyle name="Note 5 17" xfId="3786"/>
    <cellStyle name="Note 5 17 2" xfId="8560"/>
    <cellStyle name="Note 5 17 3" xfId="10912"/>
    <cellStyle name="Note 5 17 4" xfId="12149"/>
    <cellStyle name="Note 5 18" xfId="3787"/>
    <cellStyle name="Note 5 18 2" xfId="8561"/>
    <cellStyle name="Note 5 18 3" xfId="10911"/>
    <cellStyle name="Note 5 18 4" xfId="11925"/>
    <cellStyle name="Note 5 19" xfId="3788"/>
    <cellStyle name="Note 5 19 2" xfId="8562"/>
    <cellStyle name="Note 5 19 3" xfId="10910"/>
    <cellStyle name="Note 5 19 4" xfId="12150"/>
    <cellStyle name="Note 5 2" xfId="3789"/>
    <cellStyle name="Note 5 2 2" xfId="8563"/>
    <cellStyle name="Note 5 2 3" xfId="10909"/>
    <cellStyle name="Note 5 2 4" xfId="11926"/>
    <cellStyle name="Note 5 20" xfId="3790"/>
    <cellStyle name="Note 5 20 2" xfId="8564"/>
    <cellStyle name="Note 5 20 3" xfId="10908"/>
    <cellStyle name="Note 5 20 4" xfId="11927"/>
    <cellStyle name="Note 5 21" xfId="3791"/>
    <cellStyle name="Note 5 21 2" xfId="8565"/>
    <cellStyle name="Note 5 21 3" xfId="10907"/>
    <cellStyle name="Note 5 21 4" xfId="11928"/>
    <cellStyle name="Note 5 22" xfId="8552"/>
    <cellStyle name="Note 5 23" xfId="10946"/>
    <cellStyle name="Note 5 24" xfId="12145"/>
    <cellStyle name="Note 5 3" xfId="3792"/>
    <cellStyle name="Note 5 3 2" xfId="8566"/>
    <cellStyle name="Note 5 3 3" xfId="10906"/>
    <cellStyle name="Note 5 3 4" xfId="11929"/>
    <cellStyle name="Note 5 4" xfId="3793"/>
    <cellStyle name="Note 5 4 2" xfId="8567"/>
    <cellStyle name="Note 5 4 3" xfId="10905"/>
    <cellStyle name="Note 5 4 4" xfId="12152"/>
    <cellStyle name="Note 5 5" xfId="3794"/>
    <cellStyle name="Note 5 5 2" xfId="8568"/>
    <cellStyle name="Note 5 5 3" xfId="10904"/>
    <cellStyle name="Note 5 5 4" xfId="11930"/>
    <cellStyle name="Note 5 6" xfId="3795"/>
    <cellStyle name="Note 5 6 2" xfId="8569"/>
    <cellStyle name="Note 5 6 3" xfId="10903"/>
    <cellStyle name="Note 5 6 4" xfId="12153"/>
    <cellStyle name="Note 5 7" xfId="3796"/>
    <cellStyle name="Note 5 7 2" xfId="8570"/>
    <cellStyle name="Note 5 7 3" xfId="10902"/>
    <cellStyle name="Note 5 7 4" xfId="11931"/>
    <cellStyle name="Note 5 8" xfId="3797"/>
    <cellStyle name="Note 5 8 2" xfId="8571"/>
    <cellStyle name="Note 5 8 3" xfId="10901"/>
    <cellStyle name="Note 5 8 4" xfId="12154"/>
    <cellStyle name="Note 5 9" xfId="3798"/>
    <cellStyle name="Note 5 9 2" xfId="8572"/>
    <cellStyle name="Note 5 9 3" xfId="10900"/>
    <cellStyle name="Note 5 9 4" xfId="11932"/>
    <cellStyle name="Note 50" xfId="8077"/>
    <cellStyle name="Note 51" xfId="11451"/>
    <cellStyle name="Note 52" xfId="11613"/>
    <cellStyle name="Note 6" xfId="3799"/>
    <cellStyle name="Note 6 10" xfId="3800"/>
    <cellStyle name="Note 6 10 2" xfId="8574"/>
    <cellStyle name="Note 6 10 3" xfId="10898"/>
    <cellStyle name="Note 6 10 4" xfId="11933"/>
    <cellStyle name="Note 6 11" xfId="3801"/>
    <cellStyle name="Note 6 11 2" xfId="8575"/>
    <cellStyle name="Note 6 11 3" xfId="10897"/>
    <cellStyle name="Note 6 11 4" xfId="12156"/>
    <cellStyle name="Note 6 12" xfId="3802"/>
    <cellStyle name="Note 6 12 2" xfId="8576"/>
    <cellStyle name="Note 6 12 3" xfId="10896"/>
    <cellStyle name="Note 6 12 4" xfId="11934"/>
    <cellStyle name="Note 6 13" xfId="3803"/>
    <cellStyle name="Note 6 13 2" xfId="8577"/>
    <cellStyle name="Note 6 13 3" xfId="10895"/>
    <cellStyle name="Note 6 13 4" xfId="12157"/>
    <cellStyle name="Note 6 14" xfId="3804"/>
    <cellStyle name="Note 6 14 2" xfId="8578"/>
    <cellStyle name="Note 6 14 3" xfId="10894"/>
    <cellStyle name="Note 6 14 4" xfId="11935"/>
    <cellStyle name="Note 6 15" xfId="3805"/>
    <cellStyle name="Note 6 15 2" xfId="8579"/>
    <cellStyle name="Note 6 15 3" xfId="10893"/>
    <cellStyle name="Note 6 15 4" xfId="12158"/>
    <cellStyle name="Note 6 16" xfId="3806"/>
    <cellStyle name="Note 6 16 2" xfId="8580"/>
    <cellStyle name="Note 6 16 3" xfId="10892"/>
    <cellStyle name="Note 6 16 4" xfId="11936"/>
    <cellStyle name="Note 6 17" xfId="3807"/>
    <cellStyle name="Note 6 17 2" xfId="8581"/>
    <cellStyle name="Note 6 17 3" xfId="10891"/>
    <cellStyle name="Note 6 17 4" xfId="12159"/>
    <cellStyle name="Note 6 18" xfId="3808"/>
    <cellStyle name="Note 6 18 2" xfId="8582"/>
    <cellStyle name="Note 6 18 3" xfId="10890"/>
    <cellStyle name="Note 6 18 4" xfId="11937"/>
    <cellStyle name="Note 6 19" xfId="3809"/>
    <cellStyle name="Note 6 19 2" xfId="8583"/>
    <cellStyle name="Note 6 19 3" xfId="10889"/>
    <cellStyle name="Note 6 19 4" xfId="12160"/>
    <cellStyle name="Note 6 2" xfId="3810"/>
    <cellStyle name="Note 6 2 2" xfId="8584"/>
    <cellStyle name="Note 6 2 3" xfId="10888"/>
    <cellStyle name="Note 6 2 4" xfId="11938"/>
    <cellStyle name="Note 6 20" xfId="3811"/>
    <cellStyle name="Note 6 20 2" xfId="8585"/>
    <cellStyle name="Note 6 20 3" xfId="10887"/>
    <cellStyle name="Note 6 20 4" xfId="12161"/>
    <cellStyle name="Note 6 21" xfId="3812"/>
    <cellStyle name="Note 6 21 2" xfId="8586"/>
    <cellStyle name="Note 6 21 3" xfId="10886"/>
    <cellStyle name="Note 6 21 4" xfId="11939"/>
    <cellStyle name="Note 6 22" xfId="8573"/>
    <cellStyle name="Note 6 23" xfId="10899"/>
    <cellStyle name="Note 6 24" xfId="12155"/>
    <cellStyle name="Note 6 3" xfId="3813"/>
    <cellStyle name="Note 6 3 2" xfId="8587"/>
    <cellStyle name="Note 6 3 3" xfId="10885"/>
    <cellStyle name="Note 6 3 4" xfId="12162"/>
    <cellStyle name="Note 6 4" xfId="3814"/>
    <cellStyle name="Note 6 4 2" xfId="8588"/>
    <cellStyle name="Note 6 4 3" xfId="10884"/>
    <cellStyle name="Note 6 4 4" xfId="11940"/>
    <cellStyle name="Note 6 5" xfId="3815"/>
    <cellStyle name="Note 6 5 2" xfId="8589"/>
    <cellStyle name="Note 6 5 3" xfId="10883"/>
    <cellStyle name="Note 6 5 4" xfId="12163"/>
    <cellStyle name="Note 6 6" xfId="3816"/>
    <cellStyle name="Note 6 6 2" xfId="8590"/>
    <cellStyle name="Note 6 6 3" xfId="10882"/>
    <cellStyle name="Note 6 6 4" xfId="11941"/>
    <cellStyle name="Note 6 7" xfId="3817"/>
    <cellStyle name="Note 6 7 2" xfId="8591"/>
    <cellStyle name="Note 6 7 3" xfId="10881"/>
    <cellStyle name="Note 6 7 4" xfId="12164"/>
    <cellStyle name="Note 6 8" xfId="3818"/>
    <cellStyle name="Note 6 8 2" xfId="8592"/>
    <cellStyle name="Note 6 8 3" xfId="10880"/>
    <cellStyle name="Note 6 8 4" xfId="11942"/>
    <cellStyle name="Note 6 9" xfId="3819"/>
    <cellStyle name="Note 6 9 2" xfId="8593"/>
    <cellStyle name="Note 6 9 3" xfId="10879"/>
    <cellStyle name="Note 6 9 4" xfId="12165"/>
    <cellStyle name="Note 7" xfId="3820"/>
    <cellStyle name="Note 7 10" xfId="3821"/>
    <cellStyle name="Note 7 10 2" xfId="8595"/>
    <cellStyle name="Note 7 10 3" xfId="10877"/>
    <cellStyle name="Note 7 10 4" xfId="11943"/>
    <cellStyle name="Note 7 11" xfId="3822"/>
    <cellStyle name="Note 7 11 2" xfId="8596"/>
    <cellStyle name="Note 7 11 3" xfId="10876"/>
    <cellStyle name="Note 7 11 4" xfId="12166"/>
    <cellStyle name="Note 7 12" xfId="3823"/>
    <cellStyle name="Note 7 12 2" xfId="8597"/>
    <cellStyle name="Note 7 12 3" xfId="10875"/>
    <cellStyle name="Note 7 12 4" xfId="11944"/>
    <cellStyle name="Note 7 13" xfId="3824"/>
    <cellStyle name="Note 7 13 2" xfId="8598"/>
    <cellStyle name="Note 7 13 3" xfId="10874"/>
    <cellStyle name="Note 7 13 4" xfId="12167"/>
    <cellStyle name="Note 7 14" xfId="3825"/>
    <cellStyle name="Note 7 14 2" xfId="8599"/>
    <cellStyle name="Note 7 14 3" xfId="10873"/>
    <cellStyle name="Note 7 14 4" xfId="11945"/>
    <cellStyle name="Note 7 15" xfId="3826"/>
    <cellStyle name="Note 7 15 2" xfId="8600"/>
    <cellStyle name="Note 7 15 3" xfId="10872"/>
    <cellStyle name="Note 7 15 4" xfId="12168"/>
    <cellStyle name="Note 7 16" xfId="3827"/>
    <cellStyle name="Note 7 16 2" xfId="8601"/>
    <cellStyle name="Note 7 16 3" xfId="10871"/>
    <cellStyle name="Note 7 16 4" xfId="11946"/>
    <cellStyle name="Note 7 17" xfId="3828"/>
    <cellStyle name="Note 7 17 2" xfId="8602"/>
    <cellStyle name="Note 7 17 3" xfId="10870"/>
    <cellStyle name="Note 7 17 4" xfId="12169"/>
    <cellStyle name="Note 7 18" xfId="3829"/>
    <cellStyle name="Note 7 18 2" xfId="8603"/>
    <cellStyle name="Note 7 18 3" xfId="10869"/>
    <cellStyle name="Note 7 18 4" xfId="11947"/>
    <cellStyle name="Note 7 19" xfId="3830"/>
    <cellStyle name="Note 7 19 2" xfId="8604"/>
    <cellStyle name="Note 7 19 3" xfId="10868"/>
    <cellStyle name="Note 7 19 4" xfId="12170"/>
    <cellStyle name="Note 7 2" xfId="3831"/>
    <cellStyle name="Note 7 2 2" xfId="8605"/>
    <cellStyle name="Note 7 2 3" xfId="10867"/>
    <cellStyle name="Note 7 2 4" xfId="11948"/>
    <cellStyle name="Note 7 20" xfId="3832"/>
    <cellStyle name="Note 7 20 2" xfId="8606"/>
    <cellStyle name="Note 7 20 3" xfId="10866"/>
    <cellStyle name="Note 7 20 4" xfId="12171"/>
    <cellStyle name="Note 7 21" xfId="3833"/>
    <cellStyle name="Note 7 21 2" xfId="8607"/>
    <cellStyle name="Note 7 21 3" xfId="10865"/>
    <cellStyle name="Note 7 21 4" xfId="11949"/>
    <cellStyle name="Note 7 22" xfId="8594"/>
    <cellStyle name="Note 7 23" xfId="10878"/>
    <cellStyle name="Note 7 24" xfId="12151"/>
    <cellStyle name="Note 7 3" xfId="3834"/>
    <cellStyle name="Note 7 3 2" xfId="8608"/>
    <cellStyle name="Note 7 3 3" xfId="10864"/>
    <cellStyle name="Note 7 3 4" xfId="12172"/>
    <cellStyle name="Note 7 4" xfId="3835"/>
    <cellStyle name="Note 7 4 2" xfId="8609"/>
    <cellStyle name="Note 7 4 3" xfId="10863"/>
    <cellStyle name="Note 7 4 4" xfId="11950"/>
    <cellStyle name="Note 7 5" xfId="3836"/>
    <cellStyle name="Note 7 5 2" xfId="8610"/>
    <cellStyle name="Note 7 5 3" xfId="10862"/>
    <cellStyle name="Note 7 5 4" xfId="11951"/>
    <cellStyle name="Note 7 6" xfId="3837"/>
    <cellStyle name="Note 7 6 2" xfId="8611"/>
    <cellStyle name="Note 7 6 3" xfId="10861"/>
    <cellStyle name="Note 7 6 4" xfId="12174"/>
    <cellStyle name="Note 7 7" xfId="3838"/>
    <cellStyle name="Note 7 7 2" xfId="8612"/>
    <cellStyle name="Note 7 7 3" xfId="10860"/>
    <cellStyle name="Note 7 7 4" xfId="11952"/>
    <cellStyle name="Note 7 8" xfId="3839"/>
    <cellStyle name="Note 7 8 2" xfId="8613"/>
    <cellStyle name="Note 7 8 3" xfId="10859"/>
    <cellStyle name="Note 7 8 4" xfId="12175"/>
    <cellStyle name="Note 7 9" xfId="3840"/>
    <cellStyle name="Note 7 9 2" xfId="8614"/>
    <cellStyle name="Note 7 9 3" xfId="10858"/>
    <cellStyle name="Note 7 9 4" xfId="11953"/>
    <cellStyle name="Note 8" xfId="3841"/>
    <cellStyle name="Note 8 10" xfId="3842"/>
    <cellStyle name="Note 8 10 2" xfId="8616"/>
    <cellStyle name="Note 8 10 3" xfId="10856"/>
    <cellStyle name="Note 8 10 4" xfId="11954"/>
    <cellStyle name="Note 8 11" xfId="3843"/>
    <cellStyle name="Note 8 11 2" xfId="8617"/>
    <cellStyle name="Note 8 11 3" xfId="10855"/>
    <cellStyle name="Note 8 11 4" xfId="12177"/>
    <cellStyle name="Note 8 12" xfId="3844"/>
    <cellStyle name="Note 8 12 2" xfId="8618"/>
    <cellStyle name="Note 8 12 3" xfId="10854"/>
    <cellStyle name="Note 8 12 4" xfId="11955"/>
    <cellStyle name="Note 8 13" xfId="3845"/>
    <cellStyle name="Note 8 13 2" xfId="8619"/>
    <cellStyle name="Note 8 13 3" xfId="10853"/>
    <cellStyle name="Note 8 13 4" xfId="12178"/>
    <cellStyle name="Note 8 14" xfId="3846"/>
    <cellStyle name="Note 8 14 2" xfId="8620"/>
    <cellStyle name="Note 8 14 3" xfId="10852"/>
    <cellStyle name="Note 8 14 4" xfId="11956"/>
    <cellStyle name="Note 8 15" xfId="3847"/>
    <cellStyle name="Note 8 15 2" xfId="8621"/>
    <cellStyle name="Note 8 15 3" xfId="10851"/>
    <cellStyle name="Note 8 15 4" xfId="12179"/>
    <cellStyle name="Note 8 16" xfId="3848"/>
    <cellStyle name="Note 8 16 2" xfId="8622"/>
    <cellStyle name="Note 8 16 3" xfId="10850"/>
    <cellStyle name="Note 8 16 4" xfId="11957"/>
    <cellStyle name="Note 8 17" xfId="3849"/>
    <cellStyle name="Note 8 17 2" xfId="8623"/>
    <cellStyle name="Note 8 17 3" xfId="10849"/>
    <cellStyle name="Note 8 17 4" xfId="12180"/>
    <cellStyle name="Note 8 18" xfId="3850"/>
    <cellStyle name="Note 8 18 2" xfId="8624"/>
    <cellStyle name="Note 8 18 3" xfId="10848"/>
    <cellStyle name="Note 8 18 4" xfId="11958"/>
    <cellStyle name="Note 8 19" xfId="3851"/>
    <cellStyle name="Note 8 19 2" xfId="8625"/>
    <cellStyle name="Note 8 19 3" xfId="10847"/>
    <cellStyle name="Note 8 19 4" xfId="12181"/>
    <cellStyle name="Note 8 2" xfId="3852"/>
    <cellStyle name="Note 8 2 2" xfId="8626"/>
    <cellStyle name="Note 8 2 3" xfId="10846"/>
    <cellStyle name="Note 8 2 4" xfId="11959"/>
    <cellStyle name="Note 8 20" xfId="3853"/>
    <cellStyle name="Note 8 20 2" xfId="8627"/>
    <cellStyle name="Note 8 20 3" xfId="10845"/>
    <cellStyle name="Note 8 20 4" xfId="12182"/>
    <cellStyle name="Note 8 21" xfId="3854"/>
    <cellStyle name="Note 8 21 2" xfId="8628"/>
    <cellStyle name="Note 8 21 3" xfId="10844"/>
    <cellStyle name="Note 8 21 4" xfId="11960"/>
    <cellStyle name="Note 8 22" xfId="8615"/>
    <cellStyle name="Note 8 23" xfId="10857"/>
    <cellStyle name="Note 8 24" xfId="12176"/>
    <cellStyle name="Note 8 3" xfId="3855"/>
    <cellStyle name="Note 8 3 2" xfId="8629"/>
    <cellStyle name="Note 8 3 3" xfId="10843"/>
    <cellStyle name="Note 8 3 4" xfId="12183"/>
    <cellStyle name="Note 8 4" xfId="3856"/>
    <cellStyle name="Note 8 4 2" xfId="8630"/>
    <cellStyle name="Note 8 4 3" xfId="10842"/>
    <cellStyle name="Note 8 4 4" xfId="11961"/>
    <cellStyle name="Note 8 5" xfId="3857"/>
    <cellStyle name="Note 8 5 2" xfId="8631"/>
    <cellStyle name="Note 8 5 3" xfId="10841"/>
    <cellStyle name="Note 8 5 4" xfId="12184"/>
    <cellStyle name="Note 8 6" xfId="3858"/>
    <cellStyle name="Note 8 6 2" xfId="8632"/>
    <cellStyle name="Note 8 6 3" xfId="10840"/>
    <cellStyle name="Note 8 6 4" xfId="11962"/>
    <cellStyle name="Note 8 7" xfId="3859"/>
    <cellStyle name="Note 8 7 2" xfId="8633"/>
    <cellStyle name="Note 8 7 3" xfId="10839"/>
    <cellStyle name="Note 8 7 4" xfId="12185"/>
    <cellStyle name="Note 8 8" xfId="3860"/>
    <cellStyle name="Note 8 8 2" xfId="8634"/>
    <cellStyle name="Note 8 8 3" xfId="10838"/>
    <cellStyle name="Note 8 8 4" xfId="11963"/>
    <cellStyle name="Note 8 9" xfId="3861"/>
    <cellStyle name="Note 8 9 2" xfId="8635"/>
    <cellStyle name="Note 8 9 3" xfId="10837"/>
    <cellStyle name="Note 8 9 4" xfId="12186"/>
    <cellStyle name="Note 9" xfId="3862"/>
    <cellStyle name="Note 9 10" xfId="3863"/>
    <cellStyle name="Note 9 10 2" xfId="8637"/>
    <cellStyle name="Note 9 10 3" xfId="10835"/>
    <cellStyle name="Note 9 10 4" xfId="12187"/>
    <cellStyle name="Note 9 11" xfId="3864"/>
    <cellStyle name="Note 9 11 2" xfId="8638"/>
    <cellStyle name="Note 9 11 3" xfId="10834"/>
    <cellStyle name="Note 9 11 4" xfId="12173"/>
    <cellStyle name="Note 9 12" xfId="3865"/>
    <cellStyle name="Note 9 12 2" xfId="8639"/>
    <cellStyle name="Note 9 12 3" xfId="10833"/>
    <cellStyle name="Note 9 12 4" xfId="11965"/>
    <cellStyle name="Note 9 13" xfId="3866"/>
    <cellStyle name="Note 9 13 2" xfId="8640"/>
    <cellStyle name="Note 9 13 3" xfId="10832"/>
    <cellStyle name="Note 9 13 4" xfId="12188"/>
    <cellStyle name="Note 9 14" xfId="3867"/>
    <cellStyle name="Note 9 14 2" xfId="8641"/>
    <cellStyle name="Note 9 14 3" xfId="10831"/>
    <cellStyle name="Note 9 14 4" xfId="11966"/>
    <cellStyle name="Note 9 15" xfId="3868"/>
    <cellStyle name="Note 9 15 2" xfId="8642"/>
    <cellStyle name="Note 9 15 3" xfId="10830"/>
    <cellStyle name="Note 9 15 4" xfId="12189"/>
    <cellStyle name="Note 9 16" xfId="3869"/>
    <cellStyle name="Note 9 16 2" xfId="8643"/>
    <cellStyle name="Note 9 16 3" xfId="10829"/>
    <cellStyle name="Note 9 16 4" xfId="11967"/>
    <cellStyle name="Note 9 17" xfId="3870"/>
    <cellStyle name="Note 9 17 2" xfId="8644"/>
    <cellStyle name="Note 9 17 3" xfId="10828"/>
    <cellStyle name="Note 9 17 4" xfId="12190"/>
    <cellStyle name="Note 9 18" xfId="3871"/>
    <cellStyle name="Note 9 18 2" xfId="8645"/>
    <cellStyle name="Note 9 18 3" xfId="10827"/>
    <cellStyle name="Note 9 18 4" xfId="11968"/>
    <cellStyle name="Note 9 19" xfId="3872"/>
    <cellStyle name="Note 9 19 2" xfId="8646"/>
    <cellStyle name="Note 9 19 3" xfId="10826"/>
    <cellStyle name="Note 9 19 4" xfId="12191"/>
    <cellStyle name="Note 9 2" xfId="3873"/>
    <cellStyle name="Note 9 2 2" xfId="8647"/>
    <cellStyle name="Note 9 2 3" xfId="10825"/>
    <cellStyle name="Note 9 2 4" xfId="11969"/>
    <cellStyle name="Note 9 20" xfId="3874"/>
    <cellStyle name="Note 9 20 2" xfId="8648"/>
    <cellStyle name="Note 9 20 3" xfId="10824"/>
    <cellStyle name="Note 9 20 4" xfId="12192"/>
    <cellStyle name="Note 9 21" xfId="3875"/>
    <cellStyle name="Note 9 21 2" xfId="8649"/>
    <cellStyle name="Note 9 21 3" xfId="10823"/>
    <cellStyle name="Note 9 21 4" xfId="11970"/>
    <cellStyle name="Note 9 22" xfId="8636"/>
    <cellStyle name="Note 9 23" xfId="10836"/>
    <cellStyle name="Note 9 24" xfId="11964"/>
    <cellStyle name="Note 9 3" xfId="3876"/>
    <cellStyle name="Note 9 3 2" xfId="8650"/>
    <cellStyle name="Note 9 3 3" xfId="10822"/>
    <cellStyle name="Note 9 3 4" xfId="12193"/>
    <cellStyle name="Note 9 4" xfId="3877"/>
    <cellStyle name="Note 9 4 2" xfId="8651"/>
    <cellStyle name="Note 9 4 3" xfId="10821"/>
    <cellStyle name="Note 9 4 4" xfId="11971"/>
    <cellStyle name="Note 9 5" xfId="3878"/>
    <cellStyle name="Note 9 5 2" xfId="8652"/>
    <cellStyle name="Note 9 5 3" xfId="10820"/>
    <cellStyle name="Note 9 5 4" xfId="12194"/>
    <cellStyle name="Note 9 6" xfId="3879"/>
    <cellStyle name="Note 9 6 2" xfId="8653"/>
    <cellStyle name="Note 9 6 3" xfId="10819"/>
    <cellStyle name="Note 9 6 4" xfId="11972"/>
    <cellStyle name="Note 9 7" xfId="3880"/>
    <cellStyle name="Note 9 7 2" xfId="8654"/>
    <cellStyle name="Note 9 7 3" xfId="10818"/>
    <cellStyle name="Note 9 7 4" xfId="11973"/>
    <cellStyle name="Note 9 8" xfId="3881"/>
    <cellStyle name="Note 9 8 2" xfId="8655"/>
    <cellStyle name="Note 9 8 3" xfId="10817"/>
    <cellStyle name="Note 9 8 4" xfId="12195"/>
    <cellStyle name="Note 9 9" xfId="3882"/>
    <cellStyle name="Note 9 9 2" xfId="8656"/>
    <cellStyle name="Note 9 9 3" xfId="10816"/>
    <cellStyle name="Note 9 9 4" xfId="11974"/>
    <cellStyle name="Œ…‹æØ‚è [0.00]_laroux" xfId="3883"/>
    <cellStyle name="Œ…‹æØ‚è_laroux" xfId="3884"/>
    <cellStyle name="oft Excel]_x000d__x000a_Comment=The open=/f lines load custom functions into the Paste Function list._x000d__x000a_Maximized=2_x000d__x000a_Basics=1_x000d__x000a_A" xfId="3885"/>
    <cellStyle name="oft Excel]_x000d__x000a_Comment=The open=/f lines load custom functions into the Paste Function list._x000d__x000a_Maximized=2_x000d__x000a_Basics=1_x000d__x000a_A 10" xfId="3886"/>
    <cellStyle name="oft Excel]_x000d__x000a_Comment=The open=/f lines load custom functions into the Paste Function list._x000d__x000a_Maximized=2_x000d__x000a_Basics=1_x000d__x000a_A 11" xfId="3887"/>
    <cellStyle name="oft Excel]_x000d__x000a_Comment=The open=/f lines load custom functions into the Paste Function list._x000d__x000a_Maximized=2_x000d__x000a_Basics=1_x000d__x000a_A 12" xfId="3888"/>
    <cellStyle name="oft Excel]_x000d__x000a_Comment=The open=/f lines load custom functions into the Paste Function list._x000d__x000a_Maximized=2_x000d__x000a_Basics=1_x000d__x000a_A 13" xfId="3889"/>
    <cellStyle name="oft Excel]_x000d__x000a_Comment=The open=/f lines load custom functions into the Paste Function list._x000d__x000a_Maximized=2_x000d__x000a_Basics=1_x000d__x000a_A 14" xfId="3890"/>
    <cellStyle name="oft Excel]_x000d__x000a_Comment=The open=/f lines load custom functions into the Paste Function list._x000d__x000a_Maximized=2_x000d__x000a_Basics=1_x000d__x000a_A 15" xfId="3891"/>
    <cellStyle name="oft Excel]_x000d__x000a_Comment=The open=/f lines load custom functions into the Paste Function list._x000d__x000a_Maximized=2_x000d__x000a_Basics=1_x000d__x000a_A 16" xfId="3892"/>
    <cellStyle name="oft Excel]_x000d__x000a_Comment=The open=/f lines load custom functions into the Paste Function list._x000d__x000a_Maximized=2_x000d__x000a_Basics=1_x000d__x000a_A 17" xfId="3893"/>
    <cellStyle name="oft Excel]_x000d__x000a_Comment=The open=/f lines load custom functions into the Paste Function list._x000d__x000a_Maximized=2_x000d__x000a_Basics=1_x000d__x000a_A 18" xfId="3894"/>
    <cellStyle name="oft Excel]_x000d__x000a_Comment=The open=/f lines load custom functions into the Paste Function list._x000d__x000a_Maximized=2_x000d__x000a_Basics=1_x000d__x000a_A 19" xfId="3895"/>
    <cellStyle name="oft Excel]_x000d__x000a_Comment=The open=/f lines load custom functions into the Paste Function list._x000d__x000a_Maximized=2_x000d__x000a_Basics=1_x000d__x000a_A 2" xfId="3896"/>
    <cellStyle name="oft Excel]_x000d__x000a_Comment=The open=/f lines load custom functions into the Paste Function list._x000d__x000a_Maximized=2_x000d__x000a_Basics=1_x000d__x000a_A 20" xfId="3897"/>
    <cellStyle name="oft Excel]_x000d__x000a_Comment=The open=/f lines load custom functions into the Paste Function list._x000d__x000a_Maximized=2_x000d__x000a_Basics=1_x000d__x000a_A 21" xfId="3898"/>
    <cellStyle name="oft Excel]_x000d__x000a_Comment=The open=/f lines load custom functions into the Paste Function list._x000d__x000a_Maximized=2_x000d__x000a_Basics=1_x000d__x000a_A 22" xfId="3899"/>
    <cellStyle name="oft Excel]_x000d__x000a_Comment=The open=/f lines load custom functions into the Paste Function list._x000d__x000a_Maximized=2_x000d__x000a_Basics=1_x000d__x000a_A 23" xfId="3900"/>
    <cellStyle name="oft Excel]_x000d__x000a_Comment=The open=/f lines load custom functions into the Paste Function list._x000d__x000a_Maximized=2_x000d__x000a_Basics=1_x000d__x000a_A 24" xfId="3901"/>
    <cellStyle name="oft Excel]_x000d__x000a_Comment=The open=/f lines load custom functions into the Paste Function list._x000d__x000a_Maximized=2_x000d__x000a_Basics=1_x000d__x000a_A 25" xfId="3902"/>
    <cellStyle name="oft Excel]_x000d__x000a_Comment=The open=/f lines load custom functions into the Paste Function list._x000d__x000a_Maximized=2_x000d__x000a_Basics=1_x000d__x000a_A 26" xfId="3903"/>
    <cellStyle name="oft Excel]_x000d__x000a_Comment=The open=/f lines load custom functions into the Paste Function list._x000d__x000a_Maximized=2_x000d__x000a_Basics=1_x000d__x000a_A 3" xfId="3904"/>
    <cellStyle name="oft Excel]_x000d__x000a_Comment=The open=/f lines load custom functions into the Paste Function list._x000d__x000a_Maximized=2_x000d__x000a_Basics=1_x000d__x000a_A 4" xfId="3905"/>
    <cellStyle name="oft Excel]_x000d__x000a_Comment=The open=/f lines load custom functions into the Paste Function list._x000d__x000a_Maximized=2_x000d__x000a_Basics=1_x000d__x000a_A 5" xfId="3906"/>
    <cellStyle name="oft Excel]_x000d__x000a_Comment=The open=/f lines load custom functions into the Paste Function list._x000d__x000a_Maximized=2_x000d__x000a_Basics=1_x000d__x000a_A 6" xfId="3907"/>
    <cellStyle name="oft Excel]_x000d__x000a_Comment=The open=/f lines load custom functions into the Paste Function list._x000d__x000a_Maximized=2_x000d__x000a_Basics=1_x000d__x000a_A 7" xfId="3908"/>
    <cellStyle name="oft Excel]_x000d__x000a_Comment=The open=/f lines load custom functions into the Paste Function list._x000d__x000a_Maximized=2_x000d__x000a_Basics=1_x000d__x000a_A 8" xfId="3909"/>
    <cellStyle name="oft Excel]_x000d__x000a_Comment=The open=/f lines load custom functions into the Paste Function list._x000d__x000a_Maximized=2_x000d__x000a_Basics=1_x000d__x000a_A 9" xfId="3910"/>
    <cellStyle name="oft Excel]_x000d__x000a_Comment=The open=/f lines load custom functions into the Paste Function list._x000d__x000a_Maximized=2_x000d__x000a_Basics=1_x000d__x000a_A_B 10 c" xfId="3911"/>
    <cellStyle name="oft Excel]_x000d__x000a_Comment=The open=/f lines load custom functions into the Paste Function list._x000d__x000a_Maximized=3_x000d__x000a_Basics=1_x000d__x000a_A" xfId="3912"/>
    <cellStyle name="oft Excel]_x000d__x000a_Comment=The open=/f lines load custom functions into the Paste Function list._x000d__x000a_Maximized=3_x000d__x000a_Basics=1_x000d__x000a_A 10" xfId="3913"/>
    <cellStyle name="oft Excel]_x000d__x000a_Comment=The open=/f lines load custom functions into the Paste Function list._x000d__x000a_Maximized=3_x000d__x000a_Basics=1_x000d__x000a_A 11" xfId="3914"/>
    <cellStyle name="oft Excel]_x000d__x000a_Comment=The open=/f lines load custom functions into the Paste Function list._x000d__x000a_Maximized=3_x000d__x000a_Basics=1_x000d__x000a_A 12" xfId="3915"/>
    <cellStyle name="oft Excel]_x000d__x000a_Comment=The open=/f lines load custom functions into the Paste Function list._x000d__x000a_Maximized=3_x000d__x000a_Basics=1_x000d__x000a_A 13" xfId="3916"/>
    <cellStyle name="oft Excel]_x000d__x000a_Comment=The open=/f lines load custom functions into the Paste Function list._x000d__x000a_Maximized=3_x000d__x000a_Basics=1_x000d__x000a_A 14" xfId="3917"/>
    <cellStyle name="oft Excel]_x000d__x000a_Comment=The open=/f lines load custom functions into the Paste Function list._x000d__x000a_Maximized=3_x000d__x000a_Basics=1_x000d__x000a_A 15" xfId="3918"/>
    <cellStyle name="oft Excel]_x000d__x000a_Comment=The open=/f lines load custom functions into the Paste Function list._x000d__x000a_Maximized=3_x000d__x000a_Basics=1_x000d__x000a_A 16" xfId="3919"/>
    <cellStyle name="oft Excel]_x000d__x000a_Comment=The open=/f lines load custom functions into the Paste Function list._x000d__x000a_Maximized=3_x000d__x000a_Basics=1_x000d__x000a_A 17" xfId="3920"/>
    <cellStyle name="oft Excel]_x000d__x000a_Comment=The open=/f lines load custom functions into the Paste Function list._x000d__x000a_Maximized=3_x000d__x000a_Basics=1_x000d__x000a_A 18" xfId="3921"/>
    <cellStyle name="oft Excel]_x000d__x000a_Comment=The open=/f lines load custom functions into the Paste Function list._x000d__x000a_Maximized=3_x000d__x000a_Basics=1_x000d__x000a_A 19" xfId="3922"/>
    <cellStyle name="oft Excel]_x000d__x000a_Comment=The open=/f lines load custom functions into the Paste Function list._x000d__x000a_Maximized=3_x000d__x000a_Basics=1_x000d__x000a_A 2" xfId="3923"/>
    <cellStyle name="oft Excel]_x000d__x000a_Comment=The open=/f lines load custom functions into the Paste Function list._x000d__x000a_Maximized=3_x000d__x000a_Basics=1_x000d__x000a_A 20" xfId="3924"/>
    <cellStyle name="oft Excel]_x000d__x000a_Comment=The open=/f lines load custom functions into the Paste Function list._x000d__x000a_Maximized=3_x000d__x000a_Basics=1_x000d__x000a_A 21" xfId="3925"/>
    <cellStyle name="oft Excel]_x000d__x000a_Comment=The open=/f lines load custom functions into the Paste Function list._x000d__x000a_Maximized=3_x000d__x000a_Basics=1_x000d__x000a_A 22" xfId="3926"/>
    <cellStyle name="oft Excel]_x000d__x000a_Comment=The open=/f lines load custom functions into the Paste Function list._x000d__x000a_Maximized=3_x000d__x000a_Basics=1_x000d__x000a_A 23" xfId="3927"/>
    <cellStyle name="oft Excel]_x000d__x000a_Comment=The open=/f lines load custom functions into the Paste Function list._x000d__x000a_Maximized=3_x000d__x000a_Basics=1_x000d__x000a_A 24" xfId="3928"/>
    <cellStyle name="oft Excel]_x000d__x000a_Comment=The open=/f lines load custom functions into the Paste Function list._x000d__x000a_Maximized=3_x000d__x000a_Basics=1_x000d__x000a_A 25" xfId="3929"/>
    <cellStyle name="oft Excel]_x000d__x000a_Comment=The open=/f lines load custom functions into the Paste Function list._x000d__x000a_Maximized=3_x000d__x000a_Basics=1_x000d__x000a_A 26" xfId="3930"/>
    <cellStyle name="oft Excel]_x000d__x000a_Comment=The open=/f lines load custom functions into the Paste Function list._x000d__x000a_Maximized=3_x000d__x000a_Basics=1_x000d__x000a_A 3" xfId="3931"/>
    <cellStyle name="oft Excel]_x000d__x000a_Comment=The open=/f lines load custom functions into the Paste Function list._x000d__x000a_Maximized=3_x000d__x000a_Basics=1_x000d__x000a_A 4" xfId="3932"/>
    <cellStyle name="oft Excel]_x000d__x000a_Comment=The open=/f lines load custom functions into the Paste Function list._x000d__x000a_Maximized=3_x000d__x000a_Basics=1_x000d__x000a_A 5" xfId="3933"/>
    <cellStyle name="oft Excel]_x000d__x000a_Comment=The open=/f lines load custom functions into the Paste Function list._x000d__x000a_Maximized=3_x000d__x000a_Basics=1_x000d__x000a_A 6" xfId="3934"/>
    <cellStyle name="oft Excel]_x000d__x000a_Comment=The open=/f lines load custom functions into the Paste Function list._x000d__x000a_Maximized=3_x000d__x000a_Basics=1_x000d__x000a_A 7" xfId="3935"/>
    <cellStyle name="oft Excel]_x000d__x000a_Comment=The open=/f lines load custom functions into the Paste Function list._x000d__x000a_Maximized=3_x000d__x000a_Basics=1_x000d__x000a_A 8" xfId="3936"/>
    <cellStyle name="oft Excel]_x000d__x000a_Comment=The open=/f lines load custom functions into the Paste Function list._x000d__x000a_Maximized=3_x000d__x000a_Basics=1_x000d__x000a_A 9" xfId="3937"/>
    <cellStyle name="oft Excel]_x000d__x000a_Comment=The open=/f lines load custom functions into the Paste Function list._x000d__x000a_Maximized=3_x000d__x000a_Basics=1_x000d__x000a_A_B 10 c" xfId="3938"/>
    <cellStyle name="omma [0]_Mktg Prog" xfId="3939"/>
    <cellStyle name="ormal_Sheet1_1" xfId="3940"/>
    <cellStyle name="Output" xfId="3941" builtinId="21" customBuiltin="1"/>
    <cellStyle name="Output 2" xfId="8658"/>
    <cellStyle name="Output 3" xfId="10815"/>
    <cellStyle name="Output 4" xfId="11975"/>
    <cellStyle name="per.style" xfId="3942"/>
    <cellStyle name="per.style 10" xfId="3943"/>
    <cellStyle name="per.style 11" xfId="3944"/>
    <cellStyle name="per.style 12" xfId="3945"/>
    <cellStyle name="per.style 13" xfId="3946"/>
    <cellStyle name="per.style 14" xfId="3947"/>
    <cellStyle name="per.style 15" xfId="3948"/>
    <cellStyle name="per.style 16" xfId="3949"/>
    <cellStyle name="per.style 17" xfId="3950"/>
    <cellStyle name="per.style 18" xfId="3951"/>
    <cellStyle name="per.style 19" xfId="3952"/>
    <cellStyle name="per.style 2" xfId="3953"/>
    <cellStyle name="per.style 2 2" xfId="3954"/>
    <cellStyle name="per.style 20" xfId="3955"/>
    <cellStyle name="per.style 21" xfId="3956"/>
    <cellStyle name="per.style 22" xfId="3957"/>
    <cellStyle name="per.style 23" xfId="3958"/>
    <cellStyle name="per.style 24" xfId="3959"/>
    <cellStyle name="per.style 3" xfId="3960"/>
    <cellStyle name="per.style 3 2" xfId="3961"/>
    <cellStyle name="per.style 4" xfId="3962"/>
    <cellStyle name="per.style 5" xfId="3963"/>
    <cellStyle name="per.style 6" xfId="3964"/>
    <cellStyle name="per.style 7" xfId="3965"/>
    <cellStyle name="per.style 8" xfId="3966"/>
    <cellStyle name="per.style 9" xfId="3967"/>
    <cellStyle name="per.style_10CH" xfId="3968"/>
    <cellStyle name="Percent [2]" xfId="3969"/>
    <cellStyle name="Percent [2] 2" xfId="3970"/>
    <cellStyle name="Percent [2] 2 10" xfId="3971"/>
    <cellStyle name="Percent [2] 2 10 2" xfId="8661"/>
    <cellStyle name="Percent [2] 2 11" xfId="3972"/>
    <cellStyle name="Percent [2] 2 11 2" xfId="8662"/>
    <cellStyle name="Percent [2] 2 12" xfId="3973"/>
    <cellStyle name="Percent [2] 2 12 2" xfId="8663"/>
    <cellStyle name="Percent [2] 2 13" xfId="3974"/>
    <cellStyle name="Percent [2] 2 13 2" xfId="8664"/>
    <cellStyle name="Percent [2] 2 14" xfId="3975"/>
    <cellStyle name="Percent [2] 2 14 2" xfId="8665"/>
    <cellStyle name="Percent [2] 2 15" xfId="3976"/>
    <cellStyle name="Percent [2] 2 15 2" xfId="8666"/>
    <cellStyle name="Percent [2] 2 16" xfId="3977"/>
    <cellStyle name="Percent [2] 2 16 2" xfId="8667"/>
    <cellStyle name="Percent [2] 2 17" xfId="3978"/>
    <cellStyle name="Percent [2] 2 17 2" xfId="8668"/>
    <cellStyle name="Percent [2] 2 18" xfId="3979"/>
    <cellStyle name="Percent [2] 2 18 2" xfId="8669"/>
    <cellStyle name="Percent [2] 2 19" xfId="3980"/>
    <cellStyle name="Percent [2] 2 19 2" xfId="8670"/>
    <cellStyle name="Percent [2] 2 2" xfId="3981"/>
    <cellStyle name="Percent [2] 2 2 2" xfId="8671"/>
    <cellStyle name="Percent [2] 2 20" xfId="3982"/>
    <cellStyle name="Percent [2] 2 20 2" xfId="8672"/>
    <cellStyle name="Percent [2] 2 21" xfId="3983"/>
    <cellStyle name="Percent [2] 2 21 2" xfId="8673"/>
    <cellStyle name="Percent [2] 2 22" xfId="3984"/>
    <cellStyle name="Percent [2] 2 22 2" xfId="8674"/>
    <cellStyle name="Percent [2] 2 23" xfId="8660"/>
    <cellStyle name="Percent [2] 2 3" xfId="3985"/>
    <cellStyle name="Percent [2] 2 3 2" xfId="8675"/>
    <cellStyle name="Percent [2] 2 4" xfId="3986"/>
    <cellStyle name="Percent [2] 2 4 2" xfId="8676"/>
    <cellStyle name="Percent [2] 2 5" xfId="3987"/>
    <cellStyle name="Percent [2] 2 5 2" xfId="8677"/>
    <cellStyle name="Percent [2] 2 6" xfId="3988"/>
    <cellStyle name="Percent [2] 2 6 2" xfId="8678"/>
    <cellStyle name="Percent [2] 2 7" xfId="3989"/>
    <cellStyle name="Percent [2] 2 7 2" xfId="8679"/>
    <cellStyle name="Percent [2] 2 8" xfId="3990"/>
    <cellStyle name="Percent [2] 2 8 2" xfId="8680"/>
    <cellStyle name="Percent [2] 2 9" xfId="3991"/>
    <cellStyle name="Percent [2] 2 9 2" xfId="8681"/>
    <cellStyle name="Percent [2] 3" xfId="3992"/>
    <cellStyle name="Percent [2] 3 10" xfId="3993"/>
    <cellStyle name="Percent [2] 3 10 2" xfId="8683"/>
    <cellStyle name="Percent [2] 3 11" xfId="3994"/>
    <cellStyle name="Percent [2] 3 11 2" xfId="8684"/>
    <cellStyle name="Percent [2] 3 12" xfId="3995"/>
    <cellStyle name="Percent [2] 3 12 2" xfId="8685"/>
    <cellStyle name="Percent [2] 3 13" xfId="3996"/>
    <cellStyle name="Percent [2] 3 13 2" xfId="8686"/>
    <cellStyle name="Percent [2] 3 14" xfId="3997"/>
    <cellStyle name="Percent [2] 3 14 2" xfId="8687"/>
    <cellStyle name="Percent [2] 3 15" xfId="3998"/>
    <cellStyle name="Percent [2] 3 15 2" xfId="8688"/>
    <cellStyle name="Percent [2] 3 16" xfId="3999"/>
    <cellStyle name="Percent [2] 3 16 2" xfId="8689"/>
    <cellStyle name="Percent [2] 3 17" xfId="4000"/>
    <cellStyle name="Percent [2] 3 17 2" xfId="8690"/>
    <cellStyle name="Percent [2] 3 18" xfId="4001"/>
    <cellStyle name="Percent [2] 3 18 2" xfId="8691"/>
    <cellStyle name="Percent [2] 3 19" xfId="4002"/>
    <cellStyle name="Percent [2] 3 19 2" xfId="8692"/>
    <cellStyle name="Percent [2] 3 2" xfId="4003"/>
    <cellStyle name="Percent [2] 3 2 2" xfId="8693"/>
    <cellStyle name="Percent [2] 3 20" xfId="4004"/>
    <cellStyle name="Percent [2] 3 20 2" xfId="8694"/>
    <cellStyle name="Percent [2] 3 21" xfId="4005"/>
    <cellStyle name="Percent [2] 3 21 2" xfId="8695"/>
    <cellStyle name="Percent [2] 3 22" xfId="4006"/>
    <cellStyle name="Percent [2] 3 22 2" xfId="8696"/>
    <cellStyle name="Percent [2] 3 23" xfId="4007"/>
    <cellStyle name="Percent [2] 3 23 2" xfId="8697"/>
    <cellStyle name="Percent [2] 3 24" xfId="8682"/>
    <cellStyle name="Percent [2] 3 3" xfId="4008"/>
    <cellStyle name="Percent [2] 3 3 2" xfId="8698"/>
    <cellStyle name="Percent [2] 3 4" xfId="4009"/>
    <cellStyle name="Percent [2] 3 4 2" xfId="8699"/>
    <cellStyle name="Percent [2] 3 5" xfId="4010"/>
    <cellStyle name="Percent [2] 3 5 2" xfId="8700"/>
    <cellStyle name="Percent [2] 3 6" xfId="4011"/>
    <cellStyle name="Percent [2] 3 6 2" xfId="8701"/>
    <cellStyle name="Percent [2] 3 7" xfId="4012"/>
    <cellStyle name="Percent [2] 3 7 2" xfId="8702"/>
    <cellStyle name="Percent [2] 3 8" xfId="4013"/>
    <cellStyle name="Percent [2] 3 8 2" xfId="8703"/>
    <cellStyle name="Percent [2] 3 9" xfId="4014"/>
    <cellStyle name="Percent [2] 3 9 2" xfId="8704"/>
    <cellStyle name="Percent [2] 4" xfId="4015"/>
    <cellStyle name="Percent [2] 4 10" xfId="4016"/>
    <cellStyle name="Percent [2] 4 10 2" xfId="8706"/>
    <cellStyle name="Percent [2] 4 11" xfId="4017"/>
    <cellStyle name="Percent [2] 4 11 2" xfId="8707"/>
    <cellStyle name="Percent [2] 4 12" xfId="4018"/>
    <cellStyle name="Percent [2] 4 12 2" xfId="8708"/>
    <cellStyle name="Percent [2] 4 13" xfId="4019"/>
    <cellStyle name="Percent [2] 4 13 2" xfId="8709"/>
    <cellStyle name="Percent [2] 4 14" xfId="4020"/>
    <cellStyle name="Percent [2] 4 14 2" xfId="8710"/>
    <cellStyle name="Percent [2] 4 15" xfId="4021"/>
    <cellStyle name="Percent [2] 4 15 2" xfId="8711"/>
    <cellStyle name="Percent [2] 4 16" xfId="4022"/>
    <cellStyle name="Percent [2] 4 16 2" xfId="8712"/>
    <cellStyle name="Percent [2] 4 17" xfId="4023"/>
    <cellStyle name="Percent [2] 4 17 2" xfId="8713"/>
    <cellStyle name="Percent [2] 4 18" xfId="4024"/>
    <cellStyle name="Percent [2] 4 18 2" xfId="8714"/>
    <cellStyle name="Percent [2] 4 19" xfId="4025"/>
    <cellStyle name="Percent [2] 4 19 2" xfId="8715"/>
    <cellStyle name="Percent [2] 4 2" xfId="4026"/>
    <cellStyle name="Percent [2] 4 2 2" xfId="8716"/>
    <cellStyle name="Percent [2] 4 20" xfId="4027"/>
    <cellStyle name="Percent [2] 4 20 2" xfId="5113"/>
    <cellStyle name="Percent [2] 4 20 2 2" xfId="9768"/>
    <cellStyle name="Percent [2] 4 20 3" xfId="8717"/>
    <cellStyle name="Percent [2] 4 21" xfId="4028"/>
    <cellStyle name="Percent [2] 4 21 2" xfId="5114"/>
    <cellStyle name="Percent [2] 4 21 2 2" xfId="9769"/>
    <cellStyle name="Percent [2] 4 21 3" xfId="8718"/>
    <cellStyle name="Percent [2] 4 22" xfId="4029"/>
    <cellStyle name="Percent [2] 4 22 2" xfId="5115"/>
    <cellStyle name="Percent [2] 4 22 2 2" xfId="9770"/>
    <cellStyle name="Percent [2] 4 22 3" xfId="8719"/>
    <cellStyle name="Percent [2] 4 23" xfId="4030"/>
    <cellStyle name="Percent [2] 4 23 2" xfId="5116"/>
    <cellStyle name="Percent [2] 4 23 2 2" xfId="9771"/>
    <cellStyle name="Percent [2] 4 23 3" xfId="8720"/>
    <cellStyle name="Percent [2] 4 24" xfId="8705"/>
    <cellStyle name="Percent [2] 4 3" xfId="4031"/>
    <cellStyle name="Percent [2] 4 3 2" xfId="5117"/>
    <cellStyle name="Percent [2] 4 3 2 2" xfId="9772"/>
    <cellStyle name="Percent [2] 4 3 3" xfId="8721"/>
    <cellStyle name="Percent [2] 4 4" xfId="4032"/>
    <cellStyle name="Percent [2] 4 4 2" xfId="5118"/>
    <cellStyle name="Percent [2] 4 4 2 2" xfId="9773"/>
    <cellStyle name="Percent [2] 4 4 3" xfId="8722"/>
    <cellStyle name="Percent [2] 4 5" xfId="4033"/>
    <cellStyle name="Percent [2] 4 5 2" xfId="5119"/>
    <cellStyle name="Percent [2] 4 5 2 2" xfId="9774"/>
    <cellStyle name="Percent [2] 4 5 3" xfId="8723"/>
    <cellStyle name="Percent [2] 4 6" xfId="4034"/>
    <cellStyle name="Percent [2] 4 6 2" xfId="5120"/>
    <cellStyle name="Percent [2] 4 6 2 2" xfId="9775"/>
    <cellStyle name="Percent [2] 4 6 3" xfId="8724"/>
    <cellStyle name="Percent [2] 4 7" xfId="4035"/>
    <cellStyle name="Percent [2] 4 7 2" xfId="5121"/>
    <cellStyle name="Percent [2] 4 7 2 2" xfId="9776"/>
    <cellStyle name="Percent [2] 4 7 3" xfId="8725"/>
    <cellStyle name="Percent [2] 4 8" xfId="4036"/>
    <cellStyle name="Percent [2] 4 8 2" xfId="5122"/>
    <cellStyle name="Percent [2] 4 8 2 2" xfId="9777"/>
    <cellStyle name="Percent [2] 4 8 3" xfId="8726"/>
    <cellStyle name="Percent [2] 4 9" xfId="4037"/>
    <cellStyle name="Percent [2] 4 9 2" xfId="5123"/>
    <cellStyle name="Percent [2] 4 9 2 2" xfId="9778"/>
    <cellStyle name="Percent [2] 4 9 3" xfId="8727"/>
    <cellStyle name="Percent [2] 5" xfId="4038"/>
    <cellStyle name="Percent [2] 5 10" xfId="4039"/>
    <cellStyle name="Percent [2] 5 10 2" xfId="5125"/>
    <cellStyle name="Percent [2] 5 10 2 2" xfId="9780"/>
    <cellStyle name="Percent [2] 5 10 3" xfId="8729"/>
    <cellStyle name="Percent [2] 5 11" xfId="4040"/>
    <cellStyle name="Percent [2] 5 11 2" xfId="5126"/>
    <cellStyle name="Percent [2] 5 11 2 2" xfId="9781"/>
    <cellStyle name="Percent [2] 5 11 3" xfId="8730"/>
    <cellStyle name="Percent [2] 5 12" xfId="4041"/>
    <cellStyle name="Percent [2] 5 12 2" xfId="5127"/>
    <cellStyle name="Percent [2] 5 12 2 2" xfId="9782"/>
    <cellStyle name="Percent [2] 5 12 3" xfId="8731"/>
    <cellStyle name="Percent [2] 5 13" xfId="4042"/>
    <cellStyle name="Percent [2] 5 13 2" xfId="5128"/>
    <cellStyle name="Percent [2] 5 13 2 2" xfId="9783"/>
    <cellStyle name="Percent [2] 5 13 3" xfId="8732"/>
    <cellStyle name="Percent [2] 5 14" xfId="4043"/>
    <cellStyle name="Percent [2] 5 14 2" xfId="5129"/>
    <cellStyle name="Percent [2] 5 14 2 2" xfId="9784"/>
    <cellStyle name="Percent [2] 5 14 3" xfId="8733"/>
    <cellStyle name="Percent [2] 5 15" xfId="4044"/>
    <cellStyle name="Percent [2] 5 15 2" xfId="5130"/>
    <cellStyle name="Percent [2] 5 15 2 2" xfId="9785"/>
    <cellStyle name="Percent [2] 5 15 3" xfId="8734"/>
    <cellStyle name="Percent [2] 5 16" xfId="4045"/>
    <cellStyle name="Percent [2] 5 16 2" xfId="5131"/>
    <cellStyle name="Percent [2] 5 16 2 2" xfId="9786"/>
    <cellStyle name="Percent [2] 5 16 3" xfId="8735"/>
    <cellStyle name="Percent [2] 5 17" xfId="4046"/>
    <cellStyle name="Percent [2] 5 17 2" xfId="5132"/>
    <cellStyle name="Percent [2] 5 17 2 2" xfId="9787"/>
    <cellStyle name="Percent [2] 5 17 3" xfId="8736"/>
    <cellStyle name="Percent [2] 5 18" xfId="4047"/>
    <cellStyle name="Percent [2] 5 18 2" xfId="5133"/>
    <cellStyle name="Percent [2] 5 18 2 2" xfId="9788"/>
    <cellStyle name="Percent [2] 5 18 3" xfId="8737"/>
    <cellStyle name="Percent [2] 5 19" xfId="4048"/>
    <cellStyle name="Percent [2] 5 19 2" xfId="5134"/>
    <cellStyle name="Percent [2] 5 19 2 2" xfId="9789"/>
    <cellStyle name="Percent [2] 5 19 3" xfId="8738"/>
    <cellStyle name="Percent [2] 5 2" xfId="4049"/>
    <cellStyle name="Percent [2] 5 2 2" xfId="5135"/>
    <cellStyle name="Percent [2] 5 2 2 2" xfId="9790"/>
    <cellStyle name="Percent [2] 5 2 3" xfId="8739"/>
    <cellStyle name="Percent [2] 5 20" xfId="4050"/>
    <cellStyle name="Percent [2] 5 20 2" xfId="5136"/>
    <cellStyle name="Percent [2] 5 20 2 2" xfId="9791"/>
    <cellStyle name="Percent [2] 5 20 3" xfId="8740"/>
    <cellStyle name="Percent [2] 5 21" xfId="4051"/>
    <cellStyle name="Percent [2] 5 21 2" xfId="5137"/>
    <cellStyle name="Percent [2] 5 21 2 2" xfId="9792"/>
    <cellStyle name="Percent [2] 5 21 3" xfId="8741"/>
    <cellStyle name="Percent [2] 5 22" xfId="4052"/>
    <cellStyle name="Percent [2] 5 22 2" xfId="5138"/>
    <cellStyle name="Percent [2] 5 22 2 2" xfId="9793"/>
    <cellStyle name="Percent [2] 5 22 3" xfId="8742"/>
    <cellStyle name="Percent [2] 5 23" xfId="4053"/>
    <cellStyle name="Percent [2] 5 23 2" xfId="5139"/>
    <cellStyle name="Percent [2] 5 23 2 2" xfId="9794"/>
    <cellStyle name="Percent [2] 5 23 3" xfId="8743"/>
    <cellStyle name="Percent [2] 5 24" xfId="5124"/>
    <cellStyle name="Percent [2] 5 24 2" xfId="9779"/>
    <cellStyle name="Percent [2] 5 25" xfId="8728"/>
    <cellStyle name="Percent [2] 5 3" xfId="4054"/>
    <cellStyle name="Percent [2] 5 3 2" xfId="5140"/>
    <cellStyle name="Percent [2] 5 3 2 2" xfId="9795"/>
    <cellStyle name="Percent [2] 5 3 3" xfId="8744"/>
    <cellStyle name="Percent [2] 5 4" xfId="4055"/>
    <cellStyle name="Percent [2] 5 4 2" xfId="5141"/>
    <cellStyle name="Percent [2] 5 4 2 2" xfId="9796"/>
    <cellStyle name="Percent [2] 5 4 3" xfId="8745"/>
    <cellStyle name="Percent [2] 5 5" xfId="4056"/>
    <cellStyle name="Percent [2] 5 5 2" xfId="5142"/>
    <cellStyle name="Percent [2] 5 5 2 2" xfId="9797"/>
    <cellStyle name="Percent [2] 5 5 3" xfId="8746"/>
    <cellStyle name="Percent [2] 5 6" xfId="4057"/>
    <cellStyle name="Percent [2] 5 6 2" xfId="5143"/>
    <cellStyle name="Percent [2] 5 6 2 2" xfId="9798"/>
    <cellStyle name="Percent [2] 5 6 3" xfId="8747"/>
    <cellStyle name="Percent [2] 5 7" xfId="4058"/>
    <cellStyle name="Percent [2] 5 7 2" xfId="5144"/>
    <cellStyle name="Percent [2] 5 7 2 2" xfId="9799"/>
    <cellStyle name="Percent [2] 5 7 3" xfId="8748"/>
    <cellStyle name="Percent [2] 5 8" xfId="4059"/>
    <cellStyle name="Percent [2] 5 8 2" xfId="5145"/>
    <cellStyle name="Percent [2] 5 8 2 2" xfId="9800"/>
    <cellStyle name="Percent [2] 5 8 3" xfId="8749"/>
    <cellStyle name="Percent [2] 5 9" xfId="4060"/>
    <cellStyle name="Percent [2] 5 9 2" xfId="5146"/>
    <cellStyle name="Percent [2] 5 9 2 2" xfId="9801"/>
    <cellStyle name="Percent [2] 5 9 3" xfId="8750"/>
    <cellStyle name="Percent [2] 6" xfId="4061"/>
    <cellStyle name="Percent [2] 6 10" xfId="4062"/>
    <cellStyle name="Percent [2] 6 10 2" xfId="5148"/>
    <cellStyle name="Percent [2] 6 10 2 2" xfId="9803"/>
    <cellStyle name="Percent [2] 6 10 3" xfId="8752"/>
    <cellStyle name="Percent [2] 6 11" xfId="4063"/>
    <cellStyle name="Percent [2] 6 11 2" xfId="5149"/>
    <cellStyle name="Percent [2] 6 11 2 2" xfId="9804"/>
    <cellStyle name="Percent [2] 6 11 3" xfId="8753"/>
    <cellStyle name="Percent [2] 6 12" xfId="4064"/>
    <cellStyle name="Percent [2] 6 12 2" xfId="5150"/>
    <cellStyle name="Percent [2] 6 12 2 2" xfId="9805"/>
    <cellStyle name="Percent [2] 6 12 3" xfId="8754"/>
    <cellStyle name="Percent [2] 6 13" xfId="4065"/>
    <cellStyle name="Percent [2] 6 13 2" xfId="5151"/>
    <cellStyle name="Percent [2] 6 13 2 2" xfId="9806"/>
    <cellStyle name="Percent [2] 6 13 3" xfId="8755"/>
    <cellStyle name="Percent [2] 6 14" xfId="4066"/>
    <cellStyle name="Percent [2] 6 14 2" xfId="5152"/>
    <cellStyle name="Percent [2] 6 14 2 2" xfId="9807"/>
    <cellStyle name="Percent [2] 6 14 3" xfId="8756"/>
    <cellStyle name="Percent [2] 6 15" xfId="4067"/>
    <cellStyle name="Percent [2] 6 15 2" xfId="5153"/>
    <cellStyle name="Percent [2] 6 15 2 2" xfId="9808"/>
    <cellStyle name="Percent [2] 6 15 3" xfId="8757"/>
    <cellStyle name="Percent [2] 6 16" xfId="4068"/>
    <cellStyle name="Percent [2] 6 16 2" xfId="5154"/>
    <cellStyle name="Percent [2] 6 16 2 2" xfId="9809"/>
    <cellStyle name="Percent [2] 6 16 3" xfId="8758"/>
    <cellStyle name="Percent [2] 6 17" xfId="4069"/>
    <cellStyle name="Percent [2] 6 17 2" xfId="5155"/>
    <cellStyle name="Percent [2] 6 17 2 2" xfId="9810"/>
    <cellStyle name="Percent [2] 6 17 3" xfId="8759"/>
    <cellStyle name="Percent [2] 6 18" xfId="4070"/>
    <cellStyle name="Percent [2] 6 18 2" xfId="5156"/>
    <cellStyle name="Percent [2] 6 18 2 2" xfId="9811"/>
    <cellStyle name="Percent [2] 6 18 3" xfId="8760"/>
    <cellStyle name="Percent [2] 6 19" xfId="4071"/>
    <cellStyle name="Percent [2] 6 19 2" xfId="5157"/>
    <cellStyle name="Percent [2] 6 19 2 2" xfId="9812"/>
    <cellStyle name="Percent [2] 6 19 3" xfId="8761"/>
    <cellStyle name="Percent [2] 6 2" xfId="4072"/>
    <cellStyle name="Percent [2] 6 2 2" xfId="5158"/>
    <cellStyle name="Percent [2] 6 2 2 2" xfId="9813"/>
    <cellStyle name="Percent [2] 6 2 3" xfId="8762"/>
    <cellStyle name="Percent [2] 6 20" xfId="4073"/>
    <cellStyle name="Percent [2] 6 20 2" xfId="5159"/>
    <cellStyle name="Percent [2] 6 20 2 2" xfId="9814"/>
    <cellStyle name="Percent [2] 6 20 3" xfId="8763"/>
    <cellStyle name="Percent [2] 6 21" xfId="4074"/>
    <cellStyle name="Percent [2] 6 21 2" xfId="5160"/>
    <cellStyle name="Percent [2] 6 21 2 2" xfId="9815"/>
    <cellStyle name="Percent [2] 6 21 3" xfId="8764"/>
    <cellStyle name="Percent [2] 6 22" xfId="4075"/>
    <cellStyle name="Percent [2] 6 22 2" xfId="5161"/>
    <cellStyle name="Percent [2] 6 22 2 2" xfId="9816"/>
    <cellStyle name="Percent [2] 6 22 3" xfId="8765"/>
    <cellStyle name="Percent [2] 6 23" xfId="4076"/>
    <cellStyle name="Percent [2] 6 23 2" xfId="5162"/>
    <cellStyle name="Percent [2] 6 23 2 2" xfId="9817"/>
    <cellStyle name="Percent [2] 6 23 3" xfId="8766"/>
    <cellStyle name="Percent [2] 6 24" xfId="5147"/>
    <cellStyle name="Percent [2] 6 24 2" xfId="9802"/>
    <cellStyle name="Percent [2] 6 25" xfId="8751"/>
    <cellStyle name="Percent [2] 6 3" xfId="4077"/>
    <cellStyle name="Percent [2] 6 3 2" xfId="5163"/>
    <cellStyle name="Percent [2] 6 3 2 2" xfId="9818"/>
    <cellStyle name="Percent [2] 6 3 3" xfId="8767"/>
    <cellStyle name="Percent [2] 6 4" xfId="4078"/>
    <cellStyle name="Percent [2] 6 4 2" xfId="5164"/>
    <cellStyle name="Percent [2] 6 4 2 2" xfId="9819"/>
    <cellStyle name="Percent [2] 6 4 3" xfId="8768"/>
    <cellStyle name="Percent [2] 6 5" xfId="4079"/>
    <cellStyle name="Percent [2] 6 5 2" xfId="5165"/>
    <cellStyle name="Percent [2] 6 5 2 2" xfId="9820"/>
    <cellStyle name="Percent [2] 6 5 3" xfId="8769"/>
    <cellStyle name="Percent [2] 6 6" xfId="4080"/>
    <cellStyle name="Percent [2] 6 6 2" xfId="5166"/>
    <cellStyle name="Percent [2] 6 6 2 2" xfId="9821"/>
    <cellStyle name="Percent [2] 6 6 3" xfId="8770"/>
    <cellStyle name="Percent [2] 6 7" xfId="4081"/>
    <cellStyle name="Percent [2] 6 7 2" xfId="5167"/>
    <cellStyle name="Percent [2] 6 7 2 2" xfId="9822"/>
    <cellStyle name="Percent [2] 6 7 3" xfId="8771"/>
    <cellStyle name="Percent [2] 6 8" xfId="4082"/>
    <cellStyle name="Percent [2] 6 8 2" xfId="5168"/>
    <cellStyle name="Percent [2] 6 8 2 2" xfId="9823"/>
    <cellStyle name="Percent [2] 6 8 3" xfId="8772"/>
    <cellStyle name="Percent [2] 6 9" xfId="4083"/>
    <cellStyle name="Percent [2] 6 9 2" xfId="5169"/>
    <cellStyle name="Percent [2] 6 9 2 2" xfId="9824"/>
    <cellStyle name="Percent [2] 6 9 3" xfId="8773"/>
    <cellStyle name="Percent [2] 7" xfId="4084"/>
    <cellStyle name="Percent [2] 7 10" xfId="4085"/>
    <cellStyle name="Percent [2] 7 10 2" xfId="5171"/>
    <cellStyle name="Percent [2] 7 10 2 2" xfId="9826"/>
    <cellStyle name="Percent [2] 7 10 3" xfId="8775"/>
    <cellStyle name="Percent [2] 7 11" xfId="4086"/>
    <cellStyle name="Percent [2] 7 11 2" xfId="5172"/>
    <cellStyle name="Percent [2] 7 11 2 2" xfId="9827"/>
    <cellStyle name="Percent [2] 7 11 3" xfId="8776"/>
    <cellStyle name="Percent [2] 7 12" xfId="4087"/>
    <cellStyle name="Percent [2] 7 12 2" xfId="5173"/>
    <cellStyle name="Percent [2] 7 12 2 2" xfId="9828"/>
    <cellStyle name="Percent [2] 7 12 3" xfId="8777"/>
    <cellStyle name="Percent [2] 7 13" xfId="4088"/>
    <cellStyle name="Percent [2] 7 13 2" xfId="5174"/>
    <cellStyle name="Percent [2] 7 13 2 2" xfId="9829"/>
    <cellStyle name="Percent [2] 7 13 3" xfId="8778"/>
    <cellStyle name="Percent [2] 7 14" xfId="4089"/>
    <cellStyle name="Percent [2] 7 14 2" xfId="5175"/>
    <cellStyle name="Percent [2] 7 14 2 2" xfId="9830"/>
    <cellStyle name="Percent [2] 7 14 3" xfId="8779"/>
    <cellStyle name="Percent [2] 7 15" xfId="4090"/>
    <cellStyle name="Percent [2] 7 15 2" xfId="5176"/>
    <cellStyle name="Percent [2] 7 15 2 2" xfId="9831"/>
    <cellStyle name="Percent [2] 7 15 3" xfId="8780"/>
    <cellStyle name="Percent [2] 7 16" xfId="4091"/>
    <cellStyle name="Percent [2] 7 16 2" xfId="5177"/>
    <cellStyle name="Percent [2] 7 16 2 2" xfId="9832"/>
    <cellStyle name="Percent [2] 7 16 3" xfId="8781"/>
    <cellStyle name="Percent [2] 7 17" xfId="4092"/>
    <cellStyle name="Percent [2] 7 17 2" xfId="5178"/>
    <cellStyle name="Percent [2] 7 17 2 2" xfId="9833"/>
    <cellStyle name="Percent [2] 7 17 3" xfId="8782"/>
    <cellStyle name="Percent [2] 7 18" xfId="4093"/>
    <cellStyle name="Percent [2] 7 18 2" xfId="5179"/>
    <cellStyle name="Percent [2] 7 18 2 2" xfId="9834"/>
    <cellStyle name="Percent [2] 7 18 3" xfId="8783"/>
    <cellStyle name="Percent [2] 7 19" xfId="4094"/>
    <cellStyle name="Percent [2] 7 19 2" xfId="5180"/>
    <cellStyle name="Percent [2] 7 19 2 2" xfId="9835"/>
    <cellStyle name="Percent [2] 7 19 3" xfId="8784"/>
    <cellStyle name="Percent [2] 7 2" xfId="4095"/>
    <cellStyle name="Percent [2] 7 2 2" xfId="5181"/>
    <cellStyle name="Percent [2] 7 2 2 2" xfId="9836"/>
    <cellStyle name="Percent [2] 7 2 3" xfId="8785"/>
    <cellStyle name="Percent [2] 7 20" xfId="4096"/>
    <cellStyle name="Percent [2] 7 20 2" xfId="5182"/>
    <cellStyle name="Percent [2] 7 20 2 2" xfId="9837"/>
    <cellStyle name="Percent [2] 7 20 3" xfId="8786"/>
    <cellStyle name="Percent [2] 7 21" xfId="4097"/>
    <cellStyle name="Percent [2] 7 21 2" xfId="5183"/>
    <cellStyle name="Percent [2] 7 21 2 2" xfId="9838"/>
    <cellStyle name="Percent [2] 7 21 3" xfId="8787"/>
    <cellStyle name="Percent [2] 7 22" xfId="5170"/>
    <cellStyle name="Percent [2] 7 22 2" xfId="9825"/>
    <cellStyle name="Percent [2] 7 23" xfId="8774"/>
    <cellStyle name="Percent [2] 7 3" xfId="4098"/>
    <cellStyle name="Percent [2] 7 3 2" xfId="5184"/>
    <cellStyle name="Percent [2] 7 3 2 2" xfId="9839"/>
    <cellStyle name="Percent [2] 7 3 3" xfId="8788"/>
    <cellStyle name="Percent [2] 7 4" xfId="4099"/>
    <cellStyle name="Percent [2] 7 4 2" xfId="5185"/>
    <cellStyle name="Percent [2] 7 4 2 2" xfId="9840"/>
    <cellStyle name="Percent [2] 7 4 3" xfId="8789"/>
    <cellStyle name="Percent [2] 7 5" xfId="4100"/>
    <cellStyle name="Percent [2] 7 5 2" xfId="5186"/>
    <cellStyle name="Percent [2] 7 5 2 2" xfId="9841"/>
    <cellStyle name="Percent [2] 7 5 3" xfId="8790"/>
    <cellStyle name="Percent [2] 7 6" xfId="4101"/>
    <cellStyle name="Percent [2] 7 6 2" xfId="5187"/>
    <cellStyle name="Percent [2] 7 6 2 2" xfId="9842"/>
    <cellStyle name="Percent [2] 7 6 3" xfId="8791"/>
    <cellStyle name="Percent [2] 7 7" xfId="4102"/>
    <cellStyle name="Percent [2] 7 7 2" xfId="5188"/>
    <cellStyle name="Percent [2] 7 7 2 2" xfId="9843"/>
    <cellStyle name="Percent [2] 7 7 3" xfId="8792"/>
    <cellStyle name="Percent [2] 7 8" xfId="4103"/>
    <cellStyle name="Percent [2] 7 8 2" xfId="5189"/>
    <cellStyle name="Percent [2] 7 8 2 2" xfId="9844"/>
    <cellStyle name="Percent [2] 7 8 3" xfId="8793"/>
    <cellStyle name="Percent [2] 7 9" xfId="4104"/>
    <cellStyle name="Percent [2] 7 9 2" xfId="5190"/>
    <cellStyle name="Percent [2] 7 9 2 2" xfId="9845"/>
    <cellStyle name="Percent [2] 7 9 3" xfId="8794"/>
    <cellStyle name="Percent [2] 8" xfId="4105"/>
    <cellStyle name="Percent [2] 8 2" xfId="5191"/>
    <cellStyle name="Percent [2] 8 2 2" xfId="9846"/>
    <cellStyle name="Percent [2] 8 3" xfId="8795"/>
    <cellStyle name="Percent 2" xfId="4106"/>
    <cellStyle name="Percent 2 2" xfId="5192"/>
    <cellStyle name="Percent 2 2 2" xfId="9847"/>
    <cellStyle name="Percent 2 3" xfId="8796"/>
    <cellStyle name="regstoresfromspecstores" xfId="4107"/>
    <cellStyle name="regstoresfromspecstores 2" xfId="4108"/>
    <cellStyle name="regstoresfromspecstores 2 10" xfId="4109"/>
    <cellStyle name="regstoresfromspecstores 2 10 2" xfId="5195"/>
    <cellStyle name="regstoresfromspecstores 2 10 2 2" xfId="9850"/>
    <cellStyle name="regstoresfromspecstores 2 10 3" xfId="8799"/>
    <cellStyle name="regstoresfromspecstores 2 11" xfId="4110"/>
    <cellStyle name="regstoresfromspecstores 2 11 2" xfId="5196"/>
    <cellStyle name="regstoresfromspecstores 2 11 2 2" xfId="9851"/>
    <cellStyle name="regstoresfromspecstores 2 11 3" xfId="8800"/>
    <cellStyle name="regstoresfromspecstores 2 12" xfId="4111"/>
    <cellStyle name="regstoresfromspecstores 2 12 2" xfId="5197"/>
    <cellStyle name="regstoresfromspecstores 2 12 2 2" xfId="9852"/>
    <cellStyle name="regstoresfromspecstores 2 12 3" xfId="8801"/>
    <cellStyle name="regstoresfromspecstores 2 13" xfId="4112"/>
    <cellStyle name="regstoresfromspecstores 2 13 2" xfId="5198"/>
    <cellStyle name="regstoresfromspecstores 2 13 2 2" xfId="9853"/>
    <cellStyle name="regstoresfromspecstores 2 13 3" xfId="8802"/>
    <cellStyle name="regstoresfromspecstores 2 14" xfId="4113"/>
    <cellStyle name="regstoresfromspecstores 2 14 2" xfId="5199"/>
    <cellStyle name="regstoresfromspecstores 2 14 2 2" xfId="9854"/>
    <cellStyle name="regstoresfromspecstores 2 14 3" xfId="8803"/>
    <cellStyle name="regstoresfromspecstores 2 15" xfId="4114"/>
    <cellStyle name="regstoresfromspecstores 2 15 2" xfId="5200"/>
    <cellStyle name="regstoresfromspecstores 2 15 2 2" xfId="9855"/>
    <cellStyle name="regstoresfromspecstores 2 15 3" xfId="8804"/>
    <cellStyle name="regstoresfromspecstores 2 16" xfId="4115"/>
    <cellStyle name="regstoresfromspecstores 2 16 2" xfId="5201"/>
    <cellStyle name="regstoresfromspecstores 2 16 2 2" xfId="9856"/>
    <cellStyle name="regstoresfromspecstores 2 16 3" xfId="8805"/>
    <cellStyle name="regstoresfromspecstores 2 17" xfId="4116"/>
    <cellStyle name="regstoresfromspecstores 2 17 2" xfId="5202"/>
    <cellStyle name="regstoresfromspecstores 2 17 2 2" xfId="9857"/>
    <cellStyle name="regstoresfromspecstores 2 17 3" xfId="8806"/>
    <cellStyle name="regstoresfromspecstores 2 18" xfId="4117"/>
    <cellStyle name="regstoresfromspecstores 2 18 2" xfId="5203"/>
    <cellStyle name="regstoresfromspecstores 2 18 2 2" xfId="9858"/>
    <cellStyle name="regstoresfromspecstores 2 18 3" xfId="8807"/>
    <cellStyle name="regstoresfromspecstores 2 19" xfId="4118"/>
    <cellStyle name="regstoresfromspecstores 2 19 2" xfId="5204"/>
    <cellStyle name="regstoresfromspecstores 2 19 2 2" xfId="9859"/>
    <cellStyle name="regstoresfromspecstores 2 19 3" xfId="8808"/>
    <cellStyle name="regstoresfromspecstores 2 2" xfId="4119"/>
    <cellStyle name="regstoresfromspecstores 2 2 2" xfId="5205"/>
    <cellStyle name="regstoresfromspecstores 2 2 2 2" xfId="9860"/>
    <cellStyle name="regstoresfromspecstores 2 2 3" xfId="8809"/>
    <cellStyle name="regstoresfromspecstores 2 20" xfId="4120"/>
    <cellStyle name="regstoresfromspecstores 2 20 2" xfId="5206"/>
    <cellStyle name="regstoresfromspecstores 2 20 2 2" xfId="9861"/>
    <cellStyle name="regstoresfromspecstores 2 20 3" xfId="8810"/>
    <cellStyle name="regstoresfromspecstores 2 21" xfId="4121"/>
    <cellStyle name="regstoresfromspecstores 2 21 2" xfId="5207"/>
    <cellStyle name="regstoresfromspecstores 2 21 2 2" xfId="9862"/>
    <cellStyle name="regstoresfromspecstores 2 21 3" xfId="8811"/>
    <cellStyle name="regstoresfromspecstores 2 22" xfId="4122"/>
    <cellStyle name="regstoresfromspecstores 2 22 2" xfId="5208"/>
    <cellStyle name="regstoresfromspecstores 2 22 2 2" xfId="9863"/>
    <cellStyle name="regstoresfromspecstores 2 22 3" xfId="8812"/>
    <cellStyle name="regstoresfromspecstores 2 23" xfId="5194"/>
    <cellStyle name="regstoresfromspecstores 2 23 2" xfId="9849"/>
    <cellStyle name="regstoresfromspecstores 2 24" xfId="8798"/>
    <cellStyle name="regstoresfromspecstores 2 3" xfId="4123"/>
    <cellStyle name="regstoresfromspecstores 2 3 2" xfId="5209"/>
    <cellStyle name="regstoresfromspecstores 2 3 2 2" xfId="9864"/>
    <cellStyle name="regstoresfromspecstores 2 3 3" xfId="8813"/>
    <cellStyle name="regstoresfromspecstores 2 4" xfId="4124"/>
    <cellStyle name="regstoresfromspecstores 2 4 2" xfId="5210"/>
    <cellStyle name="regstoresfromspecstores 2 4 2 2" xfId="9865"/>
    <cellStyle name="regstoresfromspecstores 2 4 3" xfId="8814"/>
    <cellStyle name="regstoresfromspecstores 2 5" xfId="4125"/>
    <cellStyle name="regstoresfromspecstores 2 5 2" xfId="5211"/>
    <cellStyle name="regstoresfromspecstores 2 5 2 2" xfId="9866"/>
    <cellStyle name="regstoresfromspecstores 2 5 3" xfId="8815"/>
    <cellStyle name="regstoresfromspecstores 2 6" xfId="4126"/>
    <cellStyle name="regstoresfromspecstores 2 6 2" xfId="5212"/>
    <cellStyle name="regstoresfromspecstores 2 6 2 2" xfId="9867"/>
    <cellStyle name="regstoresfromspecstores 2 6 3" xfId="8816"/>
    <cellStyle name="regstoresfromspecstores 2 7" xfId="4127"/>
    <cellStyle name="regstoresfromspecstores 2 7 2" xfId="5213"/>
    <cellStyle name="regstoresfromspecstores 2 7 2 2" xfId="9868"/>
    <cellStyle name="regstoresfromspecstores 2 7 3" xfId="8817"/>
    <cellStyle name="regstoresfromspecstores 2 8" xfId="4128"/>
    <cellStyle name="regstoresfromspecstores 2 8 2" xfId="5214"/>
    <cellStyle name="regstoresfromspecstores 2 8 2 2" xfId="9869"/>
    <cellStyle name="regstoresfromspecstores 2 8 3" xfId="8818"/>
    <cellStyle name="regstoresfromspecstores 2 9" xfId="4129"/>
    <cellStyle name="regstoresfromspecstores 2 9 2" xfId="5215"/>
    <cellStyle name="regstoresfromspecstores 2 9 2 2" xfId="9870"/>
    <cellStyle name="regstoresfromspecstores 2 9 3" xfId="8819"/>
    <cellStyle name="regstoresfromspecstores 3" xfId="4130"/>
    <cellStyle name="regstoresfromspecstores 3 10" xfId="4131"/>
    <cellStyle name="regstoresfromspecstores 3 10 2" xfId="5217"/>
    <cellStyle name="regstoresfromspecstores 3 10 2 2" xfId="9872"/>
    <cellStyle name="regstoresfromspecstores 3 10 3" xfId="8821"/>
    <cellStyle name="regstoresfromspecstores 3 11" xfId="4132"/>
    <cellStyle name="regstoresfromspecstores 3 11 2" xfId="5218"/>
    <cellStyle name="regstoresfromspecstores 3 11 2 2" xfId="9873"/>
    <cellStyle name="regstoresfromspecstores 3 11 3" xfId="8822"/>
    <cellStyle name="regstoresfromspecstores 3 12" xfId="4133"/>
    <cellStyle name="regstoresfromspecstores 3 12 2" xfId="5219"/>
    <cellStyle name="regstoresfromspecstores 3 12 2 2" xfId="9874"/>
    <cellStyle name="regstoresfromspecstores 3 12 3" xfId="8823"/>
    <cellStyle name="regstoresfromspecstores 3 13" xfId="4134"/>
    <cellStyle name="regstoresfromspecstores 3 13 2" xfId="5220"/>
    <cellStyle name="regstoresfromspecstores 3 13 2 2" xfId="9875"/>
    <cellStyle name="regstoresfromspecstores 3 13 3" xfId="8824"/>
    <cellStyle name="regstoresfromspecstores 3 14" xfId="4135"/>
    <cellStyle name="regstoresfromspecstores 3 14 2" xfId="5221"/>
    <cellStyle name="regstoresfromspecstores 3 14 2 2" xfId="9876"/>
    <cellStyle name="regstoresfromspecstores 3 14 3" xfId="8825"/>
    <cellStyle name="regstoresfromspecstores 3 15" xfId="4136"/>
    <cellStyle name="regstoresfromspecstores 3 15 2" xfId="5222"/>
    <cellStyle name="regstoresfromspecstores 3 15 2 2" xfId="9877"/>
    <cellStyle name="regstoresfromspecstores 3 15 3" xfId="8826"/>
    <cellStyle name="regstoresfromspecstores 3 16" xfId="4137"/>
    <cellStyle name="regstoresfromspecstores 3 16 2" xfId="5223"/>
    <cellStyle name="regstoresfromspecstores 3 16 2 2" xfId="9878"/>
    <cellStyle name="regstoresfromspecstores 3 16 3" xfId="8827"/>
    <cellStyle name="regstoresfromspecstores 3 17" xfId="4138"/>
    <cellStyle name="regstoresfromspecstores 3 17 2" xfId="5224"/>
    <cellStyle name="regstoresfromspecstores 3 17 2 2" xfId="9879"/>
    <cellStyle name="regstoresfromspecstores 3 17 3" xfId="8828"/>
    <cellStyle name="regstoresfromspecstores 3 18" xfId="4139"/>
    <cellStyle name="regstoresfromspecstores 3 18 2" xfId="5225"/>
    <cellStyle name="regstoresfromspecstores 3 18 2 2" xfId="9880"/>
    <cellStyle name="regstoresfromspecstores 3 18 3" xfId="8829"/>
    <cellStyle name="regstoresfromspecstores 3 19" xfId="4140"/>
    <cellStyle name="regstoresfromspecstores 3 19 2" xfId="5226"/>
    <cellStyle name="regstoresfromspecstores 3 19 2 2" xfId="9881"/>
    <cellStyle name="regstoresfromspecstores 3 19 3" xfId="8830"/>
    <cellStyle name="regstoresfromspecstores 3 2" xfId="4141"/>
    <cellStyle name="regstoresfromspecstores 3 2 2" xfId="5227"/>
    <cellStyle name="regstoresfromspecstores 3 2 2 2" xfId="9882"/>
    <cellStyle name="regstoresfromspecstores 3 2 3" xfId="8831"/>
    <cellStyle name="regstoresfromspecstores 3 20" xfId="4142"/>
    <cellStyle name="regstoresfromspecstores 3 20 2" xfId="5228"/>
    <cellStyle name="regstoresfromspecstores 3 20 2 2" xfId="9883"/>
    <cellStyle name="regstoresfromspecstores 3 20 3" xfId="8832"/>
    <cellStyle name="regstoresfromspecstores 3 21" xfId="4143"/>
    <cellStyle name="regstoresfromspecstores 3 21 2" xfId="5229"/>
    <cellStyle name="regstoresfromspecstores 3 21 2 2" xfId="9884"/>
    <cellStyle name="regstoresfromspecstores 3 21 3" xfId="8833"/>
    <cellStyle name="regstoresfromspecstores 3 22" xfId="4144"/>
    <cellStyle name="regstoresfromspecstores 3 22 2" xfId="5230"/>
    <cellStyle name="regstoresfromspecstores 3 22 2 2" xfId="9885"/>
    <cellStyle name="regstoresfromspecstores 3 22 3" xfId="8834"/>
    <cellStyle name="regstoresfromspecstores 3 23" xfId="5216"/>
    <cellStyle name="regstoresfromspecstores 3 23 2" xfId="9871"/>
    <cellStyle name="regstoresfromspecstores 3 24" xfId="8820"/>
    <cellStyle name="regstoresfromspecstores 3 3" xfId="4145"/>
    <cellStyle name="regstoresfromspecstores 3 3 2" xfId="5231"/>
    <cellStyle name="regstoresfromspecstores 3 3 2 2" xfId="9886"/>
    <cellStyle name="regstoresfromspecstores 3 3 3" xfId="8835"/>
    <cellStyle name="regstoresfromspecstores 3 4" xfId="4146"/>
    <cellStyle name="regstoresfromspecstores 3 4 2" xfId="5232"/>
    <cellStyle name="regstoresfromspecstores 3 4 2 2" xfId="9887"/>
    <cellStyle name="regstoresfromspecstores 3 4 3" xfId="8836"/>
    <cellStyle name="regstoresfromspecstores 3 5" xfId="4147"/>
    <cellStyle name="regstoresfromspecstores 3 5 2" xfId="5233"/>
    <cellStyle name="regstoresfromspecstores 3 5 2 2" xfId="9888"/>
    <cellStyle name="regstoresfromspecstores 3 5 3" xfId="8837"/>
    <cellStyle name="regstoresfromspecstores 3 6" xfId="4148"/>
    <cellStyle name="regstoresfromspecstores 3 6 2" xfId="5234"/>
    <cellStyle name="regstoresfromspecstores 3 6 2 2" xfId="9889"/>
    <cellStyle name="regstoresfromspecstores 3 6 3" xfId="8838"/>
    <cellStyle name="regstoresfromspecstores 3 7" xfId="4149"/>
    <cellStyle name="regstoresfromspecstores 3 7 2" xfId="5235"/>
    <cellStyle name="regstoresfromspecstores 3 7 2 2" xfId="9890"/>
    <cellStyle name="regstoresfromspecstores 3 7 3" xfId="8839"/>
    <cellStyle name="regstoresfromspecstores 3 8" xfId="4150"/>
    <cellStyle name="regstoresfromspecstores 3 8 2" xfId="5236"/>
    <cellStyle name="regstoresfromspecstores 3 8 2 2" xfId="9891"/>
    <cellStyle name="regstoresfromspecstores 3 8 3" xfId="8840"/>
    <cellStyle name="regstoresfromspecstores 3 9" xfId="4151"/>
    <cellStyle name="regstoresfromspecstores 3 9 2" xfId="5237"/>
    <cellStyle name="regstoresfromspecstores 3 9 2 2" xfId="9892"/>
    <cellStyle name="regstoresfromspecstores 3 9 3" xfId="8841"/>
    <cellStyle name="regstoresfromspecstores 4" xfId="4152"/>
    <cellStyle name="regstoresfromspecstores 4 10" xfId="4153"/>
    <cellStyle name="regstoresfromspecstores 4 10 2" xfId="5239"/>
    <cellStyle name="regstoresfromspecstores 4 10 2 2" xfId="9894"/>
    <cellStyle name="regstoresfromspecstores 4 10 3" xfId="8843"/>
    <cellStyle name="regstoresfromspecstores 4 11" xfId="4154"/>
    <cellStyle name="regstoresfromspecstores 4 11 2" xfId="5240"/>
    <cellStyle name="regstoresfromspecstores 4 11 2 2" xfId="9895"/>
    <cellStyle name="regstoresfromspecstores 4 11 3" xfId="8844"/>
    <cellStyle name="regstoresfromspecstores 4 12" xfId="4155"/>
    <cellStyle name="regstoresfromspecstores 4 12 2" xfId="5241"/>
    <cellStyle name="regstoresfromspecstores 4 12 2 2" xfId="9896"/>
    <cellStyle name="regstoresfromspecstores 4 12 3" xfId="8845"/>
    <cellStyle name="regstoresfromspecstores 4 13" xfId="4156"/>
    <cellStyle name="regstoresfromspecstores 4 13 2" xfId="5242"/>
    <cellStyle name="regstoresfromspecstores 4 13 2 2" xfId="9897"/>
    <cellStyle name="regstoresfromspecstores 4 13 3" xfId="8846"/>
    <cellStyle name="regstoresfromspecstores 4 14" xfId="4157"/>
    <cellStyle name="regstoresfromspecstores 4 14 2" xfId="5243"/>
    <cellStyle name="regstoresfromspecstores 4 14 2 2" xfId="9898"/>
    <cellStyle name="regstoresfromspecstores 4 14 3" xfId="8847"/>
    <cellStyle name="regstoresfromspecstores 4 15" xfId="4158"/>
    <cellStyle name="regstoresfromspecstores 4 15 2" xfId="5244"/>
    <cellStyle name="regstoresfromspecstores 4 15 2 2" xfId="9899"/>
    <cellStyle name="regstoresfromspecstores 4 15 3" xfId="8848"/>
    <cellStyle name="regstoresfromspecstores 4 16" xfId="4159"/>
    <cellStyle name="regstoresfromspecstores 4 16 2" xfId="5245"/>
    <cellStyle name="regstoresfromspecstores 4 16 2 2" xfId="9900"/>
    <cellStyle name="regstoresfromspecstores 4 16 3" xfId="8849"/>
    <cellStyle name="regstoresfromspecstores 4 17" xfId="4160"/>
    <cellStyle name="regstoresfromspecstores 4 17 2" xfId="5246"/>
    <cellStyle name="regstoresfromspecstores 4 17 2 2" xfId="9901"/>
    <cellStyle name="regstoresfromspecstores 4 17 3" xfId="8850"/>
    <cellStyle name="regstoresfromspecstores 4 18" xfId="4161"/>
    <cellStyle name="regstoresfromspecstores 4 18 2" xfId="5247"/>
    <cellStyle name="regstoresfromspecstores 4 18 2 2" xfId="9902"/>
    <cellStyle name="regstoresfromspecstores 4 18 3" xfId="8851"/>
    <cellStyle name="regstoresfromspecstores 4 19" xfId="4162"/>
    <cellStyle name="regstoresfromspecstores 4 19 2" xfId="5248"/>
    <cellStyle name="regstoresfromspecstores 4 19 2 2" xfId="9903"/>
    <cellStyle name="regstoresfromspecstores 4 19 3" xfId="8852"/>
    <cellStyle name="regstoresfromspecstores 4 2" xfId="4163"/>
    <cellStyle name="regstoresfromspecstores 4 2 2" xfId="5249"/>
    <cellStyle name="regstoresfromspecstores 4 2 2 2" xfId="9904"/>
    <cellStyle name="regstoresfromspecstores 4 2 3" xfId="8853"/>
    <cellStyle name="regstoresfromspecstores 4 20" xfId="4164"/>
    <cellStyle name="regstoresfromspecstores 4 20 2" xfId="5250"/>
    <cellStyle name="regstoresfromspecstores 4 20 2 2" xfId="9905"/>
    <cellStyle name="regstoresfromspecstores 4 20 3" xfId="8854"/>
    <cellStyle name="regstoresfromspecstores 4 21" xfId="4165"/>
    <cellStyle name="regstoresfromspecstores 4 21 2" xfId="5251"/>
    <cellStyle name="regstoresfromspecstores 4 21 2 2" xfId="9906"/>
    <cellStyle name="regstoresfromspecstores 4 21 3" xfId="8855"/>
    <cellStyle name="regstoresfromspecstores 4 22" xfId="5238"/>
    <cellStyle name="regstoresfromspecstores 4 22 2" xfId="9893"/>
    <cellStyle name="regstoresfromspecstores 4 23" xfId="8842"/>
    <cellStyle name="regstoresfromspecstores 4 3" xfId="4166"/>
    <cellStyle name="regstoresfromspecstores 4 3 2" xfId="5252"/>
    <cellStyle name="regstoresfromspecstores 4 3 2 2" xfId="9907"/>
    <cellStyle name="regstoresfromspecstores 4 3 3" xfId="8856"/>
    <cellStyle name="regstoresfromspecstores 4 4" xfId="4167"/>
    <cellStyle name="regstoresfromspecstores 4 4 2" xfId="5253"/>
    <cellStyle name="regstoresfromspecstores 4 4 2 2" xfId="9908"/>
    <cellStyle name="regstoresfromspecstores 4 4 3" xfId="8857"/>
    <cellStyle name="regstoresfromspecstores 4 5" xfId="4168"/>
    <cellStyle name="regstoresfromspecstores 4 5 2" xfId="5254"/>
    <cellStyle name="regstoresfromspecstores 4 5 2 2" xfId="9909"/>
    <cellStyle name="regstoresfromspecstores 4 5 3" xfId="8858"/>
    <cellStyle name="regstoresfromspecstores 4 6" xfId="4169"/>
    <cellStyle name="regstoresfromspecstores 4 6 2" xfId="5255"/>
    <cellStyle name="regstoresfromspecstores 4 6 2 2" xfId="9910"/>
    <cellStyle name="regstoresfromspecstores 4 6 3" xfId="8859"/>
    <cellStyle name="regstoresfromspecstores 4 7" xfId="4170"/>
    <cellStyle name="regstoresfromspecstores 4 7 2" xfId="5256"/>
    <cellStyle name="regstoresfromspecstores 4 7 2 2" xfId="9911"/>
    <cellStyle name="regstoresfromspecstores 4 7 3" xfId="8860"/>
    <cellStyle name="regstoresfromspecstores 4 8" xfId="4171"/>
    <cellStyle name="regstoresfromspecstores 4 8 2" xfId="5257"/>
    <cellStyle name="regstoresfromspecstores 4 8 2 2" xfId="9912"/>
    <cellStyle name="regstoresfromspecstores 4 8 3" xfId="8861"/>
    <cellStyle name="regstoresfromspecstores 4 9" xfId="4172"/>
    <cellStyle name="regstoresfromspecstores 4 9 2" xfId="5258"/>
    <cellStyle name="regstoresfromspecstores 4 9 2 2" xfId="9913"/>
    <cellStyle name="regstoresfromspecstores 4 9 3" xfId="8862"/>
    <cellStyle name="regstoresfromspecstores 5" xfId="5193"/>
    <cellStyle name="regstoresfromspecstores 5 2" xfId="9848"/>
    <cellStyle name="regstoresfromspecstores 6" xfId="8797"/>
    <cellStyle name="RevList" xfId="4173"/>
    <cellStyle name="RevList 2" xfId="5259"/>
    <cellStyle name="RevList 2 2" xfId="9914"/>
    <cellStyle name="RevList 3" xfId="8863"/>
    <cellStyle name="s]_x000d__x000a_spooler=yes_x000d__x000a_load=_x000d__x000a_Beep=yes_x000d__x000a_NullPort=None_x000d__x000a_BorderWidth=3_x000d__x000a_CursorBlinkRate=1200_x000d__x000a_DoubleClickSpeed=452_x000d__x000a_Programs=co" xfId="4174"/>
    <cellStyle name="s]_x000d__x000a_spooler=yes_x000d__x000a_load=_x000d__x000a_Beep=yes_x000d__x000a_NullPort=None_x000d__x000a_BorderWidth=3_x000d__x000a_CursorBlinkRate=1200_x000d__x000a_DoubleClickSpeed=452_x000d__x000a_Programs=co 10" xfId="4175"/>
    <cellStyle name="s]_x000d__x000a_spooler=yes_x000d__x000a_load=_x000d__x000a_Beep=yes_x000d__x000a_NullPort=None_x000d__x000a_BorderWidth=3_x000d__x000a_CursorBlinkRate=1200_x000d__x000a_DoubleClickSpeed=452_x000d__x000a_Programs=co 10 2" xfId="5261"/>
    <cellStyle name="s]_x000d__x000a_spooler=yes_x000d__x000a_load=_x000d__x000a_Beep=yes_x000d__x000a_NullPort=None_x000d__x000a_BorderWidth=3_x000d__x000a_CursorBlinkRate=1200_x000d__x000a_DoubleClickSpeed=452_x000d__x000a_Programs=co 10 2 2" xfId="9916"/>
    <cellStyle name="s]_x000d__x000a_spooler=yes_x000d__x000a_load=_x000d__x000a_Beep=yes_x000d__x000a_NullPort=None_x000d__x000a_BorderWidth=3_x000d__x000a_CursorBlinkRate=1200_x000d__x000a_DoubleClickSpeed=452_x000d__x000a_Programs=co 10 3" xfId="8865"/>
    <cellStyle name="s]_x000d__x000a_spooler=yes_x000d__x000a_load=_x000d__x000a_Beep=yes_x000d__x000a_NullPort=None_x000d__x000a_BorderWidth=3_x000d__x000a_CursorBlinkRate=1200_x000d__x000a_DoubleClickSpeed=452_x000d__x000a_Programs=co 11" xfId="4176"/>
    <cellStyle name="s]_x000d__x000a_spooler=yes_x000d__x000a_load=_x000d__x000a_Beep=yes_x000d__x000a_NullPort=None_x000d__x000a_BorderWidth=3_x000d__x000a_CursorBlinkRate=1200_x000d__x000a_DoubleClickSpeed=452_x000d__x000a_Programs=co 11 2" xfId="5262"/>
    <cellStyle name="s]_x000d__x000a_spooler=yes_x000d__x000a_load=_x000d__x000a_Beep=yes_x000d__x000a_NullPort=None_x000d__x000a_BorderWidth=3_x000d__x000a_CursorBlinkRate=1200_x000d__x000a_DoubleClickSpeed=452_x000d__x000a_Programs=co 11 2 2" xfId="9917"/>
    <cellStyle name="s]_x000d__x000a_spooler=yes_x000d__x000a_load=_x000d__x000a_Beep=yes_x000d__x000a_NullPort=None_x000d__x000a_BorderWidth=3_x000d__x000a_CursorBlinkRate=1200_x000d__x000a_DoubleClickSpeed=452_x000d__x000a_Programs=co 11 3" xfId="8866"/>
    <cellStyle name="s]_x000d__x000a_spooler=yes_x000d__x000a_load=_x000d__x000a_Beep=yes_x000d__x000a_NullPort=None_x000d__x000a_BorderWidth=3_x000d__x000a_CursorBlinkRate=1200_x000d__x000a_DoubleClickSpeed=452_x000d__x000a_Programs=co 12" xfId="4177"/>
    <cellStyle name="s]_x000d__x000a_spooler=yes_x000d__x000a_load=_x000d__x000a_Beep=yes_x000d__x000a_NullPort=None_x000d__x000a_BorderWidth=3_x000d__x000a_CursorBlinkRate=1200_x000d__x000a_DoubleClickSpeed=452_x000d__x000a_Programs=co 12 2" xfId="5263"/>
    <cellStyle name="s]_x000d__x000a_spooler=yes_x000d__x000a_load=_x000d__x000a_Beep=yes_x000d__x000a_NullPort=None_x000d__x000a_BorderWidth=3_x000d__x000a_CursorBlinkRate=1200_x000d__x000a_DoubleClickSpeed=452_x000d__x000a_Programs=co 12 2 2" xfId="9918"/>
    <cellStyle name="s]_x000d__x000a_spooler=yes_x000d__x000a_load=_x000d__x000a_Beep=yes_x000d__x000a_NullPort=None_x000d__x000a_BorderWidth=3_x000d__x000a_CursorBlinkRate=1200_x000d__x000a_DoubleClickSpeed=452_x000d__x000a_Programs=co 12 3" xfId="8867"/>
    <cellStyle name="s]_x000d__x000a_spooler=yes_x000d__x000a_load=_x000d__x000a_Beep=yes_x000d__x000a_NullPort=None_x000d__x000a_BorderWidth=3_x000d__x000a_CursorBlinkRate=1200_x000d__x000a_DoubleClickSpeed=452_x000d__x000a_Programs=co 13" xfId="4178"/>
    <cellStyle name="s]_x000d__x000a_spooler=yes_x000d__x000a_load=_x000d__x000a_Beep=yes_x000d__x000a_NullPort=None_x000d__x000a_BorderWidth=3_x000d__x000a_CursorBlinkRate=1200_x000d__x000a_DoubleClickSpeed=452_x000d__x000a_Programs=co 13 2" xfId="5264"/>
    <cellStyle name="s]_x000d__x000a_spooler=yes_x000d__x000a_load=_x000d__x000a_Beep=yes_x000d__x000a_NullPort=None_x000d__x000a_BorderWidth=3_x000d__x000a_CursorBlinkRate=1200_x000d__x000a_DoubleClickSpeed=452_x000d__x000a_Programs=co 13 2 2" xfId="9919"/>
    <cellStyle name="s]_x000d__x000a_spooler=yes_x000d__x000a_load=_x000d__x000a_Beep=yes_x000d__x000a_NullPort=None_x000d__x000a_BorderWidth=3_x000d__x000a_CursorBlinkRate=1200_x000d__x000a_DoubleClickSpeed=452_x000d__x000a_Programs=co 13 3" xfId="8868"/>
    <cellStyle name="s]_x000d__x000a_spooler=yes_x000d__x000a_load=_x000d__x000a_Beep=yes_x000d__x000a_NullPort=None_x000d__x000a_BorderWidth=3_x000d__x000a_CursorBlinkRate=1200_x000d__x000a_DoubleClickSpeed=452_x000d__x000a_Programs=co 14" xfId="4179"/>
    <cellStyle name="s]_x000d__x000a_spooler=yes_x000d__x000a_load=_x000d__x000a_Beep=yes_x000d__x000a_NullPort=None_x000d__x000a_BorderWidth=3_x000d__x000a_CursorBlinkRate=1200_x000d__x000a_DoubleClickSpeed=452_x000d__x000a_Programs=co 14 2" xfId="5265"/>
    <cellStyle name="s]_x000d__x000a_spooler=yes_x000d__x000a_load=_x000d__x000a_Beep=yes_x000d__x000a_NullPort=None_x000d__x000a_BorderWidth=3_x000d__x000a_CursorBlinkRate=1200_x000d__x000a_DoubleClickSpeed=452_x000d__x000a_Programs=co 14 2 2" xfId="9920"/>
    <cellStyle name="s]_x000d__x000a_spooler=yes_x000d__x000a_load=_x000d__x000a_Beep=yes_x000d__x000a_NullPort=None_x000d__x000a_BorderWidth=3_x000d__x000a_CursorBlinkRate=1200_x000d__x000a_DoubleClickSpeed=452_x000d__x000a_Programs=co 14 3" xfId="8869"/>
    <cellStyle name="s]_x000d__x000a_spooler=yes_x000d__x000a_load=_x000d__x000a_Beep=yes_x000d__x000a_NullPort=None_x000d__x000a_BorderWidth=3_x000d__x000a_CursorBlinkRate=1200_x000d__x000a_DoubleClickSpeed=452_x000d__x000a_Programs=co 15" xfId="4180"/>
    <cellStyle name="s]_x000d__x000a_spooler=yes_x000d__x000a_load=_x000d__x000a_Beep=yes_x000d__x000a_NullPort=None_x000d__x000a_BorderWidth=3_x000d__x000a_CursorBlinkRate=1200_x000d__x000a_DoubleClickSpeed=452_x000d__x000a_Programs=co 15 2" xfId="5266"/>
    <cellStyle name="s]_x000d__x000a_spooler=yes_x000d__x000a_load=_x000d__x000a_Beep=yes_x000d__x000a_NullPort=None_x000d__x000a_BorderWidth=3_x000d__x000a_CursorBlinkRate=1200_x000d__x000a_DoubleClickSpeed=452_x000d__x000a_Programs=co 15 2 2" xfId="9921"/>
    <cellStyle name="s]_x000d__x000a_spooler=yes_x000d__x000a_load=_x000d__x000a_Beep=yes_x000d__x000a_NullPort=None_x000d__x000a_BorderWidth=3_x000d__x000a_CursorBlinkRate=1200_x000d__x000a_DoubleClickSpeed=452_x000d__x000a_Programs=co 15 3" xfId="8870"/>
    <cellStyle name="s]_x000d__x000a_spooler=yes_x000d__x000a_load=_x000d__x000a_Beep=yes_x000d__x000a_NullPort=None_x000d__x000a_BorderWidth=3_x000d__x000a_CursorBlinkRate=1200_x000d__x000a_DoubleClickSpeed=452_x000d__x000a_Programs=co 16" xfId="4181"/>
    <cellStyle name="s]_x000d__x000a_spooler=yes_x000d__x000a_load=_x000d__x000a_Beep=yes_x000d__x000a_NullPort=None_x000d__x000a_BorderWidth=3_x000d__x000a_CursorBlinkRate=1200_x000d__x000a_DoubleClickSpeed=452_x000d__x000a_Programs=co 16 2" xfId="5267"/>
    <cellStyle name="s]_x000d__x000a_spooler=yes_x000d__x000a_load=_x000d__x000a_Beep=yes_x000d__x000a_NullPort=None_x000d__x000a_BorderWidth=3_x000d__x000a_CursorBlinkRate=1200_x000d__x000a_DoubleClickSpeed=452_x000d__x000a_Programs=co 16 2 2" xfId="9922"/>
    <cellStyle name="s]_x000d__x000a_spooler=yes_x000d__x000a_load=_x000d__x000a_Beep=yes_x000d__x000a_NullPort=None_x000d__x000a_BorderWidth=3_x000d__x000a_CursorBlinkRate=1200_x000d__x000a_DoubleClickSpeed=452_x000d__x000a_Programs=co 16 3" xfId="8871"/>
    <cellStyle name="s]_x000d__x000a_spooler=yes_x000d__x000a_load=_x000d__x000a_Beep=yes_x000d__x000a_NullPort=None_x000d__x000a_BorderWidth=3_x000d__x000a_CursorBlinkRate=1200_x000d__x000a_DoubleClickSpeed=452_x000d__x000a_Programs=co 17" xfId="4182"/>
    <cellStyle name="s]_x000d__x000a_spooler=yes_x000d__x000a_load=_x000d__x000a_Beep=yes_x000d__x000a_NullPort=None_x000d__x000a_BorderWidth=3_x000d__x000a_CursorBlinkRate=1200_x000d__x000a_DoubleClickSpeed=452_x000d__x000a_Programs=co 17 2" xfId="5268"/>
    <cellStyle name="s]_x000d__x000a_spooler=yes_x000d__x000a_load=_x000d__x000a_Beep=yes_x000d__x000a_NullPort=None_x000d__x000a_BorderWidth=3_x000d__x000a_CursorBlinkRate=1200_x000d__x000a_DoubleClickSpeed=452_x000d__x000a_Programs=co 17 2 2" xfId="9923"/>
    <cellStyle name="s]_x000d__x000a_spooler=yes_x000d__x000a_load=_x000d__x000a_Beep=yes_x000d__x000a_NullPort=None_x000d__x000a_BorderWidth=3_x000d__x000a_CursorBlinkRate=1200_x000d__x000a_DoubleClickSpeed=452_x000d__x000a_Programs=co 17 3" xfId="8872"/>
    <cellStyle name="s]_x000d__x000a_spooler=yes_x000d__x000a_load=_x000d__x000a_Beep=yes_x000d__x000a_NullPort=None_x000d__x000a_BorderWidth=3_x000d__x000a_CursorBlinkRate=1200_x000d__x000a_DoubleClickSpeed=452_x000d__x000a_Programs=co 18" xfId="4183"/>
    <cellStyle name="s]_x000d__x000a_spooler=yes_x000d__x000a_load=_x000d__x000a_Beep=yes_x000d__x000a_NullPort=None_x000d__x000a_BorderWidth=3_x000d__x000a_CursorBlinkRate=1200_x000d__x000a_DoubleClickSpeed=452_x000d__x000a_Programs=co 18 2" xfId="5269"/>
    <cellStyle name="s]_x000d__x000a_spooler=yes_x000d__x000a_load=_x000d__x000a_Beep=yes_x000d__x000a_NullPort=None_x000d__x000a_BorderWidth=3_x000d__x000a_CursorBlinkRate=1200_x000d__x000a_DoubleClickSpeed=452_x000d__x000a_Programs=co 18 2 2" xfId="9924"/>
    <cellStyle name="s]_x000d__x000a_spooler=yes_x000d__x000a_load=_x000d__x000a_Beep=yes_x000d__x000a_NullPort=None_x000d__x000a_BorderWidth=3_x000d__x000a_CursorBlinkRate=1200_x000d__x000a_DoubleClickSpeed=452_x000d__x000a_Programs=co 18 3" xfId="8873"/>
    <cellStyle name="s]_x000d__x000a_spooler=yes_x000d__x000a_load=_x000d__x000a_Beep=yes_x000d__x000a_NullPort=None_x000d__x000a_BorderWidth=3_x000d__x000a_CursorBlinkRate=1200_x000d__x000a_DoubleClickSpeed=452_x000d__x000a_Programs=co 19" xfId="4184"/>
    <cellStyle name="s]_x000d__x000a_spooler=yes_x000d__x000a_load=_x000d__x000a_Beep=yes_x000d__x000a_NullPort=None_x000d__x000a_BorderWidth=3_x000d__x000a_CursorBlinkRate=1200_x000d__x000a_DoubleClickSpeed=452_x000d__x000a_Programs=co 19 2" xfId="5270"/>
    <cellStyle name="s]_x000d__x000a_spooler=yes_x000d__x000a_load=_x000d__x000a_Beep=yes_x000d__x000a_NullPort=None_x000d__x000a_BorderWidth=3_x000d__x000a_CursorBlinkRate=1200_x000d__x000a_DoubleClickSpeed=452_x000d__x000a_Programs=co 19 2 2" xfId="9925"/>
    <cellStyle name="s]_x000d__x000a_spooler=yes_x000d__x000a_load=_x000d__x000a_Beep=yes_x000d__x000a_NullPort=None_x000d__x000a_BorderWidth=3_x000d__x000a_CursorBlinkRate=1200_x000d__x000a_DoubleClickSpeed=452_x000d__x000a_Programs=co 19 3" xfId="8874"/>
    <cellStyle name="s]_x000d__x000a_spooler=yes_x000d__x000a_load=_x000d__x000a_Beep=yes_x000d__x000a_NullPort=None_x000d__x000a_BorderWidth=3_x000d__x000a_CursorBlinkRate=1200_x000d__x000a_DoubleClickSpeed=452_x000d__x000a_Programs=co 2" xfId="4185"/>
    <cellStyle name="s]_x000d__x000a_spooler=yes_x000d__x000a_load=_x000d__x000a_Beep=yes_x000d__x000a_NullPort=None_x000d__x000a_BorderWidth=3_x000d__x000a_CursorBlinkRate=1200_x000d__x000a_DoubleClickSpeed=452_x000d__x000a_Programs=co 2 2" xfId="5271"/>
    <cellStyle name="s]_x000d__x000a_spooler=yes_x000d__x000a_load=_x000d__x000a_Beep=yes_x000d__x000a_NullPort=None_x000d__x000a_BorderWidth=3_x000d__x000a_CursorBlinkRate=1200_x000d__x000a_DoubleClickSpeed=452_x000d__x000a_Programs=co 2 2 2" xfId="9926"/>
    <cellStyle name="s]_x000d__x000a_spooler=yes_x000d__x000a_load=_x000d__x000a_Beep=yes_x000d__x000a_NullPort=None_x000d__x000a_BorderWidth=3_x000d__x000a_CursorBlinkRate=1200_x000d__x000a_DoubleClickSpeed=452_x000d__x000a_Programs=co 2 3" xfId="8875"/>
    <cellStyle name="s]_x000d__x000a_spooler=yes_x000d__x000a_load=_x000d__x000a_Beep=yes_x000d__x000a_NullPort=None_x000d__x000a_BorderWidth=3_x000d__x000a_CursorBlinkRate=1200_x000d__x000a_DoubleClickSpeed=452_x000d__x000a_Programs=co 20" xfId="4186"/>
    <cellStyle name="s]_x000d__x000a_spooler=yes_x000d__x000a_load=_x000d__x000a_Beep=yes_x000d__x000a_NullPort=None_x000d__x000a_BorderWidth=3_x000d__x000a_CursorBlinkRate=1200_x000d__x000a_DoubleClickSpeed=452_x000d__x000a_Programs=co 20 2" xfId="5272"/>
    <cellStyle name="s]_x000d__x000a_spooler=yes_x000d__x000a_load=_x000d__x000a_Beep=yes_x000d__x000a_NullPort=None_x000d__x000a_BorderWidth=3_x000d__x000a_CursorBlinkRate=1200_x000d__x000a_DoubleClickSpeed=452_x000d__x000a_Programs=co 20 2 2" xfId="9927"/>
    <cellStyle name="s]_x000d__x000a_spooler=yes_x000d__x000a_load=_x000d__x000a_Beep=yes_x000d__x000a_NullPort=None_x000d__x000a_BorderWidth=3_x000d__x000a_CursorBlinkRate=1200_x000d__x000a_DoubleClickSpeed=452_x000d__x000a_Programs=co 20 3" xfId="8876"/>
    <cellStyle name="s]_x000d__x000a_spooler=yes_x000d__x000a_load=_x000d__x000a_Beep=yes_x000d__x000a_NullPort=None_x000d__x000a_BorderWidth=3_x000d__x000a_CursorBlinkRate=1200_x000d__x000a_DoubleClickSpeed=452_x000d__x000a_Programs=co 21" xfId="4187"/>
    <cellStyle name="s]_x000d__x000a_spooler=yes_x000d__x000a_load=_x000d__x000a_Beep=yes_x000d__x000a_NullPort=None_x000d__x000a_BorderWidth=3_x000d__x000a_CursorBlinkRate=1200_x000d__x000a_DoubleClickSpeed=452_x000d__x000a_Programs=co 21 2" xfId="5273"/>
    <cellStyle name="s]_x000d__x000a_spooler=yes_x000d__x000a_load=_x000d__x000a_Beep=yes_x000d__x000a_NullPort=None_x000d__x000a_BorderWidth=3_x000d__x000a_CursorBlinkRate=1200_x000d__x000a_DoubleClickSpeed=452_x000d__x000a_Programs=co 21 2 2" xfId="9928"/>
    <cellStyle name="s]_x000d__x000a_spooler=yes_x000d__x000a_load=_x000d__x000a_Beep=yes_x000d__x000a_NullPort=None_x000d__x000a_BorderWidth=3_x000d__x000a_CursorBlinkRate=1200_x000d__x000a_DoubleClickSpeed=452_x000d__x000a_Programs=co 21 3" xfId="8877"/>
    <cellStyle name="s]_x000d__x000a_spooler=yes_x000d__x000a_load=_x000d__x000a_Beep=yes_x000d__x000a_NullPort=None_x000d__x000a_BorderWidth=3_x000d__x000a_CursorBlinkRate=1200_x000d__x000a_DoubleClickSpeed=452_x000d__x000a_Programs=co 22" xfId="4188"/>
    <cellStyle name="s]_x000d__x000a_spooler=yes_x000d__x000a_load=_x000d__x000a_Beep=yes_x000d__x000a_NullPort=None_x000d__x000a_BorderWidth=3_x000d__x000a_CursorBlinkRate=1200_x000d__x000a_DoubleClickSpeed=452_x000d__x000a_Programs=co 22 2" xfId="5274"/>
    <cellStyle name="s]_x000d__x000a_spooler=yes_x000d__x000a_load=_x000d__x000a_Beep=yes_x000d__x000a_NullPort=None_x000d__x000a_BorderWidth=3_x000d__x000a_CursorBlinkRate=1200_x000d__x000a_DoubleClickSpeed=452_x000d__x000a_Programs=co 22 2 2" xfId="9929"/>
    <cellStyle name="s]_x000d__x000a_spooler=yes_x000d__x000a_load=_x000d__x000a_Beep=yes_x000d__x000a_NullPort=None_x000d__x000a_BorderWidth=3_x000d__x000a_CursorBlinkRate=1200_x000d__x000a_DoubleClickSpeed=452_x000d__x000a_Programs=co 22 3" xfId="8878"/>
    <cellStyle name="s]_x000d__x000a_spooler=yes_x000d__x000a_load=_x000d__x000a_Beep=yes_x000d__x000a_NullPort=None_x000d__x000a_BorderWidth=3_x000d__x000a_CursorBlinkRate=1200_x000d__x000a_DoubleClickSpeed=452_x000d__x000a_Programs=co 23" xfId="4189"/>
    <cellStyle name="s]_x000d__x000a_spooler=yes_x000d__x000a_load=_x000d__x000a_Beep=yes_x000d__x000a_NullPort=None_x000d__x000a_BorderWidth=3_x000d__x000a_CursorBlinkRate=1200_x000d__x000a_DoubleClickSpeed=452_x000d__x000a_Programs=co 23 2" xfId="5275"/>
    <cellStyle name="s]_x000d__x000a_spooler=yes_x000d__x000a_load=_x000d__x000a_Beep=yes_x000d__x000a_NullPort=None_x000d__x000a_BorderWidth=3_x000d__x000a_CursorBlinkRate=1200_x000d__x000a_DoubleClickSpeed=452_x000d__x000a_Programs=co 23 2 2" xfId="9930"/>
    <cellStyle name="s]_x000d__x000a_spooler=yes_x000d__x000a_load=_x000d__x000a_Beep=yes_x000d__x000a_NullPort=None_x000d__x000a_BorderWidth=3_x000d__x000a_CursorBlinkRate=1200_x000d__x000a_DoubleClickSpeed=452_x000d__x000a_Programs=co 23 3" xfId="8879"/>
    <cellStyle name="s]_x000d__x000a_spooler=yes_x000d__x000a_load=_x000d__x000a_Beep=yes_x000d__x000a_NullPort=None_x000d__x000a_BorderWidth=3_x000d__x000a_CursorBlinkRate=1200_x000d__x000a_DoubleClickSpeed=452_x000d__x000a_Programs=co 24" xfId="4190"/>
    <cellStyle name="s]_x000d__x000a_spooler=yes_x000d__x000a_load=_x000d__x000a_Beep=yes_x000d__x000a_NullPort=None_x000d__x000a_BorderWidth=3_x000d__x000a_CursorBlinkRate=1200_x000d__x000a_DoubleClickSpeed=452_x000d__x000a_Programs=co 24 2" xfId="5276"/>
    <cellStyle name="s]_x000d__x000a_spooler=yes_x000d__x000a_load=_x000d__x000a_Beep=yes_x000d__x000a_NullPort=None_x000d__x000a_BorderWidth=3_x000d__x000a_CursorBlinkRate=1200_x000d__x000a_DoubleClickSpeed=452_x000d__x000a_Programs=co 24 2 2" xfId="9931"/>
    <cellStyle name="s]_x000d__x000a_spooler=yes_x000d__x000a_load=_x000d__x000a_Beep=yes_x000d__x000a_NullPort=None_x000d__x000a_BorderWidth=3_x000d__x000a_CursorBlinkRate=1200_x000d__x000a_DoubleClickSpeed=452_x000d__x000a_Programs=co 24 3" xfId="8880"/>
    <cellStyle name="s]_x000d__x000a_spooler=yes_x000d__x000a_load=_x000d__x000a_Beep=yes_x000d__x000a_NullPort=None_x000d__x000a_BorderWidth=3_x000d__x000a_CursorBlinkRate=1200_x000d__x000a_DoubleClickSpeed=452_x000d__x000a_Programs=co 25" xfId="4191"/>
    <cellStyle name="s]_x000d__x000a_spooler=yes_x000d__x000a_load=_x000d__x000a_Beep=yes_x000d__x000a_NullPort=None_x000d__x000a_BorderWidth=3_x000d__x000a_CursorBlinkRate=1200_x000d__x000a_DoubleClickSpeed=452_x000d__x000a_Programs=co 25 2" xfId="5277"/>
    <cellStyle name="s]_x000d__x000a_spooler=yes_x000d__x000a_load=_x000d__x000a_Beep=yes_x000d__x000a_NullPort=None_x000d__x000a_BorderWidth=3_x000d__x000a_CursorBlinkRate=1200_x000d__x000a_DoubleClickSpeed=452_x000d__x000a_Programs=co 25 2 2" xfId="9932"/>
    <cellStyle name="s]_x000d__x000a_spooler=yes_x000d__x000a_load=_x000d__x000a_Beep=yes_x000d__x000a_NullPort=None_x000d__x000a_BorderWidth=3_x000d__x000a_CursorBlinkRate=1200_x000d__x000a_DoubleClickSpeed=452_x000d__x000a_Programs=co 25 3" xfId="8881"/>
    <cellStyle name="s]_x000d__x000a_spooler=yes_x000d__x000a_load=_x000d__x000a_Beep=yes_x000d__x000a_NullPort=None_x000d__x000a_BorderWidth=3_x000d__x000a_CursorBlinkRate=1200_x000d__x000a_DoubleClickSpeed=452_x000d__x000a_Programs=co 26" xfId="4192"/>
    <cellStyle name="s]_x000d__x000a_spooler=yes_x000d__x000a_load=_x000d__x000a_Beep=yes_x000d__x000a_NullPort=None_x000d__x000a_BorderWidth=3_x000d__x000a_CursorBlinkRate=1200_x000d__x000a_DoubleClickSpeed=452_x000d__x000a_Programs=co 26 2" xfId="5278"/>
    <cellStyle name="s]_x000d__x000a_spooler=yes_x000d__x000a_load=_x000d__x000a_Beep=yes_x000d__x000a_NullPort=None_x000d__x000a_BorderWidth=3_x000d__x000a_CursorBlinkRate=1200_x000d__x000a_DoubleClickSpeed=452_x000d__x000a_Programs=co 26 2 2" xfId="9933"/>
    <cellStyle name="s]_x000d__x000a_spooler=yes_x000d__x000a_load=_x000d__x000a_Beep=yes_x000d__x000a_NullPort=None_x000d__x000a_BorderWidth=3_x000d__x000a_CursorBlinkRate=1200_x000d__x000a_DoubleClickSpeed=452_x000d__x000a_Programs=co 26 3" xfId="8882"/>
    <cellStyle name="s]_x000d__x000a_spooler=yes_x000d__x000a_load=_x000d__x000a_Beep=yes_x000d__x000a_NullPort=None_x000d__x000a_BorderWidth=3_x000d__x000a_CursorBlinkRate=1200_x000d__x000a_DoubleClickSpeed=452_x000d__x000a_Programs=co 27" xfId="5260"/>
    <cellStyle name="s]_x000d__x000a_spooler=yes_x000d__x000a_load=_x000d__x000a_Beep=yes_x000d__x000a_NullPort=None_x000d__x000a_BorderWidth=3_x000d__x000a_CursorBlinkRate=1200_x000d__x000a_DoubleClickSpeed=452_x000d__x000a_Programs=co 27 2" xfId="9915"/>
    <cellStyle name="s]_x000d__x000a_spooler=yes_x000d__x000a_load=_x000d__x000a_Beep=yes_x000d__x000a_NullPort=None_x000d__x000a_BorderWidth=3_x000d__x000a_CursorBlinkRate=1200_x000d__x000a_DoubleClickSpeed=452_x000d__x000a_Programs=co 28" xfId="8864"/>
    <cellStyle name="s]_x000d__x000a_spooler=yes_x000d__x000a_load=_x000d__x000a_Beep=yes_x000d__x000a_NullPort=None_x000d__x000a_BorderWidth=3_x000d__x000a_CursorBlinkRate=1200_x000d__x000a_DoubleClickSpeed=452_x000d__x000a_Programs=co 3" xfId="4193"/>
    <cellStyle name="s]_x000d__x000a_spooler=yes_x000d__x000a_load=_x000d__x000a_Beep=yes_x000d__x000a_NullPort=None_x000d__x000a_BorderWidth=3_x000d__x000a_CursorBlinkRate=1200_x000d__x000a_DoubleClickSpeed=452_x000d__x000a_Programs=co 3 2" xfId="5279"/>
    <cellStyle name="s]_x000d__x000a_spooler=yes_x000d__x000a_load=_x000d__x000a_Beep=yes_x000d__x000a_NullPort=None_x000d__x000a_BorderWidth=3_x000d__x000a_CursorBlinkRate=1200_x000d__x000a_DoubleClickSpeed=452_x000d__x000a_Programs=co 3 2 2" xfId="9934"/>
    <cellStyle name="s]_x000d__x000a_spooler=yes_x000d__x000a_load=_x000d__x000a_Beep=yes_x000d__x000a_NullPort=None_x000d__x000a_BorderWidth=3_x000d__x000a_CursorBlinkRate=1200_x000d__x000a_DoubleClickSpeed=452_x000d__x000a_Programs=co 3 3" xfId="8883"/>
    <cellStyle name="s]_x000d__x000a_spooler=yes_x000d__x000a_load=_x000d__x000a_Beep=yes_x000d__x000a_NullPort=None_x000d__x000a_BorderWidth=3_x000d__x000a_CursorBlinkRate=1200_x000d__x000a_DoubleClickSpeed=452_x000d__x000a_Programs=co 4" xfId="4194"/>
    <cellStyle name="s]_x000d__x000a_spooler=yes_x000d__x000a_load=_x000d__x000a_Beep=yes_x000d__x000a_NullPort=None_x000d__x000a_BorderWidth=3_x000d__x000a_CursorBlinkRate=1200_x000d__x000a_DoubleClickSpeed=452_x000d__x000a_Programs=co 4 2" xfId="5280"/>
    <cellStyle name="s]_x000d__x000a_spooler=yes_x000d__x000a_load=_x000d__x000a_Beep=yes_x000d__x000a_NullPort=None_x000d__x000a_BorderWidth=3_x000d__x000a_CursorBlinkRate=1200_x000d__x000a_DoubleClickSpeed=452_x000d__x000a_Programs=co 4 2 2" xfId="9935"/>
    <cellStyle name="s]_x000d__x000a_spooler=yes_x000d__x000a_load=_x000d__x000a_Beep=yes_x000d__x000a_NullPort=None_x000d__x000a_BorderWidth=3_x000d__x000a_CursorBlinkRate=1200_x000d__x000a_DoubleClickSpeed=452_x000d__x000a_Programs=co 4 3" xfId="8884"/>
    <cellStyle name="s]_x000d__x000a_spooler=yes_x000d__x000a_load=_x000d__x000a_Beep=yes_x000d__x000a_NullPort=None_x000d__x000a_BorderWidth=3_x000d__x000a_CursorBlinkRate=1200_x000d__x000a_DoubleClickSpeed=452_x000d__x000a_Programs=co 5" xfId="4195"/>
    <cellStyle name="s]_x000d__x000a_spooler=yes_x000d__x000a_load=_x000d__x000a_Beep=yes_x000d__x000a_NullPort=None_x000d__x000a_BorderWidth=3_x000d__x000a_CursorBlinkRate=1200_x000d__x000a_DoubleClickSpeed=452_x000d__x000a_Programs=co 5 2" xfId="5281"/>
    <cellStyle name="s]_x000d__x000a_spooler=yes_x000d__x000a_load=_x000d__x000a_Beep=yes_x000d__x000a_NullPort=None_x000d__x000a_BorderWidth=3_x000d__x000a_CursorBlinkRate=1200_x000d__x000a_DoubleClickSpeed=452_x000d__x000a_Programs=co 5 2 2" xfId="9936"/>
    <cellStyle name="s]_x000d__x000a_spooler=yes_x000d__x000a_load=_x000d__x000a_Beep=yes_x000d__x000a_NullPort=None_x000d__x000a_BorderWidth=3_x000d__x000a_CursorBlinkRate=1200_x000d__x000a_DoubleClickSpeed=452_x000d__x000a_Programs=co 5 3" xfId="8885"/>
    <cellStyle name="s]_x000d__x000a_spooler=yes_x000d__x000a_load=_x000d__x000a_Beep=yes_x000d__x000a_NullPort=None_x000d__x000a_BorderWidth=3_x000d__x000a_CursorBlinkRate=1200_x000d__x000a_DoubleClickSpeed=452_x000d__x000a_Programs=co 6" xfId="4196"/>
    <cellStyle name="s]_x000d__x000a_spooler=yes_x000d__x000a_load=_x000d__x000a_Beep=yes_x000d__x000a_NullPort=None_x000d__x000a_BorderWidth=3_x000d__x000a_CursorBlinkRate=1200_x000d__x000a_DoubleClickSpeed=452_x000d__x000a_Programs=co 6 2" xfId="5282"/>
    <cellStyle name="s]_x000d__x000a_spooler=yes_x000d__x000a_load=_x000d__x000a_Beep=yes_x000d__x000a_NullPort=None_x000d__x000a_BorderWidth=3_x000d__x000a_CursorBlinkRate=1200_x000d__x000a_DoubleClickSpeed=452_x000d__x000a_Programs=co 6 2 2" xfId="9937"/>
    <cellStyle name="s]_x000d__x000a_spooler=yes_x000d__x000a_load=_x000d__x000a_Beep=yes_x000d__x000a_NullPort=None_x000d__x000a_BorderWidth=3_x000d__x000a_CursorBlinkRate=1200_x000d__x000a_DoubleClickSpeed=452_x000d__x000a_Programs=co 6 3" xfId="8886"/>
    <cellStyle name="s]_x000d__x000a_spooler=yes_x000d__x000a_load=_x000d__x000a_Beep=yes_x000d__x000a_NullPort=None_x000d__x000a_BorderWidth=3_x000d__x000a_CursorBlinkRate=1200_x000d__x000a_DoubleClickSpeed=452_x000d__x000a_Programs=co 7" xfId="4197"/>
    <cellStyle name="s]_x000d__x000a_spooler=yes_x000d__x000a_load=_x000d__x000a_Beep=yes_x000d__x000a_NullPort=None_x000d__x000a_BorderWidth=3_x000d__x000a_CursorBlinkRate=1200_x000d__x000a_DoubleClickSpeed=452_x000d__x000a_Programs=co 7 2" xfId="5283"/>
    <cellStyle name="s]_x000d__x000a_spooler=yes_x000d__x000a_load=_x000d__x000a_Beep=yes_x000d__x000a_NullPort=None_x000d__x000a_BorderWidth=3_x000d__x000a_CursorBlinkRate=1200_x000d__x000a_DoubleClickSpeed=452_x000d__x000a_Programs=co 7 2 2" xfId="9938"/>
    <cellStyle name="s]_x000d__x000a_spooler=yes_x000d__x000a_load=_x000d__x000a_Beep=yes_x000d__x000a_NullPort=None_x000d__x000a_BorderWidth=3_x000d__x000a_CursorBlinkRate=1200_x000d__x000a_DoubleClickSpeed=452_x000d__x000a_Programs=co 7 3" xfId="8887"/>
    <cellStyle name="s]_x000d__x000a_spooler=yes_x000d__x000a_load=_x000d__x000a_Beep=yes_x000d__x000a_NullPort=None_x000d__x000a_BorderWidth=3_x000d__x000a_CursorBlinkRate=1200_x000d__x000a_DoubleClickSpeed=452_x000d__x000a_Programs=co 8" xfId="4198"/>
    <cellStyle name="s]_x000d__x000a_spooler=yes_x000d__x000a_load=_x000d__x000a_Beep=yes_x000d__x000a_NullPort=None_x000d__x000a_BorderWidth=3_x000d__x000a_CursorBlinkRate=1200_x000d__x000a_DoubleClickSpeed=452_x000d__x000a_Programs=co 8 2" xfId="5284"/>
    <cellStyle name="s]_x000d__x000a_spooler=yes_x000d__x000a_load=_x000d__x000a_Beep=yes_x000d__x000a_NullPort=None_x000d__x000a_BorderWidth=3_x000d__x000a_CursorBlinkRate=1200_x000d__x000a_DoubleClickSpeed=452_x000d__x000a_Programs=co 8 2 2" xfId="9939"/>
    <cellStyle name="s]_x000d__x000a_spooler=yes_x000d__x000a_load=_x000d__x000a_Beep=yes_x000d__x000a_NullPort=None_x000d__x000a_BorderWidth=3_x000d__x000a_CursorBlinkRate=1200_x000d__x000a_DoubleClickSpeed=452_x000d__x000a_Programs=co 8 3" xfId="8888"/>
    <cellStyle name="s]_x000d__x000a_spooler=yes_x000d__x000a_load=_x000d__x000a_Beep=yes_x000d__x000a_NullPort=None_x000d__x000a_BorderWidth=3_x000d__x000a_CursorBlinkRate=1200_x000d__x000a_DoubleClickSpeed=452_x000d__x000a_Programs=co 9" xfId="4199"/>
    <cellStyle name="s]_x000d__x000a_spooler=yes_x000d__x000a_load=_x000d__x000a_Beep=yes_x000d__x000a_NullPort=None_x000d__x000a_BorderWidth=3_x000d__x000a_CursorBlinkRate=1200_x000d__x000a_DoubleClickSpeed=452_x000d__x000a_Programs=co 9 2" xfId="5285"/>
    <cellStyle name="s]_x000d__x000a_spooler=yes_x000d__x000a_load=_x000d__x000a_Beep=yes_x000d__x000a_NullPort=None_x000d__x000a_BorderWidth=3_x000d__x000a_CursorBlinkRate=1200_x000d__x000a_DoubleClickSpeed=452_x000d__x000a_Programs=co 9 2 2" xfId="9940"/>
    <cellStyle name="s]_x000d__x000a_spooler=yes_x000d__x000a_load=_x000d__x000a_Beep=yes_x000d__x000a_NullPort=None_x000d__x000a_BorderWidth=3_x000d__x000a_CursorBlinkRate=1200_x000d__x000a_DoubleClickSpeed=452_x000d__x000a_Programs=co 9 3" xfId="8889"/>
    <cellStyle name="s]_x000d__x000a_spooler=yes_x000d__x000a_load=_x000d__x000a_Beep=yes_x000d__x000a_NullPort=None_x000d__x000a_BorderWidth=3_x000d__x000a_CursorBlinkRate=1200_x000d__x000a_DoubleClickSpeed=452_x000d__x000a_Programs=co_B 10 c" xfId="4200"/>
    <cellStyle name="SHADEDSTORES" xfId="4201"/>
    <cellStyle name="SHADEDSTORES 2" xfId="4202"/>
    <cellStyle name="SHADEDSTORES 2 10" xfId="4203"/>
    <cellStyle name="SHADEDSTORES 2 10 2" xfId="5288"/>
    <cellStyle name="SHADEDSTORES 2 10 2 2" xfId="9943"/>
    <cellStyle name="SHADEDSTORES 2 10 3" xfId="8892"/>
    <cellStyle name="SHADEDSTORES 2 11" xfId="4204"/>
    <cellStyle name="SHADEDSTORES 2 11 2" xfId="5289"/>
    <cellStyle name="SHADEDSTORES 2 11 2 2" xfId="9944"/>
    <cellStyle name="SHADEDSTORES 2 11 3" xfId="8893"/>
    <cellStyle name="SHADEDSTORES 2 12" xfId="4205"/>
    <cellStyle name="SHADEDSTORES 2 12 2" xfId="5290"/>
    <cellStyle name="SHADEDSTORES 2 12 2 2" xfId="9945"/>
    <cellStyle name="SHADEDSTORES 2 12 3" xfId="8894"/>
    <cellStyle name="SHADEDSTORES 2 13" xfId="4206"/>
    <cellStyle name="SHADEDSTORES 2 13 2" xfId="5291"/>
    <cellStyle name="SHADEDSTORES 2 13 2 2" xfId="9946"/>
    <cellStyle name="SHADEDSTORES 2 13 3" xfId="8895"/>
    <cellStyle name="SHADEDSTORES 2 14" xfId="4207"/>
    <cellStyle name="SHADEDSTORES 2 14 2" xfId="5292"/>
    <cellStyle name="SHADEDSTORES 2 14 2 2" xfId="9947"/>
    <cellStyle name="SHADEDSTORES 2 14 3" xfId="8896"/>
    <cellStyle name="SHADEDSTORES 2 15" xfId="4208"/>
    <cellStyle name="SHADEDSTORES 2 15 2" xfId="5293"/>
    <cellStyle name="SHADEDSTORES 2 15 2 2" xfId="9948"/>
    <cellStyle name="SHADEDSTORES 2 15 3" xfId="8897"/>
    <cellStyle name="SHADEDSTORES 2 16" xfId="4209"/>
    <cellStyle name="SHADEDSTORES 2 16 2" xfId="5294"/>
    <cellStyle name="SHADEDSTORES 2 16 2 2" xfId="9949"/>
    <cellStyle name="SHADEDSTORES 2 16 3" xfId="8898"/>
    <cellStyle name="SHADEDSTORES 2 17" xfId="4210"/>
    <cellStyle name="SHADEDSTORES 2 17 2" xfId="5295"/>
    <cellStyle name="SHADEDSTORES 2 17 2 2" xfId="9950"/>
    <cellStyle name="SHADEDSTORES 2 17 3" xfId="8899"/>
    <cellStyle name="SHADEDSTORES 2 18" xfId="4211"/>
    <cellStyle name="SHADEDSTORES 2 18 2" xfId="5296"/>
    <cellStyle name="SHADEDSTORES 2 18 2 2" xfId="9951"/>
    <cellStyle name="SHADEDSTORES 2 18 3" xfId="8900"/>
    <cellStyle name="SHADEDSTORES 2 19" xfId="4212"/>
    <cellStyle name="SHADEDSTORES 2 19 2" xfId="5297"/>
    <cellStyle name="SHADEDSTORES 2 19 2 2" xfId="9952"/>
    <cellStyle name="SHADEDSTORES 2 19 3" xfId="8901"/>
    <cellStyle name="SHADEDSTORES 2 2" xfId="4213"/>
    <cellStyle name="SHADEDSTORES 2 2 2" xfId="5298"/>
    <cellStyle name="SHADEDSTORES 2 2 2 2" xfId="9953"/>
    <cellStyle name="SHADEDSTORES 2 2 3" xfId="8902"/>
    <cellStyle name="SHADEDSTORES 2 20" xfId="4214"/>
    <cellStyle name="SHADEDSTORES 2 20 2" xfId="5299"/>
    <cellStyle name="SHADEDSTORES 2 20 2 2" xfId="9954"/>
    <cellStyle name="SHADEDSTORES 2 20 3" xfId="8903"/>
    <cellStyle name="SHADEDSTORES 2 21" xfId="4215"/>
    <cellStyle name="SHADEDSTORES 2 21 2" xfId="5300"/>
    <cellStyle name="SHADEDSTORES 2 21 2 2" xfId="9955"/>
    <cellStyle name="SHADEDSTORES 2 21 3" xfId="8904"/>
    <cellStyle name="SHADEDSTORES 2 22" xfId="4216"/>
    <cellStyle name="SHADEDSTORES 2 22 2" xfId="5301"/>
    <cellStyle name="SHADEDSTORES 2 22 2 2" xfId="9956"/>
    <cellStyle name="SHADEDSTORES 2 22 3" xfId="8905"/>
    <cellStyle name="SHADEDSTORES 2 23" xfId="5287"/>
    <cellStyle name="SHADEDSTORES 2 23 2" xfId="9942"/>
    <cellStyle name="SHADEDSTORES 2 24" xfId="8891"/>
    <cellStyle name="SHADEDSTORES 2 3" xfId="4217"/>
    <cellStyle name="SHADEDSTORES 2 3 2" xfId="5302"/>
    <cellStyle name="SHADEDSTORES 2 3 2 2" xfId="9957"/>
    <cellStyle name="SHADEDSTORES 2 3 3" xfId="8906"/>
    <cellStyle name="SHADEDSTORES 2 4" xfId="4218"/>
    <cellStyle name="SHADEDSTORES 2 4 2" xfId="5303"/>
    <cellStyle name="SHADEDSTORES 2 4 2 2" xfId="9958"/>
    <cellStyle name="SHADEDSTORES 2 4 3" xfId="8907"/>
    <cellStyle name="SHADEDSTORES 2 5" xfId="4219"/>
    <cellStyle name="SHADEDSTORES 2 5 2" xfId="5304"/>
    <cellStyle name="SHADEDSTORES 2 5 2 2" xfId="9959"/>
    <cellStyle name="SHADEDSTORES 2 5 3" xfId="8908"/>
    <cellStyle name="SHADEDSTORES 2 6" xfId="4220"/>
    <cellStyle name="SHADEDSTORES 2 6 2" xfId="5305"/>
    <cellStyle name="SHADEDSTORES 2 6 2 2" xfId="9960"/>
    <cellStyle name="SHADEDSTORES 2 6 3" xfId="8909"/>
    <cellStyle name="SHADEDSTORES 2 7" xfId="4221"/>
    <cellStyle name="SHADEDSTORES 2 7 2" xfId="5306"/>
    <cellStyle name="SHADEDSTORES 2 7 2 2" xfId="9961"/>
    <cellStyle name="SHADEDSTORES 2 7 3" xfId="8910"/>
    <cellStyle name="SHADEDSTORES 2 8" xfId="4222"/>
    <cellStyle name="SHADEDSTORES 2 8 2" xfId="5307"/>
    <cellStyle name="SHADEDSTORES 2 8 2 2" xfId="9962"/>
    <cellStyle name="SHADEDSTORES 2 8 3" xfId="8911"/>
    <cellStyle name="SHADEDSTORES 2 9" xfId="4223"/>
    <cellStyle name="SHADEDSTORES 2 9 2" xfId="5308"/>
    <cellStyle name="SHADEDSTORES 2 9 2 2" xfId="9963"/>
    <cellStyle name="SHADEDSTORES 2 9 3" xfId="8912"/>
    <cellStyle name="SHADEDSTORES 3" xfId="4224"/>
    <cellStyle name="SHADEDSTORES 3 10" xfId="4225"/>
    <cellStyle name="SHADEDSTORES 3 10 2" xfId="5310"/>
    <cellStyle name="SHADEDSTORES 3 10 2 2" xfId="9965"/>
    <cellStyle name="SHADEDSTORES 3 10 3" xfId="8914"/>
    <cellStyle name="SHADEDSTORES 3 11" xfId="4226"/>
    <cellStyle name="SHADEDSTORES 3 11 2" xfId="5311"/>
    <cellStyle name="SHADEDSTORES 3 11 2 2" xfId="9966"/>
    <cellStyle name="SHADEDSTORES 3 11 3" xfId="8915"/>
    <cellStyle name="SHADEDSTORES 3 12" xfId="4227"/>
    <cellStyle name="SHADEDSTORES 3 12 2" xfId="5312"/>
    <cellStyle name="SHADEDSTORES 3 12 2 2" xfId="9967"/>
    <cellStyle name="SHADEDSTORES 3 12 3" xfId="8916"/>
    <cellStyle name="SHADEDSTORES 3 13" xfId="4228"/>
    <cellStyle name="SHADEDSTORES 3 13 2" xfId="5313"/>
    <cellStyle name="SHADEDSTORES 3 13 2 2" xfId="9968"/>
    <cellStyle name="SHADEDSTORES 3 13 3" xfId="8917"/>
    <cellStyle name="SHADEDSTORES 3 14" xfId="4229"/>
    <cellStyle name="SHADEDSTORES 3 14 2" xfId="5314"/>
    <cellStyle name="SHADEDSTORES 3 14 2 2" xfId="9969"/>
    <cellStyle name="SHADEDSTORES 3 14 3" xfId="8918"/>
    <cellStyle name="SHADEDSTORES 3 15" xfId="4230"/>
    <cellStyle name="SHADEDSTORES 3 15 2" xfId="5315"/>
    <cellStyle name="SHADEDSTORES 3 15 2 2" xfId="9970"/>
    <cellStyle name="SHADEDSTORES 3 15 3" xfId="8919"/>
    <cellStyle name="SHADEDSTORES 3 16" xfId="4231"/>
    <cellStyle name="SHADEDSTORES 3 16 2" xfId="5316"/>
    <cellStyle name="SHADEDSTORES 3 16 2 2" xfId="9971"/>
    <cellStyle name="SHADEDSTORES 3 16 3" xfId="8920"/>
    <cellStyle name="SHADEDSTORES 3 17" xfId="4232"/>
    <cellStyle name="SHADEDSTORES 3 17 2" xfId="5317"/>
    <cellStyle name="SHADEDSTORES 3 17 2 2" xfId="9972"/>
    <cellStyle name="SHADEDSTORES 3 17 3" xfId="8921"/>
    <cellStyle name="SHADEDSTORES 3 18" xfId="4233"/>
    <cellStyle name="SHADEDSTORES 3 18 2" xfId="5318"/>
    <cellStyle name="SHADEDSTORES 3 18 2 2" xfId="9973"/>
    <cellStyle name="SHADEDSTORES 3 18 3" xfId="8922"/>
    <cellStyle name="SHADEDSTORES 3 19" xfId="4234"/>
    <cellStyle name="SHADEDSTORES 3 19 2" xfId="5319"/>
    <cellStyle name="SHADEDSTORES 3 19 2 2" xfId="9974"/>
    <cellStyle name="SHADEDSTORES 3 19 3" xfId="8923"/>
    <cellStyle name="SHADEDSTORES 3 2" xfId="4235"/>
    <cellStyle name="SHADEDSTORES 3 2 2" xfId="5320"/>
    <cellStyle name="SHADEDSTORES 3 2 2 2" xfId="9975"/>
    <cellStyle name="SHADEDSTORES 3 2 3" xfId="8924"/>
    <cellStyle name="SHADEDSTORES 3 20" xfId="4236"/>
    <cellStyle name="SHADEDSTORES 3 20 2" xfId="5321"/>
    <cellStyle name="SHADEDSTORES 3 20 2 2" xfId="9976"/>
    <cellStyle name="SHADEDSTORES 3 20 3" xfId="8925"/>
    <cellStyle name="SHADEDSTORES 3 21" xfId="4237"/>
    <cellStyle name="SHADEDSTORES 3 21 2" xfId="5322"/>
    <cellStyle name="SHADEDSTORES 3 21 2 2" xfId="9977"/>
    <cellStyle name="SHADEDSTORES 3 21 3" xfId="8926"/>
    <cellStyle name="SHADEDSTORES 3 22" xfId="4238"/>
    <cellStyle name="SHADEDSTORES 3 22 2" xfId="5323"/>
    <cellStyle name="SHADEDSTORES 3 22 2 2" xfId="9978"/>
    <cellStyle name="SHADEDSTORES 3 22 3" xfId="8927"/>
    <cellStyle name="SHADEDSTORES 3 23" xfId="5309"/>
    <cellStyle name="SHADEDSTORES 3 23 2" xfId="9964"/>
    <cellStyle name="SHADEDSTORES 3 24" xfId="8913"/>
    <cellStyle name="SHADEDSTORES 3 3" xfId="4239"/>
    <cellStyle name="SHADEDSTORES 3 3 2" xfId="5324"/>
    <cellStyle name="SHADEDSTORES 3 3 2 2" xfId="9979"/>
    <cellStyle name="SHADEDSTORES 3 3 3" xfId="8928"/>
    <cellStyle name="SHADEDSTORES 3 4" xfId="4240"/>
    <cellStyle name="SHADEDSTORES 3 4 2" xfId="5325"/>
    <cellStyle name="SHADEDSTORES 3 4 2 2" xfId="9980"/>
    <cellStyle name="SHADEDSTORES 3 4 3" xfId="8929"/>
    <cellStyle name="SHADEDSTORES 3 5" xfId="4241"/>
    <cellStyle name="SHADEDSTORES 3 5 2" xfId="5326"/>
    <cellStyle name="SHADEDSTORES 3 5 2 2" xfId="9981"/>
    <cellStyle name="SHADEDSTORES 3 5 3" xfId="8930"/>
    <cellStyle name="SHADEDSTORES 3 6" xfId="4242"/>
    <cellStyle name="SHADEDSTORES 3 6 2" xfId="5327"/>
    <cellStyle name="SHADEDSTORES 3 6 2 2" xfId="9982"/>
    <cellStyle name="SHADEDSTORES 3 6 3" xfId="8931"/>
    <cellStyle name="SHADEDSTORES 3 7" xfId="4243"/>
    <cellStyle name="SHADEDSTORES 3 7 2" xfId="5328"/>
    <cellStyle name="SHADEDSTORES 3 7 2 2" xfId="9983"/>
    <cellStyle name="SHADEDSTORES 3 7 3" xfId="8932"/>
    <cellStyle name="SHADEDSTORES 3 8" xfId="4244"/>
    <cellStyle name="SHADEDSTORES 3 8 2" xfId="5329"/>
    <cellStyle name="SHADEDSTORES 3 8 2 2" xfId="9984"/>
    <cellStyle name="SHADEDSTORES 3 8 3" xfId="8933"/>
    <cellStyle name="SHADEDSTORES 3 9" xfId="4245"/>
    <cellStyle name="SHADEDSTORES 3 9 2" xfId="5330"/>
    <cellStyle name="SHADEDSTORES 3 9 2 2" xfId="9985"/>
    <cellStyle name="SHADEDSTORES 3 9 3" xfId="8934"/>
    <cellStyle name="SHADEDSTORES 4" xfId="4246"/>
    <cellStyle name="SHADEDSTORES 4 10" xfId="4247"/>
    <cellStyle name="SHADEDSTORES 4 10 2" xfId="5332"/>
    <cellStyle name="SHADEDSTORES 4 10 2 2" xfId="9987"/>
    <cellStyle name="SHADEDSTORES 4 10 3" xfId="8936"/>
    <cellStyle name="SHADEDSTORES 4 11" xfId="4248"/>
    <cellStyle name="SHADEDSTORES 4 11 2" xfId="5333"/>
    <cellStyle name="SHADEDSTORES 4 11 2 2" xfId="9988"/>
    <cellStyle name="SHADEDSTORES 4 11 3" xfId="8937"/>
    <cellStyle name="SHADEDSTORES 4 12" xfId="4249"/>
    <cellStyle name="SHADEDSTORES 4 12 2" xfId="5334"/>
    <cellStyle name="SHADEDSTORES 4 12 2 2" xfId="9989"/>
    <cellStyle name="SHADEDSTORES 4 12 3" xfId="8938"/>
    <cellStyle name="SHADEDSTORES 4 13" xfId="4250"/>
    <cellStyle name="SHADEDSTORES 4 13 2" xfId="5335"/>
    <cellStyle name="SHADEDSTORES 4 13 2 2" xfId="9990"/>
    <cellStyle name="SHADEDSTORES 4 13 3" xfId="8939"/>
    <cellStyle name="SHADEDSTORES 4 14" xfId="4251"/>
    <cellStyle name="SHADEDSTORES 4 14 2" xfId="5336"/>
    <cellStyle name="SHADEDSTORES 4 14 2 2" xfId="9991"/>
    <cellStyle name="SHADEDSTORES 4 14 3" xfId="8940"/>
    <cellStyle name="SHADEDSTORES 4 15" xfId="4252"/>
    <cellStyle name="SHADEDSTORES 4 15 2" xfId="5337"/>
    <cellStyle name="SHADEDSTORES 4 15 2 2" xfId="9992"/>
    <cellStyle name="SHADEDSTORES 4 15 3" xfId="8941"/>
    <cellStyle name="SHADEDSTORES 4 16" xfId="4253"/>
    <cellStyle name="SHADEDSTORES 4 16 2" xfId="5338"/>
    <cellStyle name="SHADEDSTORES 4 16 2 2" xfId="9993"/>
    <cellStyle name="SHADEDSTORES 4 16 3" xfId="8942"/>
    <cellStyle name="SHADEDSTORES 4 17" xfId="4254"/>
    <cellStyle name="SHADEDSTORES 4 17 2" xfId="5339"/>
    <cellStyle name="SHADEDSTORES 4 17 2 2" xfId="9994"/>
    <cellStyle name="SHADEDSTORES 4 17 3" xfId="8943"/>
    <cellStyle name="SHADEDSTORES 4 18" xfId="4255"/>
    <cellStyle name="SHADEDSTORES 4 18 2" xfId="5340"/>
    <cellStyle name="SHADEDSTORES 4 18 2 2" xfId="9995"/>
    <cellStyle name="SHADEDSTORES 4 18 3" xfId="8944"/>
    <cellStyle name="SHADEDSTORES 4 19" xfId="4256"/>
    <cellStyle name="SHADEDSTORES 4 19 2" xfId="5341"/>
    <cellStyle name="SHADEDSTORES 4 19 2 2" xfId="9996"/>
    <cellStyle name="SHADEDSTORES 4 19 3" xfId="8945"/>
    <cellStyle name="SHADEDSTORES 4 2" xfId="4257"/>
    <cellStyle name="SHADEDSTORES 4 2 2" xfId="5342"/>
    <cellStyle name="SHADEDSTORES 4 2 2 2" xfId="9997"/>
    <cellStyle name="SHADEDSTORES 4 2 3" xfId="8946"/>
    <cellStyle name="SHADEDSTORES 4 20" xfId="4258"/>
    <cellStyle name="SHADEDSTORES 4 20 2" xfId="5343"/>
    <cellStyle name="SHADEDSTORES 4 20 2 2" xfId="9998"/>
    <cellStyle name="SHADEDSTORES 4 20 3" xfId="8947"/>
    <cellStyle name="SHADEDSTORES 4 21" xfId="4259"/>
    <cellStyle name="SHADEDSTORES 4 21 2" xfId="5344"/>
    <cellStyle name="SHADEDSTORES 4 21 2 2" xfId="9999"/>
    <cellStyle name="SHADEDSTORES 4 21 3" xfId="8948"/>
    <cellStyle name="SHADEDSTORES 4 22" xfId="5331"/>
    <cellStyle name="SHADEDSTORES 4 22 2" xfId="9986"/>
    <cellStyle name="SHADEDSTORES 4 23" xfId="8935"/>
    <cellStyle name="SHADEDSTORES 4 3" xfId="4260"/>
    <cellStyle name="SHADEDSTORES 4 3 2" xfId="5345"/>
    <cellStyle name="SHADEDSTORES 4 3 2 2" xfId="10000"/>
    <cellStyle name="SHADEDSTORES 4 3 3" xfId="8949"/>
    <cellStyle name="SHADEDSTORES 4 4" xfId="4261"/>
    <cellStyle name="SHADEDSTORES 4 4 2" xfId="5346"/>
    <cellStyle name="SHADEDSTORES 4 4 2 2" xfId="10001"/>
    <cellStyle name="SHADEDSTORES 4 4 3" xfId="8950"/>
    <cellStyle name="SHADEDSTORES 4 5" xfId="4262"/>
    <cellStyle name="SHADEDSTORES 4 5 2" xfId="5347"/>
    <cellStyle name="SHADEDSTORES 4 5 2 2" xfId="10002"/>
    <cellStyle name="SHADEDSTORES 4 5 3" xfId="8951"/>
    <cellStyle name="SHADEDSTORES 4 6" xfId="4263"/>
    <cellStyle name="SHADEDSTORES 4 6 2" xfId="5348"/>
    <cellStyle name="SHADEDSTORES 4 6 2 2" xfId="10003"/>
    <cellStyle name="SHADEDSTORES 4 6 3" xfId="8952"/>
    <cellStyle name="SHADEDSTORES 4 7" xfId="4264"/>
    <cellStyle name="SHADEDSTORES 4 7 2" xfId="5349"/>
    <cellStyle name="SHADEDSTORES 4 7 2 2" xfId="10004"/>
    <cellStyle name="SHADEDSTORES 4 7 3" xfId="8953"/>
    <cellStyle name="SHADEDSTORES 4 8" xfId="4265"/>
    <cellStyle name="SHADEDSTORES 4 8 2" xfId="5350"/>
    <cellStyle name="SHADEDSTORES 4 8 2 2" xfId="10005"/>
    <cellStyle name="SHADEDSTORES 4 8 3" xfId="8954"/>
    <cellStyle name="SHADEDSTORES 4 9" xfId="4266"/>
    <cellStyle name="SHADEDSTORES 4 9 2" xfId="5351"/>
    <cellStyle name="SHADEDSTORES 4 9 2 2" xfId="10006"/>
    <cellStyle name="SHADEDSTORES 4 9 3" xfId="8955"/>
    <cellStyle name="SHADEDSTORES 5" xfId="5286"/>
    <cellStyle name="SHADEDSTORES 5 2" xfId="9941"/>
    <cellStyle name="SHADEDSTORES 6" xfId="8890"/>
    <cellStyle name="SHADEDSTORES_CAN" xfId="4267"/>
    <cellStyle name="specstores" xfId="4268"/>
    <cellStyle name="specstores 2" xfId="4269"/>
    <cellStyle name="specstores 2 10" xfId="4270"/>
    <cellStyle name="specstores 2 10 2" xfId="5354"/>
    <cellStyle name="specstores 2 10 2 2" xfId="10009"/>
    <cellStyle name="specstores 2 10 3" xfId="8958"/>
    <cellStyle name="specstores 2 11" xfId="4271"/>
    <cellStyle name="specstores 2 11 2" xfId="5355"/>
    <cellStyle name="specstores 2 11 2 2" xfId="10010"/>
    <cellStyle name="specstores 2 11 3" xfId="8959"/>
    <cellStyle name="specstores 2 12" xfId="4272"/>
    <cellStyle name="specstores 2 12 2" xfId="5356"/>
    <cellStyle name="specstores 2 12 2 2" xfId="10011"/>
    <cellStyle name="specstores 2 12 3" xfId="8960"/>
    <cellStyle name="specstores 2 13" xfId="4273"/>
    <cellStyle name="specstores 2 13 2" xfId="5357"/>
    <cellStyle name="specstores 2 13 2 2" xfId="10012"/>
    <cellStyle name="specstores 2 13 3" xfId="8961"/>
    <cellStyle name="specstores 2 14" xfId="4274"/>
    <cellStyle name="specstores 2 14 2" xfId="5358"/>
    <cellStyle name="specstores 2 14 2 2" xfId="10013"/>
    <cellStyle name="specstores 2 14 3" xfId="8962"/>
    <cellStyle name="specstores 2 15" xfId="4275"/>
    <cellStyle name="specstores 2 15 2" xfId="5359"/>
    <cellStyle name="specstores 2 15 2 2" xfId="10014"/>
    <cellStyle name="specstores 2 15 3" xfId="8963"/>
    <cellStyle name="specstores 2 16" xfId="4276"/>
    <cellStyle name="specstores 2 16 2" xfId="5360"/>
    <cellStyle name="specstores 2 16 2 2" xfId="10015"/>
    <cellStyle name="specstores 2 16 3" xfId="8964"/>
    <cellStyle name="specstores 2 17" xfId="4277"/>
    <cellStyle name="specstores 2 17 2" xfId="5361"/>
    <cellStyle name="specstores 2 17 2 2" xfId="10016"/>
    <cellStyle name="specstores 2 17 3" xfId="8965"/>
    <cellStyle name="specstores 2 18" xfId="4278"/>
    <cellStyle name="specstores 2 18 2" xfId="5362"/>
    <cellStyle name="specstores 2 18 2 2" xfId="10017"/>
    <cellStyle name="specstores 2 18 3" xfId="8966"/>
    <cellStyle name="specstores 2 19" xfId="4279"/>
    <cellStyle name="specstores 2 19 2" xfId="5363"/>
    <cellStyle name="specstores 2 19 2 2" xfId="10018"/>
    <cellStyle name="specstores 2 19 3" xfId="8967"/>
    <cellStyle name="specstores 2 2" xfId="4280"/>
    <cellStyle name="specstores 2 2 2" xfId="5364"/>
    <cellStyle name="specstores 2 2 2 2" xfId="10019"/>
    <cellStyle name="specstores 2 2 3" xfId="8968"/>
    <cellStyle name="specstores 2 20" xfId="4281"/>
    <cellStyle name="specstores 2 20 2" xfId="5365"/>
    <cellStyle name="specstores 2 20 2 2" xfId="10020"/>
    <cellStyle name="specstores 2 20 3" xfId="8969"/>
    <cellStyle name="specstores 2 21" xfId="4282"/>
    <cellStyle name="specstores 2 21 2" xfId="5366"/>
    <cellStyle name="specstores 2 21 2 2" xfId="10021"/>
    <cellStyle name="specstores 2 21 3" xfId="8970"/>
    <cellStyle name="specstores 2 22" xfId="4283"/>
    <cellStyle name="specstores 2 22 2" xfId="5367"/>
    <cellStyle name="specstores 2 22 2 2" xfId="10022"/>
    <cellStyle name="specstores 2 22 3" xfId="8971"/>
    <cellStyle name="specstores 2 23" xfId="5353"/>
    <cellStyle name="specstores 2 23 2" xfId="10008"/>
    <cellStyle name="specstores 2 24" xfId="8957"/>
    <cellStyle name="specstores 2 3" xfId="4284"/>
    <cellStyle name="specstores 2 3 2" xfId="5368"/>
    <cellStyle name="specstores 2 3 2 2" xfId="10023"/>
    <cellStyle name="specstores 2 3 3" xfId="8972"/>
    <cellStyle name="specstores 2 4" xfId="4285"/>
    <cellStyle name="specstores 2 4 2" xfId="5369"/>
    <cellStyle name="specstores 2 4 2 2" xfId="10024"/>
    <cellStyle name="specstores 2 4 3" xfId="8973"/>
    <cellStyle name="specstores 2 5" xfId="4286"/>
    <cellStyle name="specstores 2 5 2" xfId="5370"/>
    <cellStyle name="specstores 2 5 2 2" xfId="10025"/>
    <cellStyle name="specstores 2 5 3" xfId="8974"/>
    <cellStyle name="specstores 2 6" xfId="4287"/>
    <cellStyle name="specstores 2 6 2" xfId="5371"/>
    <cellStyle name="specstores 2 6 2 2" xfId="10026"/>
    <cellStyle name="specstores 2 6 3" xfId="8975"/>
    <cellStyle name="specstores 2 7" xfId="4288"/>
    <cellStyle name="specstores 2 7 2" xfId="5372"/>
    <cellStyle name="specstores 2 7 2 2" xfId="10027"/>
    <cellStyle name="specstores 2 7 3" xfId="8976"/>
    <cellStyle name="specstores 2 8" xfId="4289"/>
    <cellStyle name="specstores 2 8 2" xfId="5373"/>
    <cellStyle name="specstores 2 8 2 2" xfId="10028"/>
    <cellStyle name="specstores 2 8 3" xfId="8977"/>
    <cellStyle name="specstores 2 9" xfId="4290"/>
    <cellStyle name="specstores 2 9 2" xfId="5374"/>
    <cellStyle name="specstores 2 9 2 2" xfId="10029"/>
    <cellStyle name="specstores 2 9 3" xfId="8978"/>
    <cellStyle name="specstores 3" xfId="4291"/>
    <cellStyle name="specstores 3 10" xfId="4292"/>
    <cellStyle name="specstores 3 10 2" xfId="5376"/>
    <cellStyle name="specstores 3 10 2 2" xfId="10031"/>
    <cellStyle name="specstores 3 10 3" xfId="8980"/>
    <cellStyle name="specstores 3 11" xfId="4293"/>
    <cellStyle name="specstores 3 11 2" xfId="5377"/>
    <cellStyle name="specstores 3 11 2 2" xfId="10032"/>
    <cellStyle name="specstores 3 11 3" xfId="8981"/>
    <cellStyle name="specstores 3 12" xfId="4294"/>
    <cellStyle name="specstores 3 12 2" xfId="5378"/>
    <cellStyle name="specstores 3 12 2 2" xfId="10033"/>
    <cellStyle name="specstores 3 12 3" xfId="8982"/>
    <cellStyle name="specstores 3 13" xfId="4295"/>
    <cellStyle name="specstores 3 13 2" xfId="5379"/>
    <cellStyle name="specstores 3 13 2 2" xfId="10034"/>
    <cellStyle name="specstores 3 13 3" xfId="8983"/>
    <cellStyle name="specstores 3 14" xfId="4296"/>
    <cellStyle name="specstores 3 14 2" xfId="5380"/>
    <cellStyle name="specstores 3 14 2 2" xfId="10035"/>
    <cellStyle name="specstores 3 14 3" xfId="8984"/>
    <cellStyle name="specstores 3 15" xfId="4297"/>
    <cellStyle name="specstores 3 15 2" xfId="5381"/>
    <cellStyle name="specstores 3 15 2 2" xfId="10036"/>
    <cellStyle name="specstores 3 15 3" xfId="8985"/>
    <cellStyle name="specstores 3 16" xfId="4298"/>
    <cellStyle name="specstores 3 16 2" xfId="5382"/>
    <cellStyle name="specstores 3 16 2 2" xfId="10037"/>
    <cellStyle name="specstores 3 16 3" xfId="8986"/>
    <cellStyle name="specstores 3 17" xfId="4299"/>
    <cellStyle name="specstores 3 17 2" xfId="5383"/>
    <cellStyle name="specstores 3 17 2 2" xfId="10038"/>
    <cellStyle name="specstores 3 17 3" xfId="8987"/>
    <cellStyle name="specstores 3 18" xfId="4300"/>
    <cellStyle name="specstores 3 18 2" xfId="5384"/>
    <cellStyle name="specstores 3 18 2 2" xfId="10039"/>
    <cellStyle name="specstores 3 18 3" xfId="8988"/>
    <cellStyle name="specstores 3 19" xfId="4301"/>
    <cellStyle name="specstores 3 19 2" xfId="5385"/>
    <cellStyle name="specstores 3 19 2 2" xfId="10040"/>
    <cellStyle name="specstores 3 19 3" xfId="8989"/>
    <cellStyle name="specstores 3 2" xfId="4302"/>
    <cellStyle name="specstores 3 2 2" xfId="5386"/>
    <cellStyle name="specstores 3 2 2 2" xfId="10041"/>
    <cellStyle name="specstores 3 2 3" xfId="8990"/>
    <cellStyle name="specstores 3 20" xfId="4303"/>
    <cellStyle name="specstores 3 20 2" xfId="5387"/>
    <cellStyle name="specstores 3 20 2 2" xfId="10042"/>
    <cellStyle name="specstores 3 20 3" xfId="8991"/>
    <cellStyle name="specstores 3 21" xfId="4304"/>
    <cellStyle name="specstores 3 21 2" xfId="5388"/>
    <cellStyle name="specstores 3 21 2 2" xfId="10043"/>
    <cellStyle name="specstores 3 21 3" xfId="8992"/>
    <cellStyle name="specstores 3 22" xfId="4305"/>
    <cellStyle name="specstores 3 22 2" xfId="5389"/>
    <cellStyle name="specstores 3 22 2 2" xfId="10044"/>
    <cellStyle name="specstores 3 22 3" xfId="8993"/>
    <cellStyle name="specstores 3 23" xfId="5375"/>
    <cellStyle name="specstores 3 23 2" xfId="10030"/>
    <cellStyle name="specstores 3 24" xfId="8979"/>
    <cellStyle name="specstores 3 3" xfId="4306"/>
    <cellStyle name="specstores 3 3 2" xfId="5390"/>
    <cellStyle name="specstores 3 3 2 2" xfId="10045"/>
    <cellStyle name="specstores 3 3 3" xfId="8994"/>
    <cellStyle name="specstores 3 4" xfId="4307"/>
    <cellStyle name="specstores 3 4 2" xfId="5391"/>
    <cellStyle name="specstores 3 4 2 2" xfId="10046"/>
    <cellStyle name="specstores 3 4 3" xfId="8995"/>
    <cellStyle name="specstores 3 5" xfId="4308"/>
    <cellStyle name="specstores 3 5 2" xfId="5392"/>
    <cellStyle name="specstores 3 5 2 2" xfId="10047"/>
    <cellStyle name="specstores 3 5 3" xfId="8996"/>
    <cellStyle name="specstores 3 6" xfId="4309"/>
    <cellStyle name="specstores 3 6 2" xfId="5393"/>
    <cellStyle name="specstores 3 6 2 2" xfId="10048"/>
    <cellStyle name="specstores 3 6 3" xfId="8997"/>
    <cellStyle name="specstores 3 7" xfId="4310"/>
    <cellStyle name="specstores 3 7 2" xfId="5394"/>
    <cellStyle name="specstores 3 7 2 2" xfId="10049"/>
    <cellStyle name="specstores 3 7 3" xfId="8998"/>
    <cellStyle name="specstores 3 8" xfId="4311"/>
    <cellStyle name="specstores 3 8 2" xfId="5395"/>
    <cellStyle name="specstores 3 8 2 2" xfId="10050"/>
    <cellStyle name="specstores 3 8 3" xfId="8999"/>
    <cellStyle name="specstores 3 9" xfId="4312"/>
    <cellStyle name="specstores 3 9 2" xfId="5396"/>
    <cellStyle name="specstores 3 9 2 2" xfId="10051"/>
    <cellStyle name="specstores 3 9 3" xfId="9000"/>
    <cellStyle name="specstores 4" xfId="4313"/>
    <cellStyle name="specstores 4 10" xfId="4314"/>
    <cellStyle name="specstores 4 10 2" xfId="5398"/>
    <cellStyle name="specstores 4 10 2 2" xfId="10053"/>
    <cellStyle name="specstores 4 10 3" xfId="9002"/>
    <cellStyle name="specstores 4 11" xfId="4315"/>
    <cellStyle name="specstores 4 11 2" xfId="5399"/>
    <cellStyle name="specstores 4 11 2 2" xfId="10054"/>
    <cellStyle name="specstores 4 11 3" xfId="9003"/>
    <cellStyle name="specstores 4 12" xfId="4316"/>
    <cellStyle name="specstores 4 12 2" xfId="5400"/>
    <cellStyle name="specstores 4 12 2 2" xfId="10055"/>
    <cellStyle name="specstores 4 12 3" xfId="9004"/>
    <cellStyle name="specstores 4 13" xfId="4317"/>
    <cellStyle name="specstores 4 13 2" xfId="5401"/>
    <cellStyle name="specstores 4 13 2 2" xfId="10056"/>
    <cellStyle name="specstores 4 13 3" xfId="9005"/>
    <cellStyle name="specstores 4 14" xfId="4318"/>
    <cellStyle name="specstores 4 14 2" xfId="5402"/>
    <cellStyle name="specstores 4 14 2 2" xfId="10057"/>
    <cellStyle name="specstores 4 14 3" xfId="9006"/>
    <cellStyle name="specstores 4 15" xfId="4319"/>
    <cellStyle name="specstores 4 15 2" xfId="5403"/>
    <cellStyle name="specstores 4 15 2 2" xfId="10058"/>
    <cellStyle name="specstores 4 15 3" xfId="9007"/>
    <cellStyle name="specstores 4 16" xfId="4320"/>
    <cellStyle name="specstores 4 16 2" xfId="5404"/>
    <cellStyle name="specstores 4 16 2 2" xfId="10059"/>
    <cellStyle name="specstores 4 16 3" xfId="9008"/>
    <cellStyle name="specstores 4 17" xfId="4321"/>
    <cellStyle name="specstores 4 17 2" xfId="5405"/>
    <cellStyle name="specstores 4 17 2 2" xfId="10060"/>
    <cellStyle name="specstores 4 17 3" xfId="9009"/>
    <cellStyle name="specstores 4 18" xfId="4322"/>
    <cellStyle name="specstores 4 18 2" xfId="5406"/>
    <cellStyle name="specstores 4 18 2 2" xfId="10061"/>
    <cellStyle name="specstores 4 18 3" xfId="9010"/>
    <cellStyle name="specstores 4 19" xfId="4323"/>
    <cellStyle name="specstores 4 19 2" xfId="5407"/>
    <cellStyle name="specstores 4 19 2 2" xfId="10062"/>
    <cellStyle name="specstores 4 19 3" xfId="9011"/>
    <cellStyle name="specstores 4 2" xfId="4324"/>
    <cellStyle name="specstores 4 2 2" xfId="5408"/>
    <cellStyle name="specstores 4 2 2 2" xfId="10063"/>
    <cellStyle name="specstores 4 2 3" xfId="9012"/>
    <cellStyle name="specstores 4 20" xfId="4325"/>
    <cellStyle name="specstores 4 20 2" xfId="5409"/>
    <cellStyle name="specstores 4 20 2 2" xfId="10064"/>
    <cellStyle name="specstores 4 20 3" xfId="9013"/>
    <cellStyle name="specstores 4 21" xfId="4326"/>
    <cellStyle name="specstores 4 21 2" xfId="5410"/>
    <cellStyle name="specstores 4 21 2 2" xfId="10065"/>
    <cellStyle name="specstores 4 21 3" xfId="9014"/>
    <cellStyle name="specstores 4 22" xfId="5397"/>
    <cellStyle name="specstores 4 22 2" xfId="10052"/>
    <cellStyle name="specstores 4 23" xfId="9001"/>
    <cellStyle name="specstores 4 3" xfId="4327"/>
    <cellStyle name="specstores 4 3 2" xfId="5411"/>
    <cellStyle name="specstores 4 3 2 2" xfId="10066"/>
    <cellStyle name="specstores 4 3 3" xfId="9015"/>
    <cellStyle name="specstores 4 4" xfId="4328"/>
    <cellStyle name="specstores 4 4 2" xfId="5412"/>
    <cellStyle name="specstores 4 4 2 2" xfId="10067"/>
    <cellStyle name="specstores 4 4 3" xfId="9016"/>
    <cellStyle name="specstores 4 5" xfId="4329"/>
    <cellStyle name="specstores 4 5 2" xfId="5413"/>
    <cellStyle name="specstores 4 5 2 2" xfId="10068"/>
    <cellStyle name="specstores 4 5 3" xfId="9017"/>
    <cellStyle name="specstores 4 6" xfId="4330"/>
    <cellStyle name="specstores 4 6 2" xfId="5414"/>
    <cellStyle name="specstores 4 6 2 2" xfId="10069"/>
    <cellStyle name="specstores 4 6 3" xfId="9018"/>
    <cellStyle name="specstores 4 7" xfId="4331"/>
    <cellStyle name="specstores 4 7 2" xfId="5415"/>
    <cellStyle name="specstores 4 7 2 2" xfId="10070"/>
    <cellStyle name="specstores 4 7 3" xfId="9019"/>
    <cellStyle name="specstores 4 8" xfId="4332"/>
    <cellStyle name="specstores 4 8 2" xfId="5416"/>
    <cellStyle name="specstores 4 8 2 2" xfId="10071"/>
    <cellStyle name="specstores 4 8 3" xfId="9020"/>
    <cellStyle name="specstores 4 9" xfId="4333"/>
    <cellStyle name="specstores 4 9 2" xfId="5417"/>
    <cellStyle name="specstores 4 9 2 2" xfId="10072"/>
    <cellStyle name="specstores 4 9 3" xfId="9021"/>
    <cellStyle name="specstores 5" xfId="5352"/>
    <cellStyle name="specstores 5 2" xfId="10007"/>
    <cellStyle name="specstores 6" xfId="8956"/>
    <cellStyle name="specstores_10CH" xfId="4334"/>
    <cellStyle name="Standard_NEGS" xfId="4335"/>
    <cellStyle name="Style 1" xfId="4336"/>
    <cellStyle name="Style 1 2" xfId="4337"/>
    <cellStyle name="Style 1 2 2" xfId="5419"/>
    <cellStyle name="Style 1 2 2 2" xfId="10074"/>
    <cellStyle name="Style 1 2 3" xfId="9023"/>
    <cellStyle name="Style 1 3" xfId="5418"/>
    <cellStyle name="Style 1 3 2" xfId="10073"/>
    <cellStyle name="Style 1 4" xfId="9022"/>
    <cellStyle name="Style 1_ĐONG XA" xfId="4338"/>
    <cellStyle name="style_1" xfId="4339"/>
    <cellStyle name="subhead" xfId="4340"/>
    <cellStyle name="subhead 2" xfId="4341"/>
    <cellStyle name="subhead 2 2" xfId="5421"/>
    <cellStyle name="subhead 2 2 2" xfId="10076"/>
    <cellStyle name="subhead 2 3" xfId="9025"/>
    <cellStyle name="subhead 3" xfId="5420"/>
    <cellStyle name="subhead 3 2" xfId="10075"/>
    <cellStyle name="subhead 4" xfId="9024"/>
    <cellStyle name="subhead_BPhu PNN" xfId="4342"/>
    <cellStyle name="Subtotal" xfId="4343"/>
    <cellStyle name="Subtotal 2" xfId="5422"/>
    <cellStyle name="Subtotal 2 2" xfId="10077"/>
    <cellStyle name="Subtotal 3" xfId="9026"/>
    <cellStyle name="T" xfId="4344"/>
    <cellStyle name="T 2" xfId="4345"/>
    <cellStyle name="T 2 2" xfId="5424"/>
    <cellStyle name="T 2 2 2" xfId="10079"/>
    <cellStyle name="T 2 3" xfId="9028"/>
    <cellStyle name="T 3" xfId="4346"/>
    <cellStyle name="T 3 2" xfId="5425"/>
    <cellStyle name="T 3 2 2" xfId="10080"/>
    <cellStyle name="T 3 3" xfId="9029"/>
    <cellStyle name="T 4" xfId="4347"/>
    <cellStyle name="T 4 2" xfId="5426"/>
    <cellStyle name="T 4 2 2" xfId="10081"/>
    <cellStyle name="T 4 3" xfId="9030"/>
    <cellStyle name="T 5" xfId="5423"/>
    <cellStyle name="T 5 2" xfId="10078"/>
    <cellStyle name="T 6" xfId="9027"/>
    <cellStyle name="T_03CH" xfId="4348"/>
    <cellStyle name="T_03CH 10" xfId="4349"/>
    <cellStyle name="T_03CH 10 2" xfId="5428"/>
    <cellStyle name="T_03CH 10 2 2" xfId="10083"/>
    <cellStyle name="T_03CH 10 3" xfId="9032"/>
    <cellStyle name="T_03CH 11" xfId="4350"/>
    <cellStyle name="T_03CH 11 2" xfId="5429"/>
    <cellStyle name="T_03CH 11 2 2" xfId="10084"/>
    <cellStyle name="T_03CH 11 3" xfId="9033"/>
    <cellStyle name="T_03CH 12" xfId="4351"/>
    <cellStyle name="T_03CH 12 2" xfId="5430"/>
    <cellStyle name="T_03CH 12 2 2" xfId="10085"/>
    <cellStyle name="T_03CH 12 3" xfId="9034"/>
    <cellStyle name="T_03CH 13" xfId="4352"/>
    <cellStyle name="T_03CH 13 2" xfId="5431"/>
    <cellStyle name="T_03CH 13 2 2" xfId="10086"/>
    <cellStyle name="T_03CH 13 3" xfId="9035"/>
    <cellStyle name="T_03CH 14" xfId="4353"/>
    <cellStyle name="T_03CH 14 2" xfId="5432"/>
    <cellStyle name="T_03CH 14 2 2" xfId="10087"/>
    <cellStyle name="T_03CH 14 3" xfId="9036"/>
    <cellStyle name="T_03CH 15" xfId="4354"/>
    <cellStyle name="T_03CH 15 2" xfId="5433"/>
    <cellStyle name="T_03CH 15 2 2" xfId="10088"/>
    <cellStyle name="T_03CH 15 3" xfId="9037"/>
    <cellStyle name="T_03CH 16" xfId="4355"/>
    <cellStyle name="T_03CH 16 2" xfId="5434"/>
    <cellStyle name="T_03CH 16 2 2" xfId="10089"/>
    <cellStyle name="T_03CH 16 3" xfId="9038"/>
    <cellStyle name="T_03CH 17" xfId="4356"/>
    <cellStyle name="T_03CH 17 2" xfId="5435"/>
    <cellStyle name="T_03CH 17 2 2" xfId="10090"/>
    <cellStyle name="T_03CH 17 3" xfId="9039"/>
    <cellStyle name="T_03CH 18" xfId="4357"/>
    <cellStyle name="T_03CH 18 2" xfId="5436"/>
    <cellStyle name="T_03CH 18 2 2" xfId="10091"/>
    <cellStyle name="T_03CH 18 3" xfId="9040"/>
    <cellStyle name="T_03CH 19" xfId="4358"/>
    <cellStyle name="T_03CH 19 2" xfId="5437"/>
    <cellStyle name="T_03CH 19 2 2" xfId="10092"/>
    <cellStyle name="T_03CH 19 3" xfId="9041"/>
    <cellStyle name="T_03CH 2" xfId="4359"/>
    <cellStyle name="T_03CH 2 2" xfId="5438"/>
    <cellStyle name="T_03CH 2 2 2" xfId="10093"/>
    <cellStyle name="T_03CH 2 3" xfId="9042"/>
    <cellStyle name="T_03CH 20" xfId="4360"/>
    <cellStyle name="T_03CH 20 2" xfId="5439"/>
    <cellStyle name="T_03CH 20 2 2" xfId="10094"/>
    <cellStyle name="T_03CH 20 3" xfId="9043"/>
    <cellStyle name="T_03CH 21" xfId="4361"/>
    <cellStyle name="T_03CH 21 2" xfId="5440"/>
    <cellStyle name="T_03CH 21 2 2" xfId="10095"/>
    <cellStyle name="T_03CH 21 3" xfId="9044"/>
    <cellStyle name="T_03CH 22" xfId="4362"/>
    <cellStyle name="T_03CH 22 2" xfId="5441"/>
    <cellStyle name="T_03CH 22 2 2" xfId="10096"/>
    <cellStyle name="T_03CH 22 3" xfId="9045"/>
    <cellStyle name="T_03CH 23" xfId="4363"/>
    <cellStyle name="T_03CH 23 2" xfId="5442"/>
    <cellStyle name="T_03CH 23 2 2" xfId="10097"/>
    <cellStyle name="T_03CH 23 3" xfId="9046"/>
    <cellStyle name="T_03CH 24" xfId="4364"/>
    <cellStyle name="T_03CH 24 2" xfId="5443"/>
    <cellStyle name="T_03CH 24 2 2" xfId="10098"/>
    <cellStyle name="T_03CH 24 3" xfId="9047"/>
    <cellStyle name="T_03CH 25" xfId="4365"/>
    <cellStyle name="T_03CH 25 2" xfId="5444"/>
    <cellStyle name="T_03CH 25 2 2" xfId="10099"/>
    <cellStyle name="T_03CH 25 3" xfId="9048"/>
    <cellStyle name="T_03CH 26" xfId="4366"/>
    <cellStyle name="T_03CH 26 2" xfId="5445"/>
    <cellStyle name="T_03CH 26 2 2" xfId="10100"/>
    <cellStyle name="T_03CH 26 3" xfId="9049"/>
    <cellStyle name="T_03CH 27" xfId="5427"/>
    <cellStyle name="T_03CH 27 2" xfId="10082"/>
    <cellStyle name="T_03CH 28" xfId="9031"/>
    <cellStyle name="T_03CH 3" xfId="4367"/>
    <cellStyle name="T_03CH 3 2" xfId="5446"/>
    <cellStyle name="T_03CH 3 2 2" xfId="10101"/>
    <cellStyle name="T_03CH 3 3" xfId="9050"/>
    <cellStyle name="T_03CH 4" xfId="4368"/>
    <cellStyle name="T_03CH 4 2" xfId="5447"/>
    <cellStyle name="T_03CH 4 2 2" xfId="10102"/>
    <cellStyle name="T_03CH 4 3" xfId="9051"/>
    <cellStyle name="T_03CH 5" xfId="4369"/>
    <cellStyle name="T_03CH 5 2" xfId="5448"/>
    <cellStyle name="T_03CH 5 2 2" xfId="10103"/>
    <cellStyle name="T_03CH 5 3" xfId="9052"/>
    <cellStyle name="T_03CH 6" xfId="4370"/>
    <cellStyle name="T_03CH 6 2" xfId="5449"/>
    <cellStyle name="T_03CH 6 2 2" xfId="10104"/>
    <cellStyle name="T_03CH 6 3" xfId="9053"/>
    <cellStyle name="T_03CH 7" xfId="4371"/>
    <cellStyle name="T_03CH 7 2" xfId="5450"/>
    <cellStyle name="T_03CH 7 2 2" xfId="10105"/>
    <cellStyle name="T_03CH 7 3" xfId="9054"/>
    <cellStyle name="T_03CH 8" xfId="4372"/>
    <cellStyle name="T_03CH 8 2" xfId="5451"/>
    <cellStyle name="T_03CH 8 2 2" xfId="10106"/>
    <cellStyle name="T_03CH 8 3" xfId="9055"/>
    <cellStyle name="T_03CH 9" xfId="4373"/>
    <cellStyle name="T_03CH 9 2" xfId="5452"/>
    <cellStyle name="T_03CH 9 2 2" xfId="10107"/>
    <cellStyle name="T_03CH 9 3" xfId="9056"/>
    <cellStyle name="T_03CH_B 10 c" xfId="4374"/>
    <cellStyle name="T_03CH_B 10 c 2" xfId="5453"/>
    <cellStyle name="T_03CH_B 10 c 2 2" xfId="10108"/>
    <cellStyle name="T_03CH_B 10 c 3" xfId="9057"/>
    <cellStyle name="T_03CH_Bieu 10 CH" xfId="4375"/>
    <cellStyle name="T_03CH_Bieu 10 CH 2" xfId="5454"/>
    <cellStyle name="T_03CH_Bieu 10 CH 2 2" xfId="10109"/>
    <cellStyle name="T_03CH_Bieu 10 CH 3" xfId="9058"/>
    <cellStyle name="T_10CH" xfId="4376"/>
    <cellStyle name="T_10CH 10" xfId="4377"/>
    <cellStyle name="T_10CH 10 2" xfId="5456"/>
    <cellStyle name="T_10CH 10 2 2" xfId="10111"/>
    <cellStyle name="T_10CH 10 3" xfId="9060"/>
    <cellStyle name="T_10CH 11" xfId="4378"/>
    <cellStyle name="T_10CH 11 2" xfId="5457"/>
    <cellStyle name="T_10CH 11 2 2" xfId="10112"/>
    <cellStyle name="T_10CH 11 3" xfId="9061"/>
    <cellStyle name="T_10CH 12" xfId="4379"/>
    <cellStyle name="T_10CH 12 2" xfId="5458"/>
    <cellStyle name="T_10CH 12 2 2" xfId="10113"/>
    <cellStyle name="T_10CH 12 3" xfId="9062"/>
    <cellStyle name="T_10CH 13" xfId="4380"/>
    <cellStyle name="T_10CH 13 2" xfId="5459"/>
    <cellStyle name="T_10CH 13 2 2" xfId="10114"/>
    <cellStyle name="T_10CH 13 3" xfId="9063"/>
    <cellStyle name="T_10CH 14" xfId="4381"/>
    <cellStyle name="T_10CH 14 2" xfId="5460"/>
    <cellStyle name="T_10CH 14 2 2" xfId="10115"/>
    <cellStyle name="T_10CH 14 3" xfId="9064"/>
    <cellStyle name="T_10CH 15" xfId="4382"/>
    <cellStyle name="T_10CH 15 2" xfId="5461"/>
    <cellStyle name="T_10CH 15 2 2" xfId="10116"/>
    <cellStyle name="T_10CH 15 3" xfId="9065"/>
    <cellStyle name="T_10CH 16" xfId="4383"/>
    <cellStyle name="T_10CH 16 2" xfId="5462"/>
    <cellStyle name="T_10CH 16 2 2" xfId="10117"/>
    <cellStyle name="T_10CH 16 3" xfId="9066"/>
    <cellStyle name="T_10CH 17" xfId="4384"/>
    <cellStyle name="T_10CH 17 2" xfId="5463"/>
    <cellStyle name="T_10CH 17 2 2" xfId="10118"/>
    <cellStyle name="T_10CH 17 3" xfId="9067"/>
    <cellStyle name="T_10CH 18" xfId="4385"/>
    <cellStyle name="T_10CH 18 2" xfId="5464"/>
    <cellStyle name="T_10CH 18 2 2" xfId="10119"/>
    <cellStyle name="T_10CH 18 3" xfId="9068"/>
    <cellStyle name="T_10CH 19" xfId="4386"/>
    <cellStyle name="T_10CH 19 2" xfId="5465"/>
    <cellStyle name="T_10CH 19 2 2" xfId="10120"/>
    <cellStyle name="T_10CH 19 3" xfId="9069"/>
    <cellStyle name="T_10CH 2" xfId="4387"/>
    <cellStyle name="T_10CH 2 2" xfId="5466"/>
    <cellStyle name="T_10CH 2 2 2" xfId="10121"/>
    <cellStyle name="T_10CH 2 3" xfId="9070"/>
    <cellStyle name="T_10CH 2_CC 2016-2020" xfId="4388"/>
    <cellStyle name="T_10CH 2_CC 2016-2020 2" xfId="5467"/>
    <cellStyle name="T_10CH 2_CC 2016-2020 2 2" xfId="10122"/>
    <cellStyle name="T_10CH 2_CC 2016-2020 3" xfId="9071"/>
    <cellStyle name="T_10CH 2_LUC" xfId="4389"/>
    <cellStyle name="T_10CH 2_LUC 2" xfId="5468"/>
    <cellStyle name="T_10CH 2_LUC 2 2" xfId="10123"/>
    <cellStyle name="T_10CH 2_LUC 3" xfId="9072"/>
    <cellStyle name="T_10CH 2_nam 2016" xfId="4390"/>
    <cellStyle name="T_10CH 2_nam 2016 2" xfId="5469"/>
    <cellStyle name="T_10CH 2_nam 2016 2 2" xfId="10124"/>
    <cellStyle name="T_10CH 2_nam 2016 3" xfId="9073"/>
    <cellStyle name="T_10CH 2_nam 2017" xfId="4391"/>
    <cellStyle name="T_10CH 2_nam 2017 2" xfId="5470"/>
    <cellStyle name="T_10CH 2_nam 2017 2 2" xfId="10125"/>
    <cellStyle name="T_10CH 2_nam 2017 3" xfId="9074"/>
    <cellStyle name="T_10CH 20" xfId="4392"/>
    <cellStyle name="T_10CH 20 2" xfId="5471"/>
    <cellStyle name="T_10CH 20 2 2" xfId="10126"/>
    <cellStyle name="T_10CH 20 3" xfId="9075"/>
    <cellStyle name="T_10CH 21" xfId="4393"/>
    <cellStyle name="T_10CH 21 2" xfId="5472"/>
    <cellStyle name="T_10CH 21 2 2" xfId="10127"/>
    <cellStyle name="T_10CH 21 3" xfId="9076"/>
    <cellStyle name="T_10CH 22" xfId="4394"/>
    <cellStyle name="T_10CH 22 2" xfId="5473"/>
    <cellStyle name="T_10CH 22 2 2" xfId="10128"/>
    <cellStyle name="T_10CH 22 3" xfId="9077"/>
    <cellStyle name="T_10CH 23" xfId="4395"/>
    <cellStyle name="T_10CH 23 2" xfId="5474"/>
    <cellStyle name="T_10CH 23 2 2" xfId="10129"/>
    <cellStyle name="T_10CH 23 3" xfId="9078"/>
    <cellStyle name="T_10CH 24" xfId="4396"/>
    <cellStyle name="T_10CH 24 2" xfId="5475"/>
    <cellStyle name="T_10CH 24 2 2" xfId="10130"/>
    <cellStyle name="T_10CH 24 3" xfId="9079"/>
    <cellStyle name="T_10CH 25" xfId="4397"/>
    <cellStyle name="T_10CH 25 2" xfId="5476"/>
    <cellStyle name="T_10CH 25 2 2" xfId="10131"/>
    <cellStyle name="T_10CH 25 3" xfId="9080"/>
    <cellStyle name="T_10CH 26" xfId="4398"/>
    <cellStyle name="T_10CH 26 2" xfId="5477"/>
    <cellStyle name="T_10CH 26 2 2" xfId="10132"/>
    <cellStyle name="T_10CH 26 3" xfId="9081"/>
    <cellStyle name="T_10CH 27" xfId="5455"/>
    <cellStyle name="T_10CH 27 2" xfId="10110"/>
    <cellStyle name="T_10CH 28" xfId="9059"/>
    <cellStyle name="T_10CH 3" xfId="4399"/>
    <cellStyle name="T_10CH 3 2" xfId="5478"/>
    <cellStyle name="T_10CH 3 2 2" xfId="10133"/>
    <cellStyle name="T_10CH 3 3" xfId="9082"/>
    <cellStyle name="T_10CH 4" xfId="4400"/>
    <cellStyle name="T_10CH 4 2" xfId="5479"/>
    <cellStyle name="T_10CH 4 2 2" xfId="10134"/>
    <cellStyle name="T_10CH 4 3" xfId="9083"/>
    <cellStyle name="T_10CH 5" xfId="4401"/>
    <cellStyle name="T_10CH 5 2" xfId="5480"/>
    <cellStyle name="T_10CH 5 2 2" xfId="10135"/>
    <cellStyle name="T_10CH 5 3" xfId="9084"/>
    <cellStyle name="T_10CH 6" xfId="4402"/>
    <cellStyle name="T_10CH 6 2" xfId="5481"/>
    <cellStyle name="T_10CH 6 2 2" xfId="10136"/>
    <cellStyle name="T_10CH 6 3" xfId="9085"/>
    <cellStyle name="T_10CH 7" xfId="4403"/>
    <cellStyle name="T_10CH 7 2" xfId="5482"/>
    <cellStyle name="T_10CH 7 2 2" xfId="10137"/>
    <cellStyle name="T_10CH 7 3" xfId="9086"/>
    <cellStyle name="T_10CH 8" xfId="4404"/>
    <cellStyle name="T_10CH 8 2" xfId="5483"/>
    <cellStyle name="T_10CH 8 2 2" xfId="10138"/>
    <cellStyle name="T_10CH 8 3" xfId="9087"/>
    <cellStyle name="T_10CH 9" xfId="4405"/>
    <cellStyle name="T_10CH 9 2" xfId="5484"/>
    <cellStyle name="T_10CH 9 2 2" xfId="10139"/>
    <cellStyle name="T_10CH 9 3" xfId="9088"/>
    <cellStyle name="T_10CH_B 10 c" xfId="4406"/>
    <cellStyle name="T_10CH_B 10 c 2" xfId="5485"/>
    <cellStyle name="T_10CH_B 10 c 2 2" xfId="10140"/>
    <cellStyle name="T_10CH_B 10 c 3" xfId="9089"/>
    <cellStyle name="T_10CH_Bieu 10 CH" xfId="4407"/>
    <cellStyle name="T_10CH_Bieu 10 CH 2" xfId="5486"/>
    <cellStyle name="T_10CH_Bieu 10 CH 2 2" xfId="10141"/>
    <cellStyle name="T_10CH_Bieu 10 CH 3" xfId="9090"/>
    <cellStyle name="T_10CH_CC 2016-2020" xfId="4408"/>
    <cellStyle name="T_10CH_CC 2016-2020 2" xfId="5487"/>
    <cellStyle name="T_10CH_CC 2016-2020 2 2" xfId="10142"/>
    <cellStyle name="T_10CH_CC 2016-2020 3" xfId="9091"/>
    <cellStyle name="T_10CH_ĐONG XA" xfId="4409"/>
    <cellStyle name="T_10CH_ĐONG XA 2" xfId="5488"/>
    <cellStyle name="T_10CH_ĐONG XA 2 2" xfId="10143"/>
    <cellStyle name="T_10CH_ĐONG XA 3" xfId="9092"/>
    <cellStyle name="T_10CH_ĐONG XA_CC 2016-2020" xfId="4410"/>
    <cellStyle name="T_10CH_ĐONG XA_CC 2016-2020 2" xfId="5489"/>
    <cellStyle name="T_10CH_ĐONG XA_CC 2016-2020 2 2" xfId="10144"/>
    <cellStyle name="T_10CH_ĐONG XA_CC 2016-2020 3" xfId="9093"/>
    <cellStyle name="T_10CH_ĐONG XA_LUC" xfId="4411"/>
    <cellStyle name="T_10CH_ĐONG XA_LUC 2" xfId="5490"/>
    <cellStyle name="T_10CH_ĐONG XA_LUC 2 2" xfId="10145"/>
    <cellStyle name="T_10CH_ĐONG XA_LUC 3" xfId="9094"/>
    <cellStyle name="T_10CH_LUC" xfId="4412"/>
    <cellStyle name="T_10CH_LUC 2" xfId="5491"/>
    <cellStyle name="T_10CH_LUC 2 2" xfId="10146"/>
    <cellStyle name="T_10CH_LUC 3" xfId="9095"/>
    <cellStyle name="T_10CH_nam 2016" xfId="4413"/>
    <cellStyle name="T_10CH_nam 2016 2" xfId="5492"/>
    <cellStyle name="T_10CH_nam 2016 2 2" xfId="10147"/>
    <cellStyle name="T_10CH_nam 2016 3" xfId="9096"/>
    <cellStyle name="T_10CH_nam 2017" xfId="4414"/>
    <cellStyle name="T_10CH_nam 2017 2" xfId="5493"/>
    <cellStyle name="T_10CH_nam 2017 2 2" xfId="10148"/>
    <cellStyle name="T_10CH_nam 2017 3" xfId="9097"/>
    <cellStyle name="T_10CH_T.T CAI RONG" xfId="4415"/>
    <cellStyle name="T_10CH_T.T CAI RONG 2" xfId="5494"/>
    <cellStyle name="T_10CH_T.T CAI RONG 2 2" xfId="10149"/>
    <cellStyle name="T_10CH_T.T CAI RONG 3" xfId="9098"/>
    <cellStyle name="T_10CH_T.T CAI RONG_CC 2016-2020" xfId="4416"/>
    <cellStyle name="T_10CH_T.T CAI RONG_CC 2016-2020 2" xfId="5495"/>
    <cellStyle name="T_10CH_T.T CAI RONG_CC 2016-2020 2 2" xfId="10150"/>
    <cellStyle name="T_10CH_T.T CAI RONG_CC 2016-2020 3" xfId="9099"/>
    <cellStyle name="T_10CH_T.T CAI RONG_LUC" xfId="4417"/>
    <cellStyle name="T_10CH_T.T CAI RONG_LUC 2" xfId="5496"/>
    <cellStyle name="T_10CH_T.T CAI RONG_LUC 2 2" xfId="10151"/>
    <cellStyle name="T_10CH_T.T CAI RONG_LUC 3" xfId="9100"/>
    <cellStyle name="T_B14CT" xfId="4418"/>
    <cellStyle name="T_B14CT 10" xfId="4419"/>
    <cellStyle name="T_B14CT 10 2" xfId="5498"/>
    <cellStyle name="T_B14CT 10 2 2" xfId="10153"/>
    <cellStyle name="T_B14CT 10 3" xfId="9102"/>
    <cellStyle name="T_B14CT 11" xfId="4420"/>
    <cellStyle name="T_B14CT 11 2" xfId="5499"/>
    <cellStyle name="T_B14CT 11 2 2" xfId="10154"/>
    <cellStyle name="T_B14CT 11 3" xfId="9103"/>
    <cellStyle name="T_B14CT 12" xfId="4421"/>
    <cellStyle name="T_B14CT 12 2" xfId="5500"/>
    <cellStyle name="T_B14CT 12 2 2" xfId="10155"/>
    <cellStyle name="T_B14CT 12 3" xfId="9104"/>
    <cellStyle name="T_B14CT 13" xfId="4422"/>
    <cellStyle name="T_B14CT 13 2" xfId="5501"/>
    <cellStyle name="T_B14CT 13 2 2" xfId="10156"/>
    <cellStyle name="T_B14CT 13 3" xfId="9105"/>
    <cellStyle name="T_B14CT 14" xfId="4423"/>
    <cellStyle name="T_B14CT 14 2" xfId="5502"/>
    <cellStyle name="T_B14CT 14 2 2" xfId="10157"/>
    <cellStyle name="T_B14CT 14 3" xfId="9106"/>
    <cellStyle name="T_B14CT 15" xfId="4424"/>
    <cellStyle name="T_B14CT 15 2" xfId="5503"/>
    <cellStyle name="T_B14CT 15 2 2" xfId="10158"/>
    <cellStyle name="T_B14CT 15 3" xfId="9107"/>
    <cellStyle name="T_B14CT 16" xfId="4425"/>
    <cellStyle name="T_B14CT 16 2" xfId="5504"/>
    <cellStyle name="T_B14CT 16 2 2" xfId="10159"/>
    <cellStyle name="T_B14CT 16 3" xfId="9108"/>
    <cellStyle name="T_B14CT 17" xfId="4426"/>
    <cellStyle name="T_B14CT 17 2" xfId="5505"/>
    <cellStyle name="T_B14CT 17 2 2" xfId="10160"/>
    <cellStyle name="T_B14CT 17 3" xfId="9109"/>
    <cellStyle name="T_B14CT 18" xfId="4427"/>
    <cellStyle name="T_B14CT 18 2" xfId="5506"/>
    <cellStyle name="T_B14CT 18 2 2" xfId="10161"/>
    <cellStyle name="T_B14CT 18 3" xfId="9110"/>
    <cellStyle name="T_B14CT 19" xfId="4428"/>
    <cellStyle name="T_B14CT 19 2" xfId="5507"/>
    <cellStyle name="T_B14CT 19 2 2" xfId="10162"/>
    <cellStyle name="T_B14CT 19 3" xfId="9111"/>
    <cellStyle name="T_B14CT 2" xfId="4429"/>
    <cellStyle name="T_B14CT 2 2" xfId="5508"/>
    <cellStyle name="T_B14CT 2 2 2" xfId="10163"/>
    <cellStyle name="T_B14CT 2 3" xfId="9112"/>
    <cellStyle name="T_B14CT 20" xfId="4430"/>
    <cellStyle name="T_B14CT 20 2" xfId="5509"/>
    <cellStyle name="T_B14CT 20 2 2" xfId="10164"/>
    <cellStyle name="T_B14CT 20 3" xfId="9113"/>
    <cellStyle name="T_B14CT 21" xfId="4431"/>
    <cellStyle name="T_B14CT 21 2" xfId="5510"/>
    <cellStyle name="T_B14CT 21 2 2" xfId="10165"/>
    <cellStyle name="T_B14CT 21 3" xfId="9114"/>
    <cellStyle name="T_B14CT 22" xfId="4432"/>
    <cellStyle name="T_B14CT 22 2" xfId="5511"/>
    <cellStyle name="T_B14CT 22 2 2" xfId="10166"/>
    <cellStyle name="T_B14CT 22 3" xfId="9115"/>
    <cellStyle name="T_B14CT 23" xfId="5497"/>
    <cellStyle name="T_B14CT 23 2" xfId="10152"/>
    <cellStyle name="T_B14CT 24" xfId="9101"/>
    <cellStyle name="T_B14CT 3" xfId="4433"/>
    <cellStyle name="T_B14CT 3 2" xfId="5512"/>
    <cellStyle name="T_B14CT 3 2 2" xfId="10167"/>
    <cellStyle name="T_B14CT 3 3" xfId="9116"/>
    <cellStyle name="T_B14CT 4" xfId="4434"/>
    <cellStyle name="T_B14CT 4 2" xfId="5513"/>
    <cellStyle name="T_B14CT 4 2 2" xfId="10168"/>
    <cellStyle name="T_B14CT 4 3" xfId="9117"/>
    <cellStyle name="T_B14CT 5" xfId="4435"/>
    <cellStyle name="T_B14CT 5 2" xfId="5514"/>
    <cellStyle name="T_B14CT 5 2 2" xfId="10169"/>
    <cellStyle name="T_B14CT 5 3" xfId="9118"/>
    <cellStyle name="T_B14CT 6" xfId="4436"/>
    <cellStyle name="T_B14CT 6 2" xfId="5515"/>
    <cellStyle name="T_B14CT 6 2 2" xfId="10170"/>
    <cellStyle name="T_B14CT 6 3" xfId="9119"/>
    <cellStyle name="T_B14CT 7" xfId="4437"/>
    <cellStyle name="T_B14CT 7 2" xfId="5516"/>
    <cellStyle name="T_B14CT 7 2 2" xfId="10171"/>
    <cellStyle name="T_B14CT 7 3" xfId="9120"/>
    <cellStyle name="T_B14CT 8" xfId="4438"/>
    <cellStyle name="T_B14CT 8 2" xfId="5517"/>
    <cellStyle name="T_B14CT 8 2 2" xfId="10172"/>
    <cellStyle name="T_B14CT 8 3" xfId="9121"/>
    <cellStyle name="T_B14CT 9" xfId="4439"/>
    <cellStyle name="T_B14CT 9 2" xfId="5518"/>
    <cellStyle name="T_B14CT 9 2 2" xfId="10173"/>
    <cellStyle name="T_B14CT 9 3" xfId="9122"/>
    <cellStyle name="T_BAN SEN" xfId="4440"/>
    <cellStyle name="T_BAN SEN 2" xfId="5519"/>
    <cellStyle name="T_BAN SEN 2 2" xfId="10174"/>
    <cellStyle name="T_BAN SEN 3" xfId="9123"/>
    <cellStyle name="T_BAN SEN_CC 2016-2020" xfId="4441"/>
    <cellStyle name="T_BAN SEN_CC 2016-2020 2" xfId="5520"/>
    <cellStyle name="T_BAN SEN_CC 2016-2020 2 2" xfId="10175"/>
    <cellStyle name="T_BAN SEN_CC 2016-2020 3" xfId="9124"/>
    <cellStyle name="T_BAN SEN_LUC" xfId="4442"/>
    <cellStyle name="T_BAN SEN_LUC 2" xfId="5521"/>
    <cellStyle name="T_BAN SEN_LUC 2 2" xfId="10176"/>
    <cellStyle name="T_BAN SEN_LUC 3" xfId="9125"/>
    <cellStyle name="T_BIEN DONG 2010-2015" xfId="4443"/>
    <cellStyle name="T_BIEN DONG 2010-2015 10" xfId="4444"/>
    <cellStyle name="T_BIEN DONG 2010-2015 10 2" xfId="5523"/>
    <cellStyle name="T_BIEN DONG 2010-2015 10 2 2" xfId="10178"/>
    <cellStyle name="T_BIEN DONG 2010-2015 10 3" xfId="9127"/>
    <cellStyle name="T_BIEN DONG 2010-2015 11" xfId="4445"/>
    <cellStyle name="T_BIEN DONG 2010-2015 11 2" xfId="5524"/>
    <cellStyle name="T_BIEN DONG 2010-2015 11 2 2" xfId="10179"/>
    <cellStyle name="T_BIEN DONG 2010-2015 11 3" xfId="9128"/>
    <cellStyle name="T_BIEN DONG 2010-2015 12" xfId="4446"/>
    <cellStyle name="T_BIEN DONG 2010-2015 12 2" xfId="5525"/>
    <cellStyle name="T_BIEN DONG 2010-2015 12 2 2" xfId="10180"/>
    <cellStyle name="T_BIEN DONG 2010-2015 12 3" xfId="9129"/>
    <cellStyle name="T_BIEN DONG 2010-2015 13" xfId="4447"/>
    <cellStyle name="T_BIEN DONG 2010-2015 13 2" xfId="5526"/>
    <cellStyle name="T_BIEN DONG 2010-2015 13 2 2" xfId="10181"/>
    <cellStyle name="T_BIEN DONG 2010-2015 13 3" xfId="9130"/>
    <cellStyle name="T_BIEN DONG 2010-2015 14" xfId="4448"/>
    <cellStyle name="T_BIEN DONG 2010-2015 14 2" xfId="5527"/>
    <cellStyle name="T_BIEN DONG 2010-2015 14 2 2" xfId="10182"/>
    <cellStyle name="T_BIEN DONG 2010-2015 14 3" xfId="9131"/>
    <cellStyle name="T_BIEN DONG 2010-2015 15" xfId="4449"/>
    <cellStyle name="T_BIEN DONG 2010-2015 15 2" xfId="5528"/>
    <cellStyle name="T_BIEN DONG 2010-2015 15 2 2" xfId="10183"/>
    <cellStyle name="T_BIEN DONG 2010-2015 15 3" xfId="9132"/>
    <cellStyle name="T_BIEN DONG 2010-2015 16" xfId="4450"/>
    <cellStyle name="T_BIEN DONG 2010-2015 16 2" xfId="5529"/>
    <cellStyle name="T_BIEN DONG 2010-2015 16 2 2" xfId="10184"/>
    <cellStyle name="T_BIEN DONG 2010-2015 16 3" xfId="9133"/>
    <cellStyle name="T_BIEN DONG 2010-2015 17" xfId="4451"/>
    <cellStyle name="T_BIEN DONG 2010-2015 17 2" xfId="5530"/>
    <cellStyle name="T_BIEN DONG 2010-2015 17 2 2" xfId="10185"/>
    <cellStyle name="T_BIEN DONG 2010-2015 17 3" xfId="9134"/>
    <cellStyle name="T_BIEN DONG 2010-2015 18" xfId="4452"/>
    <cellStyle name="T_BIEN DONG 2010-2015 18 2" xfId="5531"/>
    <cellStyle name="T_BIEN DONG 2010-2015 18 2 2" xfId="10186"/>
    <cellStyle name="T_BIEN DONG 2010-2015 18 3" xfId="9135"/>
    <cellStyle name="T_BIEN DONG 2010-2015 19" xfId="4453"/>
    <cellStyle name="T_BIEN DONG 2010-2015 19 2" xfId="5532"/>
    <cellStyle name="T_BIEN DONG 2010-2015 19 2 2" xfId="10187"/>
    <cellStyle name="T_BIEN DONG 2010-2015 19 3" xfId="9136"/>
    <cellStyle name="T_BIEN DONG 2010-2015 2" xfId="4454"/>
    <cellStyle name="T_BIEN DONG 2010-2015 2 2" xfId="5533"/>
    <cellStyle name="T_BIEN DONG 2010-2015 2 2 2" xfId="10188"/>
    <cellStyle name="T_BIEN DONG 2010-2015 2 3" xfId="9137"/>
    <cellStyle name="T_BIEN DONG 2010-2015 20" xfId="4455"/>
    <cellStyle name="T_BIEN DONG 2010-2015 20 2" xfId="5534"/>
    <cellStyle name="T_BIEN DONG 2010-2015 20 2 2" xfId="10189"/>
    <cellStyle name="T_BIEN DONG 2010-2015 20 3" xfId="9138"/>
    <cellStyle name="T_BIEN DONG 2010-2015 21" xfId="4456"/>
    <cellStyle name="T_BIEN DONG 2010-2015 21 2" xfId="5535"/>
    <cellStyle name="T_BIEN DONG 2010-2015 21 2 2" xfId="10190"/>
    <cellStyle name="T_BIEN DONG 2010-2015 21 3" xfId="9139"/>
    <cellStyle name="T_BIEN DONG 2010-2015 22" xfId="4457"/>
    <cellStyle name="T_BIEN DONG 2010-2015 22 2" xfId="5536"/>
    <cellStyle name="T_BIEN DONG 2010-2015 22 2 2" xfId="10191"/>
    <cellStyle name="T_BIEN DONG 2010-2015 22 3" xfId="9140"/>
    <cellStyle name="T_BIEN DONG 2010-2015 23" xfId="5522"/>
    <cellStyle name="T_BIEN DONG 2010-2015 23 2" xfId="10177"/>
    <cellStyle name="T_BIEN DONG 2010-2015 24" xfId="9126"/>
    <cellStyle name="T_BIEN DONG 2010-2015 3" xfId="4458"/>
    <cellStyle name="T_BIEN DONG 2010-2015 3 2" xfId="5537"/>
    <cellStyle name="T_BIEN DONG 2010-2015 3 2 2" xfId="10192"/>
    <cellStyle name="T_BIEN DONG 2010-2015 3 3" xfId="9141"/>
    <cellStyle name="T_BIEN DONG 2010-2015 4" xfId="4459"/>
    <cellStyle name="T_BIEN DONG 2010-2015 4 2" xfId="5538"/>
    <cellStyle name="T_BIEN DONG 2010-2015 4 2 2" xfId="10193"/>
    <cellStyle name="T_BIEN DONG 2010-2015 4 3" xfId="9142"/>
    <cellStyle name="T_BIEN DONG 2010-2015 5" xfId="4460"/>
    <cellStyle name="T_BIEN DONG 2010-2015 5 2" xfId="5539"/>
    <cellStyle name="T_BIEN DONG 2010-2015 5 2 2" xfId="10194"/>
    <cellStyle name="T_BIEN DONG 2010-2015 5 3" xfId="9143"/>
    <cellStyle name="T_BIEN DONG 2010-2015 6" xfId="4461"/>
    <cellStyle name="T_BIEN DONG 2010-2015 6 2" xfId="5540"/>
    <cellStyle name="T_BIEN DONG 2010-2015 6 2 2" xfId="10195"/>
    <cellStyle name="T_BIEN DONG 2010-2015 6 3" xfId="9144"/>
    <cellStyle name="T_BIEN DONG 2010-2015 7" xfId="4462"/>
    <cellStyle name="T_BIEN DONG 2010-2015 7 2" xfId="5541"/>
    <cellStyle name="T_BIEN DONG 2010-2015 7 2 2" xfId="10196"/>
    <cellStyle name="T_BIEN DONG 2010-2015 7 3" xfId="9145"/>
    <cellStyle name="T_BIEN DONG 2010-2015 8" xfId="4463"/>
    <cellStyle name="T_BIEN DONG 2010-2015 8 2" xfId="5542"/>
    <cellStyle name="T_BIEN DONG 2010-2015 8 2 2" xfId="10197"/>
    <cellStyle name="T_BIEN DONG 2010-2015 8 3" xfId="9146"/>
    <cellStyle name="T_BIEN DONG 2010-2015 9" xfId="4464"/>
    <cellStyle name="T_BIEN DONG 2010-2015 9 2" xfId="5543"/>
    <cellStyle name="T_BIEN DONG 2010-2015 9 2 2" xfId="10198"/>
    <cellStyle name="T_BIEN DONG 2010-2015 9 3" xfId="9147"/>
    <cellStyle name="T_BINH DAN" xfId="4465"/>
    <cellStyle name="T_BINH DAN 2" xfId="5544"/>
    <cellStyle name="T_BINH DAN 2 2" xfId="10199"/>
    <cellStyle name="T_BINH DAN 3" xfId="9148"/>
    <cellStyle name="T_BINH DAN_CC 2016-2020" xfId="4466"/>
    <cellStyle name="T_BINH DAN_CC 2016-2020 2" xfId="5545"/>
    <cellStyle name="T_BINH DAN_CC 2016-2020 2 2" xfId="10200"/>
    <cellStyle name="T_BINH DAN_CC 2016-2020 3" xfId="9149"/>
    <cellStyle name="T_BINH DAN_LUC" xfId="4467"/>
    <cellStyle name="T_BINH DAN_LUC 2" xfId="5546"/>
    <cellStyle name="T_BINH DAN_LUC 2 2" xfId="10201"/>
    <cellStyle name="T_BINH DAN_LUC 3" xfId="9150"/>
    <cellStyle name="T_Bosuncongtrinh31-10-2011(Liem)" xfId="4468"/>
    <cellStyle name="T_Bosuncongtrinh31-10-2011(Liem) 2" xfId="5547"/>
    <cellStyle name="T_Bosuncongtrinh31-10-2011(Liem) 2 2" xfId="10202"/>
    <cellStyle name="T_Bosuncongtrinh31-10-2011(Liem) 3" xfId="9151"/>
    <cellStyle name="T_Bosuncongtrinh31-10-2011(Liem)_CC 2016-2020" xfId="4469"/>
    <cellStyle name="T_Bosuncongtrinh31-10-2011(Liem)_CC 2016-2020 2" xfId="5548"/>
    <cellStyle name="T_Bosuncongtrinh31-10-2011(Liem)_CC 2016-2020 2 2" xfId="10203"/>
    <cellStyle name="T_Bosuncongtrinh31-10-2011(Liem)_CC 2016-2020 3" xfId="9152"/>
    <cellStyle name="T_Bosuncongtrinh31-10-2011(Liem)_LUC" xfId="4470"/>
    <cellStyle name="T_Bosuncongtrinh31-10-2011(Liem)_LUC 2" xfId="5549"/>
    <cellStyle name="T_Bosuncongtrinh31-10-2011(Liem)_LUC 2 2" xfId="10204"/>
    <cellStyle name="T_Bosuncongtrinh31-10-2011(Liem)_LUC 3" xfId="9153"/>
    <cellStyle name="T_Bosuncongtrinh31-10-2011(Liem)_nam 2016" xfId="4471"/>
    <cellStyle name="T_Bosuncongtrinh31-10-2011(Liem)_nam 2016 2" xfId="5550"/>
    <cellStyle name="T_Bosuncongtrinh31-10-2011(Liem)_nam 2016 2 2" xfId="10205"/>
    <cellStyle name="T_Bosuncongtrinh31-10-2011(Liem)_nam 2016 3" xfId="9154"/>
    <cellStyle name="T_Bosuncongtrinh31-10-2011(Liem)_nam 2017" xfId="4472"/>
    <cellStyle name="T_Bosuncongtrinh31-10-2011(Liem)_nam 2017 2" xfId="5551"/>
    <cellStyle name="T_Bosuncongtrinh31-10-2011(Liem)_nam 2017 2 2" xfId="10206"/>
    <cellStyle name="T_Bosuncongtrinh31-10-2011(Liem)_nam 2017 3" xfId="9155"/>
    <cellStyle name="T_BPhu PNN" xfId="4473"/>
    <cellStyle name="T_BPhu PNN 10" xfId="4474"/>
    <cellStyle name="T_BPhu PNN 10 2" xfId="5553"/>
    <cellStyle name="T_BPhu PNN 10 2 2" xfId="10208"/>
    <cellStyle name="T_BPhu PNN 10 3" xfId="9157"/>
    <cellStyle name="T_BPhu PNN 11" xfId="4475"/>
    <cellStyle name="T_BPhu PNN 11 2" xfId="5554"/>
    <cellStyle name="T_BPhu PNN 11 2 2" xfId="10209"/>
    <cellStyle name="T_BPhu PNN 11 3" xfId="9158"/>
    <cellStyle name="T_BPhu PNN 12" xfId="4476"/>
    <cellStyle name="T_BPhu PNN 12 2" xfId="5555"/>
    <cellStyle name="T_BPhu PNN 12 2 2" xfId="10210"/>
    <cellStyle name="T_BPhu PNN 12 3" xfId="9159"/>
    <cellStyle name="T_BPhu PNN 13" xfId="4477"/>
    <cellStyle name="T_BPhu PNN 13 2" xfId="5556"/>
    <cellStyle name="T_BPhu PNN 13 2 2" xfId="10211"/>
    <cellStyle name="T_BPhu PNN 13 3" xfId="9160"/>
    <cellStyle name="T_BPhu PNN 14" xfId="4478"/>
    <cellStyle name="T_BPhu PNN 14 2" xfId="5557"/>
    <cellStyle name="T_BPhu PNN 14 2 2" xfId="10212"/>
    <cellStyle name="T_BPhu PNN 14 3" xfId="9161"/>
    <cellStyle name="T_BPhu PNN 15" xfId="4479"/>
    <cellStyle name="T_BPhu PNN 15 2" xfId="5558"/>
    <cellStyle name="T_BPhu PNN 15 2 2" xfId="10213"/>
    <cellStyle name="T_BPhu PNN 15 3" xfId="9162"/>
    <cellStyle name="T_BPhu PNN 16" xfId="4480"/>
    <cellStyle name="T_BPhu PNN 16 2" xfId="5559"/>
    <cellStyle name="T_BPhu PNN 16 2 2" xfId="10214"/>
    <cellStyle name="T_BPhu PNN 16 3" xfId="9163"/>
    <cellStyle name="T_BPhu PNN 17" xfId="4481"/>
    <cellStyle name="T_BPhu PNN 17 2" xfId="5560"/>
    <cellStyle name="T_BPhu PNN 17 2 2" xfId="10215"/>
    <cellStyle name="T_BPhu PNN 17 3" xfId="9164"/>
    <cellStyle name="T_BPhu PNN 18" xfId="4482"/>
    <cellStyle name="T_BPhu PNN 18 2" xfId="5561"/>
    <cellStyle name="T_BPhu PNN 18 2 2" xfId="10216"/>
    <cellStyle name="T_BPhu PNN 18 3" xfId="9165"/>
    <cellStyle name="T_BPhu PNN 19" xfId="4483"/>
    <cellStyle name="T_BPhu PNN 19 2" xfId="5562"/>
    <cellStyle name="T_BPhu PNN 19 2 2" xfId="10217"/>
    <cellStyle name="T_BPhu PNN 19 3" xfId="9166"/>
    <cellStyle name="T_BPhu PNN 2" xfId="4484"/>
    <cellStyle name="T_BPhu PNN 2 2" xfId="5563"/>
    <cellStyle name="T_BPhu PNN 2 2 2" xfId="10218"/>
    <cellStyle name="T_BPhu PNN 2 3" xfId="9167"/>
    <cellStyle name="T_BPhu PNN 20" xfId="4485"/>
    <cellStyle name="T_BPhu PNN 20 2" xfId="5564"/>
    <cellStyle name="T_BPhu PNN 20 2 2" xfId="10219"/>
    <cellStyle name="T_BPhu PNN 20 3" xfId="9168"/>
    <cellStyle name="T_BPhu PNN 21" xfId="4486"/>
    <cellStyle name="T_BPhu PNN 21 2" xfId="5565"/>
    <cellStyle name="T_BPhu PNN 21 2 2" xfId="10220"/>
    <cellStyle name="T_BPhu PNN 21 3" xfId="9169"/>
    <cellStyle name="T_BPhu PNN 22" xfId="5552"/>
    <cellStyle name="T_BPhu PNN 22 2" xfId="10207"/>
    <cellStyle name="T_BPhu PNN 23" xfId="9156"/>
    <cellStyle name="T_BPhu PNN 3" xfId="4487"/>
    <cellStyle name="T_BPhu PNN 3 2" xfId="5566"/>
    <cellStyle name="T_BPhu PNN 3 2 2" xfId="10221"/>
    <cellStyle name="T_BPhu PNN 3 3" xfId="9170"/>
    <cellStyle name="T_BPhu PNN 4" xfId="4488"/>
    <cellStyle name="T_BPhu PNN 4 2" xfId="5567"/>
    <cellStyle name="T_BPhu PNN 4 2 2" xfId="10222"/>
    <cellStyle name="T_BPhu PNN 4 3" xfId="9171"/>
    <cellStyle name="T_BPhu PNN 5" xfId="4489"/>
    <cellStyle name="T_BPhu PNN 5 2" xfId="5568"/>
    <cellStyle name="T_BPhu PNN 5 2 2" xfId="10223"/>
    <cellStyle name="T_BPhu PNN 5 3" xfId="9172"/>
    <cellStyle name="T_BPhu PNN 6" xfId="4490"/>
    <cellStyle name="T_BPhu PNN 6 2" xfId="5569"/>
    <cellStyle name="T_BPhu PNN 6 2 2" xfId="10224"/>
    <cellStyle name="T_BPhu PNN 6 3" xfId="9173"/>
    <cellStyle name="T_BPhu PNN 7" xfId="4491"/>
    <cellStyle name="T_BPhu PNN 7 2" xfId="5570"/>
    <cellStyle name="T_BPhu PNN 7 2 2" xfId="10225"/>
    <cellStyle name="T_BPhu PNN 7 3" xfId="9174"/>
    <cellStyle name="T_BPhu PNN 8" xfId="4492"/>
    <cellStyle name="T_BPhu PNN 8 2" xfId="5571"/>
    <cellStyle name="T_BPhu PNN 8 2 2" xfId="10226"/>
    <cellStyle name="T_BPhu PNN 8 3" xfId="9175"/>
    <cellStyle name="T_BPhu PNN 9" xfId="4493"/>
    <cellStyle name="T_BPhu PNN 9 2" xfId="5572"/>
    <cellStyle name="T_BPhu PNN 9 2 2" xfId="10227"/>
    <cellStyle name="T_BPhu PNN 9 3" xfId="9176"/>
    <cellStyle name="T_CAN" xfId="4494"/>
    <cellStyle name="T_CAN 10" xfId="4495"/>
    <cellStyle name="T_CAN 10 2" xfId="5574"/>
    <cellStyle name="T_CAN 10 2 2" xfId="10229"/>
    <cellStyle name="T_CAN 10 3" xfId="9178"/>
    <cellStyle name="T_CAN 11" xfId="4496"/>
    <cellStyle name="T_CAN 11 2" xfId="5575"/>
    <cellStyle name="T_CAN 11 2 2" xfId="10230"/>
    <cellStyle name="T_CAN 11 3" xfId="9179"/>
    <cellStyle name="T_CAN 12" xfId="4497"/>
    <cellStyle name="T_CAN 12 2" xfId="5576"/>
    <cellStyle name="T_CAN 12 2 2" xfId="10231"/>
    <cellStyle name="T_CAN 12 3" xfId="9180"/>
    <cellStyle name="T_CAN 13" xfId="4498"/>
    <cellStyle name="T_CAN 13 2" xfId="5577"/>
    <cellStyle name="T_CAN 13 2 2" xfId="10232"/>
    <cellStyle name="T_CAN 13 3" xfId="9181"/>
    <cellStyle name="T_CAN 14" xfId="4499"/>
    <cellStyle name="T_CAN 14 2" xfId="5578"/>
    <cellStyle name="T_CAN 14 2 2" xfId="10233"/>
    <cellStyle name="T_CAN 14 3" xfId="9182"/>
    <cellStyle name="T_CAN 15" xfId="4500"/>
    <cellStyle name="T_CAN 15 2" xfId="5579"/>
    <cellStyle name="T_CAN 15 2 2" xfId="10234"/>
    <cellStyle name="T_CAN 15 3" xfId="9183"/>
    <cellStyle name="T_CAN 16" xfId="4501"/>
    <cellStyle name="T_CAN 16 2" xfId="5580"/>
    <cellStyle name="T_CAN 16 2 2" xfId="10235"/>
    <cellStyle name="T_CAN 16 3" xfId="9184"/>
    <cellStyle name="T_CAN 17" xfId="4502"/>
    <cellStyle name="T_CAN 17 2" xfId="5581"/>
    <cellStyle name="T_CAN 17 2 2" xfId="10236"/>
    <cellStyle name="T_CAN 17 3" xfId="9185"/>
    <cellStyle name="T_CAN 18" xfId="4503"/>
    <cellStyle name="T_CAN 18 2" xfId="5582"/>
    <cellStyle name="T_CAN 18 2 2" xfId="10237"/>
    <cellStyle name="T_CAN 18 3" xfId="9186"/>
    <cellStyle name="T_CAN 19" xfId="4504"/>
    <cellStyle name="T_CAN 19 2" xfId="5583"/>
    <cellStyle name="T_CAN 19 2 2" xfId="10238"/>
    <cellStyle name="T_CAN 19 3" xfId="9187"/>
    <cellStyle name="T_CAN 2" xfId="4505"/>
    <cellStyle name="T_CAN 2 2" xfId="5584"/>
    <cellStyle name="T_CAN 2 2 2" xfId="10239"/>
    <cellStyle name="T_CAN 2 3" xfId="9188"/>
    <cellStyle name="T_CAN 20" xfId="4506"/>
    <cellStyle name="T_CAN 20 2" xfId="5585"/>
    <cellStyle name="T_CAN 20 2 2" xfId="10240"/>
    <cellStyle name="T_CAN 20 3" xfId="9189"/>
    <cellStyle name="T_CAN 21" xfId="4507"/>
    <cellStyle name="T_CAN 21 2" xfId="5586"/>
    <cellStyle name="T_CAN 21 2 2" xfId="10241"/>
    <cellStyle name="T_CAN 21 3" xfId="9190"/>
    <cellStyle name="T_CAN 22" xfId="4508"/>
    <cellStyle name="T_CAN 22 2" xfId="5587"/>
    <cellStyle name="T_CAN 22 2 2" xfId="10242"/>
    <cellStyle name="T_CAN 22 3" xfId="9191"/>
    <cellStyle name="T_CAN 23" xfId="5573"/>
    <cellStyle name="T_CAN 23 2" xfId="10228"/>
    <cellStyle name="T_CAN 24" xfId="9177"/>
    <cellStyle name="T_CAN 3" xfId="4509"/>
    <cellStyle name="T_CAN 3 2" xfId="5588"/>
    <cellStyle name="T_CAN 3 2 2" xfId="10243"/>
    <cellStyle name="T_CAN 3 3" xfId="9192"/>
    <cellStyle name="T_CAN 4" xfId="4510"/>
    <cellStyle name="T_CAN 4 2" xfId="5589"/>
    <cellStyle name="T_CAN 4 2 2" xfId="10244"/>
    <cellStyle name="T_CAN 4 3" xfId="9193"/>
    <cellStyle name="T_CAN 5" xfId="4511"/>
    <cellStyle name="T_CAN 5 2" xfId="5590"/>
    <cellStyle name="T_CAN 5 2 2" xfId="10245"/>
    <cellStyle name="T_CAN 5 3" xfId="9194"/>
    <cellStyle name="T_CAN 6" xfId="4512"/>
    <cellStyle name="T_CAN 6 2" xfId="5591"/>
    <cellStyle name="T_CAN 6 2 2" xfId="10246"/>
    <cellStyle name="T_CAN 6 3" xfId="9195"/>
    <cellStyle name="T_CAN 7" xfId="4513"/>
    <cellStyle name="T_CAN 7 2" xfId="5592"/>
    <cellStyle name="T_CAN 7 2 2" xfId="10247"/>
    <cellStyle name="T_CAN 7 3" xfId="9196"/>
    <cellStyle name="T_CAN 8" xfId="4514"/>
    <cellStyle name="T_CAN 8 2" xfId="5593"/>
    <cellStyle name="T_CAN 8 2 2" xfId="10248"/>
    <cellStyle name="T_CAN 8 3" xfId="9197"/>
    <cellStyle name="T_CAN 9" xfId="4515"/>
    <cellStyle name="T_CAN 9 2" xfId="5594"/>
    <cellStyle name="T_CAN 9 2 2" xfId="10249"/>
    <cellStyle name="T_CAN 9 3" xfId="9198"/>
    <cellStyle name="T_CAN_1" xfId="4516"/>
    <cellStyle name="T_CAN_1 2" xfId="5595"/>
    <cellStyle name="T_CAN_1 2 2" xfId="10250"/>
    <cellStyle name="T_CAN_1 3" xfId="9199"/>
    <cellStyle name="T_CAN_1_CC 2016-2020" xfId="4517"/>
    <cellStyle name="T_CAN_1_CC 2016-2020 2" xfId="5596"/>
    <cellStyle name="T_CAN_1_CC 2016-2020 2 2" xfId="10251"/>
    <cellStyle name="T_CAN_1_CC 2016-2020 3" xfId="9200"/>
    <cellStyle name="T_CAN_1_LUC" xfId="4518"/>
    <cellStyle name="T_CAN_1_LUC 2" xfId="5597"/>
    <cellStyle name="T_CAN_1_LUC 2 2" xfId="10252"/>
    <cellStyle name="T_CAN_1_LUC 3" xfId="9201"/>
    <cellStyle name="T_Cong Hoa" xfId="4519"/>
    <cellStyle name="T_Cong Hoa 2" xfId="5598"/>
    <cellStyle name="T_Cong Hoa 2 2" xfId="10253"/>
    <cellStyle name="T_Cong Hoa 3" xfId="9202"/>
    <cellStyle name="T_CQP" xfId="4520"/>
    <cellStyle name="T_CQP 10" xfId="4521"/>
    <cellStyle name="T_CQP 10 2" xfId="5600"/>
    <cellStyle name="T_CQP 10 2 2" xfId="10255"/>
    <cellStyle name="T_CQP 10 3" xfId="9204"/>
    <cellStyle name="T_CQP 11" xfId="4522"/>
    <cellStyle name="T_CQP 11 2" xfId="5601"/>
    <cellStyle name="T_CQP 11 2 2" xfId="10256"/>
    <cellStyle name="T_CQP 11 3" xfId="9205"/>
    <cellStyle name="T_CQP 12" xfId="4523"/>
    <cellStyle name="T_CQP 12 2" xfId="5602"/>
    <cellStyle name="T_CQP 12 2 2" xfId="10257"/>
    <cellStyle name="T_CQP 12 3" xfId="9206"/>
    <cellStyle name="T_CQP 13" xfId="4524"/>
    <cellStyle name="T_CQP 13 2" xfId="5603"/>
    <cellStyle name="T_CQP 13 2 2" xfId="10258"/>
    <cellStyle name="T_CQP 13 3" xfId="9207"/>
    <cellStyle name="T_CQP 14" xfId="4525"/>
    <cellStyle name="T_CQP 14 2" xfId="5604"/>
    <cellStyle name="T_CQP 14 2 2" xfId="10259"/>
    <cellStyle name="T_CQP 14 3" xfId="9208"/>
    <cellStyle name="T_CQP 15" xfId="4526"/>
    <cellStyle name="T_CQP 15 2" xfId="5605"/>
    <cellStyle name="T_CQP 15 2 2" xfId="10260"/>
    <cellStyle name="T_CQP 15 3" xfId="9209"/>
    <cellStyle name="T_CQP 16" xfId="4527"/>
    <cellStyle name="T_CQP 16 2" xfId="5606"/>
    <cellStyle name="T_CQP 16 2 2" xfId="10261"/>
    <cellStyle name="T_CQP 16 3" xfId="9210"/>
    <cellStyle name="T_CQP 17" xfId="4528"/>
    <cellStyle name="T_CQP 17 2" xfId="5607"/>
    <cellStyle name="T_CQP 17 2 2" xfId="10262"/>
    <cellStyle name="T_CQP 17 3" xfId="9211"/>
    <cellStyle name="T_CQP 18" xfId="4529"/>
    <cellStyle name="T_CQP 18 2" xfId="5608"/>
    <cellStyle name="T_CQP 18 2 2" xfId="10263"/>
    <cellStyle name="T_CQP 18 3" xfId="9212"/>
    <cellStyle name="T_CQP 19" xfId="4530"/>
    <cellStyle name="T_CQP 19 2" xfId="5609"/>
    <cellStyle name="T_CQP 19 2 2" xfId="10264"/>
    <cellStyle name="T_CQP 19 3" xfId="9213"/>
    <cellStyle name="T_CQP 2" xfId="4531"/>
    <cellStyle name="T_CQP 2 2" xfId="5610"/>
    <cellStyle name="T_CQP 2 2 2" xfId="10265"/>
    <cellStyle name="T_CQP 2 3" xfId="9214"/>
    <cellStyle name="T_CQP 20" xfId="4532"/>
    <cellStyle name="T_CQP 20 2" xfId="5611"/>
    <cellStyle name="T_CQP 20 2 2" xfId="10266"/>
    <cellStyle name="T_CQP 20 3" xfId="9215"/>
    <cellStyle name="T_CQP 21" xfId="4533"/>
    <cellStyle name="T_CQP 21 2" xfId="5612"/>
    <cellStyle name="T_CQP 21 2 2" xfId="10267"/>
    <cellStyle name="T_CQP 21 3" xfId="9216"/>
    <cellStyle name="T_CQP 22" xfId="4534"/>
    <cellStyle name="T_CQP 22 2" xfId="5613"/>
    <cellStyle name="T_CQP 22 2 2" xfId="10268"/>
    <cellStyle name="T_CQP 22 3" xfId="9217"/>
    <cellStyle name="T_CQP 23" xfId="5599"/>
    <cellStyle name="T_CQP 23 2" xfId="10254"/>
    <cellStyle name="T_CQP 24" xfId="9203"/>
    <cellStyle name="T_CQP 3" xfId="4535"/>
    <cellStyle name="T_CQP 3 2" xfId="5614"/>
    <cellStyle name="T_CQP 3 2 2" xfId="10269"/>
    <cellStyle name="T_CQP 3 3" xfId="9218"/>
    <cellStyle name="T_CQP 4" xfId="4536"/>
    <cellStyle name="T_CQP 4 2" xfId="5615"/>
    <cellStyle name="T_CQP 4 2 2" xfId="10270"/>
    <cellStyle name="T_CQP 4 3" xfId="9219"/>
    <cellStyle name="T_CQP 5" xfId="4537"/>
    <cellStyle name="T_CQP 5 2" xfId="5616"/>
    <cellStyle name="T_CQP 5 2 2" xfId="10271"/>
    <cellStyle name="T_CQP 5 3" xfId="9220"/>
    <cellStyle name="T_CQP 6" xfId="4538"/>
    <cellStyle name="T_CQP 6 2" xfId="5617"/>
    <cellStyle name="T_CQP 6 2 2" xfId="10272"/>
    <cellStyle name="T_CQP 6 3" xfId="9221"/>
    <cellStyle name="T_CQP 7" xfId="4539"/>
    <cellStyle name="T_CQP 7 2" xfId="5618"/>
    <cellStyle name="T_CQP 7 2 2" xfId="10273"/>
    <cellStyle name="T_CQP 7 3" xfId="9222"/>
    <cellStyle name="T_CQP 8" xfId="4540"/>
    <cellStyle name="T_CQP 8 2" xfId="5619"/>
    <cellStyle name="T_CQP 8 2 2" xfId="10274"/>
    <cellStyle name="T_CQP 8 3" xfId="9223"/>
    <cellStyle name="T_CQP 9" xfId="4541"/>
    <cellStyle name="T_CQP 9 2" xfId="5620"/>
    <cellStyle name="T_CQP 9 2 2" xfId="10275"/>
    <cellStyle name="T_CQP 9 3" xfId="9224"/>
    <cellStyle name="T_CQP,CAN" xfId="4542"/>
    <cellStyle name="T_CQP,CAN 10" xfId="4543"/>
    <cellStyle name="T_CQP,CAN 10 2" xfId="5622"/>
    <cellStyle name="T_CQP,CAN 10 2 2" xfId="10277"/>
    <cellStyle name="T_CQP,CAN 10 3" xfId="9226"/>
    <cellStyle name="T_CQP,CAN 11" xfId="4544"/>
    <cellStyle name="T_CQP,CAN 11 2" xfId="5623"/>
    <cellStyle name="T_CQP,CAN 11 2 2" xfId="10278"/>
    <cellStyle name="T_CQP,CAN 11 3" xfId="9227"/>
    <cellStyle name="T_CQP,CAN 12" xfId="4545"/>
    <cellStyle name="T_CQP,CAN 12 2" xfId="5624"/>
    <cellStyle name="T_CQP,CAN 12 2 2" xfId="10279"/>
    <cellStyle name="T_CQP,CAN 12 3" xfId="9228"/>
    <cellStyle name="T_CQP,CAN 13" xfId="4546"/>
    <cellStyle name="T_CQP,CAN 13 2" xfId="5625"/>
    <cellStyle name="T_CQP,CAN 13 2 2" xfId="10280"/>
    <cellStyle name="T_CQP,CAN 13 3" xfId="9229"/>
    <cellStyle name="T_CQP,CAN 14" xfId="4547"/>
    <cellStyle name="T_CQP,CAN 14 2" xfId="5626"/>
    <cellStyle name="T_CQP,CAN 14 2 2" xfId="10281"/>
    <cellStyle name="T_CQP,CAN 14 3" xfId="9230"/>
    <cellStyle name="T_CQP,CAN 15" xfId="4548"/>
    <cellStyle name="T_CQP,CAN 15 2" xfId="5627"/>
    <cellStyle name="T_CQP,CAN 15 2 2" xfId="10282"/>
    <cellStyle name="T_CQP,CAN 15 3" xfId="9231"/>
    <cellStyle name="T_CQP,CAN 16" xfId="4549"/>
    <cellStyle name="T_CQP,CAN 16 2" xfId="5628"/>
    <cellStyle name="T_CQP,CAN 16 2 2" xfId="10283"/>
    <cellStyle name="T_CQP,CAN 16 3" xfId="9232"/>
    <cellStyle name="T_CQP,CAN 17" xfId="4550"/>
    <cellStyle name="T_CQP,CAN 17 2" xfId="5629"/>
    <cellStyle name="T_CQP,CAN 17 2 2" xfId="10284"/>
    <cellStyle name="T_CQP,CAN 17 3" xfId="9233"/>
    <cellStyle name="T_CQP,CAN 18" xfId="4551"/>
    <cellStyle name="T_CQP,CAN 18 2" xfId="5630"/>
    <cellStyle name="T_CQP,CAN 18 2 2" xfId="10285"/>
    <cellStyle name="T_CQP,CAN 18 3" xfId="9234"/>
    <cellStyle name="T_CQP,CAN 19" xfId="4552"/>
    <cellStyle name="T_CQP,CAN 19 2" xfId="5631"/>
    <cellStyle name="T_CQP,CAN 19 2 2" xfId="10286"/>
    <cellStyle name="T_CQP,CAN 19 3" xfId="9235"/>
    <cellStyle name="T_CQP,CAN 2" xfId="4553"/>
    <cellStyle name="T_CQP,CAN 2 2" xfId="5632"/>
    <cellStyle name="T_CQP,CAN 2 2 2" xfId="10287"/>
    <cellStyle name="T_CQP,CAN 2 3" xfId="9236"/>
    <cellStyle name="T_CQP,CAN 20" xfId="4554"/>
    <cellStyle name="T_CQP,CAN 20 2" xfId="5633"/>
    <cellStyle name="T_CQP,CAN 20 2 2" xfId="10288"/>
    <cellStyle name="T_CQP,CAN 20 3" xfId="9237"/>
    <cellStyle name="T_CQP,CAN 21" xfId="4555"/>
    <cellStyle name="T_CQP,CAN 21 2" xfId="5634"/>
    <cellStyle name="T_CQP,CAN 21 2 2" xfId="10289"/>
    <cellStyle name="T_CQP,CAN 21 3" xfId="9238"/>
    <cellStyle name="T_CQP,CAN 22" xfId="4556"/>
    <cellStyle name="T_CQP,CAN 22 2" xfId="5635"/>
    <cellStyle name="T_CQP,CAN 22 2 2" xfId="10290"/>
    <cellStyle name="T_CQP,CAN 22 3" xfId="9239"/>
    <cellStyle name="T_CQP,CAN 23" xfId="5621"/>
    <cellStyle name="T_CQP,CAN 23 2" xfId="10276"/>
    <cellStyle name="T_CQP,CAN 24" xfId="9225"/>
    <cellStyle name="T_CQP,CAN 3" xfId="4557"/>
    <cellStyle name="T_CQP,CAN 3 2" xfId="5636"/>
    <cellStyle name="T_CQP,CAN 3 2 2" xfId="10291"/>
    <cellStyle name="T_CQP,CAN 3 3" xfId="9240"/>
    <cellStyle name="T_CQP,CAN 4" xfId="4558"/>
    <cellStyle name="T_CQP,CAN 4 2" xfId="5637"/>
    <cellStyle name="T_CQP,CAN 4 2 2" xfId="10292"/>
    <cellStyle name="T_CQP,CAN 4 3" xfId="9241"/>
    <cellStyle name="T_CQP,CAN 5" xfId="4559"/>
    <cellStyle name="T_CQP,CAN 5 2" xfId="5638"/>
    <cellStyle name="T_CQP,CAN 5 2 2" xfId="10293"/>
    <cellStyle name="T_CQP,CAN 5 3" xfId="9242"/>
    <cellStyle name="T_CQP,CAN 6" xfId="4560"/>
    <cellStyle name="T_CQP,CAN 6 2" xfId="5639"/>
    <cellStyle name="T_CQP,CAN 6 2 2" xfId="10294"/>
    <cellStyle name="T_CQP,CAN 6 3" xfId="9243"/>
    <cellStyle name="T_CQP,CAN 7" xfId="4561"/>
    <cellStyle name="T_CQP,CAN 7 2" xfId="5640"/>
    <cellStyle name="T_CQP,CAN 7 2 2" xfId="10295"/>
    <cellStyle name="T_CQP,CAN 7 3" xfId="9244"/>
    <cellStyle name="T_CQP,CAN 8" xfId="4562"/>
    <cellStyle name="T_CQP,CAN 8 2" xfId="5641"/>
    <cellStyle name="T_CQP,CAN 8 2 2" xfId="10296"/>
    <cellStyle name="T_CQP,CAN 8 3" xfId="9245"/>
    <cellStyle name="T_CQP,CAN 9" xfId="4563"/>
    <cellStyle name="T_CQP,CAN 9 2" xfId="5642"/>
    <cellStyle name="T_CQP,CAN 9 2 2" xfId="10297"/>
    <cellStyle name="T_CQP,CAN 9 3" xfId="9246"/>
    <cellStyle name="T_ĐAI XUYEN" xfId="4564"/>
    <cellStyle name="T_ĐAI XUYEN 2" xfId="5643"/>
    <cellStyle name="T_ĐAI XUYEN 2 2" xfId="10298"/>
    <cellStyle name="T_ĐAI XUYEN 3" xfId="9247"/>
    <cellStyle name="T_ĐAI XUYEN_CC 2016-2020" xfId="4565"/>
    <cellStyle name="T_ĐAI XUYEN_CC 2016-2020 2" xfId="5644"/>
    <cellStyle name="T_ĐAI XUYEN_CC 2016-2020 2 2" xfId="10299"/>
    <cellStyle name="T_ĐAI XUYEN_CC 2016-2020 3" xfId="9248"/>
    <cellStyle name="T_ĐAI XUYEN_LUC" xfId="4566"/>
    <cellStyle name="T_ĐAI XUYEN_LUC 2" xfId="5645"/>
    <cellStyle name="T_ĐAI XUYEN_LUC 2 2" xfId="10300"/>
    <cellStyle name="T_ĐAI XUYEN_LUC 3" xfId="9249"/>
    <cellStyle name="T_DANHMUCCONGTRINH" xfId="4567"/>
    <cellStyle name="T_DANHMUCCONGTRINH 2" xfId="5646"/>
    <cellStyle name="T_DANHMUCCONGTRINH 2 2" xfId="10301"/>
    <cellStyle name="T_DANHMUCCONGTRINH 3" xfId="9250"/>
    <cellStyle name="T_DDT" xfId="4568"/>
    <cellStyle name="T_DDT 10" xfId="4569"/>
    <cellStyle name="T_DDT 10 2" xfId="5648"/>
    <cellStyle name="T_DDT 10 2 2" xfId="10303"/>
    <cellStyle name="T_DDT 10 3" xfId="9252"/>
    <cellStyle name="T_DDT 11" xfId="4570"/>
    <cellStyle name="T_DDT 11 2" xfId="5649"/>
    <cellStyle name="T_DDT 11 2 2" xfId="10304"/>
    <cellStyle name="T_DDT 11 3" xfId="9253"/>
    <cellStyle name="T_DDT 12" xfId="4571"/>
    <cellStyle name="T_DDT 12 2" xfId="5650"/>
    <cellStyle name="T_DDT 12 2 2" xfId="10305"/>
    <cellStyle name="T_DDT 12 3" xfId="9254"/>
    <cellStyle name="T_DDT 13" xfId="4572"/>
    <cellStyle name="T_DDT 13 2" xfId="5651"/>
    <cellStyle name="T_DDT 13 2 2" xfId="10306"/>
    <cellStyle name="T_DDT 13 3" xfId="9255"/>
    <cellStyle name="T_DDT 14" xfId="4573"/>
    <cellStyle name="T_DDT 14 2" xfId="5652"/>
    <cellStyle name="T_DDT 14 2 2" xfId="10307"/>
    <cellStyle name="T_DDT 14 3" xfId="9256"/>
    <cellStyle name="T_DDT 15" xfId="4574"/>
    <cellStyle name="T_DDT 15 2" xfId="5653"/>
    <cellStyle name="T_DDT 15 2 2" xfId="10308"/>
    <cellStyle name="T_DDT 15 3" xfId="9257"/>
    <cellStyle name="T_DDT 16" xfId="4575"/>
    <cellStyle name="T_DDT 16 2" xfId="5654"/>
    <cellStyle name="T_DDT 16 2 2" xfId="10309"/>
    <cellStyle name="T_DDT 16 3" xfId="9258"/>
    <cellStyle name="T_DDT 17" xfId="4576"/>
    <cellStyle name="T_DDT 17 2" xfId="5655"/>
    <cellStyle name="T_DDT 17 2 2" xfId="10310"/>
    <cellStyle name="T_DDT 17 3" xfId="9259"/>
    <cellStyle name="T_DDT 18" xfId="4577"/>
    <cellStyle name="T_DDT 18 2" xfId="5656"/>
    <cellStyle name="T_DDT 18 2 2" xfId="10311"/>
    <cellStyle name="T_DDT 18 3" xfId="9260"/>
    <cellStyle name="T_DDT 19" xfId="4578"/>
    <cellStyle name="T_DDT 19 2" xfId="5657"/>
    <cellStyle name="T_DDT 19 2 2" xfId="10312"/>
    <cellStyle name="T_DDT 19 3" xfId="9261"/>
    <cellStyle name="T_DDT 2" xfId="4579"/>
    <cellStyle name="T_DDT 2 2" xfId="5658"/>
    <cellStyle name="T_DDT 2 2 2" xfId="10313"/>
    <cellStyle name="T_DDT 2 3" xfId="9262"/>
    <cellStyle name="T_DDT 20" xfId="4580"/>
    <cellStyle name="T_DDT 20 2" xfId="5659"/>
    <cellStyle name="T_DDT 20 2 2" xfId="10314"/>
    <cellStyle name="T_DDT 20 3" xfId="9263"/>
    <cellStyle name="T_DDT 21" xfId="4581"/>
    <cellStyle name="T_DDT 21 2" xfId="5660"/>
    <cellStyle name="T_DDT 21 2 2" xfId="10315"/>
    <cellStyle name="T_DDT 21 3" xfId="9264"/>
    <cellStyle name="T_DDT 22" xfId="4582"/>
    <cellStyle name="T_DDT 22 2" xfId="5661"/>
    <cellStyle name="T_DDT 22 2 2" xfId="10316"/>
    <cellStyle name="T_DDT 22 3" xfId="9265"/>
    <cellStyle name="T_DDT 23" xfId="5647"/>
    <cellStyle name="T_DDT 23 2" xfId="10302"/>
    <cellStyle name="T_DDT 24" xfId="9251"/>
    <cellStyle name="T_DDT 3" xfId="4583"/>
    <cellStyle name="T_DDT 3 2" xfId="5662"/>
    <cellStyle name="T_DDT 3 2 2" xfId="10317"/>
    <cellStyle name="T_DDT 3 3" xfId="9266"/>
    <cellStyle name="T_DDT 4" xfId="4584"/>
    <cellStyle name="T_DDT 4 2" xfId="5663"/>
    <cellStyle name="T_DDT 4 2 2" xfId="10318"/>
    <cellStyle name="T_DDT 4 3" xfId="9267"/>
    <cellStyle name="T_DDT 5" xfId="4585"/>
    <cellStyle name="T_DDT 5 2" xfId="5664"/>
    <cellStyle name="T_DDT 5 2 2" xfId="10319"/>
    <cellStyle name="T_DDT 5 3" xfId="9268"/>
    <cellStyle name="T_DDT 6" xfId="4586"/>
    <cellStyle name="T_DDT 6 2" xfId="5665"/>
    <cellStyle name="T_DDT 6 2 2" xfId="10320"/>
    <cellStyle name="T_DDT 6 3" xfId="9269"/>
    <cellStyle name="T_DDT 7" xfId="4587"/>
    <cellStyle name="T_DDT 7 2" xfId="5666"/>
    <cellStyle name="T_DDT 7 2 2" xfId="10321"/>
    <cellStyle name="T_DDT 7 3" xfId="9270"/>
    <cellStyle name="T_DDT 8" xfId="4588"/>
    <cellStyle name="T_DDT 8 2" xfId="5667"/>
    <cellStyle name="T_DDT 8 2 2" xfId="10322"/>
    <cellStyle name="T_DDT 8 3" xfId="9271"/>
    <cellStyle name="T_DDT 9" xfId="4589"/>
    <cellStyle name="T_DDT 9 2" xfId="5668"/>
    <cellStyle name="T_DDT 9 2 2" xfId="10323"/>
    <cellStyle name="T_DDT 9 3" xfId="9272"/>
    <cellStyle name="T_DGD" xfId="4590"/>
    <cellStyle name="T_DGD 10" xfId="4591"/>
    <cellStyle name="T_DGD 10 2" xfId="5670"/>
    <cellStyle name="T_DGD 10 2 2" xfId="10325"/>
    <cellStyle name="T_DGD 10 3" xfId="9274"/>
    <cellStyle name="T_DGD 11" xfId="4592"/>
    <cellStyle name="T_DGD 11 2" xfId="5671"/>
    <cellStyle name="T_DGD 11 2 2" xfId="10326"/>
    <cellStyle name="T_DGD 11 3" xfId="9275"/>
    <cellStyle name="T_DGD 12" xfId="4593"/>
    <cellStyle name="T_DGD 12 2" xfId="5672"/>
    <cellStyle name="T_DGD 12 2 2" xfId="10327"/>
    <cellStyle name="T_DGD 12 3" xfId="9276"/>
    <cellStyle name="T_DGD 13" xfId="4594"/>
    <cellStyle name="T_DGD 13 2" xfId="5673"/>
    <cellStyle name="T_DGD 13 2 2" xfId="10328"/>
    <cellStyle name="T_DGD 13 3" xfId="9277"/>
    <cellStyle name="T_DGD 14" xfId="4595"/>
    <cellStyle name="T_DGD 14 2" xfId="5674"/>
    <cellStyle name="T_DGD 14 2 2" xfId="10329"/>
    <cellStyle name="T_DGD 14 3" xfId="9278"/>
    <cellStyle name="T_DGD 15" xfId="4596"/>
    <cellStyle name="T_DGD 15 2" xfId="5675"/>
    <cellStyle name="T_DGD 15 2 2" xfId="10330"/>
    <cellStyle name="T_DGD 15 3" xfId="9279"/>
    <cellStyle name="T_DGD 16" xfId="4597"/>
    <cellStyle name="T_DGD 16 2" xfId="5676"/>
    <cellStyle name="T_DGD 16 2 2" xfId="10331"/>
    <cellStyle name="T_DGD 16 3" xfId="9280"/>
    <cellStyle name="T_DGD 17" xfId="4598"/>
    <cellStyle name="T_DGD 17 2" xfId="5677"/>
    <cellStyle name="T_DGD 17 2 2" xfId="10332"/>
    <cellStyle name="T_DGD 17 3" xfId="9281"/>
    <cellStyle name="T_DGD 18" xfId="4599"/>
    <cellStyle name="T_DGD 18 2" xfId="5678"/>
    <cellStyle name="T_DGD 18 2 2" xfId="10333"/>
    <cellStyle name="T_DGD 18 3" xfId="9282"/>
    <cellStyle name="T_DGD 19" xfId="4600"/>
    <cellStyle name="T_DGD 19 2" xfId="5679"/>
    <cellStyle name="T_DGD 19 2 2" xfId="10334"/>
    <cellStyle name="T_DGD 19 3" xfId="9283"/>
    <cellStyle name="T_DGD 2" xfId="4601"/>
    <cellStyle name="T_DGD 2 2" xfId="5680"/>
    <cellStyle name="T_DGD 2 2 2" xfId="10335"/>
    <cellStyle name="T_DGD 2 3" xfId="9284"/>
    <cellStyle name="T_DGD 20" xfId="4602"/>
    <cellStyle name="T_DGD 20 2" xfId="5681"/>
    <cellStyle name="T_DGD 20 2 2" xfId="10336"/>
    <cellStyle name="T_DGD 20 3" xfId="9285"/>
    <cellStyle name="T_DGD 21" xfId="4603"/>
    <cellStyle name="T_DGD 21 2" xfId="5682"/>
    <cellStyle name="T_DGD 21 2 2" xfId="10337"/>
    <cellStyle name="T_DGD 21 3" xfId="9286"/>
    <cellStyle name="T_DGD 22" xfId="4604"/>
    <cellStyle name="T_DGD 22 2" xfId="5683"/>
    <cellStyle name="T_DGD 22 2 2" xfId="10338"/>
    <cellStyle name="T_DGD 22 3" xfId="9287"/>
    <cellStyle name="T_DGD 23" xfId="5669"/>
    <cellStyle name="T_DGD 23 2" xfId="10324"/>
    <cellStyle name="T_DGD 24" xfId="9273"/>
    <cellStyle name="T_DGD 3" xfId="4605"/>
    <cellStyle name="T_DGD 3 2" xfId="5684"/>
    <cellStyle name="T_DGD 3 2 2" xfId="10339"/>
    <cellStyle name="T_DGD 3 3" xfId="9288"/>
    <cellStyle name="T_DGD 4" xfId="4606"/>
    <cellStyle name="T_DGD 4 2" xfId="5685"/>
    <cellStyle name="T_DGD 4 2 2" xfId="10340"/>
    <cellStyle name="T_DGD 4 3" xfId="9289"/>
    <cellStyle name="T_DGD 5" xfId="4607"/>
    <cellStyle name="T_DGD 5 2" xfId="5686"/>
    <cellStyle name="T_DGD 5 2 2" xfId="10341"/>
    <cellStyle name="T_DGD 5 3" xfId="9290"/>
    <cellStyle name="T_DGD 6" xfId="4608"/>
    <cellStyle name="T_DGD 6 2" xfId="5687"/>
    <cellStyle name="T_DGD 6 2 2" xfId="10342"/>
    <cellStyle name="T_DGD 6 3" xfId="9291"/>
    <cellStyle name="T_DGD 7" xfId="4609"/>
    <cellStyle name="T_DGD 7 2" xfId="5688"/>
    <cellStyle name="T_DGD 7 2 2" xfId="10343"/>
    <cellStyle name="T_DGD 7 3" xfId="9292"/>
    <cellStyle name="T_DGD 8" xfId="4610"/>
    <cellStyle name="T_DGD 8 2" xfId="5689"/>
    <cellStyle name="T_DGD 8 2 2" xfId="10344"/>
    <cellStyle name="T_DGD 8 3" xfId="9293"/>
    <cellStyle name="T_DGD 9" xfId="4611"/>
    <cellStyle name="T_DGD 9 2" xfId="5690"/>
    <cellStyle name="T_DGD 9 2 2" xfId="10345"/>
    <cellStyle name="T_DGD 9 3" xfId="9294"/>
    <cellStyle name="T_DKH" xfId="4612"/>
    <cellStyle name="T_DKH 2" xfId="5691"/>
    <cellStyle name="T_DKH 2 2" xfId="10346"/>
    <cellStyle name="T_DKH 3" xfId="9295"/>
    <cellStyle name="T_DKH_CC 2016-2020" xfId="4613"/>
    <cellStyle name="T_DKH_CC 2016-2020 2" xfId="5692"/>
    <cellStyle name="T_DKH_CC 2016-2020 2 2" xfId="10347"/>
    <cellStyle name="T_DKH_CC 2016-2020 3" xfId="9296"/>
    <cellStyle name="T_DKH_LUC" xfId="4614"/>
    <cellStyle name="T_DKH_LUC 2" xfId="5693"/>
    <cellStyle name="T_DKH_LUC 2 2" xfId="10348"/>
    <cellStyle name="T_DKH_LUC 3" xfId="9297"/>
    <cellStyle name="T_DKV" xfId="4615"/>
    <cellStyle name="T_DKV 10" xfId="4616"/>
    <cellStyle name="T_DKV 10 2" xfId="5695"/>
    <cellStyle name="T_DKV 10 2 2" xfId="10350"/>
    <cellStyle name="T_DKV 10 3" xfId="9299"/>
    <cellStyle name="T_DKV 11" xfId="4617"/>
    <cellStyle name="T_DKV 11 2" xfId="5696"/>
    <cellStyle name="T_DKV 11 2 2" xfId="10351"/>
    <cellStyle name="T_DKV 11 3" xfId="9300"/>
    <cellStyle name="T_DKV 12" xfId="4618"/>
    <cellStyle name="T_DKV 12 2" xfId="5697"/>
    <cellStyle name="T_DKV 12 2 2" xfId="10352"/>
    <cellStyle name="T_DKV 12 3" xfId="9301"/>
    <cellStyle name="T_DKV 13" xfId="4619"/>
    <cellStyle name="T_DKV 13 2" xfId="5698"/>
    <cellStyle name="T_DKV 13 2 2" xfId="10353"/>
    <cellStyle name="T_DKV 13 3" xfId="9302"/>
    <cellStyle name="T_DKV 14" xfId="4620"/>
    <cellStyle name="T_DKV 14 2" xfId="5699"/>
    <cellStyle name="T_DKV 14 2 2" xfId="10354"/>
    <cellStyle name="T_DKV 14 3" xfId="9303"/>
    <cellStyle name="T_DKV 15" xfId="4621"/>
    <cellStyle name="T_DKV 15 2" xfId="5700"/>
    <cellStyle name="T_DKV 15 2 2" xfId="10355"/>
    <cellStyle name="T_DKV 15 3" xfId="9304"/>
    <cellStyle name="T_DKV 16" xfId="4622"/>
    <cellStyle name="T_DKV 16 2" xfId="5701"/>
    <cellStyle name="T_DKV 16 2 2" xfId="10356"/>
    <cellStyle name="T_DKV 16 3" xfId="9305"/>
    <cellStyle name="T_DKV 17" xfId="4623"/>
    <cellStyle name="T_DKV 17 2" xfId="5702"/>
    <cellStyle name="T_DKV 17 2 2" xfId="10357"/>
    <cellStyle name="T_DKV 17 3" xfId="9306"/>
    <cellStyle name="T_DKV 18" xfId="4624"/>
    <cellStyle name="T_DKV 18 2" xfId="5703"/>
    <cellStyle name="T_DKV 18 2 2" xfId="10358"/>
    <cellStyle name="T_DKV 18 3" xfId="9307"/>
    <cellStyle name="T_DKV 19" xfId="4625"/>
    <cellStyle name="T_DKV 19 2" xfId="5704"/>
    <cellStyle name="T_DKV 19 2 2" xfId="10359"/>
    <cellStyle name="T_DKV 19 3" xfId="9308"/>
    <cellStyle name="T_DKV 2" xfId="4626"/>
    <cellStyle name="T_DKV 2 2" xfId="5705"/>
    <cellStyle name="T_DKV 2 2 2" xfId="10360"/>
    <cellStyle name="T_DKV 2 3" xfId="9309"/>
    <cellStyle name="T_DKV 20" xfId="4627"/>
    <cellStyle name="T_DKV 20 2" xfId="5706"/>
    <cellStyle name="T_DKV 20 2 2" xfId="10361"/>
    <cellStyle name="T_DKV 20 3" xfId="9310"/>
    <cellStyle name="T_DKV 21" xfId="4628"/>
    <cellStyle name="T_DKV 21 2" xfId="5707"/>
    <cellStyle name="T_DKV 21 2 2" xfId="10362"/>
    <cellStyle name="T_DKV 21 3" xfId="9311"/>
    <cellStyle name="T_DKV 22" xfId="4629"/>
    <cellStyle name="T_DKV 22 2" xfId="5708"/>
    <cellStyle name="T_DKV 22 2 2" xfId="10363"/>
    <cellStyle name="T_DKV 22 3" xfId="9312"/>
    <cellStyle name="T_DKV 23" xfId="5694"/>
    <cellStyle name="T_DKV 23 2" xfId="10349"/>
    <cellStyle name="T_DKV 24" xfId="9298"/>
    <cellStyle name="T_DKV 3" xfId="4630"/>
    <cellStyle name="T_DKV 3 2" xfId="5709"/>
    <cellStyle name="T_DKV 3 2 2" xfId="10364"/>
    <cellStyle name="T_DKV 3 3" xfId="9313"/>
    <cellStyle name="T_DKV 4" xfId="4631"/>
    <cellStyle name="T_DKV 4 2" xfId="5710"/>
    <cellStyle name="T_DKV 4 2 2" xfId="10365"/>
    <cellStyle name="T_DKV 4 3" xfId="9314"/>
    <cellStyle name="T_DKV 5" xfId="4632"/>
    <cellStyle name="T_DKV 5 2" xfId="5711"/>
    <cellStyle name="T_DKV 5 2 2" xfId="10366"/>
    <cellStyle name="T_DKV 5 3" xfId="9315"/>
    <cellStyle name="T_DKV 6" xfId="4633"/>
    <cellStyle name="T_DKV 6 2" xfId="5712"/>
    <cellStyle name="T_DKV 6 2 2" xfId="10367"/>
    <cellStyle name="T_DKV 6 3" xfId="9316"/>
    <cellStyle name="T_DKV 7" xfId="4634"/>
    <cellStyle name="T_DKV 7 2" xfId="5713"/>
    <cellStyle name="T_DKV 7 2 2" xfId="10368"/>
    <cellStyle name="T_DKV 7 3" xfId="9317"/>
    <cellStyle name="T_DKV 8" xfId="4635"/>
    <cellStyle name="T_DKV 8 2" xfId="5714"/>
    <cellStyle name="T_DKV 8 2 2" xfId="10369"/>
    <cellStyle name="T_DKV 8 3" xfId="9318"/>
    <cellStyle name="T_DKV 9" xfId="4636"/>
    <cellStyle name="T_DKV 9 2" xfId="5715"/>
    <cellStyle name="T_DKV 9 2 2" xfId="10370"/>
    <cellStyle name="T_DKV 9 3" xfId="9319"/>
    <cellStyle name="T_ĐOAN KET" xfId="4637"/>
    <cellStyle name="T_ĐOAN KET 2" xfId="5716"/>
    <cellStyle name="T_ĐOAN KET 2 2" xfId="10371"/>
    <cellStyle name="T_ĐOAN KET 3" xfId="9320"/>
    <cellStyle name="T_ĐOAN KET_CC 2016-2020" xfId="4638"/>
    <cellStyle name="T_ĐOAN KET_CC 2016-2020 2" xfId="5717"/>
    <cellStyle name="T_ĐOAN KET_CC 2016-2020 2 2" xfId="10372"/>
    <cellStyle name="T_ĐOAN KET_CC 2016-2020 3" xfId="9321"/>
    <cellStyle name="T_ĐOAN KET_LUC" xfId="4639"/>
    <cellStyle name="T_ĐOAN KET_LUC 2" xfId="5718"/>
    <cellStyle name="T_ĐOAN KET_LUC 2 2" xfId="10373"/>
    <cellStyle name="T_ĐOAN KET_LUC 3" xfId="9322"/>
    <cellStyle name="T_Dong Mai" xfId="4640"/>
    <cellStyle name="T_Dong Mai 2" xfId="5719"/>
    <cellStyle name="T_Dong Mai 2 2" xfId="10374"/>
    <cellStyle name="T_Dong Mai 3" xfId="9323"/>
    <cellStyle name="T_ĐONG XA" xfId="4641"/>
    <cellStyle name="T_ĐONG XA 2" xfId="5720"/>
    <cellStyle name="T_ĐONG XA 2 2" xfId="10375"/>
    <cellStyle name="T_ĐONG XA 3" xfId="9324"/>
    <cellStyle name="T_ĐONG XA_CC 2016-2020" xfId="4642"/>
    <cellStyle name="T_ĐONG XA_CC 2016-2020 2" xfId="5721"/>
    <cellStyle name="T_ĐONG XA_CC 2016-2020 2 2" xfId="10376"/>
    <cellStyle name="T_ĐONG XA_CC 2016-2020 3" xfId="9325"/>
    <cellStyle name="T_ĐONG XA_LUC" xfId="4643"/>
    <cellStyle name="T_ĐONG XA_LUC 2" xfId="5722"/>
    <cellStyle name="T_ĐONG XA_LUC 2 2" xfId="10377"/>
    <cellStyle name="T_ĐONG XA_LUC 3" xfId="9326"/>
    <cellStyle name="T_DYT" xfId="4644"/>
    <cellStyle name="T_DYT 10" xfId="4645"/>
    <cellStyle name="T_DYT 10 2" xfId="5724"/>
    <cellStyle name="T_DYT 10 2 2" xfId="10379"/>
    <cellStyle name="T_DYT 10 3" xfId="9328"/>
    <cellStyle name="T_DYT 11" xfId="4646"/>
    <cellStyle name="T_DYT 11 2" xfId="5725"/>
    <cellStyle name="T_DYT 11 2 2" xfId="10380"/>
    <cellStyle name="T_DYT 11 3" xfId="9329"/>
    <cellStyle name="T_DYT 12" xfId="4647"/>
    <cellStyle name="T_DYT 12 2" xfId="5726"/>
    <cellStyle name="T_DYT 12 2 2" xfId="10381"/>
    <cellStyle name="T_DYT 12 3" xfId="9330"/>
    <cellStyle name="T_DYT 13" xfId="4648"/>
    <cellStyle name="T_DYT 13 2" xfId="5727"/>
    <cellStyle name="T_DYT 13 2 2" xfId="10382"/>
    <cellStyle name="T_DYT 13 3" xfId="9331"/>
    <cellStyle name="T_DYT 14" xfId="4649"/>
    <cellStyle name="T_DYT 14 2" xfId="5728"/>
    <cellStyle name="T_DYT 14 2 2" xfId="10383"/>
    <cellStyle name="T_DYT 14 3" xfId="9332"/>
    <cellStyle name="T_DYT 15" xfId="4650"/>
    <cellStyle name="T_DYT 15 2" xfId="5729"/>
    <cellStyle name="T_DYT 15 2 2" xfId="10384"/>
    <cellStyle name="T_DYT 15 3" xfId="9333"/>
    <cellStyle name="T_DYT 16" xfId="4651"/>
    <cellStyle name="T_DYT 16 2" xfId="5730"/>
    <cellStyle name="T_DYT 16 2 2" xfId="10385"/>
    <cellStyle name="T_DYT 16 3" xfId="9334"/>
    <cellStyle name="T_DYT 17" xfId="4652"/>
    <cellStyle name="T_DYT 17 2" xfId="5731"/>
    <cellStyle name="T_DYT 17 2 2" xfId="10386"/>
    <cellStyle name="T_DYT 17 3" xfId="9335"/>
    <cellStyle name="T_DYT 18" xfId="4653"/>
    <cellStyle name="T_DYT 18 2" xfId="5732"/>
    <cellStyle name="T_DYT 18 2 2" xfId="10387"/>
    <cellStyle name="T_DYT 18 3" xfId="9336"/>
    <cellStyle name="T_DYT 19" xfId="4654"/>
    <cellStyle name="T_DYT 19 2" xfId="5733"/>
    <cellStyle name="T_DYT 19 2 2" xfId="10388"/>
    <cellStyle name="T_DYT 19 3" xfId="9337"/>
    <cellStyle name="T_DYT 2" xfId="4655"/>
    <cellStyle name="T_DYT 2 2" xfId="5734"/>
    <cellStyle name="T_DYT 2 2 2" xfId="10389"/>
    <cellStyle name="T_DYT 2 3" xfId="9338"/>
    <cellStyle name="T_DYT 20" xfId="4656"/>
    <cellStyle name="T_DYT 20 2" xfId="5735"/>
    <cellStyle name="T_DYT 20 2 2" xfId="10390"/>
    <cellStyle name="T_DYT 20 3" xfId="9339"/>
    <cellStyle name="T_DYT 21" xfId="4657"/>
    <cellStyle name="T_DYT 21 2" xfId="5736"/>
    <cellStyle name="T_DYT 21 2 2" xfId="10391"/>
    <cellStyle name="T_DYT 21 3" xfId="9340"/>
    <cellStyle name="T_DYT 22" xfId="4658"/>
    <cellStyle name="T_DYT 22 2" xfId="5737"/>
    <cellStyle name="T_DYT 22 2 2" xfId="10392"/>
    <cellStyle name="T_DYT 22 3" xfId="9341"/>
    <cellStyle name="T_DYT 23" xfId="5723"/>
    <cellStyle name="T_DYT 23 2" xfId="10378"/>
    <cellStyle name="T_DYT 24" xfId="9327"/>
    <cellStyle name="T_DYT 3" xfId="4659"/>
    <cellStyle name="T_DYT 3 2" xfId="5738"/>
    <cellStyle name="T_DYT 3 2 2" xfId="10393"/>
    <cellStyle name="T_DYT 3 3" xfId="9342"/>
    <cellStyle name="T_DYT 4" xfId="4660"/>
    <cellStyle name="T_DYT 4 2" xfId="5739"/>
    <cellStyle name="T_DYT 4 2 2" xfId="10394"/>
    <cellStyle name="T_DYT 4 3" xfId="9343"/>
    <cellStyle name="T_DYT 5" xfId="4661"/>
    <cellStyle name="T_DYT 5 2" xfId="5740"/>
    <cellStyle name="T_DYT 5 2 2" xfId="10395"/>
    <cellStyle name="T_DYT 5 3" xfId="9344"/>
    <cellStyle name="T_DYT 6" xfId="4662"/>
    <cellStyle name="T_DYT 6 2" xfId="5741"/>
    <cellStyle name="T_DYT 6 2 2" xfId="10396"/>
    <cellStyle name="T_DYT 6 3" xfId="9345"/>
    <cellStyle name="T_DYT 7" xfId="4663"/>
    <cellStyle name="T_DYT 7 2" xfId="5742"/>
    <cellStyle name="T_DYT 7 2 2" xfId="10397"/>
    <cellStyle name="T_DYT 7 3" xfId="9346"/>
    <cellStyle name="T_DYT 8" xfId="4664"/>
    <cellStyle name="T_DYT 8 2" xfId="5743"/>
    <cellStyle name="T_DYT 8 2 2" xfId="10398"/>
    <cellStyle name="T_DYT 8 3" xfId="9347"/>
    <cellStyle name="T_DYT 9" xfId="4665"/>
    <cellStyle name="T_DYT 9 2" xfId="5744"/>
    <cellStyle name="T_DYT 9 2 2" xfId="10399"/>
    <cellStyle name="T_DYT 9 3" xfId="9348"/>
    <cellStyle name="T_Ha An" xfId="4666"/>
    <cellStyle name="T_Ha An 2" xfId="5745"/>
    <cellStyle name="T_Ha An 2 2" xfId="10400"/>
    <cellStyle name="T_Ha An 3" xfId="9349"/>
    <cellStyle name="T_HA LONG" xfId="4667"/>
    <cellStyle name="T_HA LONG 2" xfId="5746"/>
    <cellStyle name="T_HA LONG 2 2" xfId="10401"/>
    <cellStyle name="T_HA LONG 3" xfId="9350"/>
    <cellStyle name="T_HA LONG_CC 2016-2020" xfId="4668"/>
    <cellStyle name="T_HA LONG_CC 2016-2020 2" xfId="5747"/>
    <cellStyle name="T_HA LONG_CC 2016-2020 2 2" xfId="10402"/>
    <cellStyle name="T_HA LONG_CC 2016-2020 3" xfId="9351"/>
    <cellStyle name="T_HA LONG_LUC" xfId="4669"/>
    <cellStyle name="T_HA LONG_LUC 2" xfId="5748"/>
    <cellStyle name="T_HA LONG_LUC 2 2" xfId="10403"/>
    <cellStyle name="T_HA LONG_LUC 3" xfId="9352"/>
    <cellStyle name="T_MINH CHAU" xfId="4670"/>
    <cellStyle name="T_MINH CHAU 2" xfId="5749"/>
    <cellStyle name="T_MINH CHAU 2 2" xfId="10404"/>
    <cellStyle name="T_MINH CHAU 3" xfId="9353"/>
    <cellStyle name="T_MINH CHAU_CC 2016-2020" xfId="4671"/>
    <cellStyle name="T_MINH CHAU_CC 2016-2020 2" xfId="5750"/>
    <cellStyle name="T_MINH CHAU_CC 2016-2020 2 2" xfId="10405"/>
    <cellStyle name="T_MINH CHAU_CC 2016-2020 3" xfId="9354"/>
    <cellStyle name="T_MINH CHAU_LUC" xfId="4672"/>
    <cellStyle name="T_MINH CHAU_LUC 2" xfId="5751"/>
    <cellStyle name="T_MINH CHAU_LUC 2 2" xfId="10406"/>
    <cellStyle name="T_MINH CHAU_LUC 3" xfId="9355"/>
    <cellStyle name="T_Minh Thanh" xfId="4673"/>
    <cellStyle name="T_Minh Thanh 2" xfId="5752"/>
    <cellStyle name="T_Minh Thanh 2 2" xfId="10407"/>
    <cellStyle name="T_Minh Thanh 3" xfId="9356"/>
    <cellStyle name="T_nam 2016" xfId="4674"/>
    <cellStyle name="T_nam 2016 2" xfId="5753"/>
    <cellStyle name="T_nam 2016 2 2" xfId="10408"/>
    <cellStyle name="T_nam 2016 3" xfId="9357"/>
    <cellStyle name="T_nam 2017" xfId="4675"/>
    <cellStyle name="T_nam 2017 2" xfId="5754"/>
    <cellStyle name="T_nam 2017 2 2" xfId="10409"/>
    <cellStyle name="T_nam 2017 3" xfId="9358"/>
    <cellStyle name="T_Nam Hoa" xfId="4676"/>
    <cellStyle name="T_Nam Hoa 2" xfId="5755"/>
    <cellStyle name="T_Nam Hoa 2 2" xfId="10410"/>
    <cellStyle name="T_Nam Hoa 3" xfId="9359"/>
    <cellStyle name="T_NC moi" xfId="4677"/>
    <cellStyle name="T_NC moi 10" xfId="4678"/>
    <cellStyle name="T_NC moi 10 2" xfId="5757"/>
    <cellStyle name="T_NC moi 10 2 2" xfId="10412"/>
    <cellStyle name="T_NC moi 10 3" xfId="9361"/>
    <cellStyle name="T_NC moi 11" xfId="4679"/>
    <cellStyle name="T_NC moi 11 2" xfId="5758"/>
    <cellStyle name="T_NC moi 11 2 2" xfId="10413"/>
    <cellStyle name="T_NC moi 11 3" xfId="9362"/>
    <cellStyle name="T_NC moi 12" xfId="4680"/>
    <cellStyle name="T_NC moi 12 2" xfId="5759"/>
    <cellStyle name="T_NC moi 12 2 2" xfId="10414"/>
    <cellStyle name="T_NC moi 12 3" xfId="9363"/>
    <cellStyle name="T_NC moi 13" xfId="4681"/>
    <cellStyle name="T_NC moi 13 2" xfId="5760"/>
    <cellStyle name="T_NC moi 13 2 2" xfId="10415"/>
    <cellStyle name="T_NC moi 13 3" xfId="9364"/>
    <cellStyle name="T_NC moi 14" xfId="4682"/>
    <cellStyle name="T_NC moi 14 2" xfId="5761"/>
    <cellStyle name="T_NC moi 14 2 2" xfId="10416"/>
    <cellStyle name="T_NC moi 14 3" xfId="9365"/>
    <cellStyle name="T_NC moi 15" xfId="4683"/>
    <cellStyle name="T_NC moi 15 2" xfId="5762"/>
    <cellStyle name="T_NC moi 15 2 2" xfId="10417"/>
    <cellStyle name="T_NC moi 15 3" xfId="9366"/>
    <cellStyle name="T_NC moi 16" xfId="4684"/>
    <cellStyle name="T_NC moi 16 2" xfId="5763"/>
    <cellStyle name="T_NC moi 16 2 2" xfId="10418"/>
    <cellStyle name="T_NC moi 16 3" xfId="9367"/>
    <cellStyle name="T_NC moi 17" xfId="4685"/>
    <cellStyle name="T_NC moi 17 2" xfId="5764"/>
    <cellStyle name="T_NC moi 17 2 2" xfId="10419"/>
    <cellStyle name="T_NC moi 17 3" xfId="9368"/>
    <cellStyle name="T_NC moi 18" xfId="4686"/>
    <cellStyle name="T_NC moi 18 2" xfId="5765"/>
    <cellStyle name="T_NC moi 18 2 2" xfId="10420"/>
    <cellStyle name="T_NC moi 18 3" xfId="9369"/>
    <cellStyle name="T_NC moi 19" xfId="4687"/>
    <cellStyle name="T_NC moi 19 2" xfId="5766"/>
    <cellStyle name="T_NC moi 19 2 2" xfId="10421"/>
    <cellStyle name="T_NC moi 19 3" xfId="9370"/>
    <cellStyle name="T_NC moi 2" xfId="4688"/>
    <cellStyle name="T_NC moi 2 2" xfId="5767"/>
    <cellStyle name="T_NC moi 2 2 2" xfId="10422"/>
    <cellStyle name="T_NC moi 2 3" xfId="9371"/>
    <cellStyle name="T_NC moi 20" xfId="4689"/>
    <cellStyle name="T_NC moi 20 2" xfId="5768"/>
    <cellStyle name="T_NC moi 20 2 2" xfId="10423"/>
    <cellStyle name="T_NC moi 20 3" xfId="9372"/>
    <cellStyle name="T_NC moi 21" xfId="4690"/>
    <cellStyle name="T_NC moi 21 2" xfId="5769"/>
    <cellStyle name="T_NC moi 21 2 2" xfId="10424"/>
    <cellStyle name="T_NC moi 21 3" xfId="9373"/>
    <cellStyle name="T_NC moi 22" xfId="4691"/>
    <cellStyle name="T_NC moi 22 2" xfId="5770"/>
    <cellStyle name="T_NC moi 22 2 2" xfId="10425"/>
    <cellStyle name="T_NC moi 22 3" xfId="9374"/>
    <cellStyle name="T_NC moi 23" xfId="5756"/>
    <cellStyle name="T_NC moi 23 2" xfId="10411"/>
    <cellStyle name="T_NC moi 24" xfId="9360"/>
    <cellStyle name="T_NC moi 3" xfId="4692"/>
    <cellStyle name="T_NC moi 3 2" xfId="5771"/>
    <cellStyle name="T_NC moi 3 2 2" xfId="10426"/>
    <cellStyle name="T_NC moi 3 3" xfId="9375"/>
    <cellStyle name="T_NC moi 4" xfId="4693"/>
    <cellStyle name="T_NC moi 4 2" xfId="5772"/>
    <cellStyle name="T_NC moi 4 2 2" xfId="10427"/>
    <cellStyle name="T_NC moi 4 3" xfId="9376"/>
    <cellStyle name="T_NC moi 5" xfId="4694"/>
    <cellStyle name="T_NC moi 5 2" xfId="5773"/>
    <cellStyle name="T_NC moi 5 2 2" xfId="10428"/>
    <cellStyle name="T_NC moi 5 3" xfId="9377"/>
    <cellStyle name="T_NC moi 6" xfId="4695"/>
    <cellStyle name="T_NC moi 6 2" xfId="5774"/>
    <cellStyle name="T_NC moi 6 2 2" xfId="10429"/>
    <cellStyle name="T_NC moi 6 3" xfId="9378"/>
    <cellStyle name="T_NC moi 7" xfId="4696"/>
    <cellStyle name="T_NC moi 7 2" xfId="5775"/>
    <cellStyle name="T_NC moi 7 2 2" xfId="10430"/>
    <cellStyle name="T_NC moi 7 3" xfId="9379"/>
    <cellStyle name="T_NC moi 8" xfId="4697"/>
    <cellStyle name="T_NC moi 8 2" xfId="5776"/>
    <cellStyle name="T_NC moi 8 2 2" xfId="10431"/>
    <cellStyle name="T_NC moi 8 3" xfId="9380"/>
    <cellStyle name="T_NC moi 9" xfId="4698"/>
    <cellStyle name="T_NC moi 9 2" xfId="5777"/>
    <cellStyle name="T_NC moi 9 2 2" xfId="10432"/>
    <cellStyle name="T_NC moi 9 3" xfId="9381"/>
    <cellStyle name="T_NGOC VUNG" xfId="4699"/>
    <cellStyle name="T_NGOC VUNG 2" xfId="5778"/>
    <cellStyle name="T_NGOC VUNG 2 2" xfId="10433"/>
    <cellStyle name="T_NGOC VUNG 3" xfId="9382"/>
    <cellStyle name="T_NGOC VUNG_CC 2016-2020" xfId="4700"/>
    <cellStyle name="T_NGOC VUNG_CC 2016-2020 2" xfId="5779"/>
    <cellStyle name="T_NGOC VUNG_CC 2016-2020 2 2" xfId="10434"/>
    <cellStyle name="T_NGOC VUNG_CC 2016-2020 3" xfId="9383"/>
    <cellStyle name="T_NGOC VUNG_LUC" xfId="4701"/>
    <cellStyle name="T_NGOC VUNG_LUC 2" xfId="5780"/>
    <cellStyle name="T_NGOC VUNG_LUC 2 2" xfId="10435"/>
    <cellStyle name="T_NGOC VUNG_LUC 3" xfId="9384"/>
    <cellStyle name="T_Nhu cau moi" xfId="4702"/>
    <cellStyle name="T_Nhu cau moi 2" xfId="5781"/>
    <cellStyle name="T_Nhu cau moi 2 2" xfId="10436"/>
    <cellStyle name="T_Nhu cau moi 3" xfId="9385"/>
    <cellStyle name="T_Nhu cau moi_CC 2016-2020" xfId="4703"/>
    <cellStyle name="T_Nhu cau moi_CC 2016-2020 2" xfId="5782"/>
    <cellStyle name="T_Nhu cau moi_CC 2016-2020 2 2" xfId="10437"/>
    <cellStyle name="T_Nhu cau moi_CC 2016-2020 3" xfId="9386"/>
    <cellStyle name="T_Nhu cau moi_LUC" xfId="4704"/>
    <cellStyle name="T_Nhu cau moi_LUC 2" xfId="5783"/>
    <cellStyle name="T_Nhu cau moi_LUC 2 2" xfId="10438"/>
    <cellStyle name="T_Nhu cau moi_LUC 3" xfId="9387"/>
    <cellStyle name="T_ONT" xfId="4705"/>
    <cellStyle name="T_ONT 10" xfId="4706"/>
    <cellStyle name="T_ONT 10 2" xfId="5785"/>
    <cellStyle name="T_ONT 10 2 2" xfId="10440"/>
    <cellStyle name="T_ONT 10 3" xfId="9389"/>
    <cellStyle name="T_ONT 11" xfId="4707"/>
    <cellStyle name="T_ONT 11 2" xfId="5786"/>
    <cellStyle name="T_ONT 11 2 2" xfId="10441"/>
    <cellStyle name="T_ONT 11 3" xfId="9390"/>
    <cellStyle name="T_ONT 12" xfId="4708"/>
    <cellStyle name="T_ONT 12 2" xfId="5787"/>
    <cellStyle name="T_ONT 12 2 2" xfId="10442"/>
    <cellStyle name="T_ONT 12 3" xfId="9391"/>
    <cellStyle name="T_ONT 13" xfId="4709"/>
    <cellStyle name="T_ONT 13 2" xfId="5788"/>
    <cellStyle name="T_ONT 13 2 2" xfId="10443"/>
    <cellStyle name="T_ONT 13 3" xfId="9392"/>
    <cellStyle name="T_ONT 14" xfId="4710"/>
    <cellStyle name="T_ONT 14 2" xfId="5789"/>
    <cellStyle name="T_ONT 14 2 2" xfId="10444"/>
    <cellStyle name="T_ONT 14 3" xfId="9393"/>
    <cellStyle name="T_ONT 15" xfId="4711"/>
    <cellStyle name="T_ONT 15 2" xfId="5790"/>
    <cellStyle name="T_ONT 15 2 2" xfId="10445"/>
    <cellStyle name="T_ONT 15 3" xfId="9394"/>
    <cellStyle name="T_ONT 16" xfId="4712"/>
    <cellStyle name="T_ONT 16 2" xfId="5791"/>
    <cellStyle name="T_ONT 16 2 2" xfId="10446"/>
    <cellStyle name="T_ONT 16 3" xfId="9395"/>
    <cellStyle name="T_ONT 17" xfId="4713"/>
    <cellStyle name="T_ONT 17 2" xfId="5792"/>
    <cellStyle name="T_ONT 17 2 2" xfId="10447"/>
    <cellStyle name="T_ONT 17 3" xfId="9396"/>
    <cellStyle name="T_ONT 18" xfId="4714"/>
    <cellStyle name="T_ONT 18 2" xfId="5793"/>
    <cellStyle name="T_ONT 18 2 2" xfId="10448"/>
    <cellStyle name="T_ONT 18 3" xfId="9397"/>
    <cellStyle name="T_ONT 19" xfId="4715"/>
    <cellStyle name="T_ONT 19 2" xfId="5794"/>
    <cellStyle name="T_ONT 19 2 2" xfId="10449"/>
    <cellStyle name="T_ONT 19 3" xfId="9398"/>
    <cellStyle name="T_ONT 2" xfId="4716"/>
    <cellStyle name="T_ONT 2 2" xfId="5795"/>
    <cellStyle name="T_ONT 2 2 2" xfId="10450"/>
    <cellStyle name="T_ONT 2 3" xfId="9399"/>
    <cellStyle name="T_ONT 20" xfId="4717"/>
    <cellStyle name="T_ONT 20 2" xfId="5796"/>
    <cellStyle name="T_ONT 20 2 2" xfId="10451"/>
    <cellStyle name="T_ONT 20 3" xfId="9400"/>
    <cellStyle name="T_ONT 21" xfId="4718"/>
    <cellStyle name="T_ONT 21 2" xfId="5797"/>
    <cellStyle name="T_ONT 21 2 2" xfId="10452"/>
    <cellStyle name="T_ONT 21 3" xfId="9401"/>
    <cellStyle name="T_ONT 22" xfId="4719"/>
    <cellStyle name="T_ONT 22 2" xfId="5798"/>
    <cellStyle name="T_ONT 22 2 2" xfId="10453"/>
    <cellStyle name="T_ONT 22 3" xfId="9402"/>
    <cellStyle name="T_ONT 23" xfId="5784"/>
    <cellStyle name="T_ONT 23 2" xfId="10439"/>
    <cellStyle name="T_ONT 24" xfId="9388"/>
    <cellStyle name="T_ONT 3" xfId="4720"/>
    <cellStyle name="T_ONT 3 2" xfId="5799"/>
    <cellStyle name="T_ONT 3 2 2" xfId="10454"/>
    <cellStyle name="T_ONT 3 3" xfId="9403"/>
    <cellStyle name="T_ONT 4" xfId="4721"/>
    <cellStyle name="T_ONT 4 2" xfId="5800"/>
    <cellStyle name="T_ONT 4 2 2" xfId="10455"/>
    <cellStyle name="T_ONT 4 3" xfId="9404"/>
    <cellStyle name="T_ONT 5" xfId="4722"/>
    <cellStyle name="T_ONT 5 2" xfId="5801"/>
    <cellStyle name="T_ONT 5 2 2" xfId="10456"/>
    <cellStyle name="T_ONT 5 3" xfId="9405"/>
    <cellStyle name="T_ONT 6" xfId="4723"/>
    <cellStyle name="T_ONT 6 2" xfId="5802"/>
    <cellStyle name="T_ONT 6 2 2" xfId="10457"/>
    <cellStyle name="T_ONT 6 3" xfId="9406"/>
    <cellStyle name="T_ONT 7" xfId="4724"/>
    <cellStyle name="T_ONT 7 2" xfId="5803"/>
    <cellStyle name="T_ONT 7 2 2" xfId="10458"/>
    <cellStyle name="T_ONT 7 3" xfId="9407"/>
    <cellStyle name="T_ONT 8" xfId="4725"/>
    <cellStyle name="T_ONT 8 2" xfId="5804"/>
    <cellStyle name="T_ONT 8 2 2" xfId="10459"/>
    <cellStyle name="T_ONT 8 3" xfId="9408"/>
    <cellStyle name="T_ONT 9" xfId="4726"/>
    <cellStyle name="T_ONT 9 2" xfId="5805"/>
    <cellStyle name="T_ONT 9 2 2" xfId="10460"/>
    <cellStyle name="T_ONT 9 3" xfId="9409"/>
    <cellStyle name="T_Phong Coc" xfId="4727"/>
    <cellStyle name="T_Phong Coc 2" xfId="5806"/>
    <cellStyle name="T_Phong Coc 2 2" xfId="10461"/>
    <cellStyle name="T_Phong Coc 3" xfId="9410"/>
    <cellStyle name="T_Phong Hai" xfId="4728"/>
    <cellStyle name="T_Phong Hai 2" xfId="5807"/>
    <cellStyle name="T_Phong Hai 2 2" xfId="10462"/>
    <cellStyle name="T_Phong Hai 3" xfId="9411"/>
    <cellStyle name="T_QUAN LAN" xfId="4729"/>
    <cellStyle name="T_QUAN LAN 2" xfId="5808"/>
    <cellStyle name="T_QUAN LAN 2 2" xfId="10463"/>
    <cellStyle name="T_QUAN LAN 3" xfId="9412"/>
    <cellStyle name="T_QUAN LAN_CC 2016-2020" xfId="4730"/>
    <cellStyle name="T_QUAN LAN_CC 2016-2020 2" xfId="5809"/>
    <cellStyle name="T_QUAN LAN_CC 2016-2020 2 2" xfId="10464"/>
    <cellStyle name="T_QUAN LAN_CC 2016-2020 3" xfId="9413"/>
    <cellStyle name="T_QUAN LAN_LUC" xfId="4731"/>
    <cellStyle name="T_QUAN LAN_LUC 2" xfId="5810"/>
    <cellStyle name="T_QUAN LAN_LUC 2 2" xfId="10465"/>
    <cellStyle name="T_QUAN LAN_LUC 3" xfId="9414"/>
    <cellStyle name="T_Quang yen" xfId="4732"/>
    <cellStyle name="T_Quang yen 2" xfId="5811"/>
    <cellStyle name="T_Quang yen 2 2" xfId="10466"/>
    <cellStyle name="T_Quang yen 3" xfId="9415"/>
    <cellStyle name="T_Sheet1" xfId="4733"/>
    <cellStyle name="T_Sheet1 10" xfId="4734"/>
    <cellStyle name="T_Sheet1 10 2" xfId="5813"/>
    <cellStyle name="T_Sheet1 10 2 2" xfId="10468"/>
    <cellStyle name="T_Sheet1 10 3" xfId="9417"/>
    <cellStyle name="T_Sheet1 11" xfId="4735"/>
    <cellStyle name="T_Sheet1 11 2" xfId="5814"/>
    <cellStyle name="T_Sheet1 11 2 2" xfId="10469"/>
    <cellStyle name="T_Sheet1 11 3" xfId="9418"/>
    <cellStyle name="T_Sheet1 12" xfId="4736"/>
    <cellStyle name="T_Sheet1 12 2" xfId="5815"/>
    <cellStyle name="T_Sheet1 12 2 2" xfId="10470"/>
    <cellStyle name="T_Sheet1 12 3" xfId="9419"/>
    <cellStyle name="T_Sheet1 13" xfId="4737"/>
    <cellStyle name="T_Sheet1 13 2" xfId="5816"/>
    <cellStyle name="T_Sheet1 13 2 2" xfId="10471"/>
    <cellStyle name="T_Sheet1 13 3" xfId="9420"/>
    <cellStyle name="T_Sheet1 14" xfId="4738"/>
    <cellStyle name="T_Sheet1 14 2" xfId="5817"/>
    <cellStyle name="T_Sheet1 14 2 2" xfId="10472"/>
    <cellStyle name="T_Sheet1 14 3" xfId="9421"/>
    <cellStyle name="T_Sheet1 15" xfId="4739"/>
    <cellStyle name="T_Sheet1 15 2" xfId="5818"/>
    <cellStyle name="T_Sheet1 15 2 2" xfId="10473"/>
    <cellStyle name="T_Sheet1 15 3" xfId="9422"/>
    <cellStyle name="T_Sheet1 16" xfId="4740"/>
    <cellStyle name="T_Sheet1 16 2" xfId="5819"/>
    <cellStyle name="T_Sheet1 16 2 2" xfId="10474"/>
    <cellStyle name="T_Sheet1 16 3" xfId="9423"/>
    <cellStyle name="T_Sheet1 17" xfId="4741"/>
    <cellStyle name="T_Sheet1 17 2" xfId="5820"/>
    <cellStyle name="T_Sheet1 17 2 2" xfId="10475"/>
    <cellStyle name="T_Sheet1 17 3" xfId="9424"/>
    <cellStyle name="T_Sheet1 18" xfId="4742"/>
    <cellStyle name="T_Sheet1 18 2" xfId="5821"/>
    <cellStyle name="T_Sheet1 18 2 2" xfId="10476"/>
    <cellStyle name="T_Sheet1 18 3" xfId="9425"/>
    <cellStyle name="T_Sheet1 19" xfId="4743"/>
    <cellStyle name="T_Sheet1 19 2" xfId="5822"/>
    <cellStyle name="T_Sheet1 19 2 2" xfId="10477"/>
    <cellStyle name="T_Sheet1 19 3" xfId="9426"/>
    <cellStyle name="T_Sheet1 2" xfId="4744"/>
    <cellStyle name="T_Sheet1 2 2" xfId="5823"/>
    <cellStyle name="T_Sheet1 2 2 2" xfId="10478"/>
    <cellStyle name="T_Sheet1 2 3" xfId="9427"/>
    <cellStyle name="T_Sheet1 20" xfId="4745"/>
    <cellStyle name="T_Sheet1 20 2" xfId="5824"/>
    <cellStyle name="T_Sheet1 20 2 2" xfId="10479"/>
    <cellStyle name="T_Sheet1 20 3" xfId="9428"/>
    <cellStyle name="T_Sheet1 21" xfId="4746"/>
    <cellStyle name="T_Sheet1 21 2" xfId="5825"/>
    <cellStyle name="T_Sheet1 21 2 2" xfId="10480"/>
    <cellStyle name="T_Sheet1 21 3" xfId="9429"/>
    <cellStyle name="T_Sheet1 22" xfId="4747"/>
    <cellStyle name="T_Sheet1 22 2" xfId="5826"/>
    <cellStyle name="T_Sheet1 22 2 2" xfId="10481"/>
    <cellStyle name="T_Sheet1 22 3" xfId="9430"/>
    <cellStyle name="T_Sheet1 23" xfId="5812"/>
    <cellStyle name="T_Sheet1 23 2" xfId="10467"/>
    <cellStyle name="T_Sheet1 24" xfId="9416"/>
    <cellStyle name="T_Sheet1 3" xfId="4748"/>
    <cellStyle name="T_Sheet1 3 2" xfId="5827"/>
    <cellStyle name="T_Sheet1 3 2 2" xfId="10482"/>
    <cellStyle name="T_Sheet1 3 3" xfId="9431"/>
    <cellStyle name="T_Sheet1 4" xfId="4749"/>
    <cellStyle name="T_Sheet1 4 2" xfId="5828"/>
    <cellStyle name="T_Sheet1 4 2 2" xfId="10483"/>
    <cellStyle name="T_Sheet1 4 3" xfId="9432"/>
    <cellStyle name="T_Sheet1 5" xfId="4750"/>
    <cellStyle name="T_Sheet1 5 2" xfId="5829"/>
    <cellStyle name="T_Sheet1 5 2 2" xfId="10484"/>
    <cellStyle name="T_Sheet1 5 3" xfId="9433"/>
    <cellStyle name="T_Sheet1 6" xfId="4751"/>
    <cellStyle name="T_Sheet1 6 2" xfId="5830"/>
    <cellStyle name="T_Sheet1 6 2 2" xfId="10485"/>
    <cellStyle name="T_Sheet1 6 3" xfId="9434"/>
    <cellStyle name="T_Sheet1 7" xfId="4752"/>
    <cellStyle name="T_Sheet1 7 2" xfId="5831"/>
    <cellStyle name="T_Sheet1 7 2 2" xfId="10486"/>
    <cellStyle name="T_Sheet1 7 3" xfId="9435"/>
    <cellStyle name="T_Sheet1 8" xfId="4753"/>
    <cellStyle name="T_Sheet1 8 2" xfId="5832"/>
    <cellStyle name="T_Sheet1 8 2 2" xfId="10487"/>
    <cellStyle name="T_Sheet1 8 3" xfId="9436"/>
    <cellStyle name="T_Sheet1 9" xfId="4754"/>
    <cellStyle name="T_Sheet1 9 2" xfId="5833"/>
    <cellStyle name="T_Sheet1 9 2 2" xfId="10488"/>
    <cellStyle name="T_Sheet1 9 3" xfId="9437"/>
    <cellStyle name="T_Sheet1_B14CT" xfId="4755"/>
    <cellStyle name="T_Sheet1_B14CT 2" xfId="5834"/>
    <cellStyle name="T_Sheet1_B14CT 2 2" xfId="10489"/>
    <cellStyle name="T_Sheet1_B14CT 3" xfId="9438"/>
    <cellStyle name="T_SKC" xfId="4756"/>
    <cellStyle name="T_SKC 10" xfId="4757"/>
    <cellStyle name="T_SKC 10 2" xfId="5836"/>
    <cellStyle name="T_SKC 10 2 2" xfId="10491"/>
    <cellStyle name="T_SKC 10 3" xfId="9440"/>
    <cellStyle name="T_SKC 11" xfId="4758"/>
    <cellStyle name="T_SKC 11 2" xfId="5837"/>
    <cellStyle name="T_SKC 11 2 2" xfId="10492"/>
    <cellStyle name="T_SKC 11 3" xfId="9441"/>
    <cellStyle name="T_SKC 12" xfId="4759"/>
    <cellStyle name="T_SKC 12 2" xfId="5838"/>
    <cellStyle name="T_SKC 12 2 2" xfId="10493"/>
    <cellStyle name="T_SKC 12 3" xfId="9442"/>
    <cellStyle name="T_SKC 13" xfId="4760"/>
    <cellStyle name="T_SKC 13 2" xfId="5839"/>
    <cellStyle name="T_SKC 13 2 2" xfId="10494"/>
    <cellStyle name="T_SKC 13 3" xfId="9443"/>
    <cellStyle name="T_SKC 14" xfId="4761"/>
    <cellStyle name="T_SKC 14 2" xfId="5840"/>
    <cellStyle name="T_SKC 14 2 2" xfId="10495"/>
    <cellStyle name="T_SKC 14 3" xfId="9444"/>
    <cellStyle name="T_SKC 15" xfId="4762"/>
    <cellStyle name="T_SKC 15 2" xfId="5841"/>
    <cellStyle name="T_SKC 15 2 2" xfId="10496"/>
    <cellStyle name="T_SKC 15 3" xfId="9445"/>
    <cellStyle name="T_SKC 16" xfId="4763"/>
    <cellStyle name="T_SKC 16 2" xfId="5842"/>
    <cellStyle name="T_SKC 16 2 2" xfId="10497"/>
    <cellStyle name="T_SKC 16 3" xfId="9446"/>
    <cellStyle name="T_SKC 17" xfId="4764"/>
    <cellStyle name="T_SKC 17 2" xfId="5843"/>
    <cellStyle name="T_SKC 17 2 2" xfId="10498"/>
    <cellStyle name="T_SKC 17 3" xfId="9447"/>
    <cellStyle name="T_SKC 18" xfId="4765"/>
    <cellStyle name="T_SKC 18 2" xfId="5844"/>
    <cellStyle name="T_SKC 18 2 2" xfId="10499"/>
    <cellStyle name="T_SKC 18 3" xfId="9448"/>
    <cellStyle name="T_SKC 19" xfId="4766"/>
    <cellStyle name="T_SKC 19 2" xfId="5845"/>
    <cellStyle name="T_SKC 19 2 2" xfId="10500"/>
    <cellStyle name="T_SKC 19 3" xfId="9449"/>
    <cellStyle name="T_SKC 2" xfId="4767"/>
    <cellStyle name="T_SKC 2 2" xfId="5846"/>
    <cellStyle name="T_SKC 2 2 2" xfId="10501"/>
    <cellStyle name="T_SKC 2 3" xfId="9450"/>
    <cellStyle name="T_SKC 20" xfId="4768"/>
    <cellStyle name="T_SKC 20 2" xfId="5847"/>
    <cellStyle name="T_SKC 20 2 2" xfId="10502"/>
    <cellStyle name="T_SKC 20 3" xfId="9451"/>
    <cellStyle name="T_SKC 21" xfId="4769"/>
    <cellStyle name="T_SKC 21 2" xfId="5848"/>
    <cellStyle name="T_SKC 21 2 2" xfId="10503"/>
    <cellStyle name="T_SKC 21 3" xfId="9452"/>
    <cellStyle name="T_SKC 22" xfId="4770"/>
    <cellStyle name="T_SKC 22 2" xfId="5849"/>
    <cellStyle name="T_SKC 22 2 2" xfId="10504"/>
    <cellStyle name="T_SKC 22 3" xfId="9453"/>
    <cellStyle name="T_SKC 23" xfId="5835"/>
    <cellStyle name="T_SKC 23 2" xfId="10490"/>
    <cellStyle name="T_SKC 24" xfId="9439"/>
    <cellStyle name="T_SKC 3" xfId="4771"/>
    <cellStyle name="T_SKC 3 2" xfId="5850"/>
    <cellStyle name="T_SKC 3 2 2" xfId="10505"/>
    <cellStyle name="T_SKC 3 3" xfId="9454"/>
    <cellStyle name="T_SKC 4" xfId="4772"/>
    <cellStyle name="T_SKC 4 2" xfId="5851"/>
    <cellStyle name="T_SKC 4 2 2" xfId="10506"/>
    <cellStyle name="T_SKC 4 3" xfId="9455"/>
    <cellStyle name="T_SKC 5" xfId="4773"/>
    <cellStyle name="T_SKC 5 2" xfId="5852"/>
    <cellStyle name="T_SKC 5 2 2" xfId="10507"/>
    <cellStyle name="T_SKC 5 3" xfId="9456"/>
    <cellStyle name="T_SKC 6" xfId="4774"/>
    <cellStyle name="T_SKC 6 2" xfId="5853"/>
    <cellStyle name="T_SKC 6 2 2" xfId="10508"/>
    <cellStyle name="T_SKC 6 3" xfId="9457"/>
    <cellStyle name="T_SKC 7" xfId="4775"/>
    <cellStyle name="T_SKC 7 2" xfId="5854"/>
    <cellStyle name="T_SKC 7 2 2" xfId="10509"/>
    <cellStyle name="T_SKC 7 3" xfId="9458"/>
    <cellStyle name="T_SKC 8" xfId="4776"/>
    <cellStyle name="T_SKC 8 2" xfId="5855"/>
    <cellStyle name="T_SKC 8 2 2" xfId="10510"/>
    <cellStyle name="T_SKC 8 3" xfId="9459"/>
    <cellStyle name="T_SKC 9" xfId="4777"/>
    <cellStyle name="T_SKC 9 2" xfId="5856"/>
    <cellStyle name="T_SKC 9 2 2" xfId="10511"/>
    <cellStyle name="T_SKC 9 3" xfId="9460"/>
    <cellStyle name="T_Song Khoai" xfId="4778"/>
    <cellStyle name="T_Song Khoai 2" xfId="5857"/>
    <cellStyle name="T_Song Khoai 2 2" xfId="10512"/>
    <cellStyle name="T_Song Khoai 3" xfId="9461"/>
    <cellStyle name="T_T.T CAI RONG" xfId="4779"/>
    <cellStyle name="T_T.T CAI RONG 2" xfId="5858"/>
    <cellStyle name="T_T.T CAI RONG 2 2" xfId="10513"/>
    <cellStyle name="T_T.T CAI RONG 3" xfId="9462"/>
    <cellStyle name="T_T.T CAI RONG_CC 2016-2020" xfId="4780"/>
    <cellStyle name="T_T.T CAI RONG_CC 2016-2020 2" xfId="5859"/>
    <cellStyle name="T_T.T CAI RONG_CC 2016-2020 2 2" xfId="10514"/>
    <cellStyle name="T_T.T CAI RONG_CC 2016-2020 3" xfId="9463"/>
    <cellStyle name="T_T.T CAI RONG_LUC" xfId="4781"/>
    <cellStyle name="T_T.T CAI RONG_LUC 2" xfId="5860"/>
    <cellStyle name="T_T.T CAI RONG_LUC 2 2" xfId="10515"/>
    <cellStyle name="T_T.T CAI RONG_LUC 3" xfId="9464"/>
    <cellStyle name="T_Tan An" xfId="4782"/>
    <cellStyle name="T_Tan An 2" xfId="5861"/>
    <cellStyle name="T_Tan An 2 2" xfId="10516"/>
    <cellStyle name="T_Tan An 3" xfId="9465"/>
    <cellStyle name="T_THANG LƠI" xfId="4783"/>
    <cellStyle name="T_THANG LƠI 2" xfId="5862"/>
    <cellStyle name="T_THANG LƠI 2 2" xfId="10517"/>
    <cellStyle name="T_THANG LƠI 3" xfId="9466"/>
    <cellStyle name="T_THANG LƠI_CC 2016-2020" xfId="4784"/>
    <cellStyle name="T_THANG LƠI_CC 2016-2020 2" xfId="5863"/>
    <cellStyle name="T_THANG LƠI_CC 2016-2020 2 2" xfId="10518"/>
    <cellStyle name="T_THANG LƠI_CC 2016-2020 3" xfId="9467"/>
    <cellStyle name="T_THANG LƠI_LUC" xfId="4785"/>
    <cellStyle name="T_THANG LƠI_LUC 2" xfId="5864"/>
    <cellStyle name="T_THANG LƠI_LUC 2 2" xfId="10519"/>
    <cellStyle name="T_THANG LƠI_LUC 3" xfId="9468"/>
    <cellStyle name="T_Tien An" xfId="4786"/>
    <cellStyle name="T_Tien An 2" xfId="5865"/>
    <cellStyle name="T_Tien An 2 2" xfId="10520"/>
    <cellStyle name="T_Tien An 3" xfId="9469"/>
    <cellStyle name="T_TL" xfId="4787"/>
    <cellStyle name="T_TL 10" xfId="4788"/>
    <cellStyle name="T_TL 10 2" xfId="5867"/>
    <cellStyle name="T_TL 10 2 2" xfId="10522"/>
    <cellStyle name="T_TL 10 3" xfId="9471"/>
    <cellStyle name="T_TL 11" xfId="4789"/>
    <cellStyle name="T_TL 11 2" xfId="5868"/>
    <cellStyle name="T_TL 11 2 2" xfId="10523"/>
    <cellStyle name="T_TL 11 3" xfId="9472"/>
    <cellStyle name="T_TL 12" xfId="4790"/>
    <cellStyle name="T_TL 12 2" xfId="5869"/>
    <cellStyle name="T_TL 12 2 2" xfId="10524"/>
    <cellStyle name="T_TL 12 3" xfId="9473"/>
    <cellStyle name="T_TL 13" xfId="4791"/>
    <cellStyle name="T_TL 13 2" xfId="5870"/>
    <cellStyle name="T_TL 13 2 2" xfId="10525"/>
    <cellStyle name="T_TL 13 3" xfId="9474"/>
    <cellStyle name="T_TL 14" xfId="4792"/>
    <cellStyle name="T_TL 14 2" xfId="5871"/>
    <cellStyle name="T_TL 14 2 2" xfId="10526"/>
    <cellStyle name="T_TL 14 3" xfId="9475"/>
    <cellStyle name="T_TL 15" xfId="4793"/>
    <cellStyle name="T_TL 15 2" xfId="5872"/>
    <cellStyle name="T_TL 15 2 2" xfId="10527"/>
    <cellStyle name="T_TL 15 3" xfId="9476"/>
    <cellStyle name="T_TL 16" xfId="4794"/>
    <cellStyle name="T_TL 16 2" xfId="5873"/>
    <cellStyle name="T_TL 16 2 2" xfId="10528"/>
    <cellStyle name="T_TL 16 3" xfId="9477"/>
    <cellStyle name="T_TL 17" xfId="4795"/>
    <cellStyle name="T_TL 17 2" xfId="5874"/>
    <cellStyle name="T_TL 17 2 2" xfId="10529"/>
    <cellStyle name="T_TL 17 3" xfId="9478"/>
    <cellStyle name="T_TL 18" xfId="4796"/>
    <cellStyle name="T_TL 18 2" xfId="5875"/>
    <cellStyle name="T_TL 18 2 2" xfId="10530"/>
    <cellStyle name="T_TL 18 3" xfId="9479"/>
    <cellStyle name="T_TL 19" xfId="4797"/>
    <cellStyle name="T_TL 19 2" xfId="5876"/>
    <cellStyle name="T_TL 19 2 2" xfId="10531"/>
    <cellStyle name="T_TL 19 3" xfId="9480"/>
    <cellStyle name="T_TL 2" xfId="4798"/>
    <cellStyle name="T_TL 2 2" xfId="5877"/>
    <cellStyle name="T_TL 2 2 2" xfId="10532"/>
    <cellStyle name="T_TL 2 3" xfId="9481"/>
    <cellStyle name="T_TL 20" xfId="4799"/>
    <cellStyle name="T_TL 20 2" xfId="5878"/>
    <cellStyle name="T_TL 20 2 2" xfId="10533"/>
    <cellStyle name="T_TL 20 3" xfId="9482"/>
    <cellStyle name="T_TL 21" xfId="4800"/>
    <cellStyle name="T_TL 21 2" xfId="5879"/>
    <cellStyle name="T_TL 21 2 2" xfId="10534"/>
    <cellStyle name="T_TL 21 3" xfId="9483"/>
    <cellStyle name="T_TL 22" xfId="4801"/>
    <cellStyle name="T_TL 22 2" xfId="5880"/>
    <cellStyle name="T_TL 22 2 2" xfId="10535"/>
    <cellStyle name="T_TL 22 3" xfId="9484"/>
    <cellStyle name="T_TL 23" xfId="5866"/>
    <cellStyle name="T_TL 23 2" xfId="10521"/>
    <cellStyle name="T_TL 24" xfId="9470"/>
    <cellStyle name="T_TL 3" xfId="4802"/>
    <cellStyle name="T_TL 3 2" xfId="5881"/>
    <cellStyle name="T_TL 3 2 2" xfId="10536"/>
    <cellStyle name="T_TL 3 3" xfId="9485"/>
    <cellStyle name="T_TL 4" xfId="4803"/>
    <cellStyle name="T_TL 4 2" xfId="5882"/>
    <cellStyle name="T_TL 4 2 2" xfId="10537"/>
    <cellStyle name="T_TL 4 3" xfId="9486"/>
    <cellStyle name="T_TL 5" xfId="4804"/>
    <cellStyle name="T_TL 5 2" xfId="5883"/>
    <cellStyle name="T_TL 5 2 2" xfId="10538"/>
    <cellStyle name="T_TL 5 3" xfId="9487"/>
    <cellStyle name="T_TL 6" xfId="4805"/>
    <cellStyle name="T_TL 6 2" xfId="5884"/>
    <cellStyle name="T_TL 6 2 2" xfId="10539"/>
    <cellStyle name="T_TL 6 3" xfId="9488"/>
    <cellStyle name="T_TL 7" xfId="4806"/>
    <cellStyle name="T_TL 7 2" xfId="5885"/>
    <cellStyle name="T_TL 7 2 2" xfId="10540"/>
    <cellStyle name="T_TL 7 3" xfId="9489"/>
    <cellStyle name="T_TL 8" xfId="4807"/>
    <cellStyle name="T_TL 8 2" xfId="5886"/>
    <cellStyle name="T_TL 8 2 2" xfId="10541"/>
    <cellStyle name="T_TL 8 3" xfId="9490"/>
    <cellStyle name="T_TL 9" xfId="4808"/>
    <cellStyle name="T_TL 9 2" xfId="5887"/>
    <cellStyle name="T_TL 9 2 2" xfId="10542"/>
    <cellStyle name="T_TL 9 3" xfId="9491"/>
    <cellStyle name="T_TMD" xfId="4809"/>
    <cellStyle name="T_TMD 10" xfId="4810"/>
    <cellStyle name="T_TMD 10 2" xfId="5889"/>
    <cellStyle name="T_TMD 10 2 2" xfId="10544"/>
    <cellStyle name="T_TMD 10 3" xfId="9493"/>
    <cellStyle name="T_TMD 11" xfId="4811"/>
    <cellStyle name="T_TMD 11 2" xfId="5890"/>
    <cellStyle name="T_TMD 11 2 2" xfId="10545"/>
    <cellStyle name="T_TMD 11 3" xfId="9494"/>
    <cellStyle name="T_TMD 12" xfId="4812"/>
    <cellStyle name="T_TMD 12 2" xfId="5891"/>
    <cellStyle name="T_TMD 12 2 2" xfId="10546"/>
    <cellStyle name="T_TMD 12 3" xfId="9495"/>
    <cellStyle name="T_TMD 13" xfId="4813"/>
    <cellStyle name="T_TMD 13 2" xfId="5892"/>
    <cellStyle name="T_TMD 13 2 2" xfId="10547"/>
    <cellStyle name="T_TMD 13 3" xfId="9496"/>
    <cellStyle name="T_TMD 14" xfId="4814"/>
    <cellStyle name="T_TMD 14 2" xfId="5893"/>
    <cellStyle name="T_TMD 14 2 2" xfId="10548"/>
    <cellStyle name="T_TMD 14 3" xfId="9497"/>
    <cellStyle name="T_TMD 15" xfId="4815"/>
    <cellStyle name="T_TMD 15 2" xfId="5894"/>
    <cellStyle name="T_TMD 15 2 2" xfId="10549"/>
    <cellStyle name="T_TMD 15 3" xfId="9498"/>
    <cellStyle name="T_TMD 16" xfId="4816"/>
    <cellStyle name="T_TMD 16 2" xfId="5895"/>
    <cellStyle name="T_TMD 16 2 2" xfId="10550"/>
    <cellStyle name="T_TMD 16 3" xfId="9499"/>
    <cellStyle name="T_TMD 17" xfId="4817"/>
    <cellStyle name="T_TMD 17 2" xfId="5896"/>
    <cellStyle name="T_TMD 17 2 2" xfId="10551"/>
    <cellStyle name="T_TMD 17 3" xfId="9500"/>
    <cellStyle name="T_TMD 18" xfId="4818"/>
    <cellStyle name="T_TMD 18 2" xfId="5897"/>
    <cellStyle name="T_TMD 18 2 2" xfId="10552"/>
    <cellStyle name="T_TMD 18 3" xfId="9501"/>
    <cellStyle name="T_TMD 19" xfId="4819"/>
    <cellStyle name="T_TMD 19 2" xfId="5898"/>
    <cellStyle name="T_TMD 19 2 2" xfId="10553"/>
    <cellStyle name="T_TMD 19 3" xfId="9502"/>
    <cellStyle name="T_TMD 2" xfId="4820"/>
    <cellStyle name="T_TMD 2 2" xfId="5899"/>
    <cellStyle name="T_TMD 2 2 2" xfId="10554"/>
    <cellStyle name="T_TMD 2 3" xfId="9503"/>
    <cellStyle name="T_TMD 20" xfId="4821"/>
    <cellStyle name="T_TMD 20 2" xfId="5900"/>
    <cellStyle name="T_TMD 20 2 2" xfId="10555"/>
    <cellStyle name="T_TMD 20 3" xfId="9504"/>
    <cellStyle name="T_TMD 21" xfId="4822"/>
    <cellStyle name="T_TMD 21 2" xfId="5901"/>
    <cellStyle name="T_TMD 21 2 2" xfId="10556"/>
    <cellStyle name="T_TMD 21 3" xfId="9505"/>
    <cellStyle name="T_TMD 22" xfId="4823"/>
    <cellStyle name="T_TMD 22 2" xfId="5902"/>
    <cellStyle name="T_TMD 22 2 2" xfId="10557"/>
    <cellStyle name="T_TMD 22 3" xfId="9506"/>
    <cellStyle name="T_TMD 23" xfId="5888"/>
    <cellStyle name="T_TMD 23 2" xfId="10543"/>
    <cellStyle name="T_TMD 24" xfId="9492"/>
    <cellStyle name="T_TMD 3" xfId="4824"/>
    <cellStyle name="T_TMD 3 2" xfId="5903"/>
    <cellStyle name="T_TMD 3 2 2" xfId="10558"/>
    <cellStyle name="T_TMD 3 3" xfId="9507"/>
    <cellStyle name="T_TMD 4" xfId="4825"/>
    <cellStyle name="T_TMD 4 2" xfId="5904"/>
    <cellStyle name="T_TMD 4 2 2" xfId="10559"/>
    <cellStyle name="T_TMD 4 3" xfId="9508"/>
    <cellStyle name="T_TMD 5" xfId="4826"/>
    <cellStyle name="T_TMD 5 2" xfId="5905"/>
    <cellStyle name="T_TMD 5 2 2" xfId="10560"/>
    <cellStyle name="T_TMD 5 3" xfId="9509"/>
    <cellStyle name="T_TMD 6" xfId="4827"/>
    <cellStyle name="T_TMD 6 2" xfId="5906"/>
    <cellStyle name="T_TMD 6 2 2" xfId="10561"/>
    <cellStyle name="T_TMD 6 3" xfId="9510"/>
    <cellStyle name="T_TMD 7" xfId="4828"/>
    <cellStyle name="T_TMD 7 2" xfId="5907"/>
    <cellStyle name="T_TMD 7 2 2" xfId="10562"/>
    <cellStyle name="T_TMD 7 3" xfId="9511"/>
    <cellStyle name="T_TMD 8" xfId="4829"/>
    <cellStyle name="T_TMD 8 2" xfId="5908"/>
    <cellStyle name="T_TMD 8 2 2" xfId="10563"/>
    <cellStyle name="T_TMD 8 3" xfId="9512"/>
    <cellStyle name="T_TMD 9" xfId="4830"/>
    <cellStyle name="T_TMD 9 2" xfId="5909"/>
    <cellStyle name="T_TMD 9 2 2" xfId="10564"/>
    <cellStyle name="T_TMD 9 3" xfId="9513"/>
    <cellStyle name="T_VAN YEN" xfId="4831"/>
    <cellStyle name="T_VAN YEN 2" xfId="5910"/>
    <cellStyle name="T_VAN YEN 2 2" xfId="10565"/>
    <cellStyle name="T_VAN YEN 3" xfId="9514"/>
    <cellStyle name="T_VAN YEN_CC 2016-2020" xfId="4832"/>
    <cellStyle name="T_VAN YEN_CC 2016-2020 2" xfId="5911"/>
    <cellStyle name="T_VAN YEN_CC 2016-2020 2 2" xfId="10566"/>
    <cellStyle name="T_VAN YEN_CC 2016-2020 3" xfId="9515"/>
    <cellStyle name="T_VAN YEN_LUC" xfId="4833"/>
    <cellStyle name="T_VAN YEN_LUC 2" xfId="5912"/>
    <cellStyle name="T_VAN YEN_LUC 2 2" xfId="10567"/>
    <cellStyle name="T_VAN YEN_LUC 3" xfId="9516"/>
    <cellStyle name="T_Yen Giang" xfId="4834"/>
    <cellStyle name="T_Yen Giang 2" xfId="5913"/>
    <cellStyle name="T_Yen Giang 2 2" xfId="10568"/>
    <cellStyle name="T_Yen Giang 3" xfId="9517"/>
    <cellStyle name="T_Yen Hai" xfId="4835"/>
    <cellStyle name="T_Yen Hai 2" xfId="5914"/>
    <cellStyle name="T_Yen Hai 2 2" xfId="10569"/>
    <cellStyle name="T_Yen Hai 3" xfId="9518"/>
    <cellStyle name="th" xfId="4836"/>
    <cellStyle name="th 2" xfId="4837"/>
    <cellStyle name="th 2 2" xfId="5916"/>
    <cellStyle name="th 2 2 2" xfId="10571"/>
    <cellStyle name="th 2 3" xfId="9520"/>
    <cellStyle name="th 3" xfId="4838"/>
    <cellStyle name="th 3 2" xfId="5917"/>
    <cellStyle name="th 3 2 2" xfId="10572"/>
    <cellStyle name="th 3 3" xfId="9521"/>
    <cellStyle name="th 4" xfId="4839"/>
    <cellStyle name="th 4 2" xfId="5918"/>
    <cellStyle name="th 4 2 2" xfId="10573"/>
    <cellStyle name="th 4 3" xfId="9522"/>
    <cellStyle name="th 5" xfId="5915"/>
    <cellStyle name="th 5 2" xfId="10570"/>
    <cellStyle name="th 6" xfId="9519"/>
    <cellStyle name="th_10CH" xfId="4840"/>
    <cellStyle name="þ_x001d_ð·_x000c_æþ'_x000d_ßþU_x0001_Ø_x0005_ü_x0014__x0007__x0001__x0001_" xfId="4841"/>
    <cellStyle name="þ_x001d_ð·_x000c_æþ'_x000d_ßþU_x0001_Ø_x0005_ü_x0014__x0007__x0001__x0001_ 10" xfId="4842"/>
    <cellStyle name="þ_x001d_ð·_x000c_æþ'_x000d_ßþU_x0001_Ø_x0005_ü_x0014__x0007__x0001__x0001_ 10 2" xfId="5920"/>
    <cellStyle name="þ_x001d_ð·_x000c_æþ'_x000d_ßþU_x0001_Ø_x0005_ü_x0014__x0007__x0001__x0001_ 10 2 2" xfId="10575"/>
    <cellStyle name="þ_x001d_ð·_x000c_æþ'_x000d_ßþU_x0001_Ø_x0005_ü_x0014__x0007__x0001__x0001_ 10 3" xfId="9524"/>
    <cellStyle name="þ_x001d_ð·_x000c_æþ'_x000d_ßþU_x0001_Ø_x0005_ü_x0014__x0007__x0001__x0001_ 11" xfId="4843"/>
    <cellStyle name="þ_x001d_ð·_x000c_æþ'_x000d_ßþU_x0001_Ø_x0005_ü_x0014__x0007__x0001__x0001_ 11 2" xfId="5921"/>
    <cellStyle name="þ_x001d_ð·_x000c_æþ'_x000d_ßþU_x0001_Ø_x0005_ü_x0014__x0007__x0001__x0001_ 11 2 2" xfId="10576"/>
    <cellStyle name="þ_x001d_ð·_x000c_æþ'_x000d_ßþU_x0001_Ø_x0005_ü_x0014__x0007__x0001__x0001_ 11 3" xfId="9525"/>
    <cellStyle name="þ_x001d_ð·_x000c_æþ'_x000d_ßþU_x0001_Ø_x0005_ü_x0014__x0007__x0001__x0001_ 12" xfId="4844"/>
    <cellStyle name="þ_x001d_ð·_x000c_æþ'_x000d_ßþU_x0001_Ø_x0005_ü_x0014__x0007__x0001__x0001_ 12 2" xfId="5922"/>
    <cellStyle name="þ_x001d_ð·_x000c_æþ'_x000d_ßþU_x0001_Ø_x0005_ü_x0014__x0007__x0001__x0001_ 12 2 2" xfId="10577"/>
    <cellStyle name="þ_x001d_ð·_x000c_æþ'_x000d_ßþU_x0001_Ø_x0005_ü_x0014__x0007__x0001__x0001_ 12 3" xfId="9526"/>
    <cellStyle name="þ_x001d_ð·_x000c_æþ'_x000d_ßþU_x0001_Ø_x0005_ü_x0014__x0007__x0001__x0001_ 13" xfId="4845"/>
    <cellStyle name="þ_x001d_ð·_x000c_æþ'_x000d_ßþU_x0001_Ø_x0005_ü_x0014__x0007__x0001__x0001_ 13 2" xfId="5923"/>
    <cellStyle name="þ_x001d_ð·_x000c_æþ'_x000d_ßþU_x0001_Ø_x0005_ü_x0014__x0007__x0001__x0001_ 13 2 2" xfId="10578"/>
    <cellStyle name="þ_x001d_ð·_x000c_æþ'_x000d_ßþU_x0001_Ø_x0005_ü_x0014__x0007__x0001__x0001_ 13 3" xfId="9527"/>
    <cellStyle name="þ_x001d_ð·_x000c_æþ'_x000d_ßþU_x0001_Ø_x0005_ü_x0014__x0007__x0001__x0001_ 14" xfId="4846"/>
    <cellStyle name="þ_x001d_ð·_x000c_æþ'_x000d_ßþU_x0001_Ø_x0005_ü_x0014__x0007__x0001__x0001_ 14 2" xfId="5924"/>
    <cellStyle name="þ_x001d_ð·_x000c_æþ'_x000d_ßþU_x0001_Ø_x0005_ü_x0014__x0007__x0001__x0001_ 14 2 2" xfId="10579"/>
    <cellStyle name="þ_x001d_ð·_x000c_æþ'_x000d_ßþU_x0001_Ø_x0005_ü_x0014__x0007__x0001__x0001_ 14 3" xfId="9528"/>
    <cellStyle name="þ_x001d_ð·_x000c_æþ'_x000d_ßþU_x0001_Ø_x0005_ü_x0014__x0007__x0001__x0001_ 15" xfId="4847"/>
    <cellStyle name="þ_x001d_ð·_x000c_æþ'_x000d_ßþU_x0001_Ø_x0005_ü_x0014__x0007__x0001__x0001_ 15 2" xfId="5925"/>
    <cellStyle name="þ_x001d_ð·_x000c_æþ'_x000d_ßþU_x0001_Ø_x0005_ü_x0014__x0007__x0001__x0001_ 15 2 2" xfId="10580"/>
    <cellStyle name="þ_x001d_ð·_x000c_æþ'_x000d_ßþU_x0001_Ø_x0005_ü_x0014__x0007__x0001__x0001_ 15 3" xfId="9529"/>
    <cellStyle name="þ_x001d_ð·_x000c_æþ'_x000d_ßþU_x0001_Ø_x0005_ü_x0014__x0007__x0001__x0001_ 16" xfId="4848"/>
    <cellStyle name="þ_x001d_ð·_x000c_æþ'_x000d_ßþU_x0001_Ø_x0005_ü_x0014__x0007__x0001__x0001_ 16 2" xfId="5926"/>
    <cellStyle name="þ_x001d_ð·_x000c_æþ'_x000d_ßþU_x0001_Ø_x0005_ü_x0014__x0007__x0001__x0001_ 16 2 2" xfId="10581"/>
    <cellStyle name="þ_x001d_ð·_x000c_æþ'_x000d_ßþU_x0001_Ø_x0005_ü_x0014__x0007__x0001__x0001_ 16 3" xfId="9530"/>
    <cellStyle name="þ_x001d_ð·_x000c_æþ'_x000d_ßþU_x0001_Ø_x0005_ü_x0014__x0007__x0001__x0001_ 17" xfId="4849"/>
    <cellStyle name="þ_x001d_ð·_x000c_æþ'_x000d_ßþU_x0001_Ø_x0005_ü_x0014__x0007__x0001__x0001_ 17 2" xfId="5927"/>
    <cellStyle name="þ_x001d_ð·_x000c_æþ'_x000d_ßþU_x0001_Ø_x0005_ü_x0014__x0007__x0001__x0001_ 17 2 2" xfId="10582"/>
    <cellStyle name="þ_x001d_ð·_x000c_æþ'_x000d_ßþU_x0001_Ø_x0005_ü_x0014__x0007__x0001__x0001_ 17 3" xfId="9531"/>
    <cellStyle name="þ_x001d_ð·_x000c_æþ'_x000d_ßþU_x0001_Ø_x0005_ü_x0014__x0007__x0001__x0001_ 18" xfId="4850"/>
    <cellStyle name="þ_x001d_ð·_x000c_æþ'_x000d_ßþU_x0001_Ø_x0005_ü_x0014__x0007__x0001__x0001_ 18 2" xfId="5928"/>
    <cellStyle name="þ_x001d_ð·_x000c_æþ'_x000d_ßþU_x0001_Ø_x0005_ü_x0014__x0007__x0001__x0001_ 18 2 2" xfId="10583"/>
    <cellStyle name="þ_x001d_ð·_x000c_æþ'_x000d_ßþU_x0001_Ø_x0005_ü_x0014__x0007__x0001__x0001_ 18 3" xfId="9532"/>
    <cellStyle name="þ_x001d_ð·_x000c_æþ'_x000d_ßþU_x0001_Ø_x0005_ü_x0014__x0007__x0001__x0001_ 19" xfId="4851"/>
    <cellStyle name="þ_x001d_ð·_x000c_æþ'_x000d_ßþU_x0001_Ø_x0005_ü_x0014__x0007__x0001__x0001_ 19 2" xfId="5929"/>
    <cellStyle name="þ_x001d_ð·_x000c_æþ'_x000d_ßþU_x0001_Ø_x0005_ü_x0014__x0007__x0001__x0001_ 19 2 2" xfId="10584"/>
    <cellStyle name="þ_x001d_ð·_x000c_æþ'_x000d_ßþU_x0001_Ø_x0005_ü_x0014__x0007__x0001__x0001_ 19 3" xfId="9533"/>
    <cellStyle name="þ_x001d_ð·_x000c_æþ'_x000d_ßþU_x0001_Ø_x0005_ü_x0014__x0007__x0001__x0001_ 2" xfId="4852"/>
    <cellStyle name="þ_x001d_ð·_x000c_æþ'_x000d_ßþU_x0001_Ø_x0005_ü_x0014__x0007__x0001__x0001_ 2 2" xfId="5930"/>
    <cellStyle name="þ_x001d_ð·_x000c_æþ'_x000d_ßþU_x0001_Ø_x0005_ü_x0014__x0007__x0001__x0001_ 2 2 2" xfId="10585"/>
    <cellStyle name="þ_x001d_ð·_x000c_æþ'_x000d_ßþU_x0001_Ø_x0005_ü_x0014__x0007__x0001__x0001_ 2 3" xfId="9534"/>
    <cellStyle name="þ_x001d_ð·_x000c_æþ'_x000d_ßþU_x0001_Ø_x0005_ü_x0014__x0007__x0001__x0001_ 20" xfId="4853"/>
    <cellStyle name="þ_x001d_ð·_x000c_æþ'_x000d_ßþU_x0001_Ø_x0005_ü_x0014__x0007__x0001__x0001_ 20 2" xfId="5931"/>
    <cellStyle name="þ_x001d_ð·_x000c_æþ'_x000d_ßþU_x0001_Ø_x0005_ü_x0014__x0007__x0001__x0001_ 20 2 2" xfId="10586"/>
    <cellStyle name="þ_x001d_ð·_x000c_æþ'_x000d_ßþU_x0001_Ø_x0005_ü_x0014__x0007__x0001__x0001_ 20 3" xfId="9535"/>
    <cellStyle name="þ_x001d_ð·_x000c_æþ'_x000d_ßþU_x0001_Ø_x0005_ü_x0014__x0007__x0001__x0001_ 21" xfId="4854"/>
    <cellStyle name="þ_x001d_ð·_x000c_æþ'_x000d_ßþU_x0001_Ø_x0005_ü_x0014__x0007__x0001__x0001_ 21 2" xfId="5932"/>
    <cellStyle name="þ_x001d_ð·_x000c_æþ'_x000d_ßþU_x0001_Ø_x0005_ü_x0014__x0007__x0001__x0001_ 21 2 2" xfId="10587"/>
    <cellStyle name="þ_x001d_ð·_x000c_æþ'_x000d_ßþU_x0001_Ø_x0005_ü_x0014__x0007__x0001__x0001_ 21 3" xfId="9536"/>
    <cellStyle name="þ_x001d_ð·_x000c_æþ'_x000d_ßþU_x0001_Ø_x0005_ü_x0014__x0007__x0001__x0001_ 22" xfId="4855"/>
    <cellStyle name="þ_x001d_ð·_x000c_æþ'_x000d_ßþU_x0001_Ø_x0005_ü_x0014__x0007__x0001__x0001_ 22 2" xfId="5933"/>
    <cellStyle name="þ_x001d_ð·_x000c_æþ'_x000d_ßþU_x0001_Ø_x0005_ü_x0014__x0007__x0001__x0001_ 22 2 2" xfId="10588"/>
    <cellStyle name="þ_x001d_ð·_x000c_æþ'_x000d_ßþU_x0001_Ø_x0005_ü_x0014__x0007__x0001__x0001_ 22 3" xfId="9537"/>
    <cellStyle name="þ_x001d_ð·_x000c_æþ'_x000d_ßþU_x0001_Ø_x0005_ü_x0014__x0007__x0001__x0001_ 23" xfId="4856"/>
    <cellStyle name="þ_x001d_ð·_x000c_æþ'_x000d_ßþU_x0001_Ø_x0005_ü_x0014__x0007__x0001__x0001_ 23 2" xfId="5934"/>
    <cellStyle name="þ_x001d_ð·_x000c_æþ'_x000d_ßþU_x0001_Ø_x0005_ü_x0014__x0007__x0001__x0001_ 23 2 2" xfId="10589"/>
    <cellStyle name="þ_x001d_ð·_x000c_æþ'_x000d_ßþU_x0001_Ø_x0005_ü_x0014__x0007__x0001__x0001_ 23 3" xfId="9538"/>
    <cellStyle name="þ_x001d_ð·_x000c_æþ'_x000d_ßþU_x0001_Ø_x0005_ü_x0014__x0007__x0001__x0001_ 24" xfId="4857"/>
    <cellStyle name="þ_x001d_ð·_x000c_æþ'_x000d_ßþU_x0001_Ø_x0005_ü_x0014__x0007__x0001__x0001_ 24 2" xfId="5935"/>
    <cellStyle name="þ_x001d_ð·_x000c_æþ'_x000d_ßþU_x0001_Ø_x0005_ü_x0014__x0007__x0001__x0001_ 24 2 2" xfId="10590"/>
    <cellStyle name="þ_x001d_ð·_x000c_æþ'_x000d_ßþU_x0001_Ø_x0005_ü_x0014__x0007__x0001__x0001_ 24 3" xfId="9539"/>
    <cellStyle name="þ_x001d_ð·_x000c_æþ'_x000d_ßþU_x0001_Ø_x0005_ü_x0014__x0007__x0001__x0001_ 25" xfId="4858"/>
    <cellStyle name="þ_x001d_ð·_x000c_æþ'_x000d_ßþU_x0001_Ø_x0005_ü_x0014__x0007__x0001__x0001_ 25 2" xfId="5936"/>
    <cellStyle name="þ_x001d_ð·_x000c_æþ'_x000d_ßþU_x0001_Ø_x0005_ü_x0014__x0007__x0001__x0001_ 25 2 2" xfId="10591"/>
    <cellStyle name="þ_x001d_ð·_x000c_æþ'_x000d_ßþU_x0001_Ø_x0005_ü_x0014__x0007__x0001__x0001_ 25 3" xfId="9540"/>
    <cellStyle name="þ_x001d_ð·_x000c_æþ'_x000d_ßþU_x0001_Ø_x0005_ü_x0014__x0007__x0001__x0001_ 26" xfId="4859"/>
    <cellStyle name="þ_x001d_ð·_x000c_æþ'_x000d_ßþU_x0001_Ø_x0005_ü_x0014__x0007__x0001__x0001_ 26 2" xfId="5937"/>
    <cellStyle name="þ_x001d_ð·_x000c_æþ'_x000d_ßþU_x0001_Ø_x0005_ü_x0014__x0007__x0001__x0001_ 26 2 2" xfId="10592"/>
    <cellStyle name="þ_x001d_ð·_x000c_æþ'_x000d_ßþU_x0001_Ø_x0005_ü_x0014__x0007__x0001__x0001_ 26 3" xfId="9541"/>
    <cellStyle name="þ_x001d_ð·_x000c_æþ'_x000d_ßþU_x0001_Ø_x0005_ü_x0014__x0007__x0001__x0001_ 27" xfId="5919"/>
    <cellStyle name="þ_x001d_ð·_x000c_æþ'_x000d_ßþU_x0001_Ø_x0005_ü_x0014__x0007__x0001__x0001_ 27 2" xfId="10574"/>
    <cellStyle name="þ_x001d_ð·_x000c_æþ'_x000d_ßþU_x0001_Ø_x0005_ü_x0014__x0007__x0001__x0001_ 28" xfId="9523"/>
    <cellStyle name="þ_x001d_ð·_x000c_æþ'_x000d_ßþU_x0001_Ø_x0005_ü_x0014__x0007__x0001__x0001_ 3" xfId="4860"/>
    <cellStyle name="þ_x001d_ð·_x000c_æþ'_x000d_ßþU_x0001_Ø_x0005_ü_x0014__x0007__x0001__x0001_ 3 2" xfId="5938"/>
    <cellStyle name="þ_x001d_ð·_x000c_æþ'_x000d_ßþU_x0001_Ø_x0005_ü_x0014__x0007__x0001__x0001_ 3 2 2" xfId="10593"/>
    <cellStyle name="þ_x001d_ð·_x000c_æþ'_x000d_ßþU_x0001_Ø_x0005_ü_x0014__x0007__x0001__x0001_ 3 3" xfId="9542"/>
    <cellStyle name="þ_x001d_ð·_x000c_æþ'_x000d_ßþU_x0001_Ø_x0005_ü_x0014__x0007__x0001__x0001_ 4" xfId="4861"/>
    <cellStyle name="þ_x001d_ð·_x000c_æþ'_x000d_ßþU_x0001_Ø_x0005_ü_x0014__x0007__x0001__x0001_ 4 2" xfId="5939"/>
    <cellStyle name="þ_x001d_ð·_x000c_æþ'_x000d_ßþU_x0001_Ø_x0005_ü_x0014__x0007__x0001__x0001_ 4 2 2" xfId="10594"/>
    <cellStyle name="þ_x001d_ð·_x000c_æþ'_x000d_ßþU_x0001_Ø_x0005_ü_x0014__x0007__x0001__x0001_ 4 3" xfId="9543"/>
    <cellStyle name="þ_x001d_ð·_x000c_æþ'_x000d_ßþU_x0001_Ø_x0005_ü_x0014__x0007__x0001__x0001_ 5" xfId="4862"/>
    <cellStyle name="þ_x001d_ð·_x000c_æþ'_x000d_ßþU_x0001_Ø_x0005_ü_x0014__x0007__x0001__x0001_ 5 2" xfId="5940"/>
    <cellStyle name="þ_x001d_ð·_x000c_æþ'_x000d_ßþU_x0001_Ø_x0005_ü_x0014__x0007__x0001__x0001_ 5 2 2" xfId="10595"/>
    <cellStyle name="þ_x001d_ð·_x000c_æþ'_x000d_ßþU_x0001_Ø_x0005_ü_x0014__x0007__x0001__x0001_ 5 3" xfId="9544"/>
    <cellStyle name="þ_x001d_ð·_x000c_æþ'_x000d_ßþU_x0001_Ø_x0005_ü_x0014__x0007__x0001__x0001_ 6" xfId="4863"/>
    <cellStyle name="þ_x001d_ð·_x000c_æþ'_x000d_ßþU_x0001_Ø_x0005_ü_x0014__x0007__x0001__x0001_ 6 2" xfId="5941"/>
    <cellStyle name="þ_x001d_ð·_x000c_æþ'_x000d_ßþU_x0001_Ø_x0005_ü_x0014__x0007__x0001__x0001_ 6 2 2" xfId="10596"/>
    <cellStyle name="þ_x001d_ð·_x000c_æþ'_x000d_ßþU_x0001_Ø_x0005_ü_x0014__x0007__x0001__x0001_ 6 3" xfId="9545"/>
    <cellStyle name="þ_x001d_ð·_x000c_æþ'_x000d_ßþU_x0001_Ø_x0005_ü_x0014__x0007__x0001__x0001_ 7" xfId="4864"/>
    <cellStyle name="þ_x001d_ð·_x000c_æþ'_x000d_ßþU_x0001_Ø_x0005_ü_x0014__x0007__x0001__x0001_ 7 2" xfId="5942"/>
    <cellStyle name="þ_x001d_ð·_x000c_æþ'_x000d_ßþU_x0001_Ø_x0005_ü_x0014__x0007__x0001__x0001_ 7 2 2" xfId="10597"/>
    <cellStyle name="þ_x001d_ð·_x000c_æþ'_x000d_ßþU_x0001_Ø_x0005_ü_x0014__x0007__x0001__x0001_ 7 3" xfId="9546"/>
    <cellStyle name="þ_x001d_ð·_x000c_æþ'_x000d_ßþU_x0001_Ø_x0005_ü_x0014__x0007__x0001__x0001_ 8" xfId="4865"/>
    <cellStyle name="þ_x001d_ð·_x000c_æþ'_x000d_ßþU_x0001_Ø_x0005_ü_x0014__x0007__x0001__x0001_ 8 2" xfId="5943"/>
    <cellStyle name="þ_x001d_ð·_x000c_æþ'_x000d_ßþU_x0001_Ø_x0005_ü_x0014__x0007__x0001__x0001_ 8 2 2" xfId="10598"/>
    <cellStyle name="þ_x001d_ð·_x000c_æþ'_x000d_ßþU_x0001_Ø_x0005_ü_x0014__x0007__x0001__x0001_ 8 3" xfId="9547"/>
    <cellStyle name="þ_x001d_ð·_x000c_æþ'_x000d_ßþU_x0001_Ø_x0005_ü_x0014__x0007__x0001__x0001_ 9" xfId="4866"/>
    <cellStyle name="þ_x001d_ð·_x000c_æþ'_x000d_ßþU_x0001_Ø_x0005_ü_x0014__x0007__x0001__x0001_ 9 2" xfId="5944"/>
    <cellStyle name="þ_x001d_ð·_x000c_æþ'_x000d_ßþU_x0001_Ø_x0005_ü_x0014__x0007__x0001__x0001_ 9 2 2" xfId="10599"/>
    <cellStyle name="þ_x001d_ð·_x000c_æþ'_x000d_ßþU_x0001_Ø_x0005_ü_x0014__x0007__x0001__x0001_ 9 3" xfId="9548"/>
    <cellStyle name="þ_x001d_ð·_x000c_æþ'_x000d_ßþU_x0001_Ø_x0005_ü_x0014__x0007__x0001__x0001__B 10 c" xfId="4867"/>
    <cellStyle name="þ_x001d_ðÇ%Uý—&amp;Hý9_x0008_Ÿ s_x000a__x0007__x0001__x0001_" xfId="4868"/>
    <cellStyle name="þ_x001d_ðÇ%Uý—&amp;Hý9_x0008_Ÿ s_x000a__x0007__x0001__x0001_ 2" xfId="4869"/>
    <cellStyle name="þ_x001d_ðÇ%Uý—&amp;Hý9_x0008_Ÿ s_x000a__x0007__x0001__x0001_ 2 10" xfId="4870"/>
    <cellStyle name="þ_x001d_ðÇ%Uý—&amp;Hý9_x0008_Ÿ s_x000a__x0007__x0001__x0001_ 2 10 2" xfId="5947"/>
    <cellStyle name="þ_x001d_ðÇ%Uý—&amp;Hý9_x0008_Ÿ s_x000a__x0007__x0001__x0001_ 2 10 2 2" xfId="10602"/>
    <cellStyle name="þ_x001d_ðÇ%Uý—&amp;Hý9_x0008_Ÿ s_x000a__x0007__x0001__x0001_ 2 10 3" xfId="9551"/>
    <cellStyle name="þ_x001d_ðÇ%Uý—&amp;Hý9_x0008_Ÿ s_x000a__x0007__x0001__x0001_ 2 11" xfId="4871"/>
    <cellStyle name="þ_x001d_ðÇ%Uý—&amp;Hý9_x0008_Ÿ s_x000a__x0007__x0001__x0001_ 2 11 2" xfId="5948"/>
    <cellStyle name="þ_x001d_ðÇ%Uý—&amp;Hý9_x0008_Ÿ s_x000a__x0007__x0001__x0001_ 2 11 2 2" xfId="10603"/>
    <cellStyle name="þ_x001d_ðÇ%Uý—&amp;Hý9_x0008_Ÿ s_x000a__x0007__x0001__x0001_ 2 11 3" xfId="9552"/>
    <cellStyle name="þ_x001d_ðÇ%Uý—&amp;Hý9_x0008_Ÿ s_x000a__x0007__x0001__x0001_ 2 12" xfId="4872"/>
    <cellStyle name="þ_x001d_ðÇ%Uý—&amp;Hý9_x0008_Ÿ s_x000a__x0007__x0001__x0001_ 2 12 2" xfId="5949"/>
    <cellStyle name="þ_x001d_ðÇ%Uý—&amp;Hý9_x0008_Ÿ s_x000a__x0007__x0001__x0001_ 2 12 2 2" xfId="10604"/>
    <cellStyle name="þ_x001d_ðÇ%Uý—&amp;Hý9_x0008_Ÿ s_x000a__x0007__x0001__x0001_ 2 12 3" xfId="9553"/>
    <cellStyle name="þ_x001d_ðÇ%Uý—&amp;Hý9_x0008_Ÿ s_x000a__x0007__x0001__x0001_ 2 13" xfId="4873"/>
    <cellStyle name="þ_x001d_ðÇ%Uý—&amp;Hý9_x0008_Ÿ s_x000a__x0007__x0001__x0001_ 2 13 2" xfId="5950"/>
    <cellStyle name="þ_x001d_ðÇ%Uý—&amp;Hý9_x0008_Ÿ s_x000a__x0007__x0001__x0001_ 2 13 2 2" xfId="10605"/>
    <cellStyle name="þ_x001d_ðÇ%Uý—&amp;Hý9_x0008_Ÿ s_x000a__x0007__x0001__x0001_ 2 13 3" xfId="9554"/>
    <cellStyle name="þ_x001d_ðÇ%Uý—&amp;Hý9_x0008_Ÿ s_x000a__x0007__x0001__x0001_ 2 14" xfId="4874"/>
    <cellStyle name="þ_x001d_ðÇ%Uý—&amp;Hý9_x0008_Ÿ s_x000a__x0007__x0001__x0001_ 2 14 2" xfId="5951"/>
    <cellStyle name="þ_x001d_ðÇ%Uý—&amp;Hý9_x0008_Ÿ s_x000a__x0007__x0001__x0001_ 2 14 2 2" xfId="10606"/>
    <cellStyle name="þ_x001d_ðÇ%Uý—&amp;Hý9_x0008_Ÿ s_x000a__x0007__x0001__x0001_ 2 14 3" xfId="9555"/>
    <cellStyle name="þ_x001d_ðÇ%Uý—&amp;Hý9_x0008_Ÿ s_x000a__x0007__x0001__x0001_ 2 15" xfId="4875"/>
    <cellStyle name="þ_x001d_ðÇ%Uý—&amp;Hý9_x0008_Ÿ s_x000a__x0007__x0001__x0001_ 2 15 2" xfId="5952"/>
    <cellStyle name="þ_x001d_ðÇ%Uý—&amp;Hý9_x0008_Ÿ s_x000a__x0007__x0001__x0001_ 2 15 2 2" xfId="10607"/>
    <cellStyle name="þ_x001d_ðÇ%Uý—&amp;Hý9_x0008_Ÿ s_x000a__x0007__x0001__x0001_ 2 15 3" xfId="9556"/>
    <cellStyle name="þ_x001d_ðÇ%Uý—&amp;Hý9_x0008_Ÿ s_x000a__x0007__x0001__x0001_ 2 16" xfId="4876"/>
    <cellStyle name="þ_x001d_ðÇ%Uý—&amp;Hý9_x0008_Ÿ s_x000a__x0007__x0001__x0001_ 2 16 2" xfId="5953"/>
    <cellStyle name="þ_x001d_ðÇ%Uý—&amp;Hý9_x0008_Ÿ s_x000a__x0007__x0001__x0001_ 2 16 2 2" xfId="10608"/>
    <cellStyle name="þ_x001d_ðÇ%Uý—&amp;Hý9_x0008_Ÿ s_x000a__x0007__x0001__x0001_ 2 16 3" xfId="9557"/>
    <cellStyle name="þ_x001d_ðÇ%Uý—&amp;Hý9_x0008_Ÿ s_x000a__x0007__x0001__x0001_ 2 17" xfId="4877"/>
    <cellStyle name="þ_x001d_ðÇ%Uý—&amp;Hý9_x0008_Ÿ s_x000a__x0007__x0001__x0001_ 2 17 2" xfId="5954"/>
    <cellStyle name="þ_x001d_ðÇ%Uý—&amp;Hý9_x0008_Ÿ s_x000a__x0007__x0001__x0001_ 2 17 2 2" xfId="10609"/>
    <cellStyle name="þ_x001d_ðÇ%Uý—&amp;Hý9_x0008_Ÿ s_x000a__x0007__x0001__x0001_ 2 17 3" xfId="9558"/>
    <cellStyle name="þ_x001d_ðÇ%Uý—&amp;Hý9_x0008_Ÿ s_x000a__x0007__x0001__x0001_ 2 18" xfId="4878"/>
    <cellStyle name="þ_x001d_ðÇ%Uý—&amp;Hý9_x0008_Ÿ s_x000a__x0007__x0001__x0001_ 2 18 2" xfId="5955"/>
    <cellStyle name="þ_x001d_ðÇ%Uý—&amp;Hý9_x0008_Ÿ s_x000a__x0007__x0001__x0001_ 2 18 2 2" xfId="10610"/>
    <cellStyle name="þ_x001d_ðÇ%Uý—&amp;Hý9_x0008_Ÿ s_x000a__x0007__x0001__x0001_ 2 18 3" xfId="9559"/>
    <cellStyle name="þ_x001d_ðÇ%Uý—&amp;Hý9_x0008_Ÿ s_x000a__x0007__x0001__x0001_ 2 19" xfId="4879"/>
    <cellStyle name="þ_x001d_ðÇ%Uý—&amp;Hý9_x0008_Ÿ s_x000a__x0007__x0001__x0001_ 2 19 2" xfId="5956"/>
    <cellStyle name="þ_x001d_ðÇ%Uý—&amp;Hý9_x0008_Ÿ s_x000a__x0007__x0001__x0001_ 2 19 2 2" xfId="10611"/>
    <cellStyle name="þ_x001d_ðÇ%Uý—&amp;Hý9_x0008_Ÿ s_x000a__x0007__x0001__x0001_ 2 19 3" xfId="9560"/>
    <cellStyle name="þ_x001d_ðÇ%Uý—&amp;Hý9_x0008_Ÿ s_x000a__x0007__x0001__x0001_ 2 2" xfId="4880"/>
    <cellStyle name="þ_x001d_ðÇ%Uý—&amp;Hý9_x0008_Ÿ s_x000a__x0007__x0001__x0001_ 2 2 2" xfId="5957"/>
    <cellStyle name="þ_x001d_ðÇ%Uý—&amp;Hý9_x0008_Ÿ s_x000a__x0007__x0001__x0001_ 2 2 2 2" xfId="10612"/>
    <cellStyle name="þ_x001d_ðÇ%Uý—&amp;Hý9_x0008_Ÿ s_x000a__x0007__x0001__x0001_ 2 2 3" xfId="9561"/>
    <cellStyle name="þ_x001d_ðÇ%Uý—&amp;Hý9_x0008_Ÿ s_x000a__x0007__x0001__x0001_ 2 20" xfId="4881"/>
    <cellStyle name="þ_x001d_ðÇ%Uý—&amp;Hý9_x0008_Ÿ s_x000a__x0007__x0001__x0001_ 2 20 2" xfId="5958"/>
    <cellStyle name="þ_x001d_ðÇ%Uý—&amp;Hý9_x0008_Ÿ s_x000a__x0007__x0001__x0001_ 2 20 2 2" xfId="10613"/>
    <cellStyle name="þ_x001d_ðÇ%Uý—&amp;Hý9_x0008_Ÿ s_x000a__x0007__x0001__x0001_ 2 20 3" xfId="9562"/>
    <cellStyle name="þ_x001d_ðÇ%Uý—&amp;Hý9_x0008_Ÿ s_x000a__x0007__x0001__x0001_ 2 21" xfId="4882"/>
    <cellStyle name="þ_x001d_ðÇ%Uý—&amp;Hý9_x0008_Ÿ s_x000a__x0007__x0001__x0001_ 2 21 2" xfId="5959"/>
    <cellStyle name="þ_x001d_ðÇ%Uý—&amp;Hý9_x0008_Ÿ s_x000a__x0007__x0001__x0001_ 2 21 2 2" xfId="10614"/>
    <cellStyle name="þ_x001d_ðÇ%Uý—&amp;Hý9_x0008_Ÿ s_x000a__x0007__x0001__x0001_ 2 21 3" xfId="9563"/>
    <cellStyle name="þ_x001d_ðÇ%Uý—&amp;Hý9_x0008_Ÿ s_x000a__x0007__x0001__x0001_ 2 22" xfId="4883"/>
    <cellStyle name="þ_x001d_ðÇ%Uý—&amp;Hý9_x0008_Ÿ s_x000a__x0007__x0001__x0001_ 2 22 2" xfId="5960"/>
    <cellStyle name="þ_x001d_ðÇ%Uý—&amp;Hý9_x0008_Ÿ s_x000a__x0007__x0001__x0001_ 2 22 2 2" xfId="10615"/>
    <cellStyle name="þ_x001d_ðÇ%Uý—&amp;Hý9_x0008_Ÿ s_x000a__x0007__x0001__x0001_ 2 22 3" xfId="9564"/>
    <cellStyle name="þ_x001d_ðÇ%Uý—&amp;Hý9_x0008_Ÿ s_x000a__x0007__x0001__x0001_ 2 23" xfId="4884"/>
    <cellStyle name="þ_x001d_ðÇ%Uý—&amp;Hý9_x0008_Ÿ s_x000a__x0007__x0001__x0001_ 2 23 2" xfId="5961"/>
    <cellStyle name="þ_x001d_ðÇ%Uý—&amp;Hý9_x0008_Ÿ s_x000a__x0007__x0001__x0001_ 2 23 2 2" xfId="10616"/>
    <cellStyle name="þ_x001d_ðÇ%Uý—&amp;Hý9_x0008_Ÿ s_x000a__x0007__x0001__x0001_ 2 23 3" xfId="9565"/>
    <cellStyle name="þ_x001d_ðÇ%Uý—&amp;Hý9_x0008_Ÿ s_x000a__x0007__x0001__x0001_ 2 24" xfId="5946"/>
    <cellStyle name="þ_x001d_ðÇ%Uý—&amp;Hý9_x0008_Ÿ s_x000a__x0007__x0001__x0001_ 2 24 2" xfId="10601"/>
    <cellStyle name="þ_x001d_ðÇ%Uý—&amp;Hý9_x0008_Ÿ s_x000a__x0007__x0001__x0001_ 2 25" xfId="9550"/>
    <cellStyle name="þ_x001d_ðÇ%Uý—&amp;Hý9_x0008_Ÿ s_x000a__x0007__x0001__x0001_ 2 3" xfId="4885"/>
    <cellStyle name="þ_x001d_ðÇ%Uý—&amp;Hý9_x0008_Ÿ s_x000a__x0007__x0001__x0001_ 2 3 2" xfId="5962"/>
    <cellStyle name="þ_x001d_ðÇ%Uý—&amp;Hý9_x0008_Ÿ s_x000a__x0007__x0001__x0001_ 2 3 2 2" xfId="10617"/>
    <cellStyle name="þ_x001d_ðÇ%Uý—&amp;Hý9_x0008_Ÿ s_x000a__x0007__x0001__x0001_ 2 3 3" xfId="9566"/>
    <cellStyle name="þ_x001d_ðÇ%Uý—&amp;Hý9_x0008_Ÿ s_x000a__x0007__x0001__x0001_ 2 4" xfId="4886"/>
    <cellStyle name="þ_x001d_ðÇ%Uý—&amp;Hý9_x0008_Ÿ s_x000a__x0007__x0001__x0001_ 2 4 2" xfId="5963"/>
    <cellStyle name="þ_x001d_ðÇ%Uý—&amp;Hý9_x0008_Ÿ s_x000a__x0007__x0001__x0001_ 2 4 2 2" xfId="10618"/>
    <cellStyle name="þ_x001d_ðÇ%Uý—&amp;Hý9_x0008_Ÿ s_x000a__x0007__x0001__x0001_ 2 4 3" xfId="9567"/>
    <cellStyle name="þ_x001d_ðÇ%Uý—&amp;Hý9_x0008_Ÿ s_x000a__x0007__x0001__x0001_ 2 5" xfId="4887"/>
    <cellStyle name="þ_x001d_ðÇ%Uý—&amp;Hý9_x0008_Ÿ s_x000a__x0007__x0001__x0001_ 2 5 2" xfId="5964"/>
    <cellStyle name="þ_x001d_ðÇ%Uý—&amp;Hý9_x0008_Ÿ s_x000a__x0007__x0001__x0001_ 2 5 2 2" xfId="10619"/>
    <cellStyle name="þ_x001d_ðÇ%Uý—&amp;Hý9_x0008_Ÿ s_x000a__x0007__x0001__x0001_ 2 5 3" xfId="9568"/>
    <cellStyle name="þ_x001d_ðÇ%Uý—&amp;Hý9_x0008_Ÿ s_x000a__x0007__x0001__x0001_ 2 6" xfId="4888"/>
    <cellStyle name="þ_x001d_ðÇ%Uý—&amp;Hý9_x0008_Ÿ s_x000a__x0007__x0001__x0001_ 2 6 2" xfId="5965"/>
    <cellStyle name="þ_x001d_ðÇ%Uý—&amp;Hý9_x0008_Ÿ s_x000a__x0007__x0001__x0001_ 2 6 2 2" xfId="10620"/>
    <cellStyle name="þ_x001d_ðÇ%Uý—&amp;Hý9_x0008_Ÿ s_x000a__x0007__x0001__x0001_ 2 6 3" xfId="9569"/>
    <cellStyle name="þ_x001d_ðÇ%Uý—&amp;Hý9_x0008_Ÿ s_x000a__x0007__x0001__x0001_ 2 7" xfId="4889"/>
    <cellStyle name="þ_x001d_ðÇ%Uý—&amp;Hý9_x0008_Ÿ s_x000a__x0007__x0001__x0001_ 2 7 2" xfId="5966"/>
    <cellStyle name="þ_x001d_ðÇ%Uý—&amp;Hý9_x0008_Ÿ s_x000a__x0007__x0001__x0001_ 2 7 2 2" xfId="10621"/>
    <cellStyle name="þ_x001d_ðÇ%Uý—&amp;Hý9_x0008_Ÿ s_x000a__x0007__x0001__x0001_ 2 7 3" xfId="9570"/>
    <cellStyle name="þ_x001d_ðÇ%Uý—&amp;Hý9_x0008_Ÿ s_x000a__x0007__x0001__x0001_ 2 8" xfId="4890"/>
    <cellStyle name="þ_x001d_ðÇ%Uý—&amp;Hý9_x0008_Ÿ s_x000a__x0007__x0001__x0001_ 2 8 2" xfId="5967"/>
    <cellStyle name="þ_x001d_ðÇ%Uý—&amp;Hý9_x0008_Ÿ s_x000a__x0007__x0001__x0001_ 2 8 2 2" xfId="10622"/>
    <cellStyle name="þ_x001d_ðÇ%Uý—&amp;Hý9_x0008_Ÿ s_x000a__x0007__x0001__x0001_ 2 8 3" xfId="9571"/>
    <cellStyle name="þ_x001d_ðÇ%Uý—&amp;Hý9_x0008_Ÿ s_x000a__x0007__x0001__x0001_ 2 9" xfId="4891"/>
    <cellStyle name="þ_x001d_ðÇ%Uý—&amp;Hý9_x0008_Ÿ s_x000a__x0007__x0001__x0001_ 2 9 2" xfId="5968"/>
    <cellStyle name="þ_x001d_ðÇ%Uý—&amp;Hý9_x0008_Ÿ s_x000a__x0007__x0001__x0001_ 2 9 2 2" xfId="10623"/>
    <cellStyle name="þ_x001d_ðÇ%Uý—&amp;Hý9_x0008_Ÿ s_x000a__x0007__x0001__x0001_ 2 9 3" xfId="9572"/>
    <cellStyle name="þ_x001d_ðÇ%Uý—&amp;Hý9_x0008_Ÿ s_x000a__x0007__x0001__x0001_ 3" xfId="4892"/>
    <cellStyle name="þ_x001d_ðÇ%Uý—&amp;Hý9_x0008_Ÿ s_x000a__x0007__x0001__x0001_ 3 10" xfId="4893"/>
    <cellStyle name="þ_x001d_ðÇ%Uý—&amp;Hý9_x0008_Ÿ s_x000a__x0007__x0001__x0001_ 3 10 2" xfId="5970"/>
    <cellStyle name="þ_x001d_ðÇ%Uý—&amp;Hý9_x0008_Ÿ s_x000a__x0007__x0001__x0001_ 3 10 2 2" xfId="10625"/>
    <cellStyle name="þ_x001d_ðÇ%Uý—&amp;Hý9_x0008_Ÿ s_x000a__x0007__x0001__x0001_ 3 10 3" xfId="9574"/>
    <cellStyle name="þ_x001d_ðÇ%Uý—&amp;Hý9_x0008_Ÿ s_x000a__x0007__x0001__x0001_ 3 11" xfId="4894"/>
    <cellStyle name="þ_x001d_ðÇ%Uý—&amp;Hý9_x0008_Ÿ s_x000a__x0007__x0001__x0001_ 3 11 2" xfId="5971"/>
    <cellStyle name="þ_x001d_ðÇ%Uý—&amp;Hý9_x0008_Ÿ s_x000a__x0007__x0001__x0001_ 3 11 2 2" xfId="10626"/>
    <cellStyle name="þ_x001d_ðÇ%Uý—&amp;Hý9_x0008_Ÿ s_x000a__x0007__x0001__x0001_ 3 11 3" xfId="9575"/>
    <cellStyle name="þ_x001d_ðÇ%Uý—&amp;Hý9_x0008_Ÿ s_x000a__x0007__x0001__x0001_ 3 12" xfId="4895"/>
    <cellStyle name="þ_x001d_ðÇ%Uý—&amp;Hý9_x0008_Ÿ s_x000a__x0007__x0001__x0001_ 3 12 2" xfId="5972"/>
    <cellStyle name="þ_x001d_ðÇ%Uý—&amp;Hý9_x0008_Ÿ s_x000a__x0007__x0001__x0001_ 3 12 2 2" xfId="10627"/>
    <cellStyle name="þ_x001d_ðÇ%Uý—&amp;Hý9_x0008_Ÿ s_x000a__x0007__x0001__x0001_ 3 12 3" xfId="9576"/>
    <cellStyle name="þ_x001d_ðÇ%Uý—&amp;Hý9_x0008_Ÿ s_x000a__x0007__x0001__x0001_ 3 13" xfId="4896"/>
    <cellStyle name="þ_x001d_ðÇ%Uý—&amp;Hý9_x0008_Ÿ s_x000a__x0007__x0001__x0001_ 3 13 2" xfId="5973"/>
    <cellStyle name="þ_x001d_ðÇ%Uý—&amp;Hý9_x0008_Ÿ s_x000a__x0007__x0001__x0001_ 3 13 2 2" xfId="10628"/>
    <cellStyle name="þ_x001d_ðÇ%Uý—&amp;Hý9_x0008_Ÿ s_x000a__x0007__x0001__x0001_ 3 13 3" xfId="9577"/>
    <cellStyle name="þ_x001d_ðÇ%Uý—&amp;Hý9_x0008_Ÿ s_x000a__x0007__x0001__x0001_ 3 14" xfId="4897"/>
    <cellStyle name="þ_x001d_ðÇ%Uý—&amp;Hý9_x0008_Ÿ s_x000a__x0007__x0001__x0001_ 3 14 2" xfId="5974"/>
    <cellStyle name="þ_x001d_ðÇ%Uý—&amp;Hý9_x0008_Ÿ s_x000a__x0007__x0001__x0001_ 3 14 2 2" xfId="10629"/>
    <cellStyle name="þ_x001d_ðÇ%Uý—&amp;Hý9_x0008_Ÿ s_x000a__x0007__x0001__x0001_ 3 14 3" xfId="9578"/>
    <cellStyle name="þ_x001d_ðÇ%Uý—&amp;Hý9_x0008_Ÿ s_x000a__x0007__x0001__x0001_ 3 15" xfId="4898"/>
    <cellStyle name="þ_x001d_ðÇ%Uý—&amp;Hý9_x0008_Ÿ s_x000a__x0007__x0001__x0001_ 3 15 2" xfId="5975"/>
    <cellStyle name="þ_x001d_ðÇ%Uý—&amp;Hý9_x0008_Ÿ s_x000a__x0007__x0001__x0001_ 3 15 2 2" xfId="10630"/>
    <cellStyle name="þ_x001d_ðÇ%Uý—&amp;Hý9_x0008_Ÿ s_x000a__x0007__x0001__x0001_ 3 15 3" xfId="9579"/>
    <cellStyle name="þ_x001d_ðÇ%Uý—&amp;Hý9_x0008_Ÿ s_x000a__x0007__x0001__x0001_ 3 16" xfId="4899"/>
    <cellStyle name="þ_x001d_ðÇ%Uý—&amp;Hý9_x0008_Ÿ s_x000a__x0007__x0001__x0001_ 3 16 2" xfId="5976"/>
    <cellStyle name="þ_x001d_ðÇ%Uý—&amp;Hý9_x0008_Ÿ s_x000a__x0007__x0001__x0001_ 3 16 2 2" xfId="10631"/>
    <cellStyle name="þ_x001d_ðÇ%Uý—&amp;Hý9_x0008_Ÿ s_x000a__x0007__x0001__x0001_ 3 16 3" xfId="9580"/>
    <cellStyle name="þ_x001d_ðÇ%Uý—&amp;Hý9_x0008_Ÿ s_x000a__x0007__x0001__x0001_ 3 17" xfId="4900"/>
    <cellStyle name="þ_x001d_ðÇ%Uý—&amp;Hý9_x0008_Ÿ s_x000a__x0007__x0001__x0001_ 3 17 2" xfId="5977"/>
    <cellStyle name="þ_x001d_ðÇ%Uý—&amp;Hý9_x0008_Ÿ s_x000a__x0007__x0001__x0001_ 3 17 2 2" xfId="10632"/>
    <cellStyle name="þ_x001d_ðÇ%Uý—&amp;Hý9_x0008_Ÿ s_x000a__x0007__x0001__x0001_ 3 17 3" xfId="9581"/>
    <cellStyle name="þ_x001d_ðÇ%Uý—&amp;Hý9_x0008_Ÿ s_x000a__x0007__x0001__x0001_ 3 18" xfId="4901"/>
    <cellStyle name="þ_x001d_ðÇ%Uý—&amp;Hý9_x0008_Ÿ s_x000a__x0007__x0001__x0001_ 3 18 2" xfId="5978"/>
    <cellStyle name="þ_x001d_ðÇ%Uý—&amp;Hý9_x0008_Ÿ s_x000a__x0007__x0001__x0001_ 3 18 2 2" xfId="10633"/>
    <cellStyle name="þ_x001d_ðÇ%Uý—&amp;Hý9_x0008_Ÿ s_x000a__x0007__x0001__x0001_ 3 18 3" xfId="9582"/>
    <cellStyle name="þ_x001d_ðÇ%Uý—&amp;Hý9_x0008_Ÿ s_x000a__x0007__x0001__x0001_ 3 19" xfId="4902"/>
    <cellStyle name="þ_x001d_ðÇ%Uý—&amp;Hý9_x0008_Ÿ s_x000a__x0007__x0001__x0001_ 3 19 2" xfId="5979"/>
    <cellStyle name="þ_x001d_ðÇ%Uý—&amp;Hý9_x0008_Ÿ s_x000a__x0007__x0001__x0001_ 3 19 2 2" xfId="10634"/>
    <cellStyle name="þ_x001d_ðÇ%Uý—&amp;Hý9_x0008_Ÿ s_x000a__x0007__x0001__x0001_ 3 19 3" xfId="9583"/>
    <cellStyle name="þ_x001d_ðÇ%Uý—&amp;Hý9_x0008_Ÿ s_x000a__x0007__x0001__x0001_ 3 2" xfId="4903"/>
    <cellStyle name="þ_x001d_ðÇ%Uý—&amp;Hý9_x0008_Ÿ s_x000a__x0007__x0001__x0001_ 3 2 2" xfId="5980"/>
    <cellStyle name="þ_x001d_ðÇ%Uý—&amp;Hý9_x0008_Ÿ s_x000a__x0007__x0001__x0001_ 3 2 2 2" xfId="10635"/>
    <cellStyle name="þ_x001d_ðÇ%Uý—&amp;Hý9_x0008_Ÿ s_x000a__x0007__x0001__x0001_ 3 2 3" xfId="9584"/>
    <cellStyle name="þ_x001d_ðÇ%Uý—&amp;Hý9_x0008_Ÿ s_x000a__x0007__x0001__x0001_ 3 20" xfId="4904"/>
    <cellStyle name="þ_x001d_ðÇ%Uý—&amp;Hý9_x0008_Ÿ s_x000a__x0007__x0001__x0001_ 3 20 2" xfId="5981"/>
    <cellStyle name="þ_x001d_ðÇ%Uý—&amp;Hý9_x0008_Ÿ s_x000a__x0007__x0001__x0001_ 3 20 2 2" xfId="10636"/>
    <cellStyle name="þ_x001d_ðÇ%Uý—&amp;Hý9_x0008_Ÿ s_x000a__x0007__x0001__x0001_ 3 20 3" xfId="9585"/>
    <cellStyle name="þ_x001d_ðÇ%Uý—&amp;Hý9_x0008_Ÿ s_x000a__x0007__x0001__x0001_ 3 21" xfId="4905"/>
    <cellStyle name="þ_x001d_ðÇ%Uý—&amp;Hý9_x0008_Ÿ s_x000a__x0007__x0001__x0001_ 3 21 2" xfId="5982"/>
    <cellStyle name="þ_x001d_ðÇ%Uý—&amp;Hý9_x0008_Ÿ s_x000a__x0007__x0001__x0001_ 3 21 2 2" xfId="10637"/>
    <cellStyle name="þ_x001d_ðÇ%Uý—&amp;Hý9_x0008_Ÿ s_x000a__x0007__x0001__x0001_ 3 21 3" xfId="9586"/>
    <cellStyle name="þ_x001d_ðÇ%Uý—&amp;Hý9_x0008_Ÿ s_x000a__x0007__x0001__x0001_ 3 22" xfId="4906"/>
    <cellStyle name="þ_x001d_ðÇ%Uý—&amp;Hý9_x0008_Ÿ s_x000a__x0007__x0001__x0001_ 3 22 2" xfId="5983"/>
    <cellStyle name="þ_x001d_ðÇ%Uý—&amp;Hý9_x0008_Ÿ s_x000a__x0007__x0001__x0001_ 3 22 2 2" xfId="10638"/>
    <cellStyle name="þ_x001d_ðÇ%Uý—&amp;Hý9_x0008_Ÿ s_x000a__x0007__x0001__x0001_ 3 22 3" xfId="9587"/>
    <cellStyle name="þ_x001d_ðÇ%Uý—&amp;Hý9_x0008_Ÿ s_x000a__x0007__x0001__x0001_ 3 23" xfId="4907"/>
    <cellStyle name="þ_x001d_ðÇ%Uý—&amp;Hý9_x0008_Ÿ s_x000a__x0007__x0001__x0001_ 3 23 2" xfId="5984"/>
    <cellStyle name="þ_x001d_ðÇ%Uý—&amp;Hý9_x0008_Ÿ s_x000a__x0007__x0001__x0001_ 3 23 2 2" xfId="10639"/>
    <cellStyle name="þ_x001d_ðÇ%Uý—&amp;Hý9_x0008_Ÿ s_x000a__x0007__x0001__x0001_ 3 23 3" xfId="9588"/>
    <cellStyle name="þ_x001d_ðÇ%Uý—&amp;Hý9_x0008_Ÿ s_x000a__x0007__x0001__x0001_ 3 24" xfId="5969"/>
    <cellStyle name="þ_x001d_ðÇ%Uý—&amp;Hý9_x0008_Ÿ s_x000a__x0007__x0001__x0001_ 3 24 2" xfId="10624"/>
    <cellStyle name="þ_x001d_ðÇ%Uý—&amp;Hý9_x0008_Ÿ s_x000a__x0007__x0001__x0001_ 3 25" xfId="9573"/>
    <cellStyle name="þ_x001d_ðÇ%Uý—&amp;Hý9_x0008_Ÿ s_x000a__x0007__x0001__x0001_ 3 3" xfId="4908"/>
    <cellStyle name="þ_x001d_ðÇ%Uý—&amp;Hý9_x0008_Ÿ s_x000a__x0007__x0001__x0001_ 3 3 2" xfId="5985"/>
    <cellStyle name="þ_x001d_ðÇ%Uý—&amp;Hý9_x0008_Ÿ s_x000a__x0007__x0001__x0001_ 3 3 2 2" xfId="10640"/>
    <cellStyle name="þ_x001d_ðÇ%Uý—&amp;Hý9_x0008_Ÿ s_x000a__x0007__x0001__x0001_ 3 3 3" xfId="9589"/>
    <cellStyle name="þ_x001d_ðÇ%Uý—&amp;Hý9_x0008_Ÿ s_x000a__x0007__x0001__x0001_ 3 4" xfId="4909"/>
    <cellStyle name="þ_x001d_ðÇ%Uý—&amp;Hý9_x0008_Ÿ s_x000a__x0007__x0001__x0001_ 3 4 2" xfId="5986"/>
    <cellStyle name="þ_x001d_ðÇ%Uý—&amp;Hý9_x0008_Ÿ s_x000a__x0007__x0001__x0001_ 3 4 2 2" xfId="10641"/>
    <cellStyle name="þ_x001d_ðÇ%Uý—&amp;Hý9_x0008_Ÿ s_x000a__x0007__x0001__x0001_ 3 4 3" xfId="9590"/>
    <cellStyle name="þ_x001d_ðÇ%Uý—&amp;Hý9_x0008_Ÿ s_x000a__x0007__x0001__x0001_ 3 5" xfId="4910"/>
    <cellStyle name="þ_x001d_ðÇ%Uý—&amp;Hý9_x0008_Ÿ s_x000a__x0007__x0001__x0001_ 3 5 2" xfId="5987"/>
    <cellStyle name="þ_x001d_ðÇ%Uý—&amp;Hý9_x0008_Ÿ s_x000a__x0007__x0001__x0001_ 3 5 2 2" xfId="10642"/>
    <cellStyle name="þ_x001d_ðÇ%Uý—&amp;Hý9_x0008_Ÿ s_x000a__x0007__x0001__x0001_ 3 5 3" xfId="9591"/>
    <cellStyle name="þ_x001d_ðÇ%Uý—&amp;Hý9_x0008_Ÿ s_x000a__x0007__x0001__x0001_ 3 6" xfId="4911"/>
    <cellStyle name="þ_x001d_ðÇ%Uý—&amp;Hý9_x0008_Ÿ s_x000a__x0007__x0001__x0001_ 3 6 2" xfId="5988"/>
    <cellStyle name="þ_x001d_ðÇ%Uý—&amp;Hý9_x0008_Ÿ s_x000a__x0007__x0001__x0001_ 3 6 2 2" xfId="10643"/>
    <cellStyle name="þ_x001d_ðÇ%Uý—&amp;Hý9_x0008_Ÿ s_x000a__x0007__x0001__x0001_ 3 6 3" xfId="9592"/>
    <cellStyle name="þ_x001d_ðÇ%Uý—&amp;Hý9_x0008_Ÿ s_x000a__x0007__x0001__x0001_ 3 7" xfId="4912"/>
    <cellStyle name="þ_x001d_ðÇ%Uý—&amp;Hý9_x0008_Ÿ s_x000a__x0007__x0001__x0001_ 3 7 2" xfId="5989"/>
    <cellStyle name="þ_x001d_ðÇ%Uý—&amp;Hý9_x0008_Ÿ s_x000a__x0007__x0001__x0001_ 3 7 2 2" xfId="10644"/>
    <cellStyle name="þ_x001d_ðÇ%Uý—&amp;Hý9_x0008_Ÿ s_x000a__x0007__x0001__x0001_ 3 7 3" xfId="9593"/>
    <cellStyle name="þ_x001d_ðÇ%Uý—&amp;Hý9_x0008_Ÿ s_x000a__x0007__x0001__x0001_ 3 8" xfId="4913"/>
    <cellStyle name="þ_x001d_ðÇ%Uý—&amp;Hý9_x0008_Ÿ s_x000a__x0007__x0001__x0001_ 3 8 2" xfId="5990"/>
    <cellStyle name="þ_x001d_ðÇ%Uý—&amp;Hý9_x0008_Ÿ s_x000a__x0007__x0001__x0001_ 3 8 2 2" xfId="10645"/>
    <cellStyle name="þ_x001d_ðÇ%Uý—&amp;Hý9_x0008_Ÿ s_x000a__x0007__x0001__x0001_ 3 8 3" xfId="9594"/>
    <cellStyle name="þ_x001d_ðÇ%Uý—&amp;Hý9_x0008_Ÿ s_x000a__x0007__x0001__x0001_ 3 9" xfId="4914"/>
    <cellStyle name="þ_x001d_ðÇ%Uý—&amp;Hý9_x0008_Ÿ s_x000a__x0007__x0001__x0001_ 3 9 2" xfId="5991"/>
    <cellStyle name="þ_x001d_ðÇ%Uý—&amp;Hý9_x0008_Ÿ s_x000a__x0007__x0001__x0001_ 3 9 2 2" xfId="10646"/>
    <cellStyle name="þ_x001d_ðÇ%Uý—&amp;Hý9_x0008_Ÿ s_x000a__x0007__x0001__x0001_ 3 9 3" xfId="9595"/>
    <cellStyle name="þ_x001d_ðÇ%Uý—&amp;Hý9_x0008_Ÿ s_x000a__x0007__x0001__x0001_ 4" xfId="4915"/>
    <cellStyle name="þ_x001d_ðÇ%Uý—&amp;Hý9_x0008_Ÿ s_x000a__x0007__x0001__x0001_ 4 10" xfId="4916"/>
    <cellStyle name="þ_x001d_ðÇ%Uý—&amp;Hý9_x0008_Ÿ s_x000a__x0007__x0001__x0001_ 4 10 2" xfId="5993"/>
    <cellStyle name="þ_x001d_ðÇ%Uý—&amp;Hý9_x0008_Ÿ s_x000a__x0007__x0001__x0001_ 4 10 2 2" xfId="10648"/>
    <cellStyle name="þ_x001d_ðÇ%Uý—&amp;Hý9_x0008_Ÿ s_x000a__x0007__x0001__x0001_ 4 10 3" xfId="9597"/>
    <cellStyle name="þ_x001d_ðÇ%Uý—&amp;Hý9_x0008_Ÿ s_x000a__x0007__x0001__x0001_ 4 11" xfId="4917"/>
    <cellStyle name="þ_x001d_ðÇ%Uý—&amp;Hý9_x0008_Ÿ s_x000a__x0007__x0001__x0001_ 4 11 2" xfId="5994"/>
    <cellStyle name="þ_x001d_ðÇ%Uý—&amp;Hý9_x0008_Ÿ s_x000a__x0007__x0001__x0001_ 4 11 2 2" xfId="10649"/>
    <cellStyle name="þ_x001d_ðÇ%Uý—&amp;Hý9_x0008_Ÿ s_x000a__x0007__x0001__x0001_ 4 11 3" xfId="9598"/>
    <cellStyle name="þ_x001d_ðÇ%Uý—&amp;Hý9_x0008_Ÿ s_x000a__x0007__x0001__x0001_ 4 12" xfId="4918"/>
    <cellStyle name="þ_x001d_ðÇ%Uý—&amp;Hý9_x0008_Ÿ s_x000a__x0007__x0001__x0001_ 4 12 2" xfId="5995"/>
    <cellStyle name="þ_x001d_ðÇ%Uý—&amp;Hý9_x0008_Ÿ s_x000a__x0007__x0001__x0001_ 4 12 2 2" xfId="10650"/>
    <cellStyle name="þ_x001d_ðÇ%Uý—&amp;Hý9_x0008_Ÿ s_x000a__x0007__x0001__x0001_ 4 12 3" xfId="9599"/>
    <cellStyle name="þ_x001d_ðÇ%Uý—&amp;Hý9_x0008_Ÿ s_x000a__x0007__x0001__x0001_ 4 13" xfId="4919"/>
    <cellStyle name="þ_x001d_ðÇ%Uý—&amp;Hý9_x0008_Ÿ s_x000a__x0007__x0001__x0001_ 4 13 2" xfId="5996"/>
    <cellStyle name="þ_x001d_ðÇ%Uý—&amp;Hý9_x0008_Ÿ s_x000a__x0007__x0001__x0001_ 4 13 2 2" xfId="10651"/>
    <cellStyle name="þ_x001d_ðÇ%Uý—&amp;Hý9_x0008_Ÿ s_x000a__x0007__x0001__x0001_ 4 13 3" xfId="9600"/>
    <cellStyle name="þ_x001d_ðÇ%Uý—&amp;Hý9_x0008_Ÿ s_x000a__x0007__x0001__x0001_ 4 14" xfId="4920"/>
    <cellStyle name="þ_x001d_ðÇ%Uý—&amp;Hý9_x0008_Ÿ s_x000a__x0007__x0001__x0001_ 4 14 2" xfId="5997"/>
    <cellStyle name="þ_x001d_ðÇ%Uý—&amp;Hý9_x0008_Ÿ s_x000a__x0007__x0001__x0001_ 4 14 2 2" xfId="10652"/>
    <cellStyle name="þ_x001d_ðÇ%Uý—&amp;Hý9_x0008_Ÿ s_x000a__x0007__x0001__x0001_ 4 14 3" xfId="9601"/>
    <cellStyle name="þ_x001d_ðÇ%Uý—&amp;Hý9_x0008_Ÿ s_x000a__x0007__x0001__x0001_ 4 15" xfId="4921"/>
    <cellStyle name="þ_x001d_ðÇ%Uý—&amp;Hý9_x0008_Ÿ s_x000a__x0007__x0001__x0001_ 4 15 2" xfId="5998"/>
    <cellStyle name="þ_x001d_ðÇ%Uý—&amp;Hý9_x0008_Ÿ s_x000a__x0007__x0001__x0001_ 4 15 2 2" xfId="10653"/>
    <cellStyle name="þ_x001d_ðÇ%Uý—&amp;Hý9_x0008_Ÿ s_x000a__x0007__x0001__x0001_ 4 15 3" xfId="9602"/>
    <cellStyle name="þ_x001d_ðÇ%Uý—&amp;Hý9_x0008_Ÿ s_x000a__x0007__x0001__x0001_ 4 16" xfId="4922"/>
    <cellStyle name="þ_x001d_ðÇ%Uý—&amp;Hý9_x0008_Ÿ s_x000a__x0007__x0001__x0001_ 4 16 2" xfId="5999"/>
    <cellStyle name="þ_x001d_ðÇ%Uý—&amp;Hý9_x0008_Ÿ s_x000a__x0007__x0001__x0001_ 4 16 2 2" xfId="10654"/>
    <cellStyle name="þ_x001d_ðÇ%Uý—&amp;Hý9_x0008_Ÿ s_x000a__x0007__x0001__x0001_ 4 16 3" xfId="9603"/>
    <cellStyle name="þ_x001d_ðÇ%Uý—&amp;Hý9_x0008_Ÿ s_x000a__x0007__x0001__x0001_ 4 17" xfId="4923"/>
    <cellStyle name="þ_x001d_ðÇ%Uý—&amp;Hý9_x0008_Ÿ s_x000a__x0007__x0001__x0001_ 4 17 2" xfId="6000"/>
    <cellStyle name="þ_x001d_ðÇ%Uý—&amp;Hý9_x0008_Ÿ s_x000a__x0007__x0001__x0001_ 4 17 2 2" xfId="10655"/>
    <cellStyle name="þ_x001d_ðÇ%Uý—&amp;Hý9_x0008_Ÿ s_x000a__x0007__x0001__x0001_ 4 17 3" xfId="9604"/>
    <cellStyle name="þ_x001d_ðÇ%Uý—&amp;Hý9_x0008_Ÿ s_x000a__x0007__x0001__x0001_ 4 18" xfId="4924"/>
    <cellStyle name="þ_x001d_ðÇ%Uý—&amp;Hý9_x0008_Ÿ s_x000a__x0007__x0001__x0001_ 4 18 2" xfId="6001"/>
    <cellStyle name="þ_x001d_ðÇ%Uý—&amp;Hý9_x0008_Ÿ s_x000a__x0007__x0001__x0001_ 4 18 2 2" xfId="10656"/>
    <cellStyle name="þ_x001d_ðÇ%Uý—&amp;Hý9_x0008_Ÿ s_x000a__x0007__x0001__x0001_ 4 18 3" xfId="9605"/>
    <cellStyle name="þ_x001d_ðÇ%Uý—&amp;Hý9_x0008_Ÿ s_x000a__x0007__x0001__x0001_ 4 19" xfId="4925"/>
    <cellStyle name="þ_x001d_ðÇ%Uý—&amp;Hý9_x0008_Ÿ s_x000a__x0007__x0001__x0001_ 4 19 2" xfId="6002"/>
    <cellStyle name="þ_x001d_ðÇ%Uý—&amp;Hý9_x0008_Ÿ s_x000a__x0007__x0001__x0001_ 4 19 2 2" xfId="10657"/>
    <cellStyle name="þ_x001d_ðÇ%Uý—&amp;Hý9_x0008_Ÿ s_x000a__x0007__x0001__x0001_ 4 19 3" xfId="9606"/>
    <cellStyle name="þ_x001d_ðÇ%Uý—&amp;Hý9_x0008_Ÿ s_x000a__x0007__x0001__x0001_ 4 2" xfId="4926"/>
    <cellStyle name="þ_x001d_ðÇ%Uý—&amp;Hý9_x0008_Ÿ s_x000a__x0007__x0001__x0001_ 4 2 2" xfId="6003"/>
    <cellStyle name="þ_x001d_ðÇ%Uý—&amp;Hý9_x0008_Ÿ s_x000a__x0007__x0001__x0001_ 4 2 2 2" xfId="10658"/>
    <cellStyle name="þ_x001d_ðÇ%Uý—&amp;Hý9_x0008_Ÿ s_x000a__x0007__x0001__x0001_ 4 2 3" xfId="9607"/>
    <cellStyle name="þ_x001d_ðÇ%Uý—&amp;Hý9_x0008_Ÿ s_x000a__x0007__x0001__x0001_ 4 20" xfId="4927"/>
    <cellStyle name="þ_x001d_ðÇ%Uý—&amp;Hý9_x0008_Ÿ s_x000a__x0007__x0001__x0001_ 4 20 2" xfId="6004"/>
    <cellStyle name="þ_x001d_ðÇ%Uý—&amp;Hý9_x0008_Ÿ s_x000a__x0007__x0001__x0001_ 4 20 2 2" xfId="10659"/>
    <cellStyle name="þ_x001d_ðÇ%Uý—&amp;Hý9_x0008_Ÿ s_x000a__x0007__x0001__x0001_ 4 20 3" xfId="9608"/>
    <cellStyle name="þ_x001d_ðÇ%Uý—&amp;Hý9_x0008_Ÿ s_x000a__x0007__x0001__x0001_ 4 21" xfId="4928"/>
    <cellStyle name="þ_x001d_ðÇ%Uý—&amp;Hý9_x0008_Ÿ s_x000a__x0007__x0001__x0001_ 4 21 2" xfId="6005"/>
    <cellStyle name="þ_x001d_ðÇ%Uý—&amp;Hý9_x0008_Ÿ s_x000a__x0007__x0001__x0001_ 4 21 2 2" xfId="10660"/>
    <cellStyle name="þ_x001d_ðÇ%Uý—&amp;Hý9_x0008_Ÿ s_x000a__x0007__x0001__x0001_ 4 21 3" xfId="9609"/>
    <cellStyle name="þ_x001d_ðÇ%Uý—&amp;Hý9_x0008_Ÿ s_x000a__x0007__x0001__x0001_ 4 22" xfId="4929"/>
    <cellStyle name="þ_x001d_ðÇ%Uý—&amp;Hý9_x0008_Ÿ s_x000a__x0007__x0001__x0001_ 4 22 2" xfId="6006"/>
    <cellStyle name="þ_x001d_ðÇ%Uý—&amp;Hý9_x0008_Ÿ s_x000a__x0007__x0001__x0001_ 4 22 2 2" xfId="10661"/>
    <cellStyle name="þ_x001d_ðÇ%Uý—&amp;Hý9_x0008_Ÿ s_x000a__x0007__x0001__x0001_ 4 22 3" xfId="9610"/>
    <cellStyle name="þ_x001d_ðÇ%Uý—&amp;Hý9_x0008_Ÿ s_x000a__x0007__x0001__x0001_ 4 23" xfId="4930"/>
    <cellStyle name="þ_x001d_ðÇ%Uý—&amp;Hý9_x0008_Ÿ s_x000a__x0007__x0001__x0001_ 4 23 2" xfId="6007"/>
    <cellStyle name="þ_x001d_ðÇ%Uý—&amp;Hý9_x0008_Ÿ s_x000a__x0007__x0001__x0001_ 4 23 2 2" xfId="10662"/>
    <cellStyle name="þ_x001d_ðÇ%Uý—&amp;Hý9_x0008_Ÿ s_x000a__x0007__x0001__x0001_ 4 23 3" xfId="9611"/>
    <cellStyle name="þ_x001d_ðÇ%Uý—&amp;Hý9_x0008_Ÿ s_x000a__x0007__x0001__x0001_ 4 24" xfId="5992"/>
    <cellStyle name="þ_x001d_ðÇ%Uý—&amp;Hý9_x0008_Ÿ s_x000a__x0007__x0001__x0001_ 4 24 2" xfId="10647"/>
    <cellStyle name="þ_x001d_ðÇ%Uý—&amp;Hý9_x0008_Ÿ s_x000a__x0007__x0001__x0001_ 4 25" xfId="9596"/>
    <cellStyle name="þ_x001d_ðÇ%Uý—&amp;Hý9_x0008_Ÿ s_x000a__x0007__x0001__x0001_ 4 3" xfId="4931"/>
    <cellStyle name="þ_x001d_ðÇ%Uý—&amp;Hý9_x0008_Ÿ s_x000a__x0007__x0001__x0001_ 4 3 2" xfId="6008"/>
    <cellStyle name="þ_x001d_ðÇ%Uý—&amp;Hý9_x0008_Ÿ s_x000a__x0007__x0001__x0001_ 4 3 2 2" xfId="10663"/>
    <cellStyle name="þ_x001d_ðÇ%Uý—&amp;Hý9_x0008_Ÿ s_x000a__x0007__x0001__x0001_ 4 3 3" xfId="9612"/>
    <cellStyle name="þ_x001d_ðÇ%Uý—&amp;Hý9_x0008_Ÿ s_x000a__x0007__x0001__x0001_ 4 4" xfId="4932"/>
    <cellStyle name="þ_x001d_ðÇ%Uý—&amp;Hý9_x0008_Ÿ s_x000a__x0007__x0001__x0001_ 4 4 2" xfId="6009"/>
    <cellStyle name="þ_x001d_ðÇ%Uý—&amp;Hý9_x0008_Ÿ s_x000a__x0007__x0001__x0001_ 4 4 2 2" xfId="10664"/>
    <cellStyle name="þ_x001d_ðÇ%Uý—&amp;Hý9_x0008_Ÿ s_x000a__x0007__x0001__x0001_ 4 4 3" xfId="9613"/>
    <cellStyle name="þ_x001d_ðÇ%Uý—&amp;Hý9_x0008_Ÿ s_x000a__x0007__x0001__x0001_ 4 5" xfId="4933"/>
    <cellStyle name="þ_x001d_ðÇ%Uý—&amp;Hý9_x0008_Ÿ s_x000a__x0007__x0001__x0001_ 4 5 2" xfId="6010"/>
    <cellStyle name="þ_x001d_ðÇ%Uý—&amp;Hý9_x0008_Ÿ s_x000a__x0007__x0001__x0001_ 4 5 2 2" xfId="10665"/>
    <cellStyle name="þ_x001d_ðÇ%Uý—&amp;Hý9_x0008_Ÿ s_x000a__x0007__x0001__x0001_ 4 5 3" xfId="9614"/>
    <cellStyle name="þ_x001d_ðÇ%Uý—&amp;Hý9_x0008_Ÿ s_x000a__x0007__x0001__x0001_ 4 6" xfId="4934"/>
    <cellStyle name="þ_x001d_ðÇ%Uý—&amp;Hý9_x0008_Ÿ s_x000a__x0007__x0001__x0001_ 4 6 2" xfId="6011"/>
    <cellStyle name="þ_x001d_ðÇ%Uý—&amp;Hý9_x0008_Ÿ s_x000a__x0007__x0001__x0001_ 4 6 2 2" xfId="10666"/>
    <cellStyle name="þ_x001d_ðÇ%Uý—&amp;Hý9_x0008_Ÿ s_x000a__x0007__x0001__x0001_ 4 6 3" xfId="9615"/>
    <cellStyle name="þ_x001d_ðÇ%Uý—&amp;Hý9_x0008_Ÿ s_x000a__x0007__x0001__x0001_ 4 7" xfId="4935"/>
    <cellStyle name="þ_x001d_ðÇ%Uý—&amp;Hý9_x0008_Ÿ s_x000a__x0007__x0001__x0001_ 4 7 2" xfId="6012"/>
    <cellStyle name="þ_x001d_ðÇ%Uý—&amp;Hý9_x0008_Ÿ s_x000a__x0007__x0001__x0001_ 4 7 2 2" xfId="10667"/>
    <cellStyle name="þ_x001d_ðÇ%Uý—&amp;Hý9_x0008_Ÿ s_x000a__x0007__x0001__x0001_ 4 7 3" xfId="9616"/>
    <cellStyle name="þ_x001d_ðÇ%Uý—&amp;Hý9_x0008_Ÿ s_x000a__x0007__x0001__x0001_ 4 8" xfId="4936"/>
    <cellStyle name="þ_x001d_ðÇ%Uý—&amp;Hý9_x0008_Ÿ s_x000a__x0007__x0001__x0001_ 4 8 2" xfId="6013"/>
    <cellStyle name="þ_x001d_ðÇ%Uý—&amp;Hý9_x0008_Ÿ s_x000a__x0007__x0001__x0001_ 4 8 2 2" xfId="10668"/>
    <cellStyle name="þ_x001d_ðÇ%Uý—&amp;Hý9_x0008_Ÿ s_x000a__x0007__x0001__x0001_ 4 8 3" xfId="9617"/>
    <cellStyle name="þ_x001d_ðÇ%Uý—&amp;Hý9_x0008_Ÿ s_x000a__x0007__x0001__x0001_ 4 9" xfId="4937"/>
    <cellStyle name="þ_x001d_ðÇ%Uý—&amp;Hý9_x0008_Ÿ s_x000a__x0007__x0001__x0001_ 4 9 2" xfId="6014"/>
    <cellStyle name="þ_x001d_ðÇ%Uý—&amp;Hý9_x0008_Ÿ s_x000a__x0007__x0001__x0001_ 4 9 2 2" xfId="10669"/>
    <cellStyle name="þ_x001d_ðÇ%Uý—&amp;Hý9_x0008_Ÿ s_x000a__x0007__x0001__x0001_ 4 9 3" xfId="9618"/>
    <cellStyle name="þ_x001d_ðÇ%Uý—&amp;Hý9_x0008_Ÿ s_x000a__x0007__x0001__x0001_ 5" xfId="4938"/>
    <cellStyle name="þ_x001d_ðÇ%Uý—&amp;Hý9_x0008_Ÿ s_x000a__x0007__x0001__x0001_ 5 10" xfId="4939"/>
    <cellStyle name="þ_x001d_ðÇ%Uý—&amp;Hý9_x0008_Ÿ s_x000a__x0007__x0001__x0001_ 5 10 2" xfId="6016"/>
    <cellStyle name="þ_x001d_ðÇ%Uý—&amp;Hý9_x0008_Ÿ s_x000a__x0007__x0001__x0001_ 5 10 2 2" xfId="10671"/>
    <cellStyle name="þ_x001d_ðÇ%Uý—&amp;Hý9_x0008_Ÿ s_x000a__x0007__x0001__x0001_ 5 10 3" xfId="9620"/>
    <cellStyle name="þ_x001d_ðÇ%Uý—&amp;Hý9_x0008_Ÿ s_x000a__x0007__x0001__x0001_ 5 11" xfId="4940"/>
    <cellStyle name="þ_x001d_ðÇ%Uý—&amp;Hý9_x0008_Ÿ s_x000a__x0007__x0001__x0001_ 5 11 2" xfId="6017"/>
    <cellStyle name="þ_x001d_ðÇ%Uý—&amp;Hý9_x0008_Ÿ s_x000a__x0007__x0001__x0001_ 5 11 2 2" xfId="10672"/>
    <cellStyle name="þ_x001d_ðÇ%Uý—&amp;Hý9_x0008_Ÿ s_x000a__x0007__x0001__x0001_ 5 11 3" xfId="9621"/>
    <cellStyle name="þ_x001d_ðÇ%Uý—&amp;Hý9_x0008_Ÿ s_x000a__x0007__x0001__x0001_ 5 12" xfId="4941"/>
    <cellStyle name="þ_x001d_ðÇ%Uý—&amp;Hý9_x0008_Ÿ s_x000a__x0007__x0001__x0001_ 5 12 2" xfId="6018"/>
    <cellStyle name="þ_x001d_ðÇ%Uý—&amp;Hý9_x0008_Ÿ s_x000a__x0007__x0001__x0001_ 5 12 2 2" xfId="10673"/>
    <cellStyle name="þ_x001d_ðÇ%Uý—&amp;Hý9_x0008_Ÿ s_x000a__x0007__x0001__x0001_ 5 12 3" xfId="9622"/>
    <cellStyle name="þ_x001d_ðÇ%Uý—&amp;Hý9_x0008_Ÿ s_x000a__x0007__x0001__x0001_ 5 13" xfId="4942"/>
    <cellStyle name="þ_x001d_ðÇ%Uý—&amp;Hý9_x0008_Ÿ s_x000a__x0007__x0001__x0001_ 5 13 2" xfId="6019"/>
    <cellStyle name="þ_x001d_ðÇ%Uý—&amp;Hý9_x0008_Ÿ s_x000a__x0007__x0001__x0001_ 5 13 2 2" xfId="10674"/>
    <cellStyle name="þ_x001d_ðÇ%Uý—&amp;Hý9_x0008_Ÿ s_x000a__x0007__x0001__x0001_ 5 13 3" xfId="9623"/>
    <cellStyle name="þ_x001d_ðÇ%Uý—&amp;Hý9_x0008_Ÿ s_x000a__x0007__x0001__x0001_ 5 14" xfId="4943"/>
    <cellStyle name="þ_x001d_ðÇ%Uý—&amp;Hý9_x0008_Ÿ s_x000a__x0007__x0001__x0001_ 5 14 2" xfId="6020"/>
    <cellStyle name="þ_x001d_ðÇ%Uý—&amp;Hý9_x0008_Ÿ s_x000a__x0007__x0001__x0001_ 5 14 2 2" xfId="10675"/>
    <cellStyle name="þ_x001d_ðÇ%Uý—&amp;Hý9_x0008_Ÿ s_x000a__x0007__x0001__x0001_ 5 14 3" xfId="9624"/>
    <cellStyle name="þ_x001d_ðÇ%Uý—&amp;Hý9_x0008_Ÿ s_x000a__x0007__x0001__x0001_ 5 15" xfId="4944"/>
    <cellStyle name="þ_x001d_ðÇ%Uý—&amp;Hý9_x0008_Ÿ s_x000a__x0007__x0001__x0001_ 5 15 2" xfId="6021"/>
    <cellStyle name="þ_x001d_ðÇ%Uý—&amp;Hý9_x0008_Ÿ s_x000a__x0007__x0001__x0001_ 5 15 2 2" xfId="10676"/>
    <cellStyle name="þ_x001d_ðÇ%Uý—&amp;Hý9_x0008_Ÿ s_x000a__x0007__x0001__x0001_ 5 15 3" xfId="9625"/>
    <cellStyle name="þ_x001d_ðÇ%Uý—&amp;Hý9_x0008_Ÿ s_x000a__x0007__x0001__x0001_ 5 16" xfId="4945"/>
    <cellStyle name="þ_x001d_ðÇ%Uý—&amp;Hý9_x0008_Ÿ s_x000a__x0007__x0001__x0001_ 5 16 2" xfId="6022"/>
    <cellStyle name="þ_x001d_ðÇ%Uý—&amp;Hý9_x0008_Ÿ s_x000a__x0007__x0001__x0001_ 5 16 2 2" xfId="10677"/>
    <cellStyle name="þ_x001d_ðÇ%Uý—&amp;Hý9_x0008_Ÿ s_x000a__x0007__x0001__x0001_ 5 16 3" xfId="9626"/>
    <cellStyle name="þ_x001d_ðÇ%Uý—&amp;Hý9_x0008_Ÿ s_x000a__x0007__x0001__x0001_ 5 17" xfId="4946"/>
    <cellStyle name="þ_x001d_ðÇ%Uý—&amp;Hý9_x0008_Ÿ s_x000a__x0007__x0001__x0001_ 5 17 2" xfId="6023"/>
    <cellStyle name="þ_x001d_ðÇ%Uý—&amp;Hý9_x0008_Ÿ s_x000a__x0007__x0001__x0001_ 5 17 2 2" xfId="10678"/>
    <cellStyle name="þ_x001d_ðÇ%Uý—&amp;Hý9_x0008_Ÿ s_x000a__x0007__x0001__x0001_ 5 17 3" xfId="9627"/>
    <cellStyle name="þ_x001d_ðÇ%Uý—&amp;Hý9_x0008_Ÿ s_x000a__x0007__x0001__x0001_ 5 18" xfId="4947"/>
    <cellStyle name="þ_x001d_ðÇ%Uý—&amp;Hý9_x0008_Ÿ s_x000a__x0007__x0001__x0001_ 5 18 2" xfId="6024"/>
    <cellStyle name="þ_x001d_ðÇ%Uý—&amp;Hý9_x0008_Ÿ s_x000a__x0007__x0001__x0001_ 5 18 2 2" xfId="10679"/>
    <cellStyle name="þ_x001d_ðÇ%Uý—&amp;Hý9_x0008_Ÿ s_x000a__x0007__x0001__x0001_ 5 18 3" xfId="9628"/>
    <cellStyle name="þ_x001d_ðÇ%Uý—&amp;Hý9_x0008_Ÿ s_x000a__x0007__x0001__x0001_ 5 19" xfId="4948"/>
    <cellStyle name="þ_x001d_ðÇ%Uý—&amp;Hý9_x0008_Ÿ s_x000a__x0007__x0001__x0001_ 5 19 2" xfId="6025"/>
    <cellStyle name="þ_x001d_ðÇ%Uý—&amp;Hý9_x0008_Ÿ s_x000a__x0007__x0001__x0001_ 5 19 2 2" xfId="10680"/>
    <cellStyle name="þ_x001d_ðÇ%Uý—&amp;Hý9_x0008_Ÿ s_x000a__x0007__x0001__x0001_ 5 19 3" xfId="9629"/>
    <cellStyle name="þ_x001d_ðÇ%Uý—&amp;Hý9_x0008_Ÿ s_x000a__x0007__x0001__x0001_ 5 2" xfId="4949"/>
    <cellStyle name="þ_x001d_ðÇ%Uý—&amp;Hý9_x0008_Ÿ s_x000a__x0007__x0001__x0001_ 5 2 2" xfId="6026"/>
    <cellStyle name="þ_x001d_ðÇ%Uý—&amp;Hý9_x0008_Ÿ s_x000a__x0007__x0001__x0001_ 5 2 2 2" xfId="10681"/>
    <cellStyle name="þ_x001d_ðÇ%Uý—&amp;Hý9_x0008_Ÿ s_x000a__x0007__x0001__x0001_ 5 2 3" xfId="9630"/>
    <cellStyle name="þ_x001d_ðÇ%Uý—&amp;Hý9_x0008_Ÿ s_x000a__x0007__x0001__x0001_ 5 20" xfId="4950"/>
    <cellStyle name="þ_x001d_ðÇ%Uý—&amp;Hý9_x0008_Ÿ s_x000a__x0007__x0001__x0001_ 5 20 2" xfId="6027"/>
    <cellStyle name="þ_x001d_ðÇ%Uý—&amp;Hý9_x0008_Ÿ s_x000a__x0007__x0001__x0001_ 5 20 2 2" xfId="10682"/>
    <cellStyle name="þ_x001d_ðÇ%Uý—&amp;Hý9_x0008_Ÿ s_x000a__x0007__x0001__x0001_ 5 20 3" xfId="9631"/>
    <cellStyle name="þ_x001d_ðÇ%Uý—&amp;Hý9_x0008_Ÿ s_x000a__x0007__x0001__x0001_ 5 21" xfId="4951"/>
    <cellStyle name="þ_x001d_ðÇ%Uý—&amp;Hý9_x0008_Ÿ s_x000a__x0007__x0001__x0001_ 5 21 2" xfId="6028"/>
    <cellStyle name="þ_x001d_ðÇ%Uý—&amp;Hý9_x0008_Ÿ s_x000a__x0007__x0001__x0001_ 5 21 2 2" xfId="10683"/>
    <cellStyle name="þ_x001d_ðÇ%Uý—&amp;Hý9_x0008_Ÿ s_x000a__x0007__x0001__x0001_ 5 21 3" xfId="9632"/>
    <cellStyle name="þ_x001d_ðÇ%Uý—&amp;Hý9_x0008_Ÿ s_x000a__x0007__x0001__x0001_ 5 22" xfId="4952"/>
    <cellStyle name="þ_x001d_ðÇ%Uý—&amp;Hý9_x0008_Ÿ s_x000a__x0007__x0001__x0001_ 5 22 2" xfId="6029"/>
    <cellStyle name="þ_x001d_ðÇ%Uý—&amp;Hý9_x0008_Ÿ s_x000a__x0007__x0001__x0001_ 5 22 2 2" xfId="10684"/>
    <cellStyle name="þ_x001d_ðÇ%Uý—&amp;Hý9_x0008_Ÿ s_x000a__x0007__x0001__x0001_ 5 22 3" xfId="9633"/>
    <cellStyle name="þ_x001d_ðÇ%Uý—&amp;Hý9_x0008_Ÿ s_x000a__x0007__x0001__x0001_ 5 23" xfId="4953"/>
    <cellStyle name="þ_x001d_ðÇ%Uý—&amp;Hý9_x0008_Ÿ s_x000a__x0007__x0001__x0001_ 5 23 2" xfId="6030"/>
    <cellStyle name="þ_x001d_ðÇ%Uý—&amp;Hý9_x0008_Ÿ s_x000a__x0007__x0001__x0001_ 5 23 2 2" xfId="10685"/>
    <cellStyle name="þ_x001d_ðÇ%Uý—&amp;Hý9_x0008_Ÿ s_x000a__x0007__x0001__x0001_ 5 23 3" xfId="9634"/>
    <cellStyle name="þ_x001d_ðÇ%Uý—&amp;Hý9_x0008_Ÿ s_x000a__x0007__x0001__x0001_ 5 24" xfId="6015"/>
    <cellStyle name="þ_x001d_ðÇ%Uý—&amp;Hý9_x0008_Ÿ s_x000a__x0007__x0001__x0001_ 5 24 2" xfId="10670"/>
    <cellStyle name="þ_x001d_ðÇ%Uý—&amp;Hý9_x0008_Ÿ s_x000a__x0007__x0001__x0001_ 5 25" xfId="9619"/>
    <cellStyle name="þ_x001d_ðÇ%Uý—&amp;Hý9_x0008_Ÿ s_x000a__x0007__x0001__x0001_ 5 3" xfId="4954"/>
    <cellStyle name="þ_x001d_ðÇ%Uý—&amp;Hý9_x0008_Ÿ s_x000a__x0007__x0001__x0001_ 5 3 2" xfId="6031"/>
    <cellStyle name="þ_x001d_ðÇ%Uý—&amp;Hý9_x0008_Ÿ s_x000a__x0007__x0001__x0001_ 5 3 2 2" xfId="10686"/>
    <cellStyle name="þ_x001d_ðÇ%Uý—&amp;Hý9_x0008_Ÿ s_x000a__x0007__x0001__x0001_ 5 3 3" xfId="9635"/>
    <cellStyle name="þ_x001d_ðÇ%Uý—&amp;Hý9_x0008_Ÿ s_x000a__x0007__x0001__x0001_ 5 4" xfId="4955"/>
    <cellStyle name="þ_x001d_ðÇ%Uý—&amp;Hý9_x0008_Ÿ s_x000a__x0007__x0001__x0001_ 5 4 2" xfId="6032"/>
    <cellStyle name="þ_x001d_ðÇ%Uý—&amp;Hý9_x0008_Ÿ s_x000a__x0007__x0001__x0001_ 5 4 2 2" xfId="10687"/>
    <cellStyle name="þ_x001d_ðÇ%Uý—&amp;Hý9_x0008_Ÿ s_x000a__x0007__x0001__x0001_ 5 4 3" xfId="9636"/>
    <cellStyle name="þ_x001d_ðÇ%Uý—&amp;Hý9_x0008_Ÿ s_x000a__x0007__x0001__x0001_ 5 5" xfId="4956"/>
    <cellStyle name="þ_x001d_ðÇ%Uý—&amp;Hý9_x0008_Ÿ s_x000a__x0007__x0001__x0001_ 5 5 2" xfId="6033"/>
    <cellStyle name="þ_x001d_ðÇ%Uý—&amp;Hý9_x0008_Ÿ s_x000a__x0007__x0001__x0001_ 5 5 2 2" xfId="10688"/>
    <cellStyle name="þ_x001d_ðÇ%Uý—&amp;Hý9_x0008_Ÿ s_x000a__x0007__x0001__x0001_ 5 5 3" xfId="9637"/>
    <cellStyle name="þ_x001d_ðÇ%Uý—&amp;Hý9_x0008_Ÿ s_x000a__x0007__x0001__x0001_ 5 6" xfId="4957"/>
    <cellStyle name="þ_x001d_ðÇ%Uý—&amp;Hý9_x0008_Ÿ s_x000a__x0007__x0001__x0001_ 5 6 2" xfId="6034"/>
    <cellStyle name="þ_x001d_ðÇ%Uý—&amp;Hý9_x0008_Ÿ s_x000a__x0007__x0001__x0001_ 5 6 2 2" xfId="10689"/>
    <cellStyle name="þ_x001d_ðÇ%Uý—&amp;Hý9_x0008_Ÿ s_x000a__x0007__x0001__x0001_ 5 6 3" xfId="9638"/>
    <cellStyle name="þ_x001d_ðÇ%Uý—&amp;Hý9_x0008_Ÿ s_x000a__x0007__x0001__x0001_ 5 7" xfId="4958"/>
    <cellStyle name="þ_x001d_ðÇ%Uý—&amp;Hý9_x0008_Ÿ s_x000a__x0007__x0001__x0001_ 5 7 2" xfId="6035"/>
    <cellStyle name="þ_x001d_ðÇ%Uý—&amp;Hý9_x0008_Ÿ s_x000a__x0007__x0001__x0001_ 5 7 2 2" xfId="10690"/>
    <cellStyle name="þ_x001d_ðÇ%Uý—&amp;Hý9_x0008_Ÿ s_x000a__x0007__x0001__x0001_ 5 7 3" xfId="9639"/>
    <cellStyle name="þ_x001d_ðÇ%Uý—&amp;Hý9_x0008_Ÿ s_x000a__x0007__x0001__x0001_ 5 8" xfId="4959"/>
    <cellStyle name="þ_x001d_ðÇ%Uý—&amp;Hý9_x0008_Ÿ s_x000a__x0007__x0001__x0001_ 5 8 2" xfId="6036"/>
    <cellStyle name="þ_x001d_ðÇ%Uý—&amp;Hý9_x0008_Ÿ s_x000a__x0007__x0001__x0001_ 5 8 2 2" xfId="10691"/>
    <cellStyle name="þ_x001d_ðÇ%Uý—&amp;Hý9_x0008_Ÿ s_x000a__x0007__x0001__x0001_ 5 8 3" xfId="9640"/>
    <cellStyle name="þ_x001d_ðÇ%Uý—&amp;Hý9_x0008_Ÿ s_x000a__x0007__x0001__x0001_ 5 9" xfId="4960"/>
    <cellStyle name="þ_x001d_ðÇ%Uý—&amp;Hý9_x0008_Ÿ s_x000a__x0007__x0001__x0001_ 5 9 2" xfId="6037"/>
    <cellStyle name="þ_x001d_ðÇ%Uý—&amp;Hý9_x0008_Ÿ s_x000a__x0007__x0001__x0001_ 5 9 2 2" xfId="10692"/>
    <cellStyle name="þ_x001d_ðÇ%Uý—&amp;Hý9_x0008_Ÿ s_x000a__x0007__x0001__x0001_ 5 9 3" xfId="9641"/>
    <cellStyle name="þ_x001d_ðÇ%Uý—&amp;Hý9_x0008_Ÿ s_x000a__x0007__x0001__x0001_ 6" xfId="5945"/>
    <cellStyle name="þ_x001d_ðÇ%Uý—&amp;Hý9_x0008_Ÿ s_x000a__x0007__x0001__x0001_ 6 2" xfId="10600"/>
    <cellStyle name="þ_x001d_ðÇ%Uý—&amp;Hý9_x0008_Ÿ s_x000a__x0007__x0001__x0001_ 7" xfId="9549"/>
    <cellStyle name="þ_x001d_ðÇ%Uý—&amp;Hý9_x0008_Ÿ_x0009_s_x000a__x0007__x0001__x0001_" xfId="4961"/>
    <cellStyle name="þ_x001d_ðÇ%Uý—&amp;Hý9_x0008_Ÿ_x0009_s_x000a__x0007__x0001__x0001_ 2" xfId="6038"/>
    <cellStyle name="þ_x001d_ðÇ%Uý—&amp;Hý9_x0008_Ÿ_x0009_s_x000a__x0007__x0001__x0001_ 2 2" xfId="10693"/>
    <cellStyle name="þ_x001d_ðÇ%Uý—&amp;Hý9_x0008_Ÿ_x0009_s_x000a__x0007__x0001__x0001_ 3" xfId="9642"/>
    <cellStyle name="Title" xfId="4962" builtinId="15" customBuiltin="1"/>
    <cellStyle name="Title 2" xfId="6039"/>
    <cellStyle name="Title 2 2" xfId="10694"/>
    <cellStyle name="Title 3" xfId="9643"/>
    <cellStyle name="Total" xfId="4963" builtinId="25" customBuiltin="1"/>
    <cellStyle name="Total 10" xfId="4964"/>
    <cellStyle name="Total 10 2" xfId="6041"/>
    <cellStyle name="Total 10 2 2" xfId="10696"/>
    <cellStyle name="Total 10 3" xfId="9645"/>
    <cellStyle name="Total 11" xfId="4965"/>
    <cellStyle name="Total 11 2" xfId="6042"/>
    <cellStyle name="Total 11 2 2" xfId="10697"/>
    <cellStyle name="Total 11 3" xfId="9646"/>
    <cellStyle name="Total 12" xfId="4966"/>
    <cellStyle name="Total 12 2" xfId="6043"/>
    <cellStyle name="Total 12 2 2" xfId="10698"/>
    <cellStyle name="Total 12 3" xfId="9647"/>
    <cellStyle name="Total 13" xfId="4967"/>
    <cellStyle name="Total 13 2" xfId="6044"/>
    <cellStyle name="Total 13 2 2" xfId="10699"/>
    <cellStyle name="Total 13 3" xfId="9648"/>
    <cellStyle name="Total 14" xfId="4968"/>
    <cellStyle name="Total 14 2" xfId="6045"/>
    <cellStyle name="Total 14 2 2" xfId="10700"/>
    <cellStyle name="Total 14 3" xfId="9649"/>
    <cellStyle name="Total 15" xfId="4969"/>
    <cellStyle name="Total 15 2" xfId="6046"/>
    <cellStyle name="Total 15 2 2" xfId="10701"/>
    <cellStyle name="Total 15 3" xfId="9650"/>
    <cellStyle name="Total 16" xfId="4970"/>
    <cellStyle name="Total 16 2" xfId="6047"/>
    <cellStyle name="Total 16 2 2" xfId="10702"/>
    <cellStyle name="Total 16 3" xfId="9651"/>
    <cellStyle name="Total 17" xfId="4971"/>
    <cellStyle name="Total 17 2" xfId="6048"/>
    <cellStyle name="Total 17 2 2" xfId="10703"/>
    <cellStyle name="Total 17 3" xfId="9652"/>
    <cellStyle name="Total 18" xfId="4972"/>
    <cellStyle name="Total 18 2" xfId="6049"/>
    <cellStyle name="Total 18 2 2" xfId="10704"/>
    <cellStyle name="Total 18 3" xfId="9653"/>
    <cellStyle name="Total 19" xfId="4973"/>
    <cellStyle name="Total 19 2" xfId="6050"/>
    <cellStyle name="Total 19 2 2" xfId="10705"/>
    <cellStyle name="Total 19 3" xfId="9654"/>
    <cellStyle name="Total 2" xfId="4974"/>
    <cellStyle name="Total 2 2" xfId="6051"/>
    <cellStyle name="Total 2 2 2" xfId="10706"/>
    <cellStyle name="Total 2 3" xfId="9655"/>
    <cellStyle name="Total 20" xfId="4975"/>
    <cellStyle name="Total 20 2" xfId="6052"/>
    <cellStyle name="Total 20 2 2" xfId="10707"/>
    <cellStyle name="Total 20 3" xfId="9656"/>
    <cellStyle name="Total 21" xfId="4976"/>
    <cellStyle name="Total 21 2" xfId="6053"/>
    <cellStyle name="Total 21 2 2" xfId="10708"/>
    <cellStyle name="Total 21 3" xfId="9657"/>
    <cellStyle name="Total 22" xfId="4977"/>
    <cellStyle name="Total 22 2" xfId="6054"/>
    <cellStyle name="Total 22 2 2" xfId="10709"/>
    <cellStyle name="Total 22 3" xfId="9658"/>
    <cellStyle name="Total 23" xfId="4978"/>
    <cellStyle name="Total 23 2" xfId="6055"/>
    <cellStyle name="Total 23 2 2" xfId="10710"/>
    <cellStyle name="Total 23 3" xfId="9659"/>
    <cellStyle name="Total 24" xfId="4979"/>
    <cellStyle name="Total 24 2" xfId="6056"/>
    <cellStyle name="Total 24 2 2" xfId="10711"/>
    <cellStyle name="Total 24 3" xfId="9660"/>
    <cellStyle name="Total 25" xfId="6040"/>
    <cellStyle name="Total 25 2" xfId="10695"/>
    <cellStyle name="Total 26" xfId="9644"/>
    <cellStyle name="Total 3" xfId="4980"/>
    <cellStyle name="Total 3 10" xfId="4981"/>
    <cellStyle name="Total 3 10 2" xfId="6058"/>
    <cellStyle name="Total 3 10 2 2" xfId="10713"/>
    <cellStyle name="Total 3 10 3" xfId="9662"/>
    <cellStyle name="Total 3 11" xfId="4982"/>
    <cellStyle name="Total 3 11 2" xfId="6059"/>
    <cellStyle name="Total 3 11 2 2" xfId="10714"/>
    <cellStyle name="Total 3 11 3" xfId="9663"/>
    <cellStyle name="Total 3 12" xfId="4983"/>
    <cellStyle name="Total 3 12 2" xfId="6060"/>
    <cellStyle name="Total 3 12 2 2" xfId="10715"/>
    <cellStyle name="Total 3 12 3" xfId="9664"/>
    <cellStyle name="Total 3 13" xfId="4984"/>
    <cellStyle name="Total 3 13 2" xfId="6061"/>
    <cellStyle name="Total 3 13 2 2" xfId="10716"/>
    <cellStyle name="Total 3 13 3" xfId="9665"/>
    <cellStyle name="Total 3 14" xfId="4985"/>
    <cellStyle name="Total 3 14 2" xfId="6062"/>
    <cellStyle name="Total 3 14 2 2" xfId="10717"/>
    <cellStyle name="Total 3 14 3" xfId="9666"/>
    <cellStyle name="Total 3 15" xfId="4986"/>
    <cellStyle name="Total 3 15 2" xfId="6063"/>
    <cellStyle name="Total 3 15 2 2" xfId="10718"/>
    <cellStyle name="Total 3 15 3" xfId="9667"/>
    <cellStyle name="Total 3 16" xfId="4987"/>
    <cellStyle name="Total 3 16 2" xfId="6064"/>
    <cellStyle name="Total 3 16 2 2" xfId="10719"/>
    <cellStyle name="Total 3 16 3" xfId="9668"/>
    <cellStyle name="Total 3 17" xfId="4988"/>
    <cellStyle name="Total 3 17 2" xfId="6065"/>
    <cellStyle name="Total 3 17 2 2" xfId="10720"/>
    <cellStyle name="Total 3 17 3" xfId="9669"/>
    <cellStyle name="Total 3 18" xfId="4989"/>
    <cellStyle name="Total 3 18 2" xfId="6066"/>
    <cellStyle name="Total 3 18 2 2" xfId="10721"/>
    <cellStyle name="Total 3 18 3" xfId="9670"/>
    <cellStyle name="Total 3 19" xfId="4990"/>
    <cellStyle name="Total 3 19 2" xfId="6067"/>
    <cellStyle name="Total 3 19 2 2" xfId="10722"/>
    <cellStyle name="Total 3 19 3" xfId="9671"/>
    <cellStyle name="Total 3 2" xfId="4991"/>
    <cellStyle name="Total 3 2 2" xfId="6068"/>
    <cellStyle name="Total 3 2 2 2" xfId="10723"/>
    <cellStyle name="Total 3 2 3" xfId="9672"/>
    <cellStyle name="Total 3 20" xfId="4992"/>
    <cellStyle name="Total 3 20 2" xfId="6069"/>
    <cellStyle name="Total 3 20 2 2" xfId="10724"/>
    <cellStyle name="Total 3 20 3" xfId="9673"/>
    <cellStyle name="Total 3 21" xfId="4993"/>
    <cellStyle name="Total 3 21 2" xfId="6070"/>
    <cellStyle name="Total 3 21 2 2" xfId="10725"/>
    <cellStyle name="Total 3 21 3" xfId="9674"/>
    <cellStyle name="Total 3 22" xfId="4994"/>
    <cellStyle name="Total 3 22 2" xfId="6071"/>
    <cellStyle name="Total 3 22 2 2" xfId="10726"/>
    <cellStyle name="Total 3 22 3" xfId="9675"/>
    <cellStyle name="Total 3 23" xfId="6057"/>
    <cellStyle name="Total 3 23 2" xfId="10712"/>
    <cellStyle name="Total 3 24" xfId="9661"/>
    <cellStyle name="Total 3 3" xfId="4995"/>
    <cellStyle name="Total 3 3 2" xfId="6072"/>
    <cellStyle name="Total 3 3 2 2" xfId="10727"/>
    <cellStyle name="Total 3 3 3" xfId="9676"/>
    <cellStyle name="Total 3 4" xfId="4996"/>
    <cellStyle name="Total 3 4 2" xfId="6073"/>
    <cellStyle name="Total 3 4 2 2" xfId="10728"/>
    <cellStyle name="Total 3 4 3" xfId="9677"/>
    <cellStyle name="Total 3 5" xfId="4997"/>
    <cellStyle name="Total 3 5 2" xfId="6074"/>
    <cellStyle name="Total 3 5 2 2" xfId="10729"/>
    <cellStyle name="Total 3 5 3" xfId="9678"/>
    <cellStyle name="Total 3 6" xfId="4998"/>
    <cellStyle name="Total 3 6 2" xfId="6075"/>
    <cellStyle name="Total 3 6 2 2" xfId="10730"/>
    <cellStyle name="Total 3 6 3" xfId="9679"/>
    <cellStyle name="Total 3 7" xfId="4999"/>
    <cellStyle name="Total 3 7 2" xfId="6076"/>
    <cellStyle name="Total 3 7 2 2" xfId="10731"/>
    <cellStyle name="Total 3 7 3" xfId="9680"/>
    <cellStyle name="Total 3 8" xfId="5000"/>
    <cellStyle name="Total 3 8 2" xfId="6077"/>
    <cellStyle name="Total 3 8 2 2" xfId="10732"/>
    <cellStyle name="Total 3 8 3" xfId="9681"/>
    <cellStyle name="Total 3 9" xfId="5001"/>
    <cellStyle name="Total 3 9 2" xfId="6078"/>
    <cellStyle name="Total 3 9 2 2" xfId="10733"/>
    <cellStyle name="Total 3 9 3" xfId="9682"/>
    <cellStyle name="Total 4" xfId="5002"/>
    <cellStyle name="Total 4 10" xfId="9683"/>
    <cellStyle name="Total 4 2" xfId="5003"/>
    <cellStyle name="Total 4 2 2" xfId="6080"/>
    <cellStyle name="Total 4 2 2 2" xfId="10735"/>
    <cellStyle name="Total 4 2 3" xfId="9684"/>
    <cellStyle name="Total 4 3" xfId="5004"/>
    <cellStyle name="Total 4 3 2" xfId="6081"/>
    <cellStyle name="Total 4 3 2 2" xfId="10736"/>
    <cellStyle name="Total 4 3 3" xfId="9685"/>
    <cellStyle name="Total 4 4" xfId="5005"/>
    <cellStyle name="Total 4 4 2" xfId="6082"/>
    <cellStyle name="Total 4 4 2 2" xfId="10737"/>
    <cellStyle name="Total 4 4 3" xfId="9686"/>
    <cellStyle name="Total 4 5" xfId="5006"/>
    <cellStyle name="Total 4 5 2" xfId="6083"/>
    <cellStyle name="Total 4 5 2 2" xfId="10738"/>
    <cellStyle name="Total 4 5 3" xfId="9687"/>
    <cellStyle name="Total 4 6" xfId="5007"/>
    <cellStyle name="Total 4 6 2" xfId="6084"/>
    <cellStyle name="Total 4 6 2 2" xfId="10739"/>
    <cellStyle name="Total 4 6 3" xfId="9688"/>
    <cellStyle name="Total 4 7" xfId="5008"/>
    <cellStyle name="Total 4 7 2" xfId="6085"/>
    <cellStyle name="Total 4 7 2 2" xfId="10740"/>
    <cellStyle name="Total 4 7 3" xfId="9689"/>
    <cellStyle name="Total 4 8" xfId="5009"/>
    <cellStyle name="Total 4 8 2" xfId="6086"/>
    <cellStyle name="Total 4 8 2 2" xfId="10741"/>
    <cellStyle name="Total 4 8 3" xfId="9690"/>
    <cellStyle name="Total 4 9" xfId="6079"/>
    <cellStyle name="Total 4 9 2" xfId="10734"/>
    <cellStyle name="Total 5" xfId="5010"/>
    <cellStyle name="Total 5 2" xfId="6087"/>
    <cellStyle name="Total 5 2 2" xfId="10742"/>
    <cellStyle name="Total 5 3" xfId="9691"/>
    <cellStyle name="Total 6" xfId="5011"/>
    <cellStyle name="Total 6 2" xfId="6088"/>
    <cellStyle name="Total 6 2 2" xfId="10743"/>
    <cellStyle name="Total 6 3" xfId="9692"/>
    <cellStyle name="Total 7" xfId="5012"/>
    <cellStyle name="Total 7 2" xfId="6089"/>
    <cellStyle name="Total 7 2 2" xfId="10744"/>
    <cellStyle name="Total 7 3" xfId="9693"/>
    <cellStyle name="Total 8" xfId="5013"/>
    <cellStyle name="Total 8 2" xfId="6090"/>
    <cellStyle name="Total 8 2 2" xfId="10745"/>
    <cellStyle name="Total 8 3" xfId="9694"/>
    <cellStyle name="Total 9" xfId="5014"/>
    <cellStyle name="Total 9 2" xfId="6091"/>
    <cellStyle name="Total 9 2 2" xfId="10746"/>
    <cellStyle name="Total 9 3" xfId="9695"/>
    <cellStyle name="viet" xfId="5015"/>
    <cellStyle name="viet 2" xfId="5016"/>
    <cellStyle name="viet 2 2" xfId="6093"/>
    <cellStyle name="viet 2 2 2" xfId="10748"/>
    <cellStyle name="viet 2 3" xfId="9697"/>
    <cellStyle name="viet 3" xfId="5017"/>
    <cellStyle name="viet 3 2" xfId="6094"/>
    <cellStyle name="viet 3 2 2" xfId="10749"/>
    <cellStyle name="viet 3 3" xfId="9698"/>
    <cellStyle name="viet 4" xfId="5018"/>
    <cellStyle name="viet 4 2" xfId="6095"/>
    <cellStyle name="viet 4 2 2" xfId="10750"/>
    <cellStyle name="viet 4 3" xfId="9699"/>
    <cellStyle name="viet 5" xfId="6092"/>
    <cellStyle name="viet 5 2" xfId="10747"/>
    <cellStyle name="viet 6" xfId="9696"/>
    <cellStyle name="viet_10CH" xfId="5019"/>
    <cellStyle name="viet2" xfId="5020"/>
    <cellStyle name="viet2 2" xfId="5021"/>
    <cellStyle name="viet2 2 2" xfId="6097"/>
    <cellStyle name="viet2 2 2 2" xfId="10752"/>
    <cellStyle name="viet2 2 3" xfId="9701"/>
    <cellStyle name="viet2 3" xfId="5022"/>
    <cellStyle name="viet2 3 2" xfId="6098"/>
    <cellStyle name="viet2 3 2 2" xfId="10753"/>
    <cellStyle name="viet2 3 3" xfId="9702"/>
    <cellStyle name="viet2 4" xfId="5023"/>
    <cellStyle name="viet2 4 2" xfId="6099"/>
    <cellStyle name="viet2 4 2 2" xfId="10754"/>
    <cellStyle name="viet2 4 3" xfId="9703"/>
    <cellStyle name="viet2 5" xfId="6096"/>
    <cellStyle name="viet2 5 2" xfId="10751"/>
    <cellStyle name="viet2 6" xfId="9700"/>
    <cellStyle name="viet2_10CH" xfId="5024"/>
    <cellStyle name="VLB-GTKÕ" xfId="5025"/>
    <cellStyle name="VLB-GTKÕ 10" xfId="5026"/>
    <cellStyle name="VLB-GTKÕ 10 2" xfId="6101"/>
    <cellStyle name="VLB-GTKÕ 10 2 2" xfId="10756"/>
    <cellStyle name="VLB-GTKÕ 10 3" xfId="9705"/>
    <cellStyle name="VLB-GTKÕ 11" xfId="5027"/>
    <cellStyle name="VLB-GTKÕ 11 2" xfId="6102"/>
    <cellStyle name="VLB-GTKÕ 11 2 2" xfId="10757"/>
    <cellStyle name="VLB-GTKÕ 11 3" xfId="9706"/>
    <cellStyle name="VLB-GTKÕ 12" xfId="5028"/>
    <cellStyle name="VLB-GTKÕ 12 2" xfId="6103"/>
    <cellStyle name="VLB-GTKÕ 12 2 2" xfId="10758"/>
    <cellStyle name="VLB-GTKÕ 12 3" xfId="9707"/>
    <cellStyle name="VLB-GTKÕ 13" xfId="5029"/>
    <cellStyle name="VLB-GTKÕ 13 2" xfId="6104"/>
    <cellStyle name="VLB-GTKÕ 13 2 2" xfId="10759"/>
    <cellStyle name="VLB-GTKÕ 13 3" xfId="9708"/>
    <cellStyle name="VLB-GTKÕ 14" xfId="5030"/>
    <cellStyle name="VLB-GTKÕ 14 2" xfId="6105"/>
    <cellStyle name="VLB-GTKÕ 14 2 2" xfId="10760"/>
    <cellStyle name="VLB-GTKÕ 14 3" xfId="9709"/>
    <cellStyle name="VLB-GTKÕ 15" xfId="5031"/>
    <cellStyle name="VLB-GTKÕ 15 2" xfId="6106"/>
    <cellStyle name="VLB-GTKÕ 15 2 2" xfId="10761"/>
    <cellStyle name="VLB-GTKÕ 15 3" xfId="9710"/>
    <cellStyle name="VLB-GTKÕ 16" xfId="5032"/>
    <cellStyle name="VLB-GTKÕ 16 2" xfId="6107"/>
    <cellStyle name="VLB-GTKÕ 16 2 2" xfId="10762"/>
    <cellStyle name="VLB-GTKÕ 16 3" xfId="9711"/>
    <cellStyle name="VLB-GTKÕ 17" xfId="5033"/>
    <cellStyle name="VLB-GTKÕ 17 2" xfId="6108"/>
    <cellStyle name="VLB-GTKÕ 17 2 2" xfId="10763"/>
    <cellStyle name="VLB-GTKÕ 17 3" xfId="9712"/>
    <cellStyle name="VLB-GTKÕ 18" xfId="5034"/>
    <cellStyle name="VLB-GTKÕ 18 2" xfId="6109"/>
    <cellStyle name="VLB-GTKÕ 18 2 2" xfId="10764"/>
    <cellStyle name="VLB-GTKÕ 18 3" xfId="9713"/>
    <cellStyle name="VLB-GTKÕ 19" xfId="5035"/>
    <cellStyle name="VLB-GTKÕ 19 2" xfId="6110"/>
    <cellStyle name="VLB-GTKÕ 19 2 2" xfId="10765"/>
    <cellStyle name="VLB-GTKÕ 19 3" xfId="9714"/>
    <cellStyle name="VLB-GTKÕ 2" xfId="5036"/>
    <cellStyle name="VLB-GTKÕ 2 2" xfId="6111"/>
    <cellStyle name="VLB-GTKÕ 2 2 2" xfId="10766"/>
    <cellStyle name="VLB-GTKÕ 2 3" xfId="9715"/>
    <cellStyle name="VLB-GTKÕ 20" xfId="5037"/>
    <cellStyle name="VLB-GTKÕ 20 2" xfId="6112"/>
    <cellStyle name="VLB-GTKÕ 20 2 2" xfId="10767"/>
    <cellStyle name="VLB-GTKÕ 20 3" xfId="9716"/>
    <cellStyle name="VLB-GTKÕ 21" xfId="5038"/>
    <cellStyle name="VLB-GTKÕ 21 2" xfId="6113"/>
    <cellStyle name="VLB-GTKÕ 21 2 2" xfId="10768"/>
    <cellStyle name="VLB-GTKÕ 21 3" xfId="9717"/>
    <cellStyle name="VLB-GTKÕ 22" xfId="5039"/>
    <cellStyle name="VLB-GTKÕ 22 2" xfId="6114"/>
    <cellStyle name="VLB-GTKÕ 22 2 2" xfId="10769"/>
    <cellStyle name="VLB-GTKÕ 22 3" xfId="9718"/>
    <cellStyle name="VLB-GTKÕ 23" xfId="5040"/>
    <cellStyle name="VLB-GTKÕ 23 2" xfId="6115"/>
    <cellStyle name="VLB-GTKÕ 23 2 2" xfId="10770"/>
    <cellStyle name="VLB-GTKÕ 23 3" xfId="9719"/>
    <cellStyle name="VLB-GTKÕ 24" xfId="5041"/>
    <cellStyle name="VLB-GTKÕ 24 2" xfId="6116"/>
    <cellStyle name="VLB-GTKÕ 24 2 2" xfId="10771"/>
    <cellStyle name="VLB-GTKÕ 24 3" xfId="9720"/>
    <cellStyle name="VLB-GTKÕ 25" xfId="5042"/>
    <cellStyle name="VLB-GTKÕ 25 2" xfId="6117"/>
    <cellStyle name="VLB-GTKÕ 25 2 2" xfId="10772"/>
    <cellStyle name="VLB-GTKÕ 25 3" xfId="9721"/>
    <cellStyle name="VLB-GTKÕ 26" xfId="5043"/>
    <cellStyle name="VLB-GTKÕ 26 2" xfId="6118"/>
    <cellStyle name="VLB-GTKÕ 26 2 2" xfId="10773"/>
    <cellStyle name="VLB-GTKÕ 26 3" xfId="9722"/>
    <cellStyle name="VLB-GTKÕ 27" xfId="6100"/>
    <cellStyle name="VLB-GTKÕ 27 2" xfId="10755"/>
    <cellStyle name="VLB-GTKÕ 28" xfId="9704"/>
    <cellStyle name="VLB-GTKÕ 3" xfId="5044"/>
    <cellStyle name="VLB-GTKÕ 3 2" xfId="6119"/>
    <cellStyle name="VLB-GTKÕ 3 2 2" xfId="10774"/>
    <cellStyle name="VLB-GTKÕ 3 3" xfId="9723"/>
    <cellStyle name="VLB-GTKÕ 4" xfId="5045"/>
    <cellStyle name="VLB-GTKÕ 4 2" xfId="6120"/>
    <cellStyle name="VLB-GTKÕ 4 2 2" xfId="10775"/>
    <cellStyle name="VLB-GTKÕ 4 3" xfId="9724"/>
    <cellStyle name="VLB-GTKÕ 5" xfId="5046"/>
    <cellStyle name="VLB-GTKÕ 5 2" xfId="6121"/>
    <cellStyle name="VLB-GTKÕ 5 2 2" xfId="10776"/>
    <cellStyle name="VLB-GTKÕ 5 3" xfId="9725"/>
    <cellStyle name="VLB-GTKÕ 6" xfId="5047"/>
    <cellStyle name="VLB-GTKÕ 6 2" xfId="6122"/>
    <cellStyle name="VLB-GTKÕ 6 2 2" xfId="10777"/>
    <cellStyle name="VLB-GTKÕ 6 3" xfId="9726"/>
    <cellStyle name="VLB-GTKÕ 7" xfId="5048"/>
    <cellStyle name="VLB-GTKÕ 7 2" xfId="6123"/>
    <cellStyle name="VLB-GTKÕ 7 2 2" xfId="10778"/>
    <cellStyle name="VLB-GTKÕ 7 3" xfId="9727"/>
    <cellStyle name="VLB-GTKÕ 8" xfId="5049"/>
    <cellStyle name="VLB-GTKÕ 8 2" xfId="6124"/>
    <cellStyle name="VLB-GTKÕ 8 2 2" xfId="10779"/>
    <cellStyle name="VLB-GTKÕ 8 3" xfId="9728"/>
    <cellStyle name="VLB-GTKÕ 9" xfId="5050"/>
    <cellStyle name="VLB-GTKÕ 9 2" xfId="6125"/>
    <cellStyle name="VLB-GTKÕ 9 2 2" xfId="10780"/>
    <cellStyle name="VLB-GTKÕ 9 3" xfId="9729"/>
    <cellStyle name="VLB-GTKÕ_B 10 c" xfId="5051"/>
    <cellStyle name="vnhead1" xfId="5052"/>
    <cellStyle name="vnhead1 2" xfId="6126"/>
    <cellStyle name="vnhead1 2 2" xfId="10781"/>
    <cellStyle name="vnhead1 3" xfId="9730"/>
    <cellStyle name="vnhead3" xfId="5053"/>
    <cellStyle name="vnhead3 2" xfId="6127"/>
    <cellStyle name="vnhead3 2 2" xfId="10782"/>
    <cellStyle name="vnhead3 3" xfId="9731"/>
    <cellStyle name="vntxt1" xfId="5054"/>
    <cellStyle name="vntxt1 10" xfId="5055"/>
    <cellStyle name="vntxt1 10 2" xfId="6129"/>
    <cellStyle name="vntxt1 10 2 2" xfId="10784"/>
    <cellStyle name="vntxt1 10 3" xfId="9733"/>
    <cellStyle name="vntxt1 11" xfId="5056"/>
    <cellStyle name="vntxt1 11 2" xfId="6130"/>
    <cellStyle name="vntxt1 11 2 2" xfId="10785"/>
    <cellStyle name="vntxt1 11 3" xfId="9734"/>
    <cellStyle name="vntxt1 12" xfId="5057"/>
    <cellStyle name="vntxt1 12 2" xfId="6131"/>
    <cellStyle name="vntxt1 12 2 2" xfId="10786"/>
    <cellStyle name="vntxt1 12 3" xfId="9735"/>
    <cellStyle name="vntxt1 13" xfId="5058"/>
    <cellStyle name="vntxt1 13 2" xfId="6132"/>
    <cellStyle name="vntxt1 13 2 2" xfId="10787"/>
    <cellStyle name="vntxt1 13 3" xfId="9736"/>
    <cellStyle name="vntxt1 14" xfId="5059"/>
    <cellStyle name="vntxt1 14 2" xfId="6133"/>
    <cellStyle name="vntxt1 14 2 2" xfId="10788"/>
    <cellStyle name="vntxt1 14 3" xfId="9737"/>
    <cellStyle name="vntxt1 15" xfId="5060"/>
    <cellStyle name="vntxt1 15 2" xfId="6134"/>
    <cellStyle name="vntxt1 15 2 2" xfId="10789"/>
    <cellStyle name="vntxt1 15 3" xfId="9738"/>
    <cellStyle name="vntxt1 16" xfId="5061"/>
    <cellStyle name="vntxt1 16 2" xfId="6135"/>
    <cellStyle name="vntxt1 16 2 2" xfId="10790"/>
    <cellStyle name="vntxt1 16 3" xfId="9739"/>
    <cellStyle name="vntxt1 17" xfId="5062"/>
    <cellStyle name="vntxt1 17 2" xfId="6136"/>
    <cellStyle name="vntxt1 17 2 2" xfId="10791"/>
    <cellStyle name="vntxt1 17 3" xfId="9740"/>
    <cellStyle name="vntxt1 18" xfId="5063"/>
    <cellStyle name="vntxt1 18 2" xfId="6137"/>
    <cellStyle name="vntxt1 18 2 2" xfId="10792"/>
    <cellStyle name="vntxt1 18 3" xfId="9741"/>
    <cellStyle name="vntxt1 19" xfId="5064"/>
    <cellStyle name="vntxt1 19 2" xfId="6138"/>
    <cellStyle name="vntxt1 19 2 2" xfId="10793"/>
    <cellStyle name="vntxt1 19 3" xfId="9742"/>
    <cellStyle name="vntxt1 2" xfId="5065"/>
    <cellStyle name="vntxt1 2 2" xfId="6139"/>
    <cellStyle name="vntxt1 2 2 2" xfId="10794"/>
    <cellStyle name="vntxt1 2 3" xfId="9743"/>
    <cellStyle name="vntxt1 20" xfId="5066"/>
    <cellStyle name="vntxt1 20 2" xfId="6140"/>
    <cellStyle name="vntxt1 20 2 2" xfId="10795"/>
    <cellStyle name="vntxt1 20 3" xfId="9744"/>
    <cellStyle name="vntxt1 21" xfId="5067"/>
    <cellStyle name="vntxt1 21 2" xfId="6141"/>
    <cellStyle name="vntxt1 21 2 2" xfId="10796"/>
    <cellStyle name="vntxt1 21 3" xfId="9745"/>
    <cellStyle name="vntxt1 22" xfId="5068"/>
    <cellStyle name="vntxt1 22 2" xfId="6142"/>
    <cellStyle name="vntxt1 22 2 2" xfId="10797"/>
    <cellStyle name="vntxt1 22 3" xfId="9746"/>
    <cellStyle name="vntxt1 23" xfId="5069"/>
    <cellStyle name="vntxt1 23 2" xfId="6143"/>
    <cellStyle name="vntxt1 23 2 2" xfId="10798"/>
    <cellStyle name="vntxt1 23 3" xfId="9747"/>
    <cellStyle name="vntxt1 24" xfId="5070"/>
    <cellStyle name="vntxt1 24 2" xfId="6144"/>
    <cellStyle name="vntxt1 24 2 2" xfId="10799"/>
    <cellStyle name="vntxt1 24 3" xfId="9748"/>
    <cellStyle name="vntxt1 25" xfId="5071"/>
    <cellStyle name="vntxt1 25 2" xfId="6145"/>
    <cellStyle name="vntxt1 25 2 2" xfId="10800"/>
    <cellStyle name="vntxt1 25 3" xfId="9749"/>
    <cellStyle name="vntxt1 26" xfId="5072"/>
    <cellStyle name="vntxt1 26 2" xfId="6146"/>
    <cellStyle name="vntxt1 26 2 2" xfId="10801"/>
    <cellStyle name="vntxt1 26 3" xfId="9750"/>
    <cellStyle name="vntxt1 27" xfId="5073"/>
    <cellStyle name="vntxt1 27 2" xfId="6147"/>
    <cellStyle name="vntxt1 27 2 2" xfId="10802"/>
    <cellStyle name="vntxt1 27 3" xfId="9751"/>
    <cellStyle name="vntxt1 28" xfId="6128"/>
    <cellStyle name="vntxt1 28 2" xfId="10783"/>
    <cellStyle name="vntxt1 29" xfId="9732"/>
    <cellStyle name="vntxt1 3" xfId="5074"/>
    <cellStyle name="vntxt1 3 2" xfId="6148"/>
    <cellStyle name="vntxt1 3 2 2" xfId="10803"/>
    <cellStyle name="vntxt1 3 3" xfId="9752"/>
    <cellStyle name="vntxt1 4" xfId="5075"/>
    <cellStyle name="vntxt1 4 2" xfId="6149"/>
    <cellStyle name="vntxt1 4 2 2" xfId="10804"/>
    <cellStyle name="vntxt1 4 3" xfId="9753"/>
    <cellStyle name="vntxt1 5" xfId="5076"/>
    <cellStyle name="vntxt1 5 2" xfId="6150"/>
    <cellStyle name="vntxt1 5 2 2" xfId="10805"/>
    <cellStyle name="vntxt1 5 3" xfId="9754"/>
    <cellStyle name="vntxt1 6" xfId="5077"/>
    <cellStyle name="vntxt1 6 2" xfId="6151"/>
    <cellStyle name="vntxt1 6 2 2" xfId="10806"/>
    <cellStyle name="vntxt1 6 3" xfId="9755"/>
    <cellStyle name="vntxt1 7" xfId="5078"/>
    <cellStyle name="vntxt1 7 2" xfId="6152"/>
    <cellStyle name="vntxt1 7 2 2" xfId="10807"/>
    <cellStyle name="vntxt1 7 3" xfId="9756"/>
    <cellStyle name="vntxt1 8" xfId="5079"/>
    <cellStyle name="vntxt1 8 2" xfId="6153"/>
    <cellStyle name="vntxt1 8 2 2" xfId="10808"/>
    <cellStyle name="vntxt1 8 3" xfId="9757"/>
    <cellStyle name="vntxt1 9" xfId="5080"/>
    <cellStyle name="vntxt1 9 2" xfId="6154"/>
    <cellStyle name="vntxt1 9 2 2" xfId="10809"/>
    <cellStyle name="vntxt1 9 3" xfId="9758"/>
    <cellStyle name="vntxt1_CC 2016-2020" xfId="5081"/>
    <cellStyle name="vntxt2" xfId="5082"/>
    <cellStyle name="vntxt2 2" xfId="6155"/>
    <cellStyle name="vntxt2 2 2" xfId="10810"/>
    <cellStyle name="vntxt2 3" xfId="9759"/>
    <cellStyle name="Währung [0]_UXO VII" xfId="5083"/>
    <cellStyle name="Währung_UXO VII" xfId="5084"/>
    <cellStyle name="Warning Text" xfId="5085" builtinId="11" customBuiltin="1"/>
    <cellStyle name="Warning Text 2" xfId="6156"/>
    <cellStyle name="Warning Text 2 2" xfId="10811"/>
    <cellStyle name="Warning Text 3" xfId="9760"/>
    <cellStyle name="xuan" xfId="5086"/>
    <cellStyle name="xuan 2" xfId="6157"/>
    <cellStyle name="xuan 2 2" xfId="10812"/>
    <cellStyle name="xuan 3" xfId="9761"/>
    <cellStyle name=" [0.00]_ Att. 1- Cover" xfId="5087"/>
    <cellStyle name="_ Att. 1- Cover" xfId="5088"/>
    <cellStyle name="?_ Att. 1- Cover" xfId="5089"/>
    <cellStyle name="똿뗦먛귟 [0.00]_PRODUCT DETAIL Q1" xfId="5090"/>
    <cellStyle name="똿뗦먛귟_PRODUCT DETAIL Q1" xfId="5091"/>
    <cellStyle name="믅됞 [0.00]_PRODUCT DETAIL Q1" xfId="5092"/>
    <cellStyle name="믅됞_PRODUCT DETAIL Q1" xfId="5093"/>
    <cellStyle name="백분율_95" xfId="5094"/>
    <cellStyle name="뷭?_BOOKSHIP" xfId="5095"/>
    <cellStyle name="콤마 [0]_ 비목별 월별기술 " xfId="5096"/>
    <cellStyle name="콤마_ 비목별 월별기술 " xfId="5097"/>
    <cellStyle name="통화 [0]_1202" xfId="5098"/>
    <cellStyle name="통화_1202" xfId="5099"/>
    <cellStyle name="표준_(정보부문)월별인원계획" xfId="5100"/>
    <cellStyle name="一般_00Q3902REV.1" xfId="5101"/>
    <cellStyle name="千分位[0]_00Q3902REV.1" xfId="5102"/>
    <cellStyle name="千分位_00Q3902REV.1" xfId="5103"/>
    <cellStyle name="貨幣 [0]_00Q3902REV.1" xfId="5104"/>
    <cellStyle name="貨幣[0]_BRE" xfId="5105"/>
    <cellStyle name="貨幣_00Q3902REV.1" xfId="5106"/>
  </cellStyles>
  <dxfs count="120">
    <dxf>
      <font>
        <condense val="0"/>
        <extend val="0"/>
        <color indexed="9"/>
      </font>
    </dxf>
    <dxf>
      <font>
        <condense val="0"/>
        <extend val="0"/>
        <color indexed="9"/>
      </font>
      <fill>
        <patternFill>
          <fgColor indexed="64"/>
        </patternFill>
      </fill>
    </dxf>
    <dxf>
      <font>
        <condense val="0"/>
        <extend val="0"/>
        <color indexed="9"/>
      </font>
    </dxf>
    <dxf>
      <font>
        <condense val="0"/>
        <extend val="0"/>
        <color indexed="9"/>
      </font>
    </dxf>
    <dxf>
      <font>
        <condense val="0"/>
        <extend val="0"/>
        <color indexed="9"/>
      </font>
      <fill>
        <patternFill>
          <fgColor indexed="64"/>
        </patternFill>
      </fill>
    </dxf>
    <dxf>
      <font>
        <condense val="0"/>
        <extend val="0"/>
        <color indexed="9"/>
      </font>
    </dxf>
    <dxf>
      <font>
        <condense val="0"/>
        <extend val="0"/>
        <color indexed="9"/>
      </font>
    </dxf>
    <dxf>
      <font>
        <condense val="0"/>
        <extend val="0"/>
        <color indexed="9"/>
      </font>
      <fill>
        <patternFill>
          <fgColor indexed="64"/>
        </patternFill>
      </fill>
    </dxf>
    <dxf>
      <font>
        <condense val="0"/>
        <extend val="0"/>
        <color indexed="9"/>
      </font>
    </dxf>
    <dxf>
      <font>
        <condense val="0"/>
        <extend val="0"/>
        <color indexed="9"/>
      </font>
    </dxf>
    <dxf>
      <font>
        <condense val="0"/>
        <extend val="0"/>
        <color indexed="9"/>
      </font>
      <fill>
        <patternFill>
          <fgColor indexed="64"/>
        </patternFill>
      </fill>
    </dxf>
    <dxf>
      <font>
        <condense val="0"/>
        <extend val="0"/>
        <color indexed="9"/>
      </font>
    </dxf>
    <dxf>
      <font>
        <condense val="0"/>
        <extend val="0"/>
        <color indexed="9"/>
      </font>
    </dxf>
    <dxf>
      <font>
        <condense val="0"/>
        <extend val="0"/>
        <color indexed="9"/>
      </font>
      <fill>
        <patternFill>
          <fgColor indexed="64"/>
        </patternFill>
      </fill>
    </dxf>
    <dxf>
      <font>
        <condense val="0"/>
        <extend val="0"/>
        <color indexed="9"/>
      </font>
    </dxf>
    <dxf>
      <font>
        <condense val="0"/>
        <extend val="0"/>
        <color indexed="9"/>
      </font>
    </dxf>
    <dxf>
      <font>
        <condense val="0"/>
        <extend val="0"/>
        <color indexed="9"/>
      </font>
      <fill>
        <patternFill>
          <fgColor indexed="64"/>
        </patternFill>
      </fill>
    </dxf>
    <dxf>
      <font>
        <condense val="0"/>
        <extend val="0"/>
        <color indexed="9"/>
      </font>
    </dxf>
    <dxf>
      <font>
        <condense val="0"/>
        <extend val="0"/>
        <color indexed="9"/>
      </font>
    </dxf>
    <dxf>
      <font>
        <condense val="0"/>
        <extend val="0"/>
        <color indexed="9"/>
      </font>
      <fill>
        <patternFill>
          <fgColor indexed="64"/>
        </patternFill>
      </fill>
    </dxf>
    <dxf>
      <font>
        <condense val="0"/>
        <extend val="0"/>
        <color indexed="9"/>
      </font>
    </dxf>
    <dxf>
      <font>
        <condense val="0"/>
        <extend val="0"/>
        <color indexed="9"/>
      </font>
    </dxf>
    <dxf>
      <font>
        <condense val="0"/>
        <extend val="0"/>
        <color indexed="9"/>
      </font>
      <fill>
        <patternFill>
          <fgColor indexed="64"/>
        </patternFill>
      </fill>
    </dxf>
    <dxf>
      <font>
        <condense val="0"/>
        <extend val="0"/>
        <color indexed="9"/>
      </font>
    </dxf>
    <dxf>
      <font>
        <condense val="0"/>
        <extend val="0"/>
        <color indexed="9"/>
      </font>
    </dxf>
    <dxf>
      <font>
        <condense val="0"/>
        <extend val="0"/>
        <color indexed="9"/>
      </font>
      <fill>
        <patternFill>
          <fgColor indexed="64"/>
        </patternFill>
      </fill>
    </dxf>
    <dxf>
      <font>
        <condense val="0"/>
        <extend val="0"/>
        <color indexed="9"/>
      </font>
    </dxf>
    <dxf>
      <font>
        <condense val="0"/>
        <extend val="0"/>
        <color indexed="9"/>
      </font>
    </dxf>
    <dxf>
      <font>
        <condense val="0"/>
        <extend val="0"/>
        <color indexed="9"/>
      </font>
      <fill>
        <patternFill>
          <fgColor indexed="64"/>
        </patternFill>
      </fill>
    </dxf>
    <dxf>
      <font>
        <condense val="0"/>
        <extend val="0"/>
        <color indexed="9"/>
      </font>
    </dxf>
    <dxf>
      <font>
        <condense val="0"/>
        <extend val="0"/>
        <color indexed="9"/>
      </font>
    </dxf>
    <dxf>
      <font>
        <condense val="0"/>
        <extend val="0"/>
        <color indexed="9"/>
      </font>
      <fill>
        <patternFill>
          <fgColor indexed="64"/>
        </patternFill>
      </fill>
    </dxf>
    <dxf>
      <font>
        <condense val="0"/>
        <extend val="0"/>
        <color indexed="9"/>
      </font>
    </dxf>
    <dxf>
      <font>
        <condense val="0"/>
        <extend val="0"/>
        <color indexed="9"/>
      </font>
    </dxf>
    <dxf>
      <font>
        <condense val="0"/>
        <extend val="0"/>
        <color indexed="9"/>
      </font>
      <fill>
        <patternFill>
          <fgColor indexed="64"/>
        </patternFill>
      </fill>
    </dxf>
    <dxf>
      <font>
        <condense val="0"/>
        <extend val="0"/>
        <color indexed="9"/>
      </font>
    </dxf>
    <dxf>
      <font>
        <condense val="0"/>
        <extend val="0"/>
        <color indexed="9"/>
      </font>
    </dxf>
    <dxf>
      <font>
        <condense val="0"/>
        <extend val="0"/>
        <color indexed="9"/>
      </font>
      <fill>
        <patternFill>
          <fgColor indexed="64"/>
        </patternFill>
      </fill>
    </dxf>
    <dxf>
      <font>
        <condense val="0"/>
        <extend val="0"/>
        <color indexed="9"/>
      </font>
    </dxf>
    <dxf>
      <font>
        <condense val="0"/>
        <extend val="0"/>
        <color indexed="9"/>
      </font>
    </dxf>
    <dxf>
      <font>
        <condense val="0"/>
        <extend val="0"/>
        <color indexed="9"/>
      </font>
      <fill>
        <patternFill>
          <fgColor indexed="64"/>
        </patternFill>
      </fill>
    </dxf>
    <dxf>
      <font>
        <condense val="0"/>
        <extend val="0"/>
        <color indexed="9"/>
      </font>
    </dxf>
    <dxf>
      <font>
        <condense val="0"/>
        <extend val="0"/>
        <color indexed="9"/>
      </font>
    </dxf>
    <dxf>
      <font>
        <condense val="0"/>
        <extend val="0"/>
        <color indexed="9"/>
      </font>
      <fill>
        <patternFill>
          <fgColor indexed="64"/>
        </patternFill>
      </fill>
    </dxf>
    <dxf>
      <font>
        <condense val="0"/>
        <extend val="0"/>
        <color indexed="9"/>
      </font>
    </dxf>
    <dxf>
      <font>
        <condense val="0"/>
        <extend val="0"/>
        <color indexed="9"/>
      </font>
    </dxf>
    <dxf>
      <font>
        <condense val="0"/>
        <extend val="0"/>
        <color indexed="9"/>
      </font>
      <fill>
        <patternFill>
          <fgColor indexed="64"/>
        </patternFill>
      </fill>
    </dxf>
    <dxf>
      <font>
        <condense val="0"/>
        <extend val="0"/>
        <color indexed="9"/>
      </font>
    </dxf>
    <dxf>
      <font>
        <condense val="0"/>
        <extend val="0"/>
        <color indexed="9"/>
      </font>
    </dxf>
    <dxf>
      <font>
        <condense val="0"/>
        <extend val="0"/>
        <color indexed="9"/>
      </font>
      <fill>
        <patternFill>
          <fgColor indexed="64"/>
        </patternFill>
      </fill>
    </dxf>
    <dxf>
      <font>
        <condense val="0"/>
        <extend val="0"/>
        <color indexed="9"/>
      </font>
    </dxf>
    <dxf>
      <font>
        <condense val="0"/>
        <extend val="0"/>
        <color indexed="9"/>
      </font>
    </dxf>
    <dxf>
      <font>
        <condense val="0"/>
        <extend val="0"/>
        <color indexed="9"/>
      </font>
      <fill>
        <patternFill>
          <fgColor indexed="64"/>
        </patternFill>
      </fill>
    </dxf>
    <dxf>
      <font>
        <condense val="0"/>
        <extend val="0"/>
        <color indexed="9"/>
      </font>
    </dxf>
    <dxf>
      <font>
        <condense val="0"/>
        <extend val="0"/>
        <color indexed="9"/>
      </font>
    </dxf>
    <dxf>
      <font>
        <condense val="0"/>
        <extend val="0"/>
        <color indexed="9"/>
      </font>
      <fill>
        <patternFill>
          <fgColor indexed="64"/>
        </patternFill>
      </fill>
    </dxf>
    <dxf>
      <font>
        <condense val="0"/>
        <extend val="0"/>
        <color indexed="9"/>
      </font>
    </dxf>
    <dxf>
      <font>
        <condense val="0"/>
        <extend val="0"/>
        <color indexed="9"/>
      </font>
    </dxf>
    <dxf>
      <font>
        <condense val="0"/>
        <extend val="0"/>
        <color indexed="9"/>
      </font>
      <fill>
        <patternFill>
          <fgColor indexed="64"/>
        </patternFill>
      </fill>
    </dxf>
    <dxf>
      <font>
        <condense val="0"/>
        <extend val="0"/>
        <color indexed="9"/>
      </font>
    </dxf>
    <dxf>
      <font>
        <condense val="0"/>
        <extend val="0"/>
        <color indexed="9"/>
      </font>
    </dxf>
    <dxf>
      <font>
        <condense val="0"/>
        <extend val="0"/>
        <color indexed="9"/>
      </font>
      <fill>
        <patternFill>
          <fgColor indexed="64"/>
        </patternFill>
      </fill>
    </dxf>
    <dxf>
      <font>
        <condense val="0"/>
        <extend val="0"/>
        <color indexed="9"/>
      </font>
    </dxf>
    <dxf>
      <font>
        <condense val="0"/>
        <extend val="0"/>
        <color indexed="9"/>
      </font>
    </dxf>
    <dxf>
      <font>
        <condense val="0"/>
        <extend val="0"/>
        <color indexed="9"/>
      </font>
      <fill>
        <patternFill>
          <fgColor indexed="64"/>
        </patternFill>
      </fill>
    </dxf>
    <dxf>
      <font>
        <condense val="0"/>
        <extend val="0"/>
        <color indexed="9"/>
      </font>
    </dxf>
    <dxf>
      <font>
        <condense val="0"/>
        <extend val="0"/>
        <color indexed="9"/>
      </font>
    </dxf>
    <dxf>
      <font>
        <condense val="0"/>
        <extend val="0"/>
        <color indexed="9"/>
      </font>
      <fill>
        <patternFill>
          <fgColor indexed="64"/>
        </patternFill>
      </fill>
    </dxf>
    <dxf>
      <font>
        <condense val="0"/>
        <extend val="0"/>
        <color indexed="9"/>
      </font>
    </dxf>
    <dxf>
      <font>
        <condense val="0"/>
        <extend val="0"/>
        <color indexed="9"/>
      </font>
    </dxf>
    <dxf>
      <font>
        <condense val="0"/>
        <extend val="0"/>
        <color indexed="9"/>
      </font>
      <fill>
        <patternFill>
          <fgColor indexed="64"/>
        </patternFill>
      </fill>
    </dxf>
    <dxf>
      <font>
        <condense val="0"/>
        <extend val="0"/>
        <color indexed="9"/>
      </font>
    </dxf>
    <dxf>
      <font>
        <condense val="0"/>
        <extend val="0"/>
        <color indexed="9"/>
      </font>
    </dxf>
    <dxf>
      <font>
        <condense val="0"/>
        <extend val="0"/>
        <color indexed="9"/>
      </font>
      <fill>
        <patternFill>
          <fgColor indexed="64"/>
        </patternFill>
      </fill>
    </dxf>
    <dxf>
      <font>
        <condense val="0"/>
        <extend val="0"/>
        <color indexed="9"/>
      </font>
    </dxf>
    <dxf>
      <font>
        <condense val="0"/>
        <extend val="0"/>
        <color indexed="9"/>
      </font>
    </dxf>
    <dxf>
      <font>
        <condense val="0"/>
        <extend val="0"/>
        <color indexed="9"/>
      </font>
      <fill>
        <patternFill>
          <fgColor indexed="64"/>
        </patternFill>
      </fill>
    </dxf>
    <dxf>
      <font>
        <condense val="0"/>
        <extend val="0"/>
        <color indexed="9"/>
      </font>
    </dxf>
    <dxf>
      <font>
        <condense val="0"/>
        <extend val="0"/>
        <color indexed="9"/>
      </font>
    </dxf>
    <dxf>
      <font>
        <condense val="0"/>
        <extend val="0"/>
        <color indexed="9"/>
      </font>
      <fill>
        <patternFill>
          <fgColor indexed="64"/>
        </patternFill>
      </fill>
    </dxf>
    <dxf>
      <font>
        <condense val="0"/>
        <extend val="0"/>
        <color indexed="9"/>
      </font>
    </dxf>
    <dxf>
      <font>
        <condense val="0"/>
        <extend val="0"/>
        <color indexed="9"/>
      </font>
    </dxf>
    <dxf>
      <font>
        <condense val="0"/>
        <extend val="0"/>
        <color indexed="9"/>
      </font>
      <fill>
        <patternFill>
          <fgColor indexed="64"/>
        </patternFill>
      </fill>
    </dxf>
    <dxf>
      <font>
        <condense val="0"/>
        <extend val="0"/>
        <color indexed="9"/>
      </font>
    </dxf>
    <dxf>
      <font>
        <condense val="0"/>
        <extend val="0"/>
        <color indexed="9"/>
      </font>
    </dxf>
    <dxf>
      <font>
        <condense val="0"/>
        <extend val="0"/>
        <color indexed="9"/>
      </font>
      <fill>
        <patternFill>
          <fgColor indexed="64"/>
        </patternFill>
      </fill>
    </dxf>
    <dxf>
      <font>
        <condense val="0"/>
        <extend val="0"/>
        <color indexed="9"/>
      </font>
    </dxf>
    <dxf>
      <font>
        <condense val="0"/>
        <extend val="0"/>
        <color indexed="9"/>
      </font>
    </dxf>
    <dxf>
      <font>
        <condense val="0"/>
        <extend val="0"/>
        <color indexed="9"/>
      </font>
      <fill>
        <patternFill>
          <fgColor indexed="64"/>
        </patternFill>
      </fill>
    </dxf>
    <dxf>
      <font>
        <condense val="0"/>
        <extend val="0"/>
        <color indexed="9"/>
      </font>
    </dxf>
    <dxf>
      <font>
        <condense val="0"/>
        <extend val="0"/>
        <color indexed="9"/>
      </font>
    </dxf>
    <dxf>
      <font>
        <condense val="0"/>
        <extend val="0"/>
        <color indexed="9"/>
      </font>
      <fill>
        <patternFill>
          <fgColor indexed="64"/>
        </patternFill>
      </fill>
    </dxf>
    <dxf>
      <font>
        <condense val="0"/>
        <extend val="0"/>
        <color indexed="9"/>
      </font>
    </dxf>
    <dxf>
      <font>
        <condense val="0"/>
        <extend val="0"/>
        <color indexed="9"/>
      </font>
    </dxf>
    <dxf>
      <font>
        <condense val="0"/>
        <extend val="0"/>
        <color indexed="9"/>
      </font>
      <fill>
        <patternFill>
          <fgColor indexed="64"/>
        </patternFill>
      </fill>
    </dxf>
    <dxf>
      <font>
        <condense val="0"/>
        <extend val="0"/>
        <color indexed="9"/>
      </font>
    </dxf>
    <dxf>
      <font>
        <condense val="0"/>
        <extend val="0"/>
        <color indexed="9"/>
      </font>
    </dxf>
    <dxf>
      <font>
        <condense val="0"/>
        <extend val="0"/>
        <color indexed="9"/>
      </font>
      <fill>
        <patternFill>
          <fgColor indexed="64"/>
        </patternFill>
      </fill>
    </dxf>
    <dxf>
      <font>
        <condense val="0"/>
        <extend val="0"/>
        <color indexed="9"/>
      </font>
    </dxf>
    <dxf>
      <font>
        <condense val="0"/>
        <extend val="0"/>
        <color indexed="9"/>
      </font>
    </dxf>
    <dxf>
      <font>
        <condense val="0"/>
        <extend val="0"/>
        <color indexed="9"/>
      </font>
      <fill>
        <patternFill>
          <fgColor indexed="64"/>
        </patternFill>
      </fill>
    </dxf>
    <dxf>
      <font>
        <condense val="0"/>
        <extend val="0"/>
        <color indexed="9"/>
      </font>
    </dxf>
    <dxf>
      <font>
        <condense val="0"/>
        <extend val="0"/>
        <color indexed="9"/>
      </font>
    </dxf>
    <dxf>
      <font>
        <condense val="0"/>
        <extend val="0"/>
        <color indexed="9"/>
      </font>
      <fill>
        <patternFill>
          <fgColor indexed="64"/>
        </patternFill>
      </fill>
    </dxf>
    <dxf>
      <font>
        <condense val="0"/>
        <extend val="0"/>
        <color indexed="9"/>
      </font>
    </dxf>
    <dxf>
      <font>
        <condense val="0"/>
        <extend val="0"/>
        <color indexed="9"/>
      </font>
    </dxf>
    <dxf>
      <font>
        <condense val="0"/>
        <extend val="0"/>
        <color indexed="9"/>
      </font>
      <fill>
        <patternFill>
          <fgColor indexed="64"/>
        </patternFill>
      </fill>
    </dxf>
    <dxf>
      <font>
        <condense val="0"/>
        <extend val="0"/>
        <color indexed="9"/>
      </font>
    </dxf>
    <dxf>
      <font>
        <condense val="0"/>
        <extend val="0"/>
        <color indexed="9"/>
      </font>
    </dxf>
    <dxf>
      <font>
        <condense val="0"/>
        <extend val="0"/>
        <color indexed="9"/>
      </font>
      <fill>
        <patternFill>
          <fgColor indexed="64"/>
        </patternFill>
      </fill>
    </dxf>
    <dxf>
      <font>
        <condense val="0"/>
        <extend val="0"/>
        <color indexed="9"/>
      </font>
    </dxf>
    <dxf>
      <font>
        <condense val="0"/>
        <extend val="0"/>
        <color indexed="9"/>
      </font>
    </dxf>
    <dxf>
      <font>
        <condense val="0"/>
        <extend val="0"/>
        <color indexed="9"/>
      </font>
      <fill>
        <patternFill>
          <fgColor indexed="64"/>
        </patternFill>
      </fill>
    </dxf>
    <dxf>
      <font>
        <condense val="0"/>
        <extend val="0"/>
        <color indexed="9"/>
      </font>
    </dxf>
    <dxf>
      <font>
        <condense val="0"/>
        <extend val="0"/>
        <color indexed="9"/>
      </font>
    </dxf>
    <dxf>
      <font>
        <condense val="0"/>
        <extend val="0"/>
        <color indexed="9"/>
      </font>
      <fill>
        <patternFill>
          <fgColor indexed="64"/>
        </patternFill>
      </fill>
    </dxf>
    <dxf>
      <font>
        <condense val="0"/>
        <extend val="0"/>
        <color indexed="9"/>
      </font>
    </dxf>
    <dxf>
      <font>
        <condense val="0"/>
        <extend val="0"/>
        <color indexed="9"/>
      </font>
    </dxf>
    <dxf>
      <font>
        <condense val="0"/>
        <extend val="0"/>
        <color indexed="9"/>
      </font>
      <fill>
        <patternFill>
          <fgColor indexed="64"/>
        </patternFill>
      </fill>
    </dxf>
    <dxf>
      <font>
        <condense val="0"/>
        <extend val="0"/>
        <color indexed="9"/>
      </font>
    </dxf>
  </dxfs>
  <tableStyles count="0" defaultTableStyle="TableStyleMedium9" defaultPivotStyle="PivotStyleLight16"/>
  <colors>
    <mruColors>
      <color rgb="FF0000FF"/>
      <color rgb="FF00CCFF"/>
      <color rgb="FF3399FF"/>
      <color rgb="FFCC66FF"/>
      <color rgb="FFFF6699"/>
      <color rgb="FFFF00FF"/>
      <color rgb="FF8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externalLink" Target="externalLinks/externalLink1.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sharedStrings" Target="sharedStrings.xml"/><Relationship Id="rId61" Type="http://schemas.openxmlformats.org/officeDocument/2006/relationships/worksheet" Target="worksheets/sheet61.xml"/><Relationship Id="rId82" Type="http://schemas.openxmlformats.org/officeDocument/2006/relationships/worksheet" Target="worksheets/sheet8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Nam%202018\BCDCQH%20Quang%20yen%2015.10%20(phe%20duyet)\DCQH%20QUANG%20YEN%202020%20(ban%20giao)\BIEU%20DC%20QUY%20HOACH%202020%204.2018%20cu.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uc luc"/>
      <sheetName val="Sheet1"/>
      <sheetName val="chuchuyen2011-2020"/>
      <sheetName val="cc2011-2015"/>
      <sheetName val="BIEN DONG"/>
      <sheetName val="01CH"/>
      <sheetName val="02CH"/>
      <sheetName val="03CH"/>
      <sheetName val="04CH"/>
      <sheetName val="05CH"/>
      <sheetName val="10CH"/>
      <sheetName val="11CH"/>
      <sheetName val="chuchuyenin"/>
      <sheetName val="TONG THI XA"/>
      <sheetName val="Quang yen"/>
      <sheetName val="Dong Mai"/>
      <sheetName val="Minh Thanh"/>
      <sheetName val="Cong Hoa"/>
      <sheetName val="Tan An"/>
      <sheetName val="Ha An"/>
      <sheetName val="Yen Giang"/>
      <sheetName val="Nam Hoa"/>
      <sheetName val="Yen Hai"/>
      <sheetName val="Phong Coc"/>
      <sheetName val="Phong Hai"/>
      <sheetName val="Song Khoai"/>
      <sheetName val="Tien An"/>
      <sheetName val="Hoang Tan"/>
      <sheetName val="Hiep Hoa"/>
      <sheetName val="Cam La"/>
      <sheetName val="Lien Hoa"/>
      <sheetName val="Lien vị"/>
      <sheetName val="Tien Phong"/>
      <sheetName val="PHỤLỤCNN"/>
      <sheetName val="PHỤ LỤC PNN"/>
      <sheetName val="PHỤ LUC HT"/>
      <sheetName val="LUA"/>
      <sheetName val="LUC"/>
      <sheetName val="HNK"/>
      <sheetName val="CLN"/>
      <sheetName val="RPH"/>
      <sheetName val="RSX"/>
      <sheetName val="NTS"/>
      <sheetName val="NKH"/>
      <sheetName val="CQP"/>
      <sheetName val="CAN"/>
      <sheetName val="SKK"/>
      <sheetName val="TMD"/>
      <sheetName val="SKC"/>
      <sheetName val="DHT"/>
      <sheetName val="DVH"/>
      <sheetName val="DYT"/>
      <sheetName val="DGD"/>
      <sheetName val="DTT"/>
      <sheetName val="DGT"/>
      <sheetName val="DTL"/>
      <sheetName val="DNL"/>
      <sheetName val="DBV"/>
      <sheetName val="DCH"/>
      <sheetName val="DDT"/>
      <sheetName val="DRA"/>
      <sheetName val="ONT"/>
      <sheetName val="ODT"/>
      <sheetName val="TSC"/>
      <sheetName val="DTS"/>
      <sheetName val="TON"/>
      <sheetName val="NTD"/>
      <sheetName val="SKX"/>
      <sheetName val="DSH"/>
      <sheetName val="DKV"/>
      <sheetName val="TIN"/>
      <sheetName val="SON"/>
      <sheetName val="MNC"/>
      <sheetName val="CSD"/>
      <sheetName val="Sheet4"/>
      <sheetName val="Sheet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row r="19">
          <cell r="BN19">
            <v>339.08</v>
          </cell>
        </row>
        <row r="20">
          <cell r="BN20">
            <v>34.18</v>
          </cell>
        </row>
      </sheetData>
      <sheetData sheetId="17" refreshError="1"/>
      <sheetData sheetId="18" refreshError="1"/>
      <sheetData sheetId="19" refreshError="1">
        <row r="30">
          <cell r="BN30">
            <v>0</v>
          </cell>
        </row>
      </sheetData>
      <sheetData sheetId="20" refreshError="1"/>
      <sheetData sheetId="21" refreshError="1"/>
      <sheetData sheetId="22" refreshError="1"/>
      <sheetData sheetId="23" refreshError="1"/>
      <sheetData sheetId="24" refreshError="1"/>
      <sheetData sheetId="25" refreshError="1">
        <row r="21">
          <cell r="BN21">
            <v>85.500000000000014</v>
          </cell>
        </row>
        <row r="28">
          <cell r="BN28">
            <v>629.35000000000014</v>
          </cell>
        </row>
        <row r="32">
          <cell r="BN32">
            <v>21.74</v>
          </cell>
        </row>
        <row r="34">
          <cell r="BN34">
            <v>107.47</v>
          </cell>
        </row>
        <row r="46">
          <cell r="BN46">
            <v>0</v>
          </cell>
        </row>
        <row r="49">
          <cell r="BN49">
            <v>62.6</v>
          </cell>
        </row>
        <row r="51">
          <cell r="BN51">
            <v>0.21</v>
          </cell>
        </row>
        <row r="52">
          <cell r="BN52">
            <v>7.0000000000000007E-2</v>
          </cell>
        </row>
        <row r="54">
          <cell r="BN54">
            <v>1.35</v>
          </cell>
        </row>
        <row r="57">
          <cell r="BN57">
            <v>0.66999999999999993</v>
          </cell>
        </row>
        <row r="59">
          <cell r="BN59">
            <v>1.41</v>
          </cell>
        </row>
        <row r="65">
          <cell r="BN65">
            <v>5.49</v>
          </cell>
        </row>
      </sheetData>
      <sheetData sheetId="26" refreshError="1">
        <row r="31">
          <cell r="BN31">
            <v>0.91999999999999993</v>
          </cell>
        </row>
        <row r="32">
          <cell r="BN32">
            <v>11.72</v>
          </cell>
        </row>
        <row r="34">
          <cell r="BN34">
            <v>113.05000000000001</v>
          </cell>
        </row>
        <row r="46">
          <cell r="BN46">
            <v>0</v>
          </cell>
        </row>
        <row r="49">
          <cell r="BN49">
            <v>123.05</v>
          </cell>
        </row>
        <row r="51">
          <cell r="BN51">
            <v>0.57999999999999996</v>
          </cell>
        </row>
        <row r="52">
          <cell r="BN52">
            <v>0.32999999999999996</v>
          </cell>
        </row>
        <row r="54">
          <cell r="BN54">
            <v>0.09</v>
          </cell>
        </row>
        <row r="57">
          <cell r="BN57">
            <v>1.33</v>
          </cell>
        </row>
        <row r="59">
          <cell r="BN59">
            <v>1.87</v>
          </cell>
        </row>
      </sheetData>
      <sheetData sheetId="27" refreshError="1">
        <row r="34">
          <cell r="BN34">
            <v>345.04</v>
          </cell>
        </row>
        <row r="51">
          <cell r="BN51">
            <v>0.31</v>
          </cell>
        </row>
        <row r="52">
          <cell r="BN52">
            <v>0.36</v>
          </cell>
        </row>
        <row r="57">
          <cell r="BN57">
            <v>0.16</v>
          </cell>
        </row>
        <row r="59">
          <cell r="BN59">
            <v>0.03</v>
          </cell>
        </row>
      </sheetData>
      <sheetData sheetId="28" refreshError="1">
        <row r="28">
          <cell r="BN28">
            <v>0</v>
          </cell>
        </row>
        <row r="34">
          <cell r="BN34">
            <v>74.87</v>
          </cell>
        </row>
        <row r="46">
          <cell r="BN46">
            <v>0</v>
          </cell>
        </row>
        <row r="51">
          <cell r="BN51">
            <v>0.54</v>
          </cell>
        </row>
        <row r="52">
          <cell r="BN52">
            <v>0.02</v>
          </cell>
        </row>
        <row r="54">
          <cell r="BN54">
            <v>2.31</v>
          </cell>
        </row>
        <row r="57">
          <cell r="BN57">
            <v>1.23</v>
          </cell>
        </row>
        <row r="58">
          <cell r="BN58">
            <v>0.35</v>
          </cell>
        </row>
        <row r="59">
          <cell r="BN59">
            <v>0.84</v>
          </cell>
        </row>
      </sheetData>
      <sheetData sheetId="29" refreshError="1">
        <row r="32">
          <cell r="BN32">
            <v>13.969999999999999</v>
          </cell>
        </row>
        <row r="34">
          <cell r="BN34">
            <v>68.86999999999999</v>
          </cell>
        </row>
        <row r="46">
          <cell r="BN46">
            <v>0</v>
          </cell>
        </row>
        <row r="49">
          <cell r="BN49">
            <v>32.549999999999997</v>
          </cell>
        </row>
        <row r="51">
          <cell r="BN51">
            <v>0.35</v>
          </cell>
        </row>
        <row r="52">
          <cell r="BN52">
            <v>0</v>
          </cell>
        </row>
        <row r="53">
          <cell r="BN53">
            <v>0</v>
          </cell>
        </row>
        <row r="54">
          <cell r="BN54">
            <v>0</v>
          </cell>
        </row>
        <row r="57">
          <cell r="BN57">
            <v>0.45</v>
          </cell>
        </row>
        <row r="58">
          <cell r="BN58">
            <v>0.06</v>
          </cell>
        </row>
        <row r="59">
          <cell r="BN59">
            <v>1.65</v>
          </cell>
        </row>
      </sheetData>
      <sheetData sheetId="30" refreshError="1">
        <row r="32">
          <cell r="BN32">
            <v>184.25</v>
          </cell>
        </row>
        <row r="46">
          <cell r="BN46">
            <v>0</v>
          </cell>
        </row>
        <row r="49">
          <cell r="BN49">
            <v>48.06</v>
          </cell>
        </row>
        <row r="50">
          <cell r="BN50">
            <v>0</v>
          </cell>
        </row>
        <row r="51">
          <cell r="BN51">
            <v>0.26</v>
          </cell>
        </row>
        <row r="52">
          <cell r="BN52">
            <v>0</v>
          </cell>
        </row>
        <row r="53">
          <cell r="BN53">
            <v>0</v>
          </cell>
        </row>
        <row r="54">
          <cell r="BN54">
            <v>0.76</v>
          </cell>
        </row>
        <row r="57">
          <cell r="BN57">
            <v>0.27</v>
          </cell>
        </row>
        <row r="58">
          <cell r="BN58">
            <v>0.61</v>
          </cell>
        </row>
        <row r="59">
          <cell r="BN59">
            <v>2.79</v>
          </cell>
        </row>
      </sheetData>
      <sheetData sheetId="31" refreshError="1">
        <row r="28">
          <cell r="BN28">
            <v>1399.22</v>
          </cell>
        </row>
        <row r="32">
          <cell r="BN32">
            <v>17.25</v>
          </cell>
        </row>
        <row r="34">
          <cell r="BN34">
            <v>99.449999999999989</v>
          </cell>
        </row>
        <row r="46">
          <cell r="BN46">
            <v>0.5</v>
          </cell>
        </row>
        <row r="49">
          <cell r="BN49">
            <v>70.92</v>
          </cell>
        </row>
        <row r="51">
          <cell r="BN51">
            <v>0.61</v>
          </cell>
        </row>
        <row r="52">
          <cell r="BN52">
            <v>0.12</v>
          </cell>
        </row>
        <row r="53">
          <cell r="BN53">
            <v>0</v>
          </cell>
        </row>
        <row r="54">
          <cell r="BN54">
            <v>0</v>
          </cell>
        </row>
        <row r="57">
          <cell r="BN57">
            <v>0.4</v>
          </cell>
        </row>
        <row r="58">
          <cell r="BN58">
            <v>0.31000000000000005</v>
          </cell>
        </row>
        <row r="59">
          <cell r="BN59">
            <v>1.77</v>
          </cell>
        </row>
      </sheetData>
      <sheetData sheetId="32" refreshError="1">
        <row r="28">
          <cell r="BN28">
            <v>507.3</v>
          </cell>
        </row>
        <row r="31">
          <cell r="BN31">
            <v>0.36</v>
          </cell>
        </row>
        <row r="46">
          <cell r="BN46">
            <v>0</v>
          </cell>
        </row>
        <row r="47">
          <cell r="BN47">
            <v>0</v>
          </cell>
        </row>
        <row r="49">
          <cell r="BN49">
            <v>29.919999999999998</v>
          </cell>
        </row>
        <row r="50">
          <cell r="BN50">
            <v>0</v>
          </cell>
        </row>
        <row r="51">
          <cell r="BN51">
            <v>0.86</v>
          </cell>
        </row>
        <row r="52">
          <cell r="BN52">
            <v>0</v>
          </cell>
        </row>
        <row r="54">
          <cell r="BN54">
            <v>0</v>
          </cell>
        </row>
        <row r="57">
          <cell r="BN57">
            <v>0.77</v>
          </cell>
        </row>
        <row r="58">
          <cell r="BN58">
            <v>0.7400000000000001</v>
          </cell>
        </row>
        <row r="59">
          <cell r="BN59">
            <v>0.02</v>
          </cell>
        </row>
      </sheetData>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comments" Target="../comments21.xml"/><Relationship Id="rId2" Type="http://schemas.openxmlformats.org/officeDocument/2006/relationships/vmlDrawing" Target="../drawings/vmlDrawing21.v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3" Type="http://schemas.openxmlformats.org/officeDocument/2006/relationships/comments" Target="../comments22.xml"/><Relationship Id="rId2" Type="http://schemas.openxmlformats.org/officeDocument/2006/relationships/vmlDrawing" Target="../drawings/vmlDrawing22.v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3" Type="http://schemas.openxmlformats.org/officeDocument/2006/relationships/comments" Target="../comments23.xml"/><Relationship Id="rId2" Type="http://schemas.openxmlformats.org/officeDocument/2006/relationships/vmlDrawing" Target="../drawings/vmlDrawing23.v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C12"/>
  <sheetViews>
    <sheetView workbookViewId="0">
      <selection activeCell="H7" sqref="H7"/>
    </sheetView>
  </sheetViews>
  <sheetFormatPr defaultRowHeight="12.75"/>
  <cols>
    <col min="1" max="1" width="7.5703125" customWidth="1"/>
    <col min="2" max="2" width="15.85546875" customWidth="1"/>
    <col min="3" max="3" width="74.42578125" customWidth="1"/>
  </cols>
  <sheetData>
    <row r="1" spans="1:3" ht="27.75" customHeight="1">
      <c r="A1" s="1252" t="s">
        <v>133</v>
      </c>
      <c r="B1" s="1252"/>
      <c r="C1" s="1252"/>
    </row>
    <row r="2" spans="1:3" ht="27" customHeight="1"/>
    <row r="3" spans="1:3" ht="54" customHeight="1">
      <c r="A3" s="329" t="s">
        <v>0</v>
      </c>
      <c r="B3" s="329" t="s">
        <v>1</v>
      </c>
      <c r="C3" s="329" t="s">
        <v>2</v>
      </c>
    </row>
    <row r="4" spans="1:3" ht="44.25" customHeight="1">
      <c r="A4" s="335">
        <v>1</v>
      </c>
      <c r="B4" s="336" t="s">
        <v>3</v>
      </c>
      <c r="C4" s="336" t="s">
        <v>333</v>
      </c>
    </row>
    <row r="5" spans="1:3" ht="44.25" customHeight="1">
      <c r="A5" s="30">
        <v>2</v>
      </c>
      <c r="B5" s="14" t="s">
        <v>4</v>
      </c>
      <c r="C5" s="14" t="s">
        <v>334</v>
      </c>
    </row>
    <row r="6" spans="1:3" ht="44.25" customHeight="1">
      <c r="A6" s="30">
        <v>3</v>
      </c>
      <c r="B6" s="14" t="s">
        <v>5</v>
      </c>
      <c r="C6" s="14" t="s">
        <v>335</v>
      </c>
    </row>
    <row r="7" spans="1:3" ht="59.25" customHeight="1">
      <c r="A7" s="30">
        <v>4</v>
      </c>
      <c r="B7" s="14" t="s">
        <v>6</v>
      </c>
      <c r="C7" s="14" t="s">
        <v>336</v>
      </c>
    </row>
    <row r="8" spans="1:3" ht="59.25" customHeight="1">
      <c r="A8" s="30">
        <v>5</v>
      </c>
      <c r="B8" s="14" t="s">
        <v>7</v>
      </c>
      <c r="C8" s="14" t="s">
        <v>337</v>
      </c>
    </row>
    <row r="9" spans="1:3" ht="57.75" customHeight="1">
      <c r="A9" s="30">
        <v>6</v>
      </c>
      <c r="B9" s="14" t="s">
        <v>8</v>
      </c>
      <c r="C9" s="14" t="s">
        <v>546</v>
      </c>
    </row>
    <row r="10" spans="1:3" ht="57.75" customHeight="1">
      <c r="A10" s="30">
        <v>7</v>
      </c>
      <c r="B10" s="14" t="s">
        <v>9</v>
      </c>
      <c r="C10" s="14" t="s">
        <v>338</v>
      </c>
    </row>
    <row r="11" spans="1:3" ht="57.75" customHeight="1">
      <c r="A11" s="419">
        <v>8</v>
      </c>
      <c r="B11" s="165" t="s">
        <v>10</v>
      </c>
      <c r="C11" s="165" t="s">
        <v>656</v>
      </c>
    </row>
    <row r="12" spans="1:3" ht="49.5" hidden="1" customHeight="1">
      <c r="A12" s="337">
        <v>13</v>
      </c>
      <c r="B12" s="338" t="s">
        <v>11</v>
      </c>
      <c r="C12" s="338" t="s">
        <v>339</v>
      </c>
    </row>
  </sheetData>
  <mergeCells count="1">
    <mergeCell ref="A1:C1"/>
  </mergeCells>
  <phoneticPr fontId="4" type="noConversion"/>
  <pageMargins left="1" right="0.5" top="0.75" bottom="0.75" header="0.5" footer="0.5"/>
  <pageSetup paperSize="9" scale="90"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AD56"/>
  <sheetViews>
    <sheetView showZeros="0" workbookViewId="0">
      <selection activeCell="H18" sqref="H18"/>
    </sheetView>
  </sheetViews>
  <sheetFormatPr defaultRowHeight="12.75"/>
  <cols>
    <col min="1" max="1" width="4.28515625" customWidth="1"/>
    <col min="2" max="2" width="29.140625" customWidth="1"/>
    <col min="3" max="3" width="6.140625" customWidth="1"/>
    <col min="4" max="4" width="10.42578125" hidden="1" customWidth="1"/>
    <col min="5" max="5" width="7.85546875" hidden="1" customWidth="1"/>
    <col min="6" max="6" width="8.140625" style="695" customWidth="1"/>
    <col min="7" max="22" width="7.7109375" style="695" customWidth="1"/>
    <col min="23" max="23" width="7.5703125" style="695" customWidth="1"/>
    <col min="24" max="24" width="7.5703125" hidden="1" customWidth="1"/>
    <col min="25" max="25" width="7.7109375" hidden="1" customWidth="1"/>
    <col min="26" max="26" width="8.7109375" customWidth="1"/>
    <col min="27" max="27" width="11.42578125" customWidth="1"/>
    <col min="28" max="28" width="12.5703125" customWidth="1"/>
  </cols>
  <sheetData>
    <row r="1" spans="1:29" ht="18" customHeight="1">
      <c r="A1" s="1308" t="s">
        <v>1004</v>
      </c>
      <c r="B1" s="1308"/>
    </row>
    <row r="2" spans="1:29" ht="24" customHeight="1">
      <c r="A2" s="1252" t="s">
        <v>993</v>
      </c>
      <c r="B2" s="1252"/>
      <c r="C2" s="1252"/>
      <c r="D2" s="1252"/>
      <c r="E2" s="1252"/>
      <c r="F2" s="1252"/>
      <c r="G2" s="1252"/>
      <c r="H2" s="1252"/>
      <c r="I2" s="1252"/>
      <c r="J2" s="1252"/>
      <c r="K2" s="1252"/>
      <c r="L2" s="1252"/>
      <c r="M2" s="1252"/>
      <c r="N2" s="1252"/>
      <c r="O2" s="1252"/>
      <c r="P2" s="1252"/>
      <c r="Q2" s="1252"/>
      <c r="R2" s="1252"/>
      <c r="S2" s="1252"/>
      <c r="T2" s="1252"/>
      <c r="U2" s="1252"/>
      <c r="V2" s="1252"/>
      <c r="W2" s="1252"/>
      <c r="X2" s="1252"/>
      <c r="Y2" s="1252"/>
    </row>
    <row r="3" spans="1:29" ht="16.5" customHeight="1">
      <c r="A3" s="1300"/>
      <c r="B3" s="1300"/>
      <c r="C3" s="1300"/>
      <c r="D3" s="1300"/>
      <c r="E3" s="1300"/>
      <c r="F3" s="1300"/>
      <c r="G3" s="1300"/>
      <c r="H3" s="1300"/>
      <c r="I3" s="1300"/>
      <c r="J3" s="1300"/>
      <c r="K3" s="1300"/>
      <c r="L3" s="1300"/>
      <c r="M3" s="1300"/>
      <c r="N3" s="1300"/>
      <c r="O3" s="1300"/>
      <c r="P3" s="1300"/>
      <c r="Q3" s="1300"/>
      <c r="R3" s="1300"/>
      <c r="S3" s="1300"/>
      <c r="T3" s="1300"/>
      <c r="U3" s="1300"/>
      <c r="V3" s="1300"/>
      <c r="W3" s="1300"/>
      <c r="X3" s="1300"/>
      <c r="Y3" s="1300"/>
    </row>
    <row r="4" spans="1:29" ht="20.25" customHeight="1">
      <c r="A4" s="1309" t="s">
        <v>0</v>
      </c>
      <c r="B4" s="1309" t="s">
        <v>12</v>
      </c>
      <c r="C4" s="1309" t="s">
        <v>13</v>
      </c>
      <c r="D4" s="1309" t="s">
        <v>330</v>
      </c>
      <c r="E4" s="1309" t="s">
        <v>332</v>
      </c>
      <c r="F4" s="1309" t="s">
        <v>131</v>
      </c>
      <c r="G4" s="1310" t="s">
        <v>132</v>
      </c>
      <c r="H4" s="1311"/>
      <c r="I4" s="1311"/>
      <c r="J4" s="1311"/>
      <c r="K4" s="1311"/>
      <c r="L4" s="1311"/>
      <c r="M4" s="1311"/>
      <c r="N4" s="1311"/>
      <c r="O4" s="1311"/>
      <c r="P4" s="1311"/>
      <c r="Q4" s="1311"/>
      <c r="R4" s="1311"/>
      <c r="S4" s="1311"/>
      <c r="T4" s="1311"/>
      <c r="U4" s="1311"/>
      <c r="V4" s="1311"/>
      <c r="W4" s="1312"/>
      <c r="X4" s="891"/>
      <c r="Y4" s="891"/>
    </row>
    <row r="5" spans="1:29" ht="27.75" customHeight="1">
      <c r="A5" s="1309"/>
      <c r="B5" s="1309"/>
      <c r="C5" s="1309"/>
      <c r="D5" s="1309"/>
      <c r="E5" s="1309"/>
      <c r="F5" s="1309"/>
      <c r="G5" s="709" t="s">
        <v>725</v>
      </c>
      <c r="H5" s="709" t="s">
        <v>726</v>
      </c>
      <c r="I5" s="709" t="s">
        <v>727</v>
      </c>
      <c r="J5" s="709" t="s">
        <v>728</v>
      </c>
      <c r="K5" s="709" t="s">
        <v>729</v>
      </c>
      <c r="L5" s="709" t="s">
        <v>730</v>
      </c>
      <c r="M5" s="709" t="s">
        <v>731</v>
      </c>
      <c r="N5" s="709" t="s">
        <v>732</v>
      </c>
      <c r="O5" s="709" t="s">
        <v>733</v>
      </c>
      <c r="P5" s="709" t="s">
        <v>734</v>
      </c>
      <c r="Q5" s="709" t="s">
        <v>735</v>
      </c>
      <c r="R5" s="709" t="s">
        <v>736</v>
      </c>
      <c r="S5" s="709" t="s">
        <v>737</v>
      </c>
      <c r="T5" s="709" t="s">
        <v>738</v>
      </c>
      <c r="U5" s="709" t="s">
        <v>739</v>
      </c>
      <c r="V5" s="709" t="s">
        <v>740</v>
      </c>
      <c r="W5" s="709" t="s">
        <v>741</v>
      </c>
      <c r="X5" s="680"/>
      <c r="Y5" s="680"/>
    </row>
    <row r="6" spans="1:29" s="67" customFormat="1" ht="11.25" customHeight="1">
      <c r="A6" s="672"/>
      <c r="B6" s="672" t="s">
        <v>340</v>
      </c>
      <c r="C6" s="672"/>
      <c r="D6" s="672"/>
      <c r="E6" s="672"/>
      <c r="F6" s="924">
        <v>51988.946900000003</v>
      </c>
      <c r="G6" s="924">
        <v>5030.5495000000001</v>
      </c>
      <c r="H6" s="924">
        <v>8173.06</v>
      </c>
      <c r="I6" s="924">
        <v>5874.6895000000004</v>
      </c>
      <c r="J6" s="924">
        <v>4425.3450000000003</v>
      </c>
      <c r="K6" s="924">
        <v>3442.5194999999999</v>
      </c>
      <c r="L6" s="924">
        <v>1623.425</v>
      </c>
      <c r="M6" s="924">
        <v>6004.16</v>
      </c>
      <c r="N6" s="924">
        <v>2804.4494999999997</v>
      </c>
      <c r="O6" s="924">
        <v>2120.3599999999997</v>
      </c>
      <c r="P6" s="924">
        <v>4577.7154</v>
      </c>
      <c r="Q6" s="924">
        <v>158.60500000000002</v>
      </c>
      <c r="R6" s="924">
        <v>1129.7995000000001</v>
      </c>
      <c r="S6" s="924">
        <v>72.409500000000008</v>
      </c>
      <c r="T6" s="924">
        <v>102.37</v>
      </c>
      <c r="U6" s="924">
        <v>4033.8399999999997</v>
      </c>
      <c r="V6" s="924">
        <v>1317.0395000000001</v>
      </c>
      <c r="W6" s="924">
        <v>1098.6099999999999</v>
      </c>
      <c r="X6" s="673">
        <v>0</v>
      </c>
      <c r="Y6" s="673">
        <v>0</v>
      </c>
      <c r="Z6" s="247"/>
      <c r="AA6" s="247"/>
      <c r="AB6" s="247">
        <v>0</v>
      </c>
      <c r="AC6" s="385"/>
    </row>
    <row r="7" spans="1:29" s="67" customFormat="1" ht="11.25" customHeight="1">
      <c r="A7" s="676">
        <v>1</v>
      </c>
      <c r="B7" s="682" t="s">
        <v>14</v>
      </c>
      <c r="C7" s="676" t="s">
        <v>15</v>
      </c>
      <c r="D7" s="677"/>
      <c r="E7" s="677"/>
      <c r="F7" s="925">
        <v>37673.372589999999</v>
      </c>
      <c r="G7" s="926">
        <v>4305.42</v>
      </c>
      <c r="H7" s="926">
        <v>7525.7651900000001</v>
      </c>
      <c r="I7" s="926">
        <v>4635.93</v>
      </c>
      <c r="J7" s="926">
        <v>3367.72</v>
      </c>
      <c r="K7" s="926">
        <v>2466.9899999999998</v>
      </c>
      <c r="L7" s="926">
        <v>1147.81</v>
      </c>
      <c r="M7" s="926">
        <v>2781.46</v>
      </c>
      <c r="N7" s="926">
        <v>1900.1699999999998</v>
      </c>
      <c r="O7" s="926">
        <v>1587.9999999999998</v>
      </c>
      <c r="P7" s="926">
        <v>3513.0654</v>
      </c>
      <c r="Q7" s="926">
        <v>3.9</v>
      </c>
      <c r="R7" s="926">
        <v>681.01200000000006</v>
      </c>
      <c r="S7" s="926">
        <v>0</v>
      </c>
      <c r="T7" s="926">
        <v>0</v>
      </c>
      <c r="U7" s="926">
        <v>2242.6999999999998</v>
      </c>
      <c r="V7" s="926">
        <v>730.31</v>
      </c>
      <c r="W7" s="926">
        <v>783.11999999999989</v>
      </c>
      <c r="X7" s="677">
        <v>0</v>
      </c>
      <c r="Y7" s="677">
        <v>0</v>
      </c>
      <c r="Z7" s="247"/>
      <c r="AA7" s="247"/>
      <c r="AB7" s="247"/>
      <c r="AC7" s="385"/>
    </row>
    <row r="8" spans="1:29" s="2" customFormat="1" ht="11.25" customHeight="1">
      <c r="A8" s="674" t="s">
        <v>16</v>
      </c>
      <c r="B8" s="683" t="s">
        <v>17</v>
      </c>
      <c r="C8" s="674" t="s">
        <v>18</v>
      </c>
      <c r="D8" s="675"/>
      <c r="E8" s="675"/>
      <c r="F8" s="927">
        <v>3079.4102499999999</v>
      </c>
      <c r="G8" s="927">
        <v>215.8</v>
      </c>
      <c r="H8" s="927">
        <v>140.55225000000002</v>
      </c>
      <c r="I8" s="927">
        <v>230.79</v>
      </c>
      <c r="J8" s="927">
        <v>230.85</v>
      </c>
      <c r="K8" s="927">
        <v>264.73</v>
      </c>
      <c r="L8" s="927">
        <v>379.02</v>
      </c>
      <c r="M8" s="927">
        <v>217.68</v>
      </c>
      <c r="N8" s="927">
        <v>171.75</v>
      </c>
      <c r="O8" s="927">
        <v>250.82999999999998</v>
      </c>
      <c r="P8" s="927">
        <v>286.43510000000003</v>
      </c>
      <c r="Q8" s="927">
        <v>0</v>
      </c>
      <c r="R8" s="927">
        <v>234.18289999999999</v>
      </c>
      <c r="S8" s="927">
        <v>0</v>
      </c>
      <c r="T8" s="927">
        <v>0</v>
      </c>
      <c r="U8" s="927">
        <v>258.54000000000002</v>
      </c>
      <c r="V8" s="927">
        <v>17.09</v>
      </c>
      <c r="W8" s="927">
        <v>181.16</v>
      </c>
      <c r="X8" s="675">
        <v>0</v>
      </c>
      <c r="Y8" s="675">
        <v>0</v>
      </c>
      <c r="Z8" s="247"/>
      <c r="AA8" s="190"/>
      <c r="AB8" s="190"/>
      <c r="AC8" s="385"/>
    </row>
    <row r="9" spans="1:29" s="251" customFormat="1" ht="11.25" customHeight="1">
      <c r="A9" s="684"/>
      <c r="B9" s="685" t="s">
        <v>19</v>
      </c>
      <c r="C9" s="684" t="s">
        <v>20</v>
      </c>
      <c r="D9" s="686"/>
      <c r="E9" s="675"/>
      <c r="F9" s="928">
        <v>1715.058</v>
      </c>
      <c r="G9" s="928">
        <v>0</v>
      </c>
      <c r="H9" s="928">
        <v>0</v>
      </c>
      <c r="I9" s="928">
        <v>43.129999999999995</v>
      </c>
      <c r="J9" s="928">
        <v>165.94</v>
      </c>
      <c r="K9" s="928">
        <v>185.81</v>
      </c>
      <c r="L9" s="928">
        <v>268.85999999999996</v>
      </c>
      <c r="M9" s="928">
        <v>164.66</v>
      </c>
      <c r="N9" s="928">
        <v>22.91</v>
      </c>
      <c r="O9" s="928">
        <v>108.55</v>
      </c>
      <c r="P9" s="928">
        <v>207.71510000000001</v>
      </c>
      <c r="Q9" s="928">
        <v>0</v>
      </c>
      <c r="R9" s="928">
        <v>90.982900000000001</v>
      </c>
      <c r="S9" s="928">
        <v>0</v>
      </c>
      <c r="T9" s="928">
        <v>0</v>
      </c>
      <c r="U9" s="928">
        <v>258.23</v>
      </c>
      <c r="V9" s="928">
        <v>17.09</v>
      </c>
      <c r="W9" s="928">
        <v>181.18</v>
      </c>
      <c r="X9" s="686">
        <v>0</v>
      </c>
      <c r="Y9" s="686">
        <v>0</v>
      </c>
      <c r="Z9" s="247"/>
      <c r="AA9" s="296"/>
      <c r="AB9" s="296"/>
      <c r="AC9" s="385"/>
    </row>
    <row r="10" spans="1:29" s="2" customFormat="1" ht="11.25" customHeight="1">
      <c r="A10" s="674" t="s">
        <v>21</v>
      </c>
      <c r="B10" s="683" t="s">
        <v>22</v>
      </c>
      <c r="C10" s="674" t="s">
        <v>23</v>
      </c>
      <c r="D10" s="675"/>
      <c r="E10" s="675"/>
      <c r="F10" s="927">
        <v>977.34429999999998</v>
      </c>
      <c r="G10" s="927">
        <v>41.15</v>
      </c>
      <c r="H10" s="927">
        <v>64.004499999999993</v>
      </c>
      <c r="I10" s="927">
        <v>159.56</v>
      </c>
      <c r="J10" s="927">
        <v>156.55000000000001</v>
      </c>
      <c r="K10" s="927">
        <v>52.09</v>
      </c>
      <c r="L10" s="927">
        <v>39.830000000000005</v>
      </c>
      <c r="M10" s="927">
        <v>88.8</v>
      </c>
      <c r="N10" s="927">
        <v>50.43</v>
      </c>
      <c r="O10" s="927">
        <v>88.22</v>
      </c>
      <c r="P10" s="927">
        <v>104.8207</v>
      </c>
      <c r="Q10" s="927">
        <v>0</v>
      </c>
      <c r="R10" s="927">
        <v>27.7591</v>
      </c>
      <c r="S10" s="927">
        <v>0</v>
      </c>
      <c r="T10" s="927">
        <v>0</v>
      </c>
      <c r="U10" s="927">
        <v>13.469999999999999</v>
      </c>
      <c r="V10" s="927">
        <v>14.13</v>
      </c>
      <c r="W10" s="927">
        <v>76.53</v>
      </c>
      <c r="X10" s="675">
        <v>0</v>
      </c>
      <c r="Y10" s="675">
        <v>0</v>
      </c>
      <c r="Z10" s="247"/>
      <c r="AA10" s="190"/>
      <c r="AB10" s="190"/>
      <c r="AC10" s="385"/>
    </row>
    <row r="11" spans="1:29" s="2" customFormat="1" ht="11.25" customHeight="1">
      <c r="A11" s="674" t="s">
        <v>24</v>
      </c>
      <c r="B11" s="683" t="s">
        <v>25</v>
      </c>
      <c r="C11" s="674" t="s">
        <v>26</v>
      </c>
      <c r="D11" s="675"/>
      <c r="E11" s="675"/>
      <c r="F11" s="927">
        <v>1737.38194</v>
      </c>
      <c r="G11" s="927">
        <v>198.16</v>
      </c>
      <c r="H11" s="927">
        <v>90.802340000000001</v>
      </c>
      <c r="I11" s="927">
        <v>125.17</v>
      </c>
      <c r="J11" s="927">
        <v>131.46</v>
      </c>
      <c r="K11" s="927">
        <v>75.13</v>
      </c>
      <c r="L11" s="927">
        <v>140.19999999999999</v>
      </c>
      <c r="M11" s="927">
        <v>44.72</v>
      </c>
      <c r="N11" s="927">
        <v>40.94</v>
      </c>
      <c r="O11" s="927">
        <v>55.18</v>
      </c>
      <c r="P11" s="927">
        <v>377.2996</v>
      </c>
      <c r="Q11" s="927">
        <v>3.58</v>
      </c>
      <c r="R11" s="927">
        <v>109.37</v>
      </c>
      <c r="S11" s="927">
        <v>0</v>
      </c>
      <c r="T11" s="927">
        <v>0</v>
      </c>
      <c r="U11" s="927">
        <v>266.36</v>
      </c>
      <c r="V11" s="927">
        <v>27.29</v>
      </c>
      <c r="W11" s="927">
        <v>51.72</v>
      </c>
      <c r="X11" s="675">
        <v>0</v>
      </c>
      <c r="Y11" s="675">
        <v>0</v>
      </c>
      <c r="Z11" s="247"/>
      <c r="AA11" s="190"/>
      <c r="AB11" s="190"/>
      <c r="AC11" s="385"/>
    </row>
    <row r="12" spans="1:29" s="2" customFormat="1" ht="11.25" customHeight="1">
      <c r="A12" s="674" t="s">
        <v>27</v>
      </c>
      <c r="B12" s="683" t="s">
        <v>28</v>
      </c>
      <c r="C12" s="674" t="s">
        <v>29</v>
      </c>
      <c r="D12" s="675"/>
      <c r="E12" s="675"/>
      <c r="F12" s="927">
        <v>15105.26</v>
      </c>
      <c r="G12" s="927">
        <v>2437.75</v>
      </c>
      <c r="H12" s="927">
        <v>4319.0600000000004</v>
      </c>
      <c r="I12" s="927">
        <v>896.86</v>
      </c>
      <c r="J12" s="927">
        <v>962.59</v>
      </c>
      <c r="K12" s="927">
        <v>888.55000000000007</v>
      </c>
      <c r="L12" s="927">
        <v>74.400000000000006</v>
      </c>
      <c r="M12" s="927">
        <v>1778.1000000000001</v>
      </c>
      <c r="N12" s="927">
        <v>956.86</v>
      </c>
      <c r="O12" s="927">
        <v>159.12</v>
      </c>
      <c r="P12" s="927">
        <v>870.28</v>
      </c>
      <c r="Q12" s="927">
        <v>0</v>
      </c>
      <c r="R12" s="927">
        <v>13.91</v>
      </c>
      <c r="S12" s="927">
        <v>0</v>
      </c>
      <c r="T12" s="927">
        <v>0</v>
      </c>
      <c r="U12" s="927">
        <v>1055.8800000000001</v>
      </c>
      <c r="V12" s="927">
        <v>512.98</v>
      </c>
      <c r="W12" s="927">
        <v>178.92</v>
      </c>
      <c r="X12" s="675">
        <v>0</v>
      </c>
      <c r="Y12" s="675">
        <v>0</v>
      </c>
      <c r="Z12" s="247"/>
      <c r="AA12" s="190"/>
      <c r="AB12" s="190"/>
      <c r="AC12" s="385"/>
    </row>
    <row r="13" spans="1:29" s="2" customFormat="1" ht="11.25" customHeight="1">
      <c r="A13" s="674" t="s">
        <v>30</v>
      </c>
      <c r="B13" s="683" t="s">
        <v>31</v>
      </c>
      <c r="C13" s="674" t="s">
        <v>32</v>
      </c>
      <c r="D13" s="675"/>
      <c r="E13" s="675"/>
      <c r="F13" s="927">
        <v>0</v>
      </c>
      <c r="G13" s="927">
        <v>0</v>
      </c>
      <c r="H13" s="927">
        <v>0</v>
      </c>
      <c r="I13" s="927">
        <v>0</v>
      </c>
      <c r="J13" s="927">
        <v>0</v>
      </c>
      <c r="K13" s="927">
        <v>0</v>
      </c>
      <c r="L13" s="927">
        <v>0</v>
      </c>
      <c r="M13" s="927">
        <v>0</v>
      </c>
      <c r="N13" s="927">
        <v>0</v>
      </c>
      <c r="O13" s="927">
        <v>0</v>
      </c>
      <c r="P13" s="927">
        <v>0</v>
      </c>
      <c r="Q13" s="927">
        <v>0</v>
      </c>
      <c r="R13" s="927">
        <v>0</v>
      </c>
      <c r="S13" s="927">
        <v>0</v>
      </c>
      <c r="T13" s="927">
        <v>0</v>
      </c>
      <c r="U13" s="927">
        <v>0</v>
      </c>
      <c r="V13" s="927">
        <v>0</v>
      </c>
      <c r="W13" s="927">
        <v>0</v>
      </c>
      <c r="X13" s="675">
        <v>0</v>
      </c>
      <c r="Y13" s="675">
        <v>0</v>
      </c>
      <c r="Z13" s="247"/>
      <c r="AA13" s="190"/>
      <c r="AB13" s="190"/>
      <c r="AC13" s="385"/>
    </row>
    <row r="14" spans="1:29" s="230" customFormat="1" ht="11.25" customHeight="1">
      <c r="A14" s="921" t="s">
        <v>33</v>
      </c>
      <c r="B14" s="922" t="s">
        <v>34</v>
      </c>
      <c r="C14" s="921" t="s">
        <v>35</v>
      </c>
      <c r="D14" s="923"/>
      <c r="E14" s="923"/>
      <c r="F14" s="929">
        <v>13158.796099999998</v>
      </c>
      <c r="G14" s="929">
        <v>1410.1399999999999</v>
      </c>
      <c r="H14" s="929">
        <v>2910.3960999999999</v>
      </c>
      <c r="I14" s="929">
        <v>3023.39</v>
      </c>
      <c r="J14" s="929">
        <v>1479.62</v>
      </c>
      <c r="K14" s="929">
        <v>1012.83</v>
      </c>
      <c r="L14" s="929">
        <v>0</v>
      </c>
      <c r="M14" s="929">
        <v>8.15</v>
      </c>
      <c r="N14" s="929">
        <v>575.08999999999992</v>
      </c>
      <c r="O14" s="929">
        <v>1004.16</v>
      </c>
      <c r="P14" s="929">
        <v>1558.72</v>
      </c>
      <c r="Q14" s="929">
        <v>0</v>
      </c>
      <c r="R14" s="929">
        <v>114.94</v>
      </c>
      <c r="S14" s="929">
        <v>0</v>
      </c>
      <c r="T14" s="929">
        <v>0</v>
      </c>
      <c r="U14" s="929">
        <v>0</v>
      </c>
      <c r="V14" s="929">
        <v>22.14</v>
      </c>
      <c r="W14" s="929">
        <v>39.22</v>
      </c>
      <c r="X14" s="923">
        <v>0</v>
      </c>
      <c r="Y14" s="923">
        <v>0</v>
      </c>
      <c r="Z14" s="383"/>
      <c r="AA14" s="246"/>
      <c r="AB14" s="246"/>
      <c r="AC14" s="920"/>
    </row>
    <row r="15" spans="1:29" s="2" customFormat="1" ht="11.25" customHeight="1">
      <c r="A15" s="674" t="s">
        <v>36</v>
      </c>
      <c r="B15" s="683" t="s">
        <v>37</v>
      </c>
      <c r="C15" s="674" t="s">
        <v>38</v>
      </c>
      <c r="D15" s="675"/>
      <c r="E15" s="675"/>
      <c r="F15" s="927">
        <v>3575.1</v>
      </c>
      <c r="G15" s="927">
        <v>1.54</v>
      </c>
      <c r="H15" s="927">
        <v>0.95</v>
      </c>
      <c r="I15" s="927">
        <v>200.16</v>
      </c>
      <c r="J15" s="927">
        <v>406.65</v>
      </c>
      <c r="K15" s="927">
        <v>173.66</v>
      </c>
      <c r="L15" s="927">
        <v>514.36</v>
      </c>
      <c r="M15" s="927">
        <v>643.63</v>
      </c>
      <c r="N15" s="927">
        <v>103.99000000000001</v>
      </c>
      <c r="O15" s="927">
        <v>30.49</v>
      </c>
      <c r="P15" s="927">
        <v>277.87</v>
      </c>
      <c r="Q15" s="927">
        <v>0.32</v>
      </c>
      <c r="R15" s="927">
        <v>180.78</v>
      </c>
      <c r="S15" s="927">
        <v>0</v>
      </c>
      <c r="T15" s="927">
        <v>0</v>
      </c>
      <c r="U15" s="927">
        <v>648.44999999999993</v>
      </c>
      <c r="V15" s="927">
        <v>136.68</v>
      </c>
      <c r="W15" s="927">
        <v>255.57</v>
      </c>
      <c r="X15" s="675">
        <v>0</v>
      </c>
      <c r="Y15" s="675">
        <v>0</v>
      </c>
      <c r="Z15" s="247"/>
      <c r="AA15" s="190"/>
      <c r="AB15" s="190"/>
      <c r="AC15" s="385"/>
    </row>
    <row r="16" spans="1:29" s="2" customFormat="1" ht="11.25" customHeight="1">
      <c r="A16" s="674" t="s">
        <v>39</v>
      </c>
      <c r="B16" s="683" t="s">
        <v>40</v>
      </c>
      <c r="C16" s="674" t="s">
        <v>41</v>
      </c>
      <c r="D16" s="675"/>
      <c r="E16" s="675"/>
      <c r="F16" s="927">
        <v>0</v>
      </c>
      <c r="G16" s="927">
        <v>0</v>
      </c>
      <c r="H16" s="927">
        <v>0</v>
      </c>
      <c r="I16" s="927">
        <v>0</v>
      </c>
      <c r="J16" s="927">
        <v>0</v>
      </c>
      <c r="K16" s="927">
        <v>0</v>
      </c>
      <c r="L16" s="927">
        <v>0</v>
      </c>
      <c r="M16" s="927">
        <v>0</v>
      </c>
      <c r="N16" s="927">
        <v>0</v>
      </c>
      <c r="O16" s="927">
        <v>0</v>
      </c>
      <c r="P16" s="927">
        <v>0</v>
      </c>
      <c r="Q16" s="927">
        <v>0</v>
      </c>
      <c r="R16" s="927">
        <v>0</v>
      </c>
      <c r="S16" s="927">
        <v>0</v>
      </c>
      <c r="T16" s="927">
        <v>0</v>
      </c>
      <c r="U16" s="927">
        <v>0</v>
      </c>
      <c r="V16" s="927">
        <v>0</v>
      </c>
      <c r="W16" s="927">
        <v>0</v>
      </c>
      <c r="X16" s="675">
        <v>0</v>
      </c>
      <c r="Y16" s="675">
        <v>0</v>
      </c>
      <c r="Z16" s="247"/>
      <c r="AA16" s="190"/>
      <c r="AB16" s="190"/>
      <c r="AC16" s="385"/>
    </row>
    <row r="17" spans="1:30" s="2" customFormat="1" ht="11.25" customHeight="1">
      <c r="A17" s="674" t="s">
        <v>42</v>
      </c>
      <c r="B17" s="683" t="s">
        <v>43</v>
      </c>
      <c r="C17" s="674" t="s">
        <v>44</v>
      </c>
      <c r="D17" s="675"/>
      <c r="E17" s="675"/>
      <c r="F17" s="927">
        <v>40.08</v>
      </c>
      <c r="G17" s="927">
        <v>0.88</v>
      </c>
      <c r="H17" s="927">
        <v>0</v>
      </c>
      <c r="I17" s="927">
        <v>0</v>
      </c>
      <c r="J17" s="927">
        <v>0</v>
      </c>
      <c r="K17" s="927">
        <v>0</v>
      </c>
      <c r="L17" s="927">
        <v>0</v>
      </c>
      <c r="M17" s="927">
        <v>0.38</v>
      </c>
      <c r="N17" s="927">
        <v>1.1100000000000001</v>
      </c>
      <c r="O17" s="927">
        <v>0</v>
      </c>
      <c r="P17" s="927">
        <v>37.64</v>
      </c>
      <c r="Q17" s="927">
        <v>0</v>
      </c>
      <c r="R17" s="927">
        <v>7.0000000000000007E-2</v>
      </c>
      <c r="S17" s="927">
        <v>0</v>
      </c>
      <c r="T17" s="927">
        <v>0</v>
      </c>
      <c r="U17" s="927">
        <v>0</v>
      </c>
      <c r="V17" s="927">
        <v>0</v>
      </c>
      <c r="W17" s="927">
        <v>0</v>
      </c>
      <c r="X17" s="675">
        <v>0</v>
      </c>
      <c r="Y17" s="675">
        <v>0</v>
      </c>
      <c r="Z17" s="247"/>
      <c r="AA17" s="190"/>
      <c r="AB17" s="190"/>
      <c r="AC17" s="385"/>
    </row>
    <row r="18" spans="1:30" s="394" customFormat="1" ht="11.25" customHeight="1">
      <c r="A18" s="687">
        <v>2</v>
      </c>
      <c r="B18" s="688" t="s">
        <v>45</v>
      </c>
      <c r="C18" s="687" t="s">
        <v>46</v>
      </c>
      <c r="D18" s="689"/>
      <c r="E18" s="689"/>
      <c r="F18" s="930">
        <v>8600.8026700000009</v>
      </c>
      <c r="G18" s="930">
        <v>646.23949999999991</v>
      </c>
      <c r="H18" s="930">
        <v>572.30777000000012</v>
      </c>
      <c r="I18" s="930">
        <v>1179.6295</v>
      </c>
      <c r="J18" s="930">
        <v>499.42500000000007</v>
      </c>
      <c r="K18" s="930">
        <v>544.87950000000001</v>
      </c>
      <c r="L18" s="930">
        <v>446.40499999999992</v>
      </c>
      <c r="M18" s="930">
        <v>373.52</v>
      </c>
      <c r="N18" s="930">
        <v>209.67950000000002</v>
      </c>
      <c r="O18" s="930">
        <v>234.93000000000004</v>
      </c>
      <c r="P18" s="930">
        <v>897.35850000000005</v>
      </c>
      <c r="Q18" s="930">
        <v>151.95500000000001</v>
      </c>
      <c r="R18" s="930">
        <v>407.68440000000004</v>
      </c>
      <c r="S18" s="930">
        <v>71.789500000000004</v>
      </c>
      <c r="T18" s="930">
        <v>102.05000000000001</v>
      </c>
      <c r="U18" s="930">
        <v>1535.45</v>
      </c>
      <c r="V18" s="930">
        <v>441.55950000000001</v>
      </c>
      <c r="W18" s="930">
        <v>285.93999999999994</v>
      </c>
      <c r="X18" s="689">
        <v>0</v>
      </c>
      <c r="Y18" s="689">
        <v>0</v>
      </c>
      <c r="Z18" s="247"/>
      <c r="AA18" s="395"/>
      <c r="AB18" s="395"/>
      <c r="AC18" s="396"/>
      <c r="AD18" s="395">
        <v>8600.8026700000009</v>
      </c>
    </row>
    <row r="19" spans="1:30" s="2" customFormat="1" ht="11.25" customHeight="1">
      <c r="A19" s="674" t="s">
        <v>47</v>
      </c>
      <c r="B19" s="683" t="s">
        <v>48</v>
      </c>
      <c r="C19" s="674" t="s">
        <v>49</v>
      </c>
      <c r="D19" s="675"/>
      <c r="E19" s="675"/>
      <c r="F19" s="927">
        <v>287.20867000000004</v>
      </c>
      <c r="G19" s="927">
        <v>44.83</v>
      </c>
      <c r="H19" s="927">
        <v>63.778669999999998</v>
      </c>
      <c r="I19" s="927">
        <v>0.68</v>
      </c>
      <c r="J19" s="927">
        <v>11.35</v>
      </c>
      <c r="K19" s="927">
        <v>3.71</v>
      </c>
      <c r="L19" s="927">
        <v>0</v>
      </c>
      <c r="M19" s="927">
        <v>0</v>
      </c>
      <c r="N19" s="927">
        <v>5.38</v>
      </c>
      <c r="O19" s="927">
        <v>53.27</v>
      </c>
      <c r="P19" s="927">
        <v>18.489999999999998</v>
      </c>
      <c r="Q19" s="927">
        <v>1.85</v>
      </c>
      <c r="R19" s="927">
        <v>14.43</v>
      </c>
      <c r="S19" s="927">
        <v>5.47</v>
      </c>
      <c r="T19" s="927">
        <v>19.940000000000001</v>
      </c>
      <c r="U19" s="927">
        <v>33.67</v>
      </c>
      <c r="V19" s="927">
        <v>10.07</v>
      </c>
      <c r="W19" s="927">
        <v>0.28999999999999998</v>
      </c>
      <c r="X19" s="675">
        <v>0</v>
      </c>
      <c r="Y19" s="675">
        <v>0</v>
      </c>
      <c r="Z19" s="247"/>
      <c r="AA19" s="190"/>
      <c r="AB19" s="190"/>
      <c r="AC19" s="385"/>
    </row>
    <row r="20" spans="1:30" s="2" customFormat="1" ht="11.25" customHeight="1">
      <c r="A20" s="674" t="s">
        <v>50</v>
      </c>
      <c r="B20" s="683" t="s">
        <v>51</v>
      </c>
      <c r="C20" s="674" t="s">
        <v>52</v>
      </c>
      <c r="D20" s="675"/>
      <c r="E20" s="675"/>
      <c r="F20" s="927">
        <v>9.83</v>
      </c>
      <c r="G20" s="927">
        <v>0</v>
      </c>
      <c r="H20" s="927">
        <v>0</v>
      </c>
      <c r="I20" s="927">
        <v>0</v>
      </c>
      <c r="J20" s="927">
        <v>0</v>
      </c>
      <c r="K20" s="927">
        <v>0</v>
      </c>
      <c r="L20" s="927">
        <v>0</v>
      </c>
      <c r="M20" s="927">
        <v>0</v>
      </c>
      <c r="N20" s="927">
        <v>0</v>
      </c>
      <c r="O20" s="927">
        <v>0</v>
      </c>
      <c r="P20" s="927">
        <v>0.61</v>
      </c>
      <c r="Q20" s="927">
        <v>0.22</v>
      </c>
      <c r="R20" s="927">
        <v>0.16</v>
      </c>
      <c r="S20" s="927">
        <v>0.43</v>
      </c>
      <c r="T20" s="927">
        <v>0.46</v>
      </c>
      <c r="U20" s="927">
        <v>6.37</v>
      </c>
      <c r="V20" s="927">
        <v>1.19</v>
      </c>
      <c r="W20" s="927">
        <v>0.39</v>
      </c>
      <c r="X20" s="675">
        <v>0</v>
      </c>
      <c r="Y20" s="675">
        <v>0</v>
      </c>
      <c r="Z20" s="247"/>
      <c r="AA20" s="190"/>
      <c r="AB20" s="190"/>
      <c r="AC20" s="385"/>
    </row>
    <row r="21" spans="1:30" s="2" customFormat="1" ht="11.25" customHeight="1">
      <c r="A21" s="674" t="s">
        <v>53</v>
      </c>
      <c r="B21" s="683" t="s">
        <v>54</v>
      </c>
      <c r="C21" s="674" t="s">
        <v>55</v>
      </c>
      <c r="D21" s="675"/>
      <c r="E21" s="675"/>
      <c r="F21" s="927">
        <v>117.81</v>
      </c>
      <c r="G21" s="927">
        <v>0</v>
      </c>
      <c r="H21" s="927">
        <v>0</v>
      </c>
      <c r="I21" s="927">
        <v>0</v>
      </c>
      <c r="J21" s="927">
        <v>0</v>
      </c>
      <c r="K21" s="927">
        <v>0</v>
      </c>
      <c r="L21" s="927">
        <v>0</v>
      </c>
      <c r="M21" s="927">
        <v>0</v>
      </c>
      <c r="N21" s="927">
        <v>0</v>
      </c>
      <c r="O21" s="927">
        <v>0</v>
      </c>
      <c r="P21" s="927">
        <v>117.81</v>
      </c>
      <c r="Q21" s="927">
        <v>0</v>
      </c>
      <c r="R21" s="927">
        <v>0</v>
      </c>
      <c r="S21" s="927">
        <v>0</v>
      </c>
      <c r="T21" s="927">
        <v>0</v>
      </c>
      <c r="U21" s="927">
        <v>0</v>
      </c>
      <c r="V21" s="927">
        <v>0</v>
      </c>
      <c r="W21" s="927">
        <v>0</v>
      </c>
      <c r="X21" s="675">
        <v>0</v>
      </c>
      <c r="Y21" s="675">
        <v>0</v>
      </c>
      <c r="Z21" s="247"/>
      <c r="AA21" s="190"/>
      <c r="AB21" s="190"/>
      <c r="AC21" s="385"/>
    </row>
    <row r="22" spans="1:30" s="2" customFormat="1" ht="11.25" customHeight="1">
      <c r="A22" s="674" t="s">
        <v>56</v>
      </c>
      <c r="B22" s="683" t="s">
        <v>57</v>
      </c>
      <c r="C22" s="674" t="s">
        <v>58</v>
      </c>
      <c r="D22" s="675"/>
      <c r="E22" s="675"/>
      <c r="F22" s="927">
        <v>0</v>
      </c>
      <c r="G22" s="927">
        <v>0</v>
      </c>
      <c r="H22" s="927">
        <v>0</v>
      </c>
      <c r="I22" s="927">
        <v>0</v>
      </c>
      <c r="J22" s="927">
        <v>0</v>
      </c>
      <c r="K22" s="927">
        <v>0</v>
      </c>
      <c r="L22" s="927">
        <v>0</v>
      </c>
      <c r="M22" s="927">
        <v>0</v>
      </c>
      <c r="N22" s="927">
        <v>0</v>
      </c>
      <c r="O22" s="927">
        <v>0</v>
      </c>
      <c r="P22" s="927">
        <v>0</v>
      </c>
      <c r="Q22" s="927">
        <v>0</v>
      </c>
      <c r="R22" s="927">
        <v>0</v>
      </c>
      <c r="S22" s="927">
        <v>0</v>
      </c>
      <c r="T22" s="927">
        <v>0</v>
      </c>
      <c r="U22" s="927">
        <v>0</v>
      </c>
      <c r="V22" s="927">
        <v>0</v>
      </c>
      <c r="W22" s="927">
        <v>0</v>
      </c>
      <c r="X22" s="675">
        <v>0</v>
      </c>
      <c r="Y22" s="675">
        <v>0</v>
      </c>
      <c r="Z22" s="247"/>
      <c r="AA22" s="190"/>
      <c r="AB22" s="190"/>
      <c r="AC22" s="385"/>
    </row>
    <row r="23" spans="1:30" s="2" customFormat="1" ht="11.25" customHeight="1">
      <c r="A23" s="674" t="s">
        <v>59</v>
      </c>
      <c r="B23" s="683" t="s">
        <v>60</v>
      </c>
      <c r="C23" s="674" t="s">
        <v>61</v>
      </c>
      <c r="D23" s="675"/>
      <c r="E23" s="675"/>
      <c r="F23" s="927">
        <v>199.79</v>
      </c>
      <c r="G23" s="927">
        <v>0</v>
      </c>
      <c r="H23" s="927">
        <v>0</v>
      </c>
      <c r="I23" s="927">
        <v>0</v>
      </c>
      <c r="J23" s="927">
        <v>0</v>
      </c>
      <c r="K23" s="927">
        <v>0</v>
      </c>
      <c r="L23" s="927">
        <v>0</v>
      </c>
      <c r="M23" s="927">
        <v>0</v>
      </c>
      <c r="N23" s="927">
        <v>0</v>
      </c>
      <c r="O23" s="927">
        <v>0</v>
      </c>
      <c r="P23" s="927">
        <v>0</v>
      </c>
      <c r="Q23" s="927">
        <v>0</v>
      </c>
      <c r="R23" s="927">
        <v>0</v>
      </c>
      <c r="S23" s="927">
        <v>0</v>
      </c>
      <c r="T23" s="927">
        <v>0</v>
      </c>
      <c r="U23" s="927">
        <v>199.79</v>
      </c>
      <c r="V23" s="927">
        <v>0</v>
      </c>
      <c r="W23" s="927">
        <v>0</v>
      </c>
      <c r="X23" s="675">
        <v>0</v>
      </c>
      <c r="Y23" s="675">
        <v>0</v>
      </c>
      <c r="Z23" s="247"/>
      <c r="AA23" s="190"/>
      <c r="AB23" s="190"/>
      <c r="AC23" s="385"/>
    </row>
    <row r="24" spans="1:30" s="2" customFormat="1" ht="11.25" customHeight="1">
      <c r="A24" s="674" t="s">
        <v>62</v>
      </c>
      <c r="B24" s="683" t="s">
        <v>63</v>
      </c>
      <c r="C24" s="674" t="s">
        <v>64</v>
      </c>
      <c r="D24" s="675"/>
      <c r="E24" s="675"/>
      <c r="F24" s="927">
        <v>439.70717000000002</v>
      </c>
      <c r="G24" s="927">
        <v>24.09</v>
      </c>
      <c r="H24" s="927">
        <v>0.32517000000000001</v>
      </c>
      <c r="I24" s="927">
        <v>3.21</v>
      </c>
      <c r="J24" s="927">
        <v>0.2</v>
      </c>
      <c r="K24" s="927">
        <v>6.18</v>
      </c>
      <c r="L24" s="927">
        <v>1.94</v>
      </c>
      <c r="M24" s="927">
        <v>5.27</v>
      </c>
      <c r="N24" s="927">
        <v>0</v>
      </c>
      <c r="O24" s="927">
        <v>0</v>
      </c>
      <c r="P24" s="927">
        <v>173.71</v>
      </c>
      <c r="Q24" s="927">
        <v>9.0378000000000007</v>
      </c>
      <c r="R24" s="927">
        <v>17.664200000000001</v>
      </c>
      <c r="S24" s="927">
        <v>2.67</v>
      </c>
      <c r="T24" s="927">
        <v>16.920000000000002</v>
      </c>
      <c r="U24" s="927">
        <v>93.72</v>
      </c>
      <c r="V24" s="927">
        <v>84.41</v>
      </c>
      <c r="W24" s="927">
        <v>0.36</v>
      </c>
      <c r="X24" s="675">
        <v>0</v>
      </c>
      <c r="Y24" s="675">
        <v>0</v>
      </c>
      <c r="Z24" s="247"/>
      <c r="AA24" s="190"/>
      <c r="AB24" s="190"/>
      <c r="AC24" s="385"/>
    </row>
    <row r="25" spans="1:30" s="2" customFormat="1" ht="11.25" customHeight="1">
      <c r="A25" s="674" t="s">
        <v>65</v>
      </c>
      <c r="B25" s="683" t="s">
        <v>66</v>
      </c>
      <c r="C25" s="674" t="s">
        <v>67</v>
      </c>
      <c r="D25" s="675"/>
      <c r="E25" s="675"/>
      <c r="F25" s="927">
        <v>230.08999999999997</v>
      </c>
      <c r="G25" s="927">
        <v>0</v>
      </c>
      <c r="H25" s="927">
        <v>3.47</v>
      </c>
      <c r="I25" s="927">
        <v>6.8199999999999994</v>
      </c>
      <c r="J25" s="927">
        <v>0.26</v>
      </c>
      <c r="K25" s="927">
        <v>12.18</v>
      </c>
      <c r="L25" s="927">
        <v>5.89</v>
      </c>
      <c r="M25" s="927">
        <v>1.4499999999999993</v>
      </c>
      <c r="N25" s="927">
        <v>0.55000000000000004</v>
      </c>
      <c r="O25" s="927">
        <v>1.51</v>
      </c>
      <c r="P25" s="927">
        <v>23.53</v>
      </c>
      <c r="Q25" s="927">
        <v>16.350000000000001</v>
      </c>
      <c r="R25" s="927">
        <v>60.28</v>
      </c>
      <c r="S25" s="927">
        <v>0</v>
      </c>
      <c r="T25" s="927">
        <v>0</v>
      </c>
      <c r="U25" s="927">
        <v>93.74</v>
      </c>
      <c r="V25" s="927">
        <v>0</v>
      </c>
      <c r="W25" s="927">
        <v>4.0599999999999996</v>
      </c>
      <c r="X25" s="675">
        <v>0</v>
      </c>
      <c r="Y25" s="675">
        <v>0</v>
      </c>
      <c r="Z25" s="247"/>
      <c r="AA25" s="190"/>
      <c r="AB25" s="190"/>
      <c r="AC25" s="385"/>
    </row>
    <row r="26" spans="1:30" s="2" customFormat="1" ht="11.25" customHeight="1">
      <c r="A26" s="674" t="s">
        <v>68</v>
      </c>
      <c r="B26" s="683" t="s">
        <v>69</v>
      </c>
      <c r="C26" s="674" t="s">
        <v>70</v>
      </c>
      <c r="D26" s="675"/>
      <c r="E26" s="675"/>
      <c r="F26" s="927">
        <v>0</v>
      </c>
      <c r="G26" s="927">
        <v>0</v>
      </c>
      <c r="H26" s="927">
        <v>0</v>
      </c>
      <c r="I26" s="927">
        <v>0</v>
      </c>
      <c r="J26" s="927">
        <v>0</v>
      </c>
      <c r="K26" s="927">
        <v>0</v>
      </c>
      <c r="L26" s="927">
        <v>0</v>
      </c>
      <c r="M26" s="927">
        <v>0</v>
      </c>
      <c r="N26" s="927">
        <v>0</v>
      </c>
      <c r="O26" s="927">
        <v>0</v>
      </c>
      <c r="P26" s="927">
        <v>0</v>
      </c>
      <c r="Q26" s="927">
        <v>0</v>
      </c>
      <c r="R26" s="927">
        <v>0</v>
      </c>
      <c r="S26" s="927">
        <v>0</v>
      </c>
      <c r="T26" s="927">
        <v>0</v>
      </c>
      <c r="U26" s="927">
        <v>0</v>
      </c>
      <c r="V26" s="927">
        <v>0</v>
      </c>
      <c r="W26" s="927">
        <v>0</v>
      </c>
      <c r="X26" s="675">
        <v>0</v>
      </c>
      <c r="Y26" s="675">
        <v>0</v>
      </c>
      <c r="Z26" s="247"/>
      <c r="AA26" s="190"/>
      <c r="AB26" s="190"/>
      <c r="AC26" s="385"/>
    </row>
    <row r="27" spans="1:30" s="230" customFormat="1" ht="11.25" customHeight="1">
      <c r="A27" s="921" t="s">
        <v>71</v>
      </c>
      <c r="B27" s="922" t="s">
        <v>1003</v>
      </c>
      <c r="C27" s="921" t="s">
        <v>72</v>
      </c>
      <c r="D27" s="923"/>
      <c r="E27" s="923"/>
      <c r="F27" s="929">
        <v>2326.9724999999999</v>
      </c>
      <c r="G27" s="929">
        <v>96.969500000000011</v>
      </c>
      <c r="H27" s="929">
        <v>58.238599999999998</v>
      </c>
      <c r="I27" s="929">
        <v>218.91950000000006</v>
      </c>
      <c r="J27" s="929">
        <v>178.30500000000001</v>
      </c>
      <c r="K27" s="929">
        <v>163.15999999999997</v>
      </c>
      <c r="L27" s="929">
        <v>157.13499999999999</v>
      </c>
      <c r="M27" s="929">
        <v>168.92</v>
      </c>
      <c r="N27" s="929">
        <v>75.219499999999996</v>
      </c>
      <c r="O27" s="929">
        <v>84.49</v>
      </c>
      <c r="P27" s="929">
        <v>290.67519999999996</v>
      </c>
      <c r="Q27" s="929">
        <v>60.747900000000001</v>
      </c>
      <c r="R27" s="929">
        <v>137.05279999999999</v>
      </c>
      <c r="S27" s="929">
        <v>29.960000000000004</v>
      </c>
      <c r="T27" s="929">
        <v>39.74</v>
      </c>
      <c r="U27" s="929">
        <v>280.55999999999995</v>
      </c>
      <c r="V27" s="929">
        <v>168.08949999999999</v>
      </c>
      <c r="W27" s="929">
        <v>118.79</v>
      </c>
      <c r="X27" s="923">
        <v>0</v>
      </c>
      <c r="Y27" s="923">
        <v>0</v>
      </c>
      <c r="Z27" s="383"/>
      <c r="AA27" s="246"/>
      <c r="AB27" s="246"/>
      <c r="AC27" s="920"/>
    </row>
    <row r="28" spans="1:30" s="251" customFormat="1" ht="11.25" customHeight="1">
      <c r="A28" s="690" t="s">
        <v>346</v>
      </c>
      <c r="B28" s="685" t="s">
        <v>517</v>
      </c>
      <c r="C28" s="684" t="s">
        <v>202</v>
      </c>
      <c r="D28" s="686"/>
      <c r="E28" s="686"/>
      <c r="F28" s="927">
        <v>17.930000000000003</v>
      </c>
      <c r="G28" s="928">
        <v>0</v>
      </c>
      <c r="H28" s="928">
        <v>0</v>
      </c>
      <c r="I28" s="928">
        <v>0.22</v>
      </c>
      <c r="J28" s="928">
        <v>0.23</v>
      </c>
      <c r="K28" s="928">
        <v>0.6</v>
      </c>
      <c r="L28" s="928">
        <v>4.9850000000000003</v>
      </c>
      <c r="M28" s="928">
        <v>0</v>
      </c>
      <c r="N28" s="928">
        <v>0.08</v>
      </c>
      <c r="O28" s="928">
        <v>0.08</v>
      </c>
      <c r="P28" s="928">
        <v>1.3900000000000001</v>
      </c>
      <c r="Q28" s="928">
        <v>0.39500000000000002</v>
      </c>
      <c r="R28" s="928">
        <v>0.58000000000000007</v>
      </c>
      <c r="S28" s="928">
        <v>2.35</v>
      </c>
      <c r="T28" s="928">
        <v>0.05</v>
      </c>
      <c r="U28" s="928">
        <v>0.89</v>
      </c>
      <c r="V28" s="928">
        <v>5.4799999999999995</v>
      </c>
      <c r="W28" s="928">
        <v>0.6</v>
      </c>
      <c r="X28" s="686">
        <v>0</v>
      </c>
      <c r="Y28" s="686">
        <v>0</v>
      </c>
      <c r="Z28" s="247"/>
      <c r="AA28" s="296"/>
      <c r="AB28" s="296"/>
      <c r="AC28" s="385"/>
    </row>
    <row r="29" spans="1:30" s="251" customFormat="1" ht="11.25" customHeight="1">
      <c r="A29" s="690" t="s">
        <v>346</v>
      </c>
      <c r="B29" s="685" t="s">
        <v>518</v>
      </c>
      <c r="C29" s="684" t="s">
        <v>203</v>
      </c>
      <c r="D29" s="686"/>
      <c r="E29" s="686"/>
      <c r="F29" s="927">
        <v>7.9336999999999991</v>
      </c>
      <c r="G29" s="928">
        <v>0.25</v>
      </c>
      <c r="H29" s="928">
        <v>0.2</v>
      </c>
      <c r="I29" s="928">
        <v>0.12</v>
      </c>
      <c r="J29" s="928">
        <v>0.16</v>
      </c>
      <c r="K29" s="928">
        <v>0.08</v>
      </c>
      <c r="L29" s="928">
        <v>0.08</v>
      </c>
      <c r="M29" s="928">
        <v>0.1</v>
      </c>
      <c r="N29" s="928">
        <v>0.13</v>
      </c>
      <c r="O29" s="928">
        <v>0.2</v>
      </c>
      <c r="P29" s="928">
        <v>0.18</v>
      </c>
      <c r="Q29" s="928">
        <v>0.03</v>
      </c>
      <c r="R29" s="928">
        <v>5.7237</v>
      </c>
      <c r="S29" s="928">
        <v>0.02</v>
      </c>
      <c r="T29" s="928">
        <v>0.1</v>
      </c>
      <c r="U29" s="928">
        <v>0.25</v>
      </c>
      <c r="V29" s="928">
        <v>0.18</v>
      </c>
      <c r="W29" s="928">
        <v>0.13</v>
      </c>
      <c r="X29" s="686">
        <v>0</v>
      </c>
      <c r="Y29" s="686">
        <v>0</v>
      </c>
      <c r="Z29" s="247"/>
      <c r="AA29" s="296"/>
      <c r="AB29" s="296"/>
      <c r="AC29" s="385"/>
    </row>
    <row r="30" spans="1:30" s="251" customFormat="1" ht="11.25" customHeight="1">
      <c r="A30" s="690" t="s">
        <v>346</v>
      </c>
      <c r="B30" s="685" t="s">
        <v>519</v>
      </c>
      <c r="C30" s="684" t="s">
        <v>204</v>
      </c>
      <c r="D30" s="686"/>
      <c r="E30" s="686"/>
      <c r="F30" s="927">
        <v>76.456210000000013</v>
      </c>
      <c r="G30" s="928">
        <v>1.7795000000000001</v>
      </c>
      <c r="H30" s="928">
        <v>2.1367100000000003</v>
      </c>
      <c r="I30" s="928">
        <v>3.33</v>
      </c>
      <c r="J30" s="928">
        <v>3.74</v>
      </c>
      <c r="K30" s="928">
        <v>5</v>
      </c>
      <c r="L30" s="928">
        <v>3.19</v>
      </c>
      <c r="M30" s="928">
        <v>3.66</v>
      </c>
      <c r="N30" s="928">
        <v>1.37</v>
      </c>
      <c r="O30" s="928">
        <v>1.74</v>
      </c>
      <c r="P30" s="928">
        <v>19.41</v>
      </c>
      <c r="Q30" s="928">
        <v>5.71</v>
      </c>
      <c r="R30" s="928">
        <v>7.88</v>
      </c>
      <c r="S30" s="928">
        <v>1.95</v>
      </c>
      <c r="T30" s="928">
        <v>3.36</v>
      </c>
      <c r="U30" s="928">
        <v>6.17</v>
      </c>
      <c r="V30" s="928">
        <v>2.5</v>
      </c>
      <c r="W30" s="928">
        <v>3.5300000000000002</v>
      </c>
      <c r="X30" s="686">
        <v>0</v>
      </c>
      <c r="Y30" s="686">
        <v>0</v>
      </c>
      <c r="Z30" s="247"/>
      <c r="AA30" s="296"/>
      <c r="AB30" s="296"/>
      <c r="AC30" s="385"/>
    </row>
    <row r="31" spans="1:30" s="251" customFormat="1" ht="11.25" customHeight="1">
      <c r="A31" s="690" t="s">
        <v>346</v>
      </c>
      <c r="B31" s="685" t="s">
        <v>520</v>
      </c>
      <c r="C31" s="684" t="s">
        <v>205</v>
      </c>
      <c r="D31" s="686"/>
      <c r="E31" s="686"/>
      <c r="F31" s="927">
        <v>113.89800000000001</v>
      </c>
      <c r="G31" s="928">
        <v>0.76</v>
      </c>
      <c r="H31" s="928">
        <v>0.49</v>
      </c>
      <c r="I31" s="928">
        <v>1.0794999999999999</v>
      </c>
      <c r="J31" s="928">
        <v>1.92</v>
      </c>
      <c r="K31" s="928">
        <v>1.57</v>
      </c>
      <c r="L31" s="928">
        <v>0.01</v>
      </c>
      <c r="M31" s="928">
        <v>2.0499999999999998</v>
      </c>
      <c r="N31" s="928">
        <v>1.6194999999999999</v>
      </c>
      <c r="O31" s="928">
        <v>2.21</v>
      </c>
      <c r="P31" s="928">
        <v>0.54</v>
      </c>
      <c r="Q31" s="928">
        <v>0</v>
      </c>
      <c r="R31" s="928">
        <v>2.9395000000000002</v>
      </c>
      <c r="S31" s="928">
        <v>0.37</v>
      </c>
      <c r="T31" s="928">
        <v>0.41</v>
      </c>
      <c r="U31" s="928">
        <v>0.92</v>
      </c>
      <c r="V31" s="928">
        <v>96.149500000000003</v>
      </c>
      <c r="W31" s="928">
        <v>0.86</v>
      </c>
      <c r="X31" s="686">
        <v>0</v>
      </c>
      <c r="Y31" s="686">
        <v>0</v>
      </c>
      <c r="Z31" s="247"/>
      <c r="AA31" s="296"/>
      <c r="AB31" s="296"/>
      <c r="AC31" s="385"/>
    </row>
    <row r="32" spans="1:30" s="2" customFormat="1" ht="11.25" customHeight="1">
      <c r="A32" s="674" t="s">
        <v>73</v>
      </c>
      <c r="B32" s="683" t="s">
        <v>74</v>
      </c>
      <c r="C32" s="674" t="s">
        <v>75</v>
      </c>
      <c r="D32" s="675"/>
      <c r="E32" s="675"/>
      <c r="F32" s="927">
        <v>0.24000000000000002</v>
      </c>
      <c r="G32" s="927">
        <v>0</v>
      </c>
      <c r="H32" s="927">
        <v>0</v>
      </c>
      <c r="I32" s="927">
        <v>0</v>
      </c>
      <c r="J32" s="927">
        <v>0</v>
      </c>
      <c r="K32" s="927">
        <v>0</v>
      </c>
      <c r="L32" s="927">
        <v>0</v>
      </c>
      <c r="M32" s="927">
        <v>7.0000000000000007E-2</v>
      </c>
      <c r="N32" s="927">
        <v>0</v>
      </c>
      <c r="O32" s="927">
        <v>0</v>
      </c>
      <c r="P32" s="927">
        <v>0</v>
      </c>
      <c r="Q32" s="927">
        <v>0</v>
      </c>
      <c r="R32" s="927">
        <v>0</v>
      </c>
      <c r="S32" s="927">
        <v>0</v>
      </c>
      <c r="T32" s="927">
        <v>0</v>
      </c>
      <c r="U32" s="927">
        <v>0</v>
      </c>
      <c r="V32" s="927">
        <v>0.17</v>
      </c>
      <c r="W32" s="927">
        <v>0</v>
      </c>
      <c r="X32" s="675">
        <v>0</v>
      </c>
      <c r="Y32" s="675">
        <v>0</v>
      </c>
      <c r="Z32" s="247"/>
      <c r="AA32" s="190"/>
      <c r="AB32" s="190"/>
      <c r="AC32" s="385"/>
    </row>
    <row r="33" spans="1:29" s="2" customFormat="1" ht="11.25" customHeight="1">
      <c r="A33" s="674" t="s">
        <v>76</v>
      </c>
      <c r="B33" s="683" t="s">
        <v>77</v>
      </c>
      <c r="C33" s="674" t="s">
        <v>78</v>
      </c>
      <c r="D33" s="675"/>
      <c r="E33" s="675"/>
      <c r="F33" s="927">
        <v>0</v>
      </c>
      <c r="G33" s="927">
        <v>0</v>
      </c>
      <c r="H33" s="927">
        <v>0</v>
      </c>
      <c r="I33" s="927">
        <v>0</v>
      </c>
      <c r="J33" s="927">
        <v>0</v>
      </c>
      <c r="K33" s="927">
        <v>0</v>
      </c>
      <c r="L33" s="927">
        <v>0</v>
      </c>
      <c r="M33" s="927">
        <v>0</v>
      </c>
      <c r="N33" s="927">
        <v>0</v>
      </c>
      <c r="O33" s="927">
        <v>0</v>
      </c>
      <c r="P33" s="927">
        <v>0</v>
      </c>
      <c r="Q33" s="927">
        <v>0</v>
      </c>
      <c r="R33" s="927">
        <v>0</v>
      </c>
      <c r="S33" s="927">
        <v>0</v>
      </c>
      <c r="T33" s="927">
        <v>0</v>
      </c>
      <c r="U33" s="927">
        <v>0</v>
      </c>
      <c r="V33" s="927">
        <v>0</v>
      </c>
      <c r="W33" s="927">
        <v>0</v>
      </c>
      <c r="X33" s="675">
        <v>0</v>
      </c>
      <c r="Y33" s="675">
        <v>0</v>
      </c>
      <c r="Z33" s="247"/>
      <c r="AA33" s="190"/>
      <c r="AB33" s="190"/>
      <c r="AC33" s="385"/>
    </row>
    <row r="34" spans="1:29" s="2" customFormat="1" ht="11.25" customHeight="1">
      <c r="A34" s="674" t="s">
        <v>79</v>
      </c>
      <c r="B34" s="683" t="s">
        <v>80</v>
      </c>
      <c r="C34" s="674" t="s">
        <v>81</v>
      </c>
      <c r="D34" s="675"/>
      <c r="E34" s="675"/>
      <c r="F34" s="927">
        <v>55.85</v>
      </c>
      <c r="G34" s="927">
        <v>0</v>
      </c>
      <c r="H34" s="927">
        <v>0</v>
      </c>
      <c r="I34" s="927">
        <v>36.15</v>
      </c>
      <c r="J34" s="927">
        <v>1.29</v>
      </c>
      <c r="K34" s="927">
        <v>4.6000000000000005</v>
      </c>
      <c r="L34" s="927">
        <v>6.38</v>
      </c>
      <c r="M34" s="927">
        <v>1.23</v>
      </c>
      <c r="N34" s="927">
        <v>0.16</v>
      </c>
      <c r="O34" s="927">
        <v>0.21</v>
      </c>
      <c r="P34" s="927">
        <v>3.84</v>
      </c>
      <c r="Q34" s="927">
        <v>0</v>
      </c>
      <c r="R34" s="927">
        <v>0</v>
      </c>
      <c r="S34" s="927">
        <v>0</v>
      </c>
      <c r="T34" s="927">
        <v>0</v>
      </c>
      <c r="U34" s="927">
        <v>1.9899999999999998</v>
      </c>
      <c r="V34" s="927">
        <v>0</v>
      </c>
      <c r="W34" s="927">
        <v>0</v>
      </c>
      <c r="X34" s="675">
        <v>0</v>
      </c>
      <c r="Y34" s="675">
        <v>0</v>
      </c>
      <c r="Z34" s="247"/>
      <c r="AA34" s="190"/>
      <c r="AB34" s="190"/>
      <c r="AC34" s="385"/>
    </row>
    <row r="35" spans="1:29" s="2" customFormat="1" ht="11.25" customHeight="1">
      <c r="A35" s="674" t="s">
        <v>82</v>
      </c>
      <c r="B35" s="683" t="s">
        <v>83</v>
      </c>
      <c r="C35" s="674" t="s">
        <v>84</v>
      </c>
      <c r="D35" s="675"/>
      <c r="E35" s="675"/>
      <c r="F35" s="927">
        <v>324.78955000000002</v>
      </c>
      <c r="G35" s="927">
        <v>12.62</v>
      </c>
      <c r="H35" s="927">
        <v>13.379549999999998</v>
      </c>
      <c r="I35" s="927">
        <v>22.45</v>
      </c>
      <c r="J35" s="927">
        <v>58.58</v>
      </c>
      <c r="K35" s="927">
        <v>50.28</v>
      </c>
      <c r="L35" s="927">
        <v>76.69</v>
      </c>
      <c r="M35" s="927">
        <v>50.5</v>
      </c>
      <c r="N35" s="927">
        <v>16.55</v>
      </c>
      <c r="O35" s="927">
        <v>23.740000000000002</v>
      </c>
      <c r="P35" s="927">
        <v>0</v>
      </c>
      <c r="Q35" s="927">
        <v>0</v>
      </c>
      <c r="R35" s="927">
        <v>0</v>
      </c>
      <c r="S35" s="927">
        <v>0</v>
      </c>
      <c r="T35" s="927">
        <v>0</v>
      </c>
      <c r="U35" s="927">
        <v>0</v>
      </c>
      <c r="V35" s="927">
        <v>0</v>
      </c>
      <c r="W35" s="927">
        <v>0</v>
      </c>
      <c r="X35" s="675">
        <v>0</v>
      </c>
      <c r="Y35" s="675">
        <v>0</v>
      </c>
      <c r="Z35" s="247"/>
      <c r="AA35" s="190"/>
      <c r="AB35" s="190"/>
      <c r="AC35" s="385"/>
    </row>
    <row r="36" spans="1:29" s="2" customFormat="1" ht="11.25" customHeight="1">
      <c r="A36" s="674" t="s">
        <v>85</v>
      </c>
      <c r="B36" s="683" t="s">
        <v>86</v>
      </c>
      <c r="C36" s="674" t="s">
        <v>87</v>
      </c>
      <c r="D36" s="675"/>
      <c r="E36" s="675"/>
      <c r="F36" s="927">
        <v>372.24449999999996</v>
      </c>
      <c r="G36" s="927">
        <v>0</v>
      </c>
      <c r="H36" s="927">
        <v>0</v>
      </c>
      <c r="I36" s="927">
        <v>0</v>
      </c>
      <c r="J36" s="927">
        <v>0</v>
      </c>
      <c r="K36" s="927">
        <v>0</v>
      </c>
      <c r="L36" s="927">
        <v>0</v>
      </c>
      <c r="M36" s="927">
        <v>0</v>
      </c>
      <c r="N36" s="927">
        <v>0</v>
      </c>
      <c r="O36" s="927">
        <v>0</v>
      </c>
      <c r="P36" s="927">
        <v>100.27369999999999</v>
      </c>
      <c r="Q36" s="927">
        <v>36.759299999999996</v>
      </c>
      <c r="R36" s="927">
        <v>60.9465</v>
      </c>
      <c r="S36" s="927">
        <v>14.13</v>
      </c>
      <c r="T36" s="927">
        <v>10.904999999999999</v>
      </c>
      <c r="U36" s="927">
        <v>86.1</v>
      </c>
      <c r="V36" s="927">
        <v>34.15</v>
      </c>
      <c r="W36" s="927">
        <v>28.979999999999997</v>
      </c>
      <c r="X36" s="675">
        <v>0</v>
      </c>
      <c r="Y36" s="675">
        <v>0</v>
      </c>
      <c r="Z36" s="247"/>
      <c r="AA36" s="190"/>
      <c r="AB36" s="190"/>
      <c r="AC36" s="385"/>
    </row>
    <row r="37" spans="1:29" s="2" customFormat="1" ht="11.25" customHeight="1">
      <c r="A37" s="674" t="s">
        <v>88</v>
      </c>
      <c r="B37" s="683" t="s">
        <v>89</v>
      </c>
      <c r="C37" s="674" t="s">
        <v>90</v>
      </c>
      <c r="D37" s="675"/>
      <c r="E37" s="675"/>
      <c r="F37" s="927">
        <v>55.850279999999998</v>
      </c>
      <c r="G37" s="927">
        <v>2.15</v>
      </c>
      <c r="H37" s="927">
        <v>0.45577999999999996</v>
      </c>
      <c r="I37" s="927">
        <v>0.47</v>
      </c>
      <c r="J37" s="927">
        <v>1.1100000000000001</v>
      </c>
      <c r="K37" s="927">
        <v>4.47</v>
      </c>
      <c r="L37" s="927">
        <v>1.1599999999999999</v>
      </c>
      <c r="M37" s="927">
        <v>0.91</v>
      </c>
      <c r="N37" s="927">
        <v>0.65</v>
      </c>
      <c r="O37" s="927">
        <v>1.05</v>
      </c>
      <c r="P37" s="927">
        <v>0.71</v>
      </c>
      <c r="Q37" s="927">
        <v>0.81</v>
      </c>
      <c r="R37" s="927">
        <v>0.51</v>
      </c>
      <c r="S37" s="927">
        <v>3.7095000000000002</v>
      </c>
      <c r="T37" s="927">
        <v>4.8849999999999998</v>
      </c>
      <c r="U37" s="927">
        <v>31.69</v>
      </c>
      <c r="V37" s="927">
        <v>0.3</v>
      </c>
      <c r="W37" s="927">
        <v>0.81</v>
      </c>
      <c r="X37" s="675">
        <v>0</v>
      </c>
      <c r="Y37" s="675">
        <v>0</v>
      </c>
      <c r="Z37" s="247"/>
      <c r="AA37" s="190"/>
      <c r="AB37" s="190"/>
      <c r="AC37" s="385"/>
    </row>
    <row r="38" spans="1:29" s="2" customFormat="1" ht="11.25" customHeight="1">
      <c r="A38" s="674" t="s">
        <v>91</v>
      </c>
      <c r="B38" s="683" t="s">
        <v>92</v>
      </c>
      <c r="C38" s="674" t="s">
        <v>93</v>
      </c>
      <c r="D38" s="675"/>
      <c r="E38" s="675"/>
      <c r="F38" s="927">
        <v>0.67</v>
      </c>
      <c r="G38" s="927">
        <v>0</v>
      </c>
      <c r="H38" s="927">
        <v>0</v>
      </c>
      <c r="I38" s="927">
        <v>0</v>
      </c>
      <c r="J38" s="927">
        <v>0</v>
      </c>
      <c r="K38" s="927">
        <v>0</v>
      </c>
      <c r="L38" s="927">
        <v>0</v>
      </c>
      <c r="M38" s="927">
        <v>0</v>
      </c>
      <c r="N38" s="927">
        <v>0</v>
      </c>
      <c r="O38" s="927">
        <v>0</v>
      </c>
      <c r="P38" s="927">
        <v>0</v>
      </c>
      <c r="Q38" s="927">
        <v>0</v>
      </c>
      <c r="R38" s="927">
        <v>0.67</v>
      </c>
      <c r="S38" s="927">
        <v>0</v>
      </c>
      <c r="T38" s="927">
        <v>0</v>
      </c>
      <c r="U38" s="927">
        <v>0</v>
      </c>
      <c r="V38" s="927">
        <v>0</v>
      </c>
      <c r="W38" s="927">
        <v>0</v>
      </c>
      <c r="X38" s="675">
        <v>0</v>
      </c>
      <c r="Y38" s="675">
        <v>0</v>
      </c>
      <c r="Z38" s="247"/>
      <c r="AA38" s="190"/>
      <c r="AB38" s="190"/>
      <c r="AC38" s="385"/>
    </row>
    <row r="39" spans="1:29" s="2" customFormat="1" ht="11.25" customHeight="1">
      <c r="A39" s="674" t="s">
        <v>94</v>
      </c>
      <c r="B39" s="683" t="s">
        <v>95</v>
      </c>
      <c r="C39" s="674" t="s">
        <v>96</v>
      </c>
      <c r="D39" s="675"/>
      <c r="E39" s="675"/>
      <c r="F39" s="927">
        <v>0</v>
      </c>
      <c r="G39" s="927">
        <v>0</v>
      </c>
      <c r="H39" s="927">
        <v>0</v>
      </c>
      <c r="I39" s="927">
        <v>0</v>
      </c>
      <c r="J39" s="927">
        <v>0</v>
      </c>
      <c r="K39" s="927">
        <v>0</v>
      </c>
      <c r="L39" s="927">
        <v>0</v>
      </c>
      <c r="M39" s="927">
        <v>0</v>
      </c>
      <c r="N39" s="927">
        <v>0</v>
      </c>
      <c r="O39" s="927">
        <v>0</v>
      </c>
      <c r="P39" s="927">
        <v>0</v>
      </c>
      <c r="Q39" s="927">
        <v>0</v>
      </c>
      <c r="R39" s="927">
        <v>0</v>
      </c>
      <c r="S39" s="927">
        <v>0</v>
      </c>
      <c r="T39" s="927">
        <v>0</v>
      </c>
      <c r="U39" s="927">
        <v>0</v>
      </c>
      <c r="V39" s="927">
        <v>0</v>
      </c>
      <c r="W39" s="927">
        <v>0</v>
      </c>
      <c r="X39" s="675">
        <v>0</v>
      </c>
      <c r="Y39" s="675">
        <v>0</v>
      </c>
      <c r="Z39" s="247"/>
      <c r="AA39" s="190"/>
      <c r="AB39" s="190"/>
      <c r="AC39" s="385"/>
    </row>
    <row r="40" spans="1:29" s="2" customFormat="1" ht="11.25" customHeight="1">
      <c r="A40" s="674" t="s">
        <v>97</v>
      </c>
      <c r="B40" s="683" t="s">
        <v>98</v>
      </c>
      <c r="C40" s="674" t="s">
        <v>99</v>
      </c>
      <c r="D40" s="675"/>
      <c r="E40" s="675"/>
      <c r="F40" s="927">
        <v>12.120000000000001</v>
      </c>
      <c r="G40" s="927">
        <v>0</v>
      </c>
      <c r="H40" s="927">
        <v>0</v>
      </c>
      <c r="I40" s="927">
        <v>0</v>
      </c>
      <c r="J40" s="927">
        <v>0</v>
      </c>
      <c r="K40" s="927">
        <v>0</v>
      </c>
      <c r="L40" s="927">
        <v>2.3199999999999998</v>
      </c>
      <c r="M40" s="927">
        <v>0.71</v>
      </c>
      <c r="N40" s="927">
        <v>0</v>
      </c>
      <c r="O40" s="927">
        <v>0</v>
      </c>
      <c r="P40" s="927">
        <v>6.01</v>
      </c>
      <c r="Q40" s="927">
        <v>0.4</v>
      </c>
      <c r="R40" s="927">
        <v>0.54</v>
      </c>
      <c r="S40" s="927">
        <v>0</v>
      </c>
      <c r="T40" s="927">
        <v>0</v>
      </c>
      <c r="U40" s="927">
        <v>0</v>
      </c>
      <c r="V40" s="927">
        <v>2</v>
      </c>
      <c r="W40" s="927">
        <v>0.14000000000000001</v>
      </c>
      <c r="X40" s="675">
        <v>0</v>
      </c>
      <c r="Y40" s="675">
        <v>0</v>
      </c>
      <c r="Z40" s="247"/>
      <c r="AA40" s="190"/>
      <c r="AB40" s="190"/>
      <c r="AC40" s="385"/>
    </row>
    <row r="41" spans="1:29" s="2" customFormat="1" ht="11.25" customHeight="1">
      <c r="A41" s="674" t="s">
        <v>100</v>
      </c>
      <c r="B41" s="683" t="s">
        <v>134</v>
      </c>
      <c r="C41" s="674" t="s">
        <v>101</v>
      </c>
      <c r="D41" s="675"/>
      <c r="E41" s="675"/>
      <c r="F41" s="927">
        <v>237.46</v>
      </c>
      <c r="G41" s="927">
        <v>3.54</v>
      </c>
      <c r="H41" s="927">
        <v>0</v>
      </c>
      <c r="I41" s="927">
        <v>16.57</v>
      </c>
      <c r="J41" s="927">
        <v>27.25</v>
      </c>
      <c r="K41" s="927">
        <v>10.59</v>
      </c>
      <c r="L41" s="927">
        <v>30.51</v>
      </c>
      <c r="M41" s="927">
        <v>19</v>
      </c>
      <c r="N41" s="927">
        <v>0.52</v>
      </c>
      <c r="O41" s="927">
        <v>16.59</v>
      </c>
      <c r="P41" s="927">
        <v>27.41</v>
      </c>
      <c r="Q41" s="927">
        <v>0</v>
      </c>
      <c r="R41" s="927">
        <v>7.26</v>
      </c>
      <c r="S41" s="927">
        <v>0</v>
      </c>
      <c r="T41" s="927">
        <v>0</v>
      </c>
      <c r="U41" s="927">
        <v>8.44</v>
      </c>
      <c r="V41" s="927">
        <v>34.43</v>
      </c>
      <c r="W41" s="927">
        <v>35.35</v>
      </c>
      <c r="X41" s="675">
        <v>0</v>
      </c>
      <c r="Y41" s="675">
        <v>0</v>
      </c>
      <c r="Z41" s="247"/>
      <c r="AA41" s="190"/>
      <c r="AB41" s="190"/>
      <c r="AC41" s="385"/>
    </row>
    <row r="42" spans="1:29" s="2" customFormat="1" ht="11.25" customHeight="1">
      <c r="A42" s="674" t="s">
        <v>102</v>
      </c>
      <c r="B42" s="683" t="s">
        <v>103</v>
      </c>
      <c r="C42" s="674" t="s">
        <v>104</v>
      </c>
      <c r="D42" s="675"/>
      <c r="E42" s="675"/>
      <c r="F42" s="927">
        <v>313.13040000000001</v>
      </c>
      <c r="G42" s="927">
        <v>0</v>
      </c>
      <c r="H42" s="927">
        <v>6.4999999999999991</v>
      </c>
      <c r="I42" s="927">
        <v>271.84000000000003</v>
      </c>
      <c r="J42" s="927">
        <v>0</v>
      </c>
      <c r="K42" s="927">
        <v>5.9494999999999996</v>
      </c>
      <c r="L42" s="927">
        <v>2.3199999999999998</v>
      </c>
      <c r="M42" s="927">
        <v>0</v>
      </c>
      <c r="N42" s="927">
        <v>0</v>
      </c>
      <c r="O42" s="927">
        <v>0</v>
      </c>
      <c r="P42" s="927">
        <v>22.65</v>
      </c>
      <c r="Q42" s="927">
        <v>0</v>
      </c>
      <c r="R42" s="927">
        <v>3.7408999999999999</v>
      </c>
      <c r="S42" s="927">
        <v>0</v>
      </c>
      <c r="T42" s="927">
        <v>0</v>
      </c>
      <c r="U42" s="927">
        <v>0</v>
      </c>
      <c r="V42" s="927">
        <v>0.04</v>
      </c>
      <c r="W42" s="927">
        <v>0.09</v>
      </c>
      <c r="X42" s="675">
        <v>0</v>
      </c>
      <c r="Y42" s="675">
        <v>0</v>
      </c>
      <c r="Z42" s="247"/>
      <c r="AA42" s="190"/>
      <c r="AB42" s="190"/>
      <c r="AC42" s="385"/>
    </row>
    <row r="43" spans="1:29" s="2" customFormat="1" ht="11.25" customHeight="1">
      <c r="A43" s="674" t="s">
        <v>105</v>
      </c>
      <c r="B43" s="683" t="s">
        <v>106</v>
      </c>
      <c r="C43" s="674" t="s">
        <v>107</v>
      </c>
      <c r="D43" s="675"/>
      <c r="E43" s="675"/>
      <c r="F43" s="927">
        <v>12.339599999999997</v>
      </c>
      <c r="G43" s="927">
        <v>0.47</v>
      </c>
      <c r="H43" s="927">
        <v>0.62</v>
      </c>
      <c r="I43" s="927">
        <v>0.37</v>
      </c>
      <c r="J43" s="927">
        <v>0.5</v>
      </c>
      <c r="K43" s="927">
        <v>1.6</v>
      </c>
      <c r="L43" s="927">
        <v>1.1499999999999999</v>
      </c>
      <c r="M43" s="927">
        <v>0.56999999999999995</v>
      </c>
      <c r="N43" s="927">
        <v>0.34</v>
      </c>
      <c r="O43" s="927">
        <v>0.62</v>
      </c>
      <c r="P43" s="927">
        <v>1.4596</v>
      </c>
      <c r="Q43" s="927">
        <v>0.62</v>
      </c>
      <c r="R43" s="927">
        <v>1.0900000000000001</v>
      </c>
      <c r="S43" s="927">
        <v>0.28000000000000003</v>
      </c>
      <c r="T43" s="927">
        <v>0.45</v>
      </c>
      <c r="U43" s="927">
        <v>1.7599999999999998</v>
      </c>
      <c r="V43" s="927">
        <v>0.44</v>
      </c>
      <c r="W43" s="927">
        <v>0</v>
      </c>
      <c r="X43" s="675">
        <v>0</v>
      </c>
      <c r="Y43" s="675">
        <v>0</v>
      </c>
      <c r="Z43" s="247"/>
      <c r="AA43" s="190"/>
      <c r="AB43" s="190"/>
      <c r="AC43" s="385"/>
    </row>
    <row r="44" spans="1:29" s="2" customFormat="1" ht="11.25" customHeight="1">
      <c r="A44" s="674" t="s">
        <v>108</v>
      </c>
      <c r="B44" s="683" t="s">
        <v>109</v>
      </c>
      <c r="C44" s="674" t="s">
        <v>110</v>
      </c>
      <c r="D44" s="675"/>
      <c r="E44" s="675"/>
      <c r="F44" s="927">
        <v>27.28</v>
      </c>
      <c r="G44" s="927">
        <v>0</v>
      </c>
      <c r="H44" s="927">
        <v>0.08</v>
      </c>
      <c r="I44" s="927">
        <v>0.34</v>
      </c>
      <c r="J44" s="927">
        <v>0</v>
      </c>
      <c r="K44" s="927">
        <v>0</v>
      </c>
      <c r="L44" s="927">
        <v>1.71</v>
      </c>
      <c r="M44" s="927">
        <v>0</v>
      </c>
      <c r="N44" s="927">
        <v>0.19</v>
      </c>
      <c r="O44" s="927">
        <v>0</v>
      </c>
      <c r="P44" s="927">
        <v>6.4399999999999995</v>
      </c>
      <c r="Q44" s="927">
        <v>0.47</v>
      </c>
      <c r="R44" s="927">
        <v>2.8200000000000003</v>
      </c>
      <c r="S44" s="927">
        <v>5.46</v>
      </c>
      <c r="T44" s="927">
        <v>0.53</v>
      </c>
      <c r="U44" s="927">
        <v>9.02</v>
      </c>
      <c r="V44" s="927">
        <v>0</v>
      </c>
      <c r="W44" s="927">
        <v>0.22</v>
      </c>
      <c r="X44" s="675">
        <v>0</v>
      </c>
      <c r="Y44" s="675">
        <v>0</v>
      </c>
      <c r="Z44" s="247"/>
      <c r="AA44" s="190"/>
      <c r="AB44" s="190"/>
      <c r="AC44" s="385"/>
    </row>
    <row r="45" spans="1:29" s="2" customFormat="1" ht="11.25" customHeight="1">
      <c r="A45" s="674" t="s">
        <v>111</v>
      </c>
      <c r="B45" s="683" t="s">
        <v>112</v>
      </c>
      <c r="C45" s="674" t="s">
        <v>113</v>
      </c>
      <c r="D45" s="675"/>
      <c r="E45" s="675"/>
      <c r="F45" s="927">
        <v>10.440000000000001</v>
      </c>
      <c r="G45" s="927">
        <v>0</v>
      </c>
      <c r="H45" s="927">
        <v>0</v>
      </c>
      <c r="I45" s="927">
        <v>0.56999999999999995</v>
      </c>
      <c r="J45" s="927">
        <v>0.7</v>
      </c>
      <c r="K45" s="927">
        <v>0.66</v>
      </c>
      <c r="L45" s="927">
        <v>1.77</v>
      </c>
      <c r="M45" s="927">
        <v>1.53</v>
      </c>
      <c r="N45" s="927">
        <v>0.08</v>
      </c>
      <c r="O45" s="927">
        <v>0.57999999999999996</v>
      </c>
      <c r="P45" s="927">
        <v>0.41</v>
      </c>
      <c r="Q45" s="927">
        <v>1.23</v>
      </c>
      <c r="R45" s="927">
        <v>0.16</v>
      </c>
      <c r="S45" s="927">
        <v>0.01</v>
      </c>
      <c r="T45" s="927">
        <v>0</v>
      </c>
      <c r="U45" s="927">
        <v>0.45000000000000007</v>
      </c>
      <c r="V45" s="927">
        <v>1.65</v>
      </c>
      <c r="W45" s="927">
        <v>0.64</v>
      </c>
      <c r="X45" s="675">
        <v>0</v>
      </c>
      <c r="Y45" s="675">
        <v>0</v>
      </c>
      <c r="Z45" s="247"/>
      <c r="AA45" s="190"/>
      <c r="AB45" s="190"/>
      <c r="AC45" s="385"/>
    </row>
    <row r="46" spans="1:29" s="2" customFormat="1" ht="11.25" customHeight="1">
      <c r="A46" s="674" t="s">
        <v>114</v>
      </c>
      <c r="B46" s="683" t="s">
        <v>115</v>
      </c>
      <c r="C46" s="674" t="s">
        <v>116</v>
      </c>
      <c r="D46" s="675"/>
      <c r="E46" s="675"/>
      <c r="F46" s="927">
        <v>2479.7199999999998</v>
      </c>
      <c r="G46" s="927">
        <v>106</v>
      </c>
      <c r="H46" s="927">
        <v>66.790000000000006</v>
      </c>
      <c r="I46" s="927">
        <v>601.24</v>
      </c>
      <c r="J46" s="927">
        <v>66.039999999999992</v>
      </c>
      <c r="K46" s="927">
        <v>247.7</v>
      </c>
      <c r="L46" s="927">
        <v>156.84</v>
      </c>
      <c r="M46" s="927">
        <v>96.1</v>
      </c>
      <c r="N46" s="927">
        <v>82.93</v>
      </c>
      <c r="O46" s="927">
        <v>0</v>
      </c>
      <c r="P46" s="927">
        <v>37.520000000000003</v>
      </c>
      <c r="Q46" s="927">
        <v>23.46</v>
      </c>
      <c r="R46" s="927">
        <v>88.62</v>
      </c>
      <c r="S46" s="927">
        <v>9.67</v>
      </c>
      <c r="T46" s="927">
        <v>8.2200000000000006</v>
      </c>
      <c r="U46" s="927">
        <v>688.15</v>
      </c>
      <c r="V46" s="927">
        <v>104.61999999999999</v>
      </c>
      <c r="W46" s="927">
        <v>95.82</v>
      </c>
      <c r="X46" s="675">
        <v>0</v>
      </c>
      <c r="Y46" s="675">
        <v>0</v>
      </c>
      <c r="Z46" s="247"/>
      <c r="AA46" s="190"/>
      <c r="AB46" s="190"/>
      <c r="AC46" s="385"/>
    </row>
    <row r="47" spans="1:29" s="2" customFormat="1" ht="11.25" customHeight="1">
      <c r="A47" s="674" t="s">
        <v>117</v>
      </c>
      <c r="B47" s="683" t="s">
        <v>118</v>
      </c>
      <c r="C47" s="674" t="s">
        <v>119</v>
      </c>
      <c r="D47" s="675"/>
      <c r="E47" s="675"/>
      <c r="F47" s="927">
        <v>1085.17</v>
      </c>
      <c r="G47" s="927">
        <v>355.57</v>
      </c>
      <c r="H47" s="927">
        <v>358.67</v>
      </c>
      <c r="I47" s="927">
        <v>0</v>
      </c>
      <c r="J47" s="927">
        <v>153.84</v>
      </c>
      <c r="K47" s="927">
        <v>33.799999999999997</v>
      </c>
      <c r="L47" s="927">
        <v>0</v>
      </c>
      <c r="M47" s="927">
        <v>25.759999999999998</v>
      </c>
      <c r="N47" s="927">
        <v>27.11</v>
      </c>
      <c r="O47" s="927">
        <v>52.87</v>
      </c>
      <c r="P47" s="927">
        <v>65.81</v>
      </c>
      <c r="Q47" s="927">
        <v>0</v>
      </c>
      <c r="R47" s="927">
        <v>11.740000000000002</v>
      </c>
      <c r="S47" s="927">
        <v>0</v>
      </c>
      <c r="T47" s="927">
        <v>0</v>
      </c>
      <c r="U47" s="927">
        <v>0</v>
      </c>
      <c r="V47" s="927">
        <v>0</v>
      </c>
      <c r="W47" s="927">
        <v>0</v>
      </c>
      <c r="X47" s="675">
        <v>0</v>
      </c>
      <c r="Y47" s="675">
        <v>0</v>
      </c>
      <c r="Z47" s="247"/>
      <c r="AA47" s="190"/>
      <c r="AB47" s="190"/>
      <c r="AC47" s="385"/>
    </row>
    <row r="48" spans="1:29" s="2" customFormat="1" ht="11.25" customHeight="1">
      <c r="A48" s="674" t="s">
        <v>120</v>
      </c>
      <c r="B48" s="683" t="s">
        <v>121</v>
      </c>
      <c r="C48" s="674" t="s">
        <v>122</v>
      </c>
      <c r="D48" s="675"/>
      <c r="E48" s="675"/>
      <c r="F48" s="927">
        <v>2.09</v>
      </c>
      <c r="G48" s="927">
        <v>0</v>
      </c>
      <c r="H48" s="927">
        <v>0</v>
      </c>
      <c r="I48" s="927">
        <v>0</v>
      </c>
      <c r="J48" s="927">
        <v>0</v>
      </c>
      <c r="K48" s="927">
        <v>0</v>
      </c>
      <c r="L48" s="927">
        <v>0.59</v>
      </c>
      <c r="M48" s="927">
        <v>1.5</v>
      </c>
      <c r="N48" s="927">
        <v>0</v>
      </c>
      <c r="O48" s="927">
        <v>0</v>
      </c>
      <c r="P48" s="927">
        <v>0</v>
      </c>
      <c r="Q48" s="927">
        <v>0</v>
      </c>
      <c r="R48" s="927">
        <v>0</v>
      </c>
      <c r="S48" s="927">
        <v>0</v>
      </c>
      <c r="T48" s="927">
        <v>0</v>
      </c>
      <c r="U48" s="927">
        <v>0</v>
      </c>
      <c r="V48" s="927">
        <v>0</v>
      </c>
      <c r="W48" s="927">
        <v>0</v>
      </c>
      <c r="X48" s="675">
        <v>0</v>
      </c>
      <c r="Y48" s="675">
        <v>0</v>
      </c>
      <c r="Z48" s="247"/>
      <c r="AA48" s="190"/>
      <c r="AB48" s="190"/>
      <c r="AC48" s="385"/>
    </row>
    <row r="49" spans="1:29" s="233" customFormat="1" ht="11.25" customHeight="1">
      <c r="A49" s="917">
        <v>3</v>
      </c>
      <c r="B49" s="918" t="s">
        <v>123</v>
      </c>
      <c r="C49" s="917" t="s">
        <v>124</v>
      </c>
      <c r="D49" s="919"/>
      <c r="E49" s="919"/>
      <c r="F49" s="925">
        <v>5714.7716399999999</v>
      </c>
      <c r="G49" s="925">
        <v>78.89</v>
      </c>
      <c r="H49" s="925">
        <v>74.987039999999993</v>
      </c>
      <c r="I49" s="925">
        <v>59.13</v>
      </c>
      <c r="J49" s="925">
        <v>558.19999999999993</v>
      </c>
      <c r="K49" s="925">
        <v>430.65</v>
      </c>
      <c r="L49" s="925">
        <v>29.21</v>
      </c>
      <c r="M49" s="925">
        <v>2849.18</v>
      </c>
      <c r="N49" s="925">
        <v>694.6</v>
      </c>
      <c r="O49" s="925">
        <v>297.42999999999995</v>
      </c>
      <c r="P49" s="925">
        <v>167.29149999999998</v>
      </c>
      <c r="Q49" s="925">
        <v>2.75</v>
      </c>
      <c r="R49" s="925">
        <v>41.103099999999998</v>
      </c>
      <c r="S49" s="925">
        <v>0.62</v>
      </c>
      <c r="T49" s="925">
        <v>0.32000000000000006</v>
      </c>
      <c r="U49" s="925">
        <v>255.69</v>
      </c>
      <c r="V49" s="925">
        <v>145.17000000000002</v>
      </c>
      <c r="W49" s="925">
        <v>29.55</v>
      </c>
      <c r="X49" s="919">
        <v>0</v>
      </c>
      <c r="Y49" s="919">
        <v>0</v>
      </c>
      <c r="Z49" s="383"/>
      <c r="AA49" s="383"/>
      <c r="AB49" s="383"/>
      <c r="AC49" s="920"/>
    </row>
    <row r="50" spans="1:29" s="191" customFormat="1" ht="11.25" customHeight="1">
      <c r="A50" s="691" t="s">
        <v>346</v>
      </c>
      <c r="B50" s="683" t="s">
        <v>515</v>
      </c>
      <c r="C50" s="674"/>
      <c r="D50" s="675"/>
      <c r="E50" s="675"/>
      <c r="F50" s="927">
        <v>5711.1616400000003</v>
      </c>
      <c r="G50" s="927">
        <v>78.89</v>
      </c>
      <c r="H50" s="927">
        <v>74.987039999999993</v>
      </c>
      <c r="I50" s="927">
        <v>55.52</v>
      </c>
      <c r="J50" s="927">
        <v>558.19999999999993</v>
      </c>
      <c r="K50" s="927">
        <v>430.65</v>
      </c>
      <c r="L50" s="927">
        <v>29.21</v>
      </c>
      <c r="M50" s="927">
        <v>2849.18</v>
      </c>
      <c r="N50" s="927">
        <v>694.6</v>
      </c>
      <c r="O50" s="927">
        <v>297.42999999999995</v>
      </c>
      <c r="P50" s="927">
        <v>167.29149999999998</v>
      </c>
      <c r="Q50" s="927">
        <v>2.75</v>
      </c>
      <c r="R50" s="927">
        <v>41.103099999999998</v>
      </c>
      <c r="S50" s="927">
        <v>0.62</v>
      </c>
      <c r="T50" s="927">
        <v>0.32000000000000006</v>
      </c>
      <c r="U50" s="927">
        <v>255.69</v>
      </c>
      <c r="V50" s="927">
        <v>145.17000000000002</v>
      </c>
      <c r="W50" s="927">
        <v>29.55</v>
      </c>
      <c r="X50" s="675">
        <v>0</v>
      </c>
      <c r="Y50" s="675">
        <v>0</v>
      </c>
      <c r="Z50" s="247"/>
      <c r="AA50" s="274"/>
      <c r="AC50" s="385"/>
    </row>
    <row r="51" spans="1:29" s="191" customFormat="1" ht="11.25" customHeight="1">
      <c r="A51" s="691" t="s">
        <v>346</v>
      </c>
      <c r="B51" s="683" t="s">
        <v>516</v>
      </c>
      <c r="C51" s="674"/>
      <c r="D51" s="675"/>
      <c r="E51" s="675"/>
      <c r="F51" s="927">
        <v>77.619999999999976</v>
      </c>
      <c r="G51" s="927">
        <v>0.03</v>
      </c>
      <c r="H51" s="927">
        <v>0.08</v>
      </c>
      <c r="I51" s="927">
        <v>6.04</v>
      </c>
      <c r="J51" s="927">
        <v>4.5699999999999994</v>
      </c>
      <c r="K51" s="927">
        <v>7.38</v>
      </c>
      <c r="L51" s="927">
        <v>0.06</v>
      </c>
      <c r="M51" s="927">
        <v>4.75</v>
      </c>
      <c r="N51" s="927">
        <v>1.41</v>
      </c>
      <c r="O51" s="927">
        <v>0</v>
      </c>
      <c r="P51" s="927">
        <v>35.339999999999996</v>
      </c>
      <c r="Q51" s="927">
        <v>0</v>
      </c>
      <c r="R51" s="927">
        <v>1.8099999999999998</v>
      </c>
      <c r="S51" s="927">
        <v>0</v>
      </c>
      <c r="T51" s="927">
        <v>0.32999999999999996</v>
      </c>
      <c r="U51" s="927">
        <v>13.43</v>
      </c>
      <c r="V51" s="927">
        <v>1.07</v>
      </c>
      <c r="W51" s="927">
        <v>1.32</v>
      </c>
      <c r="X51" s="675">
        <v>0</v>
      </c>
      <c r="Y51" s="675">
        <v>0</v>
      </c>
      <c r="Z51" s="247"/>
      <c r="AA51" s="274"/>
      <c r="AC51" s="385"/>
    </row>
    <row r="52" spans="1:29" s="67" customFormat="1" ht="11.25" customHeight="1">
      <c r="A52" s="676">
        <v>4</v>
      </c>
      <c r="B52" s="682" t="s">
        <v>125</v>
      </c>
      <c r="C52" s="676" t="s">
        <v>126</v>
      </c>
      <c r="D52" s="677"/>
      <c r="E52" s="675"/>
      <c r="F52" s="926">
        <v>0</v>
      </c>
      <c r="G52" s="926"/>
      <c r="H52" s="926"/>
      <c r="I52" s="926"/>
      <c r="J52" s="926"/>
      <c r="K52" s="926"/>
      <c r="L52" s="926"/>
      <c r="M52" s="926"/>
      <c r="N52" s="926"/>
      <c r="O52" s="926"/>
      <c r="P52" s="926"/>
      <c r="Q52" s="926"/>
      <c r="R52" s="926"/>
      <c r="S52" s="926"/>
      <c r="T52" s="926"/>
      <c r="U52" s="926"/>
      <c r="V52" s="926"/>
      <c r="W52" s="926"/>
      <c r="X52" s="677"/>
      <c r="Y52" s="677"/>
      <c r="Z52" s="247"/>
      <c r="AA52" s="247"/>
      <c r="AC52" s="385"/>
    </row>
    <row r="53" spans="1:29" s="67" customFormat="1" ht="11.25" customHeight="1">
      <c r="A53" s="676">
        <v>5</v>
      </c>
      <c r="B53" s="682" t="s">
        <v>127</v>
      </c>
      <c r="C53" s="676" t="s">
        <v>128</v>
      </c>
      <c r="D53" s="677"/>
      <c r="E53" s="675"/>
      <c r="F53" s="927">
        <v>67026.400000000009</v>
      </c>
      <c r="G53" s="927">
        <v>4938.8000000000011</v>
      </c>
      <c r="H53" s="927">
        <v>8306.0300000000007</v>
      </c>
      <c r="I53" s="927">
        <v>6319.65</v>
      </c>
      <c r="J53" s="927">
        <v>7026.91</v>
      </c>
      <c r="K53" s="927">
        <v>5009.57</v>
      </c>
      <c r="L53" s="927">
        <v>1642.44</v>
      </c>
      <c r="M53" s="927">
        <v>8768.07</v>
      </c>
      <c r="N53" s="927">
        <v>7427.28</v>
      </c>
      <c r="O53" s="927">
        <v>2500.7300000000005</v>
      </c>
      <c r="P53" s="927">
        <v>4973.1799999999994</v>
      </c>
      <c r="Q53" s="927">
        <v>154.47</v>
      </c>
      <c r="R53" s="927">
        <v>1146.2</v>
      </c>
      <c r="S53" s="927">
        <v>74.730000000000018</v>
      </c>
      <c r="T53" s="927">
        <v>102.74000000000001</v>
      </c>
      <c r="U53" s="927">
        <v>4049.01</v>
      </c>
      <c r="V53" s="927">
        <v>2359</v>
      </c>
      <c r="W53" s="927">
        <v>2227.59</v>
      </c>
      <c r="X53" s="677">
        <v>0</v>
      </c>
      <c r="Y53" s="677">
        <v>0</v>
      </c>
      <c r="Z53" s="247"/>
      <c r="AA53" s="247"/>
      <c r="AC53" s="385"/>
    </row>
    <row r="54" spans="1:29" s="67" customFormat="1" ht="11.25" customHeight="1">
      <c r="A54" s="692">
        <v>6</v>
      </c>
      <c r="B54" s="693" t="s">
        <v>129</v>
      </c>
      <c r="C54" s="692" t="s">
        <v>130</v>
      </c>
      <c r="D54" s="694"/>
      <c r="E54" s="694"/>
      <c r="F54" s="931">
        <v>12490.388900000002</v>
      </c>
      <c r="G54" s="931"/>
      <c r="H54" s="931"/>
      <c r="I54" s="931"/>
      <c r="J54" s="931"/>
      <c r="K54" s="931"/>
      <c r="L54" s="931"/>
      <c r="M54" s="931"/>
      <c r="N54" s="931"/>
      <c r="O54" s="931"/>
      <c r="P54" s="931">
        <v>4577.7154</v>
      </c>
      <c r="Q54" s="931">
        <v>158.60500000000002</v>
      </c>
      <c r="R54" s="931">
        <v>1129.7995000000001</v>
      </c>
      <c r="S54" s="931">
        <v>72.409500000000008</v>
      </c>
      <c r="T54" s="931">
        <v>102.37</v>
      </c>
      <c r="U54" s="931">
        <v>4033.8399999999997</v>
      </c>
      <c r="V54" s="931">
        <v>1317.0395000000001</v>
      </c>
      <c r="W54" s="931">
        <v>1098.6099999999999</v>
      </c>
      <c r="X54" s="694"/>
      <c r="Y54" s="694"/>
      <c r="Z54" s="247"/>
      <c r="AA54" s="247"/>
      <c r="AC54" s="385"/>
    </row>
    <row r="55" spans="1:29">
      <c r="G55" s="696"/>
      <c r="H55" s="696"/>
      <c r="I55" s="696"/>
      <c r="J55" s="696"/>
      <c r="K55" s="696"/>
      <c r="L55" s="696"/>
      <c r="M55" s="696"/>
      <c r="N55" s="696"/>
      <c r="O55" s="696"/>
      <c r="P55" s="696"/>
      <c r="Q55" s="696"/>
      <c r="R55" s="696"/>
      <c r="S55" s="696"/>
      <c r="T55" s="696"/>
      <c r="U55" s="696"/>
      <c r="V55" s="696"/>
      <c r="W55" s="696"/>
      <c r="X55" s="177"/>
      <c r="Y55" s="177"/>
    </row>
    <row r="56" spans="1:29">
      <c r="D56">
        <v>24.025085416761925</v>
      </c>
      <c r="F56" s="697"/>
    </row>
  </sheetData>
  <mergeCells count="10">
    <mergeCell ref="A1:B1"/>
    <mergeCell ref="F4:F5"/>
    <mergeCell ref="A2:Y2"/>
    <mergeCell ref="A3:Y3"/>
    <mergeCell ref="A4:A5"/>
    <mergeCell ref="B4:B5"/>
    <mergeCell ref="C4:C5"/>
    <mergeCell ref="D4:D5"/>
    <mergeCell ref="E4:E5"/>
    <mergeCell ref="G4:W4"/>
  </mergeCells>
  <phoneticPr fontId="4" type="noConversion"/>
  <printOptions horizontalCentered="1"/>
  <pageMargins left="0.1" right="0.25" top="0.75" bottom="0.05" header="0.5" footer="0.5"/>
  <pageSetup paperSize="9" scale="8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X29"/>
  <sheetViews>
    <sheetView showZeros="0" workbookViewId="0">
      <selection activeCell="L9" sqref="L9"/>
    </sheetView>
  </sheetViews>
  <sheetFormatPr defaultRowHeight="12.75"/>
  <cols>
    <col min="1" max="1" width="6.5703125" customWidth="1"/>
    <col min="2" max="2" width="28.42578125" customWidth="1"/>
    <col min="3" max="3" width="10.7109375" customWidth="1"/>
    <col min="4" max="21" width="8" customWidth="1"/>
    <col min="22" max="22" width="8.7109375" hidden="1" customWidth="1"/>
    <col min="23" max="23" width="8.85546875" hidden="1" customWidth="1"/>
  </cols>
  <sheetData>
    <row r="1" spans="1:24" ht="17.25" customHeight="1">
      <c r="A1" s="1308" t="s">
        <v>995</v>
      </c>
      <c r="B1" s="1308"/>
    </row>
    <row r="2" spans="1:24" s="102" customFormat="1" ht="45.75" customHeight="1">
      <c r="A2" s="1314" t="s">
        <v>998</v>
      </c>
      <c r="B2" s="1314"/>
      <c r="C2" s="1314"/>
      <c r="D2" s="1314"/>
      <c r="E2" s="1314"/>
      <c r="F2" s="1314"/>
      <c r="G2" s="1314"/>
      <c r="H2" s="1314"/>
      <c r="I2" s="1314"/>
      <c r="J2" s="1314"/>
      <c r="K2" s="1314"/>
      <c r="L2" s="1314"/>
      <c r="M2" s="1314"/>
      <c r="N2" s="1314"/>
      <c r="O2" s="1314"/>
      <c r="P2" s="1314"/>
      <c r="Q2" s="1314"/>
      <c r="R2" s="1314"/>
      <c r="S2" s="1314"/>
      <c r="T2" s="1314"/>
      <c r="U2" s="1314"/>
      <c r="V2" s="1314"/>
      <c r="W2" s="1314"/>
    </row>
    <row r="3" spans="1:24" ht="16.5" customHeight="1">
      <c r="V3" s="1300" t="s">
        <v>138</v>
      </c>
      <c r="W3" s="1300"/>
    </row>
    <row r="4" spans="1:24" ht="24.75" customHeight="1">
      <c r="A4" s="1313" t="s">
        <v>0</v>
      </c>
      <c r="B4" s="1313" t="s">
        <v>12</v>
      </c>
      <c r="C4" s="1313" t="s">
        <v>13</v>
      </c>
      <c r="D4" s="1313" t="s">
        <v>131</v>
      </c>
      <c r="E4" s="1313" t="s">
        <v>147</v>
      </c>
      <c r="F4" s="1313"/>
      <c r="G4" s="1313"/>
      <c r="H4" s="1313"/>
      <c r="I4" s="1313"/>
      <c r="J4" s="1313"/>
      <c r="K4" s="1313"/>
      <c r="L4" s="1313"/>
      <c r="M4" s="1313"/>
      <c r="N4" s="1313"/>
      <c r="O4" s="1313"/>
      <c r="P4" s="1313"/>
      <c r="Q4" s="1313"/>
      <c r="R4" s="1313"/>
      <c r="S4" s="1313"/>
      <c r="T4" s="1313"/>
      <c r="U4" s="1313"/>
      <c r="V4" s="1313"/>
      <c r="W4" s="1313"/>
    </row>
    <row r="5" spans="1:24" ht="33" customHeight="1">
      <c r="A5" s="1313"/>
      <c r="B5" s="1313"/>
      <c r="C5" s="1313"/>
      <c r="D5" s="1313"/>
      <c r="E5" s="699" t="s">
        <v>725</v>
      </c>
      <c r="F5" s="699" t="s">
        <v>726</v>
      </c>
      <c r="G5" s="699" t="s">
        <v>727</v>
      </c>
      <c r="H5" s="699" t="s">
        <v>728</v>
      </c>
      <c r="I5" s="699" t="s">
        <v>729</v>
      </c>
      <c r="J5" s="699" t="s">
        <v>730</v>
      </c>
      <c r="K5" s="699" t="s">
        <v>731</v>
      </c>
      <c r="L5" s="699" t="s">
        <v>732</v>
      </c>
      <c r="M5" s="699" t="s">
        <v>733</v>
      </c>
      <c r="N5" s="699" t="s">
        <v>734</v>
      </c>
      <c r="O5" s="699" t="s">
        <v>735</v>
      </c>
      <c r="P5" s="699" t="s">
        <v>736</v>
      </c>
      <c r="Q5" s="699" t="s">
        <v>737</v>
      </c>
      <c r="R5" s="699" t="s">
        <v>738</v>
      </c>
      <c r="S5" s="699" t="s">
        <v>739</v>
      </c>
      <c r="T5" s="699" t="s">
        <v>740</v>
      </c>
      <c r="U5" s="699" t="s">
        <v>741</v>
      </c>
      <c r="V5" s="681"/>
      <c r="W5" s="681"/>
    </row>
    <row r="6" spans="1:24" s="698" customFormat="1" ht="24" customHeight="1">
      <c r="A6" s="700">
        <v>1</v>
      </c>
      <c r="B6" s="721" t="s">
        <v>171</v>
      </c>
      <c r="C6" s="700" t="s">
        <v>148</v>
      </c>
      <c r="D6" s="701">
        <v>924.04</v>
      </c>
      <c r="E6" s="701">
        <v>2.92</v>
      </c>
      <c r="F6" s="701">
        <v>6.84</v>
      </c>
      <c r="G6" s="701">
        <v>296.60000000000002</v>
      </c>
      <c r="H6" s="701">
        <v>13.7</v>
      </c>
      <c r="I6" s="701">
        <v>18.009999999999998</v>
      </c>
      <c r="J6" s="701">
        <v>14.61</v>
      </c>
      <c r="K6" s="701">
        <v>13.46</v>
      </c>
      <c r="L6" s="701">
        <v>0.87000000000000011</v>
      </c>
      <c r="M6" s="701">
        <v>2.5700000000000003</v>
      </c>
      <c r="N6" s="701">
        <v>156.89000000000001</v>
      </c>
      <c r="O6" s="701">
        <v>0.3</v>
      </c>
      <c r="P6" s="701">
        <v>24.520000000000003</v>
      </c>
      <c r="Q6" s="701">
        <v>0</v>
      </c>
      <c r="R6" s="701">
        <v>0</v>
      </c>
      <c r="S6" s="701">
        <v>370.51</v>
      </c>
      <c r="T6" s="701">
        <v>1.72</v>
      </c>
      <c r="U6" s="701">
        <v>0.52</v>
      </c>
      <c r="V6" s="701">
        <v>0</v>
      </c>
      <c r="W6" s="701">
        <v>0</v>
      </c>
      <c r="X6" s="737">
        <v>924.04</v>
      </c>
    </row>
    <row r="7" spans="1:24" s="670" customFormat="1" ht="24" customHeight="1">
      <c r="A7" s="657" t="s">
        <v>16</v>
      </c>
      <c r="B7" s="705" t="s">
        <v>17</v>
      </c>
      <c r="C7" s="657" t="s">
        <v>149</v>
      </c>
      <c r="D7" s="305">
        <v>146.87000000000003</v>
      </c>
      <c r="E7" s="305">
        <v>0.91</v>
      </c>
      <c r="F7" s="305">
        <v>7.0000000000000007E-2</v>
      </c>
      <c r="G7" s="305">
        <v>3.3299999999999996</v>
      </c>
      <c r="H7" s="305">
        <v>0</v>
      </c>
      <c r="I7" s="305">
        <v>1.69</v>
      </c>
      <c r="J7" s="305">
        <v>8.26</v>
      </c>
      <c r="K7" s="305">
        <v>3.7</v>
      </c>
      <c r="L7" s="305">
        <v>0.3</v>
      </c>
      <c r="M7" s="305">
        <v>0.95000000000000007</v>
      </c>
      <c r="N7" s="305">
        <v>20.229999999999997</v>
      </c>
      <c r="O7" s="305">
        <v>0</v>
      </c>
      <c r="P7" s="305">
        <v>18.59</v>
      </c>
      <c r="Q7" s="305">
        <v>0</v>
      </c>
      <c r="R7" s="305">
        <v>0</v>
      </c>
      <c r="S7" s="305">
        <v>88.820000000000007</v>
      </c>
      <c r="T7" s="305">
        <v>0</v>
      </c>
      <c r="U7" s="305">
        <v>0.02</v>
      </c>
      <c r="V7" s="305">
        <v>0</v>
      </c>
      <c r="W7" s="305">
        <v>0</v>
      </c>
      <c r="X7" s="737">
        <v>146.87000000000003</v>
      </c>
    </row>
    <row r="8" spans="1:24" s="670" customFormat="1" ht="24" customHeight="1">
      <c r="A8" s="657"/>
      <c r="B8" s="705" t="s">
        <v>19</v>
      </c>
      <c r="C8" s="657" t="s">
        <v>150</v>
      </c>
      <c r="D8" s="305">
        <v>120.32000000000001</v>
      </c>
      <c r="E8" s="305">
        <v>0</v>
      </c>
      <c r="F8" s="305">
        <v>0</v>
      </c>
      <c r="G8" s="305">
        <v>0.03</v>
      </c>
      <c r="H8" s="305">
        <v>0</v>
      </c>
      <c r="I8" s="305">
        <v>1.45</v>
      </c>
      <c r="J8" s="305">
        <v>6.97</v>
      </c>
      <c r="K8" s="305">
        <v>3.33</v>
      </c>
      <c r="L8" s="305">
        <v>0.3</v>
      </c>
      <c r="M8" s="305">
        <v>0.03</v>
      </c>
      <c r="N8" s="305">
        <v>8.2099999999999991</v>
      </c>
      <c r="O8" s="305">
        <v>0</v>
      </c>
      <c r="P8" s="305">
        <v>11.18</v>
      </c>
      <c r="Q8" s="305">
        <v>0</v>
      </c>
      <c r="R8" s="305">
        <v>0</v>
      </c>
      <c r="S8" s="305">
        <v>88.820000000000007</v>
      </c>
      <c r="T8" s="305">
        <v>0</v>
      </c>
      <c r="U8" s="305">
        <v>0</v>
      </c>
      <c r="V8" s="305">
        <v>0</v>
      </c>
      <c r="W8" s="305">
        <v>0</v>
      </c>
      <c r="X8" s="737">
        <v>120.32000000000001</v>
      </c>
    </row>
    <row r="9" spans="1:24" s="670" customFormat="1" ht="24" customHeight="1">
      <c r="A9" s="657" t="s">
        <v>21</v>
      </c>
      <c r="B9" s="705" t="s">
        <v>22</v>
      </c>
      <c r="C9" s="657" t="s">
        <v>151</v>
      </c>
      <c r="D9" s="305">
        <v>25.229999999999997</v>
      </c>
      <c r="E9" s="305">
        <v>0</v>
      </c>
      <c r="F9" s="305">
        <v>0</v>
      </c>
      <c r="G9" s="305">
        <v>0.47</v>
      </c>
      <c r="H9" s="305">
        <v>0.63</v>
      </c>
      <c r="I9" s="305">
        <v>0.42000000000000004</v>
      </c>
      <c r="J9" s="305">
        <v>0.69000000000000006</v>
      </c>
      <c r="K9" s="305">
        <v>1.44</v>
      </c>
      <c r="L9" s="305">
        <v>0.01</v>
      </c>
      <c r="M9" s="305">
        <v>1.1200000000000001</v>
      </c>
      <c r="N9" s="305">
        <v>15.77</v>
      </c>
      <c r="O9" s="305">
        <v>0</v>
      </c>
      <c r="P9" s="305">
        <v>3.5300000000000002</v>
      </c>
      <c r="Q9" s="305">
        <v>0</v>
      </c>
      <c r="R9" s="305">
        <v>0</v>
      </c>
      <c r="S9" s="305">
        <v>1.1499999999999999</v>
      </c>
      <c r="T9" s="305">
        <v>0</v>
      </c>
      <c r="U9" s="305">
        <v>0</v>
      </c>
      <c r="V9" s="305">
        <v>0</v>
      </c>
      <c r="W9" s="305">
        <v>0</v>
      </c>
      <c r="X9" s="737">
        <v>25.229999999999997</v>
      </c>
    </row>
    <row r="10" spans="1:24" s="670" customFormat="1" ht="24" customHeight="1">
      <c r="A10" s="657" t="s">
        <v>24</v>
      </c>
      <c r="B10" s="705" t="s">
        <v>25</v>
      </c>
      <c r="C10" s="657" t="s">
        <v>152</v>
      </c>
      <c r="D10" s="305">
        <v>93.21</v>
      </c>
      <c r="E10" s="305">
        <v>0.37</v>
      </c>
      <c r="F10" s="305">
        <v>0.3</v>
      </c>
      <c r="G10" s="305">
        <v>0.66</v>
      </c>
      <c r="H10" s="305">
        <v>1.5999999999999999</v>
      </c>
      <c r="I10" s="305">
        <v>1</v>
      </c>
      <c r="J10" s="305">
        <v>1.26</v>
      </c>
      <c r="K10" s="305">
        <v>1.06</v>
      </c>
      <c r="L10" s="305">
        <v>0.54</v>
      </c>
      <c r="M10" s="305">
        <v>0.5</v>
      </c>
      <c r="N10" s="305">
        <v>16.420000000000002</v>
      </c>
      <c r="O10" s="305">
        <v>0.3</v>
      </c>
      <c r="P10" s="305">
        <v>1</v>
      </c>
      <c r="Q10" s="305">
        <v>0</v>
      </c>
      <c r="R10" s="305">
        <v>0</v>
      </c>
      <c r="S10" s="305">
        <v>67.199999999999989</v>
      </c>
      <c r="T10" s="305">
        <v>0.5</v>
      </c>
      <c r="U10" s="305">
        <v>0.5</v>
      </c>
      <c r="V10" s="305">
        <v>0</v>
      </c>
      <c r="W10" s="305">
        <v>0</v>
      </c>
      <c r="X10" s="737">
        <v>93.21</v>
      </c>
    </row>
    <row r="11" spans="1:24" s="670" customFormat="1" ht="24" customHeight="1">
      <c r="A11" s="657" t="s">
        <v>27</v>
      </c>
      <c r="B11" s="705" t="s">
        <v>28</v>
      </c>
      <c r="C11" s="657" t="s">
        <v>153</v>
      </c>
      <c r="D11" s="305">
        <v>70.94</v>
      </c>
      <c r="E11" s="305">
        <v>0</v>
      </c>
      <c r="F11" s="305">
        <v>0</v>
      </c>
      <c r="G11" s="305">
        <v>18.34</v>
      </c>
      <c r="H11" s="305">
        <v>4.55</v>
      </c>
      <c r="I11" s="305">
        <v>7.68</v>
      </c>
      <c r="J11" s="305">
        <v>0</v>
      </c>
      <c r="K11" s="305">
        <v>5.6099999999999994</v>
      </c>
      <c r="L11" s="305">
        <v>0</v>
      </c>
      <c r="M11" s="305">
        <v>0</v>
      </c>
      <c r="N11" s="305">
        <v>10.19</v>
      </c>
      <c r="O11" s="305">
        <v>0</v>
      </c>
      <c r="P11" s="305">
        <v>0</v>
      </c>
      <c r="Q11" s="305">
        <v>0</v>
      </c>
      <c r="R11" s="305">
        <v>0</v>
      </c>
      <c r="S11" s="305">
        <v>23.35</v>
      </c>
      <c r="T11" s="305">
        <v>1.22</v>
      </c>
      <c r="U11" s="305">
        <v>0</v>
      </c>
      <c r="V11" s="305">
        <v>0</v>
      </c>
      <c r="W11" s="305">
        <v>0</v>
      </c>
      <c r="X11" s="737">
        <v>70.94</v>
      </c>
    </row>
    <row r="12" spans="1:24" s="670" customFormat="1" ht="24" customHeight="1">
      <c r="A12" s="657" t="s">
        <v>30</v>
      </c>
      <c r="B12" s="705" t="s">
        <v>31</v>
      </c>
      <c r="C12" s="657" t="s">
        <v>154</v>
      </c>
      <c r="D12" s="305">
        <v>0</v>
      </c>
      <c r="E12" s="305">
        <v>0</v>
      </c>
      <c r="F12" s="305">
        <v>0</v>
      </c>
      <c r="G12" s="305">
        <v>0</v>
      </c>
      <c r="H12" s="305">
        <v>0</v>
      </c>
      <c r="I12" s="305">
        <v>0</v>
      </c>
      <c r="J12" s="305">
        <v>0</v>
      </c>
      <c r="K12" s="305">
        <v>0</v>
      </c>
      <c r="L12" s="305">
        <v>0</v>
      </c>
      <c r="M12" s="305">
        <v>0</v>
      </c>
      <c r="N12" s="305">
        <v>0</v>
      </c>
      <c r="O12" s="305">
        <v>0</v>
      </c>
      <c r="P12" s="305">
        <v>0</v>
      </c>
      <c r="Q12" s="305">
        <v>0</v>
      </c>
      <c r="R12" s="305">
        <v>0</v>
      </c>
      <c r="S12" s="305">
        <v>0</v>
      </c>
      <c r="T12" s="305">
        <v>0</v>
      </c>
      <c r="U12" s="305">
        <v>0</v>
      </c>
      <c r="V12" s="305">
        <v>0</v>
      </c>
      <c r="W12" s="305">
        <v>0</v>
      </c>
      <c r="X12" s="737">
        <v>0</v>
      </c>
    </row>
    <row r="13" spans="1:24" s="670" customFormat="1" ht="24" customHeight="1">
      <c r="A13" s="657" t="s">
        <v>33</v>
      </c>
      <c r="B13" s="705" t="s">
        <v>34</v>
      </c>
      <c r="C13" s="657" t="s">
        <v>155</v>
      </c>
      <c r="D13" s="305">
        <v>372.71000000000009</v>
      </c>
      <c r="E13" s="305">
        <v>1.6400000000000001</v>
      </c>
      <c r="F13" s="305">
        <v>6.47</v>
      </c>
      <c r="G13" s="305">
        <v>269.40000000000003</v>
      </c>
      <c r="H13" s="305">
        <v>4.47</v>
      </c>
      <c r="I13" s="305">
        <v>5.98</v>
      </c>
      <c r="J13" s="305">
        <v>0</v>
      </c>
      <c r="K13" s="305">
        <v>0</v>
      </c>
      <c r="L13" s="305">
        <v>0.02</v>
      </c>
      <c r="M13" s="305">
        <v>0</v>
      </c>
      <c r="N13" s="305">
        <v>84.13000000000001</v>
      </c>
      <c r="O13" s="305">
        <v>0</v>
      </c>
      <c r="P13" s="305">
        <v>0.6</v>
      </c>
      <c r="Q13" s="305">
        <v>0</v>
      </c>
      <c r="R13" s="305">
        <v>0</v>
      </c>
      <c r="S13" s="305">
        <v>0</v>
      </c>
      <c r="T13" s="305">
        <v>0</v>
      </c>
      <c r="U13" s="305">
        <v>0</v>
      </c>
      <c r="V13" s="305">
        <v>0</v>
      </c>
      <c r="W13" s="305">
        <v>0</v>
      </c>
      <c r="X13" s="737">
        <v>372.71000000000009</v>
      </c>
    </row>
    <row r="14" spans="1:24" s="670" customFormat="1" ht="24" customHeight="1">
      <c r="A14" s="657" t="s">
        <v>36</v>
      </c>
      <c r="B14" s="705" t="s">
        <v>37</v>
      </c>
      <c r="C14" s="657" t="s">
        <v>156</v>
      </c>
      <c r="D14" s="305">
        <v>215.07999999999998</v>
      </c>
      <c r="E14" s="305">
        <v>0</v>
      </c>
      <c r="F14" s="305">
        <v>0</v>
      </c>
      <c r="G14" s="305">
        <v>4.4000000000000004</v>
      </c>
      <c r="H14" s="305">
        <v>2.4500000000000002</v>
      </c>
      <c r="I14" s="305">
        <v>1.24</v>
      </c>
      <c r="J14" s="305">
        <v>4.4000000000000004</v>
      </c>
      <c r="K14" s="305">
        <v>1.65</v>
      </c>
      <c r="L14" s="305">
        <v>0</v>
      </c>
      <c r="M14" s="305">
        <v>0</v>
      </c>
      <c r="N14" s="305">
        <v>10.149999999999997</v>
      </c>
      <c r="O14" s="305">
        <v>0</v>
      </c>
      <c r="P14" s="305">
        <v>0.8</v>
      </c>
      <c r="Q14" s="305">
        <v>0</v>
      </c>
      <c r="R14" s="305">
        <v>0</v>
      </c>
      <c r="S14" s="305">
        <v>189.99</v>
      </c>
      <c r="T14" s="305">
        <v>0</v>
      </c>
      <c r="U14" s="305">
        <v>0</v>
      </c>
      <c r="V14" s="305">
        <v>0</v>
      </c>
      <c r="W14" s="305">
        <v>0</v>
      </c>
      <c r="X14" s="737">
        <v>215.08</v>
      </c>
    </row>
    <row r="15" spans="1:24" s="670" customFormat="1" ht="24" customHeight="1">
      <c r="A15" s="657" t="s">
        <v>39</v>
      </c>
      <c r="B15" s="705" t="s">
        <v>40</v>
      </c>
      <c r="C15" s="657" t="s">
        <v>157</v>
      </c>
      <c r="D15" s="305">
        <v>0</v>
      </c>
      <c r="E15" s="305">
        <v>0</v>
      </c>
      <c r="F15" s="305">
        <v>0</v>
      </c>
      <c r="G15" s="305">
        <v>0</v>
      </c>
      <c r="H15" s="305">
        <v>0</v>
      </c>
      <c r="I15" s="305">
        <v>0</v>
      </c>
      <c r="J15" s="305">
        <v>0</v>
      </c>
      <c r="K15" s="305">
        <v>0</v>
      </c>
      <c r="L15" s="305">
        <v>0</v>
      </c>
      <c r="M15" s="305">
        <v>0</v>
      </c>
      <c r="N15" s="305">
        <v>0</v>
      </c>
      <c r="O15" s="305">
        <v>0</v>
      </c>
      <c r="P15" s="305">
        <v>0</v>
      </c>
      <c r="Q15" s="305">
        <v>0</v>
      </c>
      <c r="R15" s="305">
        <v>0</v>
      </c>
      <c r="S15" s="305">
        <v>0</v>
      </c>
      <c r="T15" s="305">
        <v>0</v>
      </c>
      <c r="U15" s="305">
        <v>0</v>
      </c>
      <c r="V15" s="305">
        <v>0</v>
      </c>
      <c r="W15" s="305">
        <v>0</v>
      </c>
      <c r="X15" s="737">
        <v>0</v>
      </c>
    </row>
    <row r="16" spans="1:24" s="670" customFormat="1" ht="24" customHeight="1">
      <c r="A16" s="657" t="s">
        <v>42</v>
      </c>
      <c r="B16" s="705" t="s">
        <v>43</v>
      </c>
      <c r="C16" s="657" t="s">
        <v>158</v>
      </c>
      <c r="D16" s="305">
        <v>0</v>
      </c>
      <c r="E16" s="305">
        <v>0</v>
      </c>
      <c r="F16" s="305">
        <v>0</v>
      </c>
      <c r="G16" s="305">
        <v>0</v>
      </c>
      <c r="H16" s="305">
        <v>0</v>
      </c>
      <c r="I16" s="305">
        <v>0</v>
      </c>
      <c r="J16" s="305">
        <v>0</v>
      </c>
      <c r="K16" s="305">
        <v>0</v>
      </c>
      <c r="L16" s="305">
        <v>0</v>
      </c>
      <c r="M16" s="305">
        <v>0</v>
      </c>
      <c r="N16" s="305">
        <v>0</v>
      </c>
      <c r="O16" s="305">
        <v>0</v>
      </c>
      <c r="P16" s="305">
        <v>0</v>
      </c>
      <c r="Q16" s="305">
        <v>0</v>
      </c>
      <c r="R16" s="305">
        <v>0</v>
      </c>
      <c r="S16" s="305">
        <v>0</v>
      </c>
      <c r="T16" s="305">
        <v>0</v>
      </c>
      <c r="U16" s="305">
        <v>0</v>
      </c>
      <c r="V16" s="305">
        <v>0</v>
      </c>
      <c r="W16" s="305">
        <v>0</v>
      </c>
      <c r="X16" s="737">
        <v>0</v>
      </c>
    </row>
    <row r="17" spans="1:24" s="698" customFormat="1" ht="28.5" customHeight="1">
      <c r="A17" s="702">
        <v>2</v>
      </c>
      <c r="B17" s="703" t="s">
        <v>172</v>
      </c>
      <c r="C17" s="702"/>
      <c r="D17" s="704">
        <v>44.510000000000005</v>
      </c>
      <c r="E17" s="704">
        <v>0</v>
      </c>
      <c r="F17" s="704">
        <v>0</v>
      </c>
      <c r="G17" s="704">
        <v>5.24</v>
      </c>
      <c r="H17" s="704">
        <v>1.3900000000000001</v>
      </c>
      <c r="I17" s="704">
        <v>24.009999999999998</v>
      </c>
      <c r="J17" s="704">
        <v>4.2</v>
      </c>
      <c r="K17" s="704">
        <v>3.96</v>
      </c>
      <c r="L17" s="704">
        <v>4.5599999999999996</v>
      </c>
      <c r="M17" s="704">
        <v>0</v>
      </c>
      <c r="N17" s="704">
        <v>0.64</v>
      </c>
      <c r="O17" s="704">
        <v>0</v>
      </c>
      <c r="P17" s="704">
        <v>0.3</v>
      </c>
      <c r="Q17" s="704">
        <v>0</v>
      </c>
      <c r="R17" s="704">
        <v>0</v>
      </c>
      <c r="S17" s="704">
        <v>0.21</v>
      </c>
      <c r="T17" s="704">
        <v>0</v>
      </c>
      <c r="U17" s="704">
        <v>0</v>
      </c>
      <c r="V17" s="704">
        <v>0</v>
      </c>
      <c r="W17" s="704">
        <v>0</v>
      </c>
      <c r="X17" s="737">
        <v>44.510000000000005</v>
      </c>
    </row>
    <row r="18" spans="1:24" s="670" customFormat="1" ht="24" customHeight="1">
      <c r="A18" s="657"/>
      <c r="B18" s="705" t="s">
        <v>159</v>
      </c>
      <c r="C18" s="657"/>
      <c r="D18" s="305"/>
      <c r="E18" s="305"/>
      <c r="F18" s="305"/>
      <c r="G18" s="305"/>
      <c r="H18" s="305"/>
      <c r="I18" s="305"/>
      <c r="J18" s="305"/>
      <c r="K18" s="305"/>
      <c r="L18" s="305"/>
      <c r="M18" s="305"/>
      <c r="N18" s="305"/>
      <c r="O18" s="305"/>
      <c r="P18" s="305"/>
      <c r="Q18" s="305"/>
      <c r="R18" s="305"/>
      <c r="S18" s="305"/>
      <c r="T18" s="305"/>
      <c r="U18" s="305"/>
      <c r="V18" s="305"/>
      <c r="W18" s="305"/>
      <c r="X18" s="737">
        <v>0</v>
      </c>
    </row>
    <row r="19" spans="1:24" s="670" customFormat="1" ht="25.5" customHeight="1">
      <c r="A19" s="657" t="s">
        <v>47</v>
      </c>
      <c r="B19" s="705" t="s">
        <v>173</v>
      </c>
      <c r="C19" s="657" t="s">
        <v>160</v>
      </c>
      <c r="D19" s="305">
        <v>0</v>
      </c>
      <c r="E19" s="305">
        <v>0</v>
      </c>
      <c r="F19" s="305">
        <v>0</v>
      </c>
      <c r="G19" s="305">
        <v>0</v>
      </c>
      <c r="H19" s="305">
        <v>0</v>
      </c>
      <c r="I19" s="305">
        <v>0</v>
      </c>
      <c r="J19" s="305">
        <v>0</v>
      </c>
      <c r="K19" s="305">
        <v>0</v>
      </c>
      <c r="L19" s="305">
        <v>0</v>
      </c>
      <c r="M19" s="305">
        <v>0</v>
      </c>
      <c r="N19" s="305">
        <v>0</v>
      </c>
      <c r="O19" s="305">
        <v>0</v>
      </c>
      <c r="P19" s="305">
        <v>0</v>
      </c>
      <c r="Q19" s="305">
        <v>0</v>
      </c>
      <c r="R19" s="305">
        <v>0</v>
      </c>
      <c r="S19" s="305">
        <v>0</v>
      </c>
      <c r="T19" s="305">
        <v>0</v>
      </c>
      <c r="U19" s="305">
        <v>0</v>
      </c>
      <c r="V19" s="305">
        <v>0</v>
      </c>
      <c r="W19" s="305">
        <v>0</v>
      </c>
      <c r="X19" s="737">
        <v>0</v>
      </c>
    </row>
    <row r="20" spans="1:24" s="670" customFormat="1" ht="25.5" customHeight="1">
      <c r="A20" s="657" t="s">
        <v>50</v>
      </c>
      <c r="B20" s="705" t="s">
        <v>174</v>
      </c>
      <c r="C20" s="657" t="s">
        <v>161</v>
      </c>
      <c r="D20" s="305">
        <v>0</v>
      </c>
      <c r="E20" s="305">
        <v>0</v>
      </c>
      <c r="F20" s="305">
        <v>0</v>
      </c>
      <c r="G20" s="305">
        <v>0</v>
      </c>
      <c r="H20" s="305">
        <v>0</v>
      </c>
      <c r="I20" s="305">
        <v>0</v>
      </c>
      <c r="J20" s="305">
        <v>0</v>
      </c>
      <c r="K20" s="305">
        <v>0</v>
      </c>
      <c r="L20" s="305">
        <v>0</v>
      </c>
      <c r="M20" s="305">
        <v>0</v>
      </c>
      <c r="N20" s="305">
        <v>0</v>
      </c>
      <c r="O20" s="305">
        <v>0</v>
      </c>
      <c r="P20" s="305">
        <v>0</v>
      </c>
      <c r="Q20" s="305">
        <v>0</v>
      </c>
      <c r="R20" s="305">
        <v>0</v>
      </c>
      <c r="S20" s="305">
        <v>0</v>
      </c>
      <c r="T20" s="305">
        <v>0</v>
      </c>
      <c r="U20" s="305">
        <v>0</v>
      </c>
      <c r="V20" s="305">
        <v>0</v>
      </c>
      <c r="W20" s="305">
        <v>0</v>
      </c>
      <c r="X20" s="737">
        <v>0</v>
      </c>
    </row>
    <row r="21" spans="1:24" s="670" customFormat="1" ht="25.5" customHeight="1">
      <c r="A21" s="657" t="s">
        <v>53</v>
      </c>
      <c r="B21" s="705" t="s">
        <v>175</v>
      </c>
      <c r="C21" s="657" t="s">
        <v>162</v>
      </c>
      <c r="D21" s="305">
        <v>20.650000000000002</v>
      </c>
      <c r="E21" s="305">
        <v>0</v>
      </c>
      <c r="F21" s="305">
        <v>0</v>
      </c>
      <c r="G21" s="305">
        <v>0.83</v>
      </c>
      <c r="H21" s="305">
        <v>0.73</v>
      </c>
      <c r="I21" s="305">
        <v>12.94</v>
      </c>
      <c r="J21" s="305">
        <v>4.2</v>
      </c>
      <c r="K21" s="305">
        <v>1.78</v>
      </c>
      <c r="L21" s="305">
        <v>0</v>
      </c>
      <c r="M21" s="305">
        <v>0</v>
      </c>
      <c r="N21" s="305">
        <v>0.17</v>
      </c>
      <c r="O21" s="305">
        <v>0</v>
      </c>
      <c r="P21" s="305">
        <v>0</v>
      </c>
      <c r="Q21" s="305">
        <v>0</v>
      </c>
      <c r="R21" s="305">
        <v>0</v>
      </c>
      <c r="S21" s="305">
        <v>0</v>
      </c>
      <c r="T21" s="305">
        <v>0</v>
      </c>
      <c r="U21" s="305">
        <v>0</v>
      </c>
      <c r="V21" s="305">
        <v>0</v>
      </c>
      <c r="W21" s="305">
        <v>0</v>
      </c>
      <c r="X21" s="737">
        <v>20.650000000000002</v>
      </c>
    </row>
    <row r="22" spans="1:24" s="670" customFormat="1" ht="25.5" customHeight="1">
      <c r="A22" s="657" t="s">
        <v>56</v>
      </c>
      <c r="B22" s="705" t="s">
        <v>163</v>
      </c>
      <c r="C22" s="657" t="s">
        <v>164</v>
      </c>
      <c r="D22" s="305">
        <v>0</v>
      </c>
      <c r="E22" s="305">
        <v>0</v>
      </c>
      <c r="F22" s="305">
        <v>0</v>
      </c>
      <c r="G22" s="305">
        <v>0</v>
      </c>
      <c r="H22" s="305">
        <v>0</v>
      </c>
      <c r="I22" s="305">
        <v>0</v>
      </c>
      <c r="J22" s="305">
        <v>0</v>
      </c>
      <c r="K22" s="305">
        <v>0</v>
      </c>
      <c r="L22" s="305">
        <v>0</v>
      </c>
      <c r="M22" s="305">
        <v>0</v>
      </c>
      <c r="N22" s="305">
        <v>0</v>
      </c>
      <c r="O22" s="305">
        <v>0</v>
      </c>
      <c r="P22" s="305">
        <v>0</v>
      </c>
      <c r="Q22" s="305">
        <v>0</v>
      </c>
      <c r="R22" s="305">
        <v>0</v>
      </c>
      <c r="S22" s="305">
        <v>0</v>
      </c>
      <c r="T22" s="305">
        <v>0</v>
      </c>
      <c r="U22" s="305">
        <v>0</v>
      </c>
      <c r="V22" s="305">
        <v>0</v>
      </c>
      <c r="W22" s="305">
        <v>0</v>
      </c>
      <c r="X22" s="737">
        <v>0</v>
      </c>
    </row>
    <row r="23" spans="1:24" s="670" customFormat="1" ht="25.5" customHeight="1">
      <c r="A23" s="657" t="s">
        <v>59</v>
      </c>
      <c r="B23" s="705" t="s">
        <v>176</v>
      </c>
      <c r="C23" s="657" t="s">
        <v>165</v>
      </c>
      <c r="D23" s="305">
        <v>12.739999999999998</v>
      </c>
      <c r="E23" s="305">
        <v>0</v>
      </c>
      <c r="F23" s="305">
        <v>0</v>
      </c>
      <c r="G23" s="305">
        <v>3.34</v>
      </c>
      <c r="H23" s="305">
        <v>0.66</v>
      </c>
      <c r="I23" s="305">
        <v>6.31</v>
      </c>
      <c r="J23" s="305">
        <v>0</v>
      </c>
      <c r="K23" s="305">
        <v>2.1800000000000002</v>
      </c>
      <c r="L23" s="305">
        <v>0</v>
      </c>
      <c r="M23" s="305">
        <v>0</v>
      </c>
      <c r="N23" s="305">
        <v>0.25</v>
      </c>
      <c r="O23" s="305">
        <v>0</v>
      </c>
      <c r="P23" s="305">
        <v>0</v>
      </c>
      <c r="Q23" s="305">
        <v>0</v>
      </c>
      <c r="R23" s="305">
        <v>0</v>
      </c>
      <c r="S23" s="305">
        <v>0</v>
      </c>
      <c r="T23" s="305">
        <v>0</v>
      </c>
      <c r="U23" s="305">
        <v>0</v>
      </c>
      <c r="V23" s="305">
        <v>0</v>
      </c>
      <c r="W23" s="305">
        <v>0</v>
      </c>
      <c r="X23" s="737">
        <v>12.739999999999998</v>
      </c>
    </row>
    <row r="24" spans="1:24" s="670" customFormat="1" ht="25.5" customHeight="1">
      <c r="A24" s="657" t="s">
        <v>62</v>
      </c>
      <c r="B24" s="705" t="s">
        <v>177</v>
      </c>
      <c r="C24" s="657" t="s">
        <v>166</v>
      </c>
      <c r="D24" s="305">
        <v>0</v>
      </c>
      <c r="E24" s="305">
        <v>0</v>
      </c>
      <c r="F24" s="305">
        <v>0</v>
      </c>
      <c r="G24" s="305">
        <v>0</v>
      </c>
      <c r="H24" s="305">
        <v>0</v>
      </c>
      <c r="I24" s="305">
        <v>0</v>
      </c>
      <c r="J24" s="305">
        <v>0</v>
      </c>
      <c r="K24" s="305">
        <v>0</v>
      </c>
      <c r="L24" s="305">
        <v>0</v>
      </c>
      <c r="M24" s="305">
        <v>0</v>
      </c>
      <c r="N24" s="305">
        <v>0</v>
      </c>
      <c r="O24" s="305">
        <v>0</v>
      </c>
      <c r="P24" s="305">
        <v>0</v>
      </c>
      <c r="Q24" s="305">
        <v>0</v>
      </c>
      <c r="R24" s="305">
        <v>0</v>
      </c>
      <c r="S24" s="305">
        <v>0</v>
      </c>
      <c r="T24" s="305">
        <v>0</v>
      </c>
      <c r="U24" s="305">
        <v>0</v>
      </c>
      <c r="V24" s="305">
        <v>0</v>
      </c>
      <c r="W24" s="305">
        <v>0</v>
      </c>
      <c r="X24" s="737">
        <v>0</v>
      </c>
    </row>
    <row r="25" spans="1:24" s="670" customFormat="1" ht="25.5" customHeight="1">
      <c r="A25" s="657" t="s">
        <v>65</v>
      </c>
      <c r="B25" s="705" t="s">
        <v>179</v>
      </c>
      <c r="C25" s="657" t="s">
        <v>167</v>
      </c>
      <c r="D25" s="305">
        <v>0.99</v>
      </c>
      <c r="E25" s="305">
        <v>0</v>
      </c>
      <c r="F25" s="305">
        <v>0</v>
      </c>
      <c r="G25" s="305">
        <v>0.78</v>
      </c>
      <c r="H25" s="305">
        <v>0</v>
      </c>
      <c r="I25" s="305">
        <v>0</v>
      </c>
      <c r="J25" s="305">
        <v>0</v>
      </c>
      <c r="K25" s="305">
        <v>0</v>
      </c>
      <c r="L25" s="305">
        <v>0</v>
      </c>
      <c r="M25" s="305">
        <v>0</v>
      </c>
      <c r="N25" s="305">
        <v>0</v>
      </c>
      <c r="O25" s="305">
        <v>0</v>
      </c>
      <c r="P25" s="305">
        <v>0</v>
      </c>
      <c r="Q25" s="305">
        <v>0</v>
      </c>
      <c r="R25" s="305">
        <v>0</v>
      </c>
      <c r="S25" s="305">
        <v>0.21</v>
      </c>
      <c r="T25" s="305">
        <v>0</v>
      </c>
      <c r="U25" s="305">
        <v>0</v>
      </c>
      <c r="V25" s="305">
        <v>0</v>
      </c>
      <c r="W25" s="305">
        <v>0</v>
      </c>
      <c r="X25" s="737">
        <v>0.99</v>
      </c>
    </row>
    <row r="26" spans="1:24" s="670" customFormat="1" ht="25.5" customHeight="1">
      <c r="A26" s="657" t="s">
        <v>68</v>
      </c>
      <c r="B26" s="705" t="s">
        <v>180</v>
      </c>
      <c r="C26" s="657" t="s">
        <v>168</v>
      </c>
      <c r="D26" s="305">
        <v>0</v>
      </c>
      <c r="E26" s="305">
        <v>0</v>
      </c>
      <c r="F26" s="305">
        <v>0</v>
      </c>
      <c r="G26" s="305">
        <v>0</v>
      </c>
      <c r="H26" s="305">
        <v>0</v>
      </c>
      <c r="I26" s="305">
        <v>0</v>
      </c>
      <c r="J26" s="305">
        <v>0</v>
      </c>
      <c r="K26" s="305">
        <v>0</v>
      </c>
      <c r="L26" s="305">
        <v>0</v>
      </c>
      <c r="M26" s="305">
        <v>0</v>
      </c>
      <c r="N26" s="305">
        <v>0</v>
      </c>
      <c r="O26" s="305">
        <v>0</v>
      </c>
      <c r="P26" s="305">
        <v>0</v>
      </c>
      <c r="Q26" s="305">
        <v>0</v>
      </c>
      <c r="R26" s="305">
        <v>0</v>
      </c>
      <c r="S26" s="305">
        <v>0</v>
      </c>
      <c r="T26" s="305">
        <v>0</v>
      </c>
      <c r="U26" s="305">
        <v>0</v>
      </c>
      <c r="V26" s="305">
        <v>0</v>
      </c>
      <c r="W26" s="305">
        <v>0</v>
      </c>
      <c r="X26" s="737">
        <v>0</v>
      </c>
    </row>
    <row r="27" spans="1:24" s="670" customFormat="1" ht="25.5" customHeight="1">
      <c r="A27" s="657" t="s">
        <v>71</v>
      </c>
      <c r="B27" s="705" t="s">
        <v>181</v>
      </c>
      <c r="C27" s="657" t="s">
        <v>169</v>
      </c>
      <c r="D27" s="305">
        <v>10.130000000000001</v>
      </c>
      <c r="E27" s="305">
        <v>0</v>
      </c>
      <c r="F27" s="305">
        <v>0</v>
      </c>
      <c r="G27" s="305">
        <v>0.28999999999999998</v>
      </c>
      <c r="H27" s="305">
        <v>0</v>
      </c>
      <c r="I27" s="305">
        <v>4.76</v>
      </c>
      <c r="J27" s="305">
        <v>0</v>
      </c>
      <c r="K27" s="305">
        <v>0</v>
      </c>
      <c r="L27" s="305">
        <v>4.5599999999999996</v>
      </c>
      <c r="M27" s="305">
        <v>0</v>
      </c>
      <c r="N27" s="305">
        <v>0.22</v>
      </c>
      <c r="O27" s="305">
        <v>0</v>
      </c>
      <c r="P27" s="305">
        <v>0.3</v>
      </c>
      <c r="Q27" s="305">
        <v>0</v>
      </c>
      <c r="R27" s="305">
        <v>0</v>
      </c>
      <c r="S27" s="305">
        <v>0</v>
      </c>
      <c r="T27" s="305">
        <v>0</v>
      </c>
      <c r="U27" s="305">
        <v>0</v>
      </c>
      <c r="V27" s="305">
        <v>0</v>
      </c>
      <c r="W27" s="305">
        <v>0</v>
      </c>
      <c r="X27" s="737">
        <v>10.130000000000001</v>
      </c>
    </row>
    <row r="28" spans="1:24" s="698" customFormat="1" ht="25.5" customHeight="1">
      <c r="A28" s="706">
        <v>3</v>
      </c>
      <c r="B28" s="707" t="s">
        <v>178</v>
      </c>
      <c r="C28" s="706" t="s">
        <v>170</v>
      </c>
      <c r="D28" s="708">
        <v>5.7899999999999867</v>
      </c>
      <c r="E28" s="708">
        <v>0.36999999999999922</v>
      </c>
      <c r="F28" s="708">
        <v>0.15000000000000036</v>
      </c>
      <c r="G28" s="708">
        <v>0</v>
      </c>
      <c r="H28" s="708">
        <v>4.9999999999997158E-2</v>
      </c>
      <c r="I28" s="708">
        <v>0.89999999999999858</v>
      </c>
      <c r="J28" s="708">
        <v>0.43000000000000682</v>
      </c>
      <c r="K28" s="708">
        <v>0.14999999999999858</v>
      </c>
      <c r="L28" s="708">
        <v>0</v>
      </c>
      <c r="M28" s="708">
        <v>3.9999999999999147E-2</v>
      </c>
      <c r="N28" s="708">
        <v>0.92000000000000171</v>
      </c>
      <c r="O28" s="708">
        <v>0</v>
      </c>
      <c r="P28" s="708">
        <v>0.84999999999999432</v>
      </c>
      <c r="Q28" s="708">
        <v>0.46000000000000085</v>
      </c>
      <c r="R28" s="708">
        <v>4.9999999999998934E-2</v>
      </c>
      <c r="S28" s="708">
        <v>1.1299999999999955</v>
      </c>
      <c r="T28" s="708">
        <v>4.9999999999997158E-2</v>
      </c>
      <c r="U28" s="708">
        <v>0.23999999999999844</v>
      </c>
      <c r="V28" s="708">
        <v>0</v>
      </c>
      <c r="W28" s="708">
        <v>0</v>
      </c>
      <c r="X28" s="737">
        <v>5.7899999999999867</v>
      </c>
    </row>
    <row r="29" spans="1:24" s="670" customFormat="1" ht="27" customHeight="1"/>
  </sheetData>
  <mergeCells count="8">
    <mergeCell ref="E4:W4"/>
    <mergeCell ref="D4:D5"/>
    <mergeCell ref="V3:W3"/>
    <mergeCell ref="A1:B1"/>
    <mergeCell ref="A4:A5"/>
    <mergeCell ref="B4:B5"/>
    <mergeCell ref="C4:C5"/>
    <mergeCell ref="A2:W2"/>
  </mergeCells>
  <phoneticPr fontId="4" type="noConversion"/>
  <printOptions horizontalCentered="1"/>
  <pageMargins left="0.1" right="0.1" top="0.9" bottom="0" header="0.5" footer="0.5"/>
  <pageSetup paperSize="9" scale="75"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V47"/>
  <sheetViews>
    <sheetView showZeros="0" workbookViewId="0">
      <selection activeCell="N18" sqref="N18"/>
    </sheetView>
  </sheetViews>
  <sheetFormatPr defaultRowHeight="12.75"/>
  <cols>
    <col min="1" max="1" width="6.140625" customWidth="1"/>
    <col min="2" max="2" width="32" customWidth="1"/>
    <col min="3" max="3" width="8.28515625" style="670" customWidth="1"/>
    <col min="4" max="4" width="9.28515625" style="670" customWidth="1"/>
    <col min="5" max="21" width="7.28515625" style="670" customWidth="1"/>
  </cols>
  <sheetData>
    <row r="2" spans="1:21" ht="15.75">
      <c r="A2" s="1303" t="s">
        <v>1000</v>
      </c>
      <c r="B2" s="1303"/>
    </row>
    <row r="3" spans="1:21" ht="18.75">
      <c r="A3" s="1314" t="s">
        <v>999</v>
      </c>
      <c r="B3" s="1314"/>
      <c r="C3" s="1314"/>
      <c r="D3" s="1314"/>
      <c r="E3" s="1314"/>
      <c r="F3" s="1314"/>
      <c r="G3" s="1314"/>
      <c r="H3" s="1314"/>
      <c r="I3" s="1314"/>
      <c r="J3" s="1314"/>
      <c r="K3" s="1314"/>
      <c r="L3" s="1314"/>
      <c r="M3" s="1314"/>
      <c r="N3" s="1314"/>
      <c r="O3" s="1314"/>
      <c r="P3" s="1314"/>
      <c r="Q3" s="1314"/>
      <c r="R3" s="1314"/>
      <c r="S3" s="1314"/>
      <c r="T3" s="1314"/>
      <c r="U3" s="1314"/>
    </row>
    <row r="4" spans="1:21">
      <c r="A4" s="663"/>
      <c r="B4" s="663"/>
      <c r="D4" s="671"/>
    </row>
    <row r="5" spans="1:21">
      <c r="A5" s="1315" t="s">
        <v>0</v>
      </c>
      <c r="B5" s="1315" t="s">
        <v>12</v>
      </c>
      <c r="C5" s="1315" t="s">
        <v>13</v>
      </c>
      <c r="D5" s="1315" t="s">
        <v>131</v>
      </c>
      <c r="E5" s="1315" t="s">
        <v>147</v>
      </c>
      <c r="F5" s="1315"/>
      <c r="G5" s="1315"/>
      <c r="H5" s="1315"/>
      <c r="I5" s="1315"/>
      <c r="J5" s="1315"/>
      <c r="K5" s="1315"/>
      <c r="L5" s="1315"/>
      <c r="M5" s="1315"/>
      <c r="N5" s="1315"/>
      <c r="O5" s="1315"/>
      <c r="P5" s="1315"/>
      <c r="Q5" s="1315"/>
      <c r="R5" s="1315"/>
      <c r="S5" s="1315"/>
      <c r="T5" s="1315"/>
      <c r="U5" s="1315"/>
    </row>
    <row r="6" spans="1:21" ht="28.5" customHeight="1">
      <c r="A6" s="1315"/>
      <c r="B6" s="1315"/>
      <c r="C6" s="1315"/>
      <c r="D6" s="1315"/>
      <c r="E6" s="710" t="s">
        <v>725</v>
      </c>
      <c r="F6" s="710" t="s">
        <v>726</v>
      </c>
      <c r="G6" s="710" t="s">
        <v>727</v>
      </c>
      <c r="H6" s="710" t="s">
        <v>728</v>
      </c>
      <c r="I6" s="710" t="s">
        <v>729</v>
      </c>
      <c r="J6" s="710" t="s">
        <v>730</v>
      </c>
      <c r="K6" s="710" t="s">
        <v>731</v>
      </c>
      <c r="L6" s="710" t="s">
        <v>732</v>
      </c>
      <c r="M6" s="710" t="s">
        <v>733</v>
      </c>
      <c r="N6" s="710" t="s">
        <v>734</v>
      </c>
      <c r="O6" s="710" t="s">
        <v>735</v>
      </c>
      <c r="P6" s="710" t="s">
        <v>736</v>
      </c>
      <c r="Q6" s="710" t="s">
        <v>737</v>
      </c>
      <c r="R6" s="710" t="s">
        <v>738</v>
      </c>
      <c r="S6" s="710" t="s">
        <v>739</v>
      </c>
      <c r="T6" s="710" t="s">
        <v>740</v>
      </c>
      <c r="U6" s="710" t="s">
        <v>741</v>
      </c>
    </row>
    <row r="7" spans="1:21" s="972" customFormat="1">
      <c r="A7" s="712">
        <v>1</v>
      </c>
      <c r="B7" s="713" t="s">
        <v>14</v>
      </c>
      <c r="C7" s="712" t="s">
        <v>15</v>
      </c>
      <c r="D7" s="714">
        <v>915.6400000000001</v>
      </c>
      <c r="E7" s="714">
        <v>2.62</v>
      </c>
      <c r="F7" s="714">
        <v>6.54</v>
      </c>
      <c r="G7" s="714">
        <v>296.30000000000007</v>
      </c>
      <c r="H7" s="714">
        <v>12.7</v>
      </c>
      <c r="I7" s="714">
        <v>17.009999999999998</v>
      </c>
      <c r="J7" s="714">
        <v>14.310000000000002</v>
      </c>
      <c r="K7" s="714">
        <v>12.66</v>
      </c>
      <c r="L7" s="714">
        <v>0.37000000000000005</v>
      </c>
      <c r="M7" s="714">
        <v>2.0700000000000003</v>
      </c>
      <c r="N7" s="714">
        <v>156.09</v>
      </c>
      <c r="O7" s="714">
        <v>0</v>
      </c>
      <c r="P7" s="714">
        <v>23.72</v>
      </c>
      <c r="Q7" s="714">
        <v>0</v>
      </c>
      <c r="R7" s="714">
        <v>0</v>
      </c>
      <c r="S7" s="714">
        <v>370.01000000000005</v>
      </c>
      <c r="T7" s="714">
        <v>1.22</v>
      </c>
      <c r="U7" s="714">
        <v>0.02</v>
      </c>
    </row>
    <row r="8" spans="1:21" ht="15" customHeight="1">
      <c r="A8" s="715" t="s">
        <v>16</v>
      </c>
      <c r="B8" s="716" t="s">
        <v>17</v>
      </c>
      <c r="C8" s="715" t="s">
        <v>18</v>
      </c>
      <c r="D8" s="722">
        <v>146.87000000000003</v>
      </c>
      <c r="E8" s="717">
        <v>0.91</v>
      </c>
      <c r="F8" s="717">
        <v>7.0000000000000007E-2</v>
      </c>
      <c r="G8" s="717">
        <v>3.3299999999999996</v>
      </c>
      <c r="H8" s="717">
        <v>0</v>
      </c>
      <c r="I8" s="717">
        <v>1.69</v>
      </c>
      <c r="J8" s="717">
        <v>8.26</v>
      </c>
      <c r="K8" s="717">
        <v>3.7</v>
      </c>
      <c r="L8" s="717">
        <v>0.3</v>
      </c>
      <c r="M8" s="717">
        <v>0.95000000000000007</v>
      </c>
      <c r="N8" s="717">
        <v>20.229999999999997</v>
      </c>
      <c r="O8" s="717">
        <v>0</v>
      </c>
      <c r="P8" s="717">
        <v>18.59</v>
      </c>
      <c r="Q8" s="717"/>
      <c r="R8" s="717"/>
      <c r="S8" s="717">
        <v>88.820000000000007</v>
      </c>
      <c r="T8" s="717">
        <v>0</v>
      </c>
      <c r="U8" s="717">
        <v>0.02</v>
      </c>
    </row>
    <row r="9" spans="1:21" ht="16.5" customHeight="1">
      <c r="A9" s="715"/>
      <c r="B9" s="716" t="s">
        <v>19</v>
      </c>
      <c r="C9" s="715" t="s">
        <v>20</v>
      </c>
      <c r="D9" s="722">
        <v>120.32000000000001</v>
      </c>
      <c r="E9" s="717">
        <v>0</v>
      </c>
      <c r="F9" s="717">
        <v>0</v>
      </c>
      <c r="G9" s="717">
        <v>0.03</v>
      </c>
      <c r="H9" s="717">
        <v>0</v>
      </c>
      <c r="I9" s="717">
        <v>1.45</v>
      </c>
      <c r="J9" s="717">
        <v>6.97</v>
      </c>
      <c r="K9" s="717">
        <v>3.33</v>
      </c>
      <c r="L9" s="717">
        <v>0.3</v>
      </c>
      <c r="M9" s="717">
        <v>0.03</v>
      </c>
      <c r="N9" s="717">
        <v>8.2099999999999991</v>
      </c>
      <c r="O9" s="717">
        <v>0</v>
      </c>
      <c r="P9" s="717">
        <v>11.18</v>
      </c>
      <c r="Q9" s="717"/>
      <c r="R9" s="717"/>
      <c r="S9" s="717">
        <v>88.820000000000007</v>
      </c>
      <c r="T9" s="717">
        <v>0</v>
      </c>
      <c r="U9" s="717">
        <v>0</v>
      </c>
    </row>
    <row r="10" spans="1:21">
      <c r="A10" s="715" t="s">
        <v>21</v>
      </c>
      <c r="B10" s="716" t="s">
        <v>22</v>
      </c>
      <c r="C10" s="715" t="s">
        <v>23</v>
      </c>
      <c r="D10" s="722">
        <v>24.729999999999997</v>
      </c>
      <c r="E10" s="717">
        <v>0</v>
      </c>
      <c r="F10" s="717">
        <v>0</v>
      </c>
      <c r="G10" s="717">
        <v>0.47</v>
      </c>
      <c r="H10" s="717">
        <v>0.63</v>
      </c>
      <c r="I10" s="717">
        <v>0.42000000000000004</v>
      </c>
      <c r="J10" s="717">
        <v>0.69000000000000006</v>
      </c>
      <c r="K10" s="717">
        <v>1.44</v>
      </c>
      <c r="L10" s="717">
        <v>0.01</v>
      </c>
      <c r="M10" s="717">
        <v>0.62000000000000011</v>
      </c>
      <c r="N10" s="717">
        <v>15.77</v>
      </c>
      <c r="O10" s="717">
        <v>0</v>
      </c>
      <c r="P10" s="717">
        <v>3.5300000000000002</v>
      </c>
      <c r="Q10" s="717"/>
      <c r="R10" s="717"/>
      <c r="S10" s="717">
        <v>1.1499999999999999</v>
      </c>
      <c r="T10" s="717">
        <v>0</v>
      </c>
      <c r="U10" s="717">
        <v>0</v>
      </c>
    </row>
    <row r="11" spans="1:21">
      <c r="A11" s="715" t="s">
        <v>24</v>
      </c>
      <c r="B11" s="716" t="s">
        <v>25</v>
      </c>
      <c r="C11" s="715" t="s">
        <v>26</v>
      </c>
      <c r="D11" s="722">
        <v>85.309999999999988</v>
      </c>
      <c r="E11" s="717">
        <v>7.0000000000000007E-2</v>
      </c>
      <c r="F11" s="717">
        <v>0</v>
      </c>
      <c r="G11" s="717">
        <v>0.36000000000000004</v>
      </c>
      <c r="H11" s="717">
        <v>0.59999999999999987</v>
      </c>
      <c r="I11" s="717">
        <v>0</v>
      </c>
      <c r="J11" s="717">
        <v>0.96</v>
      </c>
      <c r="K11" s="717">
        <v>0.26</v>
      </c>
      <c r="L11" s="717">
        <v>4.0000000000000036E-2</v>
      </c>
      <c r="M11" s="717">
        <v>0.5</v>
      </c>
      <c r="N11" s="717">
        <v>15.620000000000001</v>
      </c>
      <c r="O11" s="717">
        <v>0</v>
      </c>
      <c r="P11" s="717">
        <v>0.19999999999999996</v>
      </c>
      <c r="Q11" s="717">
        <v>0</v>
      </c>
      <c r="R11" s="717"/>
      <c r="S11" s="717">
        <v>66.699999999999989</v>
      </c>
      <c r="T11" s="717">
        <v>0</v>
      </c>
      <c r="U11" s="717">
        <v>0</v>
      </c>
    </row>
    <row r="12" spans="1:21">
      <c r="A12" s="715" t="s">
        <v>27</v>
      </c>
      <c r="B12" s="716" t="s">
        <v>28</v>
      </c>
      <c r="C12" s="715" t="s">
        <v>29</v>
      </c>
      <c r="D12" s="722">
        <v>70.94</v>
      </c>
      <c r="E12" s="717">
        <v>0</v>
      </c>
      <c r="F12" s="717">
        <v>0</v>
      </c>
      <c r="G12" s="717">
        <v>18.34</v>
      </c>
      <c r="H12" s="717">
        <v>4.55</v>
      </c>
      <c r="I12" s="717">
        <v>7.68</v>
      </c>
      <c r="J12" s="717">
        <v>0</v>
      </c>
      <c r="K12" s="717">
        <v>5.6099999999999994</v>
      </c>
      <c r="L12" s="717">
        <v>0</v>
      </c>
      <c r="M12" s="717">
        <v>0</v>
      </c>
      <c r="N12" s="717">
        <v>10.19</v>
      </c>
      <c r="O12" s="717">
        <v>0</v>
      </c>
      <c r="P12" s="717">
        <v>0</v>
      </c>
      <c r="Q12" s="717"/>
      <c r="R12" s="717"/>
      <c r="S12" s="717">
        <v>23.35</v>
      </c>
      <c r="T12" s="717">
        <v>1.22</v>
      </c>
      <c r="U12" s="717">
        <v>0</v>
      </c>
    </row>
    <row r="13" spans="1:21">
      <c r="A13" s="715" t="s">
        <v>30</v>
      </c>
      <c r="B13" s="716" t="s">
        <v>31</v>
      </c>
      <c r="C13" s="715" t="s">
        <v>32</v>
      </c>
      <c r="D13" s="722">
        <v>0</v>
      </c>
      <c r="E13" s="717"/>
      <c r="F13" s="717"/>
      <c r="G13" s="717"/>
      <c r="H13" s="717"/>
      <c r="I13" s="717"/>
      <c r="J13" s="717"/>
      <c r="K13" s="717"/>
      <c r="L13" s="717"/>
      <c r="M13" s="717"/>
      <c r="N13" s="717"/>
      <c r="O13" s="717"/>
      <c r="P13" s="717"/>
      <c r="Q13" s="717"/>
      <c r="R13" s="717"/>
      <c r="S13" s="717"/>
      <c r="T13" s="717"/>
      <c r="U13" s="717"/>
    </row>
    <row r="14" spans="1:21">
      <c r="A14" s="715" t="s">
        <v>33</v>
      </c>
      <c r="B14" s="716" t="s">
        <v>34</v>
      </c>
      <c r="C14" s="715" t="s">
        <v>35</v>
      </c>
      <c r="D14" s="722">
        <v>372.71000000000009</v>
      </c>
      <c r="E14" s="717">
        <v>1.6400000000000001</v>
      </c>
      <c r="F14" s="717">
        <v>6.47</v>
      </c>
      <c r="G14" s="717">
        <v>269.40000000000003</v>
      </c>
      <c r="H14" s="717">
        <v>4.47</v>
      </c>
      <c r="I14" s="717">
        <v>5.98</v>
      </c>
      <c r="J14" s="717">
        <v>0</v>
      </c>
      <c r="K14" s="717">
        <v>0</v>
      </c>
      <c r="L14" s="717">
        <v>0.02</v>
      </c>
      <c r="M14" s="717">
        <v>0</v>
      </c>
      <c r="N14" s="717">
        <v>84.13000000000001</v>
      </c>
      <c r="O14" s="717">
        <v>0</v>
      </c>
      <c r="P14" s="717">
        <v>0.6</v>
      </c>
      <c r="Q14" s="717"/>
      <c r="R14" s="717"/>
      <c r="S14" s="717">
        <v>0</v>
      </c>
      <c r="T14" s="717">
        <v>0</v>
      </c>
      <c r="U14" s="717">
        <v>0</v>
      </c>
    </row>
    <row r="15" spans="1:21">
      <c r="A15" s="715" t="s">
        <v>36</v>
      </c>
      <c r="B15" s="716" t="s">
        <v>37</v>
      </c>
      <c r="C15" s="715" t="s">
        <v>38</v>
      </c>
      <c r="D15" s="722">
        <v>215.08</v>
      </c>
      <c r="E15" s="717">
        <v>0</v>
      </c>
      <c r="F15" s="717">
        <v>0</v>
      </c>
      <c r="G15" s="717">
        <v>4.4000000000000004</v>
      </c>
      <c r="H15" s="717">
        <v>2.4500000000000002</v>
      </c>
      <c r="I15" s="717">
        <v>1.24</v>
      </c>
      <c r="J15" s="717">
        <v>4.4000000000000004</v>
      </c>
      <c r="K15" s="717">
        <v>1.65</v>
      </c>
      <c r="L15" s="717">
        <v>0</v>
      </c>
      <c r="M15" s="717">
        <v>0</v>
      </c>
      <c r="N15" s="717">
        <v>10.149999999999997</v>
      </c>
      <c r="O15" s="717">
        <v>0</v>
      </c>
      <c r="P15" s="717">
        <v>0.8</v>
      </c>
      <c r="Q15" s="717"/>
      <c r="R15" s="717"/>
      <c r="S15" s="717">
        <v>189.99</v>
      </c>
      <c r="T15" s="717">
        <v>0</v>
      </c>
      <c r="U15" s="717">
        <v>0</v>
      </c>
    </row>
    <row r="16" spans="1:21">
      <c r="A16" s="715" t="s">
        <v>39</v>
      </c>
      <c r="B16" s="716" t="s">
        <v>40</v>
      </c>
      <c r="C16" s="715" t="s">
        <v>41</v>
      </c>
      <c r="D16" s="722">
        <v>0</v>
      </c>
      <c r="E16" s="717"/>
      <c r="F16" s="717"/>
      <c r="G16" s="717"/>
      <c r="H16" s="717"/>
      <c r="I16" s="717"/>
      <c r="J16" s="717"/>
      <c r="K16" s="717"/>
      <c r="L16" s="717"/>
      <c r="M16" s="717"/>
      <c r="N16" s="717"/>
      <c r="O16" s="717"/>
      <c r="P16" s="717"/>
      <c r="Q16" s="717"/>
      <c r="R16" s="717"/>
      <c r="S16" s="717"/>
      <c r="T16" s="717"/>
      <c r="U16" s="717"/>
    </row>
    <row r="17" spans="1:22">
      <c r="A17" s="715" t="s">
        <v>42</v>
      </c>
      <c r="B17" s="716" t="s">
        <v>43</v>
      </c>
      <c r="C17" s="715" t="s">
        <v>44</v>
      </c>
      <c r="D17" s="722">
        <v>0</v>
      </c>
      <c r="E17" s="717">
        <v>0</v>
      </c>
      <c r="F17" s="717">
        <v>0</v>
      </c>
      <c r="G17" s="717">
        <v>0</v>
      </c>
      <c r="H17" s="717">
        <v>0</v>
      </c>
      <c r="I17" s="717">
        <v>0</v>
      </c>
      <c r="J17" s="717">
        <v>0</v>
      </c>
      <c r="K17" s="717">
        <v>0</v>
      </c>
      <c r="L17" s="717">
        <v>0</v>
      </c>
      <c r="M17" s="717">
        <v>0</v>
      </c>
      <c r="N17" s="717">
        <v>0</v>
      </c>
      <c r="O17" s="717">
        <v>0</v>
      </c>
      <c r="P17" s="717">
        <v>0</v>
      </c>
      <c r="Q17" s="717"/>
      <c r="R17" s="717"/>
      <c r="S17" s="717">
        <v>0</v>
      </c>
      <c r="T17" s="717"/>
      <c r="U17" s="717"/>
    </row>
    <row r="18" spans="1:22" s="972" customFormat="1">
      <c r="A18" s="718">
        <v>2</v>
      </c>
      <c r="B18" s="719" t="s">
        <v>45</v>
      </c>
      <c r="C18" s="718" t="s">
        <v>46</v>
      </c>
      <c r="D18" s="714">
        <v>50.96</v>
      </c>
      <c r="E18" s="714">
        <v>0.57999999999999996</v>
      </c>
      <c r="F18" s="714">
        <v>0</v>
      </c>
      <c r="G18" s="714">
        <v>0.32</v>
      </c>
      <c r="H18" s="714">
        <v>0</v>
      </c>
      <c r="I18" s="714">
        <v>0.14000000000000001</v>
      </c>
      <c r="J18" s="714">
        <v>0.23</v>
      </c>
      <c r="K18" s="714">
        <v>5.2200000000000006</v>
      </c>
      <c r="L18" s="714">
        <v>0.05</v>
      </c>
      <c r="M18" s="714">
        <v>0.1</v>
      </c>
      <c r="N18" s="714">
        <v>4.18</v>
      </c>
      <c r="O18" s="714">
        <v>0</v>
      </c>
      <c r="P18" s="714">
        <v>2.2699999999999996</v>
      </c>
      <c r="Q18" s="714">
        <v>0</v>
      </c>
      <c r="R18" s="714">
        <v>0</v>
      </c>
      <c r="S18" s="714">
        <v>34.430000000000007</v>
      </c>
      <c r="T18" s="714">
        <v>3.44</v>
      </c>
      <c r="U18" s="714">
        <v>0</v>
      </c>
      <c r="V18" s="971">
        <v>50.960000000000008</v>
      </c>
    </row>
    <row r="19" spans="1:22">
      <c r="A19" s="715" t="s">
        <v>47</v>
      </c>
      <c r="B19" s="716" t="s">
        <v>48</v>
      </c>
      <c r="C19" s="715" t="s">
        <v>49</v>
      </c>
      <c r="D19" s="722">
        <v>5.86</v>
      </c>
      <c r="E19" s="717">
        <v>0</v>
      </c>
      <c r="F19" s="717">
        <v>0</v>
      </c>
      <c r="G19" s="717">
        <v>0</v>
      </c>
      <c r="H19" s="717">
        <v>0</v>
      </c>
      <c r="I19" s="717">
        <v>0</v>
      </c>
      <c r="J19" s="717">
        <v>0</v>
      </c>
      <c r="K19" s="717">
        <v>0</v>
      </c>
      <c r="L19" s="717">
        <v>0</v>
      </c>
      <c r="M19" s="717">
        <v>0</v>
      </c>
      <c r="N19" s="717">
        <v>0</v>
      </c>
      <c r="O19" s="717">
        <v>0</v>
      </c>
      <c r="P19" s="717">
        <v>0</v>
      </c>
      <c r="Q19" s="717">
        <v>0</v>
      </c>
      <c r="R19" s="717">
        <v>0</v>
      </c>
      <c r="S19" s="717">
        <v>5.86</v>
      </c>
      <c r="T19" s="717">
        <v>0</v>
      </c>
      <c r="U19" s="717">
        <v>0</v>
      </c>
    </row>
    <row r="20" spans="1:22">
      <c r="A20" s="715" t="s">
        <v>50</v>
      </c>
      <c r="B20" s="716" t="s">
        <v>51</v>
      </c>
      <c r="C20" s="715" t="s">
        <v>52</v>
      </c>
      <c r="D20" s="722">
        <v>0</v>
      </c>
      <c r="E20" s="717">
        <v>0</v>
      </c>
      <c r="F20" s="717">
        <v>0</v>
      </c>
      <c r="G20" s="717">
        <v>0</v>
      </c>
      <c r="H20" s="717">
        <v>0</v>
      </c>
      <c r="I20" s="717">
        <v>0</v>
      </c>
      <c r="J20" s="717">
        <v>0</v>
      </c>
      <c r="K20" s="717">
        <v>0</v>
      </c>
      <c r="L20" s="717">
        <v>0</v>
      </c>
      <c r="M20" s="717">
        <v>0</v>
      </c>
      <c r="N20" s="717">
        <v>0</v>
      </c>
      <c r="O20" s="717">
        <v>0</v>
      </c>
      <c r="P20" s="717">
        <v>0</v>
      </c>
      <c r="Q20" s="717">
        <v>0</v>
      </c>
      <c r="R20" s="717">
        <v>0</v>
      </c>
      <c r="S20" s="717">
        <v>0</v>
      </c>
      <c r="T20" s="717">
        <v>0</v>
      </c>
      <c r="U20" s="717">
        <v>0</v>
      </c>
    </row>
    <row r="21" spans="1:22">
      <c r="A21" s="715" t="s">
        <v>53</v>
      </c>
      <c r="B21" s="716" t="s">
        <v>54</v>
      </c>
      <c r="C21" s="715" t="s">
        <v>55</v>
      </c>
      <c r="D21" s="722">
        <v>0</v>
      </c>
      <c r="E21" s="717">
        <v>0</v>
      </c>
      <c r="F21" s="717"/>
      <c r="G21" s="717">
        <v>0</v>
      </c>
      <c r="H21" s="717">
        <v>0</v>
      </c>
      <c r="I21" s="717">
        <v>0</v>
      </c>
      <c r="J21" s="717">
        <v>0</v>
      </c>
      <c r="K21" s="717">
        <v>0</v>
      </c>
      <c r="L21" s="717"/>
      <c r="M21" s="717"/>
      <c r="N21" s="717">
        <v>0</v>
      </c>
      <c r="O21" s="717">
        <v>0</v>
      </c>
      <c r="P21" s="717">
        <v>0</v>
      </c>
      <c r="Q21" s="717"/>
      <c r="R21" s="717"/>
      <c r="S21" s="717"/>
      <c r="T21" s="717"/>
      <c r="U21" s="717"/>
    </row>
    <row r="22" spans="1:22">
      <c r="A22" s="715" t="s">
        <v>56</v>
      </c>
      <c r="B22" s="716" t="s">
        <v>57</v>
      </c>
      <c r="C22" s="715" t="s">
        <v>58</v>
      </c>
      <c r="D22" s="722">
        <v>0</v>
      </c>
      <c r="E22" s="717"/>
      <c r="F22" s="717"/>
      <c r="G22" s="717"/>
      <c r="H22" s="717"/>
      <c r="I22" s="717"/>
      <c r="J22" s="717"/>
      <c r="K22" s="717">
        <v>0</v>
      </c>
      <c r="L22" s="717"/>
      <c r="M22" s="717"/>
      <c r="N22" s="717">
        <v>0</v>
      </c>
      <c r="O22" s="717"/>
      <c r="P22" s="717"/>
      <c r="Q22" s="717"/>
      <c r="R22" s="717"/>
      <c r="S22" s="717"/>
      <c r="T22" s="717"/>
      <c r="U22" s="717"/>
    </row>
    <row r="23" spans="1:22">
      <c r="A23" s="715" t="s">
        <v>59</v>
      </c>
      <c r="B23" s="716" t="s">
        <v>60</v>
      </c>
      <c r="C23" s="715" t="s">
        <v>61</v>
      </c>
      <c r="D23" s="722">
        <v>0</v>
      </c>
      <c r="E23" s="717">
        <v>0</v>
      </c>
      <c r="F23" s="717">
        <v>0</v>
      </c>
      <c r="G23" s="717">
        <v>0</v>
      </c>
      <c r="H23" s="717">
        <v>0</v>
      </c>
      <c r="I23" s="717">
        <v>0</v>
      </c>
      <c r="J23" s="717">
        <v>0</v>
      </c>
      <c r="K23" s="717">
        <v>0</v>
      </c>
      <c r="L23" s="717">
        <v>0</v>
      </c>
      <c r="M23" s="717">
        <v>0</v>
      </c>
      <c r="N23" s="717">
        <v>0</v>
      </c>
      <c r="O23" s="717">
        <v>0</v>
      </c>
      <c r="P23" s="717"/>
      <c r="Q23" s="717"/>
      <c r="R23" s="717"/>
      <c r="S23" s="717"/>
      <c r="T23" s="717"/>
      <c r="U23" s="717"/>
    </row>
    <row r="24" spans="1:22">
      <c r="A24" s="715" t="s">
        <v>62</v>
      </c>
      <c r="B24" s="716" t="s">
        <v>63</v>
      </c>
      <c r="C24" s="715" t="s">
        <v>64</v>
      </c>
      <c r="D24" s="722">
        <v>3.4699999999999998</v>
      </c>
      <c r="E24" s="717">
        <v>0</v>
      </c>
      <c r="F24" s="717">
        <v>0</v>
      </c>
      <c r="G24" s="717">
        <v>0</v>
      </c>
      <c r="H24" s="717">
        <v>0</v>
      </c>
      <c r="I24" s="717">
        <v>0</v>
      </c>
      <c r="J24" s="717">
        <v>0</v>
      </c>
      <c r="K24" s="717">
        <v>0</v>
      </c>
      <c r="L24" s="717">
        <v>0</v>
      </c>
      <c r="M24" s="717">
        <v>0</v>
      </c>
      <c r="N24" s="717">
        <v>0</v>
      </c>
      <c r="O24" s="717">
        <v>0</v>
      </c>
      <c r="P24" s="717">
        <v>0.08</v>
      </c>
      <c r="Q24" s="717">
        <v>0</v>
      </c>
      <c r="R24" s="717">
        <v>0</v>
      </c>
      <c r="S24" s="717">
        <v>0.13</v>
      </c>
      <c r="T24" s="717">
        <v>3.26</v>
      </c>
      <c r="U24" s="717">
        <v>0</v>
      </c>
    </row>
    <row r="25" spans="1:22" ht="17.25" customHeight="1">
      <c r="A25" s="715" t="s">
        <v>65</v>
      </c>
      <c r="B25" s="716" t="s">
        <v>66</v>
      </c>
      <c r="C25" s="715" t="s">
        <v>67</v>
      </c>
      <c r="D25" s="722">
        <v>5.8900000000000006</v>
      </c>
      <c r="E25" s="717">
        <v>0</v>
      </c>
      <c r="F25" s="717">
        <v>0</v>
      </c>
      <c r="G25" s="717">
        <v>0</v>
      </c>
      <c r="H25" s="717">
        <v>0</v>
      </c>
      <c r="I25" s="717">
        <v>0</v>
      </c>
      <c r="J25" s="717">
        <v>0</v>
      </c>
      <c r="K25" s="717">
        <v>4.9400000000000004</v>
      </c>
      <c r="L25" s="717">
        <v>0</v>
      </c>
      <c r="M25" s="717">
        <v>0</v>
      </c>
      <c r="N25" s="717">
        <v>0.95</v>
      </c>
      <c r="O25" s="717">
        <v>0</v>
      </c>
      <c r="P25" s="717">
        <v>0</v>
      </c>
      <c r="Q25" s="717"/>
      <c r="R25" s="717"/>
      <c r="S25" s="717">
        <v>0</v>
      </c>
      <c r="T25" s="717"/>
      <c r="U25" s="717">
        <v>0</v>
      </c>
    </row>
    <row r="26" spans="1:22" ht="15" customHeight="1">
      <c r="A26" s="715" t="s">
        <v>68</v>
      </c>
      <c r="B26" s="716" t="s">
        <v>69</v>
      </c>
      <c r="C26" s="715" t="s">
        <v>70</v>
      </c>
      <c r="D26" s="722">
        <v>0</v>
      </c>
      <c r="E26" s="717">
        <v>0</v>
      </c>
      <c r="F26" s="717">
        <v>0</v>
      </c>
      <c r="G26" s="717">
        <v>0</v>
      </c>
      <c r="H26" s="717">
        <v>0</v>
      </c>
      <c r="I26" s="717">
        <v>0</v>
      </c>
      <c r="J26" s="717">
        <v>0</v>
      </c>
      <c r="K26" s="717">
        <v>0</v>
      </c>
      <c r="L26" s="717">
        <v>0</v>
      </c>
      <c r="M26" s="717">
        <v>0</v>
      </c>
      <c r="N26" s="717">
        <v>0</v>
      </c>
      <c r="O26" s="717"/>
      <c r="P26" s="717"/>
      <c r="Q26" s="717"/>
      <c r="R26" s="717"/>
      <c r="S26" s="717"/>
      <c r="T26" s="717"/>
      <c r="U26" s="717"/>
    </row>
    <row r="27" spans="1:22" ht="24" customHeight="1">
      <c r="A27" s="715" t="s">
        <v>71</v>
      </c>
      <c r="B27" s="716" t="s">
        <v>135</v>
      </c>
      <c r="C27" s="715" t="s">
        <v>72</v>
      </c>
      <c r="D27" s="722"/>
      <c r="E27" s="717"/>
      <c r="F27" s="717"/>
      <c r="G27" s="717"/>
      <c r="H27" s="717"/>
      <c r="I27" s="717"/>
      <c r="J27" s="717"/>
      <c r="K27" s="717"/>
      <c r="L27" s="717"/>
      <c r="M27" s="717"/>
      <c r="N27" s="717"/>
      <c r="O27" s="717"/>
      <c r="P27" s="717"/>
      <c r="Q27" s="717"/>
      <c r="R27" s="717"/>
      <c r="S27" s="717"/>
      <c r="T27" s="717"/>
      <c r="U27" s="717"/>
    </row>
    <row r="28" spans="1:22" ht="18.75" customHeight="1">
      <c r="A28" s="715" t="s">
        <v>73</v>
      </c>
      <c r="B28" s="716" t="s">
        <v>74</v>
      </c>
      <c r="C28" s="715" t="s">
        <v>75</v>
      </c>
      <c r="D28" s="722">
        <v>0</v>
      </c>
      <c r="E28" s="717">
        <v>0</v>
      </c>
      <c r="F28" s="717">
        <v>0</v>
      </c>
      <c r="G28" s="717">
        <v>0</v>
      </c>
      <c r="H28" s="717">
        <v>0</v>
      </c>
      <c r="I28" s="717">
        <v>0</v>
      </c>
      <c r="J28" s="717">
        <v>0</v>
      </c>
      <c r="K28" s="717">
        <v>0</v>
      </c>
      <c r="L28" s="717">
        <v>0</v>
      </c>
      <c r="M28" s="717">
        <v>0</v>
      </c>
      <c r="N28" s="717">
        <v>0</v>
      </c>
      <c r="O28" s="717">
        <v>0</v>
      </c>
      <c r="P28" s="717"/>
      <c r="Q28" s="717"/>
      <c r="R28" s="717"/>
      <c r="S28" s="717"/>
      <c r="T28" s="717">
        <v>0</v>
      </c>
      <c r="U28" s="717"/>
    </row>
    <row r="29" spans="1:22" ht="17.25" customHeight="1">
      <c r="A29" s="715" t="s">
        <v>76</v>
      </c>
      <c r="B29" s="716" t="s">
        <v>77</v>
      </c>
      <c r="C29" s="715" t="s">
        <v>78</v>
      </c>
      <c r="D29" s="722">
        <v>0</v>
      </c>
      <c r="E29" s="717">
        <v>0</v>
      </c>
      <c r="F29" s="717">
        <v>0</v>
      </c>
      <c r="G29" s="717">
        <v>0</v>
      </c>
      <c r="H29" s="717">
        <v>0</v>
      </c>
      <c r="I29" s="717">
        <v>0</v>
      </c>
      <c r="J29" s="717">
        <v>0</v>
      </c>
      <c r="K29" s="717">
        <v>0</v>
      </c>
      <c r="L29" s="717">
        <v>0</v>
      </c>
      <c r="M29" s="717"/>
      <c r="N29" s="717"/>
      <c r="O29" s="717"/>
      <c r="P29" s="717"/>
      <c r="Q29" s="717"/>
      <c r="R29" s="717"/>
      <c r="S29" s="717"/>
      <c r="T29" s="717"/>
      <c r="U29" s="717"/>
    </row>
    <row r="30" spans="1:22" ht="16.5" customHeight="1">
      <c r="A30" s="715" t="s">
        <v>79</v>
      </c>
      <c r="B30" s="716" t="s">
        <v>80</v>
      </c>
      <c r="C30" s="715" t="s">
        <v>81</v>
      </c>
      <c r="D30" s="722">
        <v>0.1</v>
      </c>
      <c r="E30" s="717">
        <v>0</v>
      </c>
      <c r="F30" s="717">
        <v>0</v>
      </c>
      <c r="G30" s="717">
        <v>0</v>
      </c>
      <c r="H30" s="717">
        <v>0</v>
      </c>
      <c r="I30" s="717">
        <v>0</v>
      </c>
      <c r="J30" s="717">
        <v>0</v>
      </c>
      <c r="K30" s="717">
        <v>0</v>
      </c>
      <c r="L30" s="717">
        <v>0</v>
      </c>
      <c r="M30" s="717">
        <v>0</v>
      </c>
      <c r="N30" s="717">
        <v>0</v>
      </c>
      <c r="O30" s="717">
        <v>0</v>
      </c>
      <c r="P30" s="717">
        <v>0</v>
      </c>
      <c r="Q30" s="717"/>
      <c r="R30" s="717"/>
      <c r="S30" s="717">
        <v>0.1</v>
      </c>
      <c r="T30" s="717"/>
      <c r="U30" s="717"/>
    </row>
    <row r="31" spans="1:22">
      <c r="A31" s="715" t="s">
        <v>82</v>
      </c>
      <c r="B31" s="716" t="s">
        <v>83</v>
      </c>
      <c r="C31" s="715" t="s">
        <v>84</v>
      </c>
      <c r="D31" s="722">
        <v>1.69</v>
      </c>
      <c r="E31" s="717">
        <v>0.57999999999999996</v>
      </c>
      <c r="F31" s="717">
        <v>0</v>
      </c>
      <c r="G31" s="717">
        <v>0.31</v>
      </c>
      <c r="H31" s="717">
        <v>0</v>
      </c>
      <c r="I31" s="717">
        <v>0.14000000000000001</v>
      </c>
      <c r="J31" s="717">
        <v>0.23</v>
      </c>
      <c r="K31" s="717">
        <v>0.28000000000000003</v>
      </c>
      <c r="L31" s="717">
        <v>0.05</v>
      </c>
      <c r="M31" s="717">
        <v>0.1</v>
      </c>
      <c r="N31" s="717"/>
      <c r="O31" s="717"/>
      <c r="P31" s="717"/>
      <c r="Q31" s="717"/>
      <c r="R31" s="717"/>
      <c r="S31" s="717"/>
      <c r="T31" s="717"/>
      <c r="U31" s="717"/>
    </row>
    <row r="32" spans="1:22">
      <c r="A32" s="715" t="s">
        <v>85</v>
      </c>
      <c r="B32" s="716" t="s">
        <v>86</v>
      </c>
      <c r="C32" s="715" t="s">
        <v>87</v>
      </c>
      <c r="D32" s="722">
        <v>33.85</v>
      </c>
      <c r="E32" s="717"/>
      <c r="F32" s="717"/>
      <c r="G32" s="717"/>
      <c r="H32" s="717"/>
      <c r="I32" s="717"/>
      <c r="J32" s="717"/>
      <c r="K32" s="717"/>
      <c r="L32" s="717"/>
      <c r="M32" s="717"/>
      <c r="N32" s="717">
        <v>3.23</v>
      </c>
      <c r="O32" s="717">
        <v>0</v>
      </c>
      <c r="P32" s="717">
        <v>2.1899999999999995</v>
      </c>
      <c r="Q32" s="717">
        <v>0</v>
      </c>
      <c r="R32" s="717">
        <v>0</v>
      </c>
      <c r="S32" s="717">
        <v>28.25</v>
      </c>
      <c r="T32" s="717">
        <v>0.18</v>
      </c>
      <c r="U32" s="717">
        <v>0</v>
      </c>
    </row>
    <row r="33" spans="1:21" ht="21" customHeight="1">
      <c r="A33" s="715" t="s">
        <v>88</v>
      </c>
      <c r="B33" s="716" t="s">
        <v>89</v>
      </c>
      <c r="C33" s="715" t="s">
        <v>90</v>
      </c>
      <c r="D33" s="722"/>
      <c r="E33" s="717"/>
      <c r="F33" s="717"/>
      <c r="G33" s="717"/>
      <c r="H33" s="717"/>
      <c r="I33" s="717"/>
      <c r="J33" s="717"/>
      <c r="K33" s="717"/>
      <c r="L33" s="717"/>
      <c r="M33" s="717"/>
      <c r="N33" s="717"/>
      <c r="O33" s="717"/>
      <c r="P33" s="717"/>
      <c r="Q33" s="717"/>
      <c r="R33" s="717"/>
      <c r="S33" s="717"/>
      <c r="T33" s="717"/>
      <c r="U33" s="717"/>
    </row>
    <row r="34" spans="1:21" ht="17.25" customHeight="1">
      <c r="A34" s="715" t="s">
        <v>91</v>
      </c>
      <c r="B34" s="716" t="s">
        <v>92</v>
      </c>
      <c r="C34" s="715" t="s">
        <v>93</v>
      </c>
      <c r="D34" s="722">
        <v>0</v>
      </c>
      <c r="E34" s="717">
        <v>0</v>
      </c>
      <c r="F34" s="717">
        <v>0</v>
      </c>
      <c r="G34" s="717">
        <v>0</v>
      </c>
      <c r="H34" s="717">
        <v>0</v>
      </c>
      <c r="I34" s="717">
        <v>0</v>
      </c>
      <c r="J34" s="717">
        <v>0</v>
      </c>
      <c r="K34" s="717">
        <v>0</v>
      </c>
      <c r="L34" s="717">
        <v>0</v>
      </c>
      <c r="M34" s="717">
        <v>0</v>
      </c>
      <c r="N34" s="717">
        <v>0</v>
      </c>
      <c r="O34" s="717">
        <v>0</v>
      </c>
      <c r="P34" s="717">
        <v>0</v>
      </c>
      <c r="Q34" s="717"/>
      <c r="R34" s="717"/>
      <c r="S34" s="717"/>
      <c r="T34" s="717"/>
      <c r="U34" s="717"/>
    </row>
    <row r="35" spans="1:21" ht="14.25" customHeight="1">
      <c r="A35" s="715" t="s">
        <v>94</v>
      </c>
      <c r="B35" s="716" t="s">
        <v>95</v>
      </c>
      <c r="C35" s="715" t="s">
        <v>96</v>
      </c>
      <c r="D35" s="722">
        <v>0</v>
      </c>
      <c r="E35" s="717"/>
      <c r="F35" s="717"/>
      <c r="G35" s="717"/>
      <c r="H35" s="717"/>
      <c r="I35" s="717"/>
      <c r="J35" s="717"/>
      <c r="K35" s="717"/>
      <c r="L35" s="717"/>
      <c r="M35" s="717"/>
      <c r="N35" s="717"/>
      <c r="O35" s="717"/>
      <c r="P35" s="717"/>
      <c r="Q35" s="717"/>
      <c r="R35" s="717"/>
      <c r="S35" s="717"/>
      <c r="T35" s="717"/>
      <c r="U35" s="717"/>
    </row>
    <row r="36" spans="1:21">
      <c r="A36" s="715" t="s">
        <v>97</v>
      </c>
      <c r="B36" s="716" t="s">
        <v>98</v>
      </c>
      <c r="C36" s="715" t="s">
        <v>99</v>
      </c>
      <c r="D36" s="722">
        <v>0</v>
      </c>
      <c r="E36" s="717">
        <v>0</v>
      </c>
      <c r="F36" s="717">
        <v>0</v>
      </c>
      <c r="G36" s="717">
        <v>0</v>
      </c>
      <c r="H36" s="717">
        <v>0</v>
      </c>
      <c r="I36" s="717">
        <v>0</v>
      </c>
      <c r="J36" s="717">
        <v>0</v>
      </c>
      <c r="K36" s="717">
        <v>0</v>
      </c>
      <c r="L36" s="717">
        <v>0</v>
      </c>
      <c r="M36" s="717">
        <v>0</v>
      </c>
      <c r="N36" s="717">
        <v>0</v>
      </c>
      <c r="O36" s="717">
        <v>0</v>
      </c>
      <c r="P36" s="717">
        <v>0</v>
      </c>
      <c r="Q36" s="717"/>
      <c r="R36" s="717"/>
      <c r="S36" s="717"/>
      <c r="T36" s="717">
        <v>0</v>
      </c>
      <c r="U36" s="717">
        <v>0</v>
      </c>
    </row>
    <row r="37" spans="1:21" ht="30" customHeight="1">
      <c r="A37" s="715" t="s">
        <v>100</v>
      </c>
      <c r="B37" s="716" t="s">
        <v>134</v>
      </c>
      <c r="C37" s="715" t="s">
        <v>101</v>
      </c>
      <c r="D37" s="722"/>
      <c r="E37" s="717"/>
      <c r="F37" s="717"/>
      <c r="G37" s="717"/>
      <c r="H37" s="717"/>
      <c r="I37" s="717"/>
      <c r="J37" s="717"/>
      <c r="K37" s="717"/>
      <c r="L37" s="717"/>
      <c r="M37" s="717"/>
      <c r="N37" s="717"/>
      <c r="O37" s="717"/>
      <c r="P37" s="717"/>
      <c r="Q37" s="717"/>
      <c r="R37" s="717"/>
      <c r="S37" s="717"/>
      <c r="T37" s="717"/>
      <c r="U37" s="717"/>
    </row>
    <row r="38" spans="1:21" ht="18" customHeight="1">
      <c r="A38" s="715" t="s">
        <v>102</v>
      </c>
      <c r="B38" s="716" t="s">
        <v>103</v>
      </c>
      <c r="C38" s="715" t="s">
        <v>104</v>
      </c>
      <c r="D38" s="722">
        <v>0.01</v>
      </c>
      <c r="E38" s="717">
        <v>0</v>
      </c>
      <c r="F38" s="717">
        <v>0</v>
      </c>
      <c r="G38" s="717">
        <v>0.01</v>
      </c>
      <c r="H38" s="717">
        <v>0</v>
      </c>
      <c r="I38" s="717">
        <v>0</v>
      </c>
      <c r="J38" s="717">
        <v>0</v>
      </c>
      <c r="K38" s="717">
        <v>0</v>
      </c>
      <c r="L38" s="717">
        <v>0</v>
      </c>
      <c r="M38" s="717">
        <v>0</v>
      </c>
      <c r="N38" s="717">
        <v>0</v>
      </c>
      <c r="O38" s="717">
        <v>0</v>
      </c>
      <c r="P38" s="717">
        <v>0</v>
      </c>
      <c r="Q38" s="717"/>
      <c r="R38" s="717"/>
      <c r="S38" s="717"/>
      <c r="T38" s="717">
        <v>0</v>
      </c>
      <c r="U38" s="717">
        <v>0</v>
      </c>
    </row>
    <row r="39" spans="1:21">
      <c r="A39" s="715" t="s">
        <v>105</v>
      </c>
      <c r="B39" s="716" t="s">
        <v>106</v>
      </c>
      <c r="C39" s="715" t="s">
        <v>107</v>
      </c>
      <c r="D39" s="722"/>
      <c r="E39" s="717"/>
      <c r="F39" s="717"/>
      <c r="G39" s="717"/>
      <c r="H39" s="717"/>
      <c r="I39" s="717"/>
      <c r="J39" s="717"/>
      <c r="K39" s="717"/>
      <c r="L39" s="717"/>
      <c r="M39" s="717"/>
      <c r="N39" s="717"/>
      <c r="O39" s="717"/>
      <c r="P39" s="717"/>
      <c r="Q39" s="717"/>
      <c r="R39" s="717"/>
      <c r="S39" s="717"/>
      <c r="T39" s="717"/>
      <c r="U39" s="717"/>
    </row>
    <row r="40" spans="1:21" ht="17.25" customHeight="1">
      <c r="A40" s="715" t="s">
        <v>108</v>
      </c>
      <c r="B40" s="716" t="s">
        <v>109</v>
      </c>
      <c r="C40" s="715" t="s">
        <v>110</v>
      </c>
      <c r="D40" s="722">
        <v>0</v>
      </c>
      <c r="E40" s="717">
        <v>0</v>
      </c>
      <c r="F40" s="717">
        <v>0</v>
      </c>
      <c r="G40" s="717">
        <v>0</v>
      </c>
      <c r="H40" s="717">
        <v>0</v>
      </c>
      <c r="I40" s="717">
        <v>0</v>
      </c>
      <c r="J40" s="717">
        <v>0</v>
      </c>
      <c r="K40" s="717">
        <v>0</v>
      </c>
      <c r="L40" s="717">
        <v>0</v>
      </c>
      <c r="M40" s="717">
        <v>0</v>
      </c>
      <c r="N40" s="717">
        <v>0</v>
      </c>
      <c r="O40" s="717">
        <v>0</v>
      </c>
      <c r="P40" s="717">
        <v>0</v>
      </c>
      <c r="Q40" s="717">
        <v>0</v>
      </c>
      <c r="R40" s="717">
        <v>0</v>
      </c>
      <c r="S40" s="717"/>
      <c r="T40" s="717"/>
      <c r="U40" s="717">
        <v>0</v>
      </c>
    </row>
    <row r="41" spans="1:21">
      <c r="A41" s="715" t="s">
        <v>111</v>
      </c>
      <c r="B41" s="716" t="s">
        <v>112</v>
      </c>
      <c r="C41" s="715" t="s">
        <v>113</v>
      </c>
      <c r="D41" s="722">
        <v>0.09</v>
      </c>
      <c r="E41" s="717">
        <v>0</v>
      </c>
      <c r="F41" s="717">
        <v>0</v>
      </c>
      <c r="G41" s="717">
        <v>0</v>
      </c>
      <c r="H41" s="717">
        <v>0</v>
      </c>
      <c r="I41" s="717">
        <v>0</v>
      </c>
      <c r="J41" s="717">
        <v>0</v>
      </c>
      <c r="K41" s="717">
        <v>0</v>
      </c>
      <c r="L41" s="717">
        <v>0</v>
      </c>
      <c r="M41" s="717">
        <v>0</v>
      </c>
      <c r="N41" s="717">
        <v>0</v>
      </c>
      <c r="O41" s="717">
        <v>0</v>
      </c>
      <c r="P41" s="717">
        <v>0</v>
      </c>
      <c r="Q41" s="717">
        <v>0</v>
      </c>
      <c r="R41" s="717"/>
      <c r="S41" s="717">
        <v>0.09</v>
      </c>
      <c r="T41" s="717">
        <v>0</v>
      </c>
      <c r="U41" s="717">
        <v>0</v>
      </c>
    </row>
    <row r="42" spans="1:21" ht="15" customHeight="1">
      <c r="A42" s="715" t="s">
        <v>114</v>
      </c>
      <c r="B42" s="716" t="s">
        <v>115</v>
      </c>
      <c r="C42" s="715" t="s">
        <v>116</v>
      </c>
      <c r="D42" s="722"/>
      <c r="E42" s="717"/>
      <c r="F42" s="717"/>
      <c r="G42" s="717"/>
      <c r="H42" s="717"/>
      <c r="I42" s="717"/>
      <c r="J42" s="717"/>
      <c r="K42" s="717"/>
      <c r="L42" s="717"/>
      <c r="M42" s="717"/>
      <c r="N42" s="717"/>
      <c r="O42" s="717"/>
      <c r="P42" s="717"/>
      <c r="Q42" s="717"/>
      <c r="R42" s="717"/>
      <c r="S42" s="717"/>
      <c r="T42" s="717"/>
      <c r="U42" s="717"/>
    </row>
    <row r="43" spans="1:21" ht="15" customHeight="1">
      <c r="A43" s="715" t="s">
        <v>117</v>
      </c>
      <c r="B43" s="716" t="s">
        <v>118</v>
      </c>
      <c r="C43" s="715" t="s">
        <v>119</v>
      </c>
      <c r="D43" s="722"/>
      <c r="E43" s="717"/>
      <c r="F43" s="717"/>
      <c r="G43" s="717"/>
      <c r="H43" s="717"/>
      <c r="I43" s="717"/>
      <c r="J43" s="717"/>
      <c r="K43" s="717"/>
      <c r="L43" s="717"/>
      <c r="M43" s="717"/>
      <c r="N43" s="717"/>
      <c r="O43" s="717"/>
      <c r="P43" s="717"/>
      <c r="Q43" s="717"/>
      <c r="R43" s="717"/>
      <c r="S43" s="717"/>
      <c r="T43" s="717"/>
      <c r="U43" s="717"/>
    </row>
    <row r="44" spans="1:21" ht="15" customHeight="1">
      <c r="A44" s="723" t="s">
        <v>120</v>
      </c>
      <c r="B44" s="724" t="s">
        <v>121</v>
      </c>
      <c r="C44" s="723" t="s">
        <v>122</v>
      </c>
      <c r="D44" s="932">
        <v>0</v>
      </c>
      <c r="E44" s="725">
        <v>0</v>
      </c>
      <c r="F44" s="725">
        <v>0</v>
      </c>
      <c r="G44" s="725">
        <v>0</v>
      </c>
      <c r="H44" s="725">
        <v>0</v>
      </c>
      <c r="I44" s="725">
        <v>0</v>
      </c>
      <c r="J44" s="725">
        <v>0</v>
      </c>
      <c r="K44" s="725">
        <v>0</v>
      </c>
      <c r="L44" s="725">
        <v>0</v>
      </c>
      <c r="M44" s="725">
        <v>0</v>
      </c>
      <c r="N44" s="725">
        <v>0</v>
      </c>
      <c r="O44" s="725">
        <v>0</v>
      </c>
      <c r="P44" s="725">
        <v>0</v>
      </c>
      <c r="Q44" s="725"/>
      <c r="R44" s="725"/>
      <c r="S44" s="725"/>
      <c r="T44" s="725"/>
      <c r="U44" s="725"/>
    </row>
    <row r="47" spans="1:21">
      <c r="D47" s="670" t="s">
        <v>26</v>
      </c>
      <c r="E47" s="670">
        <v>0.3</v>
      </c>
      <c r="F47" s="670">
        <v>0.3</v>
      </c>
      <c r="G47" s="670">
        <v>0.3</v>
      </c>
      <c r="H47" s="670">
        <v>1</v>
      </c>
      <c r="I47" s="670">
        <v>1</v>
      </c>
      <c r="J47" s="670">
        <v>0.3</v>
      </c>
      <c r="K47" s="670">
        <v>0.8</v>
      </c>
      <c r="L47" s="670">
        <v>0.5</v>
      </c>
      <c r="M47" s="670">
        <v>0.5</v>
      </c>
      <c r="N47" s="670">
        <v>0.8</v>
      </c>
      <c r="O47" s="670">
        <v>0.3</v>
      </c>
      <c r="P47" s="670">
        <v>0.8</v>
      </c>
      <c r="Q47" s="670">
        <v>0</v>
      </c>
      <c r="R47" s="670">
        <v>0</v>
      </c>
      <c r="S47" s="670">
        <v>0.5</v>
      </c>
      <c r="T47" s="670">
        <v>0.5</v>
      </c>
      <c r="U47" s="670">
        <v>0.5</v>
      </c>
    </row>
  </sheetData>
  <mergeCells count="7">
    <mergeCell ref="A2:B2"/>
    <mergeCell ref="A3:U3"/>
    <mergeCell ref="A5:A6"/>
    <mergeCell ref="B5:B6"/>
    <mergeCell ref="C5:C6"/>
    <mergeCell ref="D5:D6"/>
    <mergeCell ref="E5:U5"/>
  </mergeCells>
  <printOptions horizontalCentered="1"/>
  <pageMargins left="0.2" right="0.2" top="0.75" bottom="0" header="0.3" footer="0.3"/>
  <pageSetup paperSize="9" scale="8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X43"/>
  <sheetViews>
    <sheetView showZeros="0" workbookViewId="0">
      <selection activeCell="J17" sqref="J17"/>
    </sheetView>
  </sheetViews>
  <sheetFormatPr defaultRowHeight="12.75"/>
  <cols>
    <col min="1" max="1" width="6" customWidth="1"/>
    <col min="2" max="2" width="42" customWidth="1"/>
    <col min="3" max="3" width="8.42578125" customWidth="1"/>
    <col min="4" max="21" width="7" style="726" customWidth="1"/>
    <col min="22" max="22" width="7.7109375" hidden="1" customWidth="1"/>
    <col min="23" max="23" width="7.85546875" hidden="1" customWidth="1"/>
    <col min="24" max="24" width="8.5703125" customWidth="1"/>
  </cols>
  <sheetData>
    <row r="1" spans="1:24" ht="18" customHeight="1">
      <c r="A1" s="1316" t="s">
        <v>996</v>
      </c>
      <c r="B1" s="1316"/>
    </row>
    <row r="2" spans="1:24" ht="36.75" customHeight="1">
      <c r="A2" s="1314" t="s">
        <v>997</v>
      </c>
      <c r="B2" s="1314"/>
      <c r="C2" s="1314"/>
      <c r="D2" s="1314"/>
      <c r="E2" s="1314"/>
      <c r="F2" s="1314"/>
      <c r="G2" s="1314"/>
      <c r="H2" s="1314"/>
      <c r="I2" s="1314"/>
      <c r="J2" s="1314"/>
      <c r="K2" s="1314"/>
      <c r="L2" s="1314"/>
      <c r="M2" s="1314"/>
      <c r="N2" s="1314"/>
      <c r="O2" s="1314"/>
      <c r="P2" s="1314"/>
      <c r="Q2" s="1314"/>
      <c r="R2" s="1314"/>
      <c r="S2" s="1314"/>
      <c r="T2" s="1314"/>
      <c r="U2" s="1314"/>
      <c r="V2" s="1314"/>
      <c r="W2" s="1314"/>
    </row>
    <row r="3" spans="1:24" ht="8.25" customHeight="1">
      <c r="D3" s="727"/>
      <c r="V3" s="1300" t="s">
        <v>138</v>
      </c>
      <c r="W3" s="1300"/>
    </row>
    <row r="4" spans="1:24" ht="15.75" customHeight="1">
      <c r="A4" s="1315" t="s">
        <v>0</v>
      </c>
      <c r="B4" s="1315" t="s">
        <v>12</v>
      </c>
      <c r="C4" s="1315" t="s">
        <v>13</v>
      </c>
      <c r="D4" s="1315" t="s">
        <v>131</v>
      </c>
      <c r="E4" s="1315" t="s">
        <v>147</v>
      </c>
      <c r="F4" s="1315"/>
      <c r="G4" s="1315"/>
      <c r="H4" s="1315"/>
      <c r="I4" s="1315"/>
      <c r="J4" s="1315"/>
      <c r="K4" s="1315"/>
      <c r="L4" s="1315"/>
      <c r="M4" s="1315"/>
      <c r="N4" s="1315"/>
      <c r="O4" s="1315"/>
      <c r="P4" s="1315"/>
      <c r="Q4" s="1315"/>
      <c r="R4" s="1315"/>
      <c r="S4" s="1315"/>
      <c r="T4" s="1315"/>
      <c r="U4" s="1315"/>
      <c r="V4" s="1315"/>
      <c r="W4" s="1315"/>
    </row>
    <row r="5" spans="1:24" ht="27.75" customHeight="1">
      <c r="A5" s="1315"/>
      <c r="B5" s="1315"/>
      <c r="C5" s="1315"/>
      <c r="D5" s="1315"/>
      <c r="E5" s="710" t="s">
        <v>725</v>
      </c>
      <c r="F5" s="710" t="s">
        <v>726</v>
      </c>
      <c r="G5" s="710" t="s">
        <v>727</v>
      </c>
      <c r="H5" s="710" t="s">
        <v>728</v>
      </c>
      <c r="I5" s="710" t="s">
        <v>729</v>
      </c>
      <c r="J5" s="710" t="s">
        <v>730</v>
      </c>
      <c r="K5" s="710" t="s">
        <v>731</v>
      </c>
      <c r="L5" s="710" t="s">
        <v>732</v>
      </c>
      <c r="M5" s="710" t="s">
        <v>733</v>
      </c>
      <c r="N5" s="710" t="s">
        <v>734</v>
      </c>
      <c r="O5" s="710" t="s">
        <v>735</v>
      </c>
      <c r="P5" s="710" t="s">
        <v>736</v>
      </c>
      <c r="Q5" s="710" t="s">
        <v>737</v>
      </c>
      <c r="R5" s="710" t="s">
        <v>738</v>
      </c>
      <c r="S5" s="710" t="s">
        <v>739</v>
      </c>
      <c r="T5" s="710" t="s">
        <v>740</v>
      </c>
      <c r="U5" s="710" t="s">
        <v>741</v>
      </c>
      <c r="V5" s="711"/>
      <c r="W5" s="711"/>
    </row>
    <row r="6" spans="1:24" s="53" customFormat="1" ht="14.25" customHeight="1">
      <c r="A6" s="712">
        <v>1</v>
      </c>
      <c r="B6" s="713" t="s">
        <v>14</v>
      </c>
      <c r="C6" s="712" t="s">
        <v>15</v>
      </c>
      <c r="D6" s="714">
        <v>14.43</v>
      </c>
      <c r="E6" s="714">
        <v>0</v>
      </c>
      <c r="F6" s="714">
        <v>0</v>
      </c>
      <c r="G6" s="714">
        <v>5.3</v>
      </c>
      <c r="H6" s="714">
        <v>0.38</v>
      </c>
      <c r="I6" s="714">
        <v>4.58</v>
      </c>
      <c r="J6" s="714">
        <v>0.02</v>
      </c>
      <c r="K6" s="714">
        <v>1.05</v>
      </c>
      <c r="L6" s="714">
        <v>1.41</v>
      </c>
      <c r="M6" s="714">
        <v>0</v>
      </c>
      <c r="N6" s="714">
        <v>0.04</v>
      </c>
      <c r="O6" s="714">
        <v>0</v>
      </c>
      <c r="P6" s="714">
        <v>1.65</v>
      </c>
      <c r="Q6" s="714">
        <v>0</v>
      </c>
      <c r="R6" s="714">
        <v>0</v>
      </c>
      <c r="S6" s="714">
        <v>0</v>
      </c>
      <c r="T6" s="714">
        <v>0</v>
      </c>
      <c r="U6" s="714">
        <v>0</v>
      </c>
      <c r="V6" s="714">
        <v>0</v>
      </c>
      <c r="W6" s="714">
        <v>0</v>
      </c>
      <c r="X6" s="310">
        <v>14.43</v>
      </c>
    </row>
    <row r="7" spans="1:24" ht="14.25" customHeight="1">
      <c r="A7" s="715" t="s">
        <v>16</v>
      </c>
      <c r="B7" s="716" t="s">
        <v>17</v>
      </c>
      <c r="C7" s="715" t="s">
        <v>18</v>
      </c>
      <c r="D7" s="717">
        <v>0</v>
      </c>
      <c r="E7" s="717">
        <v>0</v>
      </c>
      <c r="F7" s="717">
        <v>0</v>
      </c>
      <c r="G7" s="717">
        <v>0</v>
      </c>
      <c r="H7" s="717">
        <v>0</v>
      </c>
      <c r="I7" s="717">
        <v>0</v>
      </c>
      <c r="J7" s="717">
        <v>0</v>
      </c>
      <c r="K7" s="717">
        <v>0</v>
      </c>
      <c r="L7" s="717">
        <v>0</v>
      </c>
      <c r="M7" s="717">
        <v>0</v>
      </c>
      <c r="N7" s="717">
        <v>0</v>
      </c>
      <c r="O7" s="717">
        <v>0</v>
      </c>
      <c r="P7" s="717">
        <v>0</v>
      </c>
      <c r="Q7" s="717">
        <v>0</v>
      </c>
      <c r="R7" s="717">
        <v>0</v>
      </c>
      <c r="S7" s="717">
        <v>0</v>
      </c>
      <c r="T7" s="717">
        <v>0</v>
      </c>
      <c r="U7" s="717">
        <v>0</v>
      </c>
      <c r="V7" s="717">
        <v>0</v>
      </c>
      <c r="W7" s="717">
        <v>0</v>
      </c>
      <c r="X7" s="310">
        <v>0</v>
      </c>
    </row>
    <row r="8" spans="1:24" ht="14.25" customHeight="1">
      <c r="A8" s="715"/>
      <c r="B8" s="716" t="s">
        <v>19</v>
      </c>
      <c r="C8" s="715" t="s">
        <v>20</v>
      </c>
      <c r="D8" s="717">
        <v>0</v>
      </c>
      <c r="E8" s="717">
        <v>0</v>
      </c>
      <c r="F8" s="717">
        <v>0</v>
      </c>
      <c r="G8" s="717">
        <v>0</v>
      </c>
      <c r="H8" s="717">
        <v>0</v>
      </c>
      <c r="I8" s="717">
        <v>0</v>
      </c>
      <c r="J8" s="717">
        <v>0</v>
      </c>
      <c r="K8" s="717">
        <v>0</v>
      </c>
      <c r="L8" s="717">
        <v>0</v>
      </c>
      <c r="M8" s="717">
        <v>0</v>
      </c>
      <c r="N8" s="717">
        <v>0</v>
      </c>
      <c r="O8" s="717">
        <v>0</v>
      </c>
      <c r="P8" s="717">
        <v>0</v>
      </c>
      <c r="Q8" s="717">
        <v>0</v>
      </c>
      <c r="R8" s="717">
        <v>0</v>
      </c>
      <c r="S8" s="717">
        <v>0</v>
      </c>
      <c r="T8" s="717">
        <v>0</v>
      </c>
      <c r="U8" s="717">
        <v>0</v>
      </c>
      <c r="V8" s="717">
        <v>0</v>
      </c>
      <c r="W8" s="717">
        <v>0</v>
      </c>
      <c r="X8" s="310">
        <v>0</v>
      </c>
    </row>
    <row r="9" spans="1:24" ht="14.25" customHeight="1">
      <c r="A9" s="715" t="s">
        <v>21</v>
      </c>
      <c r="B9" s="716" t="s">
        <v>22</v>
      </c>
      <c r="C9" s="715" t="s">
        <v>23</v>
      </c>
      <c r="D9" s="717">
        <v>0</v>
      </c>
      <c r="E9" s="717">
        <v>0</v>
      </c>
      <c r="F9" s="717">
        <v>0</v>
      </c>
      <c r="G9" s="717">
        <v>0</v>
      </c>
      <c r="H9" s="717">
        <v>0</v>
      </c>
      <c r="I9" s="717">
        <v>0</v>
      </c>
      <c r="J9" s="717">
        <v>0</v>
      </c>
      <c r="K9" s="717">
        <v>0</v>
      </c>
      <c r="L9" s="717">
        <v>0</v>
      </c>
      <c r="M9" s="717">
        <v>0</v>
      </c>
      <c r="N9" s="717">
        <v>0</v>
      </c>
      <c r="O9" s="717">
        <v>0</v>
      </c>
      <c r="P9" s="717">
        <v>0</v>
      </c>
      <c r="Q9" s="717">
        <v>0</v>
      </c>
      <c r="R9" s="717">
        <v>0</v>
      </c>
      <c r="S9" s="717">
        <v>0</v>
      </c>
      <c r="T9" s="717">
        <v>0</v>
      </c>
      <c r="U9" s="717">
        <v>0</v>
      </c>
      <c r="V9" s="717">
        <v>0</v>
      </c>
      <c r="W9" s="717">
        <v>0</v>
      </c>
      <c r="X9" s="310">
        <v>0</v>
      </c>
    </row>
    <row r="10" spans="1:24" ht="14.25" customHeight="1">
      <c r="A10" s="715" t="s">
        <v>24</v>
      </c>
      <c r="B10" s="716" t="s">
        <v>25</v>
      </c>
      <c r="C10" s="715" t="s">
        <v>26</v>
      </c>
      <c r="D10" s="717">
        <v>0</v>
      </c>
      <c r="E10" s="717">
        <v>0</v>
      </c>
      <c r="F10" s="717">
        <v>0</v>
      </c>
      <c r="G10" s="717">
        <v>0</v>
      </c>
      <c r="H10" s="717">
        <v>0</v>
      </c>
      <c r="I10" s="717">
        <v>0</v>
      </c>
      <c r="J10" s="717">
        <v>0</v>
      </c>
      <c r="K10" s="717">
        <v>0</v>
      </c>
      <c r="L10" s="717">
        <v>0</v>
      </c>
      <c r="M10" s="717">
        <v>0</v>
      </c>
      <c r="N10" s="717">
        <v>0</v>
      </c>
      <c r="O10" s="717">
        <v>0</v>
      </c>
      <c r="P10" s="717">
        <v>0</v>
      </c>
      <c r="Q10" s="717">
        <v>0</v>
      </c>
      <c r="R10" s="717">
        <v>0</v>
      </c>
      <c r="S10" s="717">
        <v>0</v>
      </c>
      <c r="T10" s="717">
        <v>0</v>
      </c>
      <c r="U10" s="717">
        <v>0</v>
      </c>
      <c r="V10" s="717">
        <v>0</v>
      </c>
      <c r="W10" s="717">
        <v>0</v>
      </c>
      <c r="X10" s="310">
        <v>0</v>
      </c>
    </row>
    <row r="11" spans="1:24" ht="14.25" customHeight="1">
      <c r="A11" s="715" t="s">
        <v>27</v>
      </c>
      <c r="B11" s="716" t="s">
        <v>28</v>
      </c>
      <c r="C11" s="715" t="s">
        <v>29</v>
      </c>
      <c r="D11" s="717">
        <v>0</v>
      </c>
      <c r="E11" s="717">
        <v>0</v>
      </c>
      <c r="F11" s="717">
        <v>0</v>
      </c>
      <c r="G11" s="717">
        <v>0</v>
      </c>
      <c r="H11" s="717">
        <v>0</v>
      </c>
      <c r="I11" s="717">
        <v>0</v>
      </c>
      <c r="J11" s="717">
        <v>0</v>
      </c>
      <c r="K11" s="717">
        <v>0</v>
      </c>
      <c r="L11" s="717">
        <v>0</v>
      </c>
      <c r="M11" s="717">
        <v>0</v>
      </c>
      <c r="N11" s="717">
        <v>0</v>
      </c>
      <c r="O11" s="717">
        <v>0</v>
      </c>
      <c r="P11" s="717">
        <v>0</v>
      </c>
      <c r="Q11" s="717">
        <v>0</v>
      </c>
      <c r="R11" s="717">
        <v>0</v>
      </c>
      <c r="S11" s="717">
        <v>0</v>
      </c>
      <c r="T11" s="717">
        <v>0</v>
      </c>
      <c r="U11" s="717">
        <v>0</v>
      </c>
      <c r="V11" s="717">
        <v>0</v>
      </c>
      <c r="W11" s="717">
        <v>0</v>
      </c>
      <c r="X11" s="310">
        <v>0</v>
      </c>
    </row>
    <row r="12" spans="1:24" ht="14.25" customHeight="1">
      <c r="A12" s="715" t="s">
        <v>30</v>
      </c>
      <c r="B12" s="716" t="s">
        <v>31</v>
      </c>
      <c r="C12" s="715" t="s">
        <v>32</v>
      </c>
      <c r="D12" s="717">
        <v>0</v>
      </c>
      <c r="E12" s="717">
        <v>0</v>
      </c>
      <c r="F12" s="717">
        <v>0</v>
      </c>
      <c r="G12" s="717">
        <v>0</v>
      </c>
      <c r="H12" s="717">
        <v>0</v>
      </c>
      <c r="I12" s="717">
        <v>0</v>
      </c>
      <c r="J12" s="717">
        <v>0</v>
      </c>
      <c r="K12" s="717">
        <v>0</v>
      </c>
      <c r="L12" s="717">
        <v>0</v>
      </c>
      <c r="M12" s="717">
        <v>0</v>
      </c>
      <c r="N12" s="717">
        <v>0</v>
      </c>
      <c r="O12" s="717">
        <v>0</v>
      </c>
      <c r="P12" s="717">
        <v>0</v>
      </c>
      <c r="Q12" s="717">
        <v>0</v>
      </c>
      <c r="R12" s="717">
        <v>0</v>
      </c>
      <c r="S12" s="717">
        <v>0</v>
      </c>
      <c r="T12" s="717">
        <v>0</v>
      </c>
      <c r="U12" s="717">
        <v>0</v>
      </c>
      <c r="V12" s="717">
        <v>0</v>
      </c>
      <c r="W12" s="717">
        <v>0</v>
      </c>
      <c r="X12" s="310">
        <v>0</v>
      </c>
    </row>
    <row r="13" spans="1:24" ht="14.25" customHeight="1">
      <c r="A13" s="715" t="s">
        <v>33</v>
      </c>
      <c r="B13" s="716" t="s">
        <v>34</v>
      </c>
      <c r="C13" s="715" t="s">
        <v>35</v>
      </c>
      <c r="D13" s="717">
        <v>0</v>
      </c>
      <c r="E13" s="717">
        <v>0</v>
      </c>
      <c r="F13" s="717">
        <v>0</v>
      </c>
      <c r="G13" s="717">
        <v>0</v>
      </c>
      <c r="H13" s="717">
        <v>0</v>
      </c>
      <c r="I13" s="717">
        <v>0</v>
      </c>
      <c r="J13" s="717">
        <v>0</v>
      </c>
      <c r="K13" s="717">
        <v>0</v>
      </c>
      <c r="L13" s="717">
        <v>0</v>
      </c>
      <c r="M13" s="717">
        <v>0</v>
      </c>
      <c r="N13" s="717">
        <v>0</v>
      </c>
      <c r="O13" s="717">
        <v>0</v>
      </c>
      <c r="P13" s="717">
        <v>0</v>
      </c>
      <c r="Q13" s="717">
        <v>0</v>
      </c>
      <c r="R13" s="717">
        <v>0</v>
      </c>
      <c r="S13" s="717">
        <v>0</v>
      </c>
      <c r="T13" s="717">
        <v>0</v>
      </c>
      <c r="U13" s="717">
        <v>0</v>
      </c>
      <c r="V13" s="717">
        <v>0</v>
      </c>
      <c r="W13" s="717">
        <v>0</v>
      </c>
      <c r="X13" s="310">
        <v>0</v>
      </c>
    </row>
    <row r="14" spans="1:24" ht="14.25" customHeight="1">
      <c r="A14" s="715" t="s">
        <v>36</v>
      </c>
      <c r="B14" s="716" t="s">
        <v>37</v>
      </c>
      <c r="C14" s="715" t="s">
        <v>38</v>
      </c>
      <c r="D14" s="717">
        <v>14.43</v>
      </c>
      <c r="E14" s="717">
        <v>0</v>
      </c>
      <c r="F14" s="717">
        <v>0</v>
      </c>
      <c r="G14" s="717">
        <v>5.3</v>
      </c>
      <c r="H14" s="717">
        <v>0.38</v>
      </c>
      <c r="I14" s="717">
        <v>4.58</v>
      </c>
      <c r="J14" s="717">
        <v>0.02</v>
      </c>
      <c r="K14" s="717">
        <v>1.05</v>
      </c>
      <c r="L14" s="717">
        <v>1.41</v>
      </c>
      <c r="M14" s="717">
        <v>0</v>
      </c>
      <c r="N14" s="717">
        <v>0.04</v>
      </c>
      <c r="O14" s="717">
        <v>0</v>
      </c>
      <c r="P14" s="717">
        <v>1.65</v>
      </c>
      <c r="Q14" s="717">
        <v>0</v>
      </c>
      <c r="R14" s="717">
        <v>0</v>
      </c>
      <c r="S14" s="717">
        <v>0</v>
      </c>
      <c r="T14" s="717">
        <v>0</v>
      </c>
      <c r="U14" s="717">
        <v>0</v>
      </c>
      <c r="V14" s="717">
        <v>0</v>
      </c>
      <c r="W14" s="717">
        <v>0</v>
      </c>
      <c r="X14" s="310">
        <v>14.43</v>
      </c>
    </row>
    <row r="15" spans="1:24" ht="14.25" customHeight="1">
      <c r="A15" s="715" t="s">
        <v>39</v>
      </c>
      <c r="B15" s="716" t="s">
        <v>40</v>
      </c>
      <c r="C15" s="715" t="s">
        <v>41</v>
      </c>
      <c r="D15" s="717">
        <v>0</v>
      </c>
      <c r="E15" s="717">
        <v>0</v>
      </c>
      <c r="F15" s="717">
        <v>0</v>
      </c>
      <c r="G15" s="717">
        <v>0</v>
      </c>
      <c r="H15" s="717">
        <v>0</v>
      </c>
      <c r="I15" s="717">
        <v>0</v>
      </c>
      <c r="J15" s="717">
        <v>0</v>
      </c>
      <c r="K15" s="717">
        <v>0</v>
      </c>
      <c r="L15" s="717">
        <v>0</v>
      </c>
      <c r="M15" s="717">
        <v>0</v>
      </c>
      <c r="N15" s="717">
        <v>0</v>
      </c>
      <c r="O15" s="717">
        <v>0</v>
      </c>
      <c r="P15" s="717">
        <v>0</v>
      </c>
      <c r="Q15" s="717">
        <v>0</v>
      </c>
      <c r="R15" s="717">
        <v>0</v>
      </c>
      <c r="S15" s="717">
        <v>0</v>
      </c>
      <c r="T15" s="717">
        <v>0</v>
      </c>
      <c r="U15" s="717">
        <v>0</v>
      </c>
      <c r="V15" s="717">
        <v>0</v>
      </c>
      <c r="W15" s="717">
        <v>0</v>
      </c>
      <c r="X15" s="310">
        <v>0</v>
      </c>
    </row>
    <row r="16" spans="1:24" ht="14.25" customHeight="1">
      <c r="A16" s="715" t="s">
        <v>42</v>
      </c>
      <c r="B16" s="716" t="s">
        <v>43</v>
      </c>
      <c r="C16" s="715" t="s">
        <v>44</v>
      </c>
      <c r="D16" s="717">
        <v>0</v>
      </c>
      <c r="E16" s="717">
        <v>0</v>
      </c>
      <c r="F16" s="717">
        <v>0</v>
      </c>
      <c r="G16" s="717">
        <v>0</v>
      </c>
      <c r="H16" s="717">
        <v>0</v>
      </c>
      <c r="I16" s="717">
        <v>0</v>
      </c>
      <c r="J16" s="717">
        <v>0</v>
      </c>
      <c r="K16" s="717">
        <v>0</v>
      </c>
      <c r="L16" s="717">
        <v>0</v>
      </c>
      <c r="M16" s="717">
        <v>0</v>
      </c>
      <c r="N16" s="717">
        <v>0</v>
      </c>
      <c r="O16" s="717">
        <v>0</v>
      </c>
      <c r="P16" s="717">
        <v>0</v>
      </c>
      <c r="Q16" s="717">
        <v>0</v>
      </c>
      <c r="R16" s="717">
        <v>0</v>
      </c>
      <c r="S16" s="717">
        <v>0</v>
      </c>
      <c r="T16" s="717">
        <v>0</v>
      </c>
      <c r="U16" s="717">
        <v>0</v>
      </c>
      <c r="V16" s="717">
        <v>0</v>
      </c>
      <c r="W16" s="717">
        <v>0</v>
      </c>
      <c r="X16" s="310">
        <v>0</v>
      </c>
    </row>
    <row r="17" spans="1:24" s="53" customFormat="1" ht="14.25" customHeight="1">
      <c r="A17" s="718">
        <v>2</v>
      </c>
      <c r="B17" s="719" t="s">
        <v>45</v>
      </c>
      <c r="C17" s="718" t="s">
        <v>46</v>
      </c>
      <c r="D17" s="720">
        <v>63.189999999999991</v>
      </c>
      <c r="E17" s="720">
        <v>0.03</v>
      </c>
      <c r="F17" s="720">
        <v>0.08</v>
      </c>
      <c r="G17" s="720">
        <v>0.74</v>
      </c>
      <c r="H17" s="720">
        <v>4.1899999999999995</v>
      </c>
      <c r="I17" s="720">
        <v>2.8</v>
      </c>
      <c r="J17" s="720">
        <v>0.04</v>
      </c>
      <c r="K17" s="720">
        <v>3.6999999999999997</v>
      </c>
      <c r="L17" s="720">
        <v>0</v>
      </c>
      <c r="M17" s="720">
        <v>0</v>
      </c>
      <c r="N17" s="720">
        <v>35.299999999999997</v>
      </c>
      <c r="O17" s="720">
        <v>0</v>
      </c>
      <c r="P17" s="720">
        <v>0.15999999999999998</v>
      </c>
      <c r="Q17" s="720">
        <v>0</v>
      </c>
      <c r="R17" s="720">
        <v>0.32999999999999996</v>
      </c>
      <c r="S17" s="720">
        <v>13.430000000000001</v>
      </c>
      <c r="T17" s="720">
        <v>1.07</v>
      </c>
      <c r="U17" s="720">
        <v>1.32</v>
      </c>
      <c r="V17" s="720">
        <v>0</v>
      </c>
      <c r="W17" s="720">
        <v>0</v>
      </c>
      <c r="X17" s="310">
        <v>63.189999999999991</v>
      </c>
    </row>
    <row r="18" spans="1:24" ht="14.25" customHeight="1">
      <c r="A18" s="715" t="s">
        <v>47</v>
      </c>
      <c r="B18" s="716" t="s">
        <v>48</v>
      </c>
      <c r="C18" s="715" t="s">
        <v>49</v>
      </c>
      <c r="D18" s="717">
        <v>0.01</v>
      </c>
      <c r="E18" s="717">
        <v>0</v>
      </c>
      <c r="F18" s="717">
        <v>0</v>
      </c>
      <c r="G18" s="717">
        <v>0</v>
      </c>
      <c r="H18" s="717">
        <v>0</v>
      </c>
      <c r="I18" s="717">
        <v>0</v>
      </c>
      <c r="J18" s="717">
        <v>0</v>
      </c>
      <c r="K18" s="717">
        <v>0</v>
      </c>
      <c r="L18" s="717">
        <v>0</v>
      </c>
      <c r="M18" s="717">
        <v>0</v>
      </c>
      <c r="N18" s="717">
        <v>0</v>
      </c>
      <c r="O18" s="717">
        <v>0</v>
      </c>
      <c r="P18" s="717">
        <v>0</v>
      </c>
      <c r="Q18" s="717">
        <v>0</v>
      </c>
      <c r="R18" s="717">
        <v>0</v>
      </c>
      <c r="S18" s="717">
        <v>0</v>
      </c>
      <c r="T18" s="717">
        <v>0.01</v>
      </c>
      <c r="U18" s="717">
        <v>0</v>
      </c>
      <c r="V18" s="717">
        <v>0</v>
      </c>
      <c r="W18" s="717">
        <v>0</v>
      </c>
      <c r="X18" s="310">
        <v>0.01</v>
      </c>
    </row>
    <row r="19" spans="1:24" ht="14.25" customHeight="1">
      <c r="A19" s="715" t="s">
        <v>50</v>
      </c>
      <c r="B19" s="716" t="s">
        <v>51</v>
      </c>
      <c r="C19" s="715" t="s">
        <v>52</v>
      </c>
      <c r="D19" s="717">
        <v>0</v>
      </c>
      <c r="E19" s="717">
        <v>0</v>
      </c>
      <c r="F19" s="717">
        <v>0</v>
      </c>
      <c r="G19" s="717">
        <v>0</v>
      </c>
      <c r="H19" s="717">
        <v>0</v>
      </c>
      <c r="I19" s="717">
        <v>0</v>
      </c>
      <c r="J19" s="717">
        <v>0</v>
      </c>
      <c r="K19" s="717">
        <v>0</v>
      </c>
      <c r="L19" s="717">
        <v>0</v>
      </c>
      <c r="M19" s="717">
        <v>0</v>
      </c>
      <c r="N19" s="717">
        <v>0</v>
      </c>
      <c r="O19" s="717">
        <v>0</v>
      </c>
      <c r="P19" s="717">
        <v>0</v>
      </c>
      <c r="Q19" s="717">
        <v>0</v>
      </c>
      <c r="R19" s="717">
        <v>0</v>
      </c>
      <c r="S19" s="717">
        <v>0</v>
      </c>
      <c r="T19" s="717">
        <v>0</v>
      </c>
      <c r="U19" s="717">
        <v>0</v>
      </c>
      <c r="V19" s="717">
        <v>0</v>
      </c>
      <c r="W19" s="717">
        <v>0</v>
      </c>
      <c r="X19" s="310">
        <v>0</v>
      </c>
    </row>
    <row r="20" spans="1:24" ht="14.25" customHeight="1">
      <c r="A20" s="715" t="s">
        <v>53</v>
      </c>
      <c r="B20" s="716" t="s">
        <v>54</v>
      </c>
      <c r="C20" s="715" t="s">
        <v>55</v>
      </c>
      <c r="D20" s="717">
        <v>0.48</v>
      </c>
      <c r="E20" s="717">
        <v>0</v>
      </c>
      <c r="F20" s="717">
        <v>0</v>
      </c>
      <c r="G20" s="717">
        <v>0</v>
      </c>
      <c r="H20" s="717">
        <v>0</v>
      </c>
      <c r="I20" s="717">
        <v>0</v>
      </c>
      <c r="J20" s="717">
        <v>0</v>
      </c>
      <c r="K20" s="717">
        <v>0</v>
      </c>
      <c r="L20" s="717">
        <v>0</v>
      </c>
      <c r="M20" s="717">
        <v>0</v>
      </c>
      <c r="N20" s="717">
        <v>0.48</v>
      </c>
      <c r="O20" s="717">
        <v>0</v>
      </c>
      <c r="P20" s="717">
        <v>0</v>
      </c>
      <c r="Q20" s="717">
        <v>0</v>
      </c>
      <c r="R20" s="717">
        <v>0</v>
      </c>
      <c r="S20" s="717">
        <v>0</v>
      </c>
      <c r="T20" s="717">
        <v>0</v>
      </c>
      <c r="U20" s="717">
        <v>0</v>
      </c>
      <c r="V20" s="717">
        <v>0</v>
      </c>
      <c r="W20" s="717">
        <v>0</v>
      </c>
      <c r="X20" s="310">
        <v>0.48</v>
      </c>
    </row>
    <row r="21" spans="1:24" ht="14.25" customHeight="1">
      <c r="A21" s="715" t="s">
        <v>56</v>
      </c>
      <c r="B21" s="716" t="s">
        <v>57</v>
      </c>
      <c r="C21" s="715" t="s">
        <v>58</v>
      </c>
      <c r="D21" s="717">
        <v>0</v>
      </c>
      <c r="E21" s="717">
        <v>0</v>
      </c>
      <c r="F21" s="717">
        <v>0</v>
      </c>
      <c r="G21" s="717">
        <v>0</v>
      </c>
      <c r="H21" s="717">
        <v>0</v>
      </c>
      <c r="I21" s="717">
        <v>0</v>
      </c>
      <c r="J21" s="717">
        <v>0</v>
      </c>
      <c r="K21" s="717">
        <v>0</v>
      </c>
      <c r="L21" s="717">
        <v>0</v>
      </c>
      <c r="M21" s="717">
        <v>0</v>
      </c>
      <c r="N21" s="717">
        <v>0</v>
      </c>
      <c r="O21" s="717">
        <v>0</v>
      </c>
      <c r="P21" s="717">
        <v>0</v>
      </c>
      <c r="Q21" s="717">
        <v>0</v>
      </c>
      <c r="R21" s="717">
        <v>0</v>
      </c>
      <c r="S21" s="717">
        <v>0</v>
      </c>
      <c r="T21" s="717">
        <v>0</v>
      </c>
      <c r="U21" s="717">
        <v>0</v>
      </c>
      <c r="V21" s="717">
        <v>0</v>
      </c>
      <c r="W21" s="717">
        <v>0</v>
      </c>
      <c r="X21" s="310">
        <v>0</v>
      </c>
    </row>
    <row r="22" spans="1:24" ht="14.25" customHeight="1">
      <c r="A22" s="715" t="s">
        <v>59</v>
      </c>
      <c r="B22" s="716" t="s">
        <v>60</v>
      </c>
      <c r="C22" s="715" t="s">
        <v>61</v>
      </c>
      <c r="D22" s="717">
        <v>5.51</v>
      </c>
      <c r="E22" s="717">
        <v>0</v>
      </c>
      <c r="F22" s="717">
        <v>0</v>
      </c>
      <c r="G22" s="717">
        <v>0</v>
      </c>
      <c r="H22" s="717">
        <v>0</v>
      </c>
      <c r="I22" s="717">
        <v>0</v>
      </c>
      <c r="J22" s="717">
        <v>0</v>
      </c>
      <c r="K22" s="717">
        <v>0</v>
      </c>
      <c r="L22" s="717">
        <v>0</v>
      </c>
      <c r="M22" s="717">
        <v>0</v>
      </c>
      <c r="N22" s="717">
        <v>0</v>
      </c>
      <c r="O22" s="717">
        <v>0</v>
      </c>
      <c r="P22" s="717">
        <v>0</v>
      </c>
      <c r="Q22" s="717">
        <v>0</v>
      </c>
      <c r="R22" s="717">
        <v>0</v>
      </c>
      <c r="S22" s="717">
        <v>5.51</v>
      </c>
      <c r="T22" s="717">
        <v>0</v>
      </c>
      <c r="U22" s="717">
        <v>0</v>
      </c>
      <c r="V22" s="717">
        <v>0</v>
      </c>
      <c r="W22" s="717">
        <v>0</v>
      </c>
      <c r="X22" s="310">
        <v>5.51</v>
      </c>
    </row>
    <row r="23" spans="1:24" ht="14.25" customHeight="1">
      <c r="A23" s="715" t="s">
        <v>62</v>
      </c>
      <c r="B23" s="716" t="s">
        <v>63</v>
      </c>
      <c r="C23" s="715" t="s">
        <v>64</v>
      </c>
      <c r="D23" s="717">
        <v>3.51</v>
      </c>
      <c r="E23" s="717">
        <v>0</v>
      </c>
      <c r="F23" s="717">
        <v>0</v>
      </c>
      <c r="G23" s="717">
        <v>0</v>
      </c>
      <c r="H23" s="717">
        <v>0</v>
      </c>
      <c r="I23" s="717">
        <v>0</v>
      </c>
      <c r="J23" s="717">
        <v>0</v>
      </c>
      <c r="K23" s="717">
        <v>0</v>
      </c>
      <c r="L23" s="717">
        <v>0</v>
      </c>
      <c r="M23" s="717">
        <v>0</v>
      </c>
      <c r="N23" s="717">
        <v>2.04</v>
      </c>
      <c r="O23" s="717">
        <v>0</v>
      </c>
      <c r="P23" s="717">
        <v>0</v>
      </c>
      <c r="Q23" s="717">
        <v>0</v>
      </c>
      <c r="R23" s="717">
        <v>0</v>
      </c>
      <c r="S23" s="717">
        <v>1.47</v>
      </c>
      <c r="T23" s="717">
        <v>0</v>
      </c>
      <c r="U23" s="717">
        <v>0</v>
      </c>
      <c r="V23" s="717">
        <v>0</v>
      </c>
      <c r="W23" s="717">
        <v>0</v>
      </c>
      <c r="X23" s="310">
        <v>3.51</v>
      </c>
    </row>
    <row r="24" spans="1:24" ht="14.25" customHeight="1">
      <c r="A24" s="715" t="s">
        <v>65</v>
      </c>
      <c r="B24" s="716" t="s">
        <v>66</v>
      </c>
      <c r="C24" s="715" t="s">
        <v>67</v>
      </c>
      <c r="D24" s="717">
        <v>2.74</v>
      </c>
      <c r="E24" s="717">
        <v>0</v>
      </c>
      <c r="F24" s="717">
        <v>0</v>
      </c>
      <c r="G24" s="717">
        <v>0.55000000000000004</v>
      </c>
      <c r="H24" s="717">
        <v>0</v>
      </c>
      <c r="I24" s="717">
        <v>0</v>
      </c>
      <c r="J24" s="717">
        <v>0</v>
      </c>
      <c r="K24" s="717">
        <v>0</v>
      </c>
      <c r="L24" s="717">
        <v>0</v>
      </c>
      <c r="M24" s="717">
        <v>0</v>
      </c>
      <c r="N24" s="717">
        <v>0</v>
      </c>
      <c r="O24" s="717">
        <v>0</v>
      </c>
      <c r="P24" s="717">
        <v>0</v>
      </c>
      <c r="Q24" s="717">
        <v>0</v>
      </c>
      <c r="R24" s="717">
        <v>0</v>
      </c>
      <c r="S24" s="717">
        <v>2.19</v>
      </c>
      <c r="T24" s="717">
        <v>0</v>
      </c>
      <c r="U24" s="717">
        <v>0</v>
      </c>
      <c r="V24" s="717">
        <v>0</v>
      </c>
      <c r="W24" s="717">
        <v>0</v>
      </c>
      <c r="X24" s="310">
        <v>2.74</v>
      </c>
    </row>
    <row r="25" spans="1:24" ht="14.25" customHeight="1">
      <c r="A25" s="715" t="s">
        <v>68</v>
      </c>
      <c r="B25" s="716" t="s">
        <v>69</v>
      </c>
      <c r="C25" s="715" t="s">
        <v>70</v>
      </c>
      <c r="D25" s="717">
        <v>0</v>
      </c>
      <c r="E25" s="717">
        <v>0</v>
      </c>
      <c r="F25" s="717">
        <v>0</v>
      </c>
      <c r="G25" s="717">
        <v>0</v>
      </c>
      <c r="H25" s="717">
        <v>0</v>
      </c>
      <c r="I25" s="717">
        <v>0</v>
      </c>
      <c r="J25" s="717">
        <v>0</v>
      </c>
      <c r="K25" s="717">
        <v>0</v>
      </c>
      <c r="L25" s="717">
        <v>0</v>
      </c>
      <c r="M25" s="717">
        <v>0</v>
      </c>
      <c r="N25" s="717">
        <v>0</v>
      </c>
      <c r="O25" s="717">
        <v>0</v>
      </c>
      <c r="P25" s="717">
        <v>0</v>
      </c>
      <c r="Q25" s="717">
        <v>0</v>
      </c>
      <c r="R25" s="717">
        <v>0</v>
      </c>
      <c r="S25" s="717">
        <v>0</v>
      </c>
      <c r="T25" s="717">
        <v>0</v>
      </c>
      <c r="U25" s="717">
        <v>0</v>
      </c>
      <c r="V25" s="717">
        <v>0</v>
      </c>
      <c r="W25" s="717">
        <v>0</v>
      </c>
      <c r="X25" s="310">
        <v>0</v>
      </c>
    </row>
    <row r="26" spans="1:24" ht="14.25" customHeight="1">
      <c r="A26" s="715" t="s">
        <v>71</v>
      </c>
      <c r="B26" s="716" t="s">
        <v>135</v>
      </c>
      <c r="C26" s="715" t="s">
        <v>72</v>
      </c>
      <c r="D26" s="717">
        <v>29.82</v>
      </c>
      <c r="E26" s="717">
        <v>0.03</v>
      </c>
      <c r="F26" s="717">
        <v>0.08</v>
      </c>
      <c r="G26" s="717">
        <v>0.19</v>
      </c>
      <c r="H26" s="717">
        <v>2.9</v>
      </c>
      <c r="I26" s="717">
        <v>1.6300000000000001</v>
      </c>
      <c r="J26" s="717">
        <v>0.01</v>
      </c>
      <c r="K26" s="717">
        <v>2.57</v>
      </c>
      <c r="L26" s="717">
        <v>0</v>
      </c>
      <c r="M26" s="717">
        <v>0</v>
      </c>
      <c r="N26" s="717">
        <v>16.59</v>
      </c>
      <c r="O26" s="717">
        <v>0</v>
      </c>
      <c r="P26" s="717">
        <v>0.13999999999999999</v>
      </c>
      <c r="Q26" s="717">
        <v>0</v>
      </c>
      <c r="R26" s="717">
        <v>0.04</v>
      </c>
      <c r="S26" s="717">
        <v>3.2600000000000002</v>
      </c>
      <c r="T26" s="717">
        <v>1.06</v>
      </c>
      <c r="U26" s="717">
        <v>1.32</v>
      </c>
      <c r="V26" s="717">
        <v>0</v>
      </c>
      <c r="W26" s="717">
        <v>0</v>
      </c>
      <c r="X26" s="310">
        <v>29.82</v>
      </c>
    </row>
    <row r="27" spans="1:24" ht="14.25" customHeight="1">
      <c r="A27" s="715" t="s">
        <v>73</v>
      </c>
      <c r="B27" s="716" t="s">
        <v>74</v>
      </c>
      <c r="C27" s="715" t="s">
        <v>75</v>
      </c>
      <c r="D27" s="717">
        <v>0</v>
      </c>
      <c r="E27" s="717">
        <v>0</v>
      </c>
      <c r="F27" s="717">
        <v>0</v>
      </c>
      <c r="G27" s="717">
        <v>0</v>
      </c>
      <c r="H27" s="717">
        <v>0</v>
      </c>
      <c r="I27" s="717">
        <v>0</v>
      </c>
      <c r="J27" s="717">
        <v>0</v>
      </c>
      <c r="K27" s="717">
        <v>0</v>
      </c>
      <c r="L27" s="717">
        <v>0</v>
      </c>
      <c r="M27" s="717">
        <v>0</v>
      </c>
      <c r="N27" s="717">
        <v>0</v>
      </c>
      <c r="O27" s="717">
        <v>0</v>
      </c>
      <c r="P27" s="717">
        <v>0</v>
      </c>
      <c r="Q27" s="717">
        <v>0</v>
      </c>
      <c r="R27" s="717">
        <v>0</v>
      </c>
      <c r="S27" s="717">
        <v>0</v>
      </c>
      <c r="T27" s="717">
        <v>0</v>
      </c>
      <c r="U27" s="717">
        <v>0</v>
      </c>
      <c r="V27" s="717">
        <v>0</v>
      </c>
      <c r="W27" s="717">
        <v>0</v>
      </c>
      <c r="X27" s="310">
        <v>0</v>
      </c>
    </row>
    <row r="28" spans="1:24" ht="14.25" customHeight="1">
      <c r="A28" s="715" t="s">
        <v>76</v>
      </c>
      <c r="B28" s="716" t="s">
        <v>77</v>
      </c>
      <c r="C28" s="715" t="s">
        <v>78</v>
      </c>
      <c r="D28" s="717">
        <v>0</v>
      </c>
      <c r="E28" s="717">
        <v>0</v>
      </c>
      <c r="F28" s="717">
        <v>0</v>
      </c>
      <c r="G28" s="717">
        <v>0</v>
      </c>
      <c r="H28" s="717">
        <v>0</v>
      </c>
      <c r="I28" s="717">
        <v>0</v>
      </c>
      <c r="J28" s="717">
        <v>0</v>
      </c>
      <c r="K28" s="717">
        <v>0</v>
      </c>
      <c r="L28" s="717">
        <v>0</v>
      </c>
      <c r="M28" s="717">
        <v>0</v>
      </c>
      <c r="N28" s="717">
        <v>0</v>
      </c>
      <c r="O28" s="717">
        <v>0</v>
      </c>
      <c r="P28" s="717">
        <v>0</v>
      </c>
      <c r="Q28" s="717">
        <v>0</v>
      </c>
      <c r="R28" s="717">
        <v>0</v>
      </c>
      <c r="S28" s="717">
        <v>0</v>
      </c>
      <c r="T28" s="717">
        <v>0</v>
      </c>
      <c r="U28" s="717">
        <v>0</v>
      </c>
      <c r="V28" s="717">
        <v>0</v>
      </c>
      <c r="W28" s="717">
        <v>0</v>
      </c>
      <c r="X28" s="310">
        <v>0</v>
      </c>
    </row>
    <row r="29" spans="1:24" ht="14.25" customHeight="1">
      <c r="A29" s="715" t="s">
        <v>79</v>
      </c>
      <c r="B29" s="716" t="s">
        <v>80</v>
      </c>
      <c r="C29" s="715" t="s">
        <v>81</v>
      </c>
      <c r="D29" s="717">
        <v>2.62</v>
      </c>
      <c r="E29" s="717">
        <v>0</v>
      </c>
      <c r="F29" s="717">
        <v>0</v>
      </c>
      <c r="G29" s="717">
        <v>0</v>
      </c>
      <c r="H29" s="717">
        <v>1.29</v>
      </c>
      <c r="I29" s="717">
        <v>0.2</v>
      </c>
      <c r="J29" s="717">
        <v>0</v>
      </c>
      <c r="K29" s="717">
        <v>1.1299999999999999</v>
      </c>
      <c r="L29" s="717">
        <v>0</v>
      </c>
      <c r="M29" s="717">
        <v>0</v>
      </c>
      <c r="N29" s="717">
        <v>0</v>
      </c>
      <c r="O29" s="717">
        <v>0</v>
      </c>
      <c r="P29" s="717">
        <v>0</v>
      </c>
      <c r="Q29" s="717">
        <v>0</v>
      </c>
      <c r="R29" s="717">
        <v>0</v>
      </c>
      <c r="S29" s="717">
        <v>0</v>
      </c>
      <c r="T29" s="717">
        <v>0</v>
      </c>
      <c r="U29" s="717">
        <v>0</v>
      </c>
      <c r="V29" s="717">
        <v>0</v>
      </c>
      <c r="W29" s="717">
        <v>0</v>
      </c>
      <c r="X29" s="310">
        <v>2.62</v>
      </c>
    </row>
    <row r="30" spans="1:24" ht="14.25" customHeight="1">
      <c r="A30" s="715" t="s">
        <v>82</v>
      </c>
      <c r="B30" s="716" t="s">
        <v>83</v>
      </c>
      <c r="C30" s="715" t="s">
        <v>84</v>
      </c>
      <c r="D30" s="717">
        <v>1</v>
      </c>
      <c r="E30" s="717">
        <v>0</v>
      </c>
      <c r="F30" s="717">
        <v>0</v>
      </c>
      <c r="G30" s="717">
        <v>0</v>
      </c>
      <c r="H30" s="717">
        <v>0</v>
      </c>
      <c r="I30" s="717">
        <v>0.97</v>
      </c>
      <c r="J30" s="717">
        <v>0.03</v>
      </c>
      <c r="K30" s="717">
        <v>0</v>
      </c>
      <c r="L30" s="717">
        <v>0</v>
      </c>
      <c r="M30" s="717">
        <v>0</v>
      </c>
      <c r="N30" s="717">
        <v>0</v>
      </c>
      <c r="O30" s="717">
        <v>0</v>
      </c>
      <c r="P30" s="717">
        <v>0</v>
      </c>
      <c r="Q30" s="717">
        <v>0</v>
      </c>
      <c r="R30" s="717">
        <v>0</v>
      </c>
      <c r="S30" s="717">
        <v>0</v>
      </c>
      <c r="T30" s="717">
        <v>0</v>
      </c>
      <c r="U30" s="717">
        <v>0</v>
      </c>
      <c r="V30" s="717">
        <v>0</v>
      </c>
      <c r="W30" s="717">
        <v>0</v>
      </c>
      <c r="X30" s="310">
        <v>1</v>
      </c>
    </row>
    <row r="31" spans="1:24" ht="14.25" customHeight="1">
      <c r="A31" s="715" t="s">
        <v>85</v>
      </c>
      <c r="B31" s="716" t="s">
        <v>86</v>
      </c>
      <c r="C31" s="715" t="s">
        <v>87</v>
      </c>
      <c r="D31" s="717">
        <v>11.969999999999999</v>
      </c>
      <c r="E31" s="717">
        <v>0</v>
      </c>
      <c r="F31" s="717">
        <v>0</v>
      </c>
      <c r="G31" s="717">
        <v>0</v>
      </c>
      <c r="H31" s="717">
        <v>0</v>
      </c>
      <c r="I31" s="717">
        <v>0</v>
      </c>
      <c r="J31" s="717">
        <v>0</v>
      </c>
      <c r="K31" s="717">
        <v>0</v>
      </c>
      <c r="L31" s="717">
        <v>0</v>
      </c>
      <c r="M31" s="717">
        <v>0</v>
      </c>
      <c r="N31" s="717">
        <v>11.27</v>
      </c>
      <c r="O31" s="717">
        <v>0</v>
      </c>
      <c r="P31" s="717">
        <v>0.02</v>
      </c>
      <c r="Q31" s="717">
        <v>0</v>
      </c>
      <c r="R31" s="717">
        <v>0.28999999999999998</v>
      </c>
      <c r="S31" s="717">
        <v>0.39</v>
      </c>
      <c r="T31" s="717">
        <v>0</v>
      </c>
      <c r="U31" s="717">
        <v>0</v>
      </c>
      <c r="V31" s="717">
        <v>0</v>
      </c>
      <c r="W31" s="717">
        <v>0</v>
      </c>
      <c r="X31" s="310">
        <v>11.969999999999999</v>
      </c>
    </row>
    <row r="32" spans="1:24" ht="14.25" customHeight="1">
      <c r="A32" s="715" t="s">
        <v>88</v>
      </c>
      <c r="B32" s="716" t="s">
        <v>89</v>
      </c>
      <c r="C32" s="715" t="s">
        <v>90</v>
      </c>
      <c r="D32" s="717">
        <v>0.06</v>
      </c>
      <c r="E32" s="717">
        <v>0</v>
      </c>
      <c r="F32" s="717">
        <v>0</v>
      </c>
      <c r="G32" s="717">
        <v>0</v>
      </c>
      <c r="H32" s="717">
        <v>0</v>
      </c>
      <c r="I32" s="717">
        <v>0</v>
      </c>
      <c r="J32" s="717">
        <v>0</v>
      </c>
      <c r="K32" s="717">
        <v>0</v>
      </c>
      <c r="L32" s="717">
        <v>0</v>
      </c>
      <c r="M32" s="717">
        <v>0</v>
      </c>
      <c r="N32" s="717">
        <v>0</v>
      </c>
      <c r="O32" s="717">
        <v>0</v>
      </c>
      <c r="P32" s="717">
        <v>0</v>
      </c>
      <c r="Q32" s="717">
        <v>0</v>
      </c>
      <c r="R32" s="717">
        <v>0</v>
      </c>
      <c r="S32" s="717">
        <v>0.06</v>
      </c>
      <c r="T32" s="717">
        <v>0</v>
      </c>
      <c r="U32" s="717">
        <v>0</v>
      </c>
      <c r="V32" s="717">
        <v>0</v>
      </c>
      <c r="W32" s="717">
        <v>0</v>
      </c>
      <c r="X32" s="310">
        <v>0.06</v>
      </c>
    </row>
    <row r="33" spans="1:24" ht="14.25" customHeight="1">
      <c r="A33" s="715" t="s">
        <v>91</v>
      </c>
      <c r="B33" s="716" t="s">
        <v>92</v>
      </c>
      <c r="C33" s="715" t="s">
        <v>93</v>
      </c>
      <c r="D33" s="717">
        <v>0</v>
      </c>
      <c r="E33" s="717">
        <v>0</v>
      </c>
      <c r="F33" s="717">
        <v>0</v>
      </c>
      <c r="G33" s="717">
        <v>0</v>
      </c>
      <c r="H33" s="717">
        <v>0</v>
      </c>
      <c r="I33" s="717">
        <v>0</v>
      </c>
      <c r="J33" s="717">
        <v>0</v>
      </c>
      <c r="K33" s="717">
        <v>0</v>
      </c>
      <c r="L33" s="717">
        <v>0</v>
      </c>
      <c r="M33" s="717">
        <v>0</v>
      </c>
      <c r="N33" s="717">
        <v>0</v>
      </c>
      <c r="O33" s="717">
        <v>0</v>
      </c>
      <c r="P33" s="717">
        <v>0</v>
      </c>
      <c r="Q33" s="717">
        <v>0</v>
      </c>
      <c r="R33" s="717">
        <v>0</v>
      </c>
      <c r="S33" s="717">
        <v>0</v>
      </c>
      <c r="T33" s="717">
        <v>0</v>
      </c>
      <c r="U33" s="717">
        <v>0</v>
      </c>
      <c r="V33" s="717">
        <v>0</v>
      </c>
      <c r="W33" s="717">
        <v>0</v>
      </c>
      <c r="X33" s="310">
        <v>0</v>
      </c>
    </row>
    <row r="34" spans="1:24" ht="14.25" customHeight="1">
      <c r="A34" s="715" t="s">
        <v>94</v>
      </c>
      <c r="B34" s="716" t="s">
        <v>95</v>
      </c>
      <c r="C34" s="715" t="s">
        <v>96</v>
      </c>
      <c r="D34" s="717">
        <v>0</v>
      </c>
      <c r="E34" s="717">
        <v>0</v>
      </c>
      <c r="F34" s="717">
        <v>0</v>
      </c>
      <c r="G34" s="717">
        <v>0</v>
      </c>
      <c r="H34" s="717">
        <v>0</v>
      </c>
      <c r="I34" s="717">
        <v>0</v>
      </c>
      <c r="J34" s="717">
        <v>0</v>
      </c>
      <c r="K34" s="717">
        <v>0</v>
      </c>
      <c r="L34" s="717">
        <v>0</v>
      </c>
      <c r="M34" s="717">
        <v>0</v>
      </c>
      <c r="N34" s="717">
        <v>0</v>
      </c>
      <c r="O34" s="717">
        <v>0</v>
      </c>
      <c r="P34" s="717">
        <v>0</v>
      </c>
      <c r="Q34" s="717">
        <v>0</v>
      </c>
      <c r="R34" s="717">
        <v>0</v>
      </c>
      <c r="S34" s="717">
        <v>0</v>
      </c>
      <c r="T34" s="717">
        <v>0</v>
      </c>
      <c r="U34" s="717">
        <v>0</v>
      </c>
      <c r="V34" s="717">
        <v>0</v>
      </c>
      <c r="W34" s="717">
        <v>0</v>
      </c>
      <c r="X34" s="310">
        <v>0</v>
      </c>
    </row>
    <row r="35" spans="1:24" ht="14.25" customHeight="1">
      <c r="A35" s="715" t="s">
        <v>97</v>
      </c>
      <c r="B35" s="716" t="s">
        <v>98</v>
      </c>
      <c r="C35" s="715" t="s">
        <v>99</v>
      </c>
      <c r="D35" s="717">
        <v>0</v>
      </c>
      <c r="E35" s="717">
        <v>0</v>
      </c>
      <c r="F35" s="717">
        <v>0</v>
      </c>
      <c r="G35" s="717">
        <v>0</v>
      </c>
      <c r="H35" s="717">
        <v>0</v>
      </c>
      <c r="I35" s="717">
        <v>0</v>
      </c>
      <c r="J35" s="717">
        <v>0</v>
      </c>
      <c r="K35" s="717">
        <v>0</v>
      </c>
      <c r="L35" s="717">
        <v>0</v>
      </c>
      <c r="M35" s="717">
        <v>0</v>
      </c>
      <c r="N35" s="717">
        <v>0</v>
      </c>
      <c r="O35" s="717">
        <v>0</v>
      </c>
      <c r="P35" s="717">
        <v>0</v>
      </c>
      <c r="Q35" s="717">
        <v>0</v>
      </c>
      <c r="R35" s="717">
        <v>0</v>
      </c>
      <c r="S35" s="717">
        <v>0</v>
      </c>
      <c r="T35" s="717">
        <v>0</v>
      </c>
      <c r="U35" s="717">
        <v>0</v>
      </c>
      <c r="V35" s="717">
        <v>0</v>
      </c>
      <c r="W35" s="717">
        <v>0</v>
      </c>
      <c r="X35" s="310">
        <v>0</v>
      </c>
    </row>
    <row r="36" spans="1:24" ht="14.25" customHeight="1">
      <c r="A36" s="715" t="s">
        <v>100</v>
      </c>
      <c r="B36" s="716" t="s">
        <v>134</v>
      </c>
      <c r="C36" s="715" t="s">
        <v>101</v>
      </c>
      <c r="D36" s="717">
        <v>0</v>
      </c>
      <c r="E36" s="717">
        <v>0</v>
      </c>
      <c r="F36" s="717">
        <v>0</v>
      </c>
      <c r="G36" s="717">
        <v>0</v>
      </c>
      <c r="H36" s="717">
        <v>0</v>
      </c>
      <c r="I36" s="717">
        <v>0</v>
      </c>
      <c r="J36" s="717">
        <v>0</v>
      </c>
      <c r="K36" s="717">
        <v>0</v>
      </c>
      <c r="L36" s="717">
        <v>0</v>
      </c>
      <c r="M36" s="717">
        <v>0</v>
      </c>
      <c r="N36" s="717">
        <v>0</v>
      </c>
      <c r="O36" s="717">
        <v>0</v>
      </c>
      <c r="P36" s="717">
        <v>0</v>
      </c>
      <c r="Q36" s="717">
        <v>0</v>
      </c>
      <c r="R36" s="717">
        <v>0</v>
      </c>
      <c r="S36" s="717">
        <v>0</v>
      </c>
      <c r="T36" s="717">
        <v>0</v>
      </c>
      <c r="U36" s="717">
        <v>0</v>
      </c>
      <c r="V36" s="717">
        <v>0</v>
      </c>
      <c r="W36" s="717">
        <v>0</v>
      </c>
      <c r="X36" s="310">
        <v>0</v>
      </c>
    </row>
    <row r="37" spans="1:24" ht="14.25" customHeight="1">
      <c r="A37" s="715" t="s">
        <v>102</v>
      </c>
      <c r="B37" s="716" t="s">
        <v>103</v>
      </c>
      <c r="C37" s="715" t="s">
        <v>104</v>
      </c>
      <c r="D37" s="717">
        <v>0.06</v>
      </c>
      <c r="E37" s="717">
        <v>0</v>
      </c>
      <c r="F37" s="717">
        <v>0</v>
      </c>
      <c r="G37" s="717">
        <v>0</v>
      </c>
      <c r="H37" s="717">
        <v>0</v>
      </c>
      <c r="I37" s="717">
        <v>0</v>
      </c>
      <c r="J37" s="717">
        <v>0</v>
      </c>
      <c r="K37" s="717">
        <v>0</v>
      </c>
      <c r="L37" s="717">
        <v>0</v>
      </c>
      <c r="M37" s="717">
        <v>0</v>
      </c>
      <c r="N37" s="717">
        <v>0.06</v>
      </c>
      <c r="O37" s="717">
        <v>0</v>
      </c>
      <c r="P37" s="717">
        <v>0</v>
      </c>
      <c r="Q37" s="717">
        <v>0</v>
      </c>
      <c r="R37" s="717">
        <v>0</v>
      </c>
      <c r="S37" s="717">
        <v>0</v>
      </c>
      <c r="T37" s="717">
        <v>0</v>
      </c>
      <c r="U37" s="717">
        <v>0</v>
      </c>
      <c r="V37" s="717">
        <v>0</v>
      </c>
      <c r="W37" s="717">
        <v>0</v>
      </c>
      <c r="X37" s="310">
        <v>0.06</v>
      </c>
    </row>
    <row r="38" spans="1:24" ht="14.25" customHeight="1">
      <c r="A38" s="715" t="s">
        <v>105</v>
      </c>
      <c r="B38" s="716" t="s">
        <v>106</v>
      </c>
      <c r="C38" s="715" t="s">
        <v>107</v>
      </c>
      <c r="D38" s="717">
        <v>0</v>
      </c>
      <c r="E38" s="717">
        <v>0</v>
      </c>
      <c r="F38" s="717">
        <v>0</v>
      </c>
      <c r="G38" s="717">
        <v>0</v>
      </c>
      <c r="H38" s="717">
        <v>0</v>
      </c>
      <c r="I38" s="717">
        <v>0</v>
      </c>
      <c r="J38" s="717">
        <v>0</v>
      </c>
      <c r="K38" s="717">
        <v>0</v>
      </c>
      <c r="L38" s="717">
        <v>0</v>
      </c>
      <c r="M38" s="717">
        <v>0</v>
      </c>
      <c r="N38" s="717">
        <v>0</v>
      </c>
      <c r="O38" s="717">
        <v>0</v>
      </c>
      <c r="P38" s="717">
        <v>0</v>
      </c>
      <c r="Q38" s="717">
        <v>0</v>
      </c>
      <c r="R38" s="717">
        <v>0</v>
      </c>
      <c r="S38" s="717">
        <v>0</v>
      </c>
      <c r="T38" s="717">
        <v>0</v>
      </c>
      <c r="U38" s="717">
        <v>0</v>
      </c>
      <c r="V38" s="717">
        <v>0</v>
      </c>
      <c r="W38" s="717">
        <v>0</v>
      </c>
      <c r="X38" s="310">
        <v>0</v>
      </c>
    </row>
    <row r="39" spans="1:24" ht="14.25" customHeight="1">
      <c r="A39" s="715" t="s">
        <v>108</v>
      </c>
      <c r="B39" s="716" t="s">
        <v>109</v>
      </c>
      <c r="C39" s="715" t="s">
        <v>110</v>
      </c>
      <c r="D39" s="717">
        <v>2.95</v>
      </c>
      <c r="E39" s="717">
        <v>0</v>
      </c>
      <c r="F39" s="717">
        <v>0</v>
      </c>
      <c r="G39" s="717">
        <v>0</v>
      </c>
      <c r="H39" s="717">
        <v>0</v>
      </c>
      <c r="I39" s="717">
        <v>0</v>
      </c>
      <c r="J39" s="717">
        <v>0</v>
      </c>
      <c r="K39" s="717">
        <v>0</v>
      </c>
      <c r="L39" s="717">
        <v>0</v>
      </c>
      <c r="M39" s="717">
        <v>0</v>
      </c>
      <c r="N39" s="717">
        <v>2.4</v>
      </c>
      <c r="O39" s="717">
        <v>0</v>
      </c>
      <c r="P39" s="717">
        <v>0</v>
      </c>
      <c r="Q39" s="717">
        <v>0</v>
      </c>
      <c r="R39" s="717">
        <v>0</v>
      </c>
      <c r="S39" s="717">
        <v>0.55000000000000004</v>
      </c>
      <c r="T39" s="717">
        <v>0</v>
      </c>
      <c r="U39" s="717">
        <v>0</v>
      </c>
      <c r="V39" s="717">
        <v>0</v>
      </c>
      <c r="W39" s="717">
        <v>0</v>
      </c>
      <c r="X39" s="310">
        <v>2.95</v>
      </c>
    </row>
    <row r="40" spans="1:24" ht="14.25" customHeight="1">
      <c r="A40" s="715" t="s">
        <v>111</v>
      </c>
      <c r="B40" s="716" t="s">
        <v>112</v>
      </c>
      <c r="C40" s="715" t="s">
        <v>113</v>
      </c>
      <c r="D40" s="717">
        <v>0</v>
      </c>
      <c r="E40" s="717">
        <v>0</v>
      </c>
      <c r="F40" s="717">
        <v>0</v>
      </c>
      <c r="G40" s="717">
        <v>0</v>
      </c>
      <c r="H40" s="717">
        <v>0</v>
      </c>
      <c r="I40" s="717">
        <v>0</v>
      </c>
      <c r="J40" s="717">
        <v>0</v>
      </c>
      <c r="K40" s="717">
        <v>0</v>
      </c>
      <c r="L40" s="717">
        <v>0</v>
      </c>
      <c r="M40" s="717">
        <v>0</v>
      </c>
      <c r="N40" s="717">
        <v>0</v>
      </c>
      <c r="O40" s="717">
        <v>0</v>
      </c>
      <c r="P40" s="717">
        <v>0</v>
      </c>
      <c r="Q40" s="717">
        <v>0</v>
      </c>
      <c r="R40" s="717">
        <v>0</v>
      </c>
      <c r="S40" s="717">
        <v>0</v>
      </c>
      <c r="T40" s="717">
        <v>0</v>
      </c>
      <c r="U40" s="717">
        <v>0</v>
      </c>
      <c r="V40" s="717">
        <v>0</v>
      </c>
      <c r="W40" s="717">
        <v>0</v>
      </c>
      <c r="X40" s="310">
        <v>0</v>
      </c>
    </row>
    <row r="41" spans="1:24" ht="14.25" customHeight="1">
      <c r="A41" s="715" t="s">
        <v>114</v>
      </c>
      <c r="B41" s="716" t="s">
        <v>115</v>
      </c>
      <c r="C41" s="715" t="s">
        <v>116</v>
      </c>
      <c r="D41" s="717">
        <v>0</v>
      </c>
      <c r="E41" s="717">
        <v>0</v>
      </c>
      <c r="F41" s="717">
        <v>0</v>
      </c>
      <c r="G41" s="717">
        <v>0</v>
      </c>
      <c r="H41" s="717">
        <v>0</v>
      </c>
      <c r="I41" s="717">
        <v>0</v>
      </c>
      <c r="J41" s="717">
        <v>0</v>
      </c>
      <c r="K41" s="717">
        <v>0</v>
      </c>
      <c r="L41" s="717">
        <v>0</v>
      </c>
      <c r="M41" s="717">
        <v>0</v>
      </c>
      <c r="N41" s="717">
        <v>0</v>
      </c>
      <c r="O41" s="717">
        <v>0</v>
      </c>
      <c r="P41" s="717">
        <v>0</v>
      </c>
      <c r="Q41" s="717">
        <v>0</v>
      </c>
      <c r="R41" s="717">
        <v>0</v>
      </c>
      <c r="S41" s="717">
        <v>0</v>
      </c>
      <c r="T41" s="717">
        <v>0</v>
      </c>
      <c r="U41" s="717">
        <v>0</v>
      </c>
      <c r="V41" s="717">
        <v>0</v>
      </c>
      <c r="W41" s="717">
        <v>0</v>
      </c>
      <c r="X41" s="310">
        <v>0</v>
      </c>
    </row>
    <row r="42" spans="1:24" ht="14.25" customHeight="1">
      <c r="A42" s="715" t="s">
        <v>117</v>
      </c>
      <c r="B42" s="716" t="s">
        <v>118</v>
      </c>
      <c r="C42" s="715" t="s">
        <v>119</v>
      </c>
      <c r="D42" s="717">
        <v>2.46</v>
      </c>
      <c r="E42" s="717">
        <v>0</v>
      </c>
      <c r="F42" s="717">
        <v>0</v>
      </c>
      <c r="G42" s="717">
        <v>0</v>
      </c>
      <c r="H42" s="717">
        <v>0</v>
      </c>
      <c r="I42" s="717">
        <v>0</v>
      </c>
      <c r="J42" s="717">
        <v>0</v>
      </c>
      <c r="K42" s="717">
        <v>0</v>
      </c>
      <c r="L42" s="717">
        <v>0</v>
      </c>
      <c r="M42" s="717">
        <v>0</v>
      </c>
      <c r="N42" s="717">
        <v>2.46</v>
      </c>
      <c r="O42" s="717">
        <v>0</v>
      </c>
      <c r="P42" s="717">
        <v>0</v>
      </c>
      <c r="Q42" s="717">
        <v>0</v>
      </c>
      <c r="R42" s="717">
        <v>0</v>
      </c>
      <c r="S42" s="717">
        <v>0</v>
      </c>
      <c r="T42" s="717">
        <v>0</v>
      </c>
      <c r="U42" s="717">
        <v>0</v>
      </c>
      <c r="V42" s="717">
        <v>0</v>
      </c>
      <c r="W42" s="717">
        <v>0</v>
      </c>
      <c r="X42" s="310">
        <v>2.46</v>
      </c>
    </row>
    <row r="43" spans="1:24" ht="14.25" customHeight="1">
      <c r="A43" s="723" t="s">
        <v>120</v>
      </c>
      <c r="B43" s="724" t="s">
        <v>121</v>
      </c>
      <c r="C43" s="723" t="s">
        <v>122</v>
      </c>
      <c r="D43" s="725">
        <v>0</v>
      </c>
      <c r="E43" s="725">
        <v>0</v>
      </c>
      <c r="F43" s="725">
        <v>0</v>
      </c>
      <c r="G43" s="725">
        <v>0</v>
      </c>
      <c r="H43" s="725">
        <v>0</v>
      </c>
      <c r="I43" s="725">
        <v>0</v>
      </c>
      <c r="J43" s="725">
        <v>0</v>
      </c>
      <c r="K43" s="725">
        <v>0</v>
      </c>
      <c r="L43" s="725">
        <v>0</v>
      </c>
      <c r="M43" s="725">
        <v>0</v>
      </c>
      <c r="N43" s="725">
        <v>0</v>
      </c>
      <c r="O43" s="725">
        <v>0</v>
      </c>
      <c r="P43" s="725">
        <v>0</v>
      </c>
      <c r="Q43" s="725">
        <v>0</v>
      </c>
      <c r="R43" s="725">
        <v>0</v>
      </c>
      <c r="S43" s="725">
        <v>0</v>
      </c>
      <c r="T43" s="725">
        <v>0</v>
      </c>
      <c r="U43" s="725">
        <v>0</v>
      </c>
      <c r="V43" s="725">
        <v>0</v>
      </c>
      <c r="W43" s="725">
        <v>0</v>
      </c>
      <c r="X43" s="310">
        <v>0</v>
      </c>
    </row>
  </sheetData>
  <mergeCells count="8">
    <mergeCell ref="A2:W2"/>
    <mergeCell ref="A1:B1"/>
    <mergeCell ref="V3:W3"/>
    <mergeCell ref="A4:A5"/>
    <mergeCell ref="E4:W4"/>
    <mergeCell ref="B4:B5"/>
    <mergeCell ref="C4:C5"/>
    <mergeCell ref="D4:D5"/>
  </mergeCells>
  <phoneticPr fontId="4" type="noConversion"/>
  <printOptions horizontalCentered="1"/>
  <pageMargins left="0.2" right="0.2" top="1" bottom="0.25" header="0.5" footer="0.5"/>
  <pageSetup paperSize="9" scale="8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AC56"/>
  <sheetViews>
    <sheetView showZeros="0" workbookViewId="0">
      <pane xSplit="5" ySplit="6" topLeftCell="T26" activePane="bottomRight" state="frozen"/>
      <selection pane="topRight" activeCell="F1" sqref="F1"/>
      <selection pane="bottomLeft" activeCell="A7" sqref="A7"/>
      <selection pane="bottomRight" activeCell="Y48" sqref="Y48"/>
    </sheetView>
  </sheetViews>
  <sheetFormatPr defaultColWidth="9.140625" defaultRowHeight="12.75"/>
  <cols>
    <col min="1" max="1" width="6.42578125" style="365" customWidth="1"/>
    <col min="2" max="2" width="36.28515625" style="365" customWidth="1"/>
    <col min="3" max="3" width="6.5703125" style="365" customWidth="1"/>
    <col min="4" max="4" width="10.42578125" style="365" hidden="1" customWidth="1"/>
    <col min="5" max="5" width="10.85546875" style="365" hidden="1" customWidth="1"/>
    <col min="6" max="6" width="11.5703125" style="365" customWidth="1"/>
    <col min="7" max="7" width="8.28515625" style="365" customWidth="1"/>
    <col min="8" max="8" width="9.7109375" style="365" customWidth="1"/>
    <col min="9" max="9" width="9.42578125" style="365" customWidth="1"/>
    <col min="10" max="10" width="7.7109375" style="365" customWidth="1"/>
    <col min="11" max="11" width="8.7109375" style="365" customWidth="1"/>
    <col min="12" max="12" width="9.5703125" style="365" bestFit="1" customWidth="1"/>
    <col min="13" max="13" width="7.85546875" style="365" customWidth="1"/>
    <col min="14" max="14" width="7.5703125" style="365" customWidth="1"/>
    <col min="15" max="15" width="8.85546875" style="365" customWidth="1"/>
    <col min="16" max="16" width="8.42578125" style="365" customWidth="1"/>
    <col min="17" max="17" width="7.7109375" style="365" customWidth="1"/>
    <col min="18" max="18" width="8.85546875" style="365" customWidth="1"/>
    <col min="19" max="19" width="9" style="365" customWidth="1"/>
    <col min="20" max="20" width="9.5703125" style="365" bestFit="1" customWidth="1"/>
    <col min="21" max="21" width="8" style="365" customWidth="1"/>
    <col min="22" max="22" width="7.5703125" style="365" customWidth="1"/>
    <col min="23" max="24" width="9.28515625" style="365" customWidth="1"/>
    <col min="25" max="25" width="9" style="365" customWidth="1"/>
    <col min="26" max="26" width="9.140625" style="365"/>
    <col min="27" max="27" width="11.42578125" style="365" customWidth="1"/>
    <col min="28" max="16384" width="9.140625" style="365"/>
  </cols>
  <sheetData>
    <row r="1" spans="1:28" ht="18" customHeight="1">
      <c r="A1" s="1317" t="s">
        <v>672</v>
      </c>
      <c r="B1" s="1317"/>
      <c r="C1" s="1317"/>
      <c r="D1" s="1317"/>
      <c r="E1" s="1317"/>
      <c r="F1" s="1317"/>
      <c r="G1" s="1317"/>
      <c r="H1" s="1317"/>
      <c r="I1" s="1317"/>
      <c r="J1" s="1317"/>
      <c r="K1" s="1317"/>
      <c r="L1" s="1317"/>
      <c r="M1" s="1317"/>
    </row>
    <row r="2" spans="1:28" ht="16.5" customHeight="1">
      <c r="A2" s="1300"/>
      <c r="B2" s="1300"/>
      <c r="C2" s="1300"/>
      <c r="D2" s="1300"/>
      <c r="E2" s="1300"/>
      <c r="F2" s="1300"/>
      <c r="G2" s="1300"/>
      <c r="H2" s="1300"/>
      <c r="I2" s="1300"/>
      <c r="J2" s="1300"/>
      <c r="K2" s="1300"/>
      <c r="L2" s="1300"/>
      <c r="M2" s="1300"/>
      <c r="N2" s="1300"/>
      <c r="O2" s="1300"/>
      <c r="P2" s="1300"/>
      <c r="Q2" s="1300"/>
      <c r="R2" s="1300"/>
      <c r="S2" s="1300"/>
      <c r="T2" s="1300"/>
      <c r="U2" s="1300"/>
      <c r="V2" s="1300"/>
      <c r="W2" s="1300"/>
      <c r="X2" s="1300"/>
      <c r="Y2" s="1300"/>
    </row>
    <row r="3" spans="1:28" ht="22.5" customHeight="1">
      <c r="A3" s="1301" t="s">
        <v>0</v>
      </c>
      <c r="B3" s="1301" t="s">
        <v>12</v>
      </c>
      <c r="C3" s="1301" t="s">
        <v>13</v>
      </c>
      <c r="D3" s="1301" t="s">
        <v>330</v>
      </c>
      <c r="E3" s="1301" t="s">
        <v>332</v>
      </c>
      <c r="F3" s="1301" t="s">
        <v>131</v>
      </c>
      <c r="G3" s="1301" t="s">
        <v>132</v>
      </c>
      <c r="H3" s="1301"/>
      <c r="I3" s="1301"/>
      <c r="J3" s="1301"/>
      <c r="K3" s="1301"/>
      <c r="L3" s="1301"/>
      <c r="M3" s="1301"/>
      <c r="N3" s="1301"/>
      <c r="O3" s="1301"/>
      <c r="P3" s="1301"/>
      <c r="Q3" s="1301"/>
      <c r="R3" s="1301"/>
      <c r="S3" s="1301"/>
      <c r="T3" s="1301"/>
      <c r="U3" s="1301"/>
      <c r="V3" s="1301"/>
      <c r="W3" s="1301"/>
      <c r="X3" s="1301"/>
      <c r="Y3" s="1301"/>
    </row>
    <row r="4" spans="1:28" ht="36" customHeight="1">
      <c r="A4" s="1301"/>
      <c r="B4" s="1301"/>
      <c r="C4" s="1301"/>
      <c r="D4" s="1301"/>
      <c r="E4" s="1301"/>
      <c r="F4" s="1301"/>
      <c r="G4" s="366" t="s">
        <v>312</v>
      </c>
      <c r="H4" s="366" t="s">
        <v>302</v>
      </c>
      <c r="I4" s="366" t="s">
        <v>303</v>
      </c>
      <c r="J4" s="366" t="s">
        <v>305</v>
      </c>
      <c r="K4" s="366" t="s">
        <v>307</v>
      </c>
      <c r="L4" s="366" t="s">
        <v>308</v>
      </c>
      <c r="M4" s="366" t="s">
        <v>311</v>
      </c>
      <c r="N4" s="366" t="s">
        <v>314</v>
      </c>
      <c r="O4" s="366" t="s">
        <v>315</v>
      </c>
      <c r="P4" s="366" t="s">
        <v>316</v>
      </c>
      <c r="Q4" s="366" t="s">
        <v>317</v>
      </c>
      <c r="R4" s="366" t="s">
        <v>304</v>
      </c>
      <c r="S4" s="366" t="s">
        <v>306</v>
      </c>
      <c r="T4" s="366" t="s">
        <v>309</v>
      </c>
      <c r="U4" s="366" t="s">
        <v>310</v>
      </c>
      <c r="V4" s="366" t="s">
        <v>313</v>
      </c>
      <c r="W4" s="366" t="s">
        <v>318</v>
      </c>
      <c r="X4" s="366" t="s">
        <v>319</v>
      </c>
      <c r="Y4" s="366" t="s">
        <v>320</v>
      </c>
    </row>
    <row r="5" spans="1:28" s="67" customFormat="1" ht="19.5" customHeight="1">
      <c r="A5" s="90"/>
      <c r="B5" s="90" t="s">
        <v>340</v>
      </c>
      <c r="C5" s="90"/>
      <c r="D5" s="90"/>
      <c r="E5" s="90"/>
      <c r="F5" s="295">
        <f>SUM(G5:Y5)</f>
        <v>30184.85</v>
      </c>
      <c r="G5" s="295">
        <v>548.95999999999992</v>
      </c>
      <c r="H5" s="295">
        <v>1677.7</v>
      </c>
      <c r="I5" s="295">
        <v>3371.69</v>
      </c>
      <c r="J5" s="295">
        <v>753.44999999999993</v>
      </c>
      <c r="K5" s="295">
        <v>1448.8899999999996</v>
      </c>
      <c r="L5" s="295">
        <v>2430.9899999999998</v>
      </c>
      <c r="M5" s="295">
        <v>370.74</v>
      </c>
      <c r="N5" s="295">
        <v>927.68</v>
      </c>
      <c r="O5" s="295">
        <v>1469.4799999999998</v>
      </c>
      <c r="P5" s="295">
        <v>1310.88</v>
      </c>
      <c r="Q5" s="295">
        <v>598.84000000000015</v>
      </c>
      <c r="R5" s="295">
        <v>1849</v>
      </c>
      <c r="S5" s="295">
        <v>1143.6099999999999</v>
      </c>
      <c r="T5" s="295">
        <v>4000.52</v>
      </c>
      <c r="U5" s="295">
        <v>978.43000000000006</v>
      </c>
      <c r="V5" s="295">
        <v>423.78</v>
      </c>
      <c r="W5" s="295">
        <v>2146.13</v>
      </c>
      <c r="X5" s="295">
        <v>2959.46</v>
      </c>
      <c r="Y5" s="295">
        <v>1774.6199999999997</v>
      </c>
      <c r="AA5" s="247">
        <f>SUM(G5:Q5)</f>
        <v>14909.3</v>
      </c>
      <c r="AB5" s="247">
        <f>AA5/14909.3*100</f>
        <v>100</v>
      </c>
    </row>
    <row r="6" spans="1:28" s="67" customFormat="1" ht="16.5" customHeight="1">
      <c r="A6" s="92">
        <v>1</v>
      </c>
      <c r="B6" s="93" t="s">
        <v>14</v>
      </c>
      <c r="C6" s="92" t="s">
        <v>15</v>
      </c>
      <c r="D6" s="291">
        <v>14996.87</v>
      </c>
      <c r="E6" s="292">
        <f>F6-D6</f>
        <v>-840.80000000000109</v>
      </c>
      <c r="F6" s="295">
        <f t="shared" ref="F6:F53" si="0">SUM(G6:Y6)</f>
        <v>14156.07</v>
      </c>
      <c r="G6" s="291">
        <v>192.34</v>
      </c>
      <c r="H6" s="291">
        <v>986.83</v>
      </c>
      <c r="I6" s="291">
        <v>2047.96</v>
      </c>
      <c r="J6" s="291">
        <v>477.87</v>
      </c>
      <c r="K6" s="291">
        <v>548.44999999999993</v>
      </c>
      <c r="L6" s="291">
        <v>1313.6599999999999</v>
      </c>
      <c r="M6" s="291">
        <v>110.80999999999997</v>
      </c>
      <c r="N6" s="291">
        <v>486.35</v>
      </c>
      <c r="O6" s="291">
        <v>991.89999999999986</v>
      </c>
      <c r="P6" s="291">
        <v>955.34</v>
      </c>
      <c r="Q6" s="291">
        <v>273.99000000000007</v>
      </c>
      <c r="R6" s="291">
        <v>774.54000000000008</v>
      </c>
      <c r="S6" s="291">
        <v>676.98</v>
      </c>
      <c r="T6" s="291">
        <v>1161.3500000000004</v>
      </c>
      <c r="U6" s="291">
        <v>487.49</v>
      </c>
      <c r="V6" s="291">
        <v>258.40999999999997</v>
      </c>
      <c r="W6" s="291">
        <v>1433.26</v>
      </c>
      <c r="X6" s="291">
        <v>648.62999999999988</v>
      </c>
      <c r="Y6" s="291">
        <v>329.90999999999985</v>
      </c>
      <c r="AA6" s="247">
        <f>SUM(G6:Q6)</f>
        <v>8385.5</v>
      </c>
      <c r="AB6" s="247">
        <f t="shared" ref="AB6:AB49" si="1">AA6/14909.3*100</f>
        <v>56.243418537422954</v>
      </c>
    </row>
    <row r="7" spans="1:28" s="2" customFormat="1" ht="16.5" customHeight="1">
      <c r="A7" s="94" t="s">
        <v>16</v>
      </c>
      <c r="B7" s="95" t="s">
        <v>17</v>
      </c>
      <c r="C7" s="94" t="s">
        <v>18</v>
      </c>
      <c r="D7" s="292">
        <v>3820.42</v>
      </c>
      <c r="E7" s="292">
        <f t="shared" ref="E7:E54" si="2">F7-D7</f>
        <v>-105.80000000000018</v>
      </c>
      <c r="F7" s="350">
        <f t="shared" si="0"/>
        <v>3714.62</v>
      </c>
      <c r="G7" s="292">
        <v>82.44</v>
      </c>
      <c r="H7" s="292">
        <v>180.17999999999998</v>
      </c>
      <c r="I7" s="292">
        <v>296.46000000000004</v>
      </c>
      <c r="J7" s="292">
        <v>164.57</v>
      </c>
      <c r="K7" s="292">
        <v>88.77</v>
      </c>
      <c r="L7" s="292">
        <v>101.97999999999999</v>
      </c>
      <c r="M7" s="292">
        <v>51.599999999999994</v>
      </c>
      <c r="N7" s="292">
        <v>201.14000000000001</v>
      </c>
      <c r="O7" s="292">
        <v>292.83</v>
      </c>
      <c r="P7" s="292">
        <v>154.29</v>
      </c>
      <c r="Q7" s="292">
        <v>194.79000000000002</v>
      </c>
      <c r="R7" s="292">
        <v>304.87000000000006</v>
      </c>
      <c r="S7" s="292">
        <v>358.62999999999994</v>
      </c>
      <c r="T7" s="292">
        <v>57.410000000000004</v>
      </c>
      <c r="U7" s="292">
        <v>321.29000000000002</v>
      </c>
      <c r="V7" s="292">
        <v>212.73</v>
      </c>
      <c r="W7" s="292">
        <v>175.89</v>
      </c>
      <c r="X7" s="292">
        <v>409.09</v>
      </c>
      <c r="Y7" s="292">
        <v>65.659999999999982</v>
      </c>
      <c r="AA7" s="190">
        <f t="shared" ref="AA7:AA49" si="3">SUM(G7:Q7)</f>
        <v>1809.05</v>
      </c>
      <c r="AB7" s="190">
        <f t="shared" si="1"/>
        <v>12.133701783450599</v>
      </c>
    </row>
    <row r="8" spans="1:28" s="251" customFormat="1" ht="16.5" customHeight="1">
      <c r="A8" s="249"/>
      <c r="B8" s="250" t="s">
        <v>19</v>
      </c>
      <c r="C8" s="249" t="s">
        <v>20</v>
      </c>
      <c r="D8" s="293">
        <v>3579.89</v>
      </c>
      <c r="E8" s="292">
        <f t="shared" si="2"/>
        <v>-105.79999999999973</v>
      </c>
      <c r="F8" s="350">
        <f t="shared" si="0"/>
        <v>3474.09</v>
      </c>
      <c r="G8" s="293">
        <v>71.099999999999994</v>
      </c>
      <c r="H8" s="293">
        <v>166.32999999999998</v>
      </c>
      <c r="I8" s="293">
        <v>231.36</v>
      </c>
      <c r="J8" s="293">
        <v>86.53</v>
      </c>
      <c r="K8" s="293">
        <v>92.02</v>
      </c>
      <c r="L8" s="293">
        <v>101.97999999999999</v>
      </c>
      <c r="M8" s="293">
        <v>50.419999999999995</v>
      </c>
      <c r="N8" s="293">
        <v>200.13000000000002</v>
      </c>
      <c r="O8" s="293">
        <v>292.83</v>
      </c>
      <c r="P8" s="293">
        <v>154.29</v>
      </c>
      <c r="Q8" s="293">
        <v>193.92000000000002</v>
      </c>
      <c r="R8" s="293">
        <v>288.82000000000005</v>
      </c>
      <c r="S8" s="293">
        <v>355.16999999999996</v>
      </c>
      <c r="T8" s="293">
        <v>11.329999999999998</v>
      </c>
      <c r="U8" s="293">
        <v>316.55</v>
      </c>
      <c r="V8" s="293">
        <v>212.73</v>
      </c>
      <c r="W8" s="293">
        <v>173.82999999999998</v>
      </c>
      <c r="X8" s="293">
        <v>409.09</v>
      </c>
      <c r="Y8" s="293">
        <v>65.659999999999982</v>
      </c>
      <c r="AA8" s="296">
        <f t="shared" si="3"/>
        <v>1640.9099999999999</v>
      </c>
      <c r="AB8" s="296">
        <f t="shared" si="1"/>
        <v>11.005949306808501</v>
      </c>
    </row>
    <row r="9" spans="1:28" s="2" customFormat="1" ht="16.5" customHeight="1">
      <c r="A9" s="94" t="s">
        <v>21</v>
      </c>
      <c r="B9" s="95" t="s">
        <v>22</v>
      </c>
      <c r="C9" s="94" t="s">
        <v>23</v>
      </c>
      <c r="D9" s="292">
        <v>319.45</v>
      </c>
      <c r="E9" s="292">
        <f t="shared" si="2"/>
        <v>0</v>
      </c>
      <c r="F9" s="350">
        <f t="shared" si="0"/>
        <v>319.45000000000005</v>
      </c>
      <c r="G9" s="292">
        <v>19.63</v>
      </c>
      <c r="H9" s="292">
        <v>29.530000000000005</v>
      </c>
      <c r="I9" s="292">
        <v>25.220000000000006</v>
      </c>
      <c r="J9" s="292">
        <v>65.22</v>
      </c>
      <c r="K9" s="292">
        <v>17.29</v>
      </c>
      <c r="L9" s="292">
        <v>0.73</v>
      </c>
      <c r="M9" s="292">
        <v>0.31000000000000005</v>
      </c>
      <c r="N9" s="292">
        <v>5.99</v>
      </c>
      <c r="O9" s="292">
        <v>3.0300000000000002</v>
      </c>
      <c r="P9" s="292">
        <v>2.6799999999999997</v>
      </c>
      <c r="Q9" s="292">
        <v>6.31</v>
      </c>
      <c r="R9" s="292">
        <v>35.65</v>
      </c>
      <c r="S9" s="292">
        <v>70.86999999999999</v>
      </c>
      <c r="T9" s="292">
        <v>7.58</v>
      </c>
      <c r="U9" s="292">
        <v>22.189999999999998</v>
      </c>
      <c r="V9" s="292">
        <v>0.86999999999999988</v>
      </c>
      <c r="W9" s="292">
        <v>3.3699999999999997</v>
      </c>
      <c r="X9" s="292">
        <v>1.47</v>
      </c>
      <c r="Y9" s="292">
        <v>1.51</v>
      </c>
      <c r="AA9" s="190">
        <f t="shared" si="3"/>
        <v>175.94000000000003</v>
      </c>
      <c r="AB9" s="190">
        <f t="shared" si="1"/>
        <v>1.180068816108067</v>
      </c>
    </row>
    <row r="10" spans="1:28" s="2" customFormat="1" ht="16.5" customHeight="1">
      <c r="A10" s="94" t="s">
        <v>24</v>
      </c>
      <c r="B10" s="95" t="s">
        <v>25</v>
      </c>
      <c r="C10" s="94" t="s">
        <v>26</v>
      </c>
      <c r="D10" s="292">
        <v>1397.81</v>
      </c>
      <c r="E10" s="292">
        <f t="shared" si="2"/>
        <v>0</v>
      </c>
      <c r="F10" s="350">
        <f t="shared" si="0"/>
        <v>1397.8099999999997</v>
      </c>
      <c r="G10" s="292">
        <v>48.98</v>
      </c>
      <c r="H10" s="292">
        <v>158.77000000000001</v>
      </c>
      <c r="I10" s="292">
        <v>263.40999999999997</v>
      </c>
      <c r="J10" s="292">
        <v>183.44</v>
      </c>
      <c r="K10" s="292">
        <v>53.260000000000005</v>
      </c>
      <c r="L10" s="292">
        <v>82.44</v>
      </c>
      <c r="M10" s="292">
        <v>8.8000000000000007</v>
      </c>
      <c r="N10" s="292">
        <v>32.31</v>
      </c>
      <c r="O10" s="292">
        <v>17.220000000000002</v>
      </c>
      <c r="P10" s="292">
        <v>5.7700000000000005</v>
      </c>
      <c r="Q10" s="292">
        <v>18.71</v>
      </c>
      <c r="R10" s="292">
        <v>143.57</v>
      </c>
      <c r="S10" s="292">
        <v>181.16</v>
      </c>
      <c r="T10" s="292">
        <v>70.680000000000007</v>
      </c>
      <c r="U10" s="292">
        <v>74.86999999999999</v>
      </c>
      <c r="V10" s="292">
        <v>3.9600000000000004</v>
      </c>
      <c r="W10" s="292">
        <v>20.11</v>
      </c>
      <c r="X10" s="292">
        <v>16.54</v>
      </c>
      <c r="Y10" s="292">
        <v>13.809999999999999</v>
      </c>
      <c r="AA10" s="190">
        <f t="shared" si="3"/>
        <v>873.1099999999999</v>
      </c>
      <c r="AB10" s="190">
        <f t="shared" si="1"/>
        <v>5.8561434809145965</v>
      </c>
    </row>
    <row r="11" spans="1:28" s="2" customFormat="1" ht="16.5" customHeight="1">
      <c r="A11" s="94" t="s">
        <v>27</v>
      </c>
      <c r="B11" s="95" t="s">
        <v>28</v>
      </c>
      <c r="C11" s="94" t="s">
        <v>29</v>
      </c>
      <c r="D11" s="292">
        <v>2913.49</v>
      </c>
      <c r="E11" s="292">
        <f t="shared" si="2"/>
        <v>0</v>
      </c>
      <c r="F11" s="350">
        <f t="shared" si="0"/>
        <v>2913.49</v>
      </c>
      <c r="G11" s="292">
        <v>12.39</v>
      </c>
      <c r="H11" s="292">
        <v>0.72</v>
      </c>
      <c r="I11" s="292">
        <v>338.94</v>
      </c>
      <c r="J11" s="292">
        <v>0</v>
      </c>
      <c r="K11" s="292">
        <v>6.95</v>
      </c>
      <c r="L11" s="292">
        <v>357.28</v>
      </c>
      <c r="M11" s="292">
        <v>31.66</v>
      </c>
      <c r="N11" s="292">
        <v>80</v>
      </c>
      <c r="O11" s="292">
        <v>539.77</v>
      </c>
      <c r="P11" s="292">
        <v>45.11</v>
      </c>
      <c r="Q11" s="292">
        <v>34.39</v>
      </c>
      <c r="R11" s="292">
        <v>30.71</v>
      </c>
      <c r="S11" s="292">
        <v>10.02</v>
      </c>
      <c r="T11" s="292">
        <v>416.65999999999997</v>
      </c>
      <c r="U11" s="292">
        <v>24.02</v>
      </c>
      <c r="V11" s="292">
        <v>8.7899999999999991</v>
      </c>
      <c r="W11" s="292">
        <v>867.62</v>
      </c>
      <c r="X11" s="292">
        <v>1.1500000000000021</v>
      </c>
      <c r="Y11" s="292">
        <v>107.31</v>
      </c>
      <c r="AA11" s="190">
        <f t="shared" si="3"/>
        <v>1447.21</v>
      </c>
      <c r="AB11" s="190">
        <f t="shared" si="1"/>
        <v>9.7067602100702253</v>
      </c>
    </row>
    <row r="12" spans="1:28" s="2" customFormat="1" ht="16.5" customHeight="1">
      <c r="A12" s="94" t="s">
        <v>30</v>
      </c>
      <c r="B12" s="95" t="s">
        <v>31</v>
      </c>
      <c r="C12" s="94" t="s">
        <v>32</v>
      </c>
      <c r="D12" s="292">
        <v>34.18</v>
      </c>
      <c r="E12" s="292">
        <f t="shared" si="2"/>
        <v>0</v>
      </c>
      <c r="F12" s="350">
        <f t="shared" si="0"/>
        <v>34.18</v>
      </c>
      <c r="G12" s="292">
        <v>0</v>
      </c>
      <c r="H12" s="292">
        <v>0</v>
      </c>
      <c r="I12" s="292">
        <v>34.18</v>
      </c>
      <c r="J12" s="292">
        <v>0</v>
      </c>
      <c r="K12" s="292">
        <v>0</v>
      </c>
      <c r="L12" s="292">
        <v>0</v>
      </c>
      <c r="M12" s="292">
        <v>0</v>
      </c>
      <c r="N12" s="292">
        <v>0</v>
      </c>
      <c r="O12" s="292">
        <v>0</v>
      </c>
      <c r="P12" s="292">
        <v>0</v>
      </c>
      <c r="Q12" s="292">
        <v>0</v>
      </c>
      <c r="R12" s="292">
        <v>0</v>
      </c>
      <c r="S12" s="292">
        <v>0</v>
      </c>
      <c r="T12" s="292">
        <v>0</v>
      </c>
      <c r="U12" s="292">
        <v>0</v>
      </c>
      <c r="V12" s="292">
        <v>0</v>
      </c>
      <c r="W12" s="292">
        <v>0</v>
      </c>
      <c r="X12" s="292">
        <v>0</v>
      </c>
      <c r="Y12" s="292">
        <v>0</v>
      </c>
      <c r="AA12" s="190">
        <f t="shared" si="3"/>
        <v>34.18</v>
      </c>
      <c r="AB12" s="190">
        <f t="shared" si="1"/>
        <v>0.2292528824290879</v>
      </c>
    </row>
    <row r="13" spans="1:28" s="2" customFormat="1" ht="16.5" customHeight="1">
      <c r="A13" s="94" t="s">
        <v>33</v>
      </c>
      <c r="B13" s="95" t="s">
        <v>34</v>
      </c>
      <c r="C13" s="94" t="s">
        <v>35</v>
      </c>
      <c r="D13" s="292">
        <v>1231.03</v>
      </c>
      <c r="E13" s="292">
        <f t="shared" si="2"/>
        <v>0</v>
      </c>
      <c r="F13" s="350">
        <f t="shared" si="0"/>
        <v>1231.0299999999997</v>
      </c>
      <c r="G13" s="292">
        <v>0</v>
      </c>
      <c r="H13" s="292">
        <v>478.96000000000004</v>
      </c>
      <c r="I13" s="292">
        <v>563.04</v>
      </c>
      <c r="J13" s="292">
        <v>45.61999999999999</v>
      </c>
      <c r="K13" s="292">
        <v>21.090000000000003</v>
      </c>
      <c r="L13" s="292">
        <v>18.079999999999998</v>
      </c>
      <c r="M13" s="292">
        <v>0.22000000000000008</v>
      </c>
      <c r="N13" s="292">
        <v>0</v>
      </c>
      <c r="O13" s="292">
        <v>0</v>
      </c>
      <c r="P13" s="292">
        <v>0</v>
      </c>
      <c r="Q13" s="292">
        <v>0</v>
      </c>
      <c r="R13" s="292">
        <v>92.990000000000009</v>
      </c>
      <c r="S13" s="292">
        <v>11.030000000000001</v>
      </c>
      <c r="T13" s="292">
        <v>0</v>
      </c>
      <c r="U13" s="292">
        <v>0</v>
      </c>
      <c r="V13" s="292">
        <v>0</v>
      </c>
      <c r="W13" s="292">
        <v>0</v>
      </c>
      <c r="X13" s="292">
        <v>0</v>
      </c>
      <c r="Y13" s="292">
        <v>0</v>
      </c>
      <c r="AA13" s="190">
        <f t="shared" si="3"/>
        <v>1127.0099999999998</v>
      </c>
      <c r="AB13" s="190">
        <f t="shared" si="1"/>
        <v>7.5591074027620326</v>
      </c>
    </row>
    <row r="14" spans="1:28" s="2" customFormat="1" ht="16.5" customHeight="1">
      <c r="A14" s="94" t="s">
        <v>36</v>
      </c>
      <c r="B14" s="95" t="s">
        <v>37</v>
      </c>
      <c r="C14" s="94" t="s">
        <v>38</v>
      </c>
      <c r="D14" s="292">
        <v>5109.4399999999996</v>
      </c>
      <c r="E14" s="292">
        <f t="shared" si="2"/>
        <v>-624.3799999999992</v>
      </c>
      <c r="F14" s="350">
        <f t="shared" si="0"/>
        <v>4485.0600000000004</v>
      </c>
      <c r="G14" s="292">
        <v>28.250000000000004</v>
      </c>
      <c r="H14" s="292">
        <v>133.04999999999998</v>
      </c>
      <c r="I14" s="292">
        <v>511.22</v>
      </c>
      <c r="J14" s="292">
        <v>8.9</v>
      </c>
      <c r="K14" s="292">
        <v>353.25999999999993</v>
      </c>
      <c r="L14" s="292">
        <v>752.59999999999991</v>
      </c>
      <c r="M14" s="292">
        <v>18.219999999999992</v>
      </c>
      <c r="N14" s="292">
        <v>166.91</v>
      </c>
      <c r="O14" s="292">
        <v>136.01999999999998</v>
      </c>
      <c r="P14" s="292">
        <v>747.49</v>
      </c>
      <c r="Q14" s="292">
        <v>19.79</v>
      </c>
      <c r="R14" s="292">
        <v>166.75000000000003</v>
      </c>
      <c r="S14" s="292">
        <v>31.32</v>
      </c>
      <c r="T14" s="292">
        <v>608.89000000000021</v>
      </c>
      <c r="U14" s="292">
        <v>45.11999999999999</v>
      </c>
      <c r="V14" s="292">
        <v>29.06</v>
      </c>
      <c r="W14" s="292">
        <v>366.21000000000004</v>
      </c>
      <c r="X14" s="292">
        <v>220.37999999999988</v>
      </c>
      <c r="Y14" s="292">
        <v>141.61999999999989</v>
      </c>
      <c r="AA14" s="190">
        <f t="shared" si="3"/>
        <v>2875.71</v>
      </c>
      <c r="AB14" s="190">
        <f t="shared" si="1"/>
        <v>19.288028277652206</v>
      </c>
    </row>
    <row r="15" spans="1:28" s="2" customFormat="1" ht="16.5" customHeight="1">
      <c r="A15" s="94" t="s">
        <v>39</v>
      </c>
      <c r="B15" s="95" t="s">
        <v>40</v>
      </c>
      <c r="C15" s="94" t="s">
        <v>41</v>
      </c>
      <c r="D15" s="292"/>
      <c r="E15" s="292">
        <f t="shared" si="2"/>
        <v>0</v>
      </c>
      <c r="F15" s="350">
        <f t="shared" si="0"/>
        <v>0</v>
      </c>
      <c r="G15" s="292">
        <v>0</v>
      </c>
      <c r="H15" s="292">
        <v>0</v>
      </c>
      <c r="I15" s="292">
        <v>0</v>
      </c>
      <c r="J15" s="292">
        <v>0</v>
      </c>
      <c r="K15" s="292">
        <v>0</v>
      </c>
      <c r="L15" s="292">
        <v>0</v>
      </c>
      <c r="M15" s="292">
        <v>0</v>
      </c>
      <c r="N15" s="292">
        <v>0</v>
      </c>
      <c r="O15" s="292">
        <v>0</v>
      </c>
      <c r="P15" s="292">
        <v>0</v>
      </c>
      <c r="Q15" s="292">
        <v>0</v>
      </c>
      <c r="R15" s="292">
        <v>0</v>
      </c>
      <c r="S15" s="292">
        <v>0</v>
      </c>
      <c r="T15" s="292">
        <v>0</v>
      </c>
      <c r="U15" s="292">
        <v>0</v>
      </c>
      <c r="V15" s="292">
        <v>0</v>
      </c>
      <c r="W15" s="292">
        <v>0</v>
      </c>
      <c r="X15" s="292">
        <v>0</v>
      </c>
      <c r="Y15" s="292">
        <v>0</v>
      </c>
      <c r="AA15" s="190">
        <f t="shared" si="3"/>
        <v>0</v>
      </c>
      <c r="AB15" s="190">
        <f t="shared" si="1"/>
        <v>0</v>
      </c>
    </row>
    <row r="16" spans="1:28" s="2" customFormat="1" ht="16.5" customHeight="1">
      <c r="A16" s="94" t="s">
        <v>42</v>
      </c>
      <c r="B16" s="95" t="s">
        <v>691</v>
      </c>
      <c r="C16" s="94"/>
      <c r="D16" s="292"/>
      <c r="E16" s="292">
        <f t="shared" si="2"/>
        <v>60.43</v>
      </c>
      <c r="F16" s="350">
        <f t="shared" si="0"/>
        <v>60.43</v>
      </c>
      <c r="G16" s="292">
        <v>0.65</v>
      </c>
      <c r="H16" s="292">
        <v>5.62</v>
      </c>
      <c r="I16" s="292">
        <v>15.49</v>
      </c>
      <c r="J16" s="292">
        <v>10.119999999999999</v>
      </c>
      <c r="K16" s="292">
        <v>7.83</v>
      </c>
      <c r="L16" s="292">
        <v>0.54999999999999982</v>
      </c>
      <c r="M16" s="292">
        <v>0</v>
      </c>
      <c r="N16" s="292">
        <v>0</v>
      </c>
      <c r="O16" s="292">
        <v>3.03</v>
      </c>
      <c r="P16" s="292">
        <v>0</v>
      </c>
      <c r="Q16" s="292">
        <v>0</v>
      </c>
      <c r="R16" s="292">
        <v>0</v>
      </c>
      <c r="S16" s="292">
        <v>13.95</v>
      </c>
      <c r="T16" s="292">
        <v>0.13</v>
      </c>
      <c r="U16" s="292">
        <v>0</v>
      </c>
      <c r="V16" s="292">
        <v>3</v>
      </c>
      <c r="W16" s="292">
        <v>0.06</v>
      </c>
      <c r="X16" s="292">
        <v>0</v>
      </c>
      <c r="Y16" s="292">
        <v>0</v>
      </c>
      <c r="AA16" s="190">
        <f t="shared" si="3"/>
        <v>43.29</v>
      </c>
      <c r="AB16" s="190">
        <f t="shared" si="1"/>
        <v>0.29035568403613854</v>
      </c>
    </row>
    <row r="17" spans="1:29" s="67" customFormat="1" ht="16.5" customHeight="1">
      <c r="A17" s="92">
        <v>2</v>
      </c>
      <c r="B17" s="93" t="s">
        <v>45</v>
      </c>
      <c r="C17" s="92" t="s">
        <v>46</v>
      </c>
      <c r="D17" s="291">
        <v>14920.8</v>
      </c>
      <c r="E17" s="292">
        <f t="shared" si="2"/>
        <v>840.80000000000109</v>
      </c>
      <c r="F17" s="295">
        <f t="shared" si="0"/>
        <v>15761.6</v>
      </c>
      <c r="G17" s="291">
        <v>356.2299999999999</v>
      </c>
      <c r="H17" s="291">
        <v>684.13000000000011</v>
      </c>
      <c r="I17" s="291">
        <v>1216.6799999999998</v>
      </c>
      <c r="J17" s="291">
        <v>271.46999999999991</v>
      </c>
      <c r="K17" s="291">
        <v>886.63999999999987</v>
      </c>
      <c r="L17" s="291">
        <v>1114.5899999999999</v>
      </c>
      <c r="M17" s="291">
        <v>259.93000000000006</v>
      </c>
      <c r="N17" s="291">
        <v>434.93999999999994</v>
      </c>
      <c r="O17" s="291">
        <v>468.35999999999996</v>
      </c>
      <c r="P17" s="291">
        <v>355.13999999999993</v>
      </c>
      <c r="Q17" s="291">
        <v>324.61</v>
      </c>
      <c r="R17" s="291">
        <v>1068.8600000000001</v>
      </c>
      <c r="S17" s="291">
        <v>455.68999999999988</v>
      </c>
      <c r="T17" s="291">
        <v>2750.0499999999997</v>
      </c>
      <c r="U17" s="291">
        <v>487.17</v>
      </c>
      <c r="V17" s="291">
        <v>165.23999999999998</v>
      </c>
      <c r="W17" s="291">
        <v>708.68</v>
      </c>
      <c r="X17" s="291">
        <v>2309.1999999999998</v>
      </c>
      <c r="Y17" s="291">
        <v>1443.9899999999998</v>
      </c>
      <c r="AA17" s="247">
        <f t="shared" si="3"/>
        <v>6372.7199999999993</v>
      </c>
      <c r="AB17" s="247">
        <f t="shared" si="1"/>
        <v>42.743254210459241</v>
      </c>
    </row>
    <row r="18" spans="1:29" s="2" customFormat="1" ht="15.75" customHeight="1">
      <c r="A18" s="94" t="s">
        <v>47</v>
      </c>
      <c r="B18" s="95" t="s">
        <v>48</v>
      </c>
      <c r="C18" s="94" t="s">
        <v>49</v>
      </c>
      <c r="D18" s="292">
        <v>432.72</v>
      </c>
      <c r="E18" s="292">
        <f t="shared" si="2"/>
        <v>0</v>
      </c>
      <c r="F18" s="350">
        <f t="shared" si="0"/>
        <v>432.71999999999997</v>
      </c>
      <c r="G18" s="292">
        <v>36</v>
      </c>
      <c r="H18" s="292">
        <v>118.28</v>
      </c>
      <c r="I18" s="292">
        <v>139.77000000000001</v>
      </c>
      <c r="J18" s="292">
        <v>30.7</v>
      </c>
      <c r="K18" s="292">
        <v>0.01</v>
      </c>
      <c r="L18" s="292">
        <v>0.14000000000000001</v>
      </c>
      <c r="M18" s="292">
        <v>2.6</v>
      </c>
      <c r="N18" s="292">
        <v>0</v>
      </c>
      <c r="O18" s="292">
        <v>0</v>
      </c>
      <c r="P18" s="292">
        <v>0</v>
      </c>
      <c r="Q18" s="292">
        <v>0</v>
      </c>
      <c r="R18" s="292">
        <v>76.22</v>
      </c>
      <c r="S18" s="292">
        <v>28.27</v>
      </c>
      <c r="T18" s="292">
        <v>0</v>
      </c>
      <c r="U18" s="292">
        <v>0.03</v>
      </c>
      <c r="V18" s="292">
        <v>0</v>
      </c>
      <c r="W18" s="292">
        <v>0</v>
      </c>
      <c r="X18" s="292">
        <v>0</v>
      </c>
      <c r="Y18" s="292">
        <v>0.7</v>
      </c>
      <c r="AA18" s="190">
        <f t="shared" si="3"/>
        <v>327.5</v>
      </c>
      <c r="AB18" s="190">
        <f t="shared" si="1"/>
        <v>2.1966155352699324</v>
      </c>
    </row>
    <row r="19" spans="1:29" s="2" customFormat="1" ht="15.75" customHeight="1">
      <c r="A19" s="94" t="s">
        <v>50</v>
      </c>
      <c r="B19" s="95" t="s">
        <v>51</v>
      </c>
      <c r="C19" s="94" t="s">
        <v>52</v>
      </c>
      <c r="D19" s="292">
        <v>530.26</v>
      </c>
      <c r="E19" s="292">
        <f t="shared" si="2"/>
        <v>0</v>
      </c>
      <c r="F19" s="350">
        <f t="shared" si="0"/>
        <v>530.26</v>
      </c>
      <c r="G19" s="292">
        <v>0.94</v>
      </c>
      <c r="H19" s="292">
        <v>0.2</v>
      </c>
      <c r="I19" s="292">
        <v>228.30000000000004</v>
      </c>
      <c r="J19" s="292">
        <v>5.64</v>
      </c>
      <c r="K19" s="292">
        <v>180.54999999999998</v>
      </c>
      <c r="L19" s="292">
        <v>0.19999999999999998</v>
      </c>
      <c r="M19" s="292">
        <v>1.1299999999999999</v>
      </c>
      <c r="N19" s="292">
        <v>0.22</v>
      </c>
      <c r="O19" s="292">
        <v>0.22</v>
      </c>
      <c r="P19" s="292">
        <v>0.25</v>
      </c>
      <c r="Q19" s="292">
        <v>0.39</v>
      </c>
      <c r="R19" s="292">
        <v>0</v>
      </c>
      <c r="S19" s="292">
        <v>79.249999999999986</v>
      </c>
      <c r="T19" s="292">
        <v>32.47</v>
      </c>
      <c r="U19" s="292">
        <v>0</v>
      </c>
      <c r="V19" s="292">
        <v>0</v>
      </c>
      <c r="W19" s="292">
        <v>0</v>
      </c>
      <c r="X19" s="292">
        <v>0</v>
      </c>
      <c r="Y19" s="292">
        <v>0.5</v>
      </c>
      <c r="AA19" s="190">
        <f t="shared" si="3"/>
        <v>418.04</v>
      </c>
      <c r="AB19" s="190">
        <f t="shared" si="1"/>
        <v>2.8038875064557023</v>
      </c>
    </row>
    <row r="20" spans="1:29" s="2" customFormat="1" ht="15.75" customHeight="1">
      <c r="A20" s="94" t="s">
        <v>53</v>
      </c>
      <c r="B20" s="95" t="s">
        <v>54</v>
      </c>
      <c r="C20" s="94" t="s">
        <v>55</v>
      </c>
      <c r="D20" s="292">
        <v>2774</v>
      </c>
      <c r="E20" s="292">
        <f t="shared" si="2"/>
        <v>0</v>
      </c>
      <c r="F20" s="350">
        <f t="shared" si="0"/>
        <v>2774.0000000000005</v>
      </c>
      <c r="G20" s="292">
        <v>0</v>
      </c>
      <c r="H20" s="292">
        <v>168.81</v>
      </c>
      <c r="I20" s="292">
        <v>56</v>
      </c>
      <c r="J20" s="292">
        <v>22.7</v>
      </c>
      <c r="K20" s="292">
        <v>0</v>
      </c>
      <c r="L20" s="292">
        <v>0</v>
      </c>
      <c r="M20" s="292">
        <v>0</v>
      </c>
      <c r="N20" s="292">
        <v>0</v>
      </c>
      <c r="O20" s="292">
        <v>0</v>
      </c>
      <c r="P20" s="292">
        <v>0</v>
      </c>
      <c r="Q20" s="292">
        <v>0</v>
      </c>
      <c r="R20" s="292">
        <v>634.35000000000014</v>
      </c>
      <c r="S20" s="292">
        <v>0</v>
      </c>
      <c r="T20" s="292">
        <v>0</v>
      </c>
      <c r="U20" s="292">
        <v>0</v>
      </c>
      <c r="V20" s="292">
        <v>0</v>
      </c>
      <c r="W20" s="292">
        <v>0</v>
      </c>
      <c r="X20" s="292">
        <v>1404.74</v>
      </c>
      <c r="Y20" s="292">
        <v>487.40000000000003</v>
      </c>
      <c r="AA20" s="190">
        <f t="shared" si="3"/>
        <v>247.51</v>
      </c>
      <c r="AB20" s="190">
        <f t="shared" si="1"/>
        <v>1.6601047668233919</v>
      </c>
    </row>
    <row r="21" spans="1:29" s="2" customFormat="1" ht="15.75" customHeight="1">
      <c r="A21" s="94" t="s">
        <v>56</v>
      </c>
      <c r="B21" s="95" t="s">
        <v>57</v>
      </c>
      <c r="C21" s="94" t="s">
        <v>58</v>
      </c>
      <c r="D21" s="292"/>
      <c r="E21" s="292">
        <f t="shared" si="2"/>
        <v>0</v>
      </c>
      <c r="F21" s="350">
        <f t="shared" si="0"/>
        <v>0</v>
      </c>
      <c r="G21" s="292">
        <v>0</v>
      </c>
      <c r="H21" s="292">
        <v>0</v>
      </c>
      <c r="I21" s="292">
        <v>0</v>
      </c>
      <c r="J21" s="292">
        <v>0</v>
      </c>
      <c r="K21" s="292">
        <v>0</v>
      </c>
      <c r="L21" s="292">
        <v>0</v>
      </c>
      <c r="M21" s="292">
        <v>0</v>
      </c>
      <c r="N21" s="292">
        <v>0</v>
      </c>
      <c r="O21" s="292">
        <v>0</v>
      </c>
      <c r="P21" s="292">
        <v>0</v>
      </c>
      <c r="Q21" s="292">
        <v>0</v>
      </c>
      <c r="R21" s="292">
        <v>0</v>
      </c>
      <c r="S21" s="292">
        <v>0</v>
      </c>
      <c r="T21" s="292">
        <v>0</v>
      </c>
      <c r="U21" s="292">
        <v>0</v>
      </c>
      <c r="V21" s="292">
        <v>0</v>
      </c>
      <c r="W21" s="292">
        <v>0</v>
      </c>
      <c r="X21" s="292">
        <v>0</v>
      </c>
      <c r="Y21" s="292">
        <v>0</v>
      </c>
      <c r="AA21" s="190">
        <f t="shared" si="3"/>
        <v>0</v>
      </c>
      <c r="AB21" s="190">
        <f t="shared" si="1"/>
        <v>0</v>
      </c>
    </row>
    <row r="22" spans="1:29" s="2" customFormat="1" ht="15.75" customHeight="1">
      <c r="A22" s="94" t="s">
        <v>59</v>
      </c>
      <c r="B22" s="95" t="s">
        <v>60</v>
      </c>
      <c r="C22" s="94" t="s">
        <v>61</v>
      </c>
      <c r="D22" s="292">
        <v>10</v>
      </c>
      <c r="E22" s="292">
        <f t="shared" si="2"/>
        <v>0</v>
      </c>
      <c r="F22" s="350">
        <f t="shared" si="0"/>
        <v>10</v>
      </c>
      <c r="G22" s="292">
        <v>0</v>
      </c>
      <c r="H22" s="292">
        <v>10</v>
      </c>
      <c r="I22" s="292">
        <v>0</v>
      </c>
      <c r="J22" s="292">
        <v>0</v>
      </c>
      <c r="K22" s="292">
        <v>0</v>
      </c>
      <c r="L22" s="292">
        <v>0</v>
      </c>
      <c r="M22" s="292">
        <v>0</v>
      </c>
      <c r="N22" s="292">
        <v>0</v>
      </c>
      <c r="O22" s="292">
        <v>0</v>
      </c>
      <c r="P22" s="292">
        <v>0</v>
      </c>
      <c r="Q22" s="292">
        <v>0</v>
      </c>
      <c r="R22" s="292">
        <v>0</v>
      </c>
      <c r="S22" s="292">
        <v>0</v>
      </c>
      <c r="T22" s="292">
        <v>0</v>
      </c>
      <c r="U22" s="292">
        <v>0</v>
      </c>
      <c r="V22" s="292">
        <v>0</v>
      </c>
      <c r="W22" s="292">
        <v>0</v>
      </c>
      <c r="X22" s="292">
        <v>0</v>
      </c>
      <c r="Y22" s="292">
        <v>0</v>
      </c>
      <c r="AA22" s="190">
        <f t="shared" si="3"/>
        <v>10</v>
      </c>
      <c r="AB22" s="190">
        <f t="shared" si="1"/>
        <v>6.7072230084578077E-2</v>
      </c>
    </row>
    <row r="23" spans="1:29" s="2" customFormat="1" ht="15.75" customHeight="1">
      <c r="A23" s="94" t="s">
        <v>62</v>
      </c>
      <c r="B23" s="95" t="s">
        <v>63</v>
      </c>
      <c r="C23" s="94" t="s">
        <v>64</v>
      </c>
      <c r="D23" s="292">
        <v>252.28</v>
      </c>
      <c r="E23" s="292">
        <f t="shared" si="2"/>
        <v>578.45999999999992</v>
      </c>
      <c r="F23" s="350">
        <f t="shared" si="0"/>
        <v>830.7399999999999</v>
      </c>
      <c r="G23" s="292">
        <v>4.26</v>
      </c>
      <c r="H23" s="292">
        <v>0.81</v>
      </c>
      <c r="I23" s="292">
        <v>17.330000000000002</v>
      </c>
      <c r="J23" s="292">
        <v>0.53</v>
      </c>
      <c r="K23" s="292">
        <v>29.07</v>
      </c>
      <c r="L23" s="292">
        <v>69.59</v>
      </c>
      <c r="M23" s="292">
        <v>4.669999999999999</v>
      </c>
      <c r="N23" s="292">
        <v>1.83</v>
      </c>
      <c r="O23" s="292">
        <v>0.76000000000000045</v>
      </c>
      <c r="P23" s="292">
        <v>106.1</v>
      </c>
      <c r="Q23" s="292">
        <v>3.0300000000000002</v>
      </c>
      <c r="R23" s="292">
        <v>1.07</v>
      </c>
      <c r="S23" s="292">
        <v>0.91999999999999993</v>
      </c>
      <c r="T23" s="292">
        <v>349.33</v>
      </c>
      <c r="U23" s="292">
        <v>0.5</v>
      </c>
      <c r="V23" s="292">
        <v>0</v>
      </c>
      <c r="W23" s="292">
        <v>139.54000000000002</v>
      </c>
      <c r="X23" s="292">
        <v>101.04</v>
      </c>
      <c r="Y23" s="292">
        <v>0.36</v>
      </c>
      <c r="AA23" s="190">
        <f t="shared" si="3"/>
        <v>237.98</v>
      </c>
      <c r="AB23" s="190">
        <f t="shared" si="1"/>
        <v>1.5961849315527892</v>
      </c>
    </row>
    <row r="24" spans="1:29" s="2" customFormat="1" ht="16.5" customHeight="1">
      <c r="A24" s="94" t="s">
        <v>65</v>
      </c>
      <c r="B24" s="95" t="s">
        <v>66</v>
      </c>
      <c r="C24" s="94" t="s">
        <v>67</v>
      </c>
      <c r="D24" s="292">
        <v>475.91</v>
      </c>
      <c r="E24" s="292">
        <f t="shared" si="2"/>
        <v>511.60999999999996</v>
      </c>
      <c r="F24" s="350">
        <f t="shared" si="0"/>
        <v>987.52</v>
      </c>
      <c r="G24" s="292">
        <v>7.6400000000000006</v>
      </c>
      <c r="H24" s="292">
        <v>33.03</v>
      </c>
      <c r="I24" s="292">
        <v>11.81</v>
      </c>
      <c r="J24" s="292">
        <v>12.43</v>
      </c>
      <c r="K24" s="292">
        <v>2.5499999999999998</v>
      </c>
      <c r="L24" s="292">
        <v>58.980000000000004</v>
      </c>
      <c r="M24" s="292">
        <v>2.98</v>
      </c>
      <c r="N24" s="292">
        <v>7.17</v>
      </c>
      <c r="O24" s="292">
        <v>15.38</v>
      </c>
      <c r="P24" s="292">
        <v>9.89</v>
      </c>
      <c r="Q24" s="292">
        <v>4.63</v>
      </c>
      <c r="R24" s="292">
        <v>21.74</v>
      </c>
      <c r="S24" s="292">
        <v>11.72</v>
      </c>
      <c r="T24" s="292">
        <v>0</v>
      </c>
      <c r="U24" s="292">
        <v>116.61</v>
      </c>
      <c r="V24" s="292">
        <v>13.969999999999999</v>
      </c>
      <c r="W24" s="292">
        <v>184.25</v>
      </c>
      <c r="X24" s="292">
        <v>0.25</v>
      </c>
      <c r="Y24" s="292">
        <v>472.49</v>
      </c>
      <c r="AA24" s="190">
        <f t="shared" si="3"/>
        <v>166.48999999999995</v>
      </c>
      <c r="AB24" s="190">
        <f t="shared" si="1"/>
        <v>1.1166855586781403</v>
      </c>
    </row>
    <row r="25" spans="1:29" s="2" customFormat="1" ht="15" customHeight="1">
      <c r="A25" s="94" t="s">
        <v>68</v>
      </c>
      <c r="B25" s="95" t="s">
        <v>69</v>
      </c>
      <c r="C25" s="94" t="s">
        <v>70</v>
      </c>
      <c r="D25" s="292"/>
      <c r="E25" s="292">
        <f t="shared" si="2"/>
        <v>0</v>
      </c>
      <c r="F25" s="350">
        <f t="shared" si="0"/>
        <v>0</v>
      </c>
      <c r="G25" s="292">
        <v>0</v>
      </c>
      <c r="H25" s="292">
        <v>0</v>
      </c>
      <c r="I25" s="292">
        <v>0</v>
      </c>
      <c r="J25" s="292">
        <v>0</v>
      </c>
      <c r="K25" s="292">
        <v>0</v>
      </c>
      <c r="L25" s="292">
        <v>0</v>
      </c>
      <c r="M25" s="292">
        <v>0</v>
      </c>
      <c r="N25" s="292">
        <v>0</v>
      </c>
      <c r="O25" s="292">
        <v>0</v>
      </c>
      <c r="P25" s="292">
        <v>0</v>
      </c>
      <c r="Q25" s="292">
        <v>0</v>
      </c>
      <c r="R25" s="292">
        <v>0</v>
      </c>
      <c r="S25" s="292">
        <v>0</v>
      </c>
      <c r="T25" s="292">
        <v>0</v>
      </c>
      <c r="U25" s="292">
        <v>0</v>
      </c>
      <c r="V25" s="292">
        <v>0</v>
      </c>
      <c r="W25" s="292">
        <v>0</v>
      </c>
      <c r="X25" s="292">
        <v>0</v>
      </c>
      <c r="Y25" s="292">
        <v>0</v>
      </c>
      <c r="AA25" s="190">
        <f t="shared" si="3"/>
        <v>0</v>
      </c>
      <c r="AB25" s="190">
        <f t="shared" si="1"/>
        <v>0</v>
      </c>
    </row>
    <row r="26" spans="1:29" s="2" customFormat="1" ht="33" customHeight="1">
      <c r="A26" s="94" t="s">
        <v>71</v>
      </c>
      <c r="B26" s="95" t="s">
        <v>135</v>
      </c>
      <c r="C26" s="94" t="s">
        <v>72</v>
      </c>
      <c r="D26" s="292">
        <v>2187.58</v>
      </c>
      <c r="E26" s="292">
        <f t="shared" si="2"/>
        <v>1960.6499999999996</v>
      </c>
      <c r="F26" s="350">
        <f t="shared" si="0"/>
        <v>4148.2299999999996</v>
      </c>
      <c r="G26" s="292">
        <v>104.08999999999999</v>
      </c>
      <c r="H26" s="292">
        <v>100.5</v>
      </c>
      <c r="I26" s="292">
        <v>324.59999999999997</v>
      </c>
      <c r="J26" s="292">
        <v>79.459999999999994</v>
      </c>
      <c r="K26" s="292">
        <v>267.79999999999995</v>
      </c>
      <c r="L26" s="292">
        <v>578.07000000000005</v>
      </c>
      <c r="M26" s="292">
        <v>37.019999999999996</v>
      </c>
      <c r="N26" s="292">
        <v>73.039999999999992</v>
      </c>
      <c r="O26" s="292">
        <v>196.33999999999997</v>
      </c>
      <c r="P26" s="292">
        <v>45.91</v>
      </c>
      <c r="Q26" s="292">
        <v>120.62</v>
      </c>
      <c r="R26" s="292">
        <v>107.37</v>
      </c>
      <c r="S26" s="292">
        <v>113.56</v>
      </c>
      <c r="T26" s="292">
        <v>1290.5899999999997</v>
      </c>
      <c r="U26" s="292">
        <v>77.250000000000014</v>
      </c>
      <c r="V26" s="292">
        <v>74.509999999999991</v>
      </c>
      <c r="W26" s="292">
        <v>255.29</v>
      </c>
      <c r="X26" s="292">
        <v>163.33999999999997</v>
      </c>
      <c r="Y26" s="292">
        <v>138.86999999999998</v>
      </c>
      <c r="AA26" s="190">
        <f t="shared" si="3"/>
        <v>1927.4499999999998</v>
      </c>
      <c r="AB26" s="190">
        <f t="shared" si="1"/>
        <v>12.927836987652002</v>
      </c>
    </row>
    <row r="27" spans="1:29" s="191" customFormat="1" ht="16.5" customHeight="1">
      <c r="A27" s="94"/>
      <c r="B27" s="95" t="s">
        <v>159</v>
      </c>
      <c r="C27" s="94"/>
      <c r="D27" s="292"/>
      <c r="E27" s="292"/>
      <c r="F27" s="350">
        <f t="shared" si="0"/>
        <v>0</v>
      </c>
      <c r="G27" s="292"/>
      <c r="H27" s="292"/>
      <c r="I27" s="292"/>
      <c r="J27" s="292"/>
      <c r="K27" s="292"/>
      <c r="L27" s="292"/>
      <c r="M27" s="292"/>
      <c r="N27" s="292"/>
      <c r="O27" s="292"/>
      <c r="P27" s="292"/>
      <c r="Q27" s="292"/>
      <c r="R27" s="292"/>
      <c r="S27" s="292"/>
      <c r="T27" s="292"/>
      <c r="U27" s="292"/>
      <c r="V27" s="292"/>
      <c r="W27" s="292"/>
      <c r="X27" s="292"/>
      <c r="Y27" s="292"/>
      <c r="AA27" s="274"/>
      <c r="AB27" s="274"/>
    </row>
    <row r="28" spans="1:29" s="251" customFormat="1" ht="16.5" customHeight="1">
      <c r="A28" s="290" t="s">
        <v>346</v>
      </c>
      <c r="B28" s="250" t="s">
        <v>517</v>
      </c>
      <c r="C28" s="249" t="s">
        <v>202</v>
      </c>
      <c r="D28" s="293">
        <v>51.31</v>
      </c>
      <c r="E28" s="293">
        <f>F28-D28</f>
        <v>-27.110000000000003</v>
      </c>
      <c r="F28" s="350">
        <f t="shared" si="0"/>
        <v>24.2</v>
      </c>
      <c r="G28" s="293">
        <v>6.1099999999999994</v>
      </c>
      <c r="H28" s="293">
        <v>0</v>
      </c>
      <c r="I28" s="293">
        <v>0</v>
      </c>
      <c r="J28" s="293">
        <v>0</v>
      </c>
      <c r="K28" s="293">
        <v>0.57999999999999996</v>
      </c>
      <c r="L28" s="293">
        <v>0.08</v>
      </c>
      <c r="M28" s="293">
        <v>0</v>
      </c>
      <c r="N28" s="293">
        <v>0.08</v>
      </c>
      <c r="O28" s="293">
        <v>0.42</v>
      </c>
      <c r="P28" s="293">
        <v>0.01</v>
      </c>
      <c r="Q28" s="293">
        <v>0</v>
      </c>
      <c r="R28" s="293">
        <v>0.04</v>
      </c>
      <c r="S28" s="293">
        <v>0.08</v>
      </c>
      <c r="T28" s="293">
        <v>16.100000000000001</v>
      </c>
      <c r="U28" s="293">
        <v>0</v>
      </c>
      <c r="V28" s="293">
        <v>0</v>
      </c>
      <c r="W28" s="293">
        <v>0.02</v>
      </c>
      <c r="X28" s="293">
        <v>0.04</v>
      </c>
      <c r="Y28" s="293">
        <v>0.64</v>
      </c>
      <c r="AA28" s="296"/>
      <c r="AB28" s="296"/>
      <c r="AC28" s="296">
        <f>Y24-0.15</f>
        <v>472.34000000000003</v>
      </c>
    </row>
    <row r="29" spans="1:29" s="251" customFormat="1" ht="16.5" customHeight="1">
      <c r="A29" s="290" t="s">
        <v>346</v>
      </c>
      <c r="B29" s="250" t="s">
        <v>518</v>
      </c>
      <c r="C29" s="249" t="s">
        <v>203</v>
      </c>
      <c r="D29" s="293">
        <v>13.13</v>
      </c>
      <c r="E29" s="293">
        <f t="shared" ref="E29:E31" si="4">F29-D29</f>
        <v>21.779999999999994</v>
      </c>
      <c r="F29" s="350">
        <f t="shared" si="0"/>
        <v>34.909999999999997</v>
      </c>
      <c r="G29" s="293">
        <v>1.1000000000000001</v>
      </c>
      <c r="H29" s="293">
        <v>1.95</v>
      </c>
      <c r="I29" s="293">
        <v>3.46</v>
      </c>
      <c r="J29" s="293">
        <v>0.13</v>
      </c>
      <c r="K29" s="293">
        <v>7.0000000000000007E-2</v>
      </c>
      <c r="L29" s="293">
        <v>0.11</v>
      </c>
      <c r="M29" s="293">
        <v>0.15</v>
      </c>
      <c r="N29" s="293">
        <v>0.1</v>
      </c>
      <c r="O29" s="293">
        <v>0.17</v>
      </c>
      <c r="P29" s="293">
        <v>7.0000000000000007E-2</v>
      </c>
      <c r="Q29" s="293">
        <v>0.51</v>
      </c>
      <c r="R29" s="293">
        <v>0.37</v>
      </c>
      <c r="S29" s="293">
        <v>4.62</v>
      </c>
      <c r="T29" s="293">
        <v>20.910000000000004</v>
      </c>
      <c r="U29" s="293">
        <v>0.15</v>
      </c>
      <c r="V29" s="293">
        <v>0.21</v>
      </c>
      <c r="W29" s="293">
        <v>0.18</v>
      </c>
      <c r="X29" s="293">
        <v>0.47</v>
      </c>
      <c r="Y29" s="293">
        <v>0.18</v>
      </c>
      <c r="AA29" s="296"/>
      <c r="AB29" s="296"/>
    </row>
    <row r="30" spans="1:29" s="251" customFormat="1" ht="16.5" customHeight="1">
      <c r="A30" s="290" t="s">
        <v>346</v>
      </c>
      <c r="B30" s="250" t="s">
        <v>519</v>
      </c>
      <c r="C30" s="249" t="s">
        <v>204</v>
      </c>
      <c r="D30" s="293">
        <v>187.03</v>
      </c>
      <c r="E30" s="293">
        <f t="shared" si="4"/>
        <v>89.03</v>
      </c>
      <c r="F30" s="350">
        <f t="shared" si="0"/>
        <v>276.06</v>
      </c>
      <c r="G30" s="293">
        <v>6.42</v>
      </c>
      <c r="H30" s="293">
        <v>2.71</v>
      </c>
      <c r="I30" s="293">
        <v>117.14</v>
      </c>
      <c r="J30" s="293">
        <v>2.37</v>
      </c>
      <c r="K30" s="293">
        <v>13.1</v>
      </c>
      <c r="L30" s="293">
        <v>46.12</v>
      </c>
      <c r="M30" s="293">
        <v>1.81</v>
      </c>
      <c r="N30" s="293">
        <v>1.86</v>
      </c>
      <c r="O30" s="293">
        <v>3.02</v>
      </c>
      <c r="P30" s="293">
        <v>2.69</v>
      </c>
      <c r="Q30" s="293">
        <v>2.1799999999999997</v>
      </c>
      <c r="R30" s="293">
        <v>4.51</v>
      </c>
      <c r="S30" s="293">
        <v>3</v>
      </c>
      <c r="T30" s="293">
        <v>50.160000000000004</v>
      </c>
      <c r="U30" s="293">
        <v>2.2600000000000002</v>
      </c>
      <c r="V30" s="293">
        <v>2.94</v>
      </c>
      <c r="W30" s="293">
        <v>8.7700000000000014</v>
      </c>
      <c r="X30" s="293">
        <v>2.67</v>
      </c>
      <c r="Y30" s="293">
        <v>2.33</v>
      </c>
      <c r="AA30" s="296"/>
      <c r="AB30" s="296"/>
    </row>
    <row r="31" spans="1:29" s="251" customFormat="1" ht="16.5" customHeight="1">
      <c r="A31" s="290" t="s">
        <v>346</v>
      </c>
      <c r="B31" s="250" t="s">
        <v>520</v>
      </c>
      <c r="C31" s="249" t="s">
        <v>205</v>
      </c>
      <c r="D31" s="293">
        <v>225.7</v>
      </c>
      <c r="E31" s="293">
        <f t="shared" si="4"/>
        <v>13.900000000000034</v>
      </c>
      <c r="F31" s="350">
        <f t="shared" si="0"/>
        <v>239.60000000000002</v>
      </c>
      <c r="G31" s="293">
        <v>4.75</v>
      </c>
      <c r="H31" s="293">
        <v>5.35</v>
      </c>
      <c r="I31" s="293">
        <v>0.85</v>
      </c>
      <c r="J31" s="293">
        <v>2.9</v>
      </c>
      <c r="K31" s="293">
        <v>0</v>
      </c>
      <c r="L31" s="293">
        <v>4.6899999999999995</v>
      </c>
      <c r="M31" s="293">
        <v>0</v>
      </c>
      <c r="N31" s="293">
        <v>2.2599999999999998</v>
      </c>
      <c r="O31" s="293">
        <v>2.5</v>
      </c>
      <c r="P31" s="293">
        <v>1.24</v>
      </c>
      <c r="Q31" s="293">
        <v>1.6</v>
      </c>
      <c r="R31" s="293">
        <v>2.9799999999999995</v>
      </c>
      <c r="S31" s="293">
        <v>3.97</v>
      </c>
      <c r="T31" s="293">
        <v>199.98000000000002</v>
      </c>
      <c r="U31" s="293">
        <v>0</v>
      </c>
      <c r="V31" s="293">
        <v>2.8</v>
      </c>
      <c r="W31" s="293">
        <v>0.15</v>
      </c>
      <c r="X31" s="293">
        <v>2.94</v>
      </c>
      <c r="Y31" s="293">
        <v>0.64</v>
      </c>
      <c r="AA31" s="296"/>
      <c r="AB31" s="296"/>
    </row>
    <row r="32" spans="1:29" s="2" customFormat="1" ht="15" customHeight="1">
      <c r="A32" s="94" t="s">
        <v>73</v>
      </c>
      <c r="B32" s="95" t="s">
        <v>74</v>
      </c>
      <c r="C32" s="94" t="s">
        <v>75</v>
      </c>
      <c r="D32" s="292">
        <v>94.86</v>
      </c>
      <c r="E32" s="292">
        <f t="shared" si="2"/>
        <v>1.8900000000000006</v>
      </c>
      <c r="F32" s="350">
        <f t="shared" si="0"/>
        <v>96.75</v>
      </c>
      <c r="G32" s="292">
        <v>0.19</v>
      </c>
      <c r="H32" s="292">
        <v>0</v>
      </c>
      <c r="I32" s="292">
        <v>0.02</v>
      </c>
      <c r="J32" s="292">
        <v>0</v>
      </c>
      <c r="K32" s="292">
        <v>0</v>
      </c>
      <c r="L32" s="292">
        <v>0</v>
      </c>
      <c r="M32" s="292">
        <v>72.990000000000009</v>
      </c>
      <c r="N32" s="292">
        <v>21.16</v>
      </c>
      <c r="O32" s="292">
        <v>0</v>
      </c>
      <c r="P32" s="292">
        <v>0</v>
      </c>
      <c r="Q32" s="292">
        <v>0</v>
      </c>
      <c r="R32" s="292">
        <v>0</v>
      </c>
      <c r="S32" s="292">
        <v>0</v>
      </c>
      <c r="T32" s="292">
        <v>1.89</v>
      </c>
      <c r="U32" s="292">
        <v>0</v>
      </c>
      <c r="V32" s="292">
        <v>0</v>
      </c>
      <c r="W32" s="292">
        <v>0</v>
      </c>
      <c r="X32" s="292">
        <v>0.5</v>
      </c>
      <c r="Y32" s="292">
        <v>0</v>
      </c>
      <c r="AA32" s="190">
        <f t="shared" si="3"/>
        <v>94.36</v>
      </c>
      <c r="AB32" s="190">
        <f t="shared" si="1"/>
        <v>0.63289356307807876</v>
      </c>
    </row>
    <row r="33" spans="1:28" s="2" customFormat="1" ht="15" customHeight="1">
      <c r="A33" s="94" t="s">
        <v>76</v>
      </c>
      <c r="B33" s="95" t="s">
        <v>77</v>
      </c>
      <c r="C33" s="94" t="s">
        <v>78</v>
      </c>
      <c r="D33" s="292"/>
      <c r="E33" s="292">
        <f t="shared" si="2"/>
        <v>0</v>
      </c>
      <c r="F33" s="350">
        <f t="shared" si="0"/>
        <v>0</v>
      </c>
      <c r="G33" s="292">
        <v>0</v>
      </c>
      <c r="H33" s="292">
        <v>0</v>
      </c>
      <c r="I33" s="292">
        <v>0</v>
      </c>
      <c r="J33" s="292">
        <v>0</v>
      </c>
      <c r="K33" s="292">
        <v>0</v>
      </c>
      <c r="L33" s="292">
        <v>0</v>
      </c>
      <c r="M33" s="292">
        <v>0</v>
      </c>
      <c r="N33" s="292">
        <v>0</v>
      </c>
      <c r="O33" s="292">
        <v>0</v>
      </c>
      <c r="P33" s="292">
        <v>0</v>
      </c>
      <c r="Q33" s="292">
        <v>0</v>
      </c>
      <c r="R33" s="292">
        <v>0</v>
      </c>
      <c r="S33" s="292">
        <v>0</v>
      </c>
      <c r="T33" s="292">
        <v>0</v>
      </c>
      <c r="U33" s="292">
        <v>0</v>
      </c>
      <c r="V33" s="292">
        <v>0</v>
      </c>
      <c r="W33" s="292">
        <v>0</v>
      </c>
      <c r="X33" s="292">
        <v>0</v>
      </c>
      <c r="Y33" s="292">
        <v>0</v>
      </c>
      <c r="AA33" s="190">
        <f t="shared" si="3"/>
        <v>0</v>
      </c>
      <c r="AB33" s="190">
        <f t="shared" si="1"/>
        <v>0</v>
      </c>
    </row>
    <row r="34" spans="1:28" s="2" customFormat="1" ht="15" customHeight="1">
      <c r="A34" s="94" t="s">
        <v>79</v>
      </c>
      <c r="B34" s="95" t="s">
        <v>80</v>
      </c>
      <c r="C34" s="94" t="s">
        <v>81</v>
      </c>
      <c r="D34" s="292">
        <v>5.56</v>
      </c>
      <c r="E34" s="292">
        <f t="shared" si="2"/>
        <v>0</v>
      </c>
      <c r="F34" s="350">
        <f t="shared" si="0"/>
        <v>5.56</v>
      </c>
      <c r="G34" s="292">
        <v>0.04</v>
      </c>
      <c r="H34" s="292">
        <v>0.05</v>
      </c>
      <c r="I34" s="292">
        <v>0.1</v>
      </c>
      <c r="J34" s="292">
        <v>1.63</v>
      </c>
      <c r="K34" s="292">
        <v>0.12</v>
      </c>
      <c r="L34" s="292">
        <v>0.27999999999999997</v>
      </c>
      <c r="M34" s="292">
        <v>0.03</v>
      </c>
      <c r="N34" s="292">
        <v>0.08</v>
      </c>
      <c r="O34" s="292">
        <v>0.04</v>
      </c>
      <c r="P34" s="292">
        <v>0.23</v>
      </c>
      <c r="Q34" s="292">
        <v>0.05</v>
      </c>
      <c r="R34" s="292">
        <v>0.04</v>
      </c>
      <c r="S34" s="292">
        <v>2.16</v>
      </c>
      <c r="T34" s="292">
        <v>7.0000000000000007E-2</v>
      </c>
      <c r="U34" s="292">
        <v>0.32</v>
      </c>
      <c r="V34" s="292">
        <v>0.16</v>
      </c>
      <c r="W34" s="292">
        <v>0.04</v>
      </c>
      <c r="X34" s="292">
        <v>0.02</v>
      </c>
      <c r="Y34" s="292">
        <v>0.1</v>
      </c>
      <c r="AA34" s="190">
        <f t="shared" si="3"/>
        <v>2.6499999999999995</v>
      </c>
      <c r="AB34" s="190">
        <f t="shared" si="1"/>
        <v>1.7774140972413189E-2</v>
      </c>
    </row>
    <row r="35" spans="1:28" s="2" customFormat="1" ht="15" customHeight="1">
      <c r="A35" s="94" t="s">
        <v>82</v>
      </c>
      <c r="B35" s="95" t="s">
        <v>83</v>
      </c>
      <c r="C35" s="94" t="s">
        <v>84</v>
      </c>
      <c r="D35" s="292">
        <v>577.6</v>
      </c>
      <c r="E35" s="292">
        <f t="shared" si="2"/>
        <v>0</v>
      </c>
      <c r="F35" s="350">
        <f t="shared" si="0"/>
        <v>577.6</v>
      </c>
      <c r="G35" s="292">
        <v>0</v>
      </c>
      <c r="H35" s="292">
        <v>0</v>
      </c>
      <c r="I35" s="292">
        <v>0</v>
      </c>
      <c r="J35" s="292">
        <v>0</v>
      </c>
      <c r="K35" s="292">
        <v>0</v>
      </c>
      <c r="L35" s="292">
        <v>0</v>
      </c>
      <c r="M35" s="292">
        <v>0</v>
      </c>
      <c r="N35" s="292">
        <v>0</v>
      </c>
      <c r="O35" s="292">
        <v>0</v>
      </c>
      <c r="P35" s="292">
        <v>0</v>
      </c>
      <c r="Q35" s="292">
        <v>0</v>
      </c>
      <c r="R35" s="292">
        <v>63.3</v>
      </c>
      <c r="S35" s="292">
        <v>123.47</v>
      </c>
      <c r="T35" s="292">
        <v>125.74</v>
      </c>
      <c r="U35" s="292">
        <v>77.81</v>
      </c>
      <c r="V35" s="292">
        <v>33.85</v>
      </c>
      <c r="W35" s="292">
        <v>50.24</v>
      </c>
      <c r="X35" s="292">
        <v>71.22</v>
      </c>
      <c r="Y35" s="292">
        <v>31.97</v>
      </c>
      <c r="AA35" s="190">
        <f t="shared" si="3"/>
        <v>0</v>
      </c>
      <c r="AB35" s="190">
        <f t="shared" si="1"/>
        <v>0</v>
      </c>
    </row>
    <row r="36" spans="1:28" s="2" customFormat="1" ht="15" customHeight="1">
      <c r="A36" s="94" t="s">
        <v>85</v>
      </c>
      <c r="B36" s="95" t="s">
        <v>86</v>
      </c>
      <c r="C36" s="94" t="s">
        <v>87</v>
      </c>
      <c r="D36" s="292">
        <v>832.39</v>
      </c>
      <c r="E36" s="292">
        <f t="shared" si="2"/>
        <v>378.5999999999998</v>
      </c>
      <c r="F36" s="350">
        <f t="shared" si="0"/>
        <v>1210.9899999999998</v>
      </c>
      <c r="G36" s="292">
        <v>85.039999999999992</v>
      </c>
      <c r="H36" s="292">
        <v>95.77</v>
      </c>
      <c r="I36" s="292">
        <v>97.44</v>
      </c>
      <c r="J36" s="292">
        <v>55.819999999999993</v>
      </c>
      <c r="K36" s="292">
        <v>107.93</v>
      </c>
      <c r="L36" s="292">
        <v>243.98000000000002</v>
      </c>
      <c r="M36" s="292">
        <v>31.61</v>
      </c>
      <c r="N36" s="292">
        <v>48.91</v>
      </c>
      <c r="O36" s="292">
        <v>36.01</v>
      </c>
      <c r="P36" s="292">
        <v>34.159999999999997</v>
      </c>
      <c r="Q36" s="292">
        <v>59.54</v>
      </c>
      <c r="R36" s="292">
        <v>0</v>
      </c>
      <c r="S36" s="292">
        <v>0</v>
      </c>
      <c r="T36" s="292">
        <v>285.01</v>
      </c>
      <c r="U36" s="292">
        <v>0</v>
      </c>
      <c r="V36" s="292">
        <v>0</v>
      </c>
      <c r="W36" s="292">
        <v>29.770000000000003</v>
      </c>
      <c r="X36" s="292">
        <v>0</v>
      </c>
      <c r="Y36" s="292">
        <v>0</v>
      </c>
      <c r="AA36" s="190">
        <f t="shared" si="3"/>
        <v>896.20999999999992</v>
      </c>
      <c r="AB36" s="190">
        <f t="shared" si="1"/>
        <v>6.0110803324099722</v>
      </c>
    </row>
    <row r="37" spans="1:28" s="2" customFormat="1" ht="15" customHeight="1">
      <c r="A37" s="94" t="s">
        <v>88</v>
      </c>
      <c r="B37" s="95" t="s">
        <v>89</v>
      </c>
      <c r="C37" s="94" t="s">
        <v>90</v>
      </c>
      <c r="D37" s="292">
        <v>11.37</v>
      </c>
      <c r="E37" s="292">
        <f t="shared" si="2"/>
        <v>0</v>
      </c>
      <c r="F37" s="350">
        <f t="shared" si="0"/>
        <v>11.369999999999997</v>
      </c>
      <c r="G37" s="292">
        <v>3.05</v>
      </c>
      <c r="H37" s="292">
        <v>0.74</v>
      </c>
      <c r="I37" s="292">
        <v>0.83</v>
      </c>
      <c r="J37" s="292">
        <v>0.16</v>
      </c>
      <c r="K37" s="292">
        <v>0.15</v>
      </c>
      <c r="L37" s="292">
        <v>0.4</v>
      </c>
      <c r="M37" s="292">
        <v>0.49</v>
      </c>
      <c r="N37" s="292">
        <v>0.22</v>
      </c>
      <c r="O37" s="292">
        <v>0.55000000000000004</v>
      </c>
      <c r="P37" s="292">
        <v>0.72</v>
      </c>
      <c r="Q37" s="292">
        <v>0.34</v>
      </c>
      <c r="R37" s="292">
        <v>0.21</v>
      </c>
      <c r="S37" s="292">
        <v>0.57999999999999996</v>
      </c>
      <c r="T37" s="292">
        <v>0.31</v>
      </c>
      <c r="U37" s="292">
        <v>0.54</v>
      </c>
      <c r="V37" s="292">
        <v>0.35</v>
      </c>
      <c r="W37" s="292">
        <v>0.26</v>
      </c>
      <c r="X37" s="292">
        <v>0.61</v>
      </c>
      <c r="Y37" s="292">
        <v>0.86</v>
      </c>
      <c r="AA37" s="190">
        <f t="shared" si="3"/>
        <v>7.65</v>
      </c>
      <c r="AB37" s="190">
        <f t="shared" si="1"/>
        <v>5.1310256014702238E-2</v>
      </c>
    </row>
    <row r="38" spans="1:28" s="2" customFormat="1" ht="15" customHeight="1">
      <c r="A38" s="94" t="s">
        <v>91</v>
      </c>
      <c r="B38" s="95" t="s">
        <v>92</v>
      </c>
      <c r="C38" s="94" t="s">
        <v>93</v>
      </c>
      <c r="D38" s="292">
        <v>4.4000000000000004</v>
      </c>
      <c r="E38" s="292">
        <f t="shared" si="2"/>
        <v>0</v>
      </c>
      <c r="F38" s="350">
        <f t="shared" si="0"/>
        <v>4.3999999999999995</v>
      </c>
      <c r="G38" s="292">
        <v>0</v>
      </c>
      <c r="H38" s="292">
        <v>0.75</v>
      </c>
      <c r="I38" s="292">
        <v>1.92</v>
      </c>
      <c r="J38" s="292">
        <v>0.43</v>
      </c>
      <c r="K38" s="292">
        <v>0</v>
      </c>
      <c r="L38" s="292">
        <v>0.03</v>
      </c>
      <c r="M38" s="292">
        <v>0.28999999999999998</v>
      </c>
      <c r="N38" s="292">
        <v>0</v>
      </c>
      <c r="O38" s="292">
        <v>0.08</v>
      </c>
      <c r="P38" s="292">
        <v>0</v>
      </c>
      <c r="Q38" s="292">
        <v>0</v>
      </c>
      <c r="R38" s="292">
        <v>7.0000000000000007E-2</v>
      </c>
      <c r="S38" s="292">
        <v>0.32999999999999996</v>
      </c>
      <c r="T38" s="292">
        <v>0.36</v>
      </c>
      <c r="U38" s="292">
        <v>0.02</v>
      </c>
      <c r="V38" s="292">
        <v>0</v>
      </c>
      <c r="W38" s="292">
        <v>0</v>
      </c>
      <c r="X38" s="292">
        <v>0.12</v>
      </c>
      <c r="Y38" s="292">
        <v>0</v>
      </c>
      <c r="AA38" s="190">
        <f t="shared" si="3"/>
        <v>3.5</v>
      </c>
      <c r="AB38" s="190">
        <f t="shared" si="1"/>
        <v>2.3475280529602328E-2</v>
      </c>
    </row>
    <row r="39" spans="1:28" s="2" customFormat="1" ht="15" customHeight="1">
      <c r="A39" s="94" t="s">
        <v>94</v>
      </c>
      <c r="B39" s="95" t="s">
        <v>95</v>
      </c>
      <c r="C39" s="94" t="s">
        <v>96</v>
      </c>
      <c r="D39" s="292"/>
      <c r="E39" s="292">
        <f t="shared" si="2"/>
        <v>0</v>
      </c>
      <c r="F39" s="350">
        <f t="shared" si="0"/>
        <v>0</v>
      </c>
      <c r="G39" s="292">
        <v>0</v>
      </c>
      <c r="H39" s="292">
        <v>0</v>
      </c>
      <c r="I39" s="292">
        <v>0</v>
      </c>
      <c r="J39" s="292">
        <v>0</v>
      </c>
      <c r="K39" s="292">
        <v>0</v>
      </c>
      <c r="L39" s="292">
        <v>0</v>
      </c>
      <c r="M39" s="292">
        <v>0</v>
      </c>
      <c r="N39" s="292">
        <v>0</v>
      </c>
      <c r="O39" s="292">
        <v>0</v>
      </c>
      <c r="P39" s="292">
        <v>0</v>
      </c>
      <c r="Q39" s="292">
        <v>0</v>
      </c>
      <c r="R39" s="292">
        <v>0</v>
      </c>
      <c r="S39" s="292">
        <v>0</v>
      </c>
      <c r="T39" s="292">
        <v>0</v>
      </c>
      <c r="U39" s="292">
        <v>0</v>
      </c>
      <c r="V39" s="292">
        <v>0</v>
      </c>
      <c r="W39" s="292">
        <v>0</v>
      </c>
      <c r="X39" s="292">
        <v>0</v>
      </c>
      <c r="Y39" s="292">
        <v>0</v>
      </c>
      <c r="AA39" s="190">
        <f t="shared" si="3"/>
        <v>0</v>
      </c>
      <c r="AB39" s="190">
        <f t="shared" si="1"/>
        <v>0</v>
      </c>
    </row>
    <row r="40" spans="1:28" s="2" customFormat="1" ht="15" customHeight="1">
      <c r="A40" s="94" t="s">
        <v>97</v>
      </c>
      <c r="B40" s="95" t="s">
        <v>98</v>
      </c>
      <c r="C40" s="94" t="s">
        <v>99</v>
      </c>
      <c r="D40" s="292">
        <v>38.840000000000003</v>
      </c>
      <c r="E40" s="292">
        <f t="shared" si="2"/>
        <v>0</v>
      </c>
      <c r="F40" s="350">
        <f t="shared" si="0"/>
        <v>38.840000000000003</v>
      </c>
      <c r="G40" s="292">
        <v>0.66</v>
      </c>
      <c r="H40" s="292">
        <v>0.21</v>
      </c>
      <c r="I40" s="292">
        <v>15.739999999999998</v>
      </c>
      <c r="J40" s="292">
        <v>1.31</v>
      </c>
      <c r="K40" s="292">
        <v>0.17</v>
      </c>
      <c r="L40" s="292">
        <v>0</v>
      </c>
      <c r="M40" s="292">
        <v>0.58000000000000007</v>
      </c>
      <c r="N40" s="292">
        <v>3.69</v>
      </c>
      <c r="O40" s="292">
        <v>1.5</v>
      </c>
      <c r="P40" s="292">
        <v>0.74</v>
      </c>
      <c r="Q40" s="292">
        <v>0</v>
      </c>
      <c r="R40" s="292">
        <v>1.35</v>
      </c>
      <c r="S40" s="292">
        <v>0.09</v>
      </c>
      <c r="T40" s="292">
        <v>9.629999999999999</v>
      </c>
      <c r="U40" s="292">
        <v>2.31</v>
      </c>
      <c r="V40" s="292">
        <v>0</v>
      </c>
      <c r="W40" s="292">
        <v>0.86</v>
      </c>
      <c r="X40" s="292">
        <v>0</v>
      </c>
      <c r="Y40" s="292">
        <v>0</v>
      </c>
      <c r="AA40" s="190">
        <f t="shared" si="3"/>
        <v>24.6</v>
      </c>
      <c r="AB40" s="190">
        <f t="shared" si="1"/>
        <v>0.16499768600806208</v>
      </c>
    </row>
    <row r="41" spans="1:28" s="2" customFormat="1" ht="29.25" customHeight="1">
      <c r="A41" s="94" t="s">
        <v>100</v>
      </c>
      <c r="B41" s="95" t="s">
        <v>134</v>
      </c>
      <c r="C41" s="94" t="s">
        <v>101</v>
      </c>
      <c r="D41" s="292">
        <v>281.39</v>
      </c>
      <c r="E41" s="292">
        <f t="shared" si="2"/>
        <v>0</v>
      </c>
      <c r="F41" s="350">
        <f t="shared" si="0"/>
        <v>281.38999999999993</v>
      </c>
      <c r="G41" s="292">
        <v>11.97</v>
      </c>
      <c r="H41" s="292">
        <v>7.52</v>
      </c>
      <c r="I41" s="292">
        <v>19.75</v>
      </c>
      <c r="J41" s="292">
        <v>14.1</v>
      </c>
      <c r="K41" s="292">
        <v>95.86999999999999</v>
      </c>
      <c r="L41" s="292">
        <v>5.1899999999999995</v>
      </c>
      <c r="M41" s="292">
        <v>3</v>
      </c>
      <c r="N41" s="292">
        <v>7.8900000000000006</v>
      </c>
      <c r="O41" s="292">
        <v>7.89</v>
      </c>
      <c r="P41" s="292">
        <v>6.36</v>
      </c>
      <c r="Q41" s="292">
        <v>9.6900000000000013</v>
      </c>
      <c r="R41" s="292">
        <v>9.6</v>
      </c>
      <c r="S41" s="292">
        <v>31.19</v>
      </c>
      <c r="T41" s="292">
        <v>4.87</v>
      </c>
      <c r="U41" s="292">
        <v>24.93</v>
      </c>
      <c r="V41" s="292">
        <v>5.71</v>
      </c>
      <c r="W41" s="292">
        <v>7.67</v>
      </c>
      <c r="X41" s="292">
        <v>2.86</v>
      </c>
      <c r="Y41" s="292">
        <v>5.33</v>
      </c>
      <c r="AA41" s="190">
        <f t="shared" si="3"/>
        <v>189.22999999999996</v>
      </c>
      <c r="AB41" s="190">
        <f t="shared" si="1"/>
        <v>1.2692078098904709</v>
      </c>
    </row>
    <row r="42" spans="1:28" s="2" customFormat="1" ht="15" customHeight="1">
      <c r="A42" s="94" t="s">
        <v>102</v>
      </c>
      <c r="B42" s="95" t="s">
        <v>103</v>
      </c>
      <c r="C42" s="94" t="s">
        <v>104</v>
      </c>
      <c r="D42" s="292"/>
      <c r="E42" s="292">
        <f t="shared" si="2"/>
        <v>241.64999999999998</v>
      </c>
      <c r="F42" s="350">
        <f t="shared" si="0"/>
        <v>241.64999999999998</v>
      </c>
      <c r="G42" s="292">
        <v>10.68</v>
      </c>
      <c r="H42" s="292">
        <v>65.97999999999999</v>
      </c>
      <c r="I42" s="292">
        <v>0</v>
      </c>
      <c r="J42" s="292">
        <v>40.71</v>
      </c>
      <c r="K42" s="292">
        <v>0</v>
      </c>
      <c r="L42" s="292">
        <v>0</v>
      </c>
      <c r="M42" s="292">
        <v>0</v>
      </c>
      <c r="N42" s="292">
        <v>0.13</v>
      </c>
      <c r="O42" s="292">
        <v>0</v>
      </c>
      <c r="P42" s="292">
        <v>0</v>
      </c>
      <c r="Q42" s="292">
        <v>0</v>
      </c>
      <c r="R42" s="292">
        <v>49.31</v>
      </c>
      <c r="S42" s="292">
        <v>54.47</v>
      </c>
      <c r="T42" s="292">
        <v>14.450000000000001</v>
      </c>
      <c r="U42" s="292">
        <v>5.92</v>
      </c>
      <c r="V42" s="292">
        <v>0</v>
      </c>
      <c r="W42" s="292">
        <v>0</v>
      </c>
      <c r="X42" s="292">
        <v>0</v>
      </c>
      <c r="Y42" s="292">
        <v>0</v>
      </c>
      <c r="AA42" s="190">
        <f t="shared" si="3"/>
        <v>117.5</v>
      </c>
      <c r="AB42" s="190">
        <f t="shared" si="1"/>
        <v>0.78809870349379252</v>
      </c>
    </row>
    <row r="43" spans="1:28" s="2" customFormat="1" ht="15" customHeight="1">
      <c r="A43" s="94" t="s">
        <v>105</v>
      </c>
      <c r="B43" s="95" t="s">
        <v>106</v>
      </c>
      <c r="C43" s="94" t="s">
        <v>107</v>
      </c>
      <c r="D43" s="292"/>
      <c r="E43" s="292">
        <f t="shared" si="2"/>
        <v>11.74</v>
      </c>
      <c r="F43" s="350">
        <f t="shared" si="0"/>
        <v>11.74</v>
      </c>
      <c r="G43" s="292">
        <v>0.69</v>
      </c>
      <c r="H43" s="292">
        <v>1.46</v>
      </c>
      <c r="I43" s="292">
        <v>0.68</v>
      </c>
      <c r="J43" s="292">
        <v>0.34</v>
      </c>
      <c r="K43" s="292">
        <v>0.14000000000000001</v>
      </c>
      <c r="L43" s="292">
        <v>0.54</v>
      </c>
      <c r="M43" s="292">
        <v>0.24</v>
      </c>
      <c r="N43" s="292">
        <v>0.44</v>
      </c>
      <c r="O43" s="292">
        <v>0.88</v>
      </c>
      <c r="P43" s="292">
        <v>0.14000000000000001</v>
      </c>
      <c r="Q43" s="292">
        <v>0.91</v>
      </c>
      <c r="R43" s="292">
        <v>0.66999999999999993</v>
      </c>
      <c r="S43" s="292">
        <v>1.33</v>
      </c>
      <c r="T43" s="292">
        <v>0.16</v>
      </c>
      <c r="U43" s="292">
        <v>1.23</v>
      </c>
      <c r="V43" s="292">
        <v>0.45</v>
      </c>
      <c r="W43" s="292">
        <v>0.27</v>
      </c>
      <c r="X43" s="292">
        <v>0.4</v>
      </c>
      <c r="Y43" s="292">
        <v>0.77</v>
      </c>
      <c r="AA43" s="190">
        <f t="shared" si="3"/>
        <v>6.46</v>
      </c>
      <c r="AB43" s="190">
        <f t="shared" si="1"/>
        <v>4.3328660634637445E-2</v>
      </c>
    </row>
    <row r="44" spans="1:28" s="2" customFormat="1" ht="15" customHeight="1">
      <c r="A44" s="94" t="s">
        <v>108</v>
      </c>
      <c r="B44" s="95" t="s">
        <v>109</v>
      </c>
      <c r="C44" s="94" t="s">
        <v>110</v>
      </c>
      <c r="D44" s="292"/>
      <c r="E44" s="292">
        <f t="shared" si="2"/>
        <v>730.38999999999987</v>
      </c>
      <c r="F44" s="350">
        <f t="shared" si="0"/>
        <v>730.38999999999987</v>
      </c>
      <c r="G44" s="292">
        <v>3.09</v>
      </c>
      <c r="H44" s="292">
        <v>1.1300000000000001</v>
      </c>
      <c r="I44" s="292">
        <v>6.129999999999999</v>
      </c>
      <c r="J44" s="292">
        <v>0.3</v>
      </c>
      <c r="K44" s="292">
        <v>47.269999999999996</v>
      </c>
      <c r="L44" s="292">
        <v>143.18</v>
      </c>
      <c r="M44" s="292">
        <v>0.22</v>
      </c>
      <c r="N44" s="292">
        <v>0.63</v>
      </c>
      <c r="O44" s="292">
        <v>5.08</v>
      </c>
      <c r="P44" s="292">
        <v>0.01</v>
      </c>
      <c r="Q44" s="292">
        <v>0.45</v>
      </c>
      <c r="R44" s="292">
        <v>1.9600000000000002</v>
      </c>
      <c r="S44" s="292">
        <v>0.08</v>
      </c>
      <c r="T44" s="292">
        <v>491.84</v>
      </c>
      <c r="U44" s="292">
        <v>0.35</v>
      </c>
      <c r="V44" s="292">
        <v>0.06</v>
      </c>
      <c r="W44" s="292">
        <v>27.560000000000002</v>
      </c>
      <c r="X44" s="292">
        <v>0.31000000000000005</v>
      </c>
      <c r="Y44" s="292">
        <v>0.7400000000000001</v>
      </c>
      <c r="AA44" s="190">
        <f t="shared" si="3"/>
        <v>207.48999999999998</v>
      </c>
      <c r="AB44" s="190">
        <f t="shared" si="1"/>
        <v>1.3916817020249106</v>
      </c>
    </row>
    <row r="45" spans="1:28" s="2" customFormat="1" ht="15" customHeight="1">
      <c r="A45" s="94" t="s">
        <v>111</v>
      </c>
      <c r="B45" s="95" t="s">
        <v>112</v>
      </c>
      <c r="C45" s="94" t="s">
        <v>113</v>
      </c>
      <c r="D45" s="292"/>
      <c r="E45" s="292">
        <f t="shared" si="2"/>
        <v>20.58</v>
      </c>
      <c r="F45" s="350">
        <f t="shared" si="0"/>
        <v>20.58</v>
      </c>
      <c r="G45" s="292">
        <v>0.49</v>
      </c>
      <c r="H45" s="292">
        <v>0.3</v>
      </c>
      <c r="I45" s="292">
        <v>0.71</v>
      </c>
      <c r="J45" s="292">
        <v>1.06</v>
      </c>
      <c r="K45" s="292">
        <v>0.12</v>
      </c>
      <c r="L45" s="292">
        <v>0.08</v>
      </c>
      <c r="M45" s="292">
        <v>0.93000000000000016</v>
      </c>
      <c r="N45" s="292">
        <v>1.59</v>
      </c>
      <c r="O45" s="292">
        <v>2.82</v>
      </c>
      <c r="P45" s="292">
        <v>1.33</v>
      </c>
      <c r="Q45" s="292">
        <v>0.77</v>
      </c>
      <c r="R45" s="292">
        <v>1.41</v>
      </c>
      <c r="S45" s="292">
        <v>1.87</v>
      </c>
      <c r="T45" s="292">
        <v>0.03</v>
      </c>
      <c r="U45" s="292">
        <v>0.84</v>
      </c>
      <c r="V45" s="292">
        <v>1.65</v>
      </c>
      <c r="W45" s="292">
        <v>2.79</v>
      </c>
      <c r="X45" s="292">
        <v>1.77</v>
      </c>
      <c r="Y45" s="292">
        <v>0.02</v>
      </c>
      <c r="AA45" s="190">
        <f t="shared" si="3"/>
        <v>10.199999999999999</v>
      </c>
      <c r="AB45" s="190">
        <f t="shared" si="1"/>
        <v>6.8413674686269632E-2</v>
      </c>
    </row>
    <row r="46" spans="1:28" s="2" customFormat="1" ht="15" customHeight="1">
      <c r="A46" s="94" t="s">
        <v>114</v>
      </c>
      <c r="B46" s="95" t="s">
        <v>115</v>
      </c>
      <c r="C46" s="94" t="s">
        <v>116</v>
      </c>
      <c r="D46" s="292"/>
      <c r="E46" s="292">
        <f t="shared" si="2"/>
        <v>2622.54</v>
      </c>
      <c r="F46" s="350">
        <f t="shared" si="0"/>
        <v>2622.54</v>
      </c>
      <c r="G46" s="292">
        <v>80.070000000000007</v>
      </c>
      <c r="H46" s="292">
        <v>78.59</v>
      </c>
      <c r="I46" s="292">
        <v>197.76</v>
      </c>
      <c r="J46" s="292">
        <v>0</v>
      </c>
      <c r="K46" s="292">
        <v>154.89000000000001</v>
      </c>
      <c r="L46" s="292">
        <v>1.9299999999999784</v>
      </c>
      <c r="M46" s="292">
        <v>101.15</v>
      </c>
      <c r="N46" s="292">
        <v>267.28999999999996</v>
      </c>
      <c r="O46" s="292">
        <v>164.01000000000002</v>
      </c>
      <c r="P46" s="292">
        <v>148.85</v>
      </c>
      <c r="Q46" s="292">
        <v>124.19</v>
      </c>
      <c r="R46" s="292">
        <v>99.63</v>
      </c>
      <c r="S46" s="292">
        <v>4.1099999999999994</v>
      </c>
      <c r="T46" s="292">
        <v>128</v>
      </c>
      <c r="U46" s="292">
        <v>162.85</v>
      </c>
      <c r="V46" s="292">
        <v>34.28</v>
      </c>
      <c r="W46" s="292">
        <v>9.2099999999999937</v>
      </c>
      <c r="X46" s="292">
        <v>561.85</v>
      </c>
      <c r="Y46" s="292">
        <v>303.88</v>
      </c>
      <c r="AA46" s="190">
        <f t="shared" si="3"/>
        <v>1318.73</v>
      </c>
      <c r="AB46" s="190">
        <f t="shared" si="1"/>
        <v>8.8450161979435649</v>
      </c>
    </row>
    <row r="47" spans="1:28" s="2" customFormat="1" ht="15" customHeight="1">
      <c r="A47" s="94" t="s">
        <v>117</v>
      </c>
      <c r="B47" s="95" t="s">
        <v>118</v>
      </c>
      <c r="C47" s="94" t="s">
        <v>119</v>
      </c>
      <c r="D47" s="292"/>
      <c r="E47" s="292">
        <f t="shared" si="2"/>
        <v>194.23999999999995</v>
      </c>
      <c r="F47" s="350">
        <f t="shared" si="0"/>
        <v>194.23999999999995</v>
      </c>
      <c r="G47" s="292">
        <v>7.33</v>
      </c>
      <c r="H47" s="292">
        <v>0</v>
      </c>
      <c r="I47" s="292">
        <v>97.789999999999992</v>
      </c>
      <c r="J47" s="292">
        <v>4.1500000000000004</v>
      </c>
      <c r="K47" s="292">
        <v>0</v>
      </c>
      <c r="L47" s="292">
        <v>12.000000000000002</v>
      </c>
      <c r="M47" s="292">
        <v>0</v>
      </c>
      <c r="N47" s="292">
        <v>0.57999999999999996</v>
      </c>
      <c r="O47" s="292">
        <v>36.799999999999997</v>
      </c>
      <c r="P47" s="292">
        <v>0.45</v>
      </c>
      <c r="Q47" s="292">
        <v>0</v>
      </c>
      <c r="R47" s="292">
        <v>0.55999999999999983</v>
      </c>
      <c r="S47" s="292">
        <v>2.29</v>
      </c>
      <c r="T47" s="292">
        <v>15.3</v>
      </c>
      <c r="U47" s="292">
        <v>15.66</v>
      </c>
      <c r="V47" s="292">
        <v>0.25</v>
      </c>
      <c r="W47" s="292">
        <v>0.91</v>
      </c>
      <c r="X47" s="292">
        <v>0.17</v>
      </c>
      <c r="Y47" s="292">
        <v>0</v>
      </c>
      <c r="AA47" s="190">
        <f t="shared" si="3"/>
        <v>159.09999999999997</v>
      </c>
      <c r="AB47" s="190">
        <f t="shared" si="1"/>
        <v>1.067119180645637</v>
      </c>
    </row>
    <row r="48" spans="1:28" s="2" customFormat="1" ht="15" customHeight="1">
      <c r="A48" s="94" t="s">
        <v>120</v>
      </c>
      <c r="B48" s="95" t="s">
        <v>692</v>
      </c>
      <c r="C48" s="94"/>
      <c r="D48" s="292"/>
      <c r="E48" s="292">
        <f t="shared" si="2"/>
        <v>9.0000000000000011E-2</v>
      </c>
      <c r="F48" s="350">
        <f t="shared" si="0"/>
        <v>9.0000000000000011E-2</v>
      </c>
      <c r="G48" s="292">
        <v>0</v>
      </c>
      <c r="H48" s="292">
        <v>0</v>
      </c>
      <c r="I48" s="292">
        <v>0</v>
      </c>
      <c r="J48" s="292">
        <v>0</v>
      </c>
      <c r="K48" s="292">
        <v>0</v>
      </c>
      <c r="L48" s="292">
        <v>0</v>
      </c>
      <c r="M48" s="292">
        <v>0</v>
      </c>
      <c r="N48" s="292">
        <v>7.0000000000000007E-2</v>
      </c>
      <c r="O48" s="292">
        <v>0</v>
      </c>
      <c r="P48" s="292">
        <v>0</v>
      </c>
      <c r="Q48" s="292">
        <v>0</v>
      </c>
      <c r="R48" s="292">
        <v>0</v>
      </c>
      <c r="S48" s="292">
        <v>0</v>
      </c>
      <c r="T48" s="292">
        <v>0</v>
      </c>
      <c r="U48" s="292">
        <v>0</v>
      </c>
      <c r="V48" s="292">
        <v>0</v>
      </c>
      <c r="W48" s="292">
        <v>0.02</v>
      </c>
      <c r="X48" s="292">
        <v>0</v>
      </c>
      <c r="Y48" s="292">
        <v>0</v>
      </c>
      <c r="AA48" s="190">
        <f t="shared" si="3"/>
        <v>7.0000000000000007E-2</v>
      </c>
      <c r="AB48" s="190">
        <f t="shared" si="1"/>
        <v>4.6950561059204659E-4</v>
      </c>
    </row>
    <row r="49" spans="1:28" s="67" customFormat="1" ht="15" customHeight="1">
      <c r="A49" s="92">
        <v>3</v>
      </c>
      <c r="B49" s="93" t="s">
        <v>123</v>
      </c>
      <c r="C49" s="92" t="s">
        <v>124</v>
      </c>
      <c r="D49" s="291">
        <v>267.18</v>
      </c>
      <c r="E49" s="291">
        <f t="shared" si="2"/>
        <v>0</v>
      </c>
      <c r="F49" s="295">
        <f t="shared" si="0"/>
        <v>267.17999999999995</v>
      </c>
      <c r="G49" s="291">
        <v>0.38999999999999996</v>
      </c>
      <c r="H49" s="291">
        <v>6.7399999999999984</v>
      </c>
      <c r="I49" s="291">
        <v>107.05000000000001</v>
      </c>
      <c r="J49" s="291">
        <v>4.1099999999999994</v>
      </c>
      <c r="K49" s="291">
        <v>13.8</v>
      </c>
      <c r="L49" s="291">
        <v>2.7399999999999523</v>
      </c>
      <c r="M49" s="291">
        <v>0</v>
      </c>
      <c r="N49" s="291">
        <v>6.3900000000000006</v>
      </c>
      <c r="O49" s="291">
        <v>9.2200000000000024</v>
      </c>
      <c r="P49" s="291">
        <v>0.39999999999999991</v>
      </c>
      <c r="Q49" s="291">
        <v>0.24</v>
      </c>
      <c r="R49" s="291">
        <v>5.6000000000000005</v>
      </c>
      <c r="S49" s="291">
        <v>10.94</v>
      </c>
      <c r="T49" s="291">
        <v>89.119999999999919</v>
      </c>
      <c r="U49" s="291">
        <v>3.7699999999999996</v>
      </c>
      <c r="V49" s="291">
        <v>0.12999999999999989</v>
      </c>
      <c r="W49" s="291">
        <v>4.1900000000000546</v>
      </c>
      <c r="X49" s="291">
        <v>1.6300000000000001</v>
      </c>
      <c r="Y49" s="291">
        <v>0.72000000000001307</v>
      </c>
      <c r="AA49" s="247">
        <f t="shared" si="3"/>
        <v>151.07999999999998</v>
      </c>
      <c r="AB49" s="247">
        <f t="shared" si="1"/>
        <v>1.0133272521178056</v>
      </c>
    </row>
    <row r="50" spans="1:28" s="191" customFormat="1" ht="15" hidden="1" customHeight="1">
      <c r="A50" s="289" t="s">
        <v>346</v>
      </c>
      <c r="B50" s="95" t="s">
        <v>515</v>
      </c>
      <c r="C50" s="94"/>
      <c r="D50" s="292">
        <v>267.18</v>
      </c>
      <c r="E50" s="292">
        <f t="shared" si="2"/>
        <v>0</v>
      </c>
      <c r="F50" s="295">
        <f t="shared" si="0"/>
        <v>267.17999999999995</v>
      </c>
      <c r="G50" s="292">
        <v>0.38999999999999996</v>
      </c>
      <c r="H50" s="292">
        <v>6.7399999999999984</v>
      </c>
      <c r="I50" s="292">
        <v>107.05000000000001</v>
      </c>
      <c r="J50" s="292">
        <v>4.1099999999999994</v>
      </c>
      <c r="K50" s="292">
        <v>13.8</v>
      </c>
      <c r="L50" s="292">
        <v>2.7399999999999523</v>
      </c>
      <c r="M50" s="292">
        <v>0</v>
      </c>
      <c r="N50" s="292">
        <v>6.3900000000000006</v>
      </c>
      <c r="O50" s="292">
        <v>9.2200000000000024</v>
      </c>
      <c r="P50" s="292">
        <v>0.39999999999999991</v>
      </c>
      <c r="Q50" s="292">
        <v>0.24</v>
      </c>
      <c r="R50" s="292">
        <v>5.6000000000000005</v>
      </c>
      <c r="S50" s="292">
        <v>10.94</v>
      </c>
      <c r="T50" s="292">
        <v>89.119999999999919</v>
      </c>
      <c r="U50" s="292">
        <v>3.7699999999999996</v>
      </c>
      <c r="V50" s="292">
        <v>0.12999999999999989</v>
      </c>
      <c r="W50" s="292">
        <v>4.1900000000000546</v>
      </c>
      <c r="X50" s="292">
        <v>1.6300000000000001</v>
      </c>
      <c r="Y50" s="292">
        <v>0.72000000000001307</v>
      </c>
      <c r="AA50" s="274"/>
    </row>
    <row r="51" spans="1:28" s="191" customFormat="1" ht="15" hidden="1" customHeight="1">
      <c r="A51" s="289" t="s">
        <v>346</v>
      </c>
      <c r="B51" s="95" t="s">
        <v>516</v>
      </c>
      <c r="C51" s="94"/>
      <c r="D51" s="292">
        <v>2100.94</v>
      </c>
      <c r="E51" s="292">
        <f t="shared" si="2"/>
        <v>176.47999999999956</v>
      </c>
      <c r="F51" s="295">
        <f t="shared" si="0"/>
        <v>2277.4199999999996</v>
      </c>
      <c r="G51" s="292">
        <v>0.3</v>
      </c>
      <c r="H51" s="292">
        <v>5.38</v>
      </c>
      <c r="I51" s="292">
        <v>77.849999999999994</v>
      </c>
      <c r="J51" s="292">
        <v>0.41000000000000003</v>
      </c>
      <c r="K51" s="292">
        <v>6.1400000000000006</v>
      </c>
      <c r="L51" s="292">
        <v>296.3</v>
      </c>
      <c r="M51" s="292">
        <v>0</v>
      </c>
      <c r="N51" s="292">
        <v>0.06</v>
      </c>
      <c r="O51" s="292">
        <v>25.919999999999998</v>
      </c>
      <c r="P51" s="292">
        <v>0.23</v>
      </c>
      <c r="Q51" s="292">
        <v>0.08</v>
      </c>
      <c r="R51" s="292">
        <v>11.379999999999999</v>
      </c>
      <c r="S51" s="292">
        <v>0.23</v>
      </c>
      <c r="T51" s="292">
        <v>937.52</v>
      </c>
      <c r="U51" s="292">
        <v>0</v>
      </c>
      <c r="V51" s="292">
        <v>0</v>
      </c>
      <c r="W51" s="292">
        <v>847.31</v>
      </c>
      <c r="X51" s="292">
        <v>0</v>
      </c>
      <c r="Y51" s="292">
        <v>68.31</v>
      </c>
      <c r="AA51" s="274"/>
    </row>
    <row r="52" spans="1:28" s="67" customFormat="1" ht="15" customHeight="1">
      <c r="A52" s="92">
        <v>4</v>
      </c>
      <c r="B52" s="93" t="s">
        <v>125</v>
      </c>
      <c r="C52" s="92" t="s">
        <v>126</v>
      </c>
      <c r="D52" s="291"/>
      <c r="E52" s="292">
        <f t="shared" si="2"/>
        <v>0</v>
      </c>
      <c r="F52" s="295">
        <f t="shared" si="0"/>
        <v>0</v>
      </c>
      <c r="G52" s="291"/>
      <c r="H52" s="291"/>
      <c r="I52" s="291"/>
      <c r="J52" s="291"/>
      <c r="K52" s="291"/>
      <c r="L52" s="291"/>
      <c r="M52" s="291"/>
      <c r="N52" s="291"/>
      <c r="O52" s="291"/>
      <c r="P52" s="291"/>
      <c r="Q52" s="291"/>
      <c r="R52" s="291"/>
      <c r="S52" s="291"/>
      <c r="T52" s="291"/>
      <c r="U52" s="291"/>
      <c r="V52" s="291"/>
      <c r="W52" s="291"/>
      <c r="X52" s="291"/>
      <c r="Y52" s="291"/>
      <c r="AA52" s="247"/>
    </row>
    <row r="53" spans="1:28" s="67" customFormat="1" ht="15" customHeight="1">
      <c r="A53" s="92">
        <v>5</v>
      </c>
      <c r="B53" s="93" t="s">
        <v>127</v>
      </c>
      <c r="C53" s="92" t="s">
        <v>128</v>
      </c>
      <c r="D53" s="291"/>
      <c r="E53" s="292">
        <f t="shared" si="2"/>
        <v>12634.399999999998</v>
      </c>
      <c r="F53" s="295">
        <f t="shared" si="0"/>
        <v>12634.399999999998</v>
      </c>
      <c r="G53" s="291"/>
      <c r="H53" s="291">
        <v>434</v>
      </c>
      <c r="I53" s="291">
        <v>870</v>
      </c>
      <c r="J53" s="291">
        <v>22.7</v>
      </c>
      <c r="K53" s="291">
        <v>284</v>
      </c>
      <c r="L53" s="291"/>
      <c r="M53" s="291">
        <v>302</v>
      </c>
      <c r="N53" s="291">
        <v>555.12</v>
      </c>
      <c r="O53" s="291">
        <v>482</v>
      </c>
      <c r="P53" s="291">
        <v>822</v>
      </c>
      <c r="Q53" s="291">
        <v>30</v>
      </c>
      <c r="R53" s="291">
        <v>1027.5</v>
      </c>
      <c r="S53" s="291"/>
      <c r="T53" s="291">
        <v>475.00000000000006</v>
      </c>
      <c r="U53" s="291">
        <v>550</v>
      </c>
      <c r="V53" s="291"/>
      <c r="W53" s="291">
        <v>2046</v>
      </c>
      <c r="X53" s="291">
        <v>2959.46</v>
      </c>
      <c r="Y53" s="291">
        <v>1774.6199999999997</v>
      </c>
      <c r="AA53" s="247"/>
    </row>
    <row r="54" spans="1:28" s="67" customFormat="1" ht="15" customHeight="1">
      <c r="A54" s="96">
        <v>6</v>
      </c>
      <c r="B54" s="97" t="s">
        <v>129</v>
      </c>
      <c r="C54" s="96" t="s">
        <v>130</v>
      </c>
      <c r="D54" s="294">
        <v>14909.3</v>
      </c>
      <c r="E54" s="294">
        <f t="shared" si="2"/>
        <v>0</v>
      </c>
      <c r="F54" s="294">
        <v>14909.3</v>
      </c>
      <c r="G54" s="294">
        <v>548.95999999999992</v>
      </c>
      <c r="H54" s="294">
        <v>1677.7</v>
      </c>
      <c r="I54" s="294">
        <v>3371.69</v>
      </c>
      <c r="J54" s="294">
        <v>753.44999999999993</v>
      </c>
      <c r="K54" s="294">
        <v>1448.8899999999996</v>
      </c>
      <c r="L54" s="294">
        <v>2430.9899999999998</v>
      </c>
      <c r="M54" s="294">
        <v>370.74000000000007</v>
      </c>
      <c r="N54" s="294">
        <v>927.68</v>
      </c>
      <c r="O54" s="294">
        <v>1469.4799999999998</v>
      </c>
      <c r="P54" s="294">
        <v>1310.8799999999999</v>
      </c>
      <c r="Q54" s="294">
        <v>598.84</v>
      </c>
      <c r="R54" s="294"/>
      <c r="S54" s="294"/>
      <c r="T54" s="294"/>
      <c r="U54" s="294"/>
      <c r="V54" s="294"/>
      <c r="W54" s="294"/>
      <c r="X54" s="294"/>
      <c r="Y54" s="294"/>
      <c r="AA54" s="247"/>
    </row>
    <row r="55" spans="1:28">
      <c r="G55" s="177"/>
      <c r="H55" s="177"/>
      <c r="I55" s="177"/>
      <c r="J55" s="177"/>
      <c r="K55" s="177"/>
      <c r="L55" s="177"/>
      <c r="M55" s="177"/>
      <c r="N55" s="177"/>
      <c r="O55" s="177"/>
      <c r="P55" s="177"/>
      <c r="Q55" s="177"/>
    </row>
    <row r="56" spans="1:28" ht="14.25">
      <c r="F56" s="297"/>
    </row>
  </sheetData>
  <mergeCells count="9">
    <mergeCell ref="A1:M1"/>
    <mergeCell ref="A2:Y2"/>
    <mergeCell ref="A3:A4"/>
    <mergeCell ref="B3:B4"/>
    <mergeCell ref="C3:C4"/>
    <mergeCell ref="D3:D4"/>
    <mergeCell ref="E3:E4"/>
    <mergeCell ref="F3:F4"/>
    <mergeCell ref="G3:Y3"/>
  </mergeCells>
  <phoneticPr fontId="4" type="noConversion"/>
  <pageMargins left="0.5" right="0.35" top="0.25" bottom="0.6" header="0.5" footer="0.5"/>
  <pageSetup paperSize="9" scale="62"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X199"/>
  <sheetViews>
    <sheetView workbookViewId="0">
      <selection activeCell="BA15" sqref="BA15"/>
    </sheetView>
  </sheetViews>
  <sheetFormatPr defaultRowHeight="12.75"/>
  <cols>
    <col min="1" max="1" width="4.85546875" customWidth="1"/>
    <col min="2" max="2" width="18.140625" customWidth="1"/>
    <col min="3" max="3" width="11.140625" customWidth="1"/>
    <col min="4" max="6" width="9.28515625" bestFit="1" customWidth="1"/>
    <col min="7" max="7" width="9.28515625" hidden="1" customWidth="1"/>
    <col min="8" max="8" width="10.42578125" hidden="1" customWidth="1"/>
    <col min="9" max="10" width="9.42578125" hidden="1" customWidth="1"/>
    <col min="11" max="14" width="11.42578125" hidden="1" customWidth="1"/>
    <col min="15" max="21" width="9.28515625" hidden="1" customWidth="1"/>
    <col min="22" max="22" width="9.42578125" hidden="1" customWidth="1"/>
    <col min="23" max="24" width="9.28515625" hidden="1" customWidth="1"/>
    <col min="25" max="26" width="9.42578125" hidden="1" customWidth="1"/>
    <col min="27" max="27" width="11.42578125" hidden="1" customWidth="1"/>
    <col min="28" max="42" width="9.28515625" hidden="1" customWidth="1"/>
    <col min="43" max="43" width="9.42578125" hidden="1" customWidth="1"/>
    <col min="44" max="44" width="11.42578125" hidden="1" customWidth="1"/>
    <col min="45" max="45" width="9.28515625" hidden="1" customWidth="1"/>
    <col min="46" max="46" width="11.42578125" hidden="1" customWidth="1"/>
    <col min="47" max="48" width="9.28515625" hidden="1" customWidth="1"/>
    <col min="50" max="50" width="19.140625" customWidth="1"/>
  </cols>
  <sheetData>
    <row r="2" spans="1:50" ht="15">
      <c r="A2" s="1338"/>
      <c r="B2" s="1338"/>
      <c r="C2" s="750"/>
      <c r="D2" s="751"/>
      <c r="E2" s="752"/>
      <c r="F2" s="751"/>
      <c r="G2" s="753"/>
      <c r="H2" s="753"/>
      <c r="I2" s="753"/>
      <c r="J2" s="753"/>
      <c r="K2" s="753"/>
      <c r="L2" s="753"/>
      <c r="M2" s="753"/>
      <c r="N2" s="753"/>
      <c r="O2" s="753"/>
      <c r="P2" s="753"/>
      <c r="Q2" s="753"/>
      <c r="R2" s="753"/>
      <c r="S2" s="753"/>
      <c r="T2" s="753"/>
      <c r="U2" s="753"/>
      <c r="V2" s="753"/>
      <c r="W2" s="753"/>
      <c r="X2" s="753"/>
      <c r="Y2" s="753"/>
      <c r="Z2" s="753"/>
      <c r="AA2" s="753"/>
      <c r="AB2" s="753"/>
      <c r="AC2" s="753"/>
      <c r="AD2" s="753"/>
      <c r="AE2" s="753"/>
      <c r="AF2" s="753"/>
      <c r="AG2" s="753"/>
      <c r="AH2" s="753"/>
      <c r="AI2" s="753"/>
      <c r="AJ2" s="753"/>
      <c r="AK2" s="753"/>
      <c r="AL2" s="753"/>
      <c r="AM2" s="753"/>
      <c r="AN2" s="753"/>
      <c r="AO2" s="753"/>
      <c r="AP2" s="753"/>
      <c r="AQ2" s="753"/>
      <c r="AR2" s="753"/>
      <c r="AS2" s="753"/>
      <c r="AT2" s="753"/>
      <c r="AU2" s="753"/>
      <c r="AV2" s="753"/>
      <c r="AW2" s="754"/>
      <c r="AX2" s="755"/>
    </row>
    <row r="3" spans="1:50" ht="14.25">
      <c r="A3" s="1339"/>
      <c r="B3" s="1339"/>
      <c r="C3" s="1339"/>
      <c r="D3" s="1339"/>
      <c r="E3" s="1339"/>
      <c r="F3" s="1339"/>
      <c r="G3" s="1339"/>
      <c r="H3" s="1339"/>
      <c r="I3" s="1339"/>
      <c r="J3" s="1339"/>
      <c r="K3" s="1339"/>
      <c r="L3" s="1339"/>
      <c r="M3" s="1339"/>
      <c r="N3" s="1339"/>
      <c r="O3" s="1339"/>
      <c r="P3" s="1339"/>
      <c r="Q3" s="1339"/>
      <c r="R3" s="1339"/>
      <c r="S3" s="1339"/>
      <c r="T3" s="1339"/>
      <c r="U3" s="1339"/>
      <c r="V3" s="1339"/>
      <c r="W3" s="1339"/>
      <c r="X3" s="1339"/>
      <c r="Y3" s="1339"/>
      <c r="Z3" s="1339"/>
      <c r="AA3" s="1339"/>
      <c r="AB3" s="1339"/>
      <c r="AC3" s="1339"/>
      <c r="AD3" s="1339"/>
      <c r="AE3" s="1339"/>
      <c r="AF3" s="1339"/>
      <c r="AG3" s="1339"/>
      <c r="AH3" s="1339"/>
      <c r="AI3" s="1339"/>
      <c r="AJ3" s="1339"/>
      <c r="AK3" s="1339"/>
      <c r="AL3" s="1339"/>
      <c r="AM3" s="1339"/>
      <c r="AN3" s="1339"/>
      <c r="AO3" s="1339"/>
      <c r="AP3" s="1339"/>
      <c r="AQ3" s="1339"/>
      <c r="AR3" s="1339"/>
      <c r="AS3" s="1339"/>
      <c r="AT3" s="1339"/>
      <c r="AU3" s="1339"/>
      <c r="AV3" s="1339"/>
      <c r="AW3" s="1339"/>
      <c r="AX3" s="1339"/>
    </row>
    <row r="4" spans="1:50" ht="14.25">
      <c r="A4" s="1339"/>
      <c r="B4" s="1339"/>
      <c r="C4" s="1339"/>
      <c r="D4" s="1339"/>
      <c r="E4" s="1339"/>
      <c r="F4" s="1339"/>
      <c r="G4" s="1339"/>
      <c r="H4" s="1339"/>
      <c r="I4" s="1339"/>
      <c r="J4" s="1339"/>
      <c r="K4" s="1339"/>
      <c r="L4" s="1339"/>
      <c r="M4" s="1339"/>
      <c r="N4" s="1339"/>
      <c r="O4" s="1339"/>
      <c r="P4" s="1339"/>
      <c r="Q4" s="1339"/>
      <c r="R4" s="1339"/>
      <c r="S4" s="1339"/>
      <c r="T4" s="1339"/>
      <c r="U4" s="1339"/>
      <c r="V4" s="1339"/>
      <c r="W4" s="1339"/>
      <c r="X4" s="1339"/>
      <c r="Y4" s="1339"/>
      <c r="Z4" s="1339"/>
      <c r="AA4" s="1339"/>
      <c r="AB4" s="1339"/>
      <c r="AC4" s="1339"/>
      <c r="AD4" s="1339"/>
      <c r="AE4" s="1339"/>
      <c r="AF4" s="1339"/>
      <c r="AG4" s="1339"/>
      <c r="AH4" s="1339"/>
      <c r="AI4" s="1339"/>
      <c r="AJ4" s="1339"/>
      <c r="AK4" s="1339"/>
      <c r="AL4" s="1339"/>
      <c r="AM4" s="1339"/>
      <c r="AN4" s="1339"/>
      <c r="AO4" s="1339"/>
      <c r="AP4" s="1339"/>
      <c r="AQ4" s="1339"/>
      <c r="AR4" s="1339"/>
      <c r="AS4" s="1339"/>
      <c r="AT4" s="1339"/>
      <c r="AU4" s="1339"/>
      <c r="AV4" s="1339"/>
      <c r="AW4" s="1339"/>
      <c r="AX4" s="1339"/>
    </row>
    <row r="5" spans="1:50" ht="15">
      <c r="A5" s="756"/>
      <c r="B5" s="755"/>
      <c r="C5" s="753"/>
      <c r="D5" s="757"/>
      <c r="E5" s="758"/>
      <c r="F5" s="757"/>
      <c r="G5" s="759"/>
      <c r="H5" s="759"/>
      <c r="I5" s="759"/>
      <c r="J5" s="753"/>
      <c r="K5" s="753"/>
      <c r="L5" s="753"/>
      <c r="M5" s="753"/>
      <c r="N5" s="753"/>
      <c r="O5" s="753"/>
      <c r="P5" s="753"/>
      <c r="Q5" s="753"/>
      <c r="R5" s="753"/>
      <c r="S5" s="753"/>
      <c r="T5" s="753"/>
      <c r="U5" s="753"/>
      <c r="V5" s="753"/>
      <c r="W5" s="753"/>
      <c r="X5" s="753"/>
      <c r="Y5" s="753"/>
      <c r="Z5" s="753"/>
      <c r="AA5" s="753"/>
      <c r="AB5" s="753"/>
      <c r="AC5" s="753"/>
      <c r="AD5" s="753"/>
      <c r="AE5" s="753"/>
      <c r="AF5" s="753"/>
      <c r="AG5" s="753"/>
      <c r="AH5" s="753"/>
      <c r="AI5" s="753"/>
      <c r="AJ5" s="753"/>
      <c r="AK5" s="753"/>
      <c r="AL5" s="753"/>
      <c r="AM5" s="753"/>
      <c r="AN5" s="753"/>
      <c r="AO5" s="753"/>
      <c r="AP5" s="753"/>
      <c r="AQ5" s="753"/>
      <c r="AR5" s="753"/>
      <c r="AS5" s="753"/>
      <c r="AT5" s="753"/>
      <c r="AU5" s="753"/>
      <c r="AV5" s="753"/>
      <c r="AW5" s="754"/>
      <c r="AX5" s="755"/>
    </row>
    <row r="6" spans="1:50">
      <c r="A6" s="1340"/>
      <c r="B6" s="1340"/>
      <c r="C6" s="1343"/>
      <c r="D6" s="1343"/>
      <c r="E6" s="1343"/>
      <c r="F6" s="1343"/>
      <c r="G6" s="1346"/>
      <c r="H6" s="1347"/>
      <c r="I6" s="1347"/>
      <c r="J6" s="1347"/>
      <c r="K6" s="1347"/>
      <c r="L6" s="1347"/>
      <c r="M6" s="1347"/>
      <c r="N6" s="1347"/>
      <c r="O6" s="1347"/>
      <c r="P6" s="1347"/>
      <c r="Q6" s="1347"/>
      <c r="R6" s="1347"/>
      <c r="S6" s="1347"/>
      <c r="T6" s="1347"/>
      <c r="U6" s="1347"/>
      <c r="V6" s="1347"/>
      <c r="W6" s="1347"/>
      <c r="X6" s="1347"/>
      <c r="Y6" s="1347"/>
      <c r="Z6" s="1347"/>
      <c r="AA6" s="1347"/>
      <c r="AB6" s="1347"/>
      <c r="AC6" s="1347"/>
      <c r="AD6" s="1347"/>
      <c r="AE6" s="1347"/>
      <c r="AF6" s="1347"/>
      <c r="AG6" s="1347"/>
      <c r="AH6" s="1347"/>
      <c r="AI6" s="1347"/>
      <c r="AJ6" s="1347"/>
      <c r="AK6" s="1347"/>
      <c r="AL6" s="1347"/>
      <c r="AM6" s="1347"/>
      <c r="AN6" s="1347"/>
      <c r="AO6" s="1347"/>
      <c r="AP6" s="1347"/>
      <c r="AQ6" s="1347"/>
      <c r="AR6" s="1347"/>
      <c r="AS6" s="1347"/>
      <c r="AT6" s="1347"/>
      <c r="AU6" s="1347"/>
      <c r="AV6" s="1347"/>
      <c r="AW6" s="1334"/>
      <c r="AX6" s="1349"/>
    </row>
    <row r="7" spans="1:50">
      <c r="A7" s="1341"/>
      <c r="B7" s="1341"/>
      <c r="C7" s="1344"/>
      <c r="D7" s="1344"/>
      <c r="E7" s="1344"/>
      <c r="F7" s="1344"/>
      <c r="G7" s="1334"/>
      <c r="H7" s="1336"/>
      <c r="I7" s="1337"/>
      <c r="J7" s="1337"/>
      <c r="K7" s="1337"/>
      <c r="L7" s="1337"/>
      <c r="M7" s="1337"/>
      <c r="N7" s="1337"/>
      <c r="O7" s="1337"/>
      <c r="P7" s="1337"/>
      <c r="Q7" s="1337"/>
      <c r="R7" s="1337"/>
      <c r="S7" s="1337"/>
      <c r="T7" s="1337"/>
      <c r="U7" s="1337"/>
      <c r="V7" s="1337"/>
      <c r="W7" s="1337"/>
      <c r="X7" s="1337"/>
      <c r="Y7" s="1337"/>
      <c r="Z7" s="1337"/>
      <c r="AA7" s="1337"/>
      <c r="AB7" s="1337"/>
      <c r="AC7" s="1337"/>
      <c r="AD7" s="1337"/>
      <c r="AE7" s="1337"/>
      <c r="AF7" s="1337"/>
      <c r="AG7" s="1337"/>
      <c r="AH7" s="1337"/>
      <c r="AI7" s="1337"/>
      <c r="AJ7" s="1337"/>
      <c r="AK7" s="1337"/>
      <c r="AL7" s="1337"/>
      <c r="AM7" s="1337"/>
      <c r="AN7" s="1337"/>
      <c r="AO7" s="1337"/>
      <c r="AP7" s="1337"/>
      <c r="AQ7" s="1337"/>
      <c r="AR7" s="1337"/>
      <c r="AS7" s="1337"/>
      <c r="AT7" s="1337"/>
      <c r="AU7" s="1337"/>
      <c r="AV7" s="1337"/>
      <c r="AW7" s="1348"/>
      <c r="AX7" s="1350"/>
    </row>
    <row r="8" spans="1:50">
      <c r="A8" s="1342"/>
      <c r="B8" s="1342"/>
      <c r="C8" s="1345"/>
      <c r="D8" s="1345"/>
      <c r="E8" s="1345"/>
      <c r="F8" s="1345"/>
      <c r="G8" s="1335"/>
      <c r="H8" s="760"/>
      <c r="I8" s="760"/>
      <c r="J8" s="760"/>
      <c r="K8" s="761"/>
      <c r="L8" s="761"/>
      <c r="M8" s="761"/>
      <c r="N8" s="761"/>
      <c r="O8" s="761"/>
      <c r="P8" s="761"/>
      <c r="Q8" s="761"/>
      <c r="R8" s="761"/>
      <c r="S8" s="761"/>
      <c r="T8" s="761"/>
      <c r="U8" s="761"/>
      <c r="V8" s="761"/>
      <c r="W8" s="761"/>
      <c r="X8" s="761"/>
      <c r="Y8" s="761"/>
      <c r="Z8" s="761"/>
      <c r="AA8" s="761"/>
      <c r="AB8" s="761"/>
      <c r="AC8" s="761"/>
      <c r="AD8" s="761"/>
      <c r="AE8" s="761"/>
      <c r="AF8" s="761"/>
      <c r="AG8" s="761"/>
      <c r="AH8" s="761"/>
      <c r="AI8" s="761"/>
      <c r="AJ8" s="761"/>
      <c r="AK8" s="761"/>
      <c r="AL8" s="761"/>
      <c r="AM8" s="761"/>
      <c r="AN8" s="761"/>
      <c r="AO8" s="761"/>
      <c r="AP8" s="761"/>
      <c r="AQ8" s="761"/>
      <c r="AR8" s="761"/>
      <c r="AS8" s="761"/>
      <c r="AT8" s="761"/>
      <c r="AU8" s="762"/>
      <c r="AV8" s="763"/>
      <c r="AW8" s="1335"/>
      <c r="AX8" s="1351"/>
    </row>
    <row r="9" spans="1:50" ht="13.5">
      <c r="A9" s="764"/>
      <c r="B9" s="765"/>
      <c r="C9" s="766"/>
      <c r="D9" s="766"/>
      <c r="E9" s="766"/>
      <c r="F9" s="766"/>
      <c r="G9" s="766"/>
      <c r="H9" s="766"/>
      <c r="I9" s="766"/>
      <c r="J9" s="766"/>
      <c r="K9" s="766"/>
      <c r="L9" s="766"/>
      <c r="M9" s="766"/>
      <c r="N9" s="766"/>
      <c r="O9" s="766"/>
      <c r="P9" s="766"/>
      <c r="Q9" s="766"/>
      <c r="R9" s="766"/>
      <c r="S9" s="766"/>
      <c r="T9" s="766"/>
      <c r="U9" s="766"/>
      <c r="V9" s="766"/>
      <c r="W9" s="766"/>
      <c r="X9" s="766"/>
      <c r="Y9" s="766"/>
      <c r="Z9" s="766"/>
      <c r="AA9" s="766"/>
      <c r="AB9" s="766"/>
      <c r="AC9" s="766"/>
      <c r="AD9" s="766"/>
      <c r="AE9" s="766"/>
      <c r="AF9" s="766"/>
      <c r="AG9" s="766"/>
      <c r="AH9" s="766"/>
      <c r="AI9" s="766"/>
      <c r="AJ9" s="766"/>
      <c r="AK9" s="766"/>
      <c r="AL9" s="766"/>
      <c r="AM9" s="766"/>
      <c r="AN9" s="766"/>
      <c r="AO9" s="766"/>
      <c r="AP9" s="766"/>
      <c r="AQ9" s="766"/>
      <c r="AR9" s="766"/>
      <c r="AS9" s="766"/>
      <c r="AT9" s="766"/>
      <c r="AU9" s="766"/>
      <c r="AV9" s="766"/>
      <c r="AW9" s="767"/>
      <c r="AX9" s="767"/>
    </row>
    <row r="10" spans="1:50">
      <c r="A10" s="768"/>
      <c r="B10" s="769"/>
      <c r="C10" s="770"/>
      <c r="D10" s="770"/>
      <c r="E10" s="770"/>
      <c r="F10" s="770"/>
      <c r="G10" s="770"/>
      <c r="H10" s="771"/>
      <c r="I10" s="771"/>
      <c r="J10" s="771"/>
      <c r="K10" s="771"/>
      <c r="L10" s="771"/>
      <c r="M10" s="771"/>
      <c r="N10" s="771"/>
      <c r="O10" s="771"/>
      <c r="P10" s="771"/>
      <c r="Q10" s="771"/>
      <c r="R10" s="771"/>
      <c r="S10" s="771"/>
      <c r="T10" s="771"/>
      <c r="U10" s="771"/>
      <c r="V10" s="771"/>
      <c r="W10" s="771"/>
      <c r="X10" s="771"/>
      <c r="Y10" s="771"/>
      <c r="Z10" s="771"/>
      <c r="AA10" s="771"/>
      <c r="AB10" s="771"/>
      <c r="AC10" s="771"/>
      <c r="AD10" s="771"/>
      <c r="AE10" s="771"/>
      <c r="AF10" s="771"/>
      <c r="AG10" s="771"/>
      <c r="AH10" s="771"/>
      <c r="AI10" s="771"/>
      <c r="AJ10" s="771"/>
      <c r="AK10" s="771"/>
      <c r="AL10" s="771"/>
      <c r="AM10" s="771"/>
      <c r="AN10" s="771"/>
      <c r="AO10" s="771"/>
      <c r="AP10" s="771"/>
      <c r="AQ10" s="771"/>
      <c r="AR10" s="771"/>
      <c r="AS10" s="771"/>
      <c r="AT10" s="771"/>
      <c r="AU10" s="771"/>
      <c r="AV10" s="771"/>
      <c r="AW10" s="772"/>
      <c r="AX10" s="773"/>
    </row>
    <row r="11" spans="1:50">
      <c r="A11" s="768"/>
      <c r="B11" s="774"/>
      <c r="C11" s="770"/>
      <c r="D11" s="770"/>
      <c r="E11" s="770"/>
      <c r="F11" s="770"/>
      <c r="G11" s="770"/>
      <c r="H11" s="770"/>
      <c r="I11" s="770"/>
      <c r="J11" s="770"/>
      <c r="K11" s="770"/>
      <c r="L11" s="770"/>
      <c r="M11" s="770"/>
      <c r="N11" s="770"/>
      <c r="O11" s="770"/>
      <c r="P11" s="770"/>
      <c r="Q11" s="770"/>
      <c r="R11" s="770"/>
      <c r="S11" s="770"/>
      <c r="T11" s="770"/>
      <c r="U11" s="770"/>
      <c r="V11" s="770"/>
      <c r="W11" s="770"/>
      <c r="X11" s="770"/>
      <c r="Y11" s="770"/>
      <c r="Z11" s="770"/>
      <c r="AA11" s="770"/>
      <c r="AB11" s="770"/>
      <c r="AC11" s="770"/>
      <c r="AD11" s="770"/>
      <c r="AE11" s="770"/>
      <c r="AF11" s="770"/>
      <c r="AG11" s="770"/>
      <c r="AH11" s="770"/>
      <c r="AI11" s="770"/>
      <c r="AJ11" s="770"/>
      <c r="AK11" s="770"/>
      <c r="AL11" s="770"/>
      <c r="AM11" s="770"/>
      <c r="AN11" s="770"/>
      <c r="AO11" s="770"/>
      <c r="AP11" s="770"/>
      <c r="AQ11" s="770"/>
      <c r="AR11" s="770"/>
      <c r="AS11" s="770"/>
      <c r="AT11" s="770"/>
      <c r="AU11" s="775"/>
      <c r="AV11" s="775"/>
      <c r="AW11" s="772"/>
      <c r="AX11" s="773"/>
    </row>
    <row r="12" spans="1:50">
      <c r="A12" s="768"/>
      <c r="B12" s="776"/>
      <c r="C12" s="770"/>
      <c r="D12" s="770"/>
      <c r="E12" s="770"/>
      <c r="F12" s="770"/>
      <c r="G12" s="770"/>
      <c r="H12" s="770"/>
      <c r="I12" s="770"/>
      <c r="J12" s="770"/>
      <c r="K12" s="770"/>
      <c r="L12" s="770"/>
      <c r="M12" s="770"/>
      <c r="N12" s="770"/>
      <c r="O12" s="770"/>
      <c r="P12" s="770"/>
      <c r="Q12" s="770"/>
      <c r="R12" s="770"/>
      <c r="S12" s="770"/>
      <c r="T12" s="770"/>
      <c r="U12" s="770"/>
      <c r="V12" s="770"/>
      <c r="W12" s="770"/>
      <c r="X12" s="770"/>
      <c r="Y12" s="770"/>
      <c r="Z12" s="770"/>
      <c r="AA12" s="770"/>
      <c r="AB12" s="770"/>
      <c r="AC12" s="770"/>
      <c r="AD12" s="770"/>
      <c r="AE12" s="770"/>
      <c r="AF12" s="770"/>
      <c r="AG12" s="770"/>
      <c r="AH12" s="770"/>
      <c r="AI12" s="770"/>
      <c r="AJ12" s="770"/>
      <c r="AK12" s="770"/>
      <c r="AL12" s="770"/>
      <c r="AM12" s="770"/>
      <c r="AN12" s="770"/>
      <c r="AO12" s="770"/>
      <c r="AP12" s="770"/>
      <c r="AQ12" s="770"/>
      <c r="AR12" s="770"/>
      <c r="AS12" s="770"/>
      <c r="AT12" s="770"/>
      <c r="AU12" s="775"/>
      <c r="AV12" s="775"/>
      <c r="AW12" s="777"/>
      <c r="AX12" s="778"/>
    </row>
    <row r="13" spans="1:50">
      <c r="A13" s="768"/>
      <c r="B13" s="776"/>
      <c r="C13" s="770"/>
      <c r="D13" s="770"/>
      <c r="E13" s="770"/>
      <c r="F13" s="770"/>
      <c r="G13" s="770"/>
      <c r="H13" s="770"/>
      <c r="I13" s="770"/>
      <c r="J13" s="770"/>
      <c r="K13" s="770"/>
      <c r="L13" s="770"/>
      <c r="M13" s="770"/>
      <c r="N13" s="770"/>
      <c r="O13" s="770"/>
      <c r="P13" s="770"/>
      <c r="Q13" s="770"/>
      <c r="R13" s="770"/>
      <c r="S13" s="770"/>
      <c r="T13" s="770"/>
      <c r="U13" s="770"/>
      <c r="V13" s="770"/>
      <c r="W13" s="770"/>
      <c r="X13" s="770"/>
      <c r="Y13" s="770"/>
      <c r="Z13" s="770"/>
      <c r="AA13" s="770"/>
      <c r="AB13" s="770"/>
      <c r="AC13" s="770"/>
      <c r="AD13" s="770"/>
      <c r="AE13" s="770"/>
      <c r="AF13" s="770"/>
      <c r="AG13" s="770"/>
      <c r="AH13" s="770"/>
      <c r="AI13" s="770"/>
      <c r="AJ13" s="770"/>
      <c r="AK13" s="770"/>
      <c r="AL13" s="770"/>
      <c r="AM13" s="770"/>
      <c r="AN13" s="770"/>
      <c r="AO13" s="770"/>
      <c r="AP13" s="770"/>
      <c r="AQ13" s="770"/>
      <c r="AR13" s="770"/>
      <c r="AS13" s="770"/>
      <c r="AT13" s="770"/>
      <c r="AU13" s="775"/>
      <c r="AV13" s="775"/>
      <c r="AW13" s="777"/>
      <c r="AX13" s="778"/>
    </row>
    <row r="14" spans="1:50">
      <c r="A14" s="779"/>
      <c r="B14" s="780"/>
      <c r="C14" s="781"/>
      <c r="D14" s="781"/>
      <c r="E14" s="781"/>
      <c r="F14" s="781"/>
      <c r="G14" s="781"/>
      <c r="H14" s="781"/>
      <c r="I14" s="781"/>
      <c r="J14" s="781"/>
      <c r="K14" s="781"/>
      <c r="L14" s="781"/>
      <c r="M14" s="781"/>
      <c r="N14" s="781"/>
      <c r="O14" s="781"/>
      <c r="P14" s="781"/>
      <c r="Q14" s="781"/>
      <c r="R14" s="781"/>
      <c r="S14" s="781"/>
      <c r="T14" s="781"/>
      <c r="U14" s="781"/>
      <c r="V14" s="781"/>
      <c r="W14" s="781"/>
      <c r="X14" s="781"/>
      <c r="Y14" s="781"/>
      <c r="Z14" s="781"/>
      <c r="AA14" s="781"/>
      <c r="AB14" s="781"/>
      <c r="AC14" s="781"/>
      <c r="AD14" s="781"/>
      <c r="AE14" s="781"/>
      <c r="AF14" s="781"/>
      <c r="AG14" s="781"/>
      <c r="AH14" s="781"/>
      <c r="AI14" s="781"/>
      <c r="AJ14" s="781"/>
      <c r="AK14" s="781"/>
      <c r="AL14" s="781"/>
      <c r="AM14" s="781"/>
      <c r="AN14" s="781"/>
      <c r="AO14" s="781"/>
      <c r="AP14" s="781"/>
      <c r="AQ14" s="781"/>
      <c r="AR14" s="781"/>
      <c r="AS14" s="781"/>
      <c r="AT14" s="781"/>
      <c r="AU14" s="781"/>
      <c r="AV14" s="781"/>
      <c r="AW14" s="782"/>
      <c r="AX14" s="783"/>
    </row>
    <row r="15" spans="1:50">
      <c r="A15" s="768"/>
      <c r="B15" s="776"/>
      <c r="C15" s="770"/>
      <c r="D15" s="770"/>
      <c r="E15" s="770"/>
      <c r="F15" s="784"/>
      <c r="G15" s="770"/>
      <c r="H15" s="770"/>
      <c r="I15" s="770"/>
      <c r="J15" s="770"/>
      <c r="K15" s="770"/>
      <c r="L15" s="770"/>
      <c r="M15" s="770"/>
      <c r="N15" s="770"/>
      <c r="O15" s="770"/>
      <c r="P15" s="770"/>
      <c r="Q15" s="770"/>
      <c r="R15" s="770"/>
      <c r="S15" s="770"/>
      <c r="T15" s="770"/>
      <c r="U15" s="770"/>
      <c r="V15" s="770"/>
      <c r="W15" s="770"/>
      <c r="X15" s="770"/>
      <c r="Y15" s="770"/>
      <c r="Z15" s="770"/>
      <c r="AA15" s="770"/>
      <c r="AB15" s="770"/>
      <c r="AC15" s="770"/>
      <c r="AD15" s="770"/>
      <c r="AE15" s="770"/>
      <c r="AF15" s="770"/>
      <c r="AG15" s="770"/>
      <c r="AH15" s="770"/>
      <c r="AI15" s="770"/>
      <c r="AJ15" s="770"/>
      <c r="AK15" s="770"/>
      <c r="AL15" s="770"/>
      <c r="AM15" s="770"/>
      <c r="AN15" s="770"/>
      <c r="AO15" s="770"/>
      <c r="AP15" s="770"/>
      <c r="AQ15" s="770"/>
      <c r="AR15" s="770"/>
      <c r="AS15" s="770"/>
      <c r="AT15" s="770"/>
      <c r="AU15" s="770"/>
      <c r="AV15" s="770"/>
      <c r="AW15" s="777"/>
      <c r="AX15" s="778"/>
    </row>
    <row r="16" spans="1:50">
      <c r="A16" s="779"/>
      <c r="B16" s="780"/>
      <c r="C16" s="781"/>
      <c r="D16" s="781"/>
      <c r="E16" s="781"/>
      <c r="F16" s="781"/>
      <c r="G16" s="785"/>
      <c r="H16" s="781"/>
      <c r="I16" s="781"/>
      <c r="J16" s="781"/>
      <c r="K16" s="781"/>
      <c r="L16" s="781"/>
      <c r="M16" s="781"/>
      <c r="N16" s="781"/>
      <c r="O16" s="781"/>
      <c r="P16" s="781"/>
      <c r="Q16" s="781"/>
      <c r="R16" s="781"/>
      <c r="S16" s="781"/>
      <c r="T16" s="781"/>
      <c r="U16" s="781"/>
      <c r="V16" s="781"/>
      <c r="W16" s="781"/>
      <c r="X16" s="781"/>
      <c r="Y16" s="781"/>
      <c r="Z16" s="781"/>
      <c r="AA16" s="781"/>
      <c r="AB16" s="781"/>
      <c r="AC16" s="781"/>
      <c r="AD16" s="781"/>
      <c r="AE16" s="781"/>
      <c r="AF16" s="781"/>
      <c r="AG16" s="781"/>
      <c r="AH16" s="781"/>
      <c r="AI16" s="781"/>
      <c r="AJ16" s="781"/>
      <c r="AK16" s="781"/>
      <c r="AL16" s="781"/>
      <c r="AM16" s="781"/>
      <c r="AN16" s="781"/>
      <c r="AO16" s="781"/>
      <c r="AP16" s="781"/>
      <c r="AQ16" s="781"/>
      <c r="AR16" s="781"/>
      <c r="AS16" s="781"/>
      <c r="AT16" s="781"/>
      <c r="AU16" s="781"/>
      <c r="AV16" s="781"/>
      <c r="AW16" s="782"/>
      <c r="AX16" s="783"/>
    </row>
    <row r="17" spans="1:50">
      <c r="A17" s="779"/>
      <c r="B17" s="786"/>
      <c r="C17" s="781"/>
      <c r="D17" s="781"/>
      <c r="E17" s="781"/>
      <c r="F17" s="781"/>
      <c r="G17" s="781"/>
      <c r="H17" s="781"/>
      <c r="I17" s="781"/>
      <c r="J17" s="781"/>
      <c r="K17" s="781"/>
      <c r="L17" s="781"/>
      <c r="M17" s="781"/>
      <c r="N17" s="781"/>
      <c r="O17" s="781"/>
      <c r="P17" s="781"/>
      <c r="Q17" s="781"/>
      <c r="R17" s="781"/>
      <c r="S17" s="781"/>
      <c r="T17" s="781"/>
      <c r="U17" s="781"/>
      <c r="V17" s="781"/>
      <c r="W17" s="781"/>
      <c r="X17" s="781"/>
      <c r="Y17" s="781"/>
      <c r="Z17" s="781"/>
      <c r="AA17" s="781"/>
      <c r="AB17" s="781"/>
      <c r="AC17" s="781"/>
      <c r="AD17" s="781"/>
      <c r="AE17" s="781"/>
      <c r="AF17" s="781"/>
      <c r="AG17" s="781"/>
      <c r="AH17" s="781"/>
      <c r="AI17" s="781"/>
      <c r="AJ17" s="781"/>
      <c r="AK17" s="781"/>
      <c r="AL17" s="781"/>
      <c r="AM17" s="781"/>
      <c r="AN17" s="781"/>
      <c r="AO17" s="781"/>
      <c r="AP17" s="781"/>
      <c r="AQ17" s="781"/>
      <c r="AR17" s="781"/>
      <c r="AS17" s="781"/>
      <c r="AT17" s="781"/>
      <c r="AU17" s="781"/>
      <c r="AV17" s="781"/>
      <c r="AW17" s="782"/>
      <c r="AX17" s="783"/>
    </row>
    <row r="18" spans="1:50">
      <c r="A18" s="787"/>
      <c r="B18" s="788"/>
      <c r="C18" s="789"/>
      <c r="D18" s="789"/>
      <c r="E18" s="789"/>
      <c r="F18" s="790"/>
      <c r="G18" s="789"/>
      <c r="H18" s="789"/>
      <c r="I18" s="789"/>
      <c r="J18" s="789"/>
      <c r="K18" s="789"/>
      <c r="L18" s="789"/>
      <c r="M18" s="789"/>
      <c r="N18" s="789"/>
      <c r="O18" s="789"/>
      <c r="P18" s="789"/>
      <c r="Q18" s="789"/>
      <c r="R18" s="789"/>
      <c r="S18" s="789"/>
      <c r="T18" s="789"/>
      <c r="U18" s="789"/>
      <c r="V18" s="789"/>
      <c r="W18" s="789"/>
      <c r="X18" s="789"/>
      <c r="Y18" s="789"/>
      <c r="Z18" s="789"/>
      <c r="AA18" s="789"/>
      <c r="AB18" s="789"/>
      <c r="AC18" s="789"/>
      <c r="AD18" s="789"/>
      <c r="AE18" s="789"/>
      <c r="AF18" s="789"/>
      <c r="AG18" s="789"/>
      <c r="AH18" s="789"/>
      <c r="AI18" s="789"/>
      <c r="AJ18" s="789"/>
      <c r="AK18" s="789"/>
      <c r="AL18" s="789"/>
      <c r="AM18" s="789"/>
      <c r="AN18" s="789"/>
      <c r="AO18" s="789"/>
      <c r="AP18" s="789"/>
      <c r="AQ18" s="789"/>
      <c r="AR18" s="789"/>
      <c r="AS18" s="789"/>
      <c r="AT18" s="789"/>
      <c r="AU18" s="791"/>
      <c r="AV18" s="791"/>
      <c r="AW18" s="772"/>
      <c r="AX18" s="773"/>
    </row>
    <row r="19" spans="1:50">
      <c r="A19" s="768"/>
      <c r="B19" s="776"/>
      <c r="C19" s="770"/>
      <c r="D19" s="770"/>
      <c r="E19" s="770"/>
      <c r="F19" s="792"/>
      <c r="G19" s="770"/>
      <c r="H19" s="770"/>
      <c r="I19" s="770"/>
      <c r="J19" s="770"/>
      <c r="K19" s="793"/>
      <c r="L19" s="793"/>
      <c r="M19" s="793"/>
      <c r="N19" s="793"/>
      <c r="O19" s="793"/>
      <c r="P19" s="793"/>
      <c r="Q19" s="793"/>
      <c r="R19" s="793"/>
      <c r="S19" s="793"/>
      <c r="T19" s="793"/>
      <c r="U19" s="793"/>
      <c r="V19" s="793"/>
      <c r="W19" s="793"/>
      <c r="X19" s="793"/>
      <c r="Y19" s="793"/>
      <c r="Z19" s="793"/>
      <c r="AA19" s="793"/>
      <c r="AB19" s="793"/>
      <c r="AC19" s="793"/>
      <c r="AD19" s="793"/>
      <c r="AE19" s="793"/>
      <c r="AF19" s="793"/>
      <c r="AG19" s="793"/>
      <c r="AH19" s="793"/>
      <c r="AI19" s="793"/>
      <c r="AJ19" s="793"/>
      <c r="AK19" s="793"/>
      <c r="AL19" s="793"/>
      <c r="AM19" s="793"/>
      <c r="AN19" s="793"/>
      <c r="AO19" s="793"/>
      <c r="AP19" s="793"/>
      <c r="AQ19" s="793"/>
      <c r="AR19" s="793"/>
      <c r="AS19" s="793"/>
      <c r="AT19" s="793"/>
      <c r="AU19" s="794"/>
      <c r="AV19" s="794"/>
      <c r="AW19" s="777"/>
      <c r="AX19" s="773"/>
    </row>
    <row r="20" spans="1:50">
      <c r="A20" s="768"/>
      <c r="B20" s="776"/>
      <c r="C20" s="770"/>
      <c r="D20" s="770"/>
      <c r="E20" s="770"/>
      <c r="F20" s="795"/>
      <c r="G20" s="770"/>
      <c r="H20" s="770"/>
      <c r="I20" s="770"/>
      <c r="J20" s="770"/>
      <c r="K20" s="793"/>
      <c r="L20" s="793"/>
      <c r="M20" s="793"/>
      <c r="N20" s="793"/>
      <c r="O20" s="793"/>
      <c r="P20" s="793"/>
      <c r="Q20" s="793"/>
      <c r="R20" s="793"/>
      <c r="S20" s="793"/>
      <c r="T20" s="793"/>
      <c r="U20" s="793"/>
      <c r="V20" s="793"/>
      <c r="W20" s="793"/>
      <c r="X20" s="793"/>
      <c r="Y20" s="793"/>
      <c r="Z20" s="793"/>
      <c r="AA20" s="793"/>
      <c r="AB20" s="793"/>
      <c r="AC20" s="793"/>
      <c r="AD20" s="793"/>
      <c r="AE20" s="793"/>
      <c r="AF20" s="793"/>
      <c r="AG20" s="793"/>
      <c r="AH20" s="793"/>
      <c r="AI20" s="793"/>
      <c r="AJ20" s="793"/>
      <c r="AK20" s="793"/>
      <c r="AL20" s="793"/>
      <c r="AM20" s="793"/>
      <c r="AN20" s="793"/>
      <c r="AO20" s="793"/>
      <c r="AP20" s="793"/>
      <c r="AQ20" s="793"/>
      <c r="AR20" s="793"/>
      <c r="AS20" s="793"/>
      <c r="AT20" s="793"/>
      <c r="AU20" s="794"/>
      <c r="AV20" s="794"/>
      <c r="AW20" s="777"/>
      <c r="AX20" s="773"/>
    </row>
    <row r="21" spans="1:50">
      <c r="A21" s="796"/>
      <c r="B21" s="797"/>
      <c r="C21" s="798"/>
      <c r="D21" s="798"/>
      <c r="E21" s="798"/>
      <c r="F21" s="799"/>
      <c r="G21" s="798"/>
      <c r="H21" s="798"/>
      <c r="I21" s="798"/>
      <c r="J21" s="798"/>
      <c r="K21" s="800"/>
      <c r="L21" s="800"/>
      <c r="M21" s="800"/>
      <c r="N21" s="800"/>
      <c r="O21" s="800"/>
      <c r="P21" s="800"/>
      <c r="Q21" s="800"/>
      <c r="R21" s="800"/>
      <c r="S21" s="800"/>
      <c r="T21" s="800"/>
      <c r="U21" s="800"/>
      <c r="V21" s="800"/>
      <c r="W21" s="800"/>
      <c r="X21" s="800"/>
      <c r="Y21" s="800"/>
      <c r="Z21" s="800"/>
      <c r="AA21" s="800"/>
      <c r="AB21" s="800"/>
      <c r="AC21" s="800"/>
      <c r="AD21" s="800"/>
      <c r="AE21" s="800"/>
      <c r="AF21" s="800"/>
      <c r="AG21" s="800"/>
      <c r="AH21" s="800"/>
      <c r="AI21" s="800"/>
      <c r="AJ21" s="800"/>
      <c r="AK21" s="800"/>
      <c r="AL21" s="800"/>
      <c r="AM21" s="800"/>
      <c r="AN21" s="800"/>
      <c r="AO21" s="800"/>
      <c r="AP21" s="800"/>
      <c r="AQ21" s="800"/>
      <c r="AR21" s="800"/>
      <c r="AS21" s="800"/>
      <c r="AT21" s="800"/>
      <c r="AU21" s="801"/>
      <c r="AV21" s="801"/>
      <c r="AW21" s="802"/>
      <c r="AX21" s="803"/>
    </row>
    <row r="22" spans="1:50">
      <c r="A22" s="779"/>
      <c r="B22" s="780"/>
      <c r="C22" s="781"/>
      <c r="D22" s="781"/>
      <c r="E22" s="781"/>
      <c r="F22" s="781"/>
      <c r="G22" s="785"/>
      <c r="H22" s="781"/>
      <c r="I22" s="781"/>
      <c r="J22" s="781"/>
      <c r="K22" s="804"/>
      <c r="L22" s="804"/>
      <c r="M22" s="804"/>
      <c r="N22" s="804"/>
      <c r="O22" s="804"/>
      <c r="P22" s="804"/>
      <c r="Q22" s="804"/>
      <c r="R22" s="804"/>
      <c r="S22" s="804"/>
      <c r="T22" s="804"/>
      <c r="U22" s="804"/>
      <c r="V22" s="804"/>
      <c r="W22" s="804"/>
      <c r="X22" s="804"/>
      <c r="Y22" s="804"/>
      <c r="Z22" s="804"/>
      <c r="AA22" s="804"/>
      <c r="AB22" s="804"/>
      <c r="AC22" s="804"/>
      <c r="AD22" s="804"/>
      <c r="AE22" s="804"/>
      <c r="AF22" s="804"/>
      <c r="AG22" s="804"/>
      <c r="AH22" s="804"/>
      <c r="AI22" s="804"/>
      <c r="AJ22" s="804"/>
      <c r="AK22" s="804"/>
      <c r="AL22" s="804"/>
      <c r="AM22" s="804"/>
      <c r="AN22" s="804"/>
      <c r="AO22" s="804"/>
      <c r="AP22" s="804"/>
      <c r="AQ22" s="804"/>
      <c r="AR22" s="804"/>
      <c r="AS22" s="804"/>
      <c r="AT22" s="804"/>
      <c r="AU22" s="804"/>
      <c r="AV22" s="804"/>
      <c r="AW22" s="782"/>
      <c r="AX22" s="805"/>
    </row>
    <row r="23" spans="1:50">
      <c r="A23" s="779"/>
      <c r="B23" s="780"/>
      <c r="C23" s="781"/>
      <c r="D23" s="781"/>
      <c r="E23" s="781"/>
      <c r="F23" s="781"/>
      <c r="G23" s="781"/>
      <c r="H23" s="781"/>
      <c r="I23" s="781"/>
      <c r="J23" s="781"/>
      <c r="K23" s="781"/>
      <c r="L23" s="781"/>
      <c r="M23" s="781"/>
      <c r="N23" s="781"/>
      <c r="O23" s="781"/>
      <c r="P23" s="781"/>
      <c r="Q23" s="781"/>
      <c r="R23" s="781"/>
      <c r="S23" s="781"/>
      <c r="T23" s="781"/>
      <c r="U23" s="781"/>
      <c r="V23" s="781"/>
      <c r="W23" s="781"/>
      <c r="X23" s="781"/>
      <c r="Y23" s="781"/>
      <c r="Z23" s="781"/>
      <c r="AA23" s="781"/>
      <c r="AB23" s="781"/>
      <c r="AC23" s="781"/>
      <c r="AD23" s="781"/>
      <c r="AE23" s="781"/>
      <c r="AF23" s="781"/>
      <c r="AG23" s="781"/>
      <c r="AH23" s="781"/>
      <c r="AI23" s="781"/>
      <c r="AJ23" s="781"/>
      <c r="AK23" s="781"/>
      <c r="AL23" s="781"/>
      <c r="AM23" s="781"/>
      <c r="AN23" s="781"/>
      <c r="AO23" s="781"/>
      <c r="AP23" s="781"/>
      <c r="AQ23" s="781"/>
      <c r="AR23" s="781"/>
      <c r="AS23" s="781"/>
      <c r="AT23" s="781"/>
      <c r="AU23" s="781"/>
      <c r="AV23" s="781"/>
      <c r="AW23" s="782"/>
      <c r="AX23" s="805"/>
    </row>
    <row r="24" spans="1:50">
      <c r="A24" s="768"/>
      <c r="B24" s="776"/>
      <c r="C24" s="770"/>
      <c r="D24" s="770"/>
      <c r="E24" s="770"/>
      <c r="F24" s="770"/>
      <c r="G24" s="770"/>
      <c r="H24" s="770"/>
      <c r="I24" s="770"/>
      <c r="J24" s="770"/>
      <c r="K24" s="770"/>
      <c r="L24" s="770"/>
      <c r="M24" s="770"/>
      <c r="N24" s="770"/>
      <c r="O24" s="770"/>
      <c r="P24" s="770"/>
      <c r="Q24" s="770"/>
      <c r="R24" s="770"/>
      <c r="S24" s="770"/>
      <c r="T24" s="770"/>
      <c r="U24" s="770"/>
      <c r="V24" s="770"/>
      <c r="W24" s="770"/>
      <c r="X24" s="770"/>
      <c r="Y24" s="770"/>
      <c r="Z24" s="770"/>
      <c r="AA24" s="770"/>
      <c r="AB24" s="770"/>
      <c r="AC24" s="770"/>
      <c r="AD24" s="770"/>
      <c r="AE24" s="770"/>
      <c r="AF24" s="770"/>
      <c r="AG24" s="770"/>
      <c r="AH24" s="770"/>
      <c r="AI24" s="770"/>
      <c r="AJ24" s="770"/>
      <c r="AK24" s="770"/>
      <c r="AL24" s="770"/>
      <c r="AM24" s="770"/>
      <c r="AN24" s="770"/>
      <c r="AO24" s="770"/>
      <c r="AP24" s="770"/>
      <c r="AQ24" s="770"/>
      <c r="AR24" s="770"/>
      <c r="AS24" s="770"/>
      <c r="AT24" s="770"/>
      <c r="AU24" s="775"/>
      <c r="AV24" s="775"/>
      <c r="AW24" s="772"/>
      <c r="AX24" s="778"/>
    </row>
    <row r="25" spans="1:50">
      <c r="A25" s="768"/>
      <c r="B25" s="776"/>
      <c r="C25" s="770"/>
      <c r="D25" s="770"/>
      <c r="E25" s="770"/>
      <c r="F25" s="770"/>
      <c r="G25" s="770"/>
      <c r="H25" s="770"/>
      <c r="I25" s="770"/>
      <c r="J25" s="770"/>
      <c r="K25" s="770"/>
      <c r="L25" s="770"/>
      <c r="M25" s="770"/>
      <c r="N25" s="770"/>
      <c r="O25" s="770"/>
      <c r="P25" s="770"/>
      <c r="Q25" s="770"/>
      <c r="R25" s="770"/>
      <c r="S25" s="770"/>
      <c r="T25" s="770"/>
      <c r="U25" s="770"/>
      <c r="V25" s="770"/>
      <c r="W25" s="770"/>
      <c r="X25" s="770"/>
      <c r="Y25" s="770"/>
      <c r="Z25" s="770"/>
      <c r="AA25" s="770"/>
      <c r="AB25" s="770"/>
      <c r="AC25" s="770"/>
      <c r="AD25" s="770"/>
      <c r="AE25" s="770"/>
      <c r="AF25" s="770"/>
      <c r="AG25" s="770"/>
      <c r="AH25" s="770"/>
      <c r="AI25" s="770"/>
      <c r="AJ25" s="770"/>
      <c r="AK25" s="770"/>
      <c r="AL25" s="770"/>
      <c r="AM25" s="770"/>
      <c r="AN25" s="770"/>
      <c r="AO25" s="770"/>
      <c r="AP25" s="770"/>
      <c r="AQ25" s="770"/>
      <c r="AR25" s="770"/>
      <c r="AS25" s="770"/>
      <c r="AT25" s="770"/>
      <c r="AU25" s="775"/>
      <c r="AV25" s="775"/>
      <c r="AW25" s="772"/>
      <c r="AX25" s="773"/>
    </row>
    <row r="26" spans="1:50">
      <c r="A26" s="1332"/>
      <c r="B26" s="1352"/>
      <c r="C26" s="1320"/>
      <c r="D26" s="1320"/>
      <c r="E26" s="1320"/>
      <c r="F26" s="1320"/>
      <c r="G26" s="1320"/>
      <c r="H26" s="770"/>
      <c r="I26" s="770"/>
      <c r="J26" s="770"/>
      <c r="K26" s="770"/>
      <c r="L26" s="770"/>
      <c r="M26" s="770"/>
      <c r="N26" s="770"/>
      <c r="O26" s="770"/>
      <c r="P26" s="770"/>
      <c r="Q26" s="770"/>
      <c r="R26" s="770"/>
      <c r="S26" s="770"/>
      <c r="T26" s="770"/>
      <c r="U26" s="770"/>
      <c r="V26" s="770"/>
      <c r="W26" s="770"/>
      <c r="X26" s="770"/>
      <c r="Y26" s="770"/>
      <c r="Z26" s="770"/>
      <c r="AA26" s="770"/>
      <c r="AB26" s="770"/>
      <c r="AC26" s="770"/>
      <c r="AD26" s="770"/>
      <c r="AE26" s="770"/>
      <c r="AF26" s="770"/>
      <c r="AG26" s="770"/>
      <c r="AH26" s="770"/>
      <c r="AI26" s="770"/>
      <c r="AJ26" s="770"/>
      <c r="AK26" s="770"/>
      <c r="AL26" s="770"/>
      <c r="AM26" s="770"/>
      <c r="AN26" s="770"/>
      <c r="AO26" s="770"/>
      <c r="AP26" s="770"/>
      <c r="AQ26" s="770"/>
      <c r="AR26" s="770"/>
      <c r="AS26" s="770"/>
      <c r="AT26" s="770"/>
      <c r="AU26" s="775"/>
      <c r="AV26" s="775"/>
      <c r="AW26" s="1322"/>
      <c r="AX26" s="1324"/>
    </row>
    <row r="27" spans="1:50">
      <c r="A27" s="1333"/>
      <c r="B27" s="1353"/>
      <c r="C27" s="1321"/>
      <c r="D27" s="1321"/>
      <c r="E27" s="1321"/>
      <c r="F27" s="1321"/>
      <c r="G27" s="1321"/>
      <c r="H27" s="770"/>
      <c r="I27" s="770"/>
      <c r="J27" s="770"/>
      <c r="K27" s="770"/>
      <c r="L27" s="770"/>
      <c r="M27" s="770"/>
      <c r="N27" s="770"/>
      <c r="O27" s="770"/>
      <c r="P27" s="770"/>
      <c r="Q27" s="770"/>
      <c r="R27" s="770"/>
      <c r="S27" s="770"/>
      <c r="T27" s="770"/>
      <c r="U27" s="770"/>
      <c r="V27" s="770"/>
      <c r="W27" s="770"/>
      <c r="X27" s="770"/>
      <c r="Y27" s="770"/>
      <c r="Z27" s="770"/>
      <c r="AA27" s="770"/>
      <c r="AB27" s="770"/>
      <c r="AC27" s="770"/>
      <c r="AD27" s="770"/>
      <c r="AE27" s="770"/>
      <c r="AF27" s="770"/>
      <c r="AG27" s="770"/>
      <c r="AH27" s="770"/>
      <c r="AI27" s="770"/>
      <c r="AJ27" s="770"/>
      <c r="AK27" s="770"/>
      <c r="AL27" s="770"/>
      <c r="AM27" s="770"/>
      <c r="AN27" s="770"/>
      <c r="AO27" s="770"/>
      <c r="AP27" s="770"/>
      <c r="AQ27" s="770"/>
      <c r="AR27" s="770"/>
      <c r="AS27" s="770"/>
      <c r="AT27" s="770"/>
      <c r="AU27" s="775"/>
      <c r="AV27" s="775"/>
      <c r="AW27" s="1323"/>
      <c r="AX27" s="1325"/>
    </row>
    <row r="28" spans="1:50">
      <c r="A28" s="768"/>
      <c r="B28" s="776"/>
      <c r="C28" s="770"/>
      <c r="D28" s="770"/>
      <c r="E28" s="770"/>
      <c r="F28" s="770"/>
      <c r="G28" s="770"/>
      <c r="H28" s="770"/>
      <c r="I28" s="770"/>
      <c r="J28" s="770"/>
      <c r="K28" s="770"/>
      <c r="L28" s="770"/>
      <c r="M28" s="770"/>
      <c r="N28" s="770"/>
      <c r="O28" s="770"/>
      <c r="P28" s="770"/>
      <c r="Q28" s="770"/>
      <c r="R28" s="770"/>
      <c r="S28" s="770"/>
      <c r="T28" s="770"/>
      <c r="U28" s="770"/>
      <c r="V28" s="770"/>
      <c r="W28" s="770"/>
      <c r="X28" s="770"/>
      <c r="Y28" s="770"/>
      <c r="Z28" s="770"/>
      <c r="AA28" s="770"/>
      <c r="AB28" s="770"/>
      <c r="AC28" s="770"/>
      <c r="AD28" s="770"/>
      <c r="AE28" s="770"/>
      <c r="AF28" s="770"/>
      <c r="AG28" s="770"/>
      <c r="AH28" s="770"/>
      <c r="AI28" s="770"/>
      <c r="AJ28" s="770"/>
      <c r="AK28" s="770"/>
      <c r="AL28" s="770"/>
      <c r="AM28" s="770"/>
      <c r="AN28" s="770"/>
      <c r="AO28" s="770"/>
      <c r="AP28" s="770"/>
      <c r="AQ28" s="770"/>
      <c r="AR28" s="770"/>
      <c r="AS28" s="770"/>
      <c r="AT28" s="770"/>
      <c r="AU28" s="775"/>
      <c r="AV28" s="775"/>
      <c r="AW28" s="772"/>
      <c r="AX28" s="778"/>
    </row>
    <row r="29" spans="1:50">
      <c r="A29" s="768"/>
      <c r="B29" s="776"/>
      <c r="C29" s="770"/>
      <c r="D29" s="770"/>
      <c r="E29" s="770"/>
      <c r="F29" s="770"/>
      <c r="G29" s="770"/>
      <c r="H29" s="770"/>
      <c r="I29" s="770"/>
      <c r="J29" s="770"/>
      <c r="K29" s="770"/>
      <c r="L29" s="770"/>
      <c r="M29" s="770"/>
      <c r="N29" s="770"/>
      <c r="O29" s="770"/>
      <c r="P29" s="770"/>
      <c r="Q29" s="770"/>
      <c r="R29" s="770"/>
      <c r="S29" s="770"/>
      <c r="T29" s="770"/>
      <c r="U29" s="770"/>
      <c r="V29" s="770"/>
      <c r="W29" s="770"/>
      <c r="X29" s="770"/>
      <c r="Y29" s="770"/>
      <c r="Z29" s="770"/>
      <c r="AA29" s="770"/>
      <c r="AB29" s="770"/>
      <c r="AC29" s="770"/>
      <c r="AD29" s="770"/>
      <c r="AE29" s="770"/>
      <c r="AF29" s="770"/>
      <c r="AG29" s="770"/>
      <c r="AH29" s="770"/>
      <c r="AI29" s="770"/>
      <c r="AJ29" s="770"/>
      <c r="AK29" s="770"/>
      <c r="AL29" s="770"/>
      <c r="AM29" s="770"/>
      <c r="AN29" s="770"/>
      <c r="AO29" s="770"/>
      <c r="AP29" s="770"/>
      <c r="AQ29" s="770"/>
      <c r="AR29" s="770"/>
      <c r="AS29" s="770"/>
      <c r="AT29" s="770"/>
      <c r="AU29" s="775"/>
      <c r="AV29" s="775"/>
      <c r="AW29" s="772"/>
      <c r="AX29" s="778"/>
    </row>
    <row r="30" spans="1:50">
      <c r="A30" s="779"/>
      <c r="B30" s="780"/>
      <c r="C30" s="781"/>
      <c r="D30" s="781"/>
      <c r="E30" s="781"/>
      <c r="F30" s="781"/>
      <c r="G30" s="781"/>
      <c r="H30" s="781"/>
      <c r="I30" s="781"/>
      <c r="J30" s="781"/>
      <c r="K30" s="781"/>
      <c r="L30" s="781"/>
      <c r="M30" s="781"/>
      <c r="N30" s="781"/>
      <c r="O30" s="781"/>
      <c r="P30" s="781"/>
      <c r="Q30" s="781"/>
      <c r="R30" s="781"/>
      <c r="S30" s="781"/>
      <c r="T30" s="781"/>
      <c r="U30" s="781"/>
      <c r="V30" s="781"/>
      <c r="W30" s="781"/>
      <c r="X30" s="781"/>
      <c r="Y30" s="781"/>
      <c r="Z30" s="781"/>
      <c r="AA30" s="781"/>
      <c r="AB30" s="781"/>
      <c r="AC30" s="781"/>
      <c r="AD30" s="781"/>
      <c r="AE30" s="781"/>
      <c r="AF30" s="781"/>
      <c r="AG30" s="781"/>
      <c r="AH30" s="781"/>
      <c r="AI30" s="781"/>
      <c r="AJ30" s="781"/>
      <c r="AK30" s="781"/>
      <c r="AL30" s="781"/>
      <c r="AM30" s="781"/>
      <c r="AN30" s="781"/>
      <c r="AO30" s="781"/>
      <c r="AP30" s="781"/>
      <c r="AQ30" s="781"/>
      <c r="AR30" s="781"/>
      <c r="AS30" s="781"/>
      <c r="AT30" s="781"/>
      <c r="AU30" s="781"/>
      <c r="AV30" s="781"/>
      <c r="AW30" s="782"/>
      <c r="AX30" s="783"/>
    </row>
    <row r="31" spans="1:50">
      <c r="A31" s="806"/>
      <c r="B31" s="776"/>
      <c r="C31" s="789"/>
      <c r="D31" s="770"/>
      <c r="E31" s="770"/>
      <c r="F31" s="770"/>
      <c r="G31" s="770"/>
      <c r="H31" s="770"/>
      <c r="I31" s="770"/>
      <c r="J31" s="770"/>
      <c r="K31" s="770"/>
      <c r="L31" s="770"/>
      <c r="M31" s="770"/>
      <c r="N31" s="770"/>
      <c r="O31" s="770"/>
      <c r="P31" s="770"/>
      <c r="Q31" s="770"/>
      <c r="R31" s="770"/>
      <c r="S31" s="770"/>
      <c r="T31" s="770"/>
      <c r="U31" s="770"/>
      <c r="V31" s="770"/>
      <c r="W31" s="770"/>
      <c r="X31" s="770"/>
      <c r="Y31" s="770"/>
      <c r="Z31" s="770"/>
      <c r="AA31" s="770"/>
      <c r="AB31" s="770"/>
      <c r="AC31" s="770"/>
      <c r="AD31" s="770"/>
      <c r="AE31" s="770"/>
      <c r="AF31" s="770"/>
      <c r="AG31" s="770"/>
      <c r="AH31" s="770"/>
      <c r="AI31" s="770"/>
      <c r="AJ31" s="770"/>
      <c r="AK31" s="770"/>
      <c r="AL31" s="770"/>
      <c r="AM31" s="770"/>
      <c r="AN31" s="770"/>
      <c r="AO31" s="770"/>
      <c r="AP31" s="770"/>
      <c r="AQ31" s="770"/>
      <c r="AR31" s="770"/>
      <c r="AS31" s="770"/>
      <c r="AT31" s="770"/>
      <c r="AU31" s="775"/>
      <c r="AV31" s="775"/>
      <c r="AW31" s="772"/>
      <c r="AX31" s="773"/>
    </row>
    <row r="32" spans="1:50">
      <c r="A32" s="806"/>
      <c r="B32" s="776"/>
      <c r="C32" s="789"/>
      <c r="D32" s="770"/>
      <c r="E32" s="770"/>
      <c r="F32" s="770"/>
      <c r="G32" s="770"/>
      <c r="H32" s="770"/>
      <c r="I32" s="770"/>
      <c r="J32" s="770"/>
      <c r="K32" s="770"/>
      <c r="L32" s="770"/>
      <c r="M32" s="770"/>
      <c r="N32" s="770"/>
      <c r="O32" s="770"/>
      <c r="P32" s="770"/>
      <c r="Q32" s="770"/>
      <c r="R32" s="770"/>
      <c r="S32" s="770"/>
      <c r="T32" s="770"/>
      <c r="U32" s="770"/>
      <c r="V32" s="770"/>
      <c r="W32" s="770"/>
      <c r="X32" s="770"/>
      <c r="Y32" s="770"/>
      <c r="Z32" s="770"/>
      <c r="AA32" s="770"/>
      <c r="AB32" s="770"/>
      <c r="AC32" s="770"/>
      <c r="AD32" s="770"/>
      <c r="AE32" s="770"/>
      <c r="AF32" s="770"/>
      <c r="AG32" s="770"/>
      <c r="AH32" s="770"/>
      <c r="AI32" s="770"/>
      <c r="AJ32" s="770"/>
      <c r="AK32" s="770"/>
      <c r="AL32" s="770"/>
      <c r="AM32" s="770"/>
      <c r="AN32" s="770"/>
      <c r="AO32" s="770"/>
      <c r="AP32" s="770"/>
      <c r="AQ32" s="770"/>
      <c r="AR32" s="770"/>
      <c r="AS32" s="770"/>
      <c r="AT32" s="770"/>
      <c r="AU32" s="775"/>
      <c r="AV32" s="775"/>
      <c r="AW32" s="777"/>
      <c r="AX32" s="778"/>
    </row>
    <row r="33" spans="1:50">
      <c r="A33" s="807"/>
      <c r="B33" s="808"/>
      <c r="C33" s="809"/>
      <c r="D33" s="809"/>
      <c r="E33" s="809"/>
      <c r="F33" s="809"/>
      <c r="G33" s="770"/>
      <c r="H33" s="809"/>
      <c r="I33" s="809"/>
      <c r="J33" s="809"/>
      <c r="K33" s="809"/>
      <c r="L33" s="809"/>
      <c r="M33" s="809"/>
      <c r="N33" s="809"/>
      <c r="O33" s="809"/>
      <c r="P33" s="809"/>
      <c r="Q33" s="809"/>
      <c r="R33" s="809"/>
      <c r="S33" s="809"/>
      <c r="T33" s="809"/>
      <c r="U33" s="809"/>
      <c r="V33" s="809"/>
      <c r="W33" s="809"/>
      <c r="X33" s="809"/>
      <c r="Y33" s="809"/>
      <c r="Z33" s="809"/>
      <c r="AA33" s="809"/>
      <c r="AB33" s="809"/>
      <c r="AC33" s="809"/>
      <c r="AD33" s="809"/>
      <c r="AE33" s="809"/>
      <c r="AF33" s="809"/>
      <c r="AG33" s="809"/>
      <c r="AH33" s="809"/>
      <c r="AI33" s="809"/>
      <c r="AJ33" s="809"/>
      <c r="AK33" s="809"/>
      <c r="AL33" s="809"/>
      <c r="AM33" s="809"/>
      <c r="AN33" s="809"/>
      <c r="AO33" s="809"/>
      <c r="AP33" s="809"/>
      <c r="AQ33" s="809"/>
      <c r="AR33" s="809"/>
      <c r="AS33" s="809"/>
      <c r="AT33" s="809"/>
      <c r="AU33" s="810"/>
      <c r="AV33" s="810"/>
      <c r="AW33" s="802"/>
      <c r="AX33" s="811"/>
    </row>
    <row r="34" spans="1:50">
      <c r="A34" s="812"/>
      <c r="B34" s="813"/>
      <c r="C34" s="814"/>
      <c r="D34" s="814"/>
      <c r="E34" s="814"/>
      <c r="F34" s="814"/>
      <c r="G34" s="770"/>
      <c r="H34" s="814"/>
      <c r="I34" s="814"/>
      <c r="J34" s="814"/>
      <c r="K34" s="814"/>
      <c r="L34" s="814"/>
      <c r="M34" s="814"/>
      <c r="N34" s="814"/>
      <c r="O34" s="814"/>
      <c r="P34" s="814"/>
      <c r="Q34" s="814"/>
      <c r="R34" s="814"/>
      <c r="S34" s="814"/>
      <c r="T34" s="814"/>
      <c r="U34" s="814"/>
      <c r="V34" s="814"/>
      <c r="W34" s="814"/>
      <c r="X34" s="814"/>
      <c r="Y34" s="814"/>
      <c r="Z34" s="814"/>
      <c r="AA34" s="814"/>
      <c r="AB34" s="814"/>
      <c r="AC34" s="814"/>
      <c r="AD34" s="814"/>
      <c r="AE34" s="814"/>
      <c r="AF34" s="814"/>
      <c r="AG34" s="814"/>
      <c r="AH34" s="814"/>
      <c r="AI34" s="814"/>
      <c r="AJ34" s="814"/>
      <c r="AK34" s="814"/>
      <c r="AL34" s="814"/>
      <c r="AM34" s="814"/>
      <c r="AN34" s="814"/>
      <c r="AO34" s="814"/>
      <c r="AP34" s="814"/>
      <c r="AQ34" s="814"/>
      <c r="AR34" s="814"/>
      <c r="AS34" s="814"/>
      <c r="AT34" s="814"/>
      <c r="AU34" s="814"/>
      <c r="AV34" s="814"/>
      <c r="AW34" s="815"/>
      <c r="AX34" s="816"/>
    </row>
    <row r="35" spans="1:50">
      <c r="A35" s="817"/>
      <c r="B35" s="818"/>
      <c r="C35" s="819"/>
      <c r="D35" s="819"/>
      <c r="E35" s="819"/>
      <c r="F35" s="819"/>
      <c r="G35" s="770"/>
      <c r="H35" s="819"/>
      <c r="I35" s="819"/>
      <c r="J35" s="819"/>
      <c r="K35" s="819"/>
      <c r="L35" s="819"/>
      <c r="M35" s="819"/>
      <c r="N35" s="819"/>
      <c r="O35" s="819"/>
      <c r="P35" s="819"/>
      <c r="Q35" s="819"/>
      <c r="R35" s="819"/>
      <c r="S35" s="819"/>
      <c r="T35" s="819"/>
      <c r="U35" s="819"/>
      <c r="V35" s="819"/>
      <c r="W35" s="819"/>
      <c r="X35" s="819"/>
      <c r="Y35" s="819"/>
      <c r="Z35" s="819"/>
      <c r="AA35" s="819"/>
      <c r="AB35" s="819"/>
      <c r="AC35" s="819"/>
      <c r="AD35" s="819"/>
      <c r="AE35" s="819"/>
      <c r="AF35" s="819"/>
      <c r="AG35" s="819"/>
      <c r="AH35" s="819"/>
      <c r="AI35" s="819"/>
      <c r="AJ35" s="819"/>
      <c r="AK35" s="819"/>
      <c r="AL35" s="819"/>
      <c r="AM35" s="819"/>
      <c r="AN35" s="819"/>
      <c r="AO35" s="819"/>
      <c r="AP35" s="819"/>
      <c r="AQ35" s="819"/>
      <c r="AR35" s="819"/>
      <c r="AS35" s="819"/>
      <c r="AT35" s="819"/>
      <c r="AU35" s="819"/>
      <c r="AV35" s="819"/>
      <c r="AW35" s="820"/>
      <c r="AX35" s="821"/>
    </row>
    <row r="36" spans="1:50">
      <c r="A36" s="779"/>
      <c r="B36" s="780"/>
      <c r="C36" s="781"/>
      <c r="D36" s="781"/>
      <c r="E36" s="781"/>
      <c r="F36" s="781"/>
      <c r="G36" s="781"/>
      <c r="H36" s="781"/>
      <c r="I36" s="781"/>
      <c r="J36" s="781"/>
      <c r="K36" s="781"/>
      <c r="L36" s="781"/>
      <c r="M36" s="781"/>
      <c r="N36" s="781"/>
      <c r="O36" s="781"/>
      <c r="P36" s="781"/>
      <c r="Q36" s="781"/>
      <c r="R36" s="781"/>
      <c r="S36" s="781"/>
      <c r="T36" s="781"/>
      <c r="U36" s="781"/>
      <c r="V36" s="781"/>
      <c r="W36" s="781"/>
      <c r="X36" s="781"/>
      <c r="Y36" s="781"/>
      <c r="Z36" s="781"/>
      <c r="AA36" s="781"/>
      <c r="AB36" s="781"/>
      <c r="AC36" s="781"/>
      <c r="AD36" s="781"/>
      <c r="AE36" s="781"/>
      <c r="AF36" s="781"/>
      <c r="AG36" s="781"/>
      <c r="AH36" s="781"/>
      <c r="AI36" s="781"/>
      <c r="AJ36" s="781"/>
      <c r="AK36" s="781"/>
      <c r="AL36" s="781"/>
      <c r="AM36" s="781"/>
      <c r="AN36" s="781"/>
      <c r="AO36" s="781"/>
      <c r="AP36" s="781"/>
      <c r="AQ36" s="781"/>
      <c r="AR36" s="781"/>
      <c r="AS36" s="781"/>
      <c r="AT36" s="781"/>
      <c r="AU36" s="781"/>
      <c r="AV36" s="781"/>
      <c r="AW36" s="822"/>
      <c r="AX36" s="783"/>
    </row>
    <row r="37" spans="1:50">
      <c r="A37" s="823"/>
      <c r="B37" s="824"/>
      <c r="C37" s="809"/>
      <c r="D37" s="809"/>
      <c r="E37" s="809"/>
      <c r="F37" s="809"/>
      <c r="G37" s="809"/>
      <c r="H37" s="809"/>
      <c r="I37" s="809"/>
      <c r="J37" s="809"/>
      <c r="K37" s="825"/>
      <c r="L37" s="825"/>
      <c r="M37" s="825"/>
      <c r="N37" s="825"/>
      <c r="O37" s="825"/>
      <c r="P37" s="825"/>
      <c r="Q37" s="825"/>
      <c r="R37" s="825"/>
      <c r="S37" s="825"/>
      <c r="T37" s="825"/>
      <c r="U37" s="825"/>
      <c r="V37" s="825"/>
      <c r="W37" s="825"/>
      <c r="X37" s="825"/>
      <c r="Y37" s="825"/>
      <c r="Z37" s="825"/>
      <c r="AA37" s="825"/>
      <c r="AB37" s="825"/>
      <c r="AC37" s="825"/>
      <c r="AD37" s="825"/>
      <c r="AE37" s="825"/>
      <c r="AF37" s="825"/>
      <c r="AG37" s="825"/>
      <c r="AH37" s="825"/>
      <c r="AI37" s="825"/>
      <c r="AJ37" s="825"/>
      <c r="AK37" s="825"/>
      <c r="AL37" s="825"/>
      <c r="AM37" s="825"/>
      <c r="AN37" s="825"/>
      <c r="AO37" s="825"/>
      <c r="AP37" s="825"/>
      <c r="AQ37" s="825"/>
      <c r="AR37" s="825"/>
      <c r="AS37" s="825"/>
      <c r="AT37" s="825"/>
      <c r="AU37" s="826"/>
      <c r="AV37" s="826"/>
      <c r="AW37" s="827"/>
      <c r="AX37" s="811"/>
    </row>
    <row r="38" spans="1:50">
      <c r="A38" s="779"/>
      <c r="B38" s="828"/>
      <c r="C38" s="781"/>
      <c r="D38" s="781"/>
      <c r="E38" s="781"/>
      <c r="F38" s="781"/>
      <c r="G38" s="781"/>
      <c r="H38" s="781"/>
      <c r="I38" s="781"/>
      <c r="J38" s="781"/>
      <c r="K38" s="781"/>
      <c r="L38" s="781"/>
      <c r="M38" s="781"/>
      <c r="N38" s="781"/>
      <c r="O38" s="781"/>
      <c r="P38" s="781"/>
      <c r="Q38" s="781"/>
      <c r="R38" s="781"/>
      <c r="S38" s="781"/>
      <c r="T38" s="781"/>
      <c r="U38" s="781"/>
      <c r="V38" s="781"/>
      <c r="W38" s="781"/>
      <c r="X38" s="781"/>
      <c r="Y38" s="781"/>
      <c r="Z38" s="781"/>
      <c r="AA38" s="781"/>
      <c r="AB38" s="781"/>
      <c r="AC38" s="781"/>
      <c r="AD38" s="781"/>
      <c r="AE38" s="781"/>
      <c r="AF38" s="781"/>
      <c r="AG38" s="781"/>
      <c r="AH38" s="781"/>
      <c r="AI38" s="781"/>
      <c r="AJ38" s="781"/>
      <c r="AK38" s="781"/>
      <c r="AL38" s="781"/>
      <c r="AM38" s="781"/>
      <c r="AN38" s="781"/>
      <c r="AO38" s="781"/>
      <c r="AP38" s="781"/>
      <c r="AQ38" s="781"/>
      <c r="AR38" s="781"/>
      <c r="AS38" s="781"/>
      <c r="AT38" s="781"/>
      <c r="AU38" s="781"/>
      <c r="AV38" s="781"/>
      <c r="AW38" s="822"/>
      <c r="AX38" s="805"/>
    </row>
    <row r="39" spans="1:50">
      <c r="A39" s="768"/>
      <c r="B39" s="829"/>
      <c r="C39" s="770"/>
      <c r="D39" s="770"/>
      <c r="E39" s="770"/>
      <c r="F39" s="770"/>
      <c r="G39" s="770"/>
      <c r="H39" s="770"/>
      <c r="I39" s="770"/>
      <c r="J39" s="770"/>
      <c r="K39" s="770"/>
      <c r="L39" s="770"/>
      <c r="M39" s="770"/>
      <c r="N39" s="770"/>
      <c r="O39" s="770"/>
      <c r="P39" s="770"/>
      <c r="Q39" s="770"/>
      <c r="R39" s="770"/>
      <c r="S39" s="770"/>
      <c r="T39" s="770"/>
      <c r="U39" s="770"/>
      <c r="V39" s="770"/>
      <c r="W39" s="770"/>
      <c r="X39" s="770"/>
      <c r="Y39" s="770"/>
      <c r="Z39" s="770"/>
      <c r="AA39" s="770"/>
      <c r="AB39" s="770"/>
      <c r="AC39" s="770"/>
      <c r="AD39" s="770"/>
      <c r="AE39" s="770"/>
      <c r="AF39" s="770"/>
      <c r="AG39" s="770"/>
      <c r="AH39" s="770"/>
      <c r="AI39" s="770"/>
      <c r="AJ39" s="770"/>
      <c r="AK39" s="770"/>
      <c r="AL39" s="770"/>
      <c r="AM39" s="770"/>
      <c r="AN39" s="770"/>
      <c r="AO39" s="770"/>
      <c r="AP39" s="770"/>
      <c r="AQ39" s="770"/>
      <c r="AR39" s="770"/>
      <c r="AS39" s="770"/>
      <c r="AT39" s="770"/>
      <c r="AU39" s="775"/>
      <c r="AV39" s="775"/>
      <c r="AW39" s="777"/>
      <c r="AX39" s="773"/>
    </row>
    <row r="40" spans="1:50">
      <c r="A40" s="806"/>
      <c r="B40" s="776"/>
      <c r="C40" s="830"/>
      <c r="D40" s="830"/>
      <c r="E40" s="770"/>
      <c r="F40" s="830"/>
      <c r="G40" s="770"/>
      <c r="H40" s="830"/>
      <c r="I40" s="830"/>
      <c r="J40" s="830"/>
      <c r="K40" s="831"/>
      <c r="L40" s="831"/>
      <c r="M40" s="831"/>
      <c r="N40" s="831"/>
      <c r="O40" s="831"/>
      <c r="P40" s="831"/>
      <c r="Q40" s="831"/>
      <c r="R40" s="831"/>
      <c r="S40" s="831"/>
      <c r="T40" s="831"/>
      <c r="U40" s="831"/>
      <c r="V40" s="831"/>
      <c r="W40" s="831"/>
      <c r="X40" s="831"/>
      <c r="Y40" s="831"/>
      <c r="Z40" s="831"/>
      <c r="AA40" s="831"/>
      <c r="AB40" s="831"/>
      <c r="AC40" s="831"/>
      <c r="AD40" s="831"/>
      <c r="AE40" s="831"/>
      <c r="AF40" s="831"/>
      <c r="AG40" s="831"/>
      <c r="AH40" s="831"/>
      <c r="AI40" s="831"/>
      <c r="AJ40" s="831"/>
      <c r="AK40" s="831"/>
      <c r="AL40" s="831"/>
      <c r="AM40" s="831"/>
      <c r="AN40" s="831"/>
      <c r="AO40" s="831"/>
      <c r="AP40" s="831"/>
      <c r="AQ40" s="831"/>
      <c r="AR40" s="831"/>
      <c r="AS40" s="831"/>
      <c r="AT40" s="831"/>
      <c r="AU40" s="832"/>
      <c r="AV40" s="832"/>
      <c r="AW40" s="777"/>
      <c r="AX40" s="833"/>
    </row>
    <row r="41" spans="1:50">
      <c r="A41" s="768"/>
      <c r="B41" s="797"/>
      <c r="C41" s="770"/>
      <c r="D41" s="798"/>
      <c r="E41" s="770"/>
      <c r="F41" s="798"/>
      <c r="G41" s="770"/>
      <c r="H41" s="770"/>
      <c r="I41" s="770"/>
      <c r="J41" s="770"/>
      <c r="K41" s="793"/>
      <c r="L41" s="793"/>
      <c r="M41" s="793"/>
      <c r="N41" s="793"/>
      <c r="O41" s="793"/>
      <c r="P41" s="793"/>
      <c r="Q41" s="793"/>
      <c r="R41" s="793"/>
      <c r="S41" s="793"/>
      <c r="T41" s="793"/>
      <c r="U41" s="793"/>
      <c r="V41" s="793"/>
      <c r="W41" s="793"/>
      <c r="X41" s="793"/>
      <c r="Y41" s="793"/>
      <c r="Z41" s="793"/>
      <c r="AA41" s="793"/>
      <c r="AB41" s="793"/>
      <c r="AC41" s="793"/>
      <c r="AD41" s="793"/>
      <c r="AE41" s="793"/>
      <c r="AF41" s="793"/>
      <c r="AG41" s="793"/>
      <c r="AH41" s="793"/>
      <c r="AI41" s="793"/>
      <c r="AJ41" s="793"/>
      <c r="AK41" s="793"/>
      <c r="AL41" s="793"/>
      <c r="AM41" s="793"/>
      <c r="AN41" s="793"/>
      <c r="AO41" s="793"/>
      <c r="AP41" s="793"/>
      <c r="AQ41" s="793"/>
      <c r="AR41" s="793"/>
      <c r="AS41" s="793"/>
      <c r="AT41" s="793"/>
      <c r="AU41" s="794"/>
      <c r="AV41" s="794"/>
      <c r="AW41" s="772"/>
      <c r="AX41" s="778"/>
    </row>
    <row r="42" spans="1:50">
      <c r="A42" s="768"/>
      <c r="B42" s="797"/>
      <c r="C42" s="770"/>
      <c r="D42" s="798"/>
      <c r="E42" s="770"/>
      <c r="F42" s="798"/>
      <c r="G42" s="770"/>
      <c r="H42" s="770"/>
      <c r="I42" s="770"/>
      <c r="J42" s="770"/>
      <c r="K42" s="793"/>
      <c r="L42" s="793"/>
      <c r="M42" s="793"/>
      <c r="N42" s="793"/>
      <c r="O42" s="793"/>
      <c r="P42" s="793"/>
      <c r="Q42" s="793"/>
      <c r="R42" s="793"/>
      <c r="S42" s="793"/>
      <c r="T42" s="793"/>
      <c r="U42" s="793"/>
      <c r="V42" s="793"/>
      <c r="W42" s="793"/>
      <c r="X42" s="793"/>
      <c r="Y42" s="793"/>
      <c r="Z42" s="793"/>
      <c r="AA42" s="793"/>
      <c r="AB42" s="793"/>
      <c r="AC42" s="793"/>
      <c r="AD42" s="793"/>
      <c r="AE42" s="793"/>
      <c r="AF42" s="793"/>
      <c r="AG42" s="793"/>
      <c r="AH42" s="793"/>
      <c r="AI42" s="793"/>
      <c r="AJ42" s="793"/>
      <c r="AK42" s="793"/>
      <c r="AL42" s="793"/>
      <c r="AM42" s="793"/>
      <c r="AN42" s="793"/>
      <c r="AO42" s="793"/>
      <c r="AP42" s="793"/>
      <c r="AQ42" s="793"/>
      <c r="AR42" s="793"/>
      <c r="AS42" s="793"/>
      <c r="AT42" s="793"/>
      <c r="AU42" s="794"/>
      <c r="AV42" s="794"/>
      <c r="AW42" s="772"/>
      <c r="AX42" s="778"/>
    </row>
    <row r="43" spans="1:50">
      <c r="A43" s="768"/>
      <c r="B43" s="797"/>
      <c r="C43" s="770"/>
      <c r="D43" s="798"/>
      <c r="E43" s="770"/>
      <c r="F43" s="798"/>
      <c r="G43" s="770"/>
      <c r="H43" s="770"/>
      <c r="I43" s="770"/>
      <c r="J43" s="770"/>
      <c r="K43" s="793"/>
      <c r="L43" s="793"/>
      <c r="M43" s="793"/>
      <c r="N43" s="793"/>
      <c r="O43" s="793"/>
      <c r="P43" s="793"/>
      <c r="Q43" s="793"/>
      <c r="R43" s="793"/>
      <c r="S43" s="793"/>
      <c r="T43" s="793"/>
      <c r="U43" s="793"/>
      <c r="V43" s="793"/>
      <c r="W43" s="793"/>
      <c r="X43" s="793"/>
      <c r="Y43" s="793"/>
      <c r="Z43" s="793"/>
      <c r="AA43" s="793"/>
      <c r="AB43" s="793"/>
      <c r="AC43" s="793"/>
      <c r="AD43" s="793"/>
      <c r="AE43" s="793"/>
      <c r="AF43" s="793"/>
      <c r="AG43" s="793"/>
      <c r="AH43" s="793"/>
      <c r="AI43" s="793"/>
      <c r="AJ43" s="793"/>
      <c r="AK43" s="793"/>
      <c r="AL43" s="793"/>
      <c r="AM43" s="793"/>
      <c r="AN43" s="793"/>
      <c r="AO43" s="793"/>
      <c r="AP43" s="793"/>
      <c r="AQ43" s="793"/>
      <c r="AR43" s="793"/>
      <c r="AS43" s="793"/>
      <c r="AT43" s="793"/>
      <c r="AU43" s="794"/>
      <c r="AV43" s="794"/>
      <c r="AW43" s="772"/>
      <c r="AX43" s="778"/>
    </row>
    <row r="44" spans="1:50">
      <c r="A44" s="768"/>
      <c r="B44" s="797"/>
      <c r="C44" s="770"/>
      <c r="D44" s="798"/>
      <c r="E44" s="770"/>
      <c r="F44" s="798"/>
      <c r="G44" s="770"/>
      <c r="H44" s="770"/>
      <c r="I44" s="770"/>
      <c r="J44" s="770"/>
      <c r="K44" s="793"/>
      <c r="L44" s="793"/>
      <c r="M44" s="793"/>
      <c r="N44" s="793"/>
      <c r="O44" s="793"/>
      <c r="P44" s="793"/>
      <c r="Q44" s="793"/>
      <c r="R44" s="793"/>
      <c r="S44" s="793"/>
      <c r="T44" s="793"/>
      <c r="U44" s="793"/>
      <c r="V44" s="793"/>
      <c r="W44" s="793"/>
      <c r="X44" s="793"/>
      <c r="Y44" s="793"/>
      <c r="Z44" s="793"/>
      <c r="AA44" s="793"/>
      <c r="AB44" s="793"/>
      <c r="AC44" s="793"/>
      <c r="AD44" s="793"/>
      <c r="AE44" s="793"/>
      <c r="AF44" s="793"/>
      <c r="AG44" s="793"/>
      <c r="AH44" s="793"/>
      <c r="AI44" s="793"/>
      <c r="AJ44" s="793"/>
      <c r="AK44" s="793"/>
      <c r="AL44" s="793"/>
      <c r="AM44" s="793"/>
      <c r="AN44" s="793"/>
      <c r="AO44" s="793"/>
      <c r="AP44" s="793"/>
      <c r="AQ44" s="793"/>
      <c r="AR44" s="793"/>
      <c r="AS44" s="793"/>
      <c r="AT44" s="793"/>
      <c r="AU44" s="794"/>
      <c r="AV44" s="794"/>
      <c r="AW44" s="772"/>
      <c r="AX44" s="834"/>
    </row>
    <row r="45" spans="1:50">
      <c r="A45" s="768"/>
      <c r="B45" s="776"/>
      <c r="C45" s="770"/>
      <c r="D45" s="770"/>
      <c r="E45" s="770"/>
      <c r="F45" s="770"/>
      <c r="G45" s="770"/>
      <c r="H45" s="770"/>
      <c r="I45" s="770"/>
      <c r="J45" s="770"/>
      <c r="K45" s="770"/>
      <c r="L45" s="770"/>
      <c r="M45" s="770"/>
      <c r="N45" s="770"/>
      <c r="O45" s="770"/>
      <c r="P45" s="770"/>
      <c r="Q45" s="770"/>
      <c r="R45" s="770"/>
      <c r="S45" s="770"/>
      <c r="T45" s="770"/>
      <c r="U45" s="770"/>
      <c r="V45" s="770"/>
      <c r="W45" s="770"/>
      <c r="X45" s="770"/>
      <c r="Y45" s="770"/>
      <c r="Z45" s="770"/>
      <c r="AA45" s="770"/>
      <c r="AB45" s="770"/>
      <c r="AC45" s="770"/>
      <c r="AD45" s="770"/>
      <c r="AE45" s="770"/>
      <c r="AF45" s="770"/>
      <c r="AG45" s="770"/>
      <c r="AH45" s="770"/>
      <c r="AI45" s="770"/>
      <c r="AJ45" s="770"/>
      <c r="AK45" s="770"/>
      <c r="AL45" s="770"/>
      <c r="AM45" s="770"/>
      <c r="AN45" s="770"/>
      <c r="AO45" s="770"/>
      <c r="AP45" s="770"/>
      <c r="AQ45" s="770"/>
      <c r="AR45" s="770"/>
      <c r="AS45" s="770"/>
      <c r="AT45" s="770"/>
      <c r="AU45" s="775"/>
      <c r="AV45" s="775"/>
      <c r="AW45" s="772"/>
      <c r="AX45" s="778"/>
    </row>
    <row r="46" spans="1:50">
      <c r="A46" s="806"/>
      <c r="B46" s="776"/>
      <c r="C46" s="770"/>
      <c r="D46" s="770"/>
      <c r="E46" s="770"/>
      <c r="F46" s="770"/>
      <c r="G46" s="770"/>
      <c r="H46" s="770"/>
      <c r="I46" s="770"/>
      <c r="J46" s="770"/>
      <c r="K46" s="770"/>
      <c r="L46" s="770"/>
      <c r="M46" s="770"/>
      <c r="N46" s="770"/>
      <c r="O46" s="770"/>
      <c r="P46" s="770"/>
      <c r="Q46" s="770"/>
      <c r="R46" s="770"/>
      <c r="S46" s="770"/>
      <c r="T46" s="770"/>
      <c r="U46" s="770"/>
      <c r="V46" s="770"/>
      <c r="W46" s="770"/>
      <c r="X46" s="770"/>
      <c r="Y46" s="770"/>
      <c r="Z46" s="770"/>
      <c r="AA46" s="770"/>
      <c r="AB46" s="770"/>
      <c r="AC46" s="770"/>
      <c r="AD46" s="770"/>
      <c r="AE46" s="770"/>
      <c r="AF46" s="770"/>
      <c r="AG46" s="770"/>
      <c r="AH46" s="770"/>
      <c r="AI46" s="770"/>
      <c r="AJ46" s="770"/>
      <c r="AK46" s="770"/>
      <c r="AL46" s="770"/>
      <c r="AM46" s="770"/>
      <c r="AN46" s="770"/>
      <c r="AO46" s="770"/>
      <c r="AP46" s="770"/>
      <c r="AQ46" s="770"/>
      <c r="AR46" s="770"/>
      <c r="AS46" s="770"/>
      <c r="AT46" s="770"/>
      <c r="AU46" s="775"/>
      <c r="AV46" s="775"/>
      <c r="AW46" s="772"/>
      <c r="AX46" s="778"/>
    </row>
    <row r="47" spans="1:50">
      <c r="A47" s="768"/>
      <c r="B47" s="776"/>
      <c r="C47" s="770"/>
      <c r="D47" s="770"/>
      <c r="E47" s="770"/>
      <c r="F47" s="770"/>
      <c r="G47" s="770"/>
      <c r="H47" s="770"/>
      <c r="I47" s="770"/>
      <c r="J47" s="770"/>
      <c r="K47" s="770"/>
      <c r="L47" s="770"/>
      <c r="M47" s="770"/>
      <c r="N47" s="770"/>
      <c r="O47" s="770"/>
      <c r="P47" s="770"/>
      <c r="Q47" s="770"/>
      <c r="R47" s="770"/>
      <c r="S47" s="770"/>
      <c r="T47" s="770"/>
      <c r="U47" s="770"/>
      <c r="V47" s="770"/>
      <c r="W47" s="770"/>
      <c r="X47" s="770"/>
      <c r="Y47" s="770"/>
      <c r="Z47" s="770"/>
      <c r="AA47" s="770"/>
      <c r="AB47" s="770"/>
      <c r="AC47" s="770"/>
      <c r="AD47" s="770"/>
      <c r="AE47" s="770"/>
      <c r="AF47" s="770"/>
      <c r="AG47" s="770"/>
      <c r="AH47" s="770"/>
      <c r="AI47" s="770"/>
      <c r="AJ47" s="770"/>
      <c r="AK47" s="770"/>
      <c r="AL47" s="770"/>
      <c r="AM47" s="770"/>
      <c r="AN47" s="770"/>
      <c r="AO47" s="770"/>
      <c r="AP47" s="770"/>
      <c r="AQ47" s="770"/>
      <c r="AR47" s="770"/>
      <c r="AS47" s="770"/>
      <c r="AT47" s="770"/>
      <c r="AU47" s="775"/>
      <c r="AV47" s="775"/>
      <c r="AW47" s="772"/>
      <c r="AX47" s="778"/>
    </row>
    <row r="48" spans="1:50">
      <c r="A48" s="768"/>
      <c r="B48" s="835"/>
      <c r="C48" s="770"/>
      <c r="D48" s="770"/>
      <c r="E48" s="770"/>
      <c r="F48" s="770"/>
      <c r="G48" s="770"/>
      <c r="H48" s="770"/>
      <c r="I48" s="770"/>
      <c r="J48" s="770"/>
      <c r="K48" s="770"/>
      <c r="L48" s="770"/>
      <c r="M48" s="770"/>
      <c r="N48" s="770"/>
      <c r="O48" s="770"/>
      <c r="P48" s="770"/>
      <c r="Q48" s="770"/>
      <c r="R48" s="770"/>
      <c r="S48" s="770"/>
      <c r="T48" s="770"/>
      <c r="U48" s="770"/>
      <c r="V48" s="770"/>
      <c r="W48" s="770"/>
      <c r="X48" s="770"/>
      <c r="Y48" s="770"/>
      <c r="Z48" s="770"/>
      <c r="AA48" s="770"/>
      <c r="AB48" s="770"/>
      <c r="AC48" s="770"/>
      <c r="AD48" s="770"/>
      <c r="AE48" s="770"/>
      <c r="AF48" s="770"/>
      <c r="AG48" s="770"/>
      <c r="AH48" s="770"/>
      <c r="AI48" s="770"/>
      <c r="AJ48" s="770"/>
      <c r="AK48" s="770"/>
      <c r="AL48" s="770"/>
      <c r="AM48" s="770"/>
      <c r="AN48" s="770"/>
      <c r="AO48" s="770"/>
      <c r="AP48" s="770"/>
      <c r="AQ48" s="770"/>
      <c r="AR48" s="770"/>
      <c r="AS48" s="770"/>
      <c r="AT48" s="770"/>
      <c r="AU48" s="775"/>
      <c r="AV48" s="775"/>
      <c r="AW48" s="777"/>
      <c r="AX48" s="778"/>
    </row>
    <row r="49" spans="1:50">
      <c r="A49" s="836"/>
      <c r="B49" s="797"/>
      <c r="C49" s="798"/>
      <c r="D49" s="798"/>
      <c r="E49" s="798"/>
      <c r="F49" s="798"/>
      <c r="G49" s="798"/>
      <c r="H49" s="798"/>
      <c r="I49" s="798"/>
      <c r="J49" s="798"/>
      <c r="K49" s="800"/>
      <c r="L49" s="800"/>
      <c r="M49" s="800"/>
      <c r="N49" s="800"/>
      <c r="O49" s="800"/>
      <c r="P49" s="800"/>
      <c r="Q49" s="800"/>
      <c r="R49" s="800"/>
      <c r="S49" s="800"/>
      <c r="T49" s="800"/>
      <c r="U49" s="800"/>
      <c r="V49" s="800"/>
      <c r="W49" s="800"/>
      <c r="X49" s="800"/>
      <c r="Y49" s="800"/>
      <c r="Z49" s="800"/>
      <c r="AA49" s="800"/>
      <c r="AB49" s="800"/>
      <c r="AC49" s="800"/>
      <c r="AD49" s="800"/>
      <c r="AE49" s="800"/>
      <c r="AF49" s="800"/>
      <c r="AG49" s="800"/>
      <c r="AH49" s="800"/>
      <c r="AI49" s="800"/>
      <c r="AJ49" s="800"/>
      <c r="AK49" s="800"/>
      <c r="AL49" s="800"/>
      <c r="AM49" s="800"/>
      <c r="AN49" s="800"/>
      <c r="AO49" s="800"/>
      <c r="AP49" s="800"/>
      <c r="AQ49" s="800"/>
      <c r="AR49" s="800"/>
      <c r="AS49" s="800"/>
      <c r="AT49" s="800"/>
      <c r="AU49" s="801"/>
      <c r="AV49" s="801"/>
      <c r="AW49" s="802"/>
      <c r="AX49" s="837"/>
    </row>
    <row r="50" spans="1:50">
      <c r="A50" s="838"/>
      <c r="B50" s="839"/>
      <c r="C50" s="798"/>
      <c r="D50" s="838"/>
      <c r="E50" s="798"/>
      <c r="F50" s="838"/>
      <c r="G50" s="798"/>
      <c r="H50" s="795"/>
      <c r="I50" s="840"/>
      <c r="J50" s="840"/>
      <c r="K50" s="840"/>
      <c r="L50" s="840"/>
      <c r="M50" s="840"/>
      <c r="N50" s="840"/>
      <c r="O50" s="840"/>
      <c r="P50" s="840"/>
      <c r="Q50" s="840"/>
      <c r="R50" s="840"/>
      <c r="S50" s="840"/>
      <c r="T50" s="840"/>
      <c r="U50" s="840"/>
      <c r="V50" s="840"/>
      <c r="W50" s="840"/>
      <c r="X50" s="840"/>
      <c r="Y50" s="840"/>
      <c r="Z50" s="840"/>
      <c r="AA50" s="840"/>
      <c r="AB50" s="840"/>
      <c r="AC50" s="840"/>
      <c r="AD50" s="840"/>
      <c r="AE50" s="840"/>
      <c r="AF50" s="840"/>
      <c r="AG50" s="840"/>
      <c r="AH50" s="840"/>
      <c r="AI50" s="840"/>
      <c r="AJ50" s="840"/>
      <c r="AK50" s="840"/>
      <c r="AL50" s="840"/>
      <c r="AM50" s="840"/>
      <c r="AN50" s="840"/>
      <c r="AO50" s="840"/>
      <c r="AP50" s="840"/>
      <c r="AQ50" s="840"/>
      <c r="AR50" s="840"/>
      <c r="AS50" s="840"/>
      <c r="AT50" s="840"/>
      <c r="AU50" s="840"/>
      <c r="AV50" s="840"/>
      <c r="AW50" s="838"/>
      <c r="AX50" s="838"/>
    </row>
    <row r="51" spans="1:50">
      <c r="A51" s="838"/>
      <c r="B51" s="841"/>
      <c r="C51" s="798"/>
      <c r="D51" s="838"/>
      <c r="E51" s="798"/>
      <c r="F51" s="838"/>
      <c r="G51" s="798"/>
      <c r="H51" s="838"/>
      <c r="I51" s="838"/>
      <c r="J51" s="838"/>
      <c r="K51" s="838"/>
      <c r="L51" s="838"/>
      <c r="M51" s="838"/>
      <c r="N51" s="838"/>
      <c r="O51" s="838"/>
      <c r="P51" s="838"/>
      <c r="Q51" s="838"/>
      <c r="R51" s="838"/>
      <c r="S51" s="838"/>
      <c r="T51" s="838"/>
      <c r="U51" s="838"/>
      <c r="V51" s="838"/>
      <c r="W51" s="838"/>
      <c r="X51" s="838"/>
      <c r="Y51" s="838"/>
      <c r="Z51" s="838"/>
      <c r="AA51" s="838"/>
      <c r="AB51" s="838"/>
      <c r="AC51" s="838"/>
      <c r="AD51" s="838"/>
      <c r="AE51" s="838"/>
      <c r="AF51" s="838"/>
      <c r="AG51" s="838"/>
      <c r="AH51" s="838"/>
      <c r="AI51" s="838"/>
      <c r="AJ51" s="838"/>
      <c r="AK51" s="838"/>
      <c r="AL51" s="838"/>
      <c r="AM51" s="838"/>
      <c r="AN51" s="838"/>
      <c r="AO51" s="838"/>
      <c r="AP51" s="838"/>
      <c r="AQ51" s="838"/>
      <c r="AR51" s="838"/>
      <c r="AS51" s="838"/>
      <c r="AT51" s="838"/>
      <c r="AU51" s="838"/>
      <c r="AV51" s="838"/>
      <c r="AW51" s="838"/>
      <c r="AX51" s="838"/>
    </row>
    <row r="52" spans="1:50">
      <c r="A52" s="838"/>
      <c r="B52" s="841"/>
      <c r="C52" s="798"/>
      <c r="D52" s="838"/>
      <c r="E52" s="798"/>
      <c r="F52" s="838"/>
      <c r="G52" s="798"/>
      <c r="H52" s="838"/>
      <c r="I52" s="838"/>
      <c r="J52" s="838"/>
      <c r="K52" s="838"/>
      <c r="L52" s="838"/>
      <c r="M52" s="838"/>
      <c r="N52" s="838"/>
      <c r="O52" s="838"/>
      <c r="P52" s="838"/>
      <c r="Q52" s="838"/>
      <c r="R52" s="838"/>
      <c r="S52" s="838"/>
      <c r="T52" s="838"/>
      <c r="U52" s="838"/>
      <c r="V52" s="838"/>
      <c r="W52" s="838"/>
      <c r="X52" s="838"/>
      <c r="Y52" s="838"/>
      <c r="Z52" s="838"/>
      <c r="AA52" s="838"/>
      <c r="AB52" s="838"/>
      <c r="AC52" s="838"/>
      <c r="AD52" s="838"/>
      <c r="AE52" s="838"/>
      <c r="AF52" s="838"/>
      <c r="AG52" s="838"/>
      <c r="AH52" s="838"/>
      <c r="AI52" s="838"/>
      <c r="AJ52" s="838"/>
      <c r="AK52" s="838"/>
      <c r="AL52" s="838"/>
      <c r="AM52" s="838"/>
      <c r="AN52" s="838"/>
      <c r="AO52" s="838"/>
      <c r="AP52" s="838"/>
      <c r="AQ52" s="838"/>
      <c r="AR52" s="838"/>
      <c r="AS52" s="838"/>
      <c r="AT52" s="838"/>
      <c r="AU52" s="838"/>
      <c r="AV52" s="838"/>
      <c r="AW52" s="838"/>
      <c r="AX52" s="838"/>
    </row>
    <row r="53" spans="1:50">
      <c r="A53" s="838"/>
      <c r="B53" s="841"/>
      <c r="C53" s="798"/>
      <c r="D53" s="838"/>
      <c r="E53" s="798"/>
      <c r="F53" s="838"/>
      <c r="G53" s="798"/>
      <c r="H53" s="838"/>
      <c r="I53" s="838"/>
      <c r="J53" s="838"/>
      <c r="K53" s="838"/>
      <c r="L53" s="838"/>
      <c r="M53" s="838"/>
      <c r="N53" s="838"/>
      <c r="O53" s="838"/>
      <c r="P53" s="838"/>
      <c r="Q53" s="838"/>
      <c r="R53" s="838"/>
      <c r="S53" s="838"/>
      <c r="T53" s="838"/>
      <c r="U53" s="838"/>
      <c r="V53" s="838"/>
      <c r="W53" s="838"/>
      <c r="X53" s="838"/>
      <c r="Y53" s="838"/>
      <c r="Z53" s="838"/>
      <c r="AA53" s="838"/>
      <c r="AB53" s="838"/>
      <c r="AC53" s="838"/>
      <c r="AD53" s="838"/>
      <c r="AE53" s="838"/>
      <c r="AF53" s="838"/>
      <c r="AG53" s="838"/>
      <c r="AH53" s="838"/>
      <c r="AI53" s="838"/>
      <c r="AJ53" s="838"/>
      <c r="AK53" s="838"/>
      <c r="AL53" s="838"/>
      <c r="AM53" s="838"/>
      <c r="AN53" s="838"/>
      <c r="AO53" s="838"/>
      <c r="AP53" s="838"/>
      <c r="AQ53" s="838"/>
      <c r="AR53" s="838"/>
      <c r="AS53" s="838"/>
      <c r="AT53" s="838"/>
      <c r="AU53" s="838"/>
      <c r="AV53" s="838"/>
      <c r="AW53" s="838"/>
      <c r="AX53" s="838"/>
    </row>
    <row r="54" spans="1:50">
      <c r="A54" s="838"/>
      <c r="B54" s="841"/>
      <c r="C54" s="798"/>
      <c r="D54" s="838"/>
      <c r="E54" s="798"/>
      <c r="F54" s="838"/>
      <c r="G54" s="798"/>
      <c r="H54" s="838"/>
      <c r="I54" s="838"/>
      <c r="J54" s="838"/>
      <c r="K54" s="838"/>
      <c r="L54" s="838"/>
      <c r="M54" s="838"/>
      <c r="N54" s="838"/>
      <c r="O54" s="838"/>
      <c r="P54" s="838"/>
      <c r="Q54" s="838"/>
      <c r="R54" s="838"/>
      <c r="S54" s="838"/>
      <c r="T54" s="838"/>
      <c r="U54" s="838"/>
      <c r="V54" s="838"/>
      <c r="W54" s="838"/>
      <c r="X54" s="838"/>
      <c r="Y54" s="838"/>
      <c r="Z54" s="838"/>
      <c r="AA54" s="838"/>
      <c r="AB54" s="838"/>
      <c r="AC54" s="838"/>
      <c r="AD54" s="838"/>
      <c r="AE54" s="838"/>
      <c r="AF54" s="838"/>
      <c r="AG54" s="838"/>
      <c r="AH54" s="838"/>
      <c r="AI54" s="838"/>
      <c r="AJ54" s="838"/>
      <c r="AK54" s="838"/>
      <c r="AL54" s="838"/>
      <c r="AM54" s="838"/>
      <c r="AN54" s="838"/>
      <c r="AO54" s="838"/>
      <c r="AP54" s="838"/>
      <c r="AQ54" s="838"/>
      <c r="AR54" s="838"/>
      <c r="AS54" s="838"/>
      <c r="AT54" s="838"/>
      <c r="AU54" s="838"/>
      <c r="AV54" s="838"/>
      <c r="AW54" s="838"/>
      <c r="AX54" s="838"/>
    </row>
    <row r="55" spans="1:50">
      <c r="A55" s="838"/>
      <c r="B55" s="841"/>
      <c r="C55" s="798"/>
      <c r="D55" s="838"/>
      <c r="E55" s="798"/>
      <c r="F55" s="838"/>
      <c r="G55" s="798"/>
      <c r="H55" s="838"/>
      <c r="I55" s="838"/>
      <c r="J55" s="838"/>
      <c r="K55" s="838"/>
      <c r="L55" s="838"/>
      <c r="M55" s="838"/>
      <c r="N55" s="838"/>
      <c r="O55" s="838"/>
      <c r="P55" s="838"/>
      <c r="Q55" s="838"/>
      <c r="R55" s="838"/>
      <c r="S55" s="838"/>
      <c r="T55" s="838"/>
      <c r="U55" s="838"/>
      <c r="V55" s="838"/>
      <c r="W55" s="838"/>
      <c r="X55" s="838"/>
      <c r="Y55" s="838"/>
      <c r="Z55" s="838"/>
      <c r="AA55" s="838"/>
      <c r="AB55" s="838"/>
      <c r="AC55" s="838"/>
      <c r="AD55" s="838"/>
      <c r="AE55" s="838"/>
      <c r="AF55" s="838"/>
      <c r="AG55" s="838"/>
      <c r="AH55" s="838"/>
      <c r="AI55" s="838"/>
      <c r="AJ55" s="838"/>
      <c r="AK55" s="838"/>
      <c r="AL55" s="838"/>
      <c r="AM55" s="838"/>
      <c r="AN55" s="838"/>
      <c r="AO55" s="838"/>
      <c r="AP55" s="838"/>
      <c r="AQ55" s="838"/>
      <c r="AR55" s="838"/>
      <c r="AS55" s="838"/>
      <c r="AT55" s="838"/>
      <c r="AU55" s="838"/>
      <c r="AV55" s="838"/>
      <c r="AW55" s="838"/>
      <c r="AX55" s="838"/>
    </row>
    <row r="56" spans="1:50">
      <c r="A56" s="838"/>
      <c r="B56" s="841"/>
      <c r="C56" s="798"/>
      <c r="D56" s="838"/>
      <c r="E56" s="798"/>
      <c r="F56" s="838"/>
      <c r="G56" s="798"/>
      <c r="H56" s="838"/>
      <c r="I56" s="838"/>
      <c r="J56" s="838"/>
      <c r="K56" s="838"/>
      <c r="L56" s="838"/>
      <c r="M56" s="838"/>
      <c r="N56" s="838"/>
      <c r="O56" s="838"/>
      <c r="P56" s="838"/>
      <c r="Q56" s="838"/>
      <c r="R56" s="838"/>
      <c r="S56" s="838"/>
      <c r="T56" s="838"/>
      <c r="U56" s="838"/>
      <c r="V56" s="838"/>
      <c r="W56" s="838"/>
      <c r="X56" s="838"/>
      <c r="Y56" s="838"/>
      <c r="Z56" s="838"/>
      <c r="AA56" s="838"/>
      <c r="AB56" s="838"/>
      <c r="AC56" s="838"/>
      <c r="AD56" s="838"/>
      <c r="AE56" s="838"/>
      <c r="AF56" s="838"/>
      <c r="AG56" s="838"/>
      <c r="AH56" s="838"/>
      <c r="AI56" s="838"/>
      <c r="AJ56" s="838"/>
      <c r="AK56" s="838"/>
      <c r="AL56" s="838"/>
      <c r="AM56" s="838"/>
      <c r="AN56" s="838"/>
      <c r="AO56" s="838"/>
      <c r="AP56" s="838"/>
      <c r="AQ56" s="838"/>
      <c r="AR56" s="838"/>
      <c r="AS56" s="838"/>
      <c r="AT56" s="838"/>
      <c r="AU56" s="838"/>
      <c r="AV56" s="838"/>
      <c r="AW56" s="838"/>
      <c r="AX56" s="838"/>
    </row>
    <row r="57" spans="1:50">
      <c r="A57" s="838"/>
      <c r="B57" s="841"/>
      <c r="C57" s="798"/>
      <c r="D57" s="842"/>
      <c r="E57" s="798"/>
      <c r="F57" s="842"/>
      <c r="G57" s="798"/>
      <c r="H57" s="838"/>
      <c r="I57" s="838"/>
      <c r="J57" s="838"/>
      <c r="K57" s="838"/>
      <c r="L57" s="838"/>
      <c r="M57" s="838"/>
      <c r="N57" s="838"/>
      <c r="O57" s="838"/>
      <c r="P57" s="838"/>
      <c r="Q57" s="838"/>
      <c r="R57" s="838"/>
      <c r="S57" s="838"/>
      <c r="T57" s="838"/>
      <c r="U57" s="838"/>
      <c r="V57" s="838"/>
      <c r="W57" s="838"/>
      <c r="X57" s="838"/>
      <c r="Y57" s="838"/>
      <c r="Z57" s="838"/>
      <c r="AA57" s="838"/>
      <c r="AB57" s="838"/>
      <c r="AC57" s="838"/>
      <c r="AD57" s="838"/>
      <c r="AE57" s="838"/>
      <c r="AF57" s="838"/>
      <c r="AG57" s="838"/>
      <c r="AH57" s="838"/>
      <c r="AI57" s="838"/>
      <c r="AJ57" s="838"/>
      <c r="AK57" s="838"/>
      <c r="AL57" s="838"/>
      <c r="AM57" s="838"/>
      <c r="AN57" s="838"/>
      <c r="AO57" s="838"/>
      <c r="AP57" s="838"/>
      <c r="AQ57" s="838"/>
      <c r="AR57" s="838"/>
      <c r="AS57" s="838"/>
      <c r="AT57" s="838"/>
      <c r="AU57" s="838"/>
      <c r="AV57" s="838"/>
      <c r="AW57" s="838"/>
      <c r="AX57" s="838"/>
    </row>
    <row r="58" spans="1:50">
      <c r="A58" s="843"/>
      <c r="B58" s="844"/>
      <c r="C58" s="845"/>
      <c r="D58" s="845"/>
      <c r="E58" s="845"/>
      <c r="F58" s="843"/>
      <c r="G58" s="845"/>
      <c r="H58" s="843"/>
      <c r="I58" s="843"/>
      <c r="J58" s="843"/>
      <c r="K58" s="843"/>
      <c r="L58" s="843"/>
      <c r="M58" s="843"/>
      <c r="N58" s="843"/>
      <c r="O58" s="843"/>
      <c r="P58" s="843"/>
      <c r="Q58" s="843"/>
      <c r="R58" s="843"/>
      <c r="S58" s="843"/>
      <c r="T58" s="843"/>
      <c r="U58" s="843"/>
      <c r="V58" s="843"/>
      <c r="W58" s="843"/>
      <c r="X58" s="843"/>
      <c r="Y58" s="843"/>
      <c r="Z58" s="843"/>
      <c r="AA58" s="843"/>
      <c r="AB58" s="843"/>
      <c r="AC58" s="843"/>
      <c r="AD58" s="843"/>
      <c r="AE58" s="843"/>
      <c r="AF58" s="843"/>
      <c r="AG58" s="843"/>
      <c r="AH58" s="843"/>
      <c r="AI58" s="843"/>
      <c r="AJ58" s="843"/>
      <c r="AK58" s="843"/>
      <c r="AL58" s="843"/>
      <c r="AM58" s="843"/>
      <c r="AN58" s="843"/>
      <c r="AO58" s="843"/>
      <c r="AP58" s="843"/>
      <c r="AQ58" s="843"/>
      <c r="AR58" s="843"/>
      <c r="AS58" s="843"/>
      <c r="AT58" s="843"/>
      <c r="AU58" s="843"/>
      <c r="AV58" s="843"/>
      <c r="AW58" s="843"/>
      <c r="AX58" s="843"/>
    </row>
    <row r="59" spans="1:50">
      <c r="A59" s="846"/>
      <c r="B59" s="847"/>
      <c r="C59" s="809"/>
      <c r="D59" s="792"/>
      <c r="E59" s="809"/>
      <c r="F59" s="795"/>
      <c r="G59" s="809"/>
      <c r="H59" s="846"/>
      <c r="I59" s="846"/>
      <c r="J59" s="846"/>
      <c r="K59" s="846"/>
      <c r="L59" s="846"/>
      <c r="M59" s="846"/>
      <c r="N59" s="846"/>
      <c r="O59" s="846"/>
      <c r="P59" s="846"/>
      <c r="Q59" s="846"/>
      <c r="R59" s="846"/>
      <c r="S59" s="846"/>
      <c r="T59" s="846"/>
      <c r="U59" s="846"/>
      <c r="V59" s="846"/>
      <c r="W59" s="846"/>
      <c r="X59" s="846"/>
      <c r="Y59" s="846"/>
      <c r="Z59" s="846"/>
      <c r="AA59" s="846"/>
      <c r="AB59" s="846"/>
      <c r="AC59" s="846"/>
      <c r="AD59" s="846"/>
      <c r="AE59" s="846"/>
      <c r="AF59" s="846"/>
      <c r="AG59" s="846"/>
      <c r="AH59" s="846"/>
      <c r="AI59" s="846"/>
      <c r="AJ59" s="846"/>
      <c r="AK59" s="846"/>
      <c r="AL59" s="846"/>
      <c r="AM59" s="846"/>
      <c r="AN59" s="846"/>
      <c r="AO59" s="846"/>
      <c r="AP59" s="846"/>
      <c r="AQ59" s="846"/>
      <c r="AR59" s="846"/>
      <c r="AS59" s="846"/>
      <c r="AT59" s="846"/>
      <c r="AU59" s="846"/>
      <c r="AV59" s="846"/>
      <c r="AW59" s="846"/>
      <c r="AX59" s="846"/>
    </row>
    <row r="60" spans="1:50">
      <c r="A60" s="838"/>
      <c r="B60" s="841"/>
      <c r="C60" s="798"/>
      <c r="D60" s="838"/>
      <c r="E60" s="798"/>
      <c r="F60" s="838"/>
      <c r="G60" s="798"/>
      <c r="H60" s="838"/>
      <c r="I60" s="838"/>
      <c r="J60" s="838"/>
      <c r="K60" s="838"/>
      <c r="L60" s="838"/>
      <c r="M60" s="838"/>
      <c r="N60" s="838"/>
      <c r="O60" s="838"/>
      <c r="P60" s="838"/>
      <c r="Q60" s="838"/>
      <c r="R60" s="838"/>
      <c r="S60" s="838"/>
      <c r="T60" s="838"/>
      <c r="U60" s="838"/>
      <c r="V60" s="838"/>
      <c r="W60" s="838"/>
      <c r="X60" s="838"/>
      <c r="Y60" s="838"/>
      <c r="Z60" s="838"/>
      <c r="AA60" s="838"/>
      <c r="AB60" s="838"/>
      <c r="AC60" s="838"/>
      <c r="AD60" s="838"/>
      <c r="AE60" s="838"/>
      <c r="AF60" s="838"/>
      <c r="AG60" s="838"/>
      <c r="AH60" s="838"/>
      <c r="AI60" s="838"/>
      <c r="AJ60" s="838"/>
      <c r="AK60" s="838"/>
      <c r="AL60" s="838"/>
      <c r="AM60" s="838"/>
      <c r="AN60" s="838"/>
      <c r="AO60" s="838"/>
      <c r="AP60" s="838"/>
      <c r="AQ60" s="838"/>
      <c r="AR60" s="838"/>
      <c r="AS60" s="838"/>
      <c r="AT60" s="838"/>
      <c r="AU60" s="838"/>
      <c r="AV60" s="838"/>
      <c r="AW60" s="838"/>
      <c r="AX60" s="838"/>
    </row>
    <row r="61" spans="1:50">
      <c r="A61" s="838"/>
      <c r="B61" s="841"/>
      <c r="C61" s="798"/>
      <c r="D61" s="838"/>
      <c r="E61" s="798"/>
      <c r="F61" s="838"/>
      <c r="G61" s="798"/>
      <c r="H61" s="838"/>
      <c r="I61" s="838"/>
      <c r="J61" s="838"/>
      <c r="K61" s="838"/>
      <c r="L61" s="838"/>
      <c r="M61" s="838"/>
      <c r="N61" s="838"/>
      <c r="O61" s="838"/>
      <c r="P61" s="838"/>
      <c r="Q61" s="838"/>
      <c r="R61" s="838"/>
      <c r="S61" s="838"/>
      <c r="T61" s="838"/>
      <c r="U61" s="838"/>
      <c r="V61" s="838"/>
      <c r="W61" s="838"/>
      <c r="X61" s="838"/>
      <c r="Y61" s="838"/>
      <c r="Z61" s="838"/>
      <c r="AA61" s="838"/>
      <c r="AB61" s="838"/>
      <c r="AC61" s="838"/>
      <c r="AD61" s="838"/>
      <c r="AE61" s="838"/>
      <c r="AF61" s="838"/>
      <c r="AG61" s="838"/>
      <c r="AH61" s="838"/>
      <c r="AI61" s="838"/>
      <c r="AJ61" s="838"/>
      <c r="AK61" s="838"/>
      <c r="AL61" s="838"/>
      <c r="AM61" s="838"/>
      <c r="AN61" s="838"/>
      <c r="AO61" s="838"/>
      <c r="AP61" s="838"/>
      <c r="AQ61" s="838"/>
      <c r="AR61" s="838"/>
      <c r="AS61" s="838"/>
      <c r="AT61" s="838"/>
      <c r="AU61" s="838"/>
      <c r="AV61" s="838"/>
      <c r="AW61" s="838"/>
      <c r="AX61" s="838"/>
    </row>
    <row r="62" spans="1:50">
      <c r="A62" s="838"/>
      <c r="B62" s="841"/>
      <c r="C62" s="798"/>
      <c r="D62" s="838"/>
      <c r="E62" s="798"/>
      <c r="F62" s="838"/>
      <c r="G62" s="798"/>
      <c r="H62" s="838"/>
      <c r="I62" s="838"/>
      <c r="J62" s="838"/>
      <c r="K62" s="838"/>
      <c r="L62" s="838"/>
      <c r="M62" s="838"/>
      <c r="N62" s="838"/>
      <c r="O62" s="838"/>
      <c r="P62" s="838"/>
      <c r="Q62" s="838"/>
      <c r="R62" s="838"/>
      <c r="S62" s="838"/>
      <c r="T62" s="838"/>
      <c r="U62" s="838"/>
      <c r="V62" s="838"/>
      <c r="W62" s="838"/>
      <c r="X62" s="838"/>
      <c r="Y62" s="838"/>
      <c r="Z62" s="838"/>
      <c r="AA62" s="838"/>
      <c r="AB62" s="838"/>
      <c r="AC62" s="838"/>
      <c r="AD62" s="838"/>
      <c r="AE62" s="838"/>
      <c r="AF62" s="838"/>
      <c r="AG62" s="838"/>
      <c r="AH62" s="838"/>
      <c r="AI62" s="838"/>
      <c r="AJ62" s="838"/>
      <c r="AK62" s="838"/>
      <c r="AL62" s="838"/>
      <c r="AM62" s="838"/>
      <c r="AN62" s="838"/>
      <c r="AO62" s="838"/>
      <c r="AP62" s="838"/>
      <c r="AQ62" s="838"/>
      <c r="AR62" s="838"/>
      <c r="AS62" s="838"/>
      <c r="AT62" s="838"/>
      <c r="AU62" s="838"/>
      <c r="AV62" s="838"/>
      <c r="AW62" s="838"/>
      <c r="AX62" s="838"/>
    </row>
    <row r="63" spans="1:50">
      <c r="A63" s="838"/>
      <c r="B63" s="841"/>
      <c r="C63" s="798"/>
      <c r="D63" s="838"/>
      <c r="E63" s="798"/>
      <c r="F63" s="838"/>
      <c r="G63" s="798"/>
      <c r="H63" s="838"/>
      <c r="I63" s="838"/>
      <c r="J63" s="838"/>
      <c r="K63" s="838"/>
      <c r="L63" s="838"/>
      <c r="M63" s="838"/>
      <c r="N63" s="838"/>
      <c r="O63" s="838"/>
      <c r="P63" s="838"/>
      <c r="Q63" s="838"/>
      <c r="R63" s="838"/>
      <c r="S63" s="838"/>
      <c r="T63" s="838"/>
      <c r="U63" s="838"/>
      <c r="V63" s="838"/>
      <c r="W63" s="838"/>
      <c r="X63" s="838"/>
      <c r="Y63" s="838"/>
      <c r="Z63" s="838"/>
      <c r="AA63" s="838"/>
      <c r="AB63" s="838"/>
      <c r="AC63" s="838"/>
      <c r="AD63" s="838"/>
      <c r="AE63" s="838"/>
      <c r="AF63" s="838"/>
      <c r="AG63" s="838"/>
      <c r="AH63" s="838"/>
      <c r="AI63" s="838"/>
      <c r="AJ63" s="838"/>
      <c r="AK63" s="838"/>
      <c r="AL63" s="838"/>
      <c r="AM63" s="838"/>
      <c r="AN63" s="838"/>
      <c r="AO63" s="838"/>
      <c r="AP63" s="838"/>
      <c r="AQ63" s="838"/>
      <c r="AR63" s="838"/>
      <c r="AS63" s="838"/>
      <c r="AT63" s="838"/>
      <c r="AU63" s="838"/>
      <c r="AV63" s="838"/>
      <c r="AW63" s="838"/>
      <c r="AX63" s="838"/>
    </row>
    <row r="64" spans="1:50">
      <c r="A64" s="838"/>
      <c r="B64" s="841"/>
      <c r="C64" s="798"/>
      <c r="D64" s="838"/>
      <c r="E64" s="798"/>
      <c r="F64" s="838"/>
      <c r="G64" s="798"/>
      <c r="H64" s="838"/>
      <c r="I64" s="838"/>
      <c r="J64" s="838"/>
      <c r="K64" s="838"/>
      <c r="L64" s="838"/>
      <c r="M64" s="838"/>
      <c r="N64" s="838"/>
      <c r="O64" s="838"/>
      <c r="P64" s="838"/>
      <c r="Q64" s="838"/>
      <c r="R64" s="838"/>
      <c r="S64" s="838"/>
      <c r="T64" s="838"/>
      <c r="U64" s="838"/>
      <c r="V64" s="838"/>
      <c r="W64" s="838"/>
      <c r="X64" s="838"/>
      <c r="Y64" s="838"/>
      <c r="Z64" s="838"/>
      <c r="AA64" s="838"/>
      <c r="AB64" s="838"/>
      <c r="AC64" s="838"/>
      <c r="AD64" s="838"/>
      <c r="AE64" s="838"/>
      <c r="AF64" s="838"/>
      <c r="AG64" s="838"/>
      <c r="AH64" s="838"/>
      <c r="AI64" s="838"/>
      <c r="AJ64" s="838"/>
      <c r="AK64" s="838"/>
      <c r="AL64" s="838"/>
      <c r="AM64" s="838"/>
      <c r="AN64" s="838"/>
      <c r="AO64" s="838"/>
      <c r="AP64" s="838"/>
      <c r="AQ64" s="838"/>
      <c r="AR64" s="838"/>
      <c r="AS64" s="838"/>
      <c r="AT64" s="838"/>
      <c r="AU64" s="838"/>
      <c r="AV64" s="838"/>
      <c r="AW64" s="838"/>
      <c r="AX64" s="838"/>
    </row>
    <row r="65" spans="1:50">
      <c r="A65" s="1318"/>
      <c r="B65" s="1326"/>
      <c r="C65" s="1328"/>
      <c r="D65" s="1330"/>
      <c r="E65" s="1328"/>
      <c r="F65" s="1330"/>
      <c r="G65" s="1328"/>
      <c r="H65" s="1318"/>
      <c r="I65" s="1318"/>
      <c r="J65" s="1318"/>
      <c r="K65" s="1318"/>
      <c r="L65" s="1318"/>
      <c r="M65" s="1318"/>
      <c r="N65" s="1318"/>
      <c r="O65" s="1318"/>
      <c r="P65" s="1318"/>
      <c r="Q65" s="1318"/>
      <c r="R65" s="842"/>
      <c r="S65" s="842"/>
      <c r="T65" s="1318"/>
      <c r="U65" s="1318"/>
      <c r="V65" s="1318"/>
      <c r="W65" s="1318"/>
      <c r="X65" s="1318"/>
      <c r="Y65" s="1318"/>
      <c r="Z65" s="1318"/>
      <c r="AA65" s="1318"/>
      <c r="AB65" s="1318"/>
      <c r="AC65" s="1318"/>
      <c r="AD65" s="1318"/>
      <c r="AE65" s="1318"/>
      <c r="AF65" s="1318"/>
      <c r="AG65" s="1318"/>
      <c r="AH65" s="1318"/>
      <c r="AI65" s="1318"/>
      <c r="AJ65" s="1318"/>
      <c r="AK65" s="1318"/>
      <c r="AL65" s="1318"/>
      <c r="AM65" s="1318"/>
      <c r="AN65" s="1318"/>
      <c r="AO65" s="1318"/>
      <c r="AP65" s="1318"/>
      <c r="AQ65" s="1318"/>
      <c r="AR65" s="1318"/>
      <c r="AS65" s="842"/>
      <c r="AT65" s="1318"/>
      <c r="AU65" s="1318"/>
      <c r="AV65" s="1318"/>
      <c r="AW65" s="1318"/>
      <c r="AX65" s="1318"/>
    </row>
    <row r="66" spans="1:50">
      <c r="A66" s="1319"/>
      <c r="B66" s="1327"/>
      <c r="C66" s="1329"/>
      <c r="D66" s="1331"/>
      <c r="E66" s="1329"/>
      <c r="F66" s="1331"/>
      <c r="G66" s="1329"/>
      <c r="H66" s="1319"/>
      <c r="I66" s="1319"/>
      <c r="J66" s="1319"/>
      <c r="K66" s="1319"/>
      <c r="L66" s="1319"/>
      <c r="M66" s="1319"/>
      <c r="N66" s="1319"/>
      <c r="O66" s="1319"/>
      <c r="P66" s="1319"/>
      <c r="Q66" s="1319"/>
      <c r="R66" s="846"/>
      <c r="S66" s="846"/>
      <c r="T66" s="1319"/>
      <c r="U66" s="1319"/>
      <c r="V66" s="1319"/>
      <c r="W66" s="1319"/>
      <c r="X66" s="1319"/>
      <c r="Y66" s="1319"/>
      <c r="Z66" s="1319"/>
      <c r="AA66" s="1319"/>
      <c r="AB66" s="1319"/>
      <c r="AC66" s="1319"/>
      <c r="AD66" s="1319"/>
      <c r="AE66" s="1319"/>
      <c r="AF66" s="1319"/>
      <c r="AG66" s="1319"/>
      <c r="AH66" s="1319"/>
      <c r="AI66" s="1319"/>
      <c r="AJ66" s="1319"/>
      <c r="AK66" s="1319"/>
      <c r="AL66" s="1319"/>
      <c r="AM66" s="1319"/>
      <c r="AN66" s="1319"/>
      <c r="AO66" s="1319"/>
      <c r="AP66" s="1319"/>
      <c r="AQ66" s="1319"/>
      <c r="AR66" s="1319"/>
      <c r="AS66" s="846"/>
      <c r="AT66" s="1319"/>
      <c r="AU66" s="1319"/>
      <c r="AV66" s="1319"/>
      <c r="AW66" s="1319"/>
      <c r="AX66" s="1319"/>
    </row>
    <row r="67" spans="1:50">
      <c r="A67" s="838"/>
      <c r="B67" s="841"/>
      <c r="C67" s="798"/>
      <c r="D67" s="838"/>
      <c r="E67" s="798"/>
      <c r="F67" s="838"/>
      <c r="G67" s="798"/>
      <c r="H67" s="838"/>
      <c r="I67" s="838"/>
      <c r="J67" s="838"/>
      <c r="K67" s="838"/>
      <c r="L67" s="838"/>
      <c r="M67" s="838"/>
      <c r="N67" s="838"/>
      <c r="O67" s="838"/>
      <c r="P67" s="838"/>
      <c r="Q67" s="838"/>
      <c r="R67" s="838"/>
      <c r="S67" s="838"/>
      <c r="T67" s="838"/>
      <c r="U67" s="838"/>
      <c r="V67" s="838"/>
      <c r="W67" s="838"/>
      <c r="X67" s="838"/>
      <c r="Y67" s="838"/>
      <c r="Z67" s="838"/>
      <c r="AA67" s="838"/>
      <c r="AB67" s="838"/>
      <c r="AC67" s="838"/>
      <c r="AD67" s="838"/>
      <c r="AE67" s="838"/>
      <c r="AF67" s="838"/>
      <c r="AG67" s="838"/>
      <c r="AH67" s="838"/>
      <c r="AI67" s="838"/>
      <c r="AJ67" s="838"/>
      <c r="AK67" s="838"/>
      <c r="AL67" s="838"/>
      <c r="AM67" s="838"/>
      <c r="AN67" s="838"/>
      <c r="AO67" s="838"/>
      <c r="AP67" s="838"/>
      <c r="AQ67" s="838"/>
      <c r="AR67" s="838"/>
      <c r="AS67" s="838"/>
      <c r="AT67" s="838"/>
      <c r="AU67" s="838"/>
      <c r="AV67" s="838"/>
      <c r="AW67" s="838"/>
      <c r="AX67" s="838"/>
    </row>
    <row r="68" spans="1:50">
      <c r="A68" s="838"/>
      <c r="B68" s="841"/>
      <c r="C68" s="798"/>
      <c r="D68" s="838"/>
      <c r="E68" s="798"/>
      <c r="F68" s="838"/>
      <c r="G68" s="798"/>
      <c r="H68" s="838"/>
      <c r="I68" s="838"/>
      <c r="J68" s="838"/>
      <c r="K68" s="838"/>
      <c r="L68" s="838"/>
      <c r="M68" s="838"/>
      <c r="N68" s="838"/>
      <c r="O68" s="838"/>
      <c r="P68" s="838"/>
      <c r="Q68" s="838"/>
      <c r="R68" s="838"/>
      <c r="S68" s="838"/>
      <c r="T68" s="838"/>
      <c r="U68" s="838"/>
      <c r="V68" s="838"/>
      <c r="W68" s="838"/>
      <c r="X68" s="838"/>
      <c r="Y68" s="838"/>
      <c r="Z68" s="838"/>
      <c r="AA68" s="838"/>
      <c r="AB68" s="838"/>
      <c r="AC68" s="838"/>
      <c r="AD68" s="838"/>
      <c r="AE68" s="838"/>
      <c r="AF68" s="838"/>
      <c r="AG68" s="838"/>
      <c r="AH68" s="838"/>
      <c r="AI68" s="838"/>
      <c r="AJ68" s="838"/>
      <c r="AK68" s="838"/>
      <c r="AL68" s="838"/>
      <c r="AM68" s="838"/>
      <c r="AN68" s="838"/>
      <c r="AO68" s="838"/>
      <c r="AP68" s="838"/>
      <c r="AQ68" s="838"/>
      <c r="AR68" s="838"/>
      <c r="AS68" s="838"/>
      <c r="AT68" s="838"/>
      <c r="AU68" s="838"/>
      <c r="AV68" s="838"/>
      <c r="AW68" s="838"/>
      <c r="AX68" s="838"/>
    </row>
    <row r="69" spans="1:50">
      <c r="A69" s="838"/>
      <c r="B69" s="841"/>
      <c r="C69" s="798"/>
      <c r="D69" s="838"/>
      <c r="E69" s="798"/>
      <c r="F69" s="838"/>
      <c r="G69" s="798"/>
      <c r="H69" s="838"/>
      <c r="I69" s="838"/>
      <c r="J69" s="838"/>
      <c r="K69" s="838"/>
      <c r="L69" s="838"/>
      <c r="M69" s="838"/>
      <c r="N69" s="838"/>
      <c r="O69" s="838"/>
      <c r="P69" s="838"/>
      <c r="Q69" s="838"/>
      <c r="R69" s="838"/>
      <c r="S69" s="838"/>
      <c r="T69" s="838"/>
      <c r="U69" s="838"/>
      <c r="V69" s="838"/>
      <c r="W69" s="838"/>
      <c r="X69" s="838"/>
      <c r="Y69" s="838"/>
      <c r="Z69" s="838"/>
      <c r="AA69" s="838"/>
      <c r="AB69" s="838"/>
      <c r="AC69" s="838"/>
      <c r="AD69" s="838"/>
      <c r="AE69" s="838"/>
      <c r="AF69" s="838"/>
      <c r="AG69" s="838"/>
      <c r="AH69" s="838"/>
      <c r="AI69" s="838"/>
      <c r="AJ69" s="838"/>
      <c r="AK69" s="838"/>
      <c r="AL69" s="838"/>
      <c r="AM69" s="838"/>
      <c r="AN69" s="838"/>
      <c r="AO69" s="838"/>
      <c r="AP69" s="838"/>
      <c r="AQ69" s="838"/>
      <c r="AR69" s="838"/>
      <c r="AS69" s="838"/>
      <c r="AT69" s="838"/>
      <c r="AU69" s="838"/>
      <c r="AV69" s="838"/>
      <c r="AW69" s="838"/>
      <c r="AX69" s="838"/>
    </row>
    <row r="70" spans="1:50">
      <c r="A70" s="838"/>
      <c r="B70" s="841"/>
      <c r="C70" s="798"/>
      <c r="D70" s="838"/>
      <c r="E70" s="798"/>
      <c r="F70" s="838"/>
      <c r="G70" s="798"/>
      <c r="H70" s="838"/>
      <c r="I70" s="838"/>
      <c r="J70" s="838"/>
      <c r="K70" s="838"/>
      <c r="L70" s="838"/>
      <c r="M70" s="838"/>
      <c r="N70" s="838"/>
      <c r="O70" s="838"/>
      <c r="P70" s="838"/>
      <c r="Q70" s="838"/>
      <c r="R70" s="838"/>
      <c r="S70" s="838"/>
      <c r="T70" s="838"/>
      <c r="U70" s="838"/>
      <c r="V70" s="838"/>
      <c r="W70" s="838"/>
      <c r="X70" s="838"/>
      <c r="Y70" s="838"/>
      <c r="Z70" s="838"/>
      <c r="AA70" s="838"/>
      <c r="AB70" s="838"/>
      <c r="AC70" s="838"/>
      <c r="AD70" s="838"/>
      <c r="AE70" s="838"/>
      <c r="AF70" s="838"/>
      <c r="AG70" s="838"/>
      <c r="AH70" s="838"/>
      <c r="AI70" s="838"/>
      <c r="AJ70" s="838"/>
      <c r="AK70" s="838"/>
      <c r="AL70" s="838"/>
      <c r="AM70" s="838"/>
      <c r="AN70" s="838"/>
      <c r="AO70" s="838"/>
      <c r="AP70" s="838"/>
      <c r="AQ70" s="838"/>
      <c r="AR70" s="838"/>
      <c r="AS70" s="838"/>
      <c r="AT70" s="838"/>
      <c r="AU70" s="838"/>
      <c r="AV70" s="838"/>
      <c r="AW70" s="838"/>
      <c r="AX70" s="838"/>
    </row>
    <row r="71" spans="1:50">
      <c r="A71" s="838"/>
      <c r="B71" s="841"/>
      <c r="C71" s="798"/>
      <c r="D71" s="838"/>
      <c r="E71" s="798"/>
      <c r="F71" s="838"/>
      <c r="G71" s="798"/>
      <c r="H71" s="838"/>
      <c r="I71" s="838"/>
      <c r="J71" s="838"/>
      <c r="K71" s="838"/>
      <c r="L71" s="838"/>
      <c r="M71" s="838"/>
      <c r="N71" s="838"/>
      <c r="O71" s="838"/>
      <c r="P71" s="838"/>
      <c r="Q71" s="838"/>
      <c r="R71" s="838"/>
      <c r="S71" s="838"/>
      <c r="T71" s="838"/>
      <c r="U71" s="838"/>
      <c r="V71" s="838"/>
      <c r="W71" s="838"/>
      <c r="X71" s="838"/>
      <c r="Y71" s="838"/>
      <c r="Z71" s="838"/>
      <c r="AA71" s="838"/>
      <c r="AB71" s="838"/>
      <c r="AC71" s="838"/>
      <c r="AD71" s="838"/>
      <c r="AE71" s="838"/>
      <c r="AF71" s="838"/>
      <c r="AG71" s="838"/>
      <c r="AH71" s="838"/>
      <c r="AI71" s="838"/>
      <c r="AJ71" s="838"/>
      <c r="AK71" s="838"/>
      <c r="AL71" s="838"/>
      <c r="AM71" s="838"/>
      <c r="AN71" s="838"/>
      <c r="AO71" s="838"/>
      <c r="AP71" s="838"/>
      <c r="AQ71" s="838"/>
      <c r="AR71" s="838"/>
      <c r="AS71" s="838"/>
      <c r="AT71" s="838"/>
      <c r="AU71" s="838"/>
      <c r="AV71" s="838"/>
      <c r="AW71" s="838"/>
      <c r="AX71" s="838"/>
    </row>
    <row r="72" spans="1:50">
      <c r="A72" s="838"/>
      <c r="B72" s="841"/>
      <c r="C72" s="798"/>
      <c r="D72" s="838"/>
      <c r="E72" s="798"/>
      <c r="F72" s="838"/>
      <c r="G72" s="798"/>
      <c r="H72" s="838"/>
      <c r="I72" s="838"/>
      <c r="J72" s="838"/>
      <c r="K72" s="838"/>
      <c r="L72" s="838"/>
      <c r="M72" s="838"/>
      <c r="N72" s="838"/>
      <c r="O72" s="838"/>
      <c r="P72" s="838"/>
      <c r="Q72" s="838"/>
      <c r="R72" s="838"/>
      <c r="S72" s="838"/>
      <c r="T72" s="838"/>
      <c r="U72" s="838"/>
      <c r="V72" s="838"/>
      <c r="W72" s="838"/>
      <c r="X72" s="838"/>
      <c r="Y72" s="838"/>
      <c r="Z72" s="838"/>
      <c r="AA72" s="838"/>
      <c r="AB72" s="838"/>
      <c r="AC72" s="838"/>
      <c r="AD72" s="838"/>
      <c r="AE72" s="838"/>
      <c r="AF72" s="838"/>
      <c r="AG72" s="838"/>
      <c r="AH72" s="838"/>
      <c r="AI72" s="838"/>
      <c r="AJ72" s="838"/>
      <c r="AK72" s="838"/>
      <c r="AL72" s="838"/>
      <c r="AM72" s="838"/>
      <c r="AN72" s="838"/>
      <c r="AO72" s="838"/>
      <c r="AP72" s="838"/>
      <c r="AQ72" s="838"/>
      <c r="AR72" s="838"/>
      <c r="AS72" s="838"/>
      <c r="AT72" s="838"/>
      <c r="AU72" s="838"/>
      <c r="AV72" s="838"/>
      <c r="AW72" s="838"/>
      <c r="AX72" s="838"/>
    </row>
    <row r="73" spans="1:50">
      <c r="A73" s="838"/>
      <c r="B73" s="841"/>
      <c r="C73" s="798"/>
      <c r="D73" s="838"/>
      <c r="E73" s="798"/>
      <c r="F73" s="838"/>
      <c r="G73" s="798"/>
      <c r="H73" s="838"/>
      <c r="I73" s="838"/>
      <c r="J73" s="838"/>
      <c r="K73" s="838"/>
      <c r="L73" s="838"/>
      <c r="M73" s="838"/>
      <c r="N73" s="838"/>
      <c r="O73" s="838"/>
      <c r="P73" s="838"/>
      <c r="Q73" s="838"/>
      <c r="R73" s="838"/>
      <c r="S73" s="838"/>
      <c r="T73" s="838"/>
      <c r="U73" s="838"/>
      <c r="V73" s="838"/>
      <c r="W73" s="838"/>
      <c r="X73" s="838"/>
      <c r="Y73" s="838"/>
      <c r="Z73" s="838"/>
      <c r="AA73" s="838"/>
      <c r="AB73" s="838"/>
      <c r="AC73" s="838"/>
      <c r="AD73" s="838"/>
      <c r="AE73" s="838"/>
      <c r="AF73" s="838"/>
      <c r="AG73" s="838"/>
      <c r="AH73" s="838"/>
      <c r="AI73" s="838"/>
      <c r="AJ73" s="838"/>
      <c r="AK73" s="838"/>
      <c r="AL73" s="838"/>
      <c r="AM73" s="838"/>
      <c r="AN73" s="838"/>
      <c r="AO73" s="838"/>
      <c r="AP73" s="838"/>
      <c r="AQ73" s="838"/>
      <c r="AR73" s="838"/>
      <c r="AS73" s="838"/>
      <c r="AT73" s="838"/>
      <c r="AU73" s="838"/>
      <c r="AV73" s="838"/>
      <c r="AW73" s="838"/>
      <c r="AX73" s="838"/>
    </row>
    <row r="74" spans="1:50">
      <c r="A74" s="838"/>
      <c r="B74" s="841"/>
      <c r="C74" s="798"/>
      <c r="D74" s="838"/>
      <c r="E74" s="798"/>
      <c r="F74" s="838"/>
      <c r="G74" s="798"/>
      <c r="H74" s="838"/>
      <c r="I74" s="838"/>
      <c r="J74" s="838"/>
      <c r="K74" s="838"/>
      <c r="L74" s="838"/>
      <c r="M74" s="838"/>
      <c r="N74" s="838"/>
      <c r="O74" s="838"/>
      <c r="P74" s="838"/>
      <c r="Q74" s="838"/>
      <c r="R74" s="838"/>
      <c r="S74" s="838"/>
      <c r="T74" s="838"/>
      <c r="U74" s="838"/>
      <c r="V74" s="838"/>
      <c r="W74" s="838"/>
      <c r="X74" s="838"/>
      <c r="Y74" s="838"/>
      <c r="Z74" s="838"/>
      <c r="AA74" s="838"/>
      <c r="AB74" s="838"/>
      <c r="AC74" s="838"/>
      <c r="AD74" s="838"/>
      <c r="AE74" s="838"/>
      <c r="AF74" s="838"/>
      <c r="AG74" s="838"/>
      <c r="AH74" s="838"/>
      <c r="AI74" s="838"/>
      <c r="AJ74" s="838"/>
      <c r="AK74" s="838"/>
      <c r="AL74" s="838"/>
      <c r="AM74" s="838"/>
      <c r="AN74" s="838"/>
      <c r="AO74" s="838"/>
      <c r="AP74" s="838"/>
      <c r="AQ74" s="838"/>
      <c r="AR74" s="838"/>
      <c r="AS74" s="838"/>
      <c r="AT74" s="838"/>
      <c r="AU74" s="838"/>
      <c r="AV74" s="838"/>
      <c r="AW74" s="838"/>
      <c r="AX74" s="838"/>
    </row>
    <row r="75" spans="1:50">
      <c r="A75" s="838"/>
      <c r="B75" s="841"/>
      <c r="C75" s="798"/>
      <c r="D75" s="838"/>
      <c r="E75" s="798"/>
      <c r="F75" s="838"/>
      <c r="G75" s="798"/>
      <c r="H75" s="838"/>
      <c r="I75" s="838"/>
      <c r="J75" s="838"/>
      <c r="K75" s="838"/>
      <c r="L75" s="838"/>
      <c r="M75" s="838"/>
      <c r="N75" s="838"/>
      <c r="O75" s="838"/>
      <c r="P75" s="838"/>
      <c r="Q75" s="838"/>
      <c r="R75" s="838"/>
      <c r="S75" s="838"/>
      <c r="T75" s="838"/>
      <c r="U75" s="838"/>
      <c r="V75" s="838"/>
      <c r="W75" s="838"/>
      <c r="X75" s="838"/>
      <c r="Y75" s="838"/>
      <c r="Z75" s="838"/>
      <c r="AA75" s="838"/>
      <c r="AB75" s="838"/>
      <c r="AC75" s="838"/>
      <c r="AD75" s="838"/>
      <c r="AE75" s="838"/>
      <c r="AF75" s="838"/>
      <c r="AG75" s="838"/>
      <c r="AH75" s="838"/>
      <c r="AI75" s="838"/>
      <c r="AJ75" s="838"/>
      <c r="AK75" s="838"/>
      <c r="AL75" s="838"/>
      <c r="AM75" s="838"/>
      <c r="AN75" s="838"/>
      <c r="AO75" s="838"/>
      <c r="AP75" s="838"/>
      <c r="AQ75" s="838"/>
      <c r="AR75" s="838"/>
      <c r="AS75" s="838"/>
      <c r="AT75" s="838"/>
      <c r="AU75" s="838"/>
      <c r="AV75" s="838"/>
      <c r="AW75" s="838"/>
      <c r="AX75" s="838"/>
    </row>
    <row r="76" spans="1:50">
      <c r="A76" s="842"/>
      <c r="B76" s="848"/>
      <c r="C76" s="798"/>
      <c r="D76" s="842"/>
      <c r="E76" s="798"/>
      <c r="F76" s="842"/>
      <c r="G76" s="798"/>
      <c r="H76" s="842"/>
      <c r="I76" s="842"/>
      <c r="J76" s="842"/>
      <c r="K76" s="842"/>
      <c r="L76" s="842"/>
      <c r="M76" s="842"/>
      <c r="N76" s="842"/>
      <c r="O76" s="842"/>
      <c r="P76" s="842"/>
      <c r="Q76" s="842"/>
      <c r="R76" s="842"/>
      <c r="S76" s="842"/>
      <c r="T76" s="842"/>
      <c r="U76" s="842"/>
      <c r="V76" s="842"/>
      <c r="W76" s="842"/>
      <c r="X76" s="842"/>
      <c r="Y76" s="842"/>
      <c r="Z76" s="842"/>
      <c r="AA76" s="842"/>
      <c r="AB76" s="842"/>
      <c r="AC76" s="842"/>
      <c r="AD76" s="842"/>
      <c r="AE76" s="842"/>
      <c r="AF76" s="842"/>
      <c r="AG76" s="842"/>
      <c r="AH76" s="842"/>
      <c r="AI76" s="842"/>
      <c r="AJ76" s="842"/>
      <c r="AK76" s="842"/>
      <c r="AL76" s="842"/>
      <c r="AM76" s="842"/>
      <c r="AN76" s="842"/>
      <c r="AO76" s="842"/>
      <c r="AP76" s="842"/>
      <c r="AQ76" s="842"/>
      <c r="AR76" s="842"/>
      <c r="AS76" s="842"/>
      <c r="AT76" s="842"/>
      <c r="AU76" s="842"/>
      <c r="AV76" s="842"/>
      <c r="AW76" s="842"/>
      <c r="AX76" s="842"/>
    </row>
    <row r="77" spans="1:50">
      <c r="A77" s="843"/>
      <c r="B77" s="844"/>
      <c r="C77" s="845"/>
      <c r="D77" s="845"/>
      <c r="E77" s="845"/>
      <c r="F77" s="843"/>
      <c r="G77" s="845"/>
      <c r="H77" s="843"/>
      <c r="I77" s="843"/>
      <c r="J77" s="843"/>
      <c r="K77" s="843"/>
      <c r="L77" s="843"/>
      <c r="M77" s="843"/>
      <c r="N77" s="843"/>
      <c r="O77" s="843"/>
      <c r="P77" s="843"/>
      <c r="Q77" s="843"/>
      <c r="R77" s="843"/>
      <c r="S77" s="843"/>
      <c r="T77" s="843"/>
      <c r="U77" s="843"/>
      <c r="V77" s="843"/>
      <c r="W77" s="843"/>
      <c r="X77" s="843"/>
      <c r="Y77" s="843"/>
      <c r="Z77" s="843"/>
      <c r="AA77" s="843"/>
      <c r="AB77" s="843"/>
      <c r="AC77" s="843"/>
      <c r="AD77" s="843"/>
      <c r="AE77" s="843"/>
      <c r="AF77" s="843"/>
      <c r="AG77" s="843"/>
      <c r="AH77" s="843"/>
      <c r="AI77" s="843"/>
      <c r="AJ77" s="843"/>
      <c r="AK77" s="843"/>
      <c r="AL77" s="843"/>
      <c r="AM77" s="843"/>
      <c r="AN77" s="843"/>
      <c r="AO77" s="843"/>
      <c r="AP77" s="843"/>
      <c r="AQ77" s="843"/>
      <c r="AR77" s="843"/>
      <c r="AS77" s="843"/>
      <c r="AT77" s="843"/>
      <c r="AU77" s="843"/>
      <c r="AV77" s="843"/>
      <c r="AW77" s="843"/>
      <c r="AX77" s="843"/>
    </row>
    <row r="78" spans="1:50">
      <c r="A78" s="838"/>
      <c r="B78" s="841"/>
      <c r="C78" s="809"/>
      <c r="D78" s="846"/>
      <c r="E78" s="809"/>
      <c r="F78" s="846"/>
      <c r="G78" s="809"/>
      <c r="H78" s="838"/>
      <c r="I78" s="838"/>
      <c r="J78" s="838"/>
      <c r="K78" s="838"/>
      <c r="L78" s="838"/>
      <c r="M78" s="838"/>
      <c r="N78" s="838"/>
      <c r="O78" s="838"/>
      <c r="P78" s="838"/>
      <c r="Q78" s="838"/>
      <c r="R78" s="838"/>
      <c r="S78" s="838"/>
      <c r="T78" s="838"/>
      <c r="U78" s="838"/>
      <c r="V78" s="838"/>
      <c r="W78" s="838"/>
      <c r="X78" s="838"/>
      <c r="Y78" s="838"/>
      <c r="Z78" s="838"/>
      <c r="AA78" s="838"/>
      <c r="AB78" s="838"/>
      <c r="AC78" s="838"/>
      <c r="AD78" s="838"/>
      <c r="AE78" s="838"/>
      <c r="AF78" s="838"/>
      <c r="AG78" s="838"/>
      <c r="AH78" s="838"/>
      <c r="AI78" s="838"/>
      <c r="AJ78" s="838"/>
      <c r="AK78" s="838"/>
      <c r="AL78" s="838"/>
      <c r="AM78" s="838"/>
      <c r="AN78" s="838"/>
      <c r="AO78" s="838"/>
      <c r="AP78" s="838"/>
      <c r="AQ78" s="838"/>
      <c r="AR78" s="838"/>
      <c r="AS78" s="838"/>
      <c r="AT78" s="838"/>
      <c r="AU78" s="838"/>
      <c r="AV78" s="838"/>
      <c r="AW78" s="838"/>
      <c r="AX78" s="838"/>
    </row>
    <row r="79" spans="1:50">
      <c r="A79" s="842"/>
      <c r="B79" s="848"/>
      <c r="C79" s="798"/>
      <c r="D79" s="842"/>
      <c r="E79" s="798"/>
      <c r="F79" s="842"/>
      <c r="G79" s="798"/>
      <c r="H79" s="842"/>
      <c r="I79" s="842"/>
      <c r="J79" s="842"/>
      <c r="K79" s="842"/>
      <c r="L79" s="842"/>
      <c r="M79" s="842"/>
      <c r="N79" s="842"/>
      <c r="O79" s="842"/>
      <c r="P79" s="842"/>
      <c r="Q79" s="842"/>
      <c r="R79" s="842"/>
      <c r="S79" s="842"/>
      <c r="T79" s="842"/>
      <c r="U79" s="842"/>
      <c r="V79" s="842"/>
      <c r="W79" s="842"/>
      <c r="X79" s="842"/>
      <c r="Y79" s="842"/>
      <c r="Z79" s="842"/>
      <c r="AA79" s="842"/>
      <c r="AB79" s="842"/>
      <c r="AC79" s="842"/>
      <c r="AD79" s="842"/>
      <c r="AE79" s="842"/>
      <c r="AF79" s="842"/>
      <c r="AG79" s="842"/>
      <c r="AH79" s="842"/>
      <c r="AI79" s="842"/>
      <c r="AJ79" s="842"/>
      <c r="AK79" s="842"/>
      <c r="AL79" s="842"/>
      <c r="AM79" s="842"/>
      <c r="AN79" s="842"/>
      <c r="AO79" s="842"/>
      <c r="AP79" s="842"/>
      <c r="AQ79" s="842"/>
      <c r="AR79" s="842"/>
      <c r="AS79" s="842"/>
      <c r="AT79" s="842"/>
      <c r="AU79" s="842"/>
      <c r="AV79" s="842"/>
      <c r="AW79" s="842"/>
      <c r="AX79" s="842"/>
    </row>
    <row r="80" spans="1:50">
      <c r="A80" s="843"/>
      <c r="B80" s="844"/>
      <c r="C80" s="845"/>
      <c r="D80" s="843"/>
      <c r="E80" s="845"/>
      <c r="F80" s="843"/>
      <c r="G80" s="845"/>
      <c r="H80" s="843"/>
      <c r="I80" s="843"/>
      <c r="J80" s="843"/>
      <c r="K80" s="843"/>
      <c r="L80" s="843"/>
      <c r="M80" s="843"/>
      <c r="N80" s="843"/>
      <c r="O80" s="843"/>
      <c r="P80" s="843"/>
      <c r="Q80" s="843"/>
      <c r="R80" s="843"/>
      <c r="S80" s="843"/>
      <c r="T80" s="843"/>
      <c r="U80" s="843"/>
      <c r="V80" s="843"/>
      <c r="W80" s="843"/>
      <c r="X80" s="843"/>
      <c r="Y80" s="843"/>
      <c r="Z80" s="843"/>
      <c r="AA80" s="843"/>
      <c r="AB80" s="843"/>
      <c r="AC80" s="843"/>
      <c r="AD80" s="843"/>
      <c r="AE80" s="843"/>
      <c r="AF80" s="843"/>
      <c r="AG80" s="843"/>
      <c r="AH80" s="843"/>
      <c r="AI80" s="843"/>
      <c r="AJ80" s="843"/>
      <c r="AK80" s="843"/>
      <c r="AL80" s="843"/>
      <c r="AM80" s="843"/>
      <c r="AN80" s="843"/>
      <c r="AO80" s="843"/>
      <c r="AP80" s="843"/>
      <c r="AQ80" s="843"/>
      <c r="AR80" s="843"/>
      <c r="AS80" s="843"/>
      <c r="AT80" s="843"/>
      <c r="AU80" s="843"/>
      <c r="AV80" s="843"/>
      <c r="AW80" s="843"/>
      <c r="AX80" s="843"/>
    </row>
    <row r="81" spans="1:50">
      <c r="A81" s="849"/>
      <c r="B81" s="850"/>
      <c r="C81" s="809"/>
      <c r="D81" s="849"/>
      <c r="E81" s="809"/>
      <c r="F81" s="849"/>
      <c r="G81" s="809"/>
      <c r="H81" s="849"/>
      <c r="I81" s="849"/>
      <c r="J81" s="849"/>
      <c r="K81" s="849"/>
      <c r="L81" s="849"/>
      <c r="M81" s="849"/>
      <c r="N81" s="849"/>
      <c r="O81" s="849"/>
      <c r="P81" s="849"/>
      <c r="Q81" s="849"/>
      <c r="R81" s="849"/>
      <c r="S81" s="849"/>
      <c r="T81" s="849"/>
      <c r="U81" s="849"/>
      <c r="V81" s="849"/>
      <c r="W81" s="849"/>
      <c r="X81" s="849"/>
      <c r="Y81" s="849"/>
      <c r="Z81" s="849"/>
      <c r="AA81" s="849"/>
      <c r="AB81" s="849"/>
      <c r="AC81" s="849"/>
      <c r="AD81" s="849"/>
      <c r="AE81" s="849"/>
      <c r="AF81" s="849"/>
      <c r="AG81" s="849"/>
      <c r="AH81" s="849"/>
      <c r="AI81" s="849"/>
      <c r="AJ81" s="849"/>
      <c r="AK81" s="849"/>
      <c r="AL81" s="849"/>
      <c r="AM81" s="849"/>
      <c r="AN81" s="849"/>
      <c r="AO81" s="849"/>
      <c r="AP81" s="849"/>
      <c r="AQ81" s="849"/>
      <c r="AR81" s="849"/>
      <c r="AS81" s="849"/>
      <c r="AT81" s="849"/>
      <c r="AU81" s="849"/>
      <c r="AV81" s="849"/>
      <c r="AW81" s="849"/>
      <c r="AX81" s="849"/>
    </row>
    <row r="82" spans="1:50">
      <c r="A82" s="843"/>
      <c r="B82" s="844"/>
      <c r="C82" s="845"/>
      <c r="D82" s="843"/>
      <c r="E82" s="845"/>
      <c r="F82" s="843"/>
      <c r="G82" s="845"/>
      <c r="H82" s="843"/>
      <c r="I82" s="843"/>
      <c r="J82" s="843"/>
      <c r="K82" s="843"/>
      <c r="L82" s="843"/>
      <c r="M82" s="843"/>
      <c r="N82" s="843"/>
      <c r="O82" s="843"/>
      <c r="P82" s="843"/>
      <c r="Q82" s="843"/>
      <c r="R82" s="843"/>
      <c r="S82" s="843"/>
      <c r="T82" s="843"/>
      <c r="U82" s="843"/>
      <c r="V82" s="843"/>
      <c r="W82" s="843"/>
      <c r="X82" s="843"/>
      <c r="Y82" s="843"/>
      <c r="Z82" s="843"/>
      <c r="AA82" s="843"/>
      <c r="AB82" s="843"/>
      <c r="AC82" s="843"/>
      <c r="AD82" s="843"/>
      <c r="AE82" s="843"/>
      <c r="AF82" s="843"/>
      <c r="AG82" s="843"/>
      <c r="AH82" s="843"/>
      <c r="AI82" s="843"/>
      <c r="AJ82" s="843"/>
      <c r="AK82" s="843"/>
      <c r="AL82" s="843"/>
      <c r="AM82" s="843"/>
      <c r="AN82" s="843"/>
      <c r="AO82" s="843"/>
      <c r="AP82" s="843"/>
      <c r="AQ82" s="843"/>
      <c r="AR82" s="843"/>
      <c r="AS82" s="843"/>
      <c r="AT82" s="843"/>
      <c r="AU82" s="843"/>
      <c r="AV82" s="843"/>
      <c r="AW82" s="843"/>
      <c r="AX82" s="843"/>
    </row>
    <row r="83" spans="1:50">
      <c r="A83" s="846"/>
      <c r="B83" s="847"/>
      <c r="C83" s="809"/>
      <c r="D83" s="849"/>
      <c r="E83" s="809"/>
      <c r="F83" s="849"/>
      <c r="G83" s="809"/>
      <c r="H83" s="846"/>
      <c r="I83" s="846"/>
      <c r="J83" s="846"/>
      <c r="K83" s="846"/>
      <c r="L83" s="846"/>
      <c r="M83" s="846"/>
      <c r="N83" s="846"/>
      <c r="O83" s="846"/>
      <c r="P83" s="846"/>
      <c r="Q83" s="846"/>
      <c r="R83" s="846"/>
      <c r="S83" s="846"/>
      <c r="T83" s="846"/>
      <c r="U83" s="846"/>
      <c r="V83" s="846"/>
      <c r="W83" s="846"/>
      <c r="X83" s="846"/>
      <c r="Y83" s="846"/>
      <c r="Z83" s="846"/>
      <c r="AA83" s="846"/>
      <c r="AB83" s="846"/>
      <c r="AC83" s="846"/>
      <c r="AD83" s="846"/>
      <c r="AE83" s="846"/>
      <c r="AF83" s="846"/>
      <c r="AG83" s="846"/>
      <c r="AH83" s="846"/>
      <c r="AI83" s="846"/>
      <c r="AJ83" s="846"/>
      <c r="AK83" s="846"/>
      <c r="AL83" s="846"/>
      <c r="AM83" s="846"/>
      <c r="AN83" s="846"/>
      <c r="AO83" s="846"/>
      <c r="AP83" s="846"/>
      <c r="AQ83" s="846"/>
      <c r="AR83" s="846"/>
      <c r="AS83" s="846"/>
      <c r="AT83" s="846"/>
      <c r="AU83" s="846"/>
      <c r="AV83" s="846"/>
      <c r="AW83" s="846"/>
      <c r="AX83" s="846"/>
    </row>
    <row r="84" spans="1:50">
      <c r="A84" s="843"/>
      <c r="B84" s="844"/>
      <c r="C84" s="845"/>
      <c r="D84" s="845"/>
      <c r="E84" s="845"/>
      <c r="F84" s="843"/>
      <c r="G84" s="845"/>
      <c r="H84" s="843"/>
      <c r="I84" s="843"/>
      <c r="J84" s="843"/>
      <c r="K84" s="843"/>
      <c r="L84" s="843"/>
      <c r="M84" s="843"/>
      <c r="N84" s="843"/>
      <c r="O84" s="843"/>
      <c r="P84" s="843"/>
      <c r="Q84" s="843"/>
      <c r="R84" s="843"/>
      <c r="S84" s="843"/>
      <c r="T84" s="843"/>
      <c r="U84" s="843"/>
      <c r="V84" s="843"/>
      <c r="W84" s="843"/>
      <c r="X84" s="843"/>
      <c r="Y84" s="843"/>
      <c r="Z84" s="843"/>
      <c r="AA84" s="843"/>
      <c r="AB84" s="843"/>
      <c r="AC84" s="843"/>
      <c r="AD84" s="843"/>
      <c r="AE84" s="843"/>
      <c r="AF84" s="843"/>
      <c r="AG84" s="843"/>
      <c r="AH84" s="843"/>
      <c r="AI84" s="843"/>
      <c r="AJ84" s="843"/>
      <c r="AK84" s="843"/>
      <c r="AL84" s="843"/>
      <c r="AM84" s="843"/>
      <c r="AN84" s="843"/>
      <c r="AO84" s="843"/>
      <c r="AP84" s="843"/>
      <c r="AQ84" s="843"/>
      <c r="AR84" s="843"/>
      <c r="AS84" s="843"/>
      <c r="AT84" s="843"/>
      <c r="AU84" s="843"/>
      <c r="AV84" s="843"/>
      <c r="AW84" s="843"/>
      <c r="AX84" s="843"/>
    </row>
    <row r="85" spans="1:50">
      <c r="A85" s="846"/>
      <c r="B85" s="847"/>
      <c r="C85" s="809"/>
      <c r="D85" s="846"/>
      <c r="E85" s="809"/>
      <c r="F85" s="846"/>
      <c r="G85" s="809"/>
      <c r="H85" s="846"/>
      <c r="I85" s="846"/>
      <c r="J85" s="846"/>
      <c r="K85" s="846"/>
      <c r="L85" s="846"/>
      <c r="M85" s="846"/>
      <c r="N85" s="846"/>
      <c r="O85" s="846"/>
      <c r="P85" s="846"/>
      <c r="Q85" s="846"/>
      <c r="R85" s="846"/>
      <c r="S85" s="846"/>
      <c r="T85" s="846"/>
      <c r="U85" s="846"/>
      <c r="V85" s="846"/>
      <c r="W85" s="846"/>
      <c r="X85" s="846"/>
      <c r="Y85" s="846"/>
      <c r="Z85" s="846"/>
      <c r="AA85" s="846"/>
      <c r="AB85" s="846"/>
      <c r="AC85" s="846"/>
      <c r="AD85" s="846"/>
      <c r="AE85" s="846"/>
      <c r="AF85" s="846"/>
      <c r="AG85" s="846"/>
      <c r="AH85" s="846"/>
      <c r="AI85" s="846"/>
      <c r="AJ85" s="846"/>
      <c r="AK85" s="846"/>
      <c r="AL85" s="846"/>
      <c r="AM85" s="846"/>
      <c r="AN85" s="846"/>
      <c r="AO85" s="846"/>
      <c r="AP85" s="846"/>
      <c r="AQ85" s="846"/>
      <c r="AR85" s="846"/>
      <c r="AS85" s="846"/>
      <c r="AT85" s="846"/>
      <c r="AU85" s="846"/>
      <c r="AV85" s="846"/>
      <c r="AW85" s="846"/>
      <c r="AX85" s="846"/>
    </row>
    <row r="86" spans="1:50">
      <c r="A86" s="838"/>
      <c r="B86" s="841"/>
      <c r="C86" s="798"/>
      <c r="D86" s="838"/>
      <c r="E86" s="798"/>
      <c r="F86" s="838"/>
      <c r="G86" s="798"/>
      <c r="H86" s="838"/>
      <c r="I86" s="838"/>
      <c r="J86" s="838"/>
      <c r="K86" s="838"/>
      <c r="L86" s="838"/>
      <c r="M86" s="838"/>
      <c r="N86" s="838"/>
      <c r="O86" s="838"/>
      <c r="P86" s="838"/>
      <c r="Q86" s="838"/>
      <c r="R86" s="838"/>
      <c r="S86" s="838"/>
      <c r="T86" s="838"/>
      <c r="U86" s="838"/>
      <c r="V86" s="838"/>
      <c r="W86" s="838"/>
      <c r="X86" s="838"/>
      <c r="Y86" s="838"/>
      <c r="Z86" s="838"/>
      <c r="AA86" s="838"/>
      <c r="AB86" s="838"/>
      <c r="AC86" s="838"/>
      <c r="AD86" s="838"/>
      <c r="AE86" s="838"/>
      <c r="AF86" s="838"/>
      <c r="AG86" s="838"/>
      <c r="AH86" s="838"/>
      <c r="AI86" s="838"/>
      <c r="AJ86" s="838"/>
      <c r="AK86" s="838"/>
      <c r="AL86" s="838"/>
      <c r="AM86" s="838"/>
      <c r="AN86" s="838"/>
      <c r="AO86" s="838"/>
      <c r="AP86" s="838"/>
      <c r="AQ86" s="838"/>
      <c r="AR86" s="838"/>
      <c r="AS86" s="838"/>
      <c r="AT86" s="838"/>
      <c r="AU86" s="838"/>
      <c r="AV86" s="838"/>
      <c r="AW86" s="838"/>
      <c r="AX86" s="838"/>
    </row>
    <row r="87" spans="1:50">
      <c r="A87" s="838"/>
      <c r="B87" s="841"/>
      <c r="C87" s="798"/>
      <c r="D87" s="838"/>
      <c r="E87" s="798"/>
      <c r="F87" s="838"/>
      <c r="G87" s="798"/>
      <c r="H87" s="838"/>
      <c r="I87" s="838"/>
      <c r="J87" s="838"/>
      <c r="K87" s="838"/>
      <c r="L87" s="838"/>
      <c r="M87" s="838"/>
      <c r="N87" s="838"/>
      <c r="O87" s="838"/>
      <c r="P87" s="838"/>
      <c r="Q87" s="838"/>
      <c r="R87" s="838"/>
      <c r="S87" s="838"/>
      <c r="T87" s="838"/>
      <c r="U87" s="838"/>
      <c r="V87" s="838"/>
      <c r="W87" s="838"/>
      <c r="X87" s="838"/>
      <c r="Y87" s="838"/>
      <c r="Z87" s="838"/>
      <c r="AA87" s="838"/>
      <c r="AB87" s="838"/>
      <c r="AC87" s="838"/>
      <c r="AD87" s="838"/>
      <c r="AE87" s="838"/>
      <c r="AF87" s="838"/>
      <c r="AG87" s="838"/>
      <c r="AH87" s="838"/>
      <c r="AI87" s="838"/>
      <c r="AJ87" s="838"/>
      <c r="AK87" s="838"/>
      <c r="AL87" s="838"/>
      <c r="AM87" s="838"/>
      <c r="AN87" s="838"/>
      <c r="AO87" s="838"/>
      <c r="AP87" s="838"/>
      <c r="AQ87" s="838"/>
      <c r="AR87" s="838"/>
      <c r="AS87" s="838"/>
      <c r="AT87" s="838"/>
      <c r="AU87" s="838"/>
      <c r="AV87" s="838"/>
      <c r="AW87" s="838"/>
      <c r="AX87" s="838"/>
    </row>
    <row r="88" spans="1:50">
      <c r="A88" s="838"/>
      <c r="B88" s="841"/>
      <c r="C88" s="798"/>
      <c r="D88" s="838"/>
      <c r="E88" s="798"/>
      <c r="F88" s="838"/>
      <c r="G88" s="798"/>
      <c r="H88" s="838"/>
      <c r="I88" s="838"/>
      <c r="J88" s="838"/>
      <c r="K88" s="838"/>
      <c r="L88" s="838"/>
      <c r="M88" s="838"/>
      <c r="N88" s="838"/>
      <c r="O88" s="838"/>
      <c r="P88" s="838"/>
      <c r="Q88" s="838"/>
      <c r="R88" s="838"/>
      <c r="S88" s="838"/>
      <c r="T88" s="838"/>
      <c r="U88" s="838"/>
      <c r="V88" s="838"/>
      <c r="W88" s="838"/>
      <c r="X88" s="838"/>
      <c r="Y88" s="838"/>
      <c r="Z88" s="838"/>
      <c r="AA88" s="838"/>
      <c r="AB88" s="838"/>
      <c r="AC88" s="838"/>
      <c r="AD88" s="838"/>
      <c r="AE88" s="838"/>
      <c r="AF88" s="838"/>
      <c r="AG88" s="838"/>
      <c r="AH88" s="838"/>
      <c r="AI88" s="838"/>
      <c r="AJ88" s="838"/>
      <c r="AK88" s="838"/>
      <c r="AL88" s="838"/>
      <c r="AM88" s="838"/>
      <c r="AN88" s="838"/>
      <c r="AO88" s="838"/>
      <c r="AP88" s="838"/>
      <c r="AQ88" s="838"/>
      <c r="AR88" s="838"/>
      <c r="AS88" s="838"/>
      <c r="AT88" s="838"/>
      <c r="AU88" s="838"/>
      <c r="AV88" s="838"/>
      <c r="AW88" s="838"/>
      <c r="AX88" s="838"/>
    </row>
    <row r="89" spans="1:50">
      <c r="A89" s="838"/>
      <c r="B89" s="841"/>
      <c r="C89" s="798"/>
      <c r="D89" s="838"/>
      <c r="E89" s="798"/>
      <c r="F89" s="838"/>
      <c r="G89" s="798"/>
      <c r="H89" s="838"/>
      <c r="I89" s="838"/>
      <c r="J89" s="838"/>
      <c r="K89" s="838"/>
      <c r="L89" s="838"/>
      <c r="M89" s="838"/>
      <c r="N89" s="838"/>
      <c r="O89" s="838"/>
      <c r="P89" s="838"/>
      <c r="Q89" s="838"/>
      <c r="R89" s="838"/>
      <c r="S89" s="838"/>
      <c r="T89" s="838"/>
      <c r="U89" s="838"/>
      <c r="V89" s="838"/>
      <c r="W89" s="838"/>
      <c r="X89" s="838"/>
      <c r="Y89" s="838"/>
      <c r="Z89" s="838"/>
      <c r="AA89" s="838"/>
      <c r="AB89" s="838"/>
      <c r="AC89" s="838"/>
      <c r="AD89" s="838"/>
      <c r="AE89" s="838"/>
      <c r="AF89" s="838"/>
      <c r="AG89" s="838"/>
      <c r="AH89" s="838"/>
      <c r="AI89" s="838"/>
      <c r="AJ89" s="838"/>
      <c r="AK89" s="838"/>
      <c r="AL89" s="838"/>
      <c r="AM89" s="838"/>
      <c r="AN89" s="838"/>
      <c r="AO89" s="838"/>
      <c r="AP89" s="838"/>
      <c r="AQ89" s="838"/>
      <c r="AR89" s="838"/>
      <c r="AS89" s="838"/>
      <c r="AT89" s="838"/>
      <c r="AU89" s="838"/>
      <c r="AV89" s="838"/>
      <c r="AW89" s="838"/>
      <c r="AX89" s="838"/>
    </row>
    <row r="90" spans="1:50">
      <c r="A90" s="838"/>
      <c r="B90" s="841"/>
      <c r="C90" s="798"/>
      <c r="D90" s="838"/>
      <c r="E90" s="798"/>
      <c r="F90" s="838"/>
      <c r="G90" s="798"/>
      <c r="H90" s="838"/>
      <c r="I90" s="838"/>
      <c r="J90" s="838"/>
      <c r="K90" s="838"/>
      <c r="L90" s="838"/>
      <c r="M90" s="838"/>
      <c r="N90" s="838"/>
      <c r="O90" s="838"/>
      <c r="P90" s="838"/>
      <c r="Q90" s="838"/>
      <c r="R90" s="838"/>
      <c r="S90" s="838"/>
      <c r="T90" s="838"/>
      <c r="U90" s="838"/>
      <c r="V90" s="838"/>
      <c r="W90" s="838"/>
      <c r="X90" s="838"/>
      <c r="Y90" s="838"/>
      <c r="Z90" s="838"/>
      <c r="AA90" s="838"/>
      <c r="AB90" s="838"/>
      <c r="AC90" s="838"/>
      <c r="AD90" s="838"/>
      <c r="AE90" s="838"/>
      <c r="AF90" s="838"/>
      <c r="AG90" s="838"/>
      <c r="AH90" s="838"/>
      <c r="AI90" s="838"/>
      <c r="AJ90" s="838"/>
      <c r="AK90" s="838"/>
      <c r="AL90" s="838"/>
      <c r="AM90" s="838"/>
      <c r="AN90" s="838"/>
      <c r="AO90" s="838"/>
      <c r="AP90" s="838"/>
      <c r="AQ90" s="838"/>
      <c r="AR90" s="838"/>
      <c r="AS90" s="838"/>
      <c r="AT90" s="838"/>
      <c r="AU90" s="838"/>
      <c r="AV90" s="838"/>
      <c r="AW90" s="838"/>
      <c r="AX90" s="838"/>
    </row>
    <row r="91" spans="1:50">
      <c r="A91" s="838"/>
      <c r="B91" s="841"/>
      <c r="C91" s="798"/>
      <c r="D91" s="838"/>
      <c r="E91" s="798"/>
      <c r="F91" s="838"/>
      <c r="G91" s="798"/>
      <c r="H91" s="838"/>
      <c r="I91" s="838"/>
      <c r="J91" s="838"/>
      <c r="K91" s="838"/>
      <c r="L91" s="838"/>
      <c r="M91" s="838"/>
      <c r="N91" s="838"/>
      <c r="O91" s="838"/>
      <c r="P91" s="838"/>
      <c r="Q91" s="838"/>
      <c r="R91" s="838"/>
      <c r="S91" s="838"/>
      <c r="T91" s="838"/>
      <c r="U91" s="838"/>
      <c r="V91" s="838"/>
      <c r="W91" s="838"/>
      <c r="X91" s="838"/>
      <c r="Y91" s="838"/>
      <c r="Z91" s="838"/>
      <c r="AA91" s="838"/>
      <c r="AB91" s="838"/>
      <c r="AC91" s="838"/>
      <c r="AD91" s="838"/>
      <c r="AE91" s="838"/>
      <c r="AF91" s="838"/>
      <c r="AG91" s="838"/>
      <c r="AH91" s="838"/>
      <c r="AI91" s="838"/>
      <c r="AJ91" s="838"/>
      <c r="AK91" s="838"/>
      <c r="AL91" s="838"/>
      <c r="AM91" s="838"/>
      <c r="AN91" s="838"/>
      <c r="AO91" s="838"/>
      <c r="AP91" s="838"/>
      <c r="AQ91" s="838"/>
      <c r="AR91" s="838"/>
      <c r="AS91" s="838"/>
      <c r="AT91" s="838"/>
      <c r="AU91" s="838"/>
      <c r="AV91" s="838"/>
      <c r="AW91" s="838"/>
      <c r="AX91" s="838"/>
    </row>
    <row r="92" spans="1:50">
      <c r="A92" s="838"/>
      <c r="B92" s="841"/>
      <c r="C92" s="798"/>
      <c r="D92" s="838"/>
      <c r="E92" s="798"/>
      <c r="F92" s="838"/>
      <c r="G92" s="798"/>
      <c r="H92" s="838"/>
      <c r="I92" s="838"/>
      <c r="J92" s="838"/>
      <c r="K92" s="838"/>
      <c r="L92" s="838"/>
      <c r="M92" s="838"/>
      <c r="N92" s="838"/>
      <c r="O92" s="838"/>
      <c r="P92" s="838"/>
      <c r="Q92" s="838"/>
      <c r="R92" s="838"/>
      <c r="S92" s="838"/>
      <c r="T92" s="838"/>
      <c r="U92" s="838"/>
      <c r="V92" s="838"/>
      <c r="W92" s="838"/>
      <c r="X92" s="838"/>
      <c r="Y92" s="838"/>
      <c r="Z92" s="838"/>
      <c r="AA92" s="838"/>
      <c r="AB92" s="838"/>
      <c r="AC92" s="838"/>
      <c r="AD92" s="838"/>
      <c r="AE92" s="838"/>
      <c r="AF92" s="838"/>
      <c r="AG92" s="838"/>
      <c r="AH92" s="838"/>
      <c r="AI92" s="838"/>
      <c r="AJ92" s="838"/>
      <c r="AK92" s="838"/>
      <c r="AL92" s="838"/>
      <c r="AM92" s="838"/>
      <c r="AN92" s="838"/>
      <c r="AO92" s="838"/>
      <c r="AP92" s="838"/>
      <c r="AQ92" s="838"/>
      <c r="AR92" s="838"/>
      <c r="AS92" s="838"/>
      <c r="AT92" s="838"/>
      <c r="AU92" s="838"/>
      <c r="AV92" s="838"/>
      <c r="AW92" s="838"/>
      <c r="AX92" s="838"/>
    </row>
    <row r="93" spans="1:50">
      <c r="A93" s="838"/>
      <c r="B93" s="841"/>
      <c r="C93" s="798"/>
      <c r="D93" s="838"/>
      <c r="E93" s="798"/>
      <c r="F93" s="838"/>
      <c r="G93" s="798"/>
      <c r="H93" s="838"/>
      <c r="I93" s="838"/>
      <c r="J93" s="838"/>
      <c r="K93" s="838"/>
      <c r="L93" s="838"/>
      <c r="M93" s="838"/>
      <c r="N93" s="838"/>
      <c r="O93" s="838"/>
      <c r="P93" s="838"/>
      <c r="Q93" s="838"/>
      <c r="R93" s="838"/>
      <c r="S93" s="838"/>
      <c r="T93" s="838"/>
      <c r="U93" s="838"/>
      <c r="V93" s="838"/>
      <c r="W93" s="838"/>
      <c r="X93" s="838"/>
      <c r="Y93" s="838"/>
      <c r="Z93" s="838"/>
      <c r="AA93" s="838"/>
      <c r="AB93" s="838"/>
      <c r="AC93" s="838"/>
      <c r="AD93" s="838"/>
      <c r="AE93" s="838"/>
      <c r="AF93" s="838"/>
      <c r="AG93" s="838"/>
      <c r="AH93" s="838"/>
      <c r="AI93" s="838"/>
      <c r="AJ93" s="838"/>
      <c r="AK93" s="838"/>
      <c r="AL93" s="838"/>
      <c r="AM93" s="838"/>
      <c r="AN93" s="838"/>
      <c r="AO93" s="838"/>
      <c r="AP93" s="838"/>
      <c r="AQ93" s="838"/>
      <c r="AR93" s="838"/>
      <c r="AS93" s="838"/>
      <c r="AT93" s="838"/>
      <c r="AU93" s="838"/>
      <c r="AV93" s="838"/>
      <c r="AW93" s="838"/>
      <c r="AX93" s="838"/>
    </row>
    <row r="94" spans="1:50">
      <c r="A94" s="838"/>
      <c r="B94" s="841"/>
      <c r="C94" s="798"/>
      <c r="D94" s="838"/>
      <c r="E94" s="798"/>
      <c r="F94" s="838"/>
      <c r="G94" s="798"/>
      <c r="H94" s="838"/>
      <c r="I94" s="838"/>
      <c r="J94" s="838"/>
      <c r="K94" s="838"/>
      <c r="L94" s="838"/>
      <c r="M94" s="838"/>
      <c r="N94" s="838"/>
      <c r="O94" s="838"/>
      <c r="P94" s="838"/>
      <c r="Q94" s="838"/>
      <c r="R94" s="838"/>
      <c r="S94" s="838"/>
      <c r="T94" s="838"/>
      <c r="U94" s="838"/>
      <c r="V94" s="838"/>
      <c r="W94" s="838"/>
      <c r="X94" s="838"/>
      <c r="Y94" s="838"/>
      <c r="Z94" s="838"/>
      <c r="AA94" s="838"/>
      <c r="AB94" s="838"/>
      <c r="AC94" s="838"/>
      <c r="AD94" s="838"/>
      <c r="AE94" s="838"/>
      <c r="AF94" s="838"/>
      <c r="AG94" s="838"/>
      <c r="AH94" s="838"/>
      <c r="AI94" s="838"/>
      <c r="AJ94" s="838"/>
      <c r="AK94" s="838"/>
      <c r="AL94" s="838"/>
      <c r="AM94" s="838"/>
      <c r="AN94" s="838"/>
      <c r="AO94" s="838"/>
      <c r="AP94" s="838"/>
      <c r="AQ94" s="838"/>
      <c r="AR94" s="838"/>
      <c r="AS94" s="838"/>
      <c r="AT94" s="838"/>
      <c r="AU94" s="838"/>
      <c r="AV94" s="838"/>
      <c r="AW94" s="838"/>
      <c r="AX94" s="838"/>
    </row>
    <row r="95" spans="1:50">
      <c r="A95" s="838"/>
      <c r="B95" s="841"/>
      <c r="C95" s="798"/>
      <c r="D95" s="838"/>
      <c r="E95" s="798"/>
      <c r="F95" s="838"/>
      <c r="G95" s="798"/>
      <c r="H95" s="838"/>
      <c r="I95" s="838"/>
      <c r="J95" s="838"/>
      <c r="K95" s="838"/>
      <c r="L95" s="838"/>
      <c r="M95" s="838"/>
      <c r="N95" s="838"/>
      <c r="O95" s="838"/>
      <c r="P95" s="838"/>
      <c r="Q95" s="838"/>
      <c r="R95" s="838"/>
      <c r="S95" s="838"/>
      <c r="T95" s="838"/>
      <c r="U95" s="838"/>
      <c r="V95" s="838"/>
      <c r="W95" s="838"/>
      <c r="X95" s="838"/>
      <c r="Y95" s="838"/>
      <c r="Z95" s="838"/>
      <c r="AA95" s="838"/>
      <c r="AB95" s="838"/>
      <c r="AC95" s="838"/>
      <c r="AD95" s="838"/>
      <c r="AE95" s="838"/>
      <c r="AF95" s="838"/>
      <c r="AG95" s="838"/>
      <c r="AH95" s="838"/>
      <c r="AI95" s="838"/>
      <c r="AJ95" s="838"/>
      <c r="AK95" s="838"/>
      <c r="AL95" s="838"/>
      <c r="AM95" s="838"/>
      <c r="AN95" s="838"/>
      <c r="AO95" s="838"/>
      <c r="AP95" s="838"/>
      <c r="AQ95" s="838"/>
      <c r="AR95" s="838"/>
      <c r="AS95" s="838"/>
      <c r="AT95" s="838"/>
      <c r="AU95" s="838"/>
      <c r="AV95" s="838"/>
      <c r="AW95" s="838"/>
      <c r="AX95" s="838"/>
    </row>
    <row r="96" spans="1:50">
      <c r="A96" s="842"/>
      <c r="B96" s="848"/>
      <c r="C96" s="798"/>
      <c r="D96" s="842"/>
      <c r="E96" s="798"/>
      <c r="F96" s="842"/>
      <c r="G96" s="798"/>
      <c r="H96" s="842"/>
      <c r="I96" s="842"/>
      <c r="J96" s="842"/>
      <c r="K96" s="842"/>
      <c r="L96" s="842"/>
      <c r="M96" s="842"/>
      <c r="N96" s="842"/>
      <c r="O96" s="842"/>
      <c r="P96" s="842"/>
      <c r="Q96" s="842"/>
      <c r="R96" s="842"/>
      <c r="S96" s="842"/>
      <c r="T96" s="842"/>
      <c r="U96" s="842"/>
      <c r="V96" s="842"/>
      <c r="W96" s="842"/>
      <c r="X96" s="842"/>
      <c r="Y96" s="842"/>
      <c r="Z96" s="842"/>
      <c r="AA96" s="842"/>
      <c r="AB96" s="842"/>
      <c r="AC96" s="842"/>
      <c r="AD96" s="842"/>
      <c r="AE96" s="842"/>
      <c r="AF96" s="842"/>
      <c r="AG96" s="842"/>
      <c r="AH96" s="842"/>
      <c r="AI96" s="842"/>
      <c r="AJ96" s="842"/>
      <c r="AK96" s="842"/>
      <c r="AL96" s="842"/>
      <c r="AM96" s="842"/>
      <c r="AN96" s="842"/>
      <c r="AO96" s="842"/>
      <c r="AP96" s="842"/>
      <c r="AQ96" s="842"/>
      <c r="AR96" s="842"/>
      <c r="AS96" s="842"/>
      <c r="AT96" s="842"/>
      <c r="AU96" s="842"/>
      <c r="AV96" s="842"/>
      <c r="AW96" s="842"/>
      <c r="AX96" s="842"/>
    </row>
    <row r="97" spans="1:50">
      <c r="A97" s="843"/>
      <c r="B97" s="844"/>
      <c r="C97" s="851"/>
      <c r="D97" s="843"/>
      <c r="E97" s="851"/>
      <c r="F97" s="843"/>
      <c r="G97" s="851"/>
      <c r="H97" s="843"/>
      <c r="I97" s="843"/>
      <c r="J97" s="843"/>
      <c r="K97" s="843"/>
      <c r="L97" s="843"/>
      <c r="M97" s="843"/>
      <c r="N97" s="843"/>
      <c r="O97" s="843"/>
      <c r="P97" s="843"/>
      <c r="Q97" s="843"/>
      <c r="R97" s="843"/>
      <c r="S97" s="843"/>
      <c r="T97" s="843"/>
      <c r="U97" s="843"/>
      <c r="V97" s="843"/>
      <c r="W97" s="843"/>
      <c r="X97" s="843"/>
      <c r="Y97" s="843"/>
      <c r="Z97" s="843"/>
      <c r="AA97" s="843"/>
      <c r="AB97" s="843"/>
      <c r="AC97" s="843"/>
      <c r="AD97" s="843"/>
      <c r="AE97" s="843"/>
      <c r="AF97" s="843"/>
      <c r="AG97" s="843"/>
      <c r="AH97" s="843"/>
      <c r="AI97" s="843"/>
      <c r="AJ97" s="843"/>
      <c r="AK97" s="843"/>
      <c r="AL97" s="843"/>
      <c r="AM97" s="843"/>
      <c r="AN97" s="843"/>
      <c r="AO97" s="843"/>
      <c r="AP97" s="843"/>
      <c r="AQ97" s="843"/>
      <c r="AR97" s="843"/>
      <c r="AS97" s="843"/>
      <c r="AT97" s="843"/>
      <c r="AU97" s="843"/>
      <c r="AV97" s="843"/>
      <c r="AW97" s="852"/>
      <c r="AX97" s="843"/>
    </row>
    <row r="98" spans="1:50">
      <c r="A98" s="843"/>
      <c r="B98" s="844"/>
      <c r="C98" s="845"/>
      <c r="D98" s="845"/>
      <c r="E98" s="845"/>
      <c r="F98" s="843"/>
      <c r="G98" s="845"/>
      <c r="H98" s="843"/>
      <c r="I98" s="843"/>
      <c r="J98" s="843"/>
      <c r="K98" s="843"/>
      <c r="L98" s="843"/>
      <c r="M98" s="843"/>
      <c r="N98" s="843"/>
      <c r="O98" s="843"/>
      <c r="P98" s="843"/>
      <c r="Q98" s="843"/>
      <c r="R98" s="843"/>
      <c r="S98" s="843"/>
      <c r="T98" s="843"/>
      <c r="U98" s="843"/>
      <c r="V98" s="843"/>
      <c r="W98" s="843"/>
      <c r="X98" s="843"/>
      <c r="Y98" s="843"/>
      <c r="Z98" s="843"/>
      <c r="AA98" s="843"/>
      <c r="AB98" s="843"/>
      <c r="AC98" s="843"/>
      <c r="AD98" s="843"/>
      <c r="AE98" s="843"/>
      <c r="AF98" s="843"/>
      <c r="AG98" s="843"/>
      <c r="AH98" s="843"/>
      <c r="AI98" s="843"/>
      <c r="AJ98" s="843"/>
      <c r="AK98" s="843"/>
      <c r="AL98" s="843"/>
      <c r="AM98" s="843"/>
      <c r="AN98" s="843"/>
      <c r="AO98" s="843"/>
      <c r="AP98" s="843"/>
      <c r="AQ98" s="843"/>
      <c r="AR98" s="843"/>
      <c r="AS98" s="843"/>
      <c r="AT98" s="843"/>
      <c r="AU98" s="843"/>
      <c r="AV98" s="843"/>
      <c r="AW98" s="843"/>
      <c r="AX98" s="843"/>
    </row>
    <row r="99" spans="1:50">
      <c r="A99" s="838"/>
      <c r="B99" s="841"/>
      <c r="C99" s="809"/>
      <c r="D99" s="846"/>
      <c r="E99" s="809"/>
      <c r="F99" s="846"/>
      <c r="G99" s="809"/>
      <c r="H99" s="838"/>
      <c r="I99" s="838"/>
      <c r="J99" s="838"/>
      <c r="K99" s="838"/>
      <c r="L99" s="838"/>
      <c r="M99" s="838"/>
      <c r="N99" s="838"/>
      <c r="O99" s="838"/>
      <c r="P99" s="838"/>
      <c r="Q99" s="838"/>
      <c r="R99" s="838"/>
      <c r="S99" s="838"/>
      <c r="T99" s="838"/>
      <c r="U99" s="838"/>
      <c r="V99" s="838"/>
      <c r="W99" s="838"/>
      <c r="X99" s="838"/>
      <c r="Y99" s="838"/>
      <c r="Z99" s="838"/>
      <c r="AA99" s="838"/>
      <c r="AB99" s="838"/>
      <c r="AC99" s="838"/>
      <c r="AD99" s="838"/>
      <c r="AE99" s="838"/>
      <c r="AF99" s="838"/>
      <c r="AG99" s="838"/>
      <c r="AH99" s="838"/>
      <c r="AI99" s="838"/>
      <c r="AJ99" s="838"/>
      <c r="AK99" s="838"/>
      <c r="AL99" s="838"/>
      <c r="AM99" s="838"/>
      <c r="AN99" s="838"/>
      <c r="AO99" s="838"/>
      <c r="AP99" s="838"/>
      <c r="AQ99" s="838"/>
      <c r="AR99" s="838"/>
      <c r="AS99" s="838"/>
      <c r="AT99" s="838"/>
      <c r="AU99" s="838"/>
      <c r="AV99" s="838"/>
      <c r="AW99" s="838"/>
      <c r="AX99" s="838"/>
    </row>
    <row r="100" spans="1:50">
      <c r="A100" s="838"/>
      <c r="B100" s="841"/>
      <c r="C100" s="798"/>
      <c r="D100" s="853"/>
      <c r="E100" s="798"/>
      <c r="F100" s="842"/>
      <c r="G100" s="798"/>
      <c r="H100" s="838"/>
      <c r="I100" s="838"/>
      <c r="J100" s="838"/>
      <c r="K100" s="838"/>
      <c r="L100" s="838"/>
      <c r="M100" s="838"/>
      <c r="N100" s="838"/>
      <c r="O100" s="838"/>
      <c r="P100" s="838"/>
      <c r="Q100" s="838"/>
      <c r="R100" s="838"/>
      <c r="S100" s="838"/>
      <c r="T100" s="838"/>
      <c r="U100" s="838"/>
      <c r="V100" s="838"/>
      <c r="W100" s="838"/>
      <c r="X100" s="838"/>
      <c r="Y100" s="838"/>
      <c r="Z100" s="838"/>
      <c r="AA100" s="838"/>
      <c r="AB100" s="838"/>
      <c r="AC100" s="838"/>
      <c r="AD100" s="838"/>
      <c r="AE100" s="838"/>
      <c r="AF100" s="838"/>
      <c r="AG100" s="838"/>
      <c r="AH100" s="838"/>
      <c r="AI100" s="838"/>
      <c r="AJ100" s="838"/>
      <c r="AK100" s="838"/>
      <c r="AL100" s="838"/>
      <c r="AM100" s="838"/>
      <c r="AN100" s="838"/>
      <c r="AO100" s="838"/>
      <c r="AP100" s="838"/>
      <c r="AQ100" s="838"/>
      <c r="AR100" s="838"/>
      <c r="AS100" s="838"/>
      <c r="AT100" s="838"/>
      <c r="AU100" s="838"/>
      <c r="AV100" s="838"/>
      <c r="AW100" s="838"/>
      <c r="AX100" s="838"/>
    </row>
    <row r="101" spans="1:50">
      <c r="A101" s="843"/>
      <c r="B101" s="844"/>
      <c r="C101" s="845"/>
      <c r="D101" s="845"/>
      <c r="E101" s="845"/>
      <c r="F101" s="843"/>
      <c r="G101" s="845"/>
      <c r="H101" s="843"/>
      <c r="I101" s="843"/>
      <c r="J101" s="843"/>
      <c r="K101" s="843"/>
      <c r="L101" s="843"/>
      <c r="M101" s="843"/>
      <c r="N101" s="843"/>
      <c r="O101" s="843"/>
      <c r="P101" s="843"/>
      <c r="Q101" s="843"/>
      <c r="R101" s="843"/>
      <c r="S101" s="843"/>
      <c r="T101" s="843"/>
      <c r="U101" s="843"/>
      <c r="V101" s="843"/>
      <c r="W101" s="843"/>
      <c r="X101" s="843"/>
      <c r="Y101" s="843"/>
      <c r="Z101" s="843"/>
      <c r="AA101" s="843"/>
      <c r="AB101" s="843"/>
      <c r="AC101" s="843"/>
      <c r="AD101" s="843"/>
      <c r="AE101" s="843"/>
      <c r="AF101" s="843"/>
      <c r="AG101" s="843"/>
      <c r="AH101" s="843"/>
      <c r="AI101" s="843"/>
      <c r="AJ101" s="843"/>
      <c r="AK101" s="843"/>
      <c r="AL101" s="843"/>
      <c r="AM101" s="843"/>
      <c r="AN101" s="843"/>
      <c r="AO101" s="843"/>
      <c r="AP101" s="843"/>
      <c r="AQ101" s="843"/>
      <c r="AR101" s="843"/>
      <c r="AS101" s="843"/>
      <c r="AT101" s="843"/>
      <c r="AU101" s="843"/>
      <c r="AV101" s="843"/>
      <c r="AW101" s="843"/>
      <c r="AX101" s="843"/>
    </row>
    <row r="102" spans="1:50">
      <c r="A102" s="838"/>
      <c r="B102" s="841"/>
      <c r="C102" s="809"/>
      <c r="D102" s="846"/>
      <c r="E102" s="809"/>
      <c r="F102" s="846"/>
      <c r="G102" s="809"/>
      <c r="H102" s="838"/>
      <c r="I102" s="838"/>
      <c r="J102" s="838"/>
      <c r="K102" s="838"/>
      <c r="L102" s="838"/>
      <c r="M102" s="838"/>
      <c r="N102" s="838"/>
      <c r="O102" s="838"/>
      <c r="P102" s="838"/>
      <c r="Q102" s="838"/>
      <c r="R102" s="838"/>
      <c r="S102" s="838"/>
      <c r="T102" s="838"/>
      <c r="U102" s="838"/>
      <c r="V102" s="838"/>
      <c r="W102" s="838"/>
      <c r="X102" s="838"/>
      <c r="Y102" s="838"/>
      <c r="Z102" s="838"/>
      <c r="AA102" s="838"/>
      <c r="AB102" s="838"/>
      <c r="AC102" s="838"/>
      <c r="AD102" s="838"/>
      <c r="AE102" s="838"/>
      <c r="AF102" s="838"/>
      <c r="AG102" s="838"/>
      <c r="AH102" s="838"/>
      <c r="AI102" s="838"/>
      <c r="AJ102" s="838"/>
      <c r="AK102" s="838"/>
      <c r="AL102" s="838"/>
      <c r="AM102" s="838"/>
      <c r="AN102" s="838"/>
      <c r="AO102" s="838"/>
      <c r="AP102" s="838"/>
      <c r="AQ102" s="838"/>
      <c r="AR102" s="838"/>
      <c r="AS102" s="838"/>
      <c r="AT102" s="838"/>
      <c r="AU102" s="838"/>
      <c r="AV102" s="838"/>
      <c r="AW102" s="838"/>
      <c r="AX102" s="838"/>
    </row>
    <row r="103" spans="1:50">
      <c r="A103" s="838"/>
      <c r="B103" s="841"/>
      <c r="C103" s="798"/>
      <c r="D103" s="838"/>
      <c r="E103" s="798"/>
      <c r="F103" s="838"/>
      <c r="G103" s="798"/>
      <c r="H103" s="838"/>
      <c r="I103" s="838"/>
      <c r="J103" s="838"/>
      <c r="K103" s="838"/>
      <c r="L103" s="838"/>
      <c r="M103" s="838"/>
      <c r="N103" s="838"/>
      <c r="O103" s="838"/>
      <c r="P103" s="838"/>
      <c r="Q103" s="838"/>
      <c r="R103" s="838"/>
      <c r="S103" s="838"/>
      <c r="T103" s="838"/>
      <c r="U103" s="838"/>
      <c r="V103" s="838"/>
      <c r="W103" s="838"/>
      <c r="X103" s="838"/>
      <c r="Y103" s="838"/>
      <c r="Z103" s="838"/>
      <c r="AA103" s="838"/>
      <c r="AB103" s="838"/>
      <c r="AC103" s="838"/>
      <c r="AD103" s="838"/>
      <c r="AE103" s="838"/>
      <c r="AF103" s="838"/>
      <c r="AG103" s="838"/>
      <c r="AH103" s="838"/>
      <c r="AI103" s="838"/>
      <c r="AJ103" s="838"/>
      <c r="AK103" s="838"/>
      <c r="AL103" s="838"/>
      <c r="AM103" s="838"/>
      <c r="AN103" s="838"/>
      <c r="AO103" s="838"/>
      <c r="AP103" s="838"/>
      <c r="AQ103" s="838"/>
      <c r="AR103" s="838"/>
      <c r="AS103" s="838"/>
      <c r="AT103" s="838"/>
      <c r="AU103" s="838"/>
      <c r="AV103" s="838"/>
      <c r="AW103" s="838"/>
      <c r="AX103" s="838"/>
    </row>
    <row r="104" spans="1:50">
      <c r="A104" s="838"/>
      <c r="B104" s="841"/>
      <c r="C104" s="798"/>
      <c r="D104" s="842"/>
      <c r="E104" s="798"/>
      <c r="F104" s="842"/>
      <c r="G104" s="798"/>
      <c r="H104" s="838"/>
      <c r="I104" s="838"/>
      <c r="J104" s="838"/>
      <c r="K104" s="838"/>
      <c r="L104" s="838"/>
      <c r="M104" s="838"/>
      <c r="N104" s="838"/>
      <c r="O104" s="838"/>
      <c r="P104" s="838"/>
      <c r="Q104" s="838"/>
      <c r="R104" s="838"/>
      <c r="S104" s="838"/>
      <c r="T104" s="838"/>
      <c r="U104" s="838"/>
      <c r="V104" s="838"/>
      <c r="W104" s="838"/>
      <c r="X104" s="838"/>
      <c r="Y104" s="838"/>
      <c r="Z104" s="838"/>
      <c r="AA104" s="838"/>
      <c r="AB104" s="838"/>
      <c r="AC104" s="838"/>
      <c r="AD104" s="838"/>
      <c r="AE104" s="838"/>
      <c r="AF104" s="838"/>
      <c r="AG104" s="838"/>
      <c r="AH104" s="838"/>
      <c r="AI104" s="838"/>
      <c r="AJ104" s="838"/>
      <c r="AK104" s="838"/>
      <c r="AL104" s="838"/>
      <c r="AM104" s="838"/>
      <c r="AN104" s="838"/>
      <c r="AO104" s="838"/>
      <c r="AP104" s="838"/>
      <c r="AQ104" s="838"/>
      <c r="AR104" s="838"/>
      <c r="AS104" s="838"/>
      <c r="AT104" s="838"/>
      <c r="AU104" s="838"/>
      <c r="AV104" s="838"/>
      <c r="AW104" s="838"/>
      <c r="AX104" s="838"/>
    </row>
    <row r="105" spans="1:50">
      <c r="A105" s="843"/>
      <c r="B105" s="844"/>
      <c r="C105" s="845"/>
      <c r="D105" s="843"/>
      <c r="E105" s="845"/>
      <c r="F105" s="843"/>
      <c r="G105" s="845"/>
      <c r="H105" s="843"/>
      <c r="I105" s="843"/>
      <c r="J105" s="843"/>
      <c r="K105" s="843"/>
      <c r="L105" s="843"/>
      <c r="M105" s="843"/>
      <c r="N105" s="843"/>
      <c r="O105" s="843"/>
      <c r="P105" s="843"/>
      <c r="Q105" s="843"/>
      <c r="R105" s="843"/>
      <c r="S105" s="843"/>
      <c r="T105" s="843"/>
      <c r="U105" s="843"/>
      <c r="V105" s="843"/>
      <c r="W105" s="843"/>
      <c r="X105" s="843"/>
      <c r="Y105" s="843"/>
      <c r="Z105" s="843"/>
      <c r="AA105" s="843"/>
      <c r="AB105" s="843"/>
      <c r="AC105" s="843"/>
      <c r="AD105" s="843"/>
      <c r="AE105" s="843"/>
      <c r="AF105" s="843"/>
      <c r="AG105" s="843"/>
      <c r="AH105" s="843"/>
      <c r="AI105" s="843"/>
      <c r="AJ105" s="843"/>
      <c r="AK105" s="843"/>
      <c r="AL105" s="843"/>
      <c r="AM105" s="843"/>
      <c r="AN105" s="843"/>
      <c r="AO105" s="843"/>
      <c r="AP105" s="843"/>
      <c r="AQ105" s="843"/>
      <c r="AR105" s="843"/>
      <c r="AS105" s="843"/>
      <c r="AT105" s="843"/>
      <c r="AU105" s="843"/>
      <c r="AV105" s="843"/>
      <c r="AW105" s="843"/>
      <c r="AX105" s="843"/>
    </row>
    <row r="106" spans="1:50">
      <c r="A106" s="842"/>
      <c r="B106" s="848"/>
      <c r="C106" s="809"/>
      <c r="D106" s="849"/>
      <c r="E106" s="809"/>
      <c r="F106" s="849"/>
      <c r="G106" s="809"/>
      <c r="H106" s="842"/>
      <c r="I106" s="842"/>
      <c r="J106" s="842"/>
      <c r="K106" s="842"/>
      <c r="L106" s="842"/>
      <c r="M106" s="842"/>
      <c r="N106" s="842"/>
      <c r="O106" s="842"/>
      <c r="P106" s="842"/>
      <c r="Q106" s="842"/>
      <c r="R106" s="842"/>
      <c r="S106" s="842"/>
      <c r="T106" s="842"/>
      <c r="U106" s="842"/>
      <c r="V106" s="842"/>
      <c r="W106" s="842"/>
      <c r="X106" s="842"/>
      <c r="Y106" s="842"/>
      <c r="Z106" s="842"/>
      <c r="AA106" s="842"/>
      <c r="AB106" s="842"/>
      <c r="AC106" s="842"/>
      <c r="AD106" s="842"/>
      <c r="AE106" s="842"/>
      <c r="AF106" s="842"/>
      <c r="AG106" s="842"/>
      <c r="AH106" s="842"/>
      <c r="AI106" s="842"/>
      <c r="AJ106" s="842"/>
      <c r="AK106" s="842"/>
      <c r="AL106" s="842"/>
      <c r="AM106" s="842"/>
      <c r="AN106" s="842"/>
      <c r="AO106" s="842"/>
      <c r="AP106" s="842"/>
      <c r="AQ106" s="842"/>
      <c r="AR106" s="842"/>
      <c r="AS106" s="842"/>
      <c r="AT106" s="842"/>
      <c r="AU106" s="842"/>
      <c r="AV106" s="842"/>
      <c r="AW106" s="842"/>
      <c r="AX106" s="842"/>
    </row>
    <row r="107" spans="1:50">
      <c r="A107" s="843"/>
      <c r="B107" s="844"/>
      <c r="C107" s="845"/>
      <c r="D107" s="845"/>
      <c r="E107" s="845"/>
      <c r="F107" s="843"/>
      <c r="G107" s="845"/>
      <c r="H107" s="843"/>
      <c r="I107" s="843"/>
      <c r="J107" s="843"/>
      <c r="K107" s="843"/>
      <c r="L107" s="843"/>
      <c r="M107" s="843"/>
      <c r="N107" s="843"/>
      <c r="O107" s="843"/>
      <c r="P107" s="843"/>
      <c r="Q107" s="843"/>
      <c r="R107" s="843"/>
      <c r="S107" s="843"/>
      <c r="T107" s="843"/>
      <c r="U107" s="843"/>
      <c r="V107" s="843"/>
      <c r="W107" s="843"/>
      <c r="X107" s="843"/>
      <c r="Y107" s="843"/>
      <c r="Z107" s="843"/>
      <c r="AA107" s="843"/>
      <c r="AB107" s="843"/>
      <c r="AC107" s="843"/>
      <c r="AD107" s="843"/>
      <c r="AE107" s="843"/>
      <c r="AF107" s="843"/>
      <c r="AG107" s="843"/>
      <c r="AH107" s="843"/>
      <c r="AI107" s="843"/>
      <c r="AJ107" s="843"/>
      <c r="AK107" s="843"/>
      <c r="AL107" s="843"/>
      <c r="AM107" s="843"/>
      <c r="AN107" s="843"/>
      <c r="AO107" s="843"/>
      <c r="AP107" s="843"/>
      <c r="AQ107" s="843"/>
      <c r="AR107" s="843"/>
      <c r="AS107" s="843"/>
      <c r="AT107" s="843"/>
      <c r="AU107" s="843"/>
      <c r="AV107" s="843"/>
      <c r="AW107" s="843"/>
      <c r="AX107" s="843"/>
    </row>
    <row r="108" spans="1:50">
      <c r="A108" s="838"/>
      <c r="B108" s="841"/>
      <c r="C108" s="809"/>
      <c r="D108" s="809"/>
      <c r="E108" s="809"/>
      <c r="F108" s="846"/>
      <c r="G108" s="809"/>
      <c r="H108" s="838"/>
      <c r="I108" s="838"/>
      <c r="J108" s="838"/>
      <c r="K108" s="838"/>
      <c r="L108" s="838"/>
      <c r="M108" s="838"/>
      <c r="N108" s="838"/>
      <c r="O108" s="838"/>
      <c r="P108" s="838"/>
      <c r="Q108" s="838"/>
      <c r="R108" s="838"/>
      <c r="S108" s="838"/>
      <c r="T108" s="838"/>
      <c r="U108" s="838"/>
      <c r="V108" s="838"/>
      <c r="W108" s="838"/>
      <c r="X108" s="838"/>
      <c r="Y108" s="838"/>
      <c r="Z108" s="838"/>
      <c r="AA108" s="838"/>
      <c r="AB108" s="838"/>
      <c r="AC108" s="838"/>
      <c r="AD108" s="838"/>
      <c r="AE108" s="838"/>
      <c r="AF108" s="838"/>
      <c r="AG108" s="838"/>
      <c r="AH108" s="838"/>
      <c r="AI108" s="838"/>
      <c r="AJ108" s="838"/>
      <c r="AK108" s="838"/>
      <c r="AL108" s="838"/>
      <c r="AM108" s="838"/>
      <c r="AN108" s="838"/>
      <c r="AO108" s="838"/>
      <c r="AP108" s="838"/>
      <c r="AQ108" s="838"/>
      <c r="AR108" s="838"/>
      <c r="AS108" s="838"/>
      <c r="AT108" s="838"/>
      <c r="AU108" s="838"/>
      <c r="AV108" s="838"/>
      <c r="AW108" s="838"/>
      <c r="AX108" s="838"/>
    </row>
    <row r="109" spans="1:50">
      <c r="A109" s="838"/>
      <c r="B109" s="841"/>
      <c r="C109" s="798"/>
      <c r="D109" s="795"/>
      <c r="E109" s="798"/>
      <c r="F109" s="838"/>
      <c r="G109" s="798"/>
      <c r="H109" s="838"/>
      <c r="I109" s="838"/>
      <c r="J109" s="838"/>
      <c r="K109" s="838"/>
      <c r="L109" s="838"/>
      <c r="M109" s="838"/>
      <c r="N109" s="838"/>
      <c r="O109" s="838"/>
      <c r="P109" s="838"/>
      <c r="Q109" s="838"/>
      <c r="R109" s="838"/>
      <c r="S109" s="838"/>
      <c r="T109" s="838"/>
      <c r="U109" s="838"/>
      <c r="V109" s="838"/>
      <c r="W109" s="838"/>
      <c r="X109" s="838"/>
      <c r="Y109" s="838"/>
      <c r="Z109" s="838"/>
      <c r="AA109" s="838"/>
      <c r="AB109" s="838"/>
      <c r="AC109" s="838"/>
      <c r="AD109" s="838"/>
      <c r="AE109" s="838"/>
      <c r="AF109" s="838"/>
      <c r="AG109" s="838"/>
      <c r="AH109" s="838"/>
      <c r="AI109" s="838"/>
      <c r="AJ109" s="838"/>
      <c r="AK109" s="838"/>
      <c r="AL109" s="838"/>
      <c r="AM109" s="838"/>
      <c r="AN109" s="838"/>
      <c r="AO109" s="838"/>
      <c r="AP109" s="838"/>
      <c r="AQ109" s="838"/>
      <c r="AR109" s="838"/>
      <c r="AS109" s="838"/>
      <c r="AT109" s="838"/>
      <c r="AU109" s="838"/>
      <c r="AV109" s="838"/>
      <c r="AW109" s="838"/>
      <c r="AX109" s="838"/>
    </row>
    <row r="110" spans="1:50">
      <c r="A110" s="838"/>
      <c r="B110" s="841"/>
      <c r="C110" s="798"/>
      <c r="D110" s="795"/>
      <c r="E110" s="798"/>
      <c r="F110" s="838"/>
      <c r="G110" s="798"/>
      <c r="H110" s="838"/>
      <c r="I110" s="838"/>
      <c r="J110" s="838"/>
      <c r="K110" s="838"/>
      <c r="L110" s="838"/>
      <c r="M110" s="838"/>
      <c r="N110" s="838"/>
      <c r="O110" s="838"/>
      <c r="P110" s="838"/>
      <c r="Q110" s="838"/>
      <c r="R110" s="838"/>
      <c r="S110" s="838"/>
      <c r="T110" s="838"/>
      <c r="U110" s="838"/>
      <c r="V110" s="838"/>
      <c r="W110" s="838"/>
      <c r="X110" s="838"/>
      <c r="Y110" s="838"/>
      <c r="Z110" s="838"/>
      <c r="AA110" s="838"/>
      <c r="AB110" s="838"/>
      <c r="AC110" s="838"/>
      <c r="AD110" s="838"/>
      <c r="AE110" s="838"/>
      <c r="AF110" s="838"/>
      <c r="AG110" s="838"/>
      <c r="AH110" s="838"/>
      <c r="AI110" s="838"/>
      <c r="AJ110" s="838"/>
      <c r="AK110" s="838"/>
      <c r="AL110" s="838"/>
      <c r="AM110" s="838"/>
      <c r="AN110" s="838"/>
      <c r="AO110" s="838"/>
      <c r="AP110" s="838"/>
      <c r="AQ110" s="838"/>
      <c r="AR110" s="838"/>
      <c r="AS110" s="838"/>
      <c r="AT110" s="838"/>
      <c r="AU110" s="838"/>
      <c r="AV110" s="838"/>
      <c r="AW110" s="838"/>
      <c r="AX110" s="838"/>
    </row>
    <row r="111" spans="1:50">
      <c r="A111" s="838"/>
      <c r="B111" s="841"/>
      <c r="C111" s="798"/>
      <c r="D111" s="795"/>
      <c r="E111" s="798"/>
      <c r="F111" s="838"/>
      <c r="G111" s="798"/>
      <c r="H111" s="838"/>
      <c r="I111" s="838"/>
      <c r="J111" s="838"/>
      <c r="K111" s="838"/>
      <c r="L111" s="838"/>
      <c r="M111" s="838"/>
      <c r="N111" s="838"/>
      <c r="O111" s="838"/>
      <c r="P111" s="838"/>
      <c r="Q111" s="838"/>
      <c r="R111" s="838"/>
      <c r="S111" s="838"/>
      <c r="T111" s="838"/>
      <c r="U111" s="838"/>
      <c r="V111" s="838"/>
      <c r="W111" s="838"/>
      <c r="X111" s="838"/>
      <c r="Y111" s="838"/>
      <c r="Z111" s="838"/>
      <c r="AA111" s="838"/>
      <c r="AB111" s="838"/>
      <c r="AC111" s="838"/>
      <c r="AD111" s="838"/>
      <c r="AE111" s="838"/>
      <c r="AF111" s="838"/>
      <c r="AG111" s="838"/>
      <c r="AH111" s="838"/>
      <c r="AI111" s="838"/>
      <c r="AJ111" s="838"/>
      <c r="AK111" s="838"/>
      <c r="AL111" s="838"/>
      <c r="AM111" s="838"/>
      <c r="AN111" s="838"/>
      <c r="AO111" s="838"/>
      <c r="AP111" s="838"/>
      <c r="AQ111" s="838"/>
      <c r="AR111" s="838"/>
      <c r="AS111" s="838"/>
      <c r="AT111" s="838"/>
      <c r="AU111" s="838"/>
      <c r="AV111" s="838"/>
      <c r="AW111" s="838"/>
      <c r="AX111" s="838"/>
    </row>
    <row r="112" spans="1:50">
      <c r="A112" s="838"/>
      <c r="B112" s="841"/>
      <c r="C112" s="798"/>
      <c r="D112" s="838"/>
      <c r="E112" s="798"/>
      <c r="F112" s="838"/>
      <c r="G112" s="798"/>
      <c r="H112" s="838"/>
      <c r="I112" s="838"/>
      <c r="J112" s="838"/>
      <c r="K112" s="838"/>
      <c r="L112" s="838"/>
      <c r="M112" s="838"/>
      <c r="N112" s="838"/>
      <c r="O112" s="838"/>
      <c r="P112" s="838"/>
      <c r="Q112" s="838"/>
      <c r="R112" s="838"/>
      <c r="S112" s="838"/>
      <c r="T112" s="838"/>
      <c r="U112" s="838"/>
      <c r="V112" s="838"/>
      <c r="W112" s="838"/>
      <c r="X112" s="838"/>
      <c r="Y112" s="838"/>
      <c r="Z112" s="838"/>
      <c r="AA112" s="838"/>
      <c r="AB112" s="838"/>
      <c r="AC112" s="838"/>
      <c r="AD112" s="838"/>
      <c r="AE112" s="838"/>
      <c r="AF112" s="838"/>
      <c r="AG112" s="838"/>
      <c r="AH112" s="838"/>
      <c r="AI112" s="838"/>
      <c r="AJ112" s="838"/>
      <c r="AK112" s="838"/>
      <c r="AL112" s="838"/>
      <c r="AM112" s="838"/>
      <c r="AN112" s="838"/>
      <c r="AO112" s="838"/>
      <c r="AP112" s="838"/>
      <c r="AQ112" s="838"/>
      <c r="AR112" s="838"/>
      <c r="AS112" s="838"/>
      <c r="AT112" s="838"/>
      <c r="AU112" s="838"/>
      <c r="AV112" s="838"/>
      <c r="AW112" s="838"/>
      <c r="AX112" s="838"/>
    </row>
    <row r="113" spans="1:50">
      <c r="A113" s="838"/>
      <c r="B113" s="841"/>
      <c r="C113" s="798"/>
      <c r="D113" s="838"/>
      <c r="E113" s="798"/>
      <c r="F113" s="838"/>
      <c r="G113" s="798"/>
      <c r="H113" s="838"/>
      <c r="I113" s="838"/>
      <c r="J113" s="838"/>
      <c r="K113" s="838"/>
      <c r="L113" s="838"/>
      <c r="M113" s="838"/>
      <c r="N113" s="838"/>
      <c r="O113" s="838"/>
      <c r="P113" s="838"/>
      <c r="Q113" s="838"/>
      <c r="R113" s="838"/>
      <c r="S113" s="838"/>
      <c r="T113" s="838"/>
      <c r="U113" s="838"/>
      <c r="V113" s="838"/>
      <c r="W113" s="838"/>
      <c r="X113" s="838"/>
      <c r="Y113" s="838"/>
      <c r="Z113" s="838"/>
      <c r="AA113" s="838"/>
      <c r="AB113" s="838"/>
      <c r="AC113" s="838"/>
      <c r="AD113" s="838"/>
      <c r="AE113" s="838"/>
      <c r="AF113" s="838"/>
      <c r="AG113" s="838"/>
      <c r="AH113" s="838"/>
      <c r="AI113" s="838"/>
      <c r="AJ113" s="838"/>
      <c r="AK113" s="838"/>
      <c r="AL113" s="838"/>
      <c r="AM113" s="838"/>
      <c r="AN113" s="838"/>
      <c r="AO113" s="838"/>
      <c r="AP113" s="838"/>
      <c r="AQ113" s="838"/>
      <c r="AR113" s="838"/>
      <c r="AS113" s="838"/>
      <c r="AT113" s="838"/>
      <c r="AU113" s="838"/>
      <c r="AV113" s="838"/>
      <c r="AW113" s="838"/>
      <c r="AX113" s="838"/>
    </row>
    <row r="114" spans="1:50">
      <c r="A114" s="838"/>
      <c r="B114" s="841"/>
      <c r="C114" s="798"/>
      <c r="D114" s="798"/>
      <c r="E114" s="798"/>
      <c r="F114" s="838"/>
      <c r="G114" s="798"/>
      <c r="H114" s="838"/>
      <c r="I114" s="838"/>
      <c r="J114" s="838"/>
      <c r="K114" s="838"/>
      <c r="L114" s="838"/>
      <c r="M114" s="838"/>
      <c r="N114" s="838"/>
      <c r="O114" s="838"/>
      <c r="P114" s="838"/>
      <c r="Q114" s="838"/>
      <c r="R114" s="838"/>
      <c r="S114" s="838"/>
      <c r="T114" s="838"/>
      <c r="U114" s="838"/>
      <c r="V114" s="838"/>
      <c r="W114" s="838"/>
      <c r="X114" s="838"/>
      <c r="Y114" s="838"/>
      <c r="Z114" s="838"/>
      <c r="AA114" s="838"/>
      <c r="AB114" s="838"/>
      <c r="AC114" s="838"/>
      <c r="AD114" s="838"/>
      <c r="AE114" s="838"/>
      <c r="AF114" s="838"/>
      <c r="AG114" s="838"/>
      <c r="AH114" s="838"/>
      <c r="AI114" s="838"/>
      <c r="AJ114" s="838"/>
      <c r="AK114" s="838"/>
      <c r="AL114" s="838"/>
      <c r="AM114" s="838"/>
      <c r="AN114" s="838"/>
      <c r="AO114" s="838"/>
      <c r="AP114" s="838"/>
      <c r="AQ114" s="838"/>
      <c r="AR114" s="838"/>
      <c r="AS114" s="838"/>
      <c r="AT114" s="838"/>
      <c r="AU114" s="838"/>
      <c r="AV114" s="838"/>
      <c r="AW114" s="838"/>
      <c r="AX114" s="838"/>
    </row>
    <row r="115" spans="1:50">
      <c r="A115" s="838"/>
      <c r="B115" s="841"/>
      <c r="C115" s="798"/>
      <c r="D115" s="838"/>
      <c r="E115" s="798"/>
      <c r="F115" s="838"/>
      <c r="G115" s="798"/>
      <c r="H115" s="838"/>
      <c r="I115" s="838"/>
      <c r="J115" s="838"/>
      <c r="K115" s="838"/>
      <c r="L115" s="838"/>
      <c r="M115" s="838"/>
      <c r="N115" s="838"/>
      <c r="O115" s="838"/>
      <c r="P115" s="838"/>
      <c r="Q115" s="838"/>
      <c r="R115" s="838"/>
      <c r="S115" s="838"/>
      <c r="T115" s="838"/>
      <c r="U115" s="838"/>
      <c r="V115" s="838"/>
      <c r="W115" s="838"/>
      <c r="X115" s="838"/>
      <c r="Y115" s="838"/>
      <c r="Z115" s="838"/>
      <c r="AA115" s="838"/>
      <c r="AB115" s="838"/>
      <c r="AC115" s="838"/>
      <c r="AD115" s="838"/>
      <c r="AE115" s="838"/>
      <c r="AF115" s="838"/>
      <c r="AG115" s="838"/>
      <c r="AH115" s="838"/>
      <c r="AI115" s="838"/>
      <c r="AJ115" s="838"/>
      <c r="AK115" s="838"/>
      <c r="AL115" s="838"/>
      <c r="AM115" s="838"/>
      <c r="AN115" s="838"/>
      <c r="AO115" s="838"/>
      <c r="AP115" s="838"/>
      <c r="AQ115" s="838"/>
      <c r="AR115" s="838"/>
      <c r="AS115" s="838"/>
      <c r="AT115" s="838"/>
      <c r="AU115" s="838"/>
      <c r="AV115" s="838"/>
      <c r="AW115" s="838"/>
      <c r="AX115" s="838"/>
    </row>
    <row r="116" spans="1:50">
      <c r="A116" s="838"/>
      <c r="B116" s="841"/>
      <c r="C116" s="798"/>
      <c r="D116" s="795"/>
      <c r="E116" s="798"/>
      <c r="F116" s="838"/>
      <c r="G116" s="798"/>
      <c r="H116" s="838"/>
      <c r="I116" s="838"/>
      <c r="J116" s="838"/>
      <c r="K116" s="838"/>
      <c r="L116" s="838"/>
      <c r="M116" s="838"/>
      <c r="N116" s="838"/>
      <c r="O116" s="838"/>
      <c r="P116" s="838"/>
      <c r="Q116" s="838"/>
      <c r="R116" s="838"/>
      <c r="S116" s="838"/>
      <c r="T116" s="838"/>
      <c r="U116" s="838"/>
      <c r="V116" s="838"/>
      <c r="W116" s="838"/>
      <c r="X116" s="838"/>
      <c r="Y116" s="838"/>
      <c r="Z116" s="838"/>
      <c r="AA116" s="838"/>
      <c r="AB116" s="838"/>
      <c r="AC116" s="838"/>
      <c r="AD116" s="838"/>
      <c r="AE116" s="838"/>
      <c r="AF116" s="838"/>
      <c r="AG116" s="838"/>
      <c r="AH116" s="838"/>
      <c r="AI116" s="838"/>
      <c r="AJ116" s="838"/>
      <c r="AK116" s="838"/>
      <c r="AL116" s="838"/>
      <c r="AM116" s="838"/>
      <c r="AN116" s="838"/>
      <c r="AO116" s="838"/>
      <c r="AP116" s="838"/>
      <c r="AQ116" s="838"/>
      <c r="AR116" s="838"/>
      <c r="AS116" s="838"/>
      <c r="AT116" s="838"/>
      <c r="AU116" s="838"/>
      <c r="AV116" s="838"/>
      <c r="AW116" s="838"/>
      <c r="AX116" s="838"/>
    </row>
    <row r="117" spans="1:50">
      <c r="A117" s="838"/>
      <c r="B117" s="841"/>
      <c r="C117" s="798"/>
      <c r="D117" s="795"/>
      <c r="E117" s="798"/>
      <c r="F117" s="838"/>
      <c r="G117" s="798"/>
      <c r="H117" s="838"/>
      <c r="I117" s="838"/>
      <c r="J117" s="838"/>
      <c r="K117" s="838"/>
      <c r="L117" s="838"/>
      <c r="M117" s="838"/>
      <c r="N117" s="838"/>
      <c r="O117" s="838"/>
      <c r="P117" s="838"/>
      <c r="Q117" s="838"/>
      <c r="R117" s="838"/>
      <c r="S117" s="838"/>
      <c r="T117" s="838"/>
      <c r="U117" s="838"/>
      <c r="V117" s="838"/>
      <c r="W117" s="838"/>
      <c r="X117" s="838"/>
      <c r="Y117" s="838"/>
      <c r="Z117" s="838"/>
      <c r="AA117" s="838"/>
      <c r="AB117" s="838"/>
      <c r="AC117" s="838"/>
      <c r="AD117" s="838"/>
      <c r="AE117" s="838"/>
      <c r="AF117" s="838"/>
      <c r="AG117" s="838"/>
      <c r="AH117" s="838"/>
      <c r="AI117" s="838"/>
      <c r="AJ117" s="838"/>
      <c r="AK117" s="838"/>
      <c r="AL117" s="838"/>
      <c r="AM117" s="838"/>
      <c r="AN117" s="838"/>
      <c r="AO117" s="838"/>
      <c r="AP117" s="838"/>
      <c r="AQ117" s="838"/>
      <c r="AR117" s="838"/>
      <c r="AS117" s="838"/>
      <c r="AT117" s="838"/>
      <c r="AU117" s="838"/>
      <c r="AV117" s="838"/>
      <c r="AW117" s="838"/>
      <c r="AX117" s="838"/>
    </row>
    <row r="118" spans="1:50">
      <c r="A118" s="838"/>
      <c r="B118" s="841"/>
      <c r="C118" s="798"/>
      <c r="D118" s="795"/>
      <c r="E118" s="798"/>
      <c r="F118" s="838"/>
      <c r="G118" s="798"/>
      <c r="H118" s="838"/>
      <c r="I118" s="838"/>
      <c r="J118" s="838"/>
      <c r="K118" s="838"/>
      <c r="L118" s="838"/>
      <c r="M118" s="838"/>
      <c r="N118" s="838"/>
      <c r="O118" s="838"/>
      <c r="P118" s="838"/>
      <c r="Q118" s="838"/>
      <c r="R118" s="838"/>
      <c r="S118" s="838"/>
      <c r="T118" s="838"/>
      <c r="U118" s="838"/>
      <c r="V118" s="838"/>
      <c r="W118" s="838"/>
      <c r="X118" s="838"/>
      <c r="Y118" s="838"/>
      <c r="Z118" s="838"/>
      <c r="AA118" s="838"/>
      <c r="AB118" s="838"/>
      <c r="AC118" s="838"/>
      <c r="AD118" s="838"/>
      <c r="AE118" s="838"/>
      <c r="AF118" s="838"/>
      <c r="AG118" s="838"/>
      <c r="AH118" s="838"/>
      <c r="AI118" s="838"/>
      <c r="AJ118" s="838"/>
      <c r="AK118" s="838"/>
      <c r="AL118" s="838"/>
      <c r="AM118" s="838"/>
      <c r="AN118" s="838"/>
      <c r="AO118" s="838"/>
      <c r="AP118" s="838"/>
      <c r="AQ118" s="838"/>
      <c r="AR118" s="838"/>
      <c r="AS118" s="838"/>
      <c r="AT118" s="838"/>
      <c r="AU118" s="838"/>
      <c r="AV118" s="838"/>
      <c r="AW118" s="838"/>
      <c r="AX118" s="838"/>
    </row>
    <row r="119" spans="1:50">
      <c r="A119" s="838"/>
      <c r="B119" s="841"/>
      <c r="C119" s="798"/>
      <c r="D119" s="795"/>
      <c r="E119" s="798"/>
      <c r="F119" s="838"/>
      <c r="G119" s="798"/>
      <c r="H119" s="838"/>
      <c r="I119" s="838"/>
      <c r="J119" s="838"/>
      <c r="K119" s="838"/>
      <c r="L119" s="838"/>
      <c r="M119" s="838"/>
      <c r="N119" s="838"/>
      <c r="O119" s="838"/>
      <c r="P119" s="838"/>
      <c r="Q119" s="838"/>
      <c r="R119" s="838"/>
      <c r="S119" s="838"/>
      <c r="T119" s="838"/>
      <c r="U119" s="838"/>
      <c r="V119" s="838"/>
      <c r="W119" s="838"/>
      <c r="X119" s="838"/>
      <c r="Y119" s="838"/>
      <c r="Z119" s="838"/>
      <c r="AA119" s="838"/>
      <c r="AB119" s="838"/>
      <c r="AC119" s="838"/>
      <c r="AD119" s="838"/>
      <c r="AE119" s="838"/>
      <c r="AF119" s="838"/>
      <c r="AG119" s="838"/>
      <c r="AH119" s="838"/>
      <c r="AI119" s="838"/>
      <c r="AJ119" s="838"/>
      <c r="AK119" s="838"/>
      <c r="AL119" s="838"/>
      <c r="AM119" s="838"/>
      <c r="AN119" s="838"/>
      <c r="AO119" s="838"/>
      <c r="AP119" s="838"/>
      <c r="AQ119" s="838"/>
      <c r="AR119" s="838"/>
      <c r="AS119" s="838"/>
      <c r="AT119" s="838"/>
      <c r="AU119" s="838"/>
      <c r="AV119" s="838"/>
      <c r="AW119" s="838"/>
      <c r="AX119" s="838"/>
    </row>
    <row r="120" spans="1:50">
      <c r="A120" s="838"/>
      <c r="B120" s="841"/>
      <c r="C120" s="798"/>
      <c r="D120" s="795"/>
      <c r="E120" s="798"/>
      <c r="F120" s="838"/>
      <c r="G120" s="798"/>
      <c r="H120" s="838"/>
      <c r="I120" s="838"/>
      <c r="J120" s="838"/>
      <c r="K120" s="838"/>
      <c r="L120" s="838"/>
      <c r="M120" s="838"/>
      <c r="N120" s="838"/>
      <c r="O120" s="838"/>
      <c r="P120" s="838"/>
      <c r="Q120" s="838"/>
      <c r="R120" s="838"/>
      <c r="S120" s="838"/>
      <c r="T120" s="838"/>
      <c r="U120" s="838"/>
      <c r="V120" s="838"/>
      <c r="W120" s="838"/>
      <c r="X120" s="838"/>
      <c r="Y120" s="838"/>
      <c r="Z120" s="838"/>
      <c r="AA120" s="838"/>
      <c r="AB120" s="838"/>
      <c r="AC120" s="838"/>
      <c r="AD120" s="838"/>
      <c r="AE120" s="838"/>
      <c r="AF120" s="838"/>
      <c r="AG120" s="838"/>
      <c r="AH120" s="838"/>
      <c r="AI120" s="838"/>
      <c r="AJ120" s="838"/>
      <c r="AK120" s="838"/>
      <c r="AL120" s="838"/>
      <c r="AM120" s="838"/>
      <c r="AN120" s="838"/>
      <c r="AO120" s="838"/>
      <c r="AP120" s="838"/>
      <c r="AQ120" s="838"/>
      <c r="AR120" s="838"/>
      <c r="AS120" s="838"/>
      <c r="AT120" s="838"/>
      <c r="AU120" s="838"/>
      <c r="AV120" s="838"/>
      <c r="AW120" s="838"/>
      <c r="AX120" s="838"/>
    </row>
    <row r="121" spans="1:50">
      <c r="A121" s="838"/>
      <c r="B121" s="841"/>
      <c r="C121" s="798"/>
      <c r="D121" s="838"/>
      <c r="E121" s="798"/>
      <c r="F121" s="838"/>
      <c r="G121" s="798"/>
      <c r="H121" s="838"/>
      <c r="I121" s="838"/>
      <c r="J121" s="838"/>
      <c r="K121" s="838"/>
      <c r="L121" s="838"/>
      <c r="M121" s="838"/>
      <c r="N121" s="838"/>
      <c r="O121" s="838"/>
      <c r="P121" s="838"/>
      <c r="Q121" s="838"/>
      <c r="R121" s="838"/>
      <c r="S121" s="838"/>
      <c r="T121" s="838"/>
      <c r="U121" s="838"/>
      <c r="V121" s="838"/>
      <c r="W121" s="838"/>
      <c r="X121" s="838"/>
      <c r="Y121" s="838"/>
      <c r="Z121" s="838"/>
      <c r="AA121" s="838"/>
      <c r="AB121" s="838"/>
      <c r="AC121" s="838"/>
      <c r="AD121" s="838"/>
      <c r="AE121" s="838"/>
      <c r="AF121" s="838"/>
      <c r="AG121" s="838"/>
      <c r="AH121" s="838"/>
      <c r="AI121" s="838"/>
      <c r="AJ121" s="838"/>
      <c r="AK121" s="838"/>
      <c r="AL121" s="838"/>
      <c r="AM121" s="838"/>
      <c r="AN121" s="838"/>
      <c r="AO121" s="838"/>
      <c r="AP121" s="838"/>
      <c r="AQ121" s="838"/>
      <c r="AR121" s="838"/>
      <c r="AS121" s="838"/>
      <c r="AT121" s="838"/>
      <c r="AU121" s="838"/>
      <c r="AV121" s="838"/>
      <c r="AW121" s="838"/>
      <c r="AX121" s="838"/>
    </row>
    <row r="122" spans="1:50">
      <c r="A122" s="838"/>
      <c r="B122" s="841"/>
      <c r="C122" s="798"/>
      <c r="D122" s="798"/>
      <c r="E122" s="798"/>
      <c r="F122" s="838"/>
      <c r="G122" s="798"/>
      <c r="H122" s="838"/>
      <c r="I122" s="838"/>
      <c r="J122" s="838"/>
      <c r="K122" s="838"/>
      <c r="L122" s="838"/>
      <c r="M122" s="838"/>
      <c r="N122" s="838"/>
      <c r="O122" s="838"/>
      <c r="P122" s="838"/>
      <c r="Q122" s="838"/>
      <c r="R122" s="838"/>
      <c r="S122" s="838"/>
      <c r="T122" s="838"/>
      <c r="U122" s="838"/>
      <c r="V122" s="838"/>
      <c r="W122" s="838"/>
      <c r="X122" s="838"/>
      <c r="Y122" s="838"/>
      <c r="Z122" s="838"/>
      <c r="AA122" s="838"/>
      <c r="AB122" s="838"/>
      <c r="AC122" s="838"/>
      <c r="AD122" s="838"/>
      <c r="AE122" s="838"/>
      <c r="AF122" s="838"/>
      <c r="AG122" s="838"/>
      <c r="AH122" s="838"/>
      <c r="AI122" s="838"/>
      <c r="AJ122" s="838"/>
      <c r="AK122" s="838"/>
      <c r="AL122" s="838"/>
      <c r="AM122" s="838"/>
      <c r="AN122" s="838"/>
      <c r="AO122" s="838"/>
      <c r="AP122" s="838"/>
      <c r="AQ122" s="838"/>
      <c r="AR122" s="838"/>
      <c r="AS122" s="838"/>
      <c r="AT122" s="838"/>
      <c r="AU122" s="838"/>
      <c r="AV122" s="838"/>
      <c r="AW122" s="838"/>
      <c r="AX122" s="838"/>
    </row>
    <row r="123" spans="1:50">
      <c r="A123" s="838"/>
      <c r="B123" s="841"/>
      <c r="C123" s="798"/>
      <c r="D123" s="838"/>
      <c r="E123" s="798"/>
      <c r="F123" s="838"/>
      <c r="G123" s="798"/>
      <c r="H123" s="838"/>
      <c r="I123" s="838"/>
      <c r="J123" s="838"/>
      <c r="K123" s="838"/>
      <c r="L123" s="838"/>
      <c r="M123" s="838"/>
      <c r="N123" s="838"/>
      <c r="O123" s="838"/>
      <c r="P123" s="838"/>
      <c r="Q123" s="838"/>
      <c r="R123" s="838"/>
      <c r="S123" s="838"/>
      <c r="T123" s="838"/>
      <c r="U123" s="838"/>
      <c r="V123" s="838"/>
      <c r="W123" s="838"/>
      <c r="X123" s="838"/>
      <c r="Y123" s="838"/>
      <c r="Z123" s="838"/>
      <c r="AA123" s="838"/>
      <c r="AB123" s="838"/>
      <c r="AC123" s="838"/>
      <c r="AD123" s="838"/>
      <c r="AE123" s="838"/>
      <c r="AF123" s="838"/>
      <c r="AG123" s="838"/>
      <c r="AH123" s="838"/>
      <c r="AI123" s="838"/>
      <c r="AJ123" s="838"/>
      <c r="AK123" s="838"/>
      <c r="AL123" s="838"/>
      <c r="AM123" s="838"/>
      <c r="AN123" s="838"/>
      <c r="AO123" s="838"/>
      <c r="AP123" s="838"/>
      <c r="AQ123" s="838"/>
      <c r="AR123" s="838"/>
      <c r="AS123" s="838"/>
      <c r="AT123" s="838"/>
      <c r="AU123" s="838"/>
      <c r="AV123" s="838"/>
      <c r="AW123" s="838"/>
      <c r="AX123" s="838"/>
    </row>
    <row r="124" spans="1:50">
      <c r="A124" s="838"/>
      <c r="B124" s="841"/>
      <c r="C124" s="798"/>
      <c r="D124" s="795"/>
      <c r="E124" s="798"/>
      <c r="F124" s="838"/>
      <c r="G124" s="798"/>
      <c r="H124" s="838"/>
      <c r="I124" s="838"/>
      <c r="J124" s="838"/>
      <c r="K124" s="838"/>
      <c r="L124" s="838"/>
      <c r="M124" s="838"/>
      <c r="N124" s="838"/>
      <c r="O124" s="838"/>
      <c r="P124" s="838"/>
      <c r="Q124" s="838"/>
      <c r="R124" s="838"/>
      <c r="S124" s="838"/>
      <c r="T124" s="838"/>
      <c r="U124" s="838"/>
      <c r="V124" s="838"/>
      <c r="W124" s="838"/>
      <c r="X124" s="838"/>
      <c r="Y124" s="838"/>
      <c r="Z124" s="838"/>
      <c r="AA124" s="838"/>
      <c r="AB124" s="838"/>
      <c r="AC124" s="838"/>
      <c r="AD124" s="838"/>
      <c r="AE124" s="838"/>
      <c r="AF124" s="838"/>
      <c r="AG124" s="838"/>
      <c r="AH124" s="838"/>
      <c r="AI124" s="838"/>
      <c r="AJ124" s="838"/>
      <c r="AK124" s="838"/>
      <c r="AL124" s="838"/>
      <c r="AM124" s="838"/>
      <c r="AN124" s="838"/>
      <c r="AO124" s="838"/>
      <c r="AP124" s="838"/>
      <c r="AQ124" s="838"/>
      <c r="AR124" s="838"/>
      <c r="AS124" s="838"/>
      <c r="AT124" s="838"/>
      <c r="AU124" s="838"/>
      <c r="AV124" s="838"/>
      <c r="AW124" s="838"/>
      <c r="AX124" s="838"/>
    </row>
    <row r="125" spans="1:50">
      <c r="A125" s="838"/>
      <c r="B125" s="841"/>
      <c r="C125" s="798"/>
      <c r="D125" s="798"/>
      <c r="E125" s="798"/>
      <c r="F125" s="838"/>
      <c r="G125" s="798"/>
      <c r="H125" s="838"/>
      <c r="I125" s="838"/>
      <c r="J125" s="838"/>
      <c r="K125" s="838"/>
      <c r="L125" s="838"/>
      <c r="M125" s="838"/>
      <c r="N125" s="838"/>
      <c r="O125" s="838"/>
      <c r="P125" s="838"/>
      <c r="Q125" s="838"/>
      <c r="R125" s="838"/>
      <c r="S125" s="838"/>
      <c r="T125" s="838"/>
      <c r="U125" s="838"/>
      <c r="V125" s="838"/>
      <c r="W125" s="838"/>
      <c r="X125" s="838"/>
      <c r="Y125" s="838"/>
      <c r="Z125" s="838"/>
      <c r="AA125" s="838"/>
      <c r="AB125" s="838"/>
      <c r="AC125" s="838"/>
      <c r="AD125" s="838"/>
      <c r="AE125" s="838"/>
      <c r="AF125" s="838"/>
      <c r="AG125" s="838"/>
      <c r="AH125" s="838"/>
      <c r="AI125" s="838"/>
      <c r="AJ125" s="838"/>
      <c r="AK125" s="838"/>
      <c r="AL125" s="838"/>
      <c r="AM125" s="838"/>
      <c r="AN125" s="838"/>
      <c r="AO125" s="838"/>
      <c r="AP125" s="838"/>
      <c r="AQ125" s="838"/>
      <c r="AR125" s="838"/>
      <c r="AS125" s="838"/>
      <c r="AT125" s="838"/>
      <c r="AU125" s="838"/>
      <c r="AV125" s="838"/>
      <c r="AW125" s="838"/>
      <c r="AX125" s="838"/>
    </row>
    <row r="126" spans="1:50">
      <c r="A126" s="838"/>
      <c r="B126" s="841"/>
      <c r="C126" s="798"/>
      <c r="D126" s="838"/>
      <c r="E126" s="798"/>
      <c r="F126" s="838"/>
      <c r="G126" s="798"/>
      <c r="H126" s="838"/>
      <c r="I126" s="838"/>
      <c r="J126" s="838"/>
      <c r="K126" s="838"/>
      <c r="L126" s="838"/>
      <c r="M126" s="838"/>
      <c r="N126" s="838"/>
      <c r="O126" s="838"/>
      <c r="P126" s="838"/>
      <c r="Q126" s="838"/>
      <c r="R126" s="838"/>
      <c r="S126" s="838"/>
      <c r="T126" s="838"/>
      <c r="U126" s="838"/>
      <c r="V126" s="838"/>
      <c r="W126" s="838"/>
      <c r="X126" s="838"/>
      <c r="Y126" s="838"/>
      <c r="Z126" s="838"/>
      <c r="AA126" s="838"/>
      <c r="AB126" s="838"/>
      <c r="AC126" s="838"/>
      <c r="AD126" s="838"/>
      <c r="AE126" s="838"/>
      <c r="AF126" s="838"/>
      <c r="AG126" s="838"/>
      <c r="AH126" s="838"/>
      <c r="AI126" s="838"/>
      <c r="AJ126" s="838"/>
      <c r="AK126" s="838"/>
      <c r="AL126" s="838"/>
      <c r="AM126" s="838"/>
      <c r="AN126" s="838"/>
      <c r="AO126" s="838"/>
      <c r="AP126" s="838"/>
      <c r="AQ126" s="838"/>
      <c r="AR126" s="838"/>
      <c r="AS126" s="838"/>
      <c r="AT126" s="838"/>
      <c r="AU126" s="838"/>
      <c r="AV126" s="838"/>
      <c r="AW126" s="838"/>
      <c r="AX126" s="838"/>
    </row>
    <row r="127" spans="1:50">
      <c r="A127" s="838"/>
      <c r="B127" s="841"/>
      <c r="C127" s="798"/>
      <c r="D127" s="838"/>
      <c r="E127" s="798"/>
      <c r="F127" s="838"/>
      <c r="G127" s="798"/>
      <c r="H127" s="838"/>
      <c r="I127" s="838"/>
      <c r="J127" s="838"/>
      <c r="K127" s="838"/>
      <c r="L127" s="838"/>
      <c r="M127" s="838"/>
      <c r="N127" s="838"/>
      <c r="O127" s="838"/>
      <c r="P127" s="838"/>
      <c r="Q127" s="838"/>
      <c r="R127" s="838"/>
      <c r="S127" s="838"/>
      <c r="T127" s="838"/>
      <c r="U127" s="838"/>
      <c r="V127" s="838"/>
      <c r="W127" s="838"/>
      <c r="X127" s="838"/>
      <c r="Y127" s="838"/>
      <c r="Z127" s="838"/>
      <c r="AA127" s="838"/>
      <c r="AB127" s="838"/>
      <c r="AC127" s="838"/>
      <c r="AD127" s="838"/>
      <c r="AE127" s="838"/>
      <c r="AF127" s="838"/>
      <c r="AG127" s="838"/>
      <c r="AH127" s="838"/>
      <c r="AI127" s="838"/>
      <c r="AJ127" s="838"/>
      <c r="AK127" s="838"/>
      <c r="AL127" s="838"/>
      <c r="AM127" s="838"/>
      <c r="AN127" s="838"/>
      <c r="AO127" s="838"/>
      <c r="AP127" s="838"/>
      <c r="AQ127" s="838"/>
      <c r="AR127" s="838"/>
      <c r="AS127" s="838"/>
      <c r="AT127" s="838"/>
      <c r="AU127" s="838"/>
      <c r="AV127" s="838"/>
      <c r="AW127" s="838"/>
      <c r="AX127" s="838"/>
    </row>
    <row r="128" spans="1:50">
      <c r="A128" s="838"/>
      <c r="B128" s="841"/>
      <c r="C128" s="798"/>
      <c r="D128" s="838"/>
      <c r="E128" s="798"/>
      <c r="F128" s="838"/>
      <c r="G128" s="798"/>
      <c r="H128" s="838"/>
      <c r="I128" s="838"/>
      <c r="J128" s="838"/>
      <c r="K128" s="838"/>
      <c r="L128" s="838"/>
      <c r="M128" s="838"/>
      <c r="N128" s="838"/>
      <c r="O128" s="838"/>
      <c r="P128" s="838"/>
      <c r="Q128" s="838"/>
      <c r="R128" s="838"/>
      <c r="S128" s="838"/>
      <c r="T128" s="838"/>
      <c r="U128" s="838"/>
      <c r="V128" s="838"/>
      <c r="W128" s="838"/>
      <c r="X128" s="838"/>
      <c r="Y128" s="838"/>
      <c r="Z128" s="838"/>
      <c r="AA128" s="838"/>
      <c r="AB128" s="838"/>
      <c r="AC128" s="838"/>
      <c r="AD128" s="838"/>
      <c r="AE128" s="838"/>
      <c r="AF128" s="838"/>
      <c r="AG128" s="838"/>
      <c r="AH128" s="838"/>
      <c r="AI128" s="838"/>
      <c r="AJ128" s="838"/>
      <c r="AK128" s="838"/>
      <c r="AL128" s="838"/>
      <c r="AM128" s="838"/>
      <c r="AN128" s="838"/>
      <c r="AO128" s="838"/>
      <c r="AP128" s="838"/>
      <c r="AQ128" s="838"/>
      <c r="AR128" s="838"/>
      <c r="AS128" s="838"/>
      <c r="AT128" s="838"/>
      <c r="AU128" s="838"/>
      <c r="AV128" s="838"/>
      <c r="AW128" s="838"/>
      <c r="AX128" s="838"/>
    </row>
    <row r="129" spans="1:50">
      <c r="A129" s="843"/>
      <c r="B129" s="844"/>
      <c r="C129" s="845"/>
      <c r="D129" s="843"/>
      <c r="E129" s="845"/>
      <c r="F129" s="843"/>
      <c r="G129" s="845"/>
      <c r="H129" s="843"/>
      <c r="I129" s="843"/>
      <c r="J129" s="843"/>
      <c r="K129" s="843"/>
      <c r="L129" s="843"/>
      <c r="M129" s="843"/>
      <c r="N129" s="843"/>
      <c r="O129" s="843"/>
      <c r="P129" s="843"/>
      <c r="Q129" s="843"/>
      <c r="R129" s="843"/>
      <c r="S129" s="843"/>
      <c r="T129" s="843"/>
      <c r="U129" s="843"/>
      <c r="V129" s="843"/>
      <c r="W129" s="843"/>
      <c r="X129" s="843"/>
      <c r="Y129" s="843"/>
      <c r="Z129" s="843"/>
      <c r="AA129" s="843"/>
      <c r="AB129" s="843"/>
      <c r="AC129" s="843"/>
      <c r="AD129" s="843"/>
      <c r="AE129" s="843"/>
      <c r="AF129" s="843"/>
      <c r="AG129" s="843"/>
      <c r="AH129" s="843"/>
      <c r="AI129" s="843"/>
      <c r="AJ129" s="843"/>
      <c r="AK129" s="843"/>
      <c r="AL129" s="843"/>
      <c r="AM129" s="843"/>
      <c r="AN129" s="843"/>
      <c r="AO129" s="843"/>
      <c r="AP129" s="843"/>
      <c r="AQ129" s="843"/>
      <c r="AR129" s="843"/>
      <c r="AS129" s="843"/>
      <c r="AT129" s="843"/>
      <c r="AU129" s="843"/>
      <c r="AV129" s="843"/>
      <c r="AW129" s="843"/>
      <c r="AX129" s="843"/>
    </row>
    <row r="130" spans="1:50">
      <c r="A130" s="838"/>
      <c r="B130" s="841"/>
      <c r="C130" s="798"/>
      <c r="D130" s="838"/>
      <c r="E130" s="798"/>
      <c r="F130" s="838"/>
      <c r="G130" s="798"/>
      <c r="H130" s="838"/>
      <c r="I130" s="838"/>
      <c r="J130" s="838"/>
      <c r="K130" s="838"/>
      <c r="L130" s="838"/>
      <c r="M130" s="838"/>
      <c r="N130" s="838"/>
      <c r="O130" s="838"/>
      <c r="P130" s="838"/>
      <c r="Q130" s="838"/>
      <c r="R130" s="838"/>
      <c r="S130" s="838"/>
      <c r="T130" s="838"/>
      <c r="U130" s="838"/>
      <c r="V130" s="838"/>
      <c r="W130" s="838"/>
      <c r="X130" s="838"/>
      <c r="Y130" s="838"/>
      <c r="Z130" s="838"/>
      <c r="AA130" s="838"/>
      <c r="AB130" s="838"/>
      <c r="AC130" s="838"/>
      <c r="AD130" s="838"/>
      <c r="AE130" s="838"/>
      <c r="AF130" s="838"/>
      <c r="AG130" s="838"/>
      <c r="AH130" s="838"/>
      <c r="AI130" s="838"/>
      <c r="AJ130" s="838"/>
      <c r="AK130" s="838"/>
      <c r="AL130" s="838"/>
      <c r="AM130" s="838"/>
      <c r="AN130" s="838"/>
      <c r="AO130" s="838"/>
      <c r="AP130" s="838"/>
      <c r="AQ130" s="838"/>
      <c r="AR130" s="838"/>
      <c r="AS130" s="838"/>
      <c r="AT130" s="838"/>
      <c r="AU130" s="838"/>
      <c r="AV130" s="838"/>
      <c r="AW130" s="838"/>
      <c r="AX130" s="838"/>
    </row>
    <row r="131" spans="1:50">
      <c r="A131" s="838"/>
      <c r="B131" s="841"/>
      <c r="C131" s="798"/>
      <c r="D131" s="838"/>
      <c r="E131" s="798"/>
      <c r="F131" s="838"/>
      <c r="G131" s="798"/>
      <c r="H131" s="838"/>
      <c r="I131" s="838"/>
      <c r="J131" s="838"/>
      <c r="K131" s="838"/>
      <c r="L131" s="838"/>
      <c r="M131" s="838"/>
      <c r="N131" s="838"/>
      <c r="O131" s="838"/>
      <c r="P131" s="838"/>
      <c r="Q131" s="838"/>
      <c r="R131" s="838"/>
      <c r="S131" s="838"/>
      <c r="T131" s="838"/>
      <c r="U131" s="838"/>
      <c r="V131" s="838"/>
      <c r="W131" s="838"/>
      <c r="X131" s="838"/>
      <c r="Y131" s="838"/>
      <c r="Z131" s="838"/>
      <c r="AA131" s="838"/>
      <c r="AB131" s="838"/>
      <c r="AC131" s="838"/>
      <c r="AD131" s="838"/>
      <c r="AE131" s="838"/>
      <c r="AF131" s="838"/>
      <c r="AG131" s="838"/>
      <c r="AH131" s="838"/>
      <c r="AI131" s="838"/>
      <c r="AJ131" s="838"/>
      <c r="AK131" s="838"/>
      <c r="AL131" s="838"/>
      <c r="AM131" s="838"/>
      <c r="AN131" s="838"/>
      <c r="AO131" s="838"/>
      <c r="AP131" s="838"/>
      <c r="AQ131" s="838"/>
      <c r="AR131" s="838"/>
      <c r="AS131" s="838"/>
      <c r="AT131" s="838"/>
      <c r="AU131" s="838"/>
      <c r="AV131" s="838"/>
      <c r="AW131" s="838"/>
      <c r="AX131" s="838"/>
    </row>
    <row r="132" spans="1:50">
      <c r="A132" s="838"/>
      <c r="B132" s="841"/>
      <c r="C132" s="798"/>
      <c r="D132" s="838"/>
      <c r="E132" s="798"/>
      <c r="F132" s="838"/>
      <c r="G132" s="798"/>
      <c r="H132" s="838"/>
      <c r="I132" s="838"/>
      <c r="J132" s="838"/>
      <c r="K132" s="838"/>
      <c r="L132" s="838"/>
      <c r="M132" s="838"/>
      <c r="N132" s="838"/>
      <c r="O132" s="838"/>
      <c r="P132" s="838"/>
      <c r="Q132" s="838"/>
      <c r="R132" s="838"/>
      <c r="S132" s="838"/>
      <c r="T132" s="838"/>
      <c r="U132" s="838"/>
      <c r="V132" s="838"/>
      <c r="W132" s="838"/>
      <c r="X132" s="838"/>
      <c r="Y132" s="838"/>
      <c r="Z132" s="838"/>
      <c r="AA132" s="838"/>
      <c r="AB132" s="838"/>
      <c r="AC132" s="838"/>
      <c r="AD132" s="838"/>
      <c r="AE132" s="838"/>
      <c r="AF132" s="838"/>
      <c r="AG132" s="838"/>
      <c r="AH132" s="838"/>
      <c r="AI132" s="838"/>
      <c r="AJ132" s="838"/>
      <c r="AK132" s="838"/>
      <c r="AL132" s="838"/>
      <c r="AM132" s="838"/>
      <c r="AN132" s="838"/>
      <c r="AO132" s="838"/>
      <c r="AP132" s="838"/>
      <c r="AQ132" s="838"/>
      <c r="AR132" s="838"/>
      <c r="AS132" s="838"/>
      <c r="AT132" s="838"/>
      <c r="AU132" s="838"/>
      <c r="AV132" s="838"/>
      <c r="AW132" s="838"/>
      <c r="AX132" s="838"/>
    </row>
    <row r="133" spans="1:50">
      <c r="A133" s="838"/>
      <c r="B133" s="841"/>
      <c r="C133" s="798"/>
      <c r="D133" s="838"/>
      <c r="E133" s="798"/>
      <c r="F133" s="838"/>
      <c r="G133" s="798"/>
      <c r="H133" s="838"/>
      <c r="I133" s="838"/>
      <c r="J133" s="838"/>
      <c r="K133" s="838"/>
      <c r="L133" s="838"/>
      <c r="M133" s="838"/>
      <c r="N133" s="838"/>
      <c r="O133" s="838"/>
      <c r="P133" s="838"/>
      <c r="Q133" s="838"/>
      <c r="R133" s="838"/>
      <c r="S133" s="838"/>
      <c r="T133" s="838"/>
      <c r="U133" s="838"/>
      <c r="V133" s="838"/>
      <c r="W133" s="838"/>
      <c r="X133" s="838"/>
      <c r="Y133" s="838"/>
      <c r="Z133" s="838"/>
      <c r="AA133" s="838"/>
      <c r="AB133" s="838"/>
      <c r="AC133" s="838"/>
      <c r="AD133" s="838"/>
      <c r="AE133" s="838"/>
      <c r="AF133" s="838"/>
      <c r="AG133" s="838"/>
      <c r="AH133" s="838"/>
      <c r="AI133" s="838"/>
      <c r="AJ133" s="838"/>
      <c r="AK133" s="838"/>
      <c r="AL133" s="838"/>
      <c r="AM133" s="838"/>
      <c r="AN133" s="838"/>
      <c r="AO133" s="838"/>
      <c r="AP133" s="838"/>
      <c r="AQ133" s="838"/>
      <c r="AR133" s="838"/>
      <c r="AS133" s="838"/>
      <c r="AT133" s="838"/>
      <c r="AU133" s="838"/>
      <c r="AV133" s="838"/>
      <c r="AW133" s="838"/>
      <c r="AX133" s="838"/>
    </row>
    <row r="134" spans="1:50">
      <c r="A134" s="838"/>
      <c r="B134" s="841"/>
      <c r="C134" s="798"/>
      <c r="D134" s="838"/>
      <c r="E134" s="798"/>
      <c r="F134" s="838"/>
      <c r="G134" s="798"/>
      <c r="H134" s="838"/>
      <c r="I134" s="838"/>
      <c r="J134" s="838"/>
      <c r="K134" s="838"/>
      <c r="L134" s="838"/>
      <c r="M134" s="838"/>
      <c r="N134" s="838"/>
      <c r="O134" s="838"/>
      <c r="P134" s="838"/>
      <c r="Q134" s="838"/>
      <c r="R134" s="838"/>
      <c r="S134" s="838"/>
      <c r="T134" s="838"/>
      <c r="U134" s="838"/>
      <c r="V134" s="838"/>
      <c r="W134" s="838"/>
      <c r="X134" s="838"/>
      <c r="Y134" s="838"/>
      <c r="Z134" s="838"/>
      <c r="AA134" s="838"/>
      <c r="AB134" s="838"/>
      <c r="AC134" s="838"/>
      <c r="AD134" s="838"/>
      <c r="AE134" s="838"/>
      <c r="AF134" s="838"/>
      <c r="AG134" s="838"/>
      <c r="AH134" s="838"/>
      <c r="AI134" s="838"/>
      <c r="AJ134" s="838"/>
      <c r="AK134" s="838"/>
      <c r="AL134" s="838"/>
      <c r="AM134" s="838"/>
      <c r="AN134" s="838"/>
      <c r="AO134" s="838"/>
      <c r="AP134" s="838"/>
      <c r="AQ134" s="838"/>
      <c r="AR134" s="838"/>
      <c r="AS134" s="838"/>
      <c r="AT134" s="838"/>
      <c r="AU134" s="838"/>
      <c r="AV134" s="838"/>
      <c r="AW134" s="838"/>
      <c r="AX134" s="838"/>
    </row>
    <row r="135" spans="1:50">
      <c r="A135" s="842"/>
      <c r="B135" s="848"/>
      <c r="C135" s="798"/>
      <c r="D135" s="842"/>
      <c r="E135" s="798"/>
      <c r="F135" s="842"/>
      <c r="G135" s="798"/>
      <c r="H135" s="842"/>
      <c r="I135" s="842"/>
      <c r="J135" s="842"/>
      <c r="K135" s="842"/>
      <c r="L135" s="842"/>
      <c r="M135" s="842"/>
      <c r="N135" s="842"/>
      <c r="O135" s="842"/>
      <c r="P135" s="842"/>
      <c r="Q135" s="842"/>
      <c r="R135" s="842"/>
      <c r="S135" s="842"/>
      <c r="T135" s="842"/>
      <c r="U135" s="842"/>
      <c r="V135" s="842"/>
      <c r="W135" s="842"/>
      <c r="X135" s="842"/>
      <c r="Y135" s="842"/>
      <c r="Z135" s="842"/>
      <c r="AA135" s="842"/>
      <c r="AB135" s="842"/>
      <c r="AC135" s="842"/>
      <c r="AD135" s="842"/>
      <c r="AE135" s="842"/>
      <c r="AF135" s="842"/>
      <c r="AG135" s="842"/>
      <c r="AH135" s="842"/>
      <c r="AI135" s="842"/>
      <c r="AJ135" s="842"/>
      <c r="AK135" s="842"/>
      <c r="AL135" s="842"/>
      <c r="AM135" s="842"/>
      <c r="AN135" s="842"/>
      <c r="AO135" s="842"/>
      <c r="AP135" s="842"/>
      <c r="AQ135" s="842"/>
      <c r="AR135" s="842"/>
      <c r="AS135" s="842"/>
      <c r="AT135" s="842"/>
      <c r="AU135" s="842"/>
      <c r="AV135" s="842"/>
      <c r="AW135" s="842"/>
      <c r="AX135" s="842"/>
    </row>
    <row r="136" spans="1:50">
      <c r="A136" s="843"/>
      <c r="B136" s="844"/>
      <c r="C136" s="845"/>
      <c r="D136" s="845"/>
      <c r="E136" s="845"/>
      <c r="F136" s="843"/>
      <c r="G136" s="845"/>
      <c r="H136" s="843"/>
      <c r="I136" s="843"/>
      <c r="J136" s="843"/>
      <c r="K136" s="843"/>
      <c r="L136" s="843"/>
      <c r="M136" s="843"/>
      <c r="N136" s="843"/>
      <c r="O136" s="843"/>
      <c r="P136" s="843"/>
      <c r="Q136" s="843"/>
      <c r="R136" s="843"/>
      <c r="S136" s="843"/>
      <c r="T136" s="843"/>
      <c r="U136" s="843"/>
      <c r="V136" s="843"/>
      <c r="W136" s="843"/>
      <c r="X136" s="843"/>
      <c r="Y136" s="843"/>
      <c r="Z136" s="843"/>
      <c r="AA136" s="843"/>
      <c r="AB136" s="843"/>
      <c r="AC136" s="843"/>
      <c r="AD136" s="843"/>
      <c r="AE136" s="843"/>
      <c r="AF136" s="843"/>
      <c r="AG136" s="843"/>
      <c r="AH136" s="843"/>
      <c r="AI136" s="843"/>
      <c r="AJ136" s="843"/>
      <c r="AK136" s="843"/>
      <c r="AL136" s="843"/>
      <c r="AM136" s="843"/>
      <c r="AN136" s="843"/>
      <c r="AO136" s="843"/>
      <c r="AP136" s="843"/>
      <c r="AQ136" s="843"/>
      <c r="AR136" s="843"/>
      <c r="AS136" s="843"/>
      <c r="AT136" s="843"/>
      <c r="AU136" s="843"/>
      <c r="AV136" s="843"/>
      <c r="AW136" s="843"/>
      <c r="AX136" s="843"/>
    </row>
    <row r="137" spans="1:50">
      <c r="A137" s="838"/>
      <c r="B137" s="841"/>
      <c r="C137" s="809"/>
      <c r="D137" s="846"/>
      <c r="E137" s="809"/>
      <c r="F137" s="846"/>
      <c r="G137" s="809"/>
      <c r="H137" s="838"/>
      <c r="I137" s="838"/>
      <c r="J137" s="838"/>
      <c r="K137" s="838"/>
      <c r="L137" s="838"/>
      <c r="M137" s="838"/>
      <c r="N137" s="838"/>
      <c r="O137" s="838"/>
      <c r="P137" s="838"/>
      <c r="Q137" s="838"/>
      <c r="R137" s="838"/>
      <c r="S137" s="838"/>
      <c r="T137" s="838"/>
      <c r="U137" s="838"/>
      <c r="V137" s="838"/>
      <c r="W137" s="838"/>
      <c r="X137" s="838"/>
      <c r="Y137" s="838"/>
      <c r="Z137" s="838"/>
      <c r="AA137" s="838"/>
      <c r="AB137" s="838"/>
      <c r="AC137" s="838"/>
      <c r="AD137" s="838"/>
      <c r="AE137" s="838"/>
      <c r="AF137" s="838"/>
      <c r="AG137" s="838"/>
      <c r="AH137" s="838"/>
      <c r="AI137" s="838"/>
      <c r="AJ137" s="838"/>
      <c r="AK137" s="838"/>
      <c r="AL137" s="838"/>
      <c r="AM137" s="838"/>
      <c r="AN137" s="838"/>
      <c r="AO137" s="838"/>
      <c r="AP137" s="838"/>
      <c r="AQ137" s="838"/>
      <c r="AR137" s="838"/>
      <c r="AS137" s="838"/>
      <c r="AT137" s="838"/>
      <c r="AU137" s="838"/>
      <c r="AV137" s="838"/>
      <c r="AW137" s="838"/>
      <c r="AX137" s="838"/>
    </row>
    <row r="138" spans="1:50">
      <c r="A138" s="842"/>
      <c r="B138" s="848"/>
      <c r="C138" s="798"/>
      <c r="D138" s="842"/>
      <c r="E138" s="798"/>
      <c r="F138" s="842"/>
      <c r="G138" s="798"/>
      <c r="H138" s="842"/>
      <c r="I138" s="842"/>
      <c r="J138" s="842"/>
      <c r="K138" s="842"/>
      <c r="L138" s="842"/>
      <c r="M138" s="842"/>
      <c r="N138" s="842"/>
      <c r="O138" s="842"/>
      <c r="P138" s="842"/>
      <c r="Q138" s="842"/>
      <c r="R138" s="842"/>
      <c r="S138" s="842"/>
      <c r="T138" s="842"/>
      <c r="U138" s="842"/>
      <c r="V138" s="842"/>
      <c r="W138" s="842"/>
      <c r="X138" s="842"/>
      <c r="Y138" s="842"/>
      <c r="Z138" s="842"/>
      <c r="AA138" s="842"/>
      <c r="AB138" s="842"/>
      <c r="AC138" s="842"/>
      <c r="AD138" s="842"/>
      <c r="AE138" s="842"/>
      <c r="AF138" s="842"/>
      <c r="AG138" s="842"/>
      <c r="AH138" s="842"/>
      <c r="AI138" s="842"/>
      <c r="AJ138" s="842"/>
      <c r="AK138" s="842"/>
      <c r="AL138" s="842"/>
      <c r="AM138" s="842"/>
      <c r="AN138" s="842"/>
      <c r="AO138" s="842"/>
      <c r="AP138" s="842"/>
      <c r="AQ138" s="842"/>
      <c r="AR138" s="842"/>
      <c r="AS138" s="842"/>
      <c r="AT138" s="842"/>
      <c r="AU138" s="842"/>
      <c r="AV138" s="842"/>
      <c r="AW138" s="842"/>
      <c r="AX138" s="842"/>
    </row>
    <row r="139" spans="1:50">
      <c r="A139" s="843"/>
      <c r="B139" s="844"/>
      <c r="C139" s="845"/>
      <c r="D139" s="845"/>
      <c r="E139" s="845"/>
      <c r="F139" s="843"/>
      <c r="G139" s="845"/>
      <c r="H139" s="843"/>
      <c r="I139" s="843"/>
      <c r="J139" s="843"/>
      <c r="K139" s="843"/>
      <c r="L139" s="843"/>
      <c r="M139" s="843"/>
      <c r="N139" s="843"/>
      <c r="O139" s="843"/>
      <c r="P139" s="843"/>
      <c r="Q139" s="843"/>
      <c r="R139" s="843"/>
      <c r="S139" s="843"/>
      <c r="T139" s="843"/>
      <c r="U139" s="843"/>
      <c r="V139" s="843"/>
      <c r="W139" s="843"/>
      <c r="X139" s="843"/>
      <c r="Y139" s="843"/>
      <c r="Z139" s="843"/>
      <c r="AA139" s="843"/>
      <c r="AB139" s="843"/>
      <c r="AC139" s="843"/>
      <c r="AD139" s="843"/>
      <c r="AE139" s="843"/>
      <c r="AF139" s="843"/>
      <c r="AG139" s="843"/>
      <c r="AH139" s="843"/>
      <c r="AI139" s="843"/>
      <c r="AJ139" s="843"/>
      <c r="AK139" s="843"/>
      <c r="AL139" s="843"/>
      <c r="AM139" s="843"/>
      <c r="AN139" s="843"/>
      <c r="AO139" s="843"/>
      <c r="AP139" s="843"/>
      <c r="AQ139" s="843"/>
      <c r="AR139" s="843"/>
      <c r="AS139" s="843"/>
      <c r="AT139" s="843"/>
      <c r="AU139" s="843"/>
      <c r="AV139" s="843"/>
      <c r="AW139" s="843"/>
      <c r="AX139" s="843"/>
    </row>
    <row r="140" spans="1:50">
      <c r="A140" s="838"/>
      <c r="B140" s="841"/>
      <c r="C140" s="798"/>
      <c r="D140" s="838"/>
      <c r="E140" s="798"/>
      <c r="F140" s="838"/>
      <c r="G140" s="798"/>
      <c r="H140" s="838"/>
      <c r="I140" s="838"/>
      <c r="J140" s="838"/>
      <c r="K140" s="838"/>
      <c r="L140" s="838"/>
      <c r="M140" s="838"/>
      <c r="N140" s="838"/>
      <c r="O140" s="838"/>
      <c r="P140" s="838"/>
      <c r="Q140" s="838"/>
      <c r="R140" s="838"/>
      <c r="S140" s="838"/>
      <c r="T140" s="838"/>
      <c r="U140" s="838"/>
      <c r="V140" s="838"/>
      <c r="W140" s="838"/>
      <c r="X140" s="838"/>
      <c r="Y140" s="838"/>
      <c r="Z140" s="838"/>
      <c r="AA140" s="838"/>
      <c r="AB140" s="838"/>
      <c r="AC140" s="838"/>
      <c r="AD140" s="838"/>
      <c r="AE140" s="838"/>
      <c r="AF140" s="838"/>
      <c r="AG140" s="838"/>
      <c r="AH140" s="838"/>
      <c r="AI140" s="838"/>
      <c r="AJ140" s="838"/>
      <c r="AK140" s="838"/>
      <c r="AL140" s="838"/>
      <c r="AM140" s="838"/>
      <c r="AN140" s="838"/>
      <c r="AO140" s="838"/>
      <c r="AP140" s="838"/>
      <c r="AQ140" s="838"/>
      <c r="AR140" s="838"/>
      <c r="AS140" s="838"/>
      <c r="AT140" s="838"/>
      <c r="AU140" s="838"/>
      <c r="AV140" s="838"/>
      <c r="AW140" s="838"/>
      <c r="AX140" s="838"/>
    </row>
    <row r="141" spans="1:50">
      <c r="A141" s="842"/>
      <c r="B141" s="848"/>
      <c r="C141" s="798"/>
      <c r="D141" s="842"/>
      <c r="E141" s="798"/>
      <c r="F141" s="842"/>
      <c r="G141" s="798"/>
      <c r="H141" s="842"/>
      <c r="I141" s="842"/>
      <c r="J141" s="842"/>
      <c r="K141" s="842"/>
      <c r="L141" s="842"/>
      <c r="M141" s="842"/>
      <c r="N141" s="842"/>
      <c r="O141" s="842"/>
      <c r="P141" s="842"/>
      <c r="Q141" s="842"/>
      <c r="R141" s="842"/>
      <c r="S141" s="842"/>
      <c r="T141" s="842"/>
      <c r="U141" s="842"/>
      <c r="V141" s="842"/>
      <c r="W141" s="842"/>
      <c r="X141" s="842"/>
      <c r="Y141" s="842"/>
      <c r="Z141" s="842"/>
      <c r="AA141" s="842"/>
      <c r="AB141" s="842"/>
      <c r="AC141" s="842"/>
      <c r="AD141" s="842"/>
      <c r="AE141" s="842"/>
      <c r="AF141" s="842"/>
      <c r="AG141" s="842"/>
      <c r="AH141" s="842"/>
      <c r="AI141" s="842"/>
      <c r="AJ141" s="842"/>
      <c r="AK141" s="842"/>
      <c r="AL141" s="842"/>
      <c r="AM141" s="842"/>
      <c r="AN141" s="842"/>
      <c r="AO141" s="842"/>
      <c r="AP141" s="842"/>
      <c r="AQ141" s="842"/>
      <c r="AR141" s="842"/>
      <c r="AS141" s="842"/>
      <c r="AT141" s="842"/>
      <c r="AU141" s="842"/>
      <c r="AV141" s="842"/>
      <c r="AW141" s="842"/>
      <c r="AX141" s="842"/>
    </row>
    <row r="142" spans="1:50">
      <c r="A142" s="843"/>
      <c r="B142" s="844"/>
      <c r="C142" s="845"/>
      <c r="D142" s="845"/>
      <c r="E142" s="845"/>
      <c r="F142" s="843"/>
      <c r="G142" s="845"/>
      <c r="H142" s="843"/>
      <c r="I142" s="843"/>
      <c r="J142" s="843"/>
      <c r="K142" s="843"/>
      <c r="L142" s="843"/>
      <c r="M142" s="843"/>
      <c r="N142" s="843"/>
      <c r="O142" s="843"/>
      <c r="P142" s="843"/>
      <c r="Q142" s="843"/>
      <c r="R142" s="843"/>
      <c r="S142" s="843"/>
      <c r="T142" s="843"/>
      <c r="U142" s="843"/>
      <c r="V142" s="843"/>
      <c r="W142" s="843"/>
      <c r="X142" s="843"/>
      <c r="Y142" s="843"/>
      <c r="Z142" s="843"/>
      <c r="AA142" s="843"/>
      <c r="AB142" s="843"/>
      <c r="AC142" s="843"/>
      <c r="AD142" s="843"/>
      <c r="AE142" s="843"/>
      <c r="AF142" s="843"/>
      <c r="AG142" s="843"/>
      <c r="AH142" s="843"/>
      <c r="AI142" s="843"/>
      <c r="AJ142" s="843"/>
      <c r="AK142" s="843"/>
      <c r="AL142" s="843"/>
      <c r="AM142" s="843"/>
      <c r="AN142" s="843"/>
      <c r="AO142" s="843"/>
      <c r="AP142" s="843"/>
      <c r="AQ142" s="843"/>
      <c r="AR142" s="843"/>
      <c r="AS142" s="843"/>
      <c r="AT142" s="843"/>
      <c r="AU142" s="843"/>
      <c r="AV142" s="843"/>
      <c r="AW142" s="843"/>
      <c r="AX142" s="843"/>
    </row>
    <row r="143" spans="1:50">
      <c r="A143" s="854"/>
      <c r="B143" s="855"/>
      <c r="C143" s="856"/>
      <c r="D143" s="856"/>
      <c r="E143" s="856"/>
      <c r="F143" s="854"/>
      <c r="G143" s="856"/>
      <c r="H143" s="854"/>
      <c r="I143" s="854"/>
      <c r="J143" s="854"/>
      <c r="K143" s="854"/>
      <c r="L143" s="854"/>
      <c r="M143" s="854"/>
      <c r="N143" s="854"/>
      <c r="O143" s="854"/>
      <c r="P143" s="854"/>
      <c r="Q143" s="854"/>
      <c r="R143" s="854"/>
      <c r="S143" s="854"/>
      <c r="T143" s="854"/>
      <c r="U143" s="854"/>
      <c r="V143" s="854"/>
      <c r="W143" s="854"/>
      <c r="X143" s="854"/>
      <c r="Y143" s="854"/>
      <c r="Z143" s="854"/>
      <c r="AA143" s="854"/>
      <c r="AB143" s="854"/>
      <c r="AC143" s="854"/>
      <c r="AD143" s="854"/>
      <c r="AE143" s="854"/>
      <c r="AF143" s="854"/>
      <c r="AG143" s="854"/>
      <c r="AH143" s="854"/>
      <c r="AI143" s="854"/>
      <c r="AJ143" s="854"/>
      <c r="AK143" s="854"/>
      <c r="AL143" s="854"/>
      <c r="AM143" s="854"/>
      <c r="AN143" s="854"/>
      <c r="AO143" s="854"/>
      <c r="AP143" s="854"/>
      <c r="AQ143" s="854"/>
      <c r="AR143" s="854"/>
      <c r="AS143" s="854"/>
      <c r="AT143" s="854"/>
      <c r="AU143" s="854"/>
      <c r="AV143" s="854"/>
      <c r="AW143" s="854"/>
      <c r="AX143" s="857"/>
    </row>
    <row r="144" spans="1:50">
      <c r="A144" s="846"/>
      <c r="B144" s="841"/>
      <c r="C144" s="858"/>
      <c r="D144" s="858"/>
      <c r="E144" s="858"/>
      <c r="F144" s="846"/>
      <c r="G144" s="858"/>
      <c r="H144" s="846"/>
      <c r="I144" s="846"/>
      <c r="J144" s="846"/>
      <c r="K144" s="846"/>
      <c r="L144" s="846"/>
      <c r="M144" s="846"/>
      <c r="N144" s="846"/>
      <c r="O144" s="846"/>
      <c r="P144" s="846"/>
      <c r="Q144" s="846"/>
      <c r="R144" s="846"/>
      <c r="S144" s="846"/>
      <c r="T144" s="846"/>
      <c r="U144" s="846"/>
      <c r="V144" s="846"/>
      <c r="W144" s="846"/>
      <c r="X144" s="846"/>
      <c r="Y144" s="846"/>
      <c r="Z144" s="846"/>
      <c r="AA144" s="846"/>
      <c r="AB144" s="846"/>
      <c r="AC144" s="846"/>
      <c r="AD144" s="846"/>
      <c r="AE144" s="846"/>
      <c r="AF144" s="846"/>
      <c r="AG144" s="846"/>
      <c r="AH144" s="846"/>
      <c r="AI144" s="846"/>
      <c r="AJ144" s="846"/>
      <c r="AK144" s="846"/>
      <c r="AL144" s="846"/>
      <c r="AM144" s="846"/>
      <c r="AN144" s="846"/>
      <c r="AO144" s="846"/>
      <c r="AP144" s="846"/>
      <c r="AQ144" s="846"/>
      <c r="AR144" s="846"/>
      <c r="AS144" s="846"/>
      <c r="AT144" s="846"/>
      <c r="AU144" s="846"/>
      <c r="AV144" s="846"/>
      <c r="AW144" s="846"/>
      <c r="AX144" s="859"/>
    </row>
    <row r="145" spans="1:50">
      <c r="A145" s="846"/>
      <c r="B145" s="847"/>
      <c r="C145" s="860"/>
      <c r="D145" s="846"/>
      <c r="E145" s="860"/>
      <c r="F145" s="846"/>
      <c r="G145" s="860"/>
      <c r="H145" s="846"/>
      <c r="I145" s="846"/>
      <c r="J145" s="846"/>
      <c r="K145" s="846"/>
      <c r="L145" s="846"/>
      <c r="M145" s="846"/>
      <c r="N145" s="846"/>
      <c r="O145" s="846"/>
      <c r="P145" s="846"/>
      <c r="Q145" s="846"/>
      <c r="R145" s="846"/>
      <c r="S145" s="846"/>
      <c r="T145" s="846"/>
      <c r="U145" s="846"/>
      <c r="V145" s="846"/>
      <c r="W145" s="846"/>
      <c r="X145" s="846"/>
      <c r="Y145" s="846"/>
      <c r="Z145" s="846"/>
      <c r="AA145" s="846"/>
      <c r="AB145" s="846"/>
      <c r="AC145" s="846"/>
      <c r="AD145" s="846"/>
      <c r="AE145" s="846"/>
      <c r="AF145" s="846"/>
      <c r="AG145" s="846"/>
      <c r="AH145" s="846"/>
      <c r="AI145" s="846"/>
      <c r="AJ145" s="846"/>
      <c r="AK145" s="846"/>
      <c r="AL145" s="846"/>
      <c r="AM145" s="846"/>
      <c r="AN145" s="846"/>
      <c r="AO145" s="846"/>
      <c r="AP145" s="846"/>
      <c r="AQ145" s="846"/>
      <c r="AR145" s="846"/>
      <c r="AS145" s="846"/>
      <c r="AT145" s="846"/>
      <c r="AU145" s="846"/>
      <c r="AV145" s="846"/>
      <c r="AW145" s="846"/>
      <c r="AX145" s="859"/>
    </row>
    <row r="146" spans="1:50">
      <c r="A146" s="838"/>
      <c r="B146" s="841"/>
      <c r="C146" s="858"/>
      <c r="D146" s="838"/>
      <c r="E146" s="860"/>
      <c r="F146" s="838"/>
      <c r="G146" s="858"/>
      <c r="H146" s="838"/>
      <c r="I146" s="838"/>
      <c r="J146" s="838"/>
      <c r="K146" s="838"/>
      <c r="L146" s="838"/>
      <c r="M146" s="838"/>
      <c r="N146" s="838"/>
      <c r="O146" s="838"/>
      <c r="P146" s="838"/>
      <c r="Q146" s="838"/>
      <c r="R146" s="838"/>
      <c r="S146" s="838"/>
      <c r="T146" s="838"/>
      <c r="U146" s="838"/>
      <c r="V146" s="838"/>
      <c r="W146" s="838"/>
      <c r="X146" s="838"/>
      <c r="Y146" s="838"/>
      <c r="Z146" s="838"/>
      <c r="AA146" s="838"/>
      <c r="AB146" s="838"/>
      <c r="AC146" s="838"/>
      <c r="AD146" s="838"/>
      <c r="AE146" s="838"/>
      <c r="AF146" s="838"/>
      <c r="AG146" s="838"/>
      <c r="AH146" s="838"/>
      <c r="AI146" s="838"/>
      <c r="AJ146" s="838"/>
      <c r="AK146" s="838"/>
      <c r="AL146" s="838"/>
      <c r="AM146" s="838"/>
      <c r="AN146" s="838"/>
      <c r="AO146" s="838"/>
      <c r="AP146" s="838"/>
      <c r="AQ146" s="838"/>
      <c r="AR146" s="838"/>
      <c r="AS146" s="838"/>
      <c r="AT146" s="838"/>
      <c r="AU146" s="838"/>
      <c r="AV146" s="838"/>
      <c r="AW146" s="838"/>
      <c r="AX146" s="839"/>
    </row>
    <row r="147" spans="1:50">
      <c r="A147" s="838"/>
      <c r="B147" s="841"/>
      <c r="C147" s="858"/>
      <c r="D147" s="838"/>
      <c r="E147" s="860"/>
      <c r="F147" s="838"/>
      <c r="G147" s="858"/>
      <c r="H147" s="838"/>
      <c r="I147" s="838"/>
      <c r="J147" s="838"/>
      <c r="K147" s="838"/>
      <c r="L147" s="838"/>
      <c r="M147" s="838"/>
      <c r="N147" s="838"/>
      <c r="O147" s="838"/>
      <c r="P147" s="838"/>
      <c r="Q147" s="838"/>
      <c r="R147" s="838"/>
      <c r="S147" s="838"/>
      <c r="T147" s="838"/>
      <c r="U147" s="838"/>
      <c r="V147" s="838"/>
      <c r="W147" s="838"/>
      <c r="X147" s="838"/>
      <c r="Y147" s="838"/>
      <c r="Z147" s="838"/>
      <c r="AA147" s="838"/>
      <c r="AB147" s="838"/>
      <c r="AC147" s="838"/>
      <c r="AD147" s="838"/>
      <c r="AE147" s="838"/>
      <c r="AF147" s="838"/>
      <c r="AG147" s="838"/>
      <c r="AH147" s="838"/>
      <c r="AI147" s="838"/>
      <c r="AJ147" s="838"/>
      <c r="AK147" s="838"/>
      <c r="AL147" s="838"/>
      <c r="AM147" s="838"/>
      <c r="AN147" s="838"/>
      <c r="AO147" s="838"/>
      <c r="AP147" s="838"/>
      <c r="AQ147" s="838"/>
      <c r="AR147" s="838"/>
      <c r="AS147" s="838"/>
      <c r="AT147" s="838"/>
      <c r="AU147" s="838"/>
      <c r="AV147" s="838"/>
      <c r="AW147" s="838"/>
      <c r="AX147" s="839"/>
    </row>
    <row r="148" spans="1:50">
      <c r="A148" s="838"/>
      <c r="B148" s="841"/>
      <c r="C148" s="858"/>
      <c r="D148" s="838"/>
      <c r="E148" s="860"/>
      <c r="F148" s="838"/>
      <c r="G148" s="858"/>
      <c r="H148" s="838"/>
      <c r="I148" s="838"/>
      <c r="J148" s="838"/>
      <c r="K148" s="838"/>
      <c r="L148" s="838"/>
      <c r="M148" s="838"/>
      <c r="N148" s="838"/>
      <c r="O148" s="838"/>
      <c r="P148" s="838"/>
      <c r="Q148" s="838"/>
      <c r="R148" s="838"/>
      <c r="S148" s="838"/>
      <c r="T148" s="838"/>
      <c r="U148" s="838"/>
      <c r="V148" s="838"/>
      <c r="W148" s="838"/>
      <c r="X148" s="838"/>
      <c r="Y148" s="838"/>
      <c r="Z148" s="838"/>
      <c r="AA148" s="838"/>
      <c r="AB148" s="838"/>
      <c r="AC148" s="838"/>
      <c r="AD148" s="838"/>
      <c r="AE148" s="838"/>
      <c r="AF148" s="838"/>
      <c r="AG148" s="838"/>
      <c r="AH148" s="838"/>
      <c r="AI148" s="838"/>
      <c r="AJ148" s="838"/>
      <c r="AK148" s="838"/>
      <c r="AL148" s="838"/>
      <c r="AM148" s="838"/>
      <c r="AN148" s="838"/>
      <c r="AO148" s="838"/>
      <c r="AP148" s="838"/>
      <c r="AQ148" s="838"/>
      <c r="AR148" s="838"/>
      <c r="AS148" s="838"/>
      <c r="AT148" s="838"/>
      <c r="AU148" s="838"/>
      <c r="AV148" s="838"/>
      <c r="AW148" s="838"/>
      <c r="AX148" s="839"/>
    </row>
    <row r="149" spans="1:50">
      <c r="A149" s="838"/>
      <c r="B149" s="841"/>
      <c r="C149" s="858"/>
      <c r="D149" s="838"/>
      <c r="E149" s="860"/>
      <c r="F149" s="838"/>
      <c r="G149" s="858"/>
      <c r="H149" s="838"/>
      <c r="I149" s="838"/>
      <c r="J149" s="838"/>
      <c r="K149" s="838"/>
      <c r="L149" s="838"/>
      <c r="M149" s="838"/>
      <c r="N149" s="838"/>
      <c r="O149" s="838"/>
      <c r="P149" s="838"/>
      <c r="Q149" s="838"/>
      <c r="R149" s="838"/>
      <c r="S149" s="838"/>
      <c r="T149" s="838"/>
      <c r="U149" s="838"/>
      <c r="V149" s="838"/>
      <c r="W149" s="838"/>
      <c r="X149" s="838"/>
      <c r="Y149" s="838"/>
      <c r="Z149" s="838"/>
      <c r="AA149" s="838"/>
      <c r="AB149" s="838"/>
      <c r="AC149" s="838"/>
      <c r="AD149" s="838"/>
      <c r="AE149" s="838"/>
      <c r="AF149" s="838"/>
      <c r="AG149" s="838"/>
      <c r="AH149" s="838"/>
      <c r="AI149" s="838"/>
      <c r="AJ149" s="838"/>
      <c r="AK149" s="838"/>
      <c r="AL149" s="838"/>
      <c r="AM149" s="838"/>
      <c r="AN149" s="838"/>
      <c r="AO149" s="838"/>
      <c r="AP149" s="838"/>
      <c r="AQ149" s="838"/>
      <c r="AR149" s="838"/>
      <c r="AS149" s="838"/>
      <c r="AT149" s="838"/>
      <c r="AU149" s="838"/>
      <c r="AV149" s="838"/>
      <c r="AW149" s="838"/>
      <c r="AX149" s="839"/>
    </row>
    <row r="150" spans="1:50">
      <c r="A150" s="838"/>
      <c r="B150" s="841"/>
      <c r="C150" s="858"/>
      <c r="D150" s="838"/>
      <c r="E150" s="860"/>
      <c r="F150" s="838"/>
      <c r="G150" s="858"/>
      <c r="H150" s="838"/>
      <c r="I150" s="838"/>
      <c r="J150" s="838"/>
      <c r="K150" s="838"/>
      <c r="L150" s="838"/>
      <c r="M150" s="838"/>
      <c r="N150" s="838"/>
      <c r="O150" s="838"/>
      <c r="P150" s="838"/>
      <c r="Q150" s="838"/>
      <c r="R150" s="838"/>
      <c r="S150" s="838"/>
      <c r="T150" s="838"/>
      <c r="U150" s="838"/>
      <c r="V150" s="838"/>
      <c r="W150" s="838"/>
      <c r="X150" s="838"/>
      <c r="Y150" s="838"/>
      <c r="Z150" s="838"/>
      <c r="AA150" s="838"/>
      <c r="AB150" s="838"/>
      <c r="AC150" s="838"/>
      <c r="AD150" s="838"/>
      <c r="AE150" s="838"/>
      <c r="AF150" s="838"/>
      <c r="AG150" s="838"/>
      <c r="AH150" s="838"/>
      <c r="AI150" s="838"/>
      <c r="AJ150" s="838"/>
      <c r="AK150" s="838"/>
      <c r="AL150" s="838"/>
      <c r="AM150" s="838"/>
      <c r="AN150" s="838"/>
      <c r="AO150" s="838"/>
      <c r="AP150" s="838"/>
      <c r="AQ150" s="838"/>
      <c r="AR150" s="838"/>
      <c r="AS150" s="838"/>
      <c r="AT150" s="838"/>
      <c r="AU150" s="838"/>
      <c r="AV150" s="838"/>
      <c r="AW150" s="838"/>
      <c r="AX150" s="839"/>
    </row>
    <row r="151" spans="1:50">
      <c r="A151" s="838"/>
      <c r="B151" s="841"/>
      <c r="C151" s="858"/>
      <c r="D151" s="838"/>
      <c r="E151" s="860"/>
      <c r="F151" s="838"/>
      <c r="G151" s="858"/>
      <c r="H151" s="838"/>
      <c r="I151" s="838"/>
      <c r="J151" s="838"/>
      <c r="K151" s="838"/>
      <c r="L151" s="838"/>
      <c r="M151" s="838"/>
      <c r="N151" s="838"/>
      <c r="O151" s="838"/>
      <c r="P151" s="838"/>
      <c r="Q151" s="838"/>
      <c r="R151" s="838"/>
      <c r="S151" s="838"/>
      <c r="T151" s="838"/>
      <c r="U151" s="838"/>
      <c r="V151" s="838"/>
      <c r="W151" s="838"/>
      <c r="X151" s="838"/>
      <c r="Y151" s="838"/>
      <c r="Z151" s="838"/>
      <c r="AA151" s="838"/>
      <c r="AB151" s="838"/>
      <c r="AC151" s="838"/>
      <c r="AD151" s="838"/>
      <c r="AE151" s="838"/>
      <c r="AF151" s="838"/>
      <c r="AG151" s="838"/>
      <c r="AH151" s="838"/>
      <c r="AI151" s="838"/>
      <c r="AJ151" s="838"/>
      <c r="AK151" s="838"/>
      <c r="AL151" s="838"/>
      <c r="AM151" s="838"/>
      <c r="AN151" s="838"/>
      <c r="AO151" s="838"/>
      <c r="AP151" s="838"/>
      <c r="AQ151" s="838"/>
      <c r="AR151" s="838"/>
      <c r="AS151" s="838"/>
      <c r="AT151" s="838"/>
      <c r="AU151" s="838"/>
      <c r="AV151" s="838"/>
      <c r="AW151" s="838"/>
      <c r="AX151" s="839"/>
    </row>
    <row r="152" spans="1:50">
      <c r="A152" s="838"/>
      <c r="B152" s="841"/>
      <c r="C152" s="858"/>
      <c r="D152" s="838"/>
      <c r="E152" s="860"/>
      <c r="F152" s="838"/>
      <c r="G152" s="858"/>
      <c r="H152" s="838"/>
      <c r="I152" s="838"/>
      <c r="J152" s="838"/>
      <c r="K152" s="838"/>
      <c r="L152" s="838"/>
      <c r="M152" s="838"/>
      <c r="N152" s="838"/>
      <c r="O152" s="838"/>
      <c r="P152" s="838"/>
      <c r="Q152" s="838"/>
      <c r="R152" s="838"/>
      <c r="S152" s="838"/>
      <c r="T152" s="838"/>
      <c r="U152" s="838"/>
      <c r="V152" s="838"/>
      <c r="W152" s="838"/>
      <c r="X152" s="838"/>
      <c r="Y152" s="838"/>
      <c r="Z152" s="838"/>
      <c r="AA152" s="838"/>
      <c r="AB152" s="838"/>
      <c r="AC152" s="838"/>
      <c r="AD152" s="838"/>
      <c r="AE152" s="838"/>
      <c r="AF152" s="838"/>
      <c r="AG152" s="838"/>
      <c r="AH152" s="838"/>
      <c r="AI152" s="838"/>
      <c r="AJ152" s="838"/>
      <c r="AK152" s="838"/>
      <c r="AL152" s="838"/>
      <c r="AM152" s="838"/>
      <c r="AN152" s="838"/>
      <c r="AO152" s="838"/>
      <c r="AP152" s="838"/>
      <c r="AQ152" s="838"/>
      <c r="AR152" s="838"/>
      <c r="AS152" s="838"/>
      <c r="AT152" s="838"/>
      <c r="AU152" s="838"/>
      <c r="AV152" s="838"/>
      <c r="AW152" s="838"/>
      <c r="AX152" s="839"/>
    </row>
    <row r="153" spans="1:50">
      <c r="A153" s="838"/>
      <c r="B153" s="841"/>
      <c r="C153" s="858"/>
      <c r="D153" s="838"/>
      <c r="E153" s="860"/>
      <c r="F153" s="838"/>
      <c r="G153" s="858"/>
      <c r="H153" s="838"/>
      <c r="I153" s="838"/>
      <c r="J153" s="838"/>
      <c r="K153" s="838"/>
      <c r="L153" s="838"/>
      <c r="M153" s="838"/>
      <c r="N153" s="838"/>
      <c r="O153" s="838"/>
      <c r="P153" s="838"/>
      <c r="Q153" s="838"/>
      <c r="R153" s="838"/>
      <c r="S153" s="838"/>
      <c r="T153" s="838"/>
      <c r="U153" s="838"/>
      <c r="V153" s="838"/>
      <c r="W153" s="838"/>
      <c r="X153" s="838"/>
      <c r="Y153" s="838"/>
      <c r="Z153" s="838"/>
      <c r="AA153" s="838"/>
      <c r="AB153" s="838"/>
      <c r="AC153" s="838"/>
      <c r="AD153" s="838"/>
      <c r="AE153" s="838"/>
      <c r="AF153" s="838"/>
      <c r="AG153" s="838"/>
      <c r="AH153" s="838"/>
      <c r="AI153" s="838"/>
      <c r="AJ153" s="838"/>
      <c r="AK153" s="838"/>
      <c r="AL153" s="838"/>
      <c r="AM153" s="838"/>
      <c r="AN153" s="838"/>
      <c r="AO153" s="838"/>
      <c r="AP153" s="838"/>
      <c r="AQ153" s="838"/>
      <c r="AR153" s="838"/>
      <c r="AS153" s="838"/>
      <c r="AT153" s="838"/>
      <c r="AU153" s="838"/>
      <c r="AV153" s="838"/>
      <c r="AW153" s="838"/>
      <c r="AX153" s="839"/>
    </row>
    <row r="154" spans="1:50">
      <c r="A154" s="838"/>
      <c r="B154" s="841"/>
      <c r="C154" s="858"/>
      <c r="D154" s="838"/>
      <c r="E154" s="860"/>
      <c r="F154" s="838"/>
      <c r="G154" s="858"/>
      <c r="H154" s="838"/>
      <c r="I154" s="838"/>
      <c r="J154" s="838"/>
      <c r="K154" s="838"/>
      <c r="L154" s="838"/>
      <c r="M154" s="838"/>
      <c r="N154" s="838"/>
      <c r="O154" s="838"/>
      <c r="P154" s="838"/>
      <c r="Q154" s="838"/>
      <c r="R154" s="838"/>
      <c r="S154" s="838"/>
      <c r="T154" s="838"/>
      <c r="U154" s="838"/>
      <c r="V154" s="838"/>
      <c r="W154" s="838"/>
      <c r="X154" s="838"/>
      <c r="Y154" s="838"/>
      <c r="Z154" s="838"/>
      <c r="AA154" s="838"/>
      <c r="AB154" s="838"/>
      <c r="AC154" s="838"/>
      <c r="AD154" s="838"/>
      <c r="AE154" s="838"/>
      <c r="AF154" s="838"/>
      <c r="AG154" s="838"/>
      <c r="AH154" s="838"/>
      <c r="AI154" s="838"/>
      <c r="AJ154" s="838"/>
      <c r="AK154" s="838"/>
      <c r="AL154" s="838"/>
      <c r="AM154" s="838"/>
      <c r="AN154" s="838"/>
      <c r="AO154" s="838"/>
      <c r="AP154" s="838"/>
      <c r="AQ154" s="838"/>
      <c r="AR154" s="838"/>
      <c r="AS154" s="838"/>
      <c r="AT154" s="838"/>
      <c r="AU154" s="838"/>
      <c r="AV154" s="838"/>
      <c r="AW154" s="838"/>
      <c r="AX154" s="839"/>
    </row>
    <row r="155" spans="1:50">
      <c r="A155" s="838"/>
      <c r="B155" s="841"/>
      <c r="C155" s="858"/>
      <c r="D155" s="838"/>
      <c r="E155" s="860"/>
      <c r="F155" s="838"/>
      <c r="G155" s="858"/>
      <c r="H155" s="838"/>
      <c r="I155" s="838"/>
      <c r="J155" s="838"/>
      <c r="K155" s="838"/>
      <c r="L155" s="838"/>
      <c r="M155" s="838"/>
      <c r="N155" s="838"/>
      <c r="O155" s="838"/>
      <c r="P155" s="838"/>
      <c r="Q155" s="838"/>
      <c r="R155" s="838"/>
      <c r="S155" s="838"/>
      <c r="T155" s="838"/>
      <c r="U155" s="838"/>
      <c r="V155" s="838"/>
      <c r="W155" s="838"/>
      <c r="X155" s="838"/>
      <c r="Y155" s="838"/>
      <c r="Z155" s="838"/>
      <c r="AA155" s="838"/>
      <c r="AB155" s="838"/>
      <c r="AC155" s="838"/>
      <c r="AD155" s="838"/>
      <c r="AE155" s="838"/>
      <c r="AF155" s="838"/>
      <c r="AG155" s="838"/>
      <c r="AH155" s="838"/>
      <c r="AI155" s="838"/>
      <c r="AJ155" s="838"/>
      <c r="AK155" s="838"/>
      <c r="AL155" s="838"/>
      <c r="AM155" s="838"/>
      <c r="AN155" s="838"/>
      <c r="AO155" s="838"/>
      <c r="AP155" s="838"/>
      <c r="AQ155" s="838"/>
      <c r="AR155" s="838"/>
      <c r="AS155" s="838"/>
      <c r="AT155" s="838"/>
      <c r="AU155" s="838"/>
      <c r="AV155" s="838"/>
      <c r="AW155" s="838"/>
      <c r="AX155" s="839"/>
    </row>
    <row r="156" spans="1:50">
      <c r="A156" s="838"/>
      <c r="B156" s="841"/>
      <c r="C156" s="858"/>
      <c r="D156" s="838"/>
      <c r="E156" s="860"/>
      <c r="F156" s="838"/>
      <c r="G156" s="858"/>
      <c r="H156" s="838"/>
      <c r="I156" s="838"/>
      <c r="J156" s="838"/>
      <c r="K156" s="838"/>
      <c r="L156" s="838"/>
      <c r="M156" s="838"/>
      <c r="N156" s="838"/>
      <c r="O156" s="838"/>
      <c r="P156" s="838"/>
      <c r="Q156" s="838"/>
      <c r="R156" s="838"/>
      <c r="S156" s="838"/>
      <c r="T156" s="838"/>
      <c r="U156" s="838"/>
      <c r="V156" s="838"/>
      <c r="W156" s="838"/>
      <c r="X156" s="838"/>
      <c r="Y156" s="838"/>
      <c r="Z156" s="838"/>
      <c r="AA156" s="838"/>
      <c r="AB156" s="838"/>
      <c r="AC156" s="838"/>
      <c r="AD156" s="838"/>
      <c r="AE156" s="838"/>
      <c r="AF156" s="838"/>
      <c r="AG156" s="838"/>
      <c r="AH156" s="838"/>
      <c r="AI156" s="838"/>
      <c r="AJ156" s="838"/>
      <c r="AK156" s="838"/>
      <c r="AL156" s="838"/>
      <c r="AM156" s="838"/>
      <c r="AN156" s="838"/>
      <c r="AO156" s="838"/>
      <c r="AP156" s="838"/>
      <c r="AQ156" s="838"/>
      <c r="AR156" s="838"/>
      <c r="AS156" s="838"/>
      <c r="AT156" s="838"/>
      <c r="AU156" s="838"/>
      <c r="AV156" s="838"/>
      <c r="AW156" s="838"/>
      <c r="AX156" s="839"/>
    </row>
    <row r="157" spans="1:50">
      <c r="A157" s="838"/>
      <c r="B157" s="841"/>
      <c r="C157" s="858"/>
      <c r="D157" s="838"/>
      <c r="E157" s="860"/>
      <c r="F157" s="838"/>
      <c r="G157" s="858"/>
      <c r="H157" s="838"/>
      <c r="I157" s="838"/>
      <c r="J157" s="838"/>
      <c r="K157" s="838"/>
      <c r="L157" s="838"/>
      <c r="M157" s="838"/>
      <c r="N157" s="838"/>
      <c r="O157" s="838"/>
      <c r="P157" s="838"/>
      <c r="Q157" s="838"/>
      <c r="R157" s="838"/>
      <c r="S157" s="838"/>
      <c r="T157" s="838"/>
      <c r="U157" s="838"/>
      <c r="V157" s="838"/>
      <c r="W157" s="838"/>
      <c r="X157" s="838"/>
      <c r="Y157" s="838"/>
      <c r="Z157" s="838"/>
      <c r="AA157" s="838"/>
      <c r="AB157" s="838"/>
      <c r="AC157" s="838"/>
      <c r="AD157" s="838"/>
      <c r="AE157" s="838"/>
      <c r="AF157" s="838"/>
      <c r="AG157" s="838"/>
      <c r="AH157" s="838"/>
      <c r="AI157" s="838"/>
      <c r="AJ157" s="838"/>
      <c r="AK157" s="838"/>
      <c r="AL157" s="838"/>
      <c r="AM157" s="838"/>
      <c r="AN157" s="838"/>
      <c r="AO157" s="838"/>
      <c r="AP157" s="838"/>
      <c r="AQ157" s="838"/>
      <c r="AR157" s="838"/>
      <c r="AS157" s="838"/>
      <c r="AT157" s="838"/>
      <c r="AU157" s="838"/>
      <c r="AV157" s="838"/>
      <c r="AW157" s="838"/>
      <c r="AX157" s="839"/>
    </row>
    <row r="158" spans="1:50">
      <c r="A158" s="838"/>
      <c r="B158" s="841"/>
      <c r="C158" s="858"/>
      <c r="D158" s="838"/>
      <c r="E158" s="860"/>
      <c r="F158" s="838"/>
      <c r="G158" s="858"/>
      <c r="H158" s="838"/>
      <c r="I158" s="838"/>
      <c r="J158" s="838"/>
      <c r="K158" s="838"/>
      <c r="L158" s="838"/>
      <c r="M158" s="838"/>
      <c r="N158" s="838"/>
      <c r="O158" s="838"/>
      <c r="P158" s="838"/>
      <c r="Q158" s="838"/>
      <c r="R158" s="838"/>
      <c r="S158" s="838"/>
      <c r="T158" s="838"/>
      <c r="U158" s="838"/>
      <c r="V158" s="838"/>
      <c r="W158" s="838"/>
      <c r="X158" s="838"/>
      <c r="Y158" s="838"/>
      <c r="Z158" s="838"/>
      <c r="AA158" s="838"/>
      <c r="AB158" s="838"/>
      <c r="AC158" s="838"/>
      <c r="AD158" s="838"/>
      <c r="AE158" s="838"/>
      <c r="AF158" s="838"/>
      <c r="AG158" s="838"/>
      <c r="AH158" s="838"/>
      <c r="AI158" s="838"/>
      <c r="AJ158" s="838"/>
      <c r="AK158" s="838"/>
      <c r="AL158" s="838"/>
      <c r="AM158" s="838"/>
      <c r="AN158" s="838"/>
      <c r="AO158" s="838"/>
      <c r="AP158" s="838"/>
      <c r="AQ158" s="838"/>
      <c r="AR158" s="838"/>
      <c r="AS158" s="838"/>
      <c r="AT158" s="838"/>
      <c r="AU158" s="838"/>
      <c r="AV158" s="838"/>
      <c r="AW158" s="838"/>
      <c r="AX158" s="839"/>
    </row>
    <row r="159" spans="1:50">
      <c r="A159" s="838"/>
      <c r="B159" s="841"/>
      <c r="C159" s="858"/>
      <c r="D159" s="838"/>
      <c r="E159" s="860"/>
      <c r="F159" s="838"/>
      <c r="G159" s="858"/>
      <c r="H159" s="838"/>
      <c r="I159" s="838"/>
      <c r="J159" s="838"/>
      <c r="K159" s="838"/>
      <c r="L159" s="838"/>
      <c r="M159" s="838"/>
      <c r="N159" s="838"/>
      <c r="O159" s="838"/>
      <c r="P159" s="838"/>
      <c r="Q159" s="838"/>
      <c r="R159" s="838"/>
      <c r="S159" s="838"/>
      <c r="T159" s="838"/>
      <c r="U159" s="838"/>
      <c r="V159" s="838"/>
      <c r="W159" s="838"/>
      <c r="X159" s="838"/>
      <c r="Y159" s="838"/>
      <c r="Z159" s="838"/>
      <c r="AA159" s="838"/>
      <c r="AB159" s="838"/>
      <c r="AC159" s="838"/>
      <c r="AD159" s="838"/>
      <c r="AE159" s="838"/>
      <c r="AF159" s="838"/>
      <c r="AG159" s="838"/>
      <c r="AH159" s="838"/>
      <c r="AI159" s="838"/>
      <c r="AJ159" s="838"/>
      <c r="AK159" s="838"/>
      <c r="AL159" s="838"/>
      <c r="AM159" s="838"/>
      <c r="AN159" s="838"/>
      <c r="AO159" s="838"/>
      <c r="AP159" s="838"/>
      <c r="AQ159" s="838"/>
      <c r="AR159" s="838"/>
      <c r="AS159" s="838"/>
      <c r="AT159" s="838"/>
      <c r="AU159" s="838"/>
      <c r="AV159" s="838"/>
      <c r="AW159" s="838"/>
      <c r="AX159" s="839"/>
    </row>
    <row r="160" spans="1:50">
      <c r="A160" s="838"/>
      <c r="B160" s="841"/>
      <c r="C160" s="858"/>
      <c r="D160" s="838"/>
      <c r="E160" s="860"/>
      <c r="F160" s="838"/>
      <c r="G160" s="858"/>
      <c r="H160" s="838"/>
      <c r="I160" s="838"/>
      <c r="J160" s="838"/>
      <c r="K160" s="838"/>
      <c r="L160" s="838"/>
      <c r="M160" s="838"/>
      <c r="N160" s="838"/>
      <c r="O160" s="838"/>
      <c r="P160" s="838"/>
      <c r="Q160" s="838"/>
      <c r="R160" s="838"/>
      <c r="S160" s="838"/>
      <c r="T160" s="838"/>
      <c r="U160" s="838"/>
      <c r="V160" s="838"/>
      <c r="W160" s="838"/>
      <c r="X160" s="838"/>
      <c r="Y160" s="838"/>
      <c r="Z160" s="838"/>
      <c r="AA160" s="838"/>
      <c r="AB160" s="838"/>
      <c r="AC160" s="838"/>
      <c r="AD160" s="838"/>
      <c r="AE160" s="838"/>
      <c r="AF160" s="838"/>
      <c r="AG160" s="838"/>
      <c r="AH160" s="838"/>
      <c r="AI160" s="838"/>
      <c r="AJ160" s="838"/>
      <c r="AK160" s="838"/>
      <c r="AL160" s="838"/>
      <c r="AM160" s="838"/>
      <c r="AN160" s="838"/>
      <c r="AO160" s="838"/>
      <c r="AP160" s="838"/>
      <c r="AQ160" s="838"/>
      <c r="AR160" s="838"/>
      <c r="AS160" s="838"/>
      <c r="AT160" s="838"/>
      <c r="AU160" s="838"/>
      <c r="AV160" s="838"/>
      <c r="AW160" s="838"/>
      <c r="AX160" s="839"/>
    </row>
    <row r="161" spans="1:50">
      <c r="A161" s="838"/>
      <c r="B161" s="841"/>
      <c r="C161" s="858"/>
      <c r="D161" s="838"/>
      <c r="E161" s="860"/>
      <c r="F161" s="838"/>
      <c r="G161" s="858"/>
      <c r="H161" s="838"/>
      <c r="I161" s="838"/>
      <c r="J161" s="838"/>
      <c r="K161" s="838"/>
      <c r="L161" s="838"/>
      <c r="M161" s="838"/>
      <c r="N161" s="838"/>
      <c r="O161" s="838"/>
      <c r="P161" s="838"/>
      <c r="Q161" s="838"/>
      <c r="R161" s="838"/>
      <c r="S161" s="838"/>
      <c r="T161" s="838"/>
      <c r="U161" s="838"/>
      <c r="V161" s="838"/>
      <c r="W161" s="838"/>
      <c r="X161" s="838"/>
      <c r="Y161" s="838"/>
      <c r="Z161" s="838"/>
      <c r="AA161" s="838"/>
      <c r="AB161" s="838"/>
      <c r="AC161" s="838"/>
      <c r="AD161" s="838"/>
      <c r="AE161" s="838"/>
      <c r="AF161" s="838"/>
      <c r="AG161" s="838"/>
      <c r="AH161" s="838"/>
      <c r="AI161" s="838"/>
      <c r="AJ161" s="838"/>
      <c r="AK161" s="838"/>
      <c r="AL161" s="838"/>
      <c r="AM161" s="838"/>
      <c r="AN161" s="838"/>
      <c r="AO161" s="838"/>
      <c r="AP161" s="838"/>
      <c r="AQ161" s="838"/>
      <c r="AR161" s="838"/>
      <c r="AS161" s="838"/>
      <c r="AT161" s="838"/>
      <c r="AU161" s="838"/>
      <c r="AV161" s="838"/>
      <c r="AW161" s="838"/>
      <c r="AX161" s="839"/>
    </row>
    <row r="162" spans="1:50">
      <c r="A162" s="838"/>
      <c r="B162" s="841"/>
      <c r="C162" s="858"/>
      <c r="D162" s="838"/>
      <c r="E162" s="860"/>
      <c r="F162" s="838"/>
      <c r="G162" s="858"/>
      <c r="H162" s="838"/>
      <c r="I162" s="838"/>
      <c r="J162" s="838"/>
      <c r="K162" s="838"/>
      <c r="L162" s="838"/>
      <c r="M162" s="838"/>
      <c r="N162" s="838"/>
      <c r="O162" s="838"/>
      <c r="P162" s="838"/>
      <c r="Q162" s="838"/>
      <c r="R162" s="838"/>
      <c r="S162" s="838"/>
      <c r="T162" s="838"/>
      <c r="U162" s="838"/>
      <c r="V162" s="838"/>
      <c r="W162" s="838"/>
      <c r="X162" s="838"/>
      <c r="Y162" s="838"/>
      <c r="Z162" s="838"/>
      <c r="AA162" s="838"/>
      <c r="AB162" s="838"/>
      <c r="AC162" s="838"/>
      <c r="AD162" s="838"/>
      <c r="AE162" s="838"/>
      <c r="AF162" s="838"/>
      <c r="AG162" s="838"/>
      <c r="AH162" s="838"/>
      <c r="AI162" s="838"/>
      <c r="AJ162" s="838"/>
      <c r="AK162" s="838"/>
      <c r="AL162" s="838"/>
      <c r="AM162" s="838"/>
      <c r="AN162" s="838"/>
      <c r="AO162" s="838"/>
      <c r="AP162" s="838"/>
      <c r="AQ162" s="838"/>
      <c r="AR162" s="838"/>
      <c r="AS162" s="838"/>
      <c r="AT162" s="838"/>
      <c r="AU162" s="838"/>
      <c r="AV162" s="838"/>
      <c r="AW162" s="838"/>
      <c r="AX162" s="839"/>
    </row>
    <row r="163" spans="1:50">
      <c r="A163" s="838"/>
      <c r="B163" s="841"/>
      <c r="C163" s="858"/>
      <c r="D163" s="838"/>
      <c r="E163" s="860"/>
      <c r="F163" s="838"/>
      <c r="G163" s="858"/>
      <c r="H163" s="838"/>
      <c r="I163" s="838"/>
      <c r="J163" s="838"/>
      <c r="K163" s="838"/>
      <c r="L163" s="838"/>
      <c r="M163" s="838"/>
      <c r="N163" s="838"/>
      <c r="O163" s="838"/>
      <c r="P163" s="838"/>
      <c r="Q163" s="838"/>
      <c r="R163" s="838"/>
      <c r="S163" s="838"/>
      <c r="T163" s="838"/>
      <c r="U163" s="838"/>
      <c r="V163" s="838"/>
      <c r="W163" s="838"/>
      <c r="X163" s="838"/>
      <c r="Y163" s="838"/>
      <c r="Z163" s="838"/>
      <c r="AA163" s="838"/>
      <c r="AB163" s="838"/>
      <c r="AC163" s="838"/>
      <c r="AD163" s="838"/>
      <c r="AE163" s="838"/>
      <c r="AF163" s="838"/>
      <c r="AG163" s="838"/>
      <c r="AH163" s="838"/>
      <c r="AI163" s="838"/>
      <c r="AJ163" s="838"/>
      <c r="AK163" s="838"/>
      <c r="AL163" s="838"/>
      <c r="AM163" s="838"/>
      <c r="AN163" s="838"/>
      <c r="AO163" s="838"/>
      <c r="AP163" s="838"/>
      <c r="AQ163" s="838"/>
      <c r="AR163" s="838"/>
      <c r="AS163" s="838"/>
      <c r="AT163" s="838"/>
      <c r="AU163" s="838"/>
      <c r="AV163" s="838"/>
      <c r="AW163" s="838"/>
      <c r="AX163" s="839"/>
    </row>
    <row r="164" spans="1:50">
      <c r="A164" s="838"/>
      <c r="B164" s="841"/>
      <c r="C164" s="858"/>
      <c r="D164" s="838"/>
      <c r="E164" s="860"/>
      <c r="F164" s="838"/>
      <c r="G164" s="858"/>
      <c r="H164" s="838"/>
      <c r="I164" s="838"/>
      <c r="J164" s="838"/>
      <c r="K164" s="838"/>
      <c r="L164" s="838"/>
      <c r="M164" s="838"/>
      <c r="N164" s="838"/>
      <c r="O164" s="838"/>
      <c r="P164" s="838"/>
      <c r="Q164" s="838"/>
      <c r="R164" s="838"/>
      <c r="S164" s="838"/>
      <c r="T164" s="838"/>
      <c r="U164" s="838"/>
      <c r="V164" s="838"/>
      <c r="W164" s="838"/>
      <c r="X164" s="838"/>
      <c r="Y164" s="838"/>
      <c r="Z164" s="838"/>
      <c r="AA164" s="838"/>
      <c r="AB164" s="838"/>
      <c r="AC164" s="838"/>
      <c r="AD164" s="838"/>
      <c r="AE164" s="838"/>
      <c r="AF164" s="838"/>
      <c r="AG164" s="838"/>
      <c r="AH164" s="838"/>
      <c r="AI164" s="838"/>
      <c r="AJ164" s="838"/>
      <c r="AK164" s="838"/>
      <c r="AL164" s="838"/>
      <c r="AM164" s="838"/>
      <c r="AN164" s="838"/>
      <c r="AO164" s="838"/>
      <c r="AP164" s="838"/>
      <c r="AQ164" s="838"/>
      <c r="AR164" s="838"/>
      <c r="AS164" s="838"/>
      <c r="AT164" s="838"/>
      <c r="AU164" s="838"/>
      <c r="AV164" s="838"/>
      <c r="AW164" s="838"/>
      <c r="AX164" s="839"/>
    </row>
    <row r="165" spans="1:50">
      <c r="A165" s="838"/>
      <c r="B165" s="841"/>
      <c r="C165" s="858"/>
      <c r="D165" s="838"/>
      <c r="E165" s="860"/>
      <c r="F165" s="838"/>
      <c r="G165" s="858"/>
      <c r="H165" s="838"/>
      <c r="I165" s="838"/>
      <c r="J165" s="838"/>
      <c r="K165" s="838"/>
      <c r="L165" s="838"/>
      <c r="M165" s="838"/>
      <c r="N165" s="838"/>
      <c r="O165" s="838"/>
      <c r="P165" s="838"/>
      <c r="Q165" s="838"/>
      <c r="R165" s="838"/>
      <c r="S165" s="838"/>
      <c r="T165" s="838"/>
      <c r="U165" s="838"/>
      <c r="V165" s="838"/>
      <c r="W165" s="838"/>
      <c r="X165" s="838"/>
      <c r="Y165" s="838"/>
      <c r="Z165" s="838"/>
      <c r="AA165" s="838"/>
      <c r="AB165" s="838"/>
      <c r="AC165" s="838"/>
      <c r="AD165" s="838"/>
      <c r="AE165" s="838"/>
      <c r="AF165" s="838"/>
      <c r="AG165" s="838"/>
      <c r="AH165" s="838"/>
      <c r="AI165" s="838"/>
      <c r="AJ165" s="838"/>
      <c r="AK165" s="838"/>
      <c r="AL165" s="838"/>
      <c r="AM165" s="838"/>
      <c r="AN165" s="838"/>
      <c r="AO165" s="838"/>
      <c r="AP165" s="838"/>
      <c r="AQ165" s="838"/>
      <c r="AR165" s="838"/>
      <c r="AS165" s="838"/>
      <c r="AT165" s="838"/>
      <c r="AU165" s="838"/>
      <c r="AV165" s="838"/>
      <c r="AW165" s="838"/>
      <c r="AX165" s="839"/>
    </row>
    <row r="166" spans="1:50">
      <c r="A166" s="838"/>
      <c r="B166" s="841"/>
      <c r="C166" s="858"/>
      <c r="D166" s="838"/>
      <c r="E166" s="860"/>
      <c r="F166" s="838"/>
      <c r="G166" s="858"/>
      <c r="H166" s="838"/>
      <c r="I166" s="838"/>
      <c r="J166" s="838"/>
      <c r="K166" s="838"/>
      <c r="L166" s="838"/>
      <c r="M166" s="838"/>
      <c r="N166" s="838"/>
      <c r="O166" s="838"/>
      <c r="P166" s="838"/>
      <c r="Q166" s="838"/>
      <c r="R166" s="838"/>
      <c r="S166" s="838"/>
      <c r="T166" s="838"/>
      <c r="U166" s="838"/>
      <c r="V166" s="838"/>
      <c r="W166" s="838"/>
      <c r="X166" s="838"/>
      <c r="Y166" s="838"/>
      <c r="Z166" s="838"/>
      <c r="AA166" s="838"/>
      <c r="AB166" s="838"/>
      <c r="AC166" s="838"/>
      <c r="AD166" s="838"/>
      <c r="AE166" s="838"/>
      <c r="AF166" s="838"/>
      <c r="AG166" s="838"/>
      <c r="AH166" s="838"/>
      <c r="AI166" s="838"/>
      <c r="AJ166" s="838"/>
      <c r="AK166" s="838"/>
      <c r="AL166" s="838"/>
      <c r="AM166" s="838"/>
      <c r="AN166" s="838"/>
      <c r="AO166" s="838"/>
      <c r="AP166" s="838"/>
      <c r="AQ166" s="838"/>
      <c r="AR166" s="838"/>
      <c r="AS166" s="838"/>
      <c r="AT166" s="838"/>
      <c r="AU166" s="838"/>
      <c r="AV166" s="838"/>
      <c r="AW166" s="838"/>
      <c r="AX166" s="839"/>
    </row>
    <row r="167" spans="1:50">
      <c r="A167" s="838"/>
      <c r="B167" s="841"/>
      <c r="C167" s="858"/>
      <c r="D167" s="838"/>
      <c r="E167" s="860"/>
      <c r="F167" s="838"/>
      <c r="G167" s="858"/>
      <c r="H167" s="838"/>
      <c r="I167" s="838"/>
      <c r="J167" s="838"/>
      <c r="K167" s="838"/>
      <c r="L167" s="838"/>
      <c r="M167" s="838"/>
      <c r="N167" s="838"/>
      <c r="O167" s="838"/>
      <c r="P167" s="838"/>
      <c r="Q167" s="838"/>
      <c r="R167" s="838"/>
      <c r="S167" s="838"/>
      <c r="T167" s="838"/>
      <c r="U167" s="838"/>
      <c r="V167" s="838"/>
      <c r="W167" s="838"/>
      <c r="X167" s="838"/>
      <c r="Y167" s="838"/>
      <c r="Z167" s="838"/>
      <c r="AA167" s="838"/>
      <c r="AB167" s="838"/>
      <c r="AC167" s="838"/>
      <c r="AD167" s="838"/>
      <c r="AE167" s="838"/>
      <c r="AF167" s="838"/>
      <c r="AG167" s="838"/>
      <c r="AH167" s="838"/>
      <c r="AI167" s="838"/>
      <c r="AJ167" s="838"/>
      <c r="AK167" s="838"/>
      <c r="AL167" s="838"/>
      <c r="AM167" s="838"/>
      <c r="AN167" s="838"/>
      <c r="AO167" s="838"/>
      <c r="AP167" s="838"/>
      <c r="AQ167" s="838"/>
      <c r="AR167" s="838"/>
      <c r="AS167" s="838"/>
      <c r="AT167" s="838"/>
      <c r="AU167" s="838"/>
      <c r="AV167" s="838"/>
      <c r="AW167" s="838"/>
      <c r="AX167" s="839"/>
    </row>
    <row r="168" spans="1:50">
      <c r="A168" s="838"/>
      <c r="B168" s="841"/>
      <c r="C168" s="858"/>
      <c r="D168" s="838"/>
      <c r="E168" s="860"/>
      <c r="F168" s="838"/>
      <c r="G168" s="858"/>
      <c r="H168" s="838"/>
      <c r="I168" s="838"/>
      <c r="J168" s="838"/>
      <c r="K168" s="838"/>
      <c r="L168" s="838"/>
      <c r="M168" s="838"/>
      <c r="N168" s="838"/>
      <c r="O168" s="838"/>
      <c r="P168" s="838"/>
      <c r="Q168" s="838"/>
      <c r="R168" s="838"/>
      <c r="S168" s="838"/>
      <c r="T168" s="838"/>
      <c r="U168" s="838"/>
      <c r="V168" s="838"/>
      <c r="W168" s="838"/>
      <c r="X168" s="838"/>
      <c r="Y168" s="838"/>
      <c r="Z168" s="838"/>
      <c r="AA168" s="838"/>
      <c r="AB168" s="838"/>
      <c r="AC168" s="838"/>
      <c r="AD168" s="838"/>
      <c r="AE168" s="838"/>
      <c r="AF168" s="838"/>
      <c r="AG168" s="838"/>
      <c r="AH168" s="838"/>
      <c r="AI168" s="838"/>
      <c r="AJ168" s="838"/>
      <c r="AK168" s="838"/>
      <c r="AL168" s="838"/>
      <c r="AM168" s="838"/>
      <c r="AN168" s="838"/>
      <c r="AO168" s="838"/>
      <c r="AP168" s="838"/>
      <c r="AQ168" s="838"/>
      <c r="AR168" s="838"/>
      <c r="AS168" s="838"/>
      <c r="AT168" s="838"/>
      <c r="AU168" s="838"/>
      <c r="AV168" s="838"/>
      <c r="AW168" s="838"/>
      <c r="AX168" s="839"/>
    </row>
    <row r="169" spans="1:50">
      <c r="A169" s="838"/>
      <c r="B169" s="841"/>
      <c r="C169" s="858"/>
      <c r="D169" s="838"/>
      <c r="E169" s="860"/>
      <c r="F169" s="838"/>
      <c r="G169" s="858"/>
      <c r="H169" s="838"/>
      <c r="I169" s="838"/>
      <c r="J169" s="838"/>
      <c r="K169" s="838"/>
      <c r="L169" s="838"/>
      <c r="M169" s="838"/>
      <c r="N169" s="838"/>
      <c r="O169" s="838"/>
      <c r="P169" s="838"/>
      <c r="Q169" s="838"/>
      <c r="R169" s="838"/>
      <c r="S169" s="838"/>
      <c r="T169" s="838"/>
      <c r="U169" s="838"/>
      <c r="V169" s="838"/>
      <c r="W169" s="838"/>
      <c r="X169" s="838"/>
      <c r="Y169" s="838"/>
      <c r="Z169" s="838"/>
      <c r="AA169" s="838"/>
      <c r="AB169" s="838"/>
      <c r="AC169" s="838"/>
      <c r="AD169" s="838"/>
      <c r="AE169" s="838"/>
      <c r="AF169" s="838"/>
      <c r="AG169" s="838"/>
      <c r="AH169" s="838"/>
      <c r="AI169" s="838"/>
      <c r="AJ169" s="838"/>
      <c r="AK169" s="838"/>
      <c r="AL169" s="838"/>
      <c r="AM169" s="838"/>
      <c r="AN169" s="838"/>
      <c r="AO169" s="838"/>
      <c r="AP169" s="838"/>
      <c r="AQ169" s="838"/>
      <c r="AR169" s="838"/>
      <c r="AS169" s="838"/>
      <c r="AT169" s="838"/>
      <c r="AU169" s="838"/>
      <c r="AV169" s="838"/>
      <c r="AW169" s="838"/>
      <c r="AX169" s="839"/>
    </row>
    <row r="170" spans="1:50">
      <c r="A170" s="838"/>
      <c r="B170" s="861"/>
      <c r="C170" s="858"/>
      <c r="D170" s="838"/>
      <c r="E170" s="860"/>
      <c r="F170" s="838"/>
      <c r="G170" s="858"/>
      <c r="H170" s="838"/>
      <c r="I170" s="838"/>
      <c r="J170" s="838"/>
      <c r="K170" s="838"/>
      <c r="L170" s="838"/>
      <c r="M170" s="838"/>
      <c r="N170" s="838"/>
      <c r="O170" s="838"/>
      <c r="P170" s="838"/>
      <c r="Q170" s="838"/>
      <c r="R170" s="838"/>
      <c r="S170" s="838"/>
      <c r="T170" s="838"/>
      <c r="U170" s="838"/>
      <c r="V170" s="838"/>
      <c r="W170" s="838"/>
      <c r="X170" s="838"/>
      <c r="Y170" s="838"/>
      <c r="Z170" s="838"/>
      <c r="AA170" s="838"/>
      <c r="AB170" s="838"/>
      <c r="AC170" s="838"/>
      <c r="AD170" s="838"/>
      <c r="AE170" s="838"/>
      <c r="AF170" s="838"/>
      <c r="AG170" s="838"/>
      <c r="AH170" s="838"/>
      <c r="AI170" s="838"/>
      <c r="AJ170" s="838"/>
      <c r="AK170" s="838"/>
      <c r="AL170" s="838"/>
      <c r="AM170" s="838"/>
      <c r="AN170" s="838"/>
      <c r="AO170" s="838"/>
      <c r="AP170" s="838"/>
      <c r="AQ170" s="838"/>
      <c r="AR170" s="838"/>
      <c r="AS170" s="838"/>
      <c r="AT170" s="838"/>
      <c r="AU170" s="838"/>
      <c r="AV170" s="838"/>
      <c r="AW170" s="838"/>
      <c r="AX170" s="839"/>
    </row>
    <row r="171" spans="1:50">
      <c r="A171" s="843"/>
      <c r="B171" s="844"/>
      <c r="C171" s="845"/>
      <c r="D171" s="845"/>
      <c r="E171" s="845"/>
      <c r="F171" s="843"/>
      <c r="G171" s="845"/>
      <c r="H171" s="843"/>
      <c r="I171" s="843"/>
      <c r="J171" s="843"/>
      <c r="K171" s="843"/>
      <c r="L171" s="843"/>
      <c r="M171" s="843"/>
      <c r="N171" s="843"/>
      <c r="O171" s="843"/>
      <c r="P171" s="843"/>
      <c r="Q171" s="843"/>
      <c r="R171" s="843"/>
      <c r="S171" s="843"/>
      <c r="T171" s="843"/>
      <c r="U171" s="843"/>
      <c r="V171" s="843"/>
      <c r="W171" s="843"/>
      <c r="X171" s="843"/>
      <c r="Y171" s="843"/>
      <c r="Z171" s="843"/>
      <c r="AA171" s="843"/>
      <c r="AB171" s="843"/>
      <c r="AC171" s="843"/>
      <c r="AD171" s="843"/>
      <c r="AE171" s="843"/>
      <c r="AF171" s="843"/>
      <c r="AG171" s="843"/>
      <c r="AH171" s="843"/>
      <c r="AI171" s="843"/>
      <c r="AJ171" s="843"/>
      <c r="AK171" s="843"/>
      <c r="AL171" s="843"/>
      <c r="AM171" s="843"/>
      <c r="AN171" s="843"/>
      <c r="AO171" s="843"/>
      <c r="AP171" s="843"/>
      <c r="AQ171" s="843"/>
      <c r="AR171" s="843"/>
      <c r="AS171" s="843"/>
      <c r="AT171" s="843"/>
      <c r="AU171" s="843"/>
      <c r="AV171" s="843"/>
      <c r="AW171" s="843"/>
      <c r="AX171" s="843"/>
    </row>
    <row r="172" spans="1:50">
      <c r="A172" s="846"/>
      <c r="B172" s="847"/>
      <c r="C172" s="809"/>
      <c r="D172" s="846"/>
      <c r="E172" s="809"/>
      <c r="F172" s="846"/>
      <c r="G172" s="809"/>
      <c r="H172" s="846"/>
      <c r="I172" s="846"/>
      <c r="J172" s="846"/>
      <c r="K172" s="846"/>
      <c r="L172" s="846"/>
      <c r="M172" s="846"/>
      <c r="N172" s="846"/>
      <c r="O172" s="846"/>
      <c r="P172" s="846"/>
      <c r="Q172" s="846"/>
      <c r="R172" s="846"/>
      <c r="S172" s="846"/>
      <c r="T172" s="846"/>
      <c r="U172" s="846"/>
      <c r="V172" s="846"/>
      <c r="W172" s="846"/>
      <c r="X172" s="846"/>
      <c r="Y172" s="846"/>
      <c r="Z172" s="846"/>
      <c r="AA172" s="846"/>
      <c r="AB172" s="846"/>
      <c r="AC172" s="846"/>
      <c r="AD172" s="846"/>
      <c r="AE172" s="846"/>
      <c r="AF172" s="846"/>
      <c r="AG172" s="846"/>
      <c r="AH172" s="846"/>
      <c r="AI172" s="846"/>
      <c r="AJ172" s="846"/>
      <c r="AK172" s="846"/>
      <c r="AL172" s="846"/>
      <c r="AM172" s="846"/>
      <c r="AN172" s="846"/>
      <c r="AO172" s="846"/>
      <c r="AP172" s="846"/>
      <c r="AQ172" s="846"/>
      <c r="AR172" s="846"/>
      <c r="AS172" s="846"/>
      <c r="AT172" s="846"/>
      <c r="AU172" s="846"/>
      <c r="AV172" s="846"/>
      <c r="AW172" s="846"/>
      <c r="AX172" s="846"/>
    </row>
    <row r="173" spans="1:50">
      <c r="A173" s="838"/>
      <c r="B173" s="841"/>
      <c r="C173" s="798"/>
      <c r="D173" s="838"/>
      <c r="E173" s="798"/>
      <c r="F173" s="838"/>
      <c r="G173" s="798"/>
      <c r="H173" s="838"/>
      <c r="I173" s="838"/>
      <c r="J173" s="838"/>
      <c r="K173" s="838"/>
      <c r="L173" s="838"/>
      <c r="M173" s="838"/>
      <c r="N173" s="838"/>
      <c r="O173" s="838"/>
      <c r="P173" s="838"/>
      <c r="Q173" s="838"/>
      <c r="R173" s="838"/>
      <c r="S173" s="838"/>
      <c r="T173" s="838"/>
      <c r="U173" s="838"/>
      <c r="V173" s="838"/>
      <c r="W173" s="838"/>
      <c r="X173" s="838"/>
      <c r="Y173" s="838"/>
      <c r="Z173" s="838"/>
      <c r="AA173" s="838"/>
      <c r="AB173" s="838"/>
      <c r="AC173" s="838"/>
      <c r="AD173" s="838"/>
      <c r="AE173" s="838"/>
      <c r="AF173" s="838"/>
      <c r="AG173" s="838"/>
      <c r="AH173" s="838"/>
      <c r="AI173" s="838"/>
      <c r="AJ173" s="838"/>
      <c r="AK173" s="838"/>
      <c r="AL173" s="838"/>
      <c r="AM173" s="838"/>
      <c r="AN173" s="838"/>
      <c r="AO173" s="838"/>
      <c r="AP173" s="838"/>
      <c r="AQ173" s="838"/>
      <c r="AR173" s="838"/>
      <c r="AS173" s="838"/>
      <c r="AT173" s="838"/>
      <c r="AU173" s="838"/>
      <c r="AV173" s="838"/>
      <c r="AW173" s="838"/>
      <c r="AX173" s="838"/>
    </row>
    <row r="174" spans="1:50">
      <c r="A174" s="838"/>
      <c r="B174" s="841"/>
      <c r="C174" s="798"/>
      <c r="D174" s="838"/>
      <c r="E174" s="798"/>
      <c r="F174" s="838"/>
      <c r="G174" s="798"/>
      <c r="H174" s="838"/>
      <c r="I174" s="838"/>
      <c r="J174" s="838"/>
      <c r="K174" s="838"/>
      <c r="L174" s="838"/>
      <c r="M174" s="838"/>
      <c r="N174" s="838"/>
      <c r="O174" s="838"/>
      <c r="P174" s="838"/>
      <c r="Q174" s="838"/>
      <c r="R174" s="838"/>
      <c r="S174" s="838"/>
      <c r="T174" s="838"/>
      <c r="U174" s="838"/>
      <c r="V174" s="838"/>
      <c r="W174" s="838"/>
      <c r="X174" s="838"/>
      <c r="Y174" s="838"/>
      <c r="Z174" s="838"/>
      <c r="AA174" s="838"/>
      <c r="AB174" s="838"/>
      <c r="AC174" s="838"/>
      <c r="AD174" s="838"/>
      <c r="AE174" s="838"/>
      <c r="AF174" s="838"/>
      <c r="AG174" s="838"/>
      <c r="AH174" s="838"/>
      <c r="AI174" s="838"/>
      <c r="AJ174" s="838"/>
      <c r="AK174" s="838"/>
      <c r="AL174" s="838"/>
      <c r="AM174" s="838"/>
      <c r="AN174" s="838"/>
      <c r="AO174" s="838"/>
      <c r="AP174" s="838"/>
      <c r="AQ174" s="838"/>
      <c r="AR174" s="838"/>
      <c r="AS174" s="838"/>
      <c r="AT174" s="838"/>
      <c r="AU174" s="838"/>
      <c r="AV174" s="838"/>
      <c r="AW174" s="838"/>
      <c r="AX174" s="838"/>
    </row>
    <row r="175" spans="1:50">
      <c r="A175" s="838"/>
      <c r="B175" s="841"/>
      <c r="C175" s="798"/>
      <c r="D175" s="838"/>
      <c r="E175" s="798"/>
      <c r="F175" s="838"/>
      <c r="G175" s="798"/>
      <c r="H175" s="838"/>
      <c r="I175" s="838"/>
      <c r="J175" s="838"/>
      <c r="K175" s="838"/>
      <c r="L175" s="838"/>
      <c r="M175" s="838"/>
      <c r="N175" s="838"/>
      <c r="O175" s="838"/>
      <c r="P175" s="838"/>
      <c r="Q175" s="838"/>
      <c r="R175" s="838"/>
      <c r="S175" s="838"/>
      <c r="T175" s="838"/>
      <c r="U175" s="838"/>
      <c r="V175" s="838"/>
      <c r="W175" s="838"/>
      <c r="X175" s="838"/>
      <c r="Y175" s="838"/>
      <c r="Z175" s="838"/>
      <c r="AA175" s="838"/>
      <c r="AB175" s="838"/>
      <c r="AC175" s="838"/>
      <c r="AD175" s="838"/>
      <c r="AE175" s="838"/>
      <c r="AF175" s="838"/>
      <c r="AG175" s="838"/>
      <c r="AH175" s="838"/>
      <c r="AI175" s="838"/>
      <c r="AJ175" s="838"/>
      <c r="AK175" s="838"/>
      <c r="AL175" s="838"/>
      <c r="AM175" s="838"/>
      <c r="AN175" s="838"/>
      <c r="AO175" s="838"/>
      <c r="AP175" s="838"/>
      <c r="AQ175" s="838"/>
      <c r="AR175" s="838"/>
      <c r="AS175" s="838"/>
      <c r="AT175" s="838"/>
      <c r="AU175" s="838"/>
      <c r="AV175" s="838"/>
      <c r="AW175" s="838"/>
      <c r="AX175" s="838"/>
    </row>
    <row r="176" spans="1:50">
      <c r="A176" s="838"/>
      <c r="B176" s="841"/>
      <c r="C176" s="798"/>
      <c r="D176" s="838"/>
      <c r="E176" s="798"/>
      <c r="F176" s="838"/>
      <c r="G176" s="798"/>
      <c r="H176" s="838"/>
      <c r="I176" s="838"/>
      <c r="J176" s="838"/>
      <c r="K176" s="838"/>
      <c r="L176" s="838"/>
      <c r="M176" s="838"/>
      <c r="N176" s="838"/>
      <c r="O176" s="838"/>
      <c r="P176" s="838"/>
      <c r="Q176" s="838"/>
      <c r="R176" s="838"/>
      <c r="S176" s="838"/>
      <c r="T176" s="838"/>
      <c r="U176" s="838"/>
      <c r="V176" s="838"/>
      <c r="W176" s="838"/>
      <c r="X176" s="838"/>
      <c r="Y176" s="838"/>
      <c r="Z176" s="838"/>
      <c r="AA176" s="838"/>
      <c r="AB176" s="838"/>
      <c r="AC176" s="838"/>
      <c r="AD176" s="838"/>
      <c r="AE176" s="838"/>
      <c r="AF176" s="838"/>
      <c r="AG176" s="838"/>
      <c r="AH176" s="838"/>
      <c r="AI176" s="838"/>
      <c r="AJ176" s="838"/>
      <c r="AK176" s="838"/>
      <c r="AL176" s="838"/>
      <c r="AM176" s="838"/>
      <c r="AN176" s="838"/>
      <c r="AO176" s="838"/>
      <c r="AP176" s="838"/>
      <c r="AQ176" s="838"/>
      <c r="AR176" s="838"/>
      <c r="AS176" s="838"/>
      <c r="AT176" s="838"/>
      <c r="AU176" s="838"/>
      <c r="AV176" s="838"/>
      <c r="AW176" s="838"/>
      <c r="AX176" s="838"/>
    </row>
    <row r="177" spans="1:50">
      <c r="A177" s="838"/>
      <c r="B177" s="841"/>
      <c r="C177" s="798"/>
      <c r="D177" s="838"/>
      <c r="E177" s="798"/>
      <c r="F177" s="838"/>
      <c r="G177" s="798"/>
      <c r="H177" s="838"/>
      <c r="I177" s="838"/>
      <c r="J177" s="838"/>
      <c r="K177" s="838"/>
      <c r="L177" s="838"/>
      <c r="M177" s="838"/>
      <c r="N177" s="838"/>
      <c r="O177" s="838"/>
      <c r="P177" s="838"/>
      <c r="Q177" s="838"/>
      <c r="R177" s="838"/>
      <c r="S177" s="838"/>
      <c r="T177" s="838"/>
      <c r="U177" s="838"/>
      <c r="V177" s="838"/>
      <c r="W177" s="838"/>
      <c r="X177" s="838"/>
      <c r="Y177" s="838"/>
      <c r="Z177" s="838"/>
      <c r="AA177" s="838"/>
      <c r="AB177" s="838"/>
      <c r="AC177" s="838"/>
      <c r="AD177" s="838"/>
      <c r="AE177" s="838"/>
      <c r="AF177" s="838"/>
      <c r="AG177" s="838"/>
      <c r="AH177" s="838"/>
      <c r="AI177" s="838"/>
      <c r="AJ177" s="838"/>
      <c r="AK177" s="838"/>
      <c r="AL177" s="838"/>
      <c r="AM177" s="838"/>
      <c r="AN177" s="838"/>
      <c r="AO177" s="838"/>
      <c r="AP177" s="838"/>
      <c r="AQ177" s="838"/>
      <c r="AR177" s="838"/>
      <c r="AS177" s="838"/>
      <c r="AT177" s="838"/>
      <c r="AU177" s="838"/>
      <c r="AV177" s="838"/>
      <c r="AW177" s="838"/>
      <c r="AX177" s="838"/>
    </row>
    <row r="178" spans="1:50">
      <c r="A178" s="838"/>
      <c r="B178" s="841"/>
      <c r="C178" s="798"/>
      <c r="D178" s="838"/>
      <c r="E178" s="798"/>
      <c r="F178" s="838"/>
      <c r="G178" s="798"/>
      <c r="H178" s="838"/>
      <c r="I178" s="838"/>
      <c r="J178" s="838"/>
      <c r="K178" s="838"/>
      <c r="L178" s="838"/>
      <c r="M178" s="838"/>
      <c r="N178" s="838"/>
      <c r="O178" s="838"/>
      <c r="P178" s="838"/>
      <c r="Q178" s="838"/>
      <c r="R178" s="838"/>
      <c r="S178" s="838"/>
      <c r="T178" s="838"/>
      <c r="U178" s="838"/>
      <c r="V178" s="838"/>
      <c r="W178" s="838"/>
      <c r="X178" s="838"/>
      <c r="Y178" s="838"/>
      <c r="Z178" s="838"/>
      <c r="AA178" s="838"/>
      <c r="AB178" s="838"/>
      <c r="AC178" s="838"/>
      <c r="AD178" s="838"/>
      <c r="AE178" s="838"/>
      <c r="AF178" s="838"/>
      <c r="AG178" s="838"/>
      <c r="AH178" s="838"/>
      <c r="AI178" s="838"/>
      <c r="AJ178" s="838"/>
      <c r="AK178" s="838"/>
      <c r="AL178" s="838"/>
      <c r="AM178" s="838"/>
      <c r="AN178" s="838"/>
      <c r="AO178" s="838"/>
      <c r="AP178" s="838"/>
      <c r="AQ178" s="838"/>
      <c r="AR178" s="838"/>
      <c r="AS178" s="838"/>
      <c r="AT178" s="838"/>
      <c r="AU178" s="838"/>
      <c r="AV178" s="838"/>
      <c r="AW178" s="838"/>
      <c r="AX178" s="838"/>
    </row>
    <row r="179" spans="1:50">
      <c r="A179" s="838"/>
      <c r="B179" s="841"/>
      <c r="C179" s="798"/>
      <c r="D179" s="838"/>
      <c r="E179" s="798"/>
      <c r="F179" s="838"/>
      <c r="G179" s="798"/>
      <c r="H179" s="838"/>
      <c r="I179" s="838"/>
      <c r="J179" s="838"/>
      <c r="K179" s="838"/>
      <c r="L179" s="838"/>
      <c r="M179" s="838"/>
      <c r="N179" s="838"/>
      <c r="O179" s="838"/>
      <c r="P179" s="838"/>
      <c r="Q179" s="838"/>
      <c r="R179" s="838"/>
      <c r="S179" s="838"/>
      <c r="T179" s="838"/>
      <c r="U179" s="838"/>
      <c r="V179" s="838"/>
      <c r="W179" s="838"/>
      <c r="X179" s="838"/>
      <c r="Y179" s="838"/>
      <c r="Z179" s="838"/>
      <c r="AA179" s="838"/>
      <c r="AB179" s="838"/>
      <c r="AC179" s="838"/>
      <c r="AD179" s="838"/>
      <c r="AE179" s="838"/>
      <c r="AF179" s="838"/>
      <c r="AG179" s="838"/>
      <c r="AH179" s="838"/>
      <c r="AI179" s="838"/>
      <c r="AJ179" s="838"/>
      <c r="AK179" s="838"/>
      <c r="AL179" s="838"/>
      <c r="AM179" s="838"/>
      <c r="AN179" s="838"/>
      <c r="AO179" s="838"/>
      <c r="AP179" s="838"/>
      <c r="AQ179" s="838"/>
      <c r="AR179" s="838"/>
      <c r="AS179" s="838"/>
      <c r="AT179" s="838"/>
      <c r="AU179" s="838"/>
      <c r="AV179" s="838"/>
      <c r="AW179" s="838"/>
      <c r="AX179" s="838"/>
    </row>
    <row r="180" spans="1:50">
      <c r="A180" s="838"/>
      <c r="B180" s="841"/>
      <c r="C180" s="798"/>
      <c r="D180" s="838"/>
      <c r="E180" s="798"/>
      <c r="F180" s="838"/>
      <c r="G180" s="798"/>
      <c r="H180" s="838"/>
      <c r="I180" s="838"/>
      <c r="J180" s="838"/>
      <c r="K180" s="838"/>
      <c r="L180" s="838"/>
      <c r="M180" s="838"/>
      <c r="N180" s="838"/>
      <c r="O180" s="838"/>
      <c r="P180" s="838"/>
      <c r="Q180" s="838"/>
      <c r="R180" s="838"/>
      <c r="S180" s="838"/>
      <c r="T180" s="838"/>
      <c r="U180" s="838"/>
      <c r="V180" s="838"/>
      <c r="W180" s="838"/>
      <c r="X180" s="838"/>
      <c r="Y180" s="838"/>
      <c r="Z180" s="838"/>
      <c r="AA180" s="838"/>
      <c r="AB180" s="838"/>
      <c r="AC180" s="838"/>
      <c r="AD180" s="838"/>
      <c r="AE180" s="838"/>
      <c r="AF180" s="838"/>
      <c r="AG180" s="838"/>
      <c r="AH180" s="838"/>
      <c r="AI180" s="838"/>
      <c r="AJ180" s="838"/>
      <c r="AK180" s="838"/>
      <c r="AL180" s="838"/>
      <c r="AM180" s="838"/>
      <c r="AN180" s="838"/>
      <c r="AO180" s="838"/>
      <c r="AP180" s="838"/>
      <c r="AQ180" s="838"/>
      <c r="AR180" s="838"/>
      <c r="AS180" s="838"/>
      <c r="AT180" s="838"/>
      <c r="AU180" s="838"/>
      <c r="AV180" s="838"/>
      <c r="AW180" s="838"/>
      <c r="AX180" s="838"/>
    </row>
    <row r="181" spans="1:50">
      <c r="A181" s="838"/>
      <c r="B181" s="841"/>
      <c r="C181" s="798"/>
      <c r="D181" s="838"/>
      <c r="E181" s="798"/>
      <c r="F181" s="838"/>
      <c r="G181" s="798"/>
      <c r="H181" s="838"/>
      <c r="I181" s="838"/>
      <c r="J181" s="838"/>
      <c r="K181" s="838"/>
      <c r="L181" s="838"/>
      <c r="M181" s="838"/>
      <c r="N181" s="838"/>
      <c r="O181" s="838"/>
      <c r="P181" s="838"/>
      <c r="Q181" s="838"/>
      <c r="R181" s="838"/>
      <c r="S181" s="838"/>
      <c r="T181" s="838"/>
      <c r="U181" s="838"/>
      <c r="V181" s="838"/>
      <c r="W181" s="838"/>
      <c r="X181" s="838"/>
      <c r="Y181" s="838"/>
      <c r="Z181" s="838"/>
      <c r="AA181" s="838"/>
      <c r="AB181" s="838"/>
      <c r="AC181" s="838"/>
      <c r="AD181" s="838"/>
      <c r="AE181" s="838"/>
      <c r="AF181" s="838"/>
      <c r="AG181" s="838"/>
      <c r="AH181" s="838"/>
      <c r="AI181" s="838"/>
      <c r="AJ181" s="838"/>
      <c r="AK181" s="838"/>
      <c r="AL181" s="838"/>
      <c r="AM181" s="838"/>
      <c r="AN181" s="838"/>
      <c r="AO181" s="838"/>
      <c r="AP181" s="838"/>
      <c r="AQ181" s="838"/>
      <c r="AR181" s="838"/>
      <c r="AS181" s="838"/>
      <c r="AT181" s="838"/>
      <c r="AU181" s="838"/>
      <c r="AV181" s="838"/>
      <c r="AW181" s="838"/>
      <c r="AX181" s="838"/>
    </row>
    <row r="182" spans="1:50">
      <c r="A182" s="838"/>
      <c r="B182" s="841"/>
      <c r="C182" s="798"/>
      <c r="D182" s="842"/>
      <c r="E182" s="798"/>
      <c r="F182" s="842"/>
      <c r="G182" s="798"/>
      <c r="H182" s="838"/>
      <c r="I182" s="838"/>
      <c r="J182" s="838"/>
      <c r="K182" s="838"/>
      <c r="L182" s="838"/>
      <c r="M182" s="838"/>
      <c r="N182" s="838"/>
      <c r="O182" s="838"/>
      <c r="P182" s="838"/>
      <c r="Q182" s="838"/>
      <c r="R182" s="838"/>
      <c r="S182" s="838"/>
      <c r="T182" s="838"/>
      <c r="U182" s="838"/>
      <c r="V182" s="838"/>
      <c r="W182" s="838"/>
      <c r="X182" s="838"/>
      <c r="Y182" s="838"/>
      <c r="Z182" s="838"/>
      <c r="AA182" s="838"/>
      <c r="AB182" s="838"/>
      <c r="AC182" s="838"/>
      <c r="AD182" s="838"/>
      <c r="AE182" s="838"/>
      <c r="AF182" s="838"/>
      <c r="AG182" s="838"/>
      <c r="AH182" s="838"/>
      <c r="AI182" s="838"/>
      <c r="AJ182" s="838"/>
      <c r="AK182" s="838"/>
      <c r="AL182" s="838"/>
      <c r="AM182" s="838"/>
      <c r="AN182" s="838"/>
      <c r="AO182" s="838"/>
      <c r="AP182" s="838"/>
      <c r="AQ182" s="838"/>
      <c r="AR182" s="838"/>
      <c r="AS182" s="838"/>
      <c r="AT182" s="838"/>
      <c r="AU182" s="838"/>
      <c r="AV182" s="838"/>
      <c r="AW182" s="838"/>
      <c r="AX182" s="838"/>
    </row>
    <row r="183" spans="1:50">
      <c r="A183" s="842"/>
      <c r="B183" s="848"/>
      <c r="C183" s="862"/>
      <c r="D183" s="842"/>
      <c r="E183" s="862"/>
      <c r="F183" s="842"/>
      <c r="G183" s="862"/>
      <c r="H183" s="842"/>
      <c r="I183" s="842"/>
      <c r="J183" s="842"/>
      <c r="K183" s="842"/>
      <c r="L183" s="842"/>
      <c r="M183" s="842"/>
      <c r="N183" s="842"/>
      <c r="O183" s="842"/>
      <c r="P183" s="842"/>
      <c r="Q183" s="842"/>
      <c r="R183" s="842"/>
      <c r="S183" s="842"/>
      <c r="T183" s="842"/>
      <c r="U183" s="842"/>
      <c r="V183" s="842"/>
      <c r="W183" s="842"/>
      <c r="X183" s="842"/>
      <c r="Y183" s="842"/>
      <c r="Z183" s="842"/>
      <c r="AA183" s="842"/>
      <c r="AB183" s="842"/>
      <c r="AC183" s="842"/>
      <c r="AD183" s="842"/>
      <c r="AE183" s="842"/>
      <c r="AF183" s="842"/>
      <c r="AG183" s="842"/>
      <c r="AH183" s="842"/>
      <c r="AI183" s="842"/>
      <c r="AJ183" s="842"/>
      <c r="AK183" s="842"/>
      <c r="AL183" s="842"/>
      <c r="AM183" s="842"/>
      <c r="AN183" s="842"/>
      <c r="AO183" s="842"/>
      <c r="AP183" s="842"/>
      <c r="AQ183" s="842"/>
      <c r="AR183" s="842"/>
      <c r="AS183" s="842"/>
      <c r="AT183" s="842"/>
      <c r="AU183" s="842"/>
      <c r="AV183" s="842"/>
      <c r="AW183" s="842"/>
      <c r="AX183" s="842"/>
    </row>
    <row r="184" spans="1:50">
      <c r="A184" s="863"/>
      <c r="B184" s="864"/>
      <c r="C184" s="865"/>
      <c r="D184" s="863"/>
      <c r="E184" s="866"/>
      <c r="F184" s="863"/>
      <c r="G184" s="866"/>
      <c r="H184" s="866"/>
      <c r="I184" s="866"/>
      <c r="J184" s="866"/>
      <c r="K184" s="866"/>
      <c r="L184" s="866"/>
      <c r="M184" s="866"/>
      <c r="N184" s="866"/>
      <c r="O184" s="866"/>
      <c r="P184" s="866"/>
      <c r="Q184" s="866"/>
      <c r="R184" s="866"/>
      <c r="S184" s="866"/>
      <c r="T184" s="866"/>
      <c r="U184" s="866"/>
      <c r="V184" s="866"/>
      <c r="W184" s="866"/>
      <c r="X184" s="866"/>
      <c r="Y184" s="866"/>
      <c r="Z184" s="866"/>
      <c r="AA184" s="866"/>
      <c r="AB184" s="866"/>
      <c r="AC184" s="866"/>
      <c r="AD184" s="866"/>
      <c r="AE184" s="866"/>
      <c r="AF184" s="866"/>
      <c r="AG184" s="866"/>
      <c r="AH184" s="866"/>
      <c r="AI184" s="866"/>
      <c r="AJ184" s="866"/>
      <c r="AK184" s="866"/>
      <c r="AL184" s="866"/>
      <c r="AM184" s="866"/>
      <c r="AN184" s="866"/>
      <c r="AO184" s="866"/>
      <c r="AP184" s="866"/>
      <c r="AQ184" s="866"/>
      <c r="AR184" s="866"/>
      <c r="AS184" s="866"/>
      <c r="AT184" s="866"/>
      <c r="AU184" s="866"/>
      <c r="AV184" s="866"/>
      <c r="AW184" s="867"/>
      <c r="AX184" s="866"/>
    </row>
    <row r="185" spans="1:50">
      <c r="A185" s="868"/>
      <c r="B185" s="869"/>
      <c r="C185" s="868"/>
      <c r="D185" s="868"/>
      <c r="E185" s="870"/>
      <c r="F185" s="849"/>
      <c r="G185" s="868"/>
      <c r="H185" s="871"/>
      <c r="I185" s="871"/>
      <c r="J185" s="871"/>
      <c r="K185" s="871"/>
      <c r="L185" s="871"/>
      <c r="M185" s="871"/>
      <c r="N185" s="871"/>
      <c r="O185" s="871"/>
      <c r="P185" s="871"/>
      <c r="Q185" s="871"/>
      <c r="R185" s="871"/>
      <c r="S185" s="871"/>
      <c r="T185" s="871"/>
      <c r="U185" s="871"/>
      <c r="V185" s="871"/>
      <c r="W185" s="871"/>
      <c r="X185" s="871"/>
      <c r="Y185" s="871"/>
      <c r="Z185" s="871"/>
      <c r="AA185" s="871"/>
      <c r="AB185" s="871"/>
      <c r="AC185" s="871"/>
      <c r="AD185" s="871"/>
      <c r="AE185" s="871"/>
      <c r="AF185" s="871"/>
      <c r="AG185" s="871"/>
      <c r="AH185" s="871"/>
      <c r="AI185" s="871"/>
      <c r="AJ185" s="871"/>
      <c r="AK185" s="871"/>
      <c r="AL185" s="871"/>
      <c r="AM185" s="871"/>
      <c r="AN185" s="871"/>
      <c r="AO185" s="871"/>
      <c r="AP185" s="871"/>
      <c r="AQ185" s="871"/>
      <c r="AR185" s="871"/>
      <c r="AS185" s="871"/>
      <c r="AT185" s="871"/>
      <c r="AU185" s="871"/>
      <c r="AV185" s="871"/>
      <c r="AW185" s="849"/>
      <c r="AX185" s="871"/>
    </row>
    <row r="186" spans="1:50">
      <c r="A186" s="872"/>
      <c r="B186" s="873"/>
      <c r="C186" s="874"/>
      <c r="D186" s="874"/>
      <c r="E186" s="874"/>
      <c r="F186" s="872"/>
      <c r="G186" s="875"/>
      <c r="H186" s="875"/>
      <c r="I186" s="875"/>
      <c r="J186" s="875"/>
      <c r="K186" s="875"/>
      <c r="L186" s="875"/>
      <c r="M186" s="875"/>
      <c r="N186" s="875"/>
      <c r="O186" s="875"/>
      <c r="P186" s="875"/>
      <c r="Q186" s="875"/>
      <c r="R186" s="875"/>
      <c r="S186" s="875"/>
      <c r="T186" s="875"/>
      <c r="U186" s="875"/>
      <c r="V186" s="875"/>
      <c r="W186" s="875"/>
      <c r="X186" s="875"/>
      <c r="Y186" s="875"/>
      <c r="Z186" s="875"/>
      <c r="AA186" s="875"/>
      <c r="AB186" s="875"/>
      <c r="AC186" s="875"/>
      <c r="AD186" s="875"/>
      <c r="AE186" s="875"/>
      <c r="AF186" s="875"/>
      <c r="AG186" s="875"/>
      <c r="AH186" s="875"/>
      <c r="AI186" s="875"/>
      <c r="AJ186" s="875"/>
      <c r="AK186" s="875"/>
      <c r="AL186" s="875"/>
      <c r="AM186" s="875"/>
      <c r="AN186" s="875"/>
      <c r="AO186" s="875"/>
      <c r="AP186" s="875"/>
      <c r="AQ186" s="875"/>
      <c r="AR186" s="875"/>
      <c r="AS186" s="875"/>
      <c r="AT186" s="875"/>
      <c r="AU186" s="875"/>
      <c r="AV186" s="875"/>
      <c r="AW186" s="876"/>
      <c r="AX186" s="875"/>
    </row>
    <row r="187" spans="1:50">
      <c r="A187" s="877"/>
      <c r="B187" s="841"/>
      <c r="C187" s="878"/>
      <c r="D187" s="877"/>
      <c r="E187" s="877"/>
      <c r="F187" s="838"/>
      <c r="G187" s="877"/>
      <c r="H187" s="879"/>
      <c r="I187" s="879"/>
      <c r="J187" s="879"/>
      <c r="K187" s="879"/>
      <c r="L187" s="879"/>
      <c r="M187" s="879"/>
      <c r="N187" s="879"/>
      <c r="O187" s="879"/>
      <c r="P187" s="879"/>
      <c r="Q187" s="879"/>
      <c r="R187" s="879"/>
      <c r="S187" s="879"/>
      <c r="T187" s="879"/>
      <c r="U187" s="879"/>
      <c r="V187" s="879"/>
      <c r="W187" s="879"/>
      <c r="X187" s="879"/>
      <c r="Y187" s="879"/>
      <c r="Z187" s="879"/>
      <c r="AA187" s="879"/>
      <c r="AB187" s="879"/>
      <c r="AC187" s="879"/>
      <c r="AD187" s="879"/>
      <c r="AE187" s="879"/>
      <c r="AF187" s="879"/>
      <c r="AG187" s="879"/>
      <c r="AH187" s="879"/>
      <c r="AI187" s="879"/>
      <c r="AJ187" s="879"/>
      <c r="AK187" s="879"/>
      <c r="AL187" s="879"/>
      <c r="AM187" s="879"/>
      <c r="AN187" s="879"/>
      <c r="AO187" s="879"/>
      <c r="AP187" s="879"/>
      <c r="AQ187" s="879"/>
      <c r="AR187" s="879"/>
      <c r="AS187" s="879"/>
      <c r="AT187" s="879"/>
      <c r="AU187" s="879"/>
      <c r="AV187" s="879"/>
      <c r="AW187" s="838"/>
      <c r="AX187" s="879"/>
    </row>
    <row r="188" spans="1:50">
      <c r="A188" s="877"/>
      <c r="B188" s="841"/>
      <c r="C188" s="878"/>
      <c r="D188" s="877"/>
      <c r="E188" s="878"/>
      <c r="F188" s="838"/>
      <c r="G188" s="878"/>
      <c r="H188" s="879"/>
      <c r="I188" s="879"/>
      <c r="J188" s="879"/>
      <c r="K188" s="879"/>
      <c r="L188" s="879"/>
      <c r="M188" s="879"/>
      <c r="N188" s="879"/>
      <c r="O188" s="879"/>
      <c r="P188" s="879"/>
      <c r="Q188" s="879"/>
      <c r="R188" s="879"/>
      <c r="S188" s="879"/>
      <c r="T188" s="879"/>
      <c r="U188" s="879"/>
      <c r="V188" s="879"/>
      <c r="W188" s="879"/>
      <c r="X188" s="879"/>
      <c r="Y188" s="879"/>
      <c r="Z188" s="879"/>
      <c r="AA188" s="879"/>
      <c r="AB188" s="879"/>
      <c r="AC188" s="879"/>
      <c r="AD188" s="879"/>
      <c r="AE188" s="879"/>
      <c r="AF188" s="879"/>
      <c r="AG188" s="879"/>
      <c r="AH188" s="879"/>
      <c r="AI188" s="879"/>
      <c r="AJ188" s="879"/>
      <c r="AK188" s="879"/>
      <c r="AL188" s="879"/>
      <c r="AM188" s="879"/>
      <c r="AN188" s="879"/>
      <c r="AO188" s="879"/>
      <c r="AP188" s="879"/>
      <c r="AQ188" s="879"/>
      <c r="AR188" s="879"/>
      <c r="AS188" s="879"/>
      <c r="AT188" s="879"/>
      <c r="AU188" s="879"/>
      <c r="AV188" s="879"/>
      <c r="AW188" s="838"/>
      <c r="AX188" s="879"/>
    </row>
    <row r="189" spans="1:50">
      <c r="A189" s="877"/>
      <c r="B189" s="841"/>
      <c r="C189" s="878"/>
      <c r="D189" s="877"/>
      <c r="E189" s="878"/>
      <c r="F189" s="838"/>
      <c r="G189" s="877"/>
      <c r="H189" s="879"/>
      <c r="I189" s="879"/>
      <c r="J189" s="879"/>
      <c r="K189" s="879"/>
      <c r="L189" s="879"/>
      <c r="M189" s="879"/>
      <c r="N189" s="879"/>
      <c r="O189" s="879"/>
      <c r="P189" s="879"/>
      <c r="Q189" s="879"/>
      <c r="R189" s="879"/>
      <c r="S189" s="879"/>
      <c r="T189" s="879"/>
      <c r="U189" s="879"/>
      <c r="V189" s="879"/>
      <c r="W189" s="879"/>
      <c r="X189" s="879"/>
      <c r="Y189" s="879"/>
      <c r="Z189" s="879"/>
      <c r="AA189" s="879"/>
      <c r="AB189" s="879"/>
      <c r="AC189" s="879"/>
      <c r="AD189" s="879"/>
      <c r="AE189" s="879"/>
      <c r="AF189" s="879"/>
      <c r="AG189" s="879"/>
      <c r="AH189" s="879"/>
      <c r="AI189" s="879"/>
      <c r="AJ189" s="879"/>
      <c r="AK189" s="879"/>
      <c r="AL189" s="879"/>
      <c r="AM189" s="879"/>
      <c r="AN189" s="879"/>
      <c r="AO189" s="879"/>
      <c r="AP189" s="879"/>
      <c r="AQ189" s="879"/>
      <c r="AR189" s="879"/>
      <c r="AS189" s="879"/>
      <c r="AT189" s="879"/>
      <c r="AU189" s="879"/>
      <c r="AV189" s="879"/>
      <c r="AW189" s="838"/>
      <c r="AX189" s="879"/>
    </row>
    <row r="190" spans="1:50">
      <c r="A190" s="877"/>
      <c r="B190" s="841"/>
      <c r="C190" s="878"/>
      <c r="D190" s="877"/>
      <c r="E190" s="878"/>
      <c r="F190" s="838"/>
      <c r="G190" s="878"/>
      <c r="H190" s="879"/>
      <c r="I190" s="879"/>
      <c r="J190" s="879"/>
      <c r="K190" s="879"/>
      <c r="L190" s="879"/>
      <c r="M190" s="879"/>
      <c r="N190" s="879"/>
      <c r="O190" s="879"/>
      <c r="P190" s="879"/>
      <c r="Q190" s="879"/>
      <c r="R190" s="879"/>
      <c r="S190" s="879"/>
      <c r="T190" s="879"/>
      <c r="U190" s="879"/>
      <c r="V190" s="879"/>
      <c r="W190" s="879"/>
      <c r="X190" s="879"/>
      <c r="Y190" s="879"/>
      <c r="Z190" s="879"/>
      <c r="AA190" s="879"/>
      <c r="AB190" s="879"/>
      <c r="AC190" s="879"/>
      <c r="AD190" s="879"/>
      <c r="AE190" s="879"/>
      <c r="AF190" s="879"/>
      <c r="AG190" s="879"/>
      <c r="AH190" s="879"/>
      <c r="AI190" s="879"/>
      <c r="AJ190" s="879"/>
      <c r="AK190" s="879"/>
      <c r="AL190" s="879"/>
      <c r="AM190" s="879"/>
      <c r="AN190" s="879"/>
      <c r="AO190" s="879"/>
      <c r="AP190" s="879"/>
      <c r="AQ190" s="879"/>
      <c r="AR190" s="879"/>
      <c r="AS190" s="879"/>
      <c r="AT190" s="879"/>
      <c r="AU190" s="879"/>
      <c r="AV190" s="879"/>
      <c r="AW190" s="838"/>
      <c r="AX190" s="879"/>
    </row>
    <row r="191" spans="1:50">
      <c r="A191" s="877"/>
      <c r="B191" s="841"/>
      <c r="C191" s="877"/>
      <c r="D191" s="877"/>
      <c r="E191" s="880"/>
      <c r="F191" s="838"/>
      <c r="G191" s="877"/>
      <c r="H191" s="879"/>
      <c r="I191" s="879"/>
      <c r="J191" s="879"/>
      <c r="K191" s="879"/>
      <c r="L191" s="879"/>
      <c r="M191" s="879"/>
      <c r="N191" s="879"/>
      <c r="O191" s="879"/>
      <c r="P191" s="879"/>
      <c r="Q191" s="879"/>
      <c r="R191" s="879"/>
      <c r="S191" s="879"/>
      <c r="T191" s="879"/>
      <c r="U191" s="879"/>
      <c r="V191" s="879"/>
      <c r="W191" s="879"/>
      <c r="X191" s="879"/>
      <c r="Y191" s="879"/>
      <c r="Z191" s="879"/>
      <c r="AA191" s="879"/>
      <c r="AB191" s="879"/>
      <c r="AC191" s="879"/>
      <c r="AD191" s="879"/>
      <c r="AE191" s="879"/>
      <c r="AF191" s="879"/>
      <c r="AG191" s="879"/>
      <c r="AH191" s="879"/>
      <c r="AI191" s="879"/>
      <c r="AJ191" s="879"/>
      <c r="AK191" s="879"/>
      <c r="AL191" s="879"/>
      <c r="AM191" s="879"/>
      <c r="AN191" s="879"/>
      <c r="AO191" s="879"/>
      <c r="AP191" s="879"/>
      <c r="AQ191" s="879"/>
      <c r="AR191" s="879"/>
      <c r="AS191" s="879"/>
      <c r="AT191" s="879"/>
      <c r="AU191" s="879"/>
      <c r="AV191" s="879"/>
      <c r="AW191" s="838"/>
      <c r="AX191" s="879"/>
    </row>
    <row r="192" spans="1:50">
      <c r="A192" s="877"/>
      <c r="B192" s="841"/>
      <c r="C192" s="878"/>
      <c r="D192" s="878"/>
      <c r="E192" s="878"/>
      <c r="F192" s="838"/>
      <c r="G192" s="878"/>
      <c r="H192" s="879"/>
      <c r="I192" s="879"/>
      <c r="J192" s="879"/>
      <c r="K192" s="879"/>
      <c r="L192" s="879"/>
      <c r="M192" s="879"/>
      <c r="N192" s="879"/>
      <c r="O192" s="879"/>
      <c r="P192" s="879"/>
      <c r="Q192" s="879"/>
      <c r="R192" s="879"/>
      <c r="S192" s="879"/>
      <c r="T192" s="879"/>
      <c r="U192" s="879"/>
      <c r="V192" s="879"/>
      <c r="W192" s="879"/>
      <c r="X192" s="879"/>
      <c r="Y192" s="879"/>
      <c r="Z192" s="879"/>
      <c r="AA192" s="879"/>
      <c r="AB192" s="879"/>
      <c r="AC192" s="879"/>
      <c r="AD192" s="879"/>
      <c r="AE192" s="879"/>
      <c r="AF192" s="879"/>
      <c r="AG192" s="879"/>
      <c r="AH192" s="879"/>
      <c r="AI192" s="879"/>
      <c r="AJ192" s="879"/>
      <c r="AK192" s="879"/>
      <c r="AL192" s="879"/>
      <c r="AM192" s="879"/>
      <c r="AN192" s="879"/>
      <c r="AO192" s="879"/>
      <c r="AP192" s="879"/>
      <c r="AQ192" s="879"/>
      <c r="AR192" s="879"/>
      <c r="AS192" s="879"/>
      <c r="AT192" s="879"/>
      <c r="AU192" s="879"/>
      <c r="AV192" s="879"/>
      <c r="AW192" s="838"/>
      <c r="AX192" s="879"/>
    </row>
    <row r="193" spans="1:50">
      <c r="A193" s="877"/>
      <c r="B193" s="841"/>
      <c r="C193" s="878"/>
      <c r="D193" s="878"/>
      <c r="E193" s="878"/>
      <c r="F193" s="838"/>
      <c r="G193" s="878"/>
      <c r="H193" s="879"/>
      <c r="I193" s="879"/>
      <c r="J193" s="879"/>
      <c r="K193" s="879"/>
      <c r="L193" s="879"/>
      <c r="M193" s="879"/>
      <c r="N193" s="879"/>
      <c r="O193" s="879"/>
      <c r="P193" s="879"/>
      <c r="Q193" s="879"/>
      <c r="R193" s="879"/>
      <c r="S193" s="879"/>
      <c r="T193" s="879"/>
      <c r="U193" s="879"/>
      <c r="V193" s="879"/>
      <c r="W193" s="879"/>
      <c r="X193" s="879"/>
      <c r="Y193" s="879"/>
      <c r="Z193" s="879"/>
      <c r="AA193" s="879"/>
      <c r="AB193" s="879"/>
      <c r="AC193" s="879"/>
      <c r="AD193" s="879"/>
      <c r="AE193" s="879"/>
      <c r="AF193" s="879"/>
      <c r="AG193" s="879"/>
      <c r="AH193" s="879"/>
      <c r="AI193" s="879"/>
      <c r="AJ193" s="879"/>
      <c r="AK193" s="879"/>
      <c r="AL193" s="879"/>
      <c r="AM193" s="879"/>
      <c r="AN193" s="879"/>
      <c r="AO193" s="879"/>
      <c r="AP193" s="879"/>
      <c r="AQ193" s="879"/>
      <c r="AR193" s="879"/>
      <c r="AS193" s="879"/>
      <c r="AT193" s="879"/>
      <c r="AU193" s="879"/>
      <c r="AV193" s="879"/>
      <c r="AW193" s="838"/>
      <c r="AX193" s="879"/>
    </row>
    <row r="194" spans="1:50">
      <c r="A194" s="877"/>
      <c r="B194" s="841"/>
      <c r="C194" s="878"/>
      <c r="D194" s="878"/>
      <c r="E194" s="878"/>
      <c r="F194" s="838"/>
      <c r="G194" s="878"/>
      <c r="H194" s="879"/>
      <c r="I194" s="879"/>
      <c r="J194" s="879"/>
      <c r="K194" s="879"/>
      <c r="L194" s="879"/>
      <c r="M194" s="879"/>
      <c r="N194" s="879"/>
      <c r="O194" s="879"/>
      <c r="P194" s="879"/>
      <c r="Q194" s="879"/>
      <c r="R194" s="879"/>
      <c r="S194" s="879"/>
      <c r="T194" s="879"/>
      <c r="U194" s="879"/>
      <c r="V194" s="879"/>
      <c r="W194" s="879"/>
      <c r="X194" s="879"/>
      <c r="Y194" s="879"/>
      <c r="Z194" s="879"/>
      <c r="AA194" s="879"/>
      <c r="AB194" s="879"/>
      <c r="AC194" s="879"/>
      <c r="AD194" s="879"/>
      <c r="AE194" s="879"/>
      <c r="AF194" s="879"/>
      <c r="AG194" s="879"/>
      <c r="AH194" s="879"/>
      <c r="AI194" s="879"/>
      <c r="AJ194" s="879"/>
      <c r="AK194" s="879"/>
      <c r="AL194" s="879"/>
      <c r="AM194" s="879"/>
      <c r="AN194" s="879"/>
      <c r="AO194" s="879"/>
      <c r="AP194" s="879"/>
      <c r="AQ194" s="879"/>
      <c r="AR194" s="879"/>
      <c r="AS194" s="879"/>
      <c r="AT194" s="879"/>
      <c r="AU194" s="879"/>
      <c r="AV194" s="879"/>
      <c r="AW194" s="838"/>
      <c r="AX194" s="879"/>
    </row>
    <row r="195" spans="1:50">
      <c r="A195" s="881"/>
      <c r="B195" s="848"/>
      <c r="C195" s="882"/>
      <c r="D195" s="882"/>
      <c r="E195" s="883"/>
      <c r="F195" s="842"/>
      <c r="G195" s="882"/>
      <c r="H195" s="884"/>
      <c r="I195" s="884"/>
      <c r="J195" s="884"/>
      <c r="K195" s="884"/>
      <c r="L195" s="884"/>
      <c r="M195" s="884"/>
      <c r="N195" s="884"/>
      <c r="O195" s="884"/>
      <c r="P195" s="884"/>
      <c r="Q195" s="884"/>
      <c r="R195" s="884"/>
      <c r="S195" s="884"/>
      <c r="T195" s="884"/>
      <c r="U195" s="884"/>
      <c r="V195" s="884"/>
      <c r="W195" s="884"/>
      <c r="X195" s="884"/>
      <c r="Y195" s="884"/>
      <c r="Z195" s="884"/>
      <c r="AA195" s="884"/>
      <c r="AB195" s="884"/>
      <c r="AC195" s="884"/>
      <c r="AD195" s="884"/>
      <c r="AE195" s="884"/>
      <c r="AF195" s="884"/>
      <c r="AG195" s="884"/>
      <c r="AH195" s="884"/>
      <c r="AI195" s="884"/>
      <c r="AJ195" s="884"/>
      <c r="AK195" s="884"/>
      <c r="AL195" s="884"/>
      <c r="AM195" s="884"/>
      <c r="AN195" s="884"/>
      <c r="AO195" s="884"/>
      <c r="AP195" s="884"/>
      <c r="AQ195" s="884"/>
      <c r="AR195" s="884"/>
      <c r="AS195" s="884"/>
      <c r="AT195" s="884"/>
      <c r="AU195" s="884"/>
      <c r="AV195" s="884"/>
      <c r="AW195" s="842"/>
      <c r="AX195" s="884"/>
    </row>
    <row r="196" spans="1:50">
      <c r="A196" s="838"/>
      <c r="B196" s="841"/>
      <c r="C196" s="798"/>
      <c r="D196" s="838"/>
      <c r="E196" s="798"/>
      <c r="F196" s="838"/>
      <c r="G196" s="798"/>
      <c r="H196" s="838"/>
      <c r="I196" s="838"/>
      <c r="J196" s="838"/>
      <c r="K196" s="838"/>
      <c r="L196" s="838"/>
      <c r="M196" s="838"/>
      <c r="N196" s="838"/>
      <c r="O196" s="838"/>
      <c r="P196" s="838"/>
      <c r="Q196" s="838"/>
      <c r="R196" s="838"/>
      <c r="S196" s="838"/>
      <c r="T196" s="838"/>
      <c r="U196" s="838"/>
      <c r="V196" s="838"/>
      <c r="W196" s="838"/>
      <c r="X196" s="838"/>
      <c r="Y196" s="838"/>
      <c r="Z196" s="838"/>
      <c r="AA196" s="838"/>
      <c r="AB196" s="838"/>
      <c r="AC196" s="838"/>
      <c r="AD196" s="838"/>
      <c r="AE196" s="838"/>
      <c r="AF196" s="838"/>
      <c r="AG196" s="838"/>
      <c r="AH196" s="838"/>
      <c r="AI196" s="838"/>
      <c r="AJ196" s="838"/>
      <c r="AK196" s="838"/>
      <c r="AL196" s="838"/>
      <c r="AM196" s="838"/>
      <c r="AN196" s="838"/>
      <c r="AO196" s="838"/>
      <c r="AP196" s="838"/>
      <c r="AQ196" s="838"/>
      <c r="AR196" s="838"/>
      <c r="AS196" s="838"/>
      <c r="AT196" s="838"/>
      <c r="AU196" s="838"/>
      <c r="AV196" s="838"/>
      <c r="AW196" s="838"/>
      <c r="AX196" s="838"/>
    </row>
    <row r="197" spans="1:50">
      <c r="A197" s="838"/>
      <c r="B197" s="841"/>
      <c r="C197" s="798"/>
      <c r="D197" s="838"/>
      <c r="E197" s="798"/>
      <c r="F197" s="838"/>
      <c r="G197" s="798"/>
      <c r="H197" s="838"/>
      <c r="I197" s="838"/>
      <c r="J197" s="838"/>
      <c r="K197" s="838"/>
      <c r="L197" s="838"/>
      <c r="M197" s="838"/>
      <c r="N197" s="838"/>
      <c r="O197" s="838"/>
      <c r="P197" s="838"/>
      <c r="Q197" s="838"/>
      <c r="R197" s="838"/>
      <c r="S197" s="838"/>
      <c r="T197" s="838"/>
      <c r="U197" s="838"/>
      <c r="V197" s="838"/>
      <c r="W197" s="838"/>
      <c r="X197" s="838"/>
      <c r="Y197" s="838"/>
      <c r="Z197" s="838"/>
      <c r="AA197" s="838"/>
      <c r="AB197" s="838"/>
      <c r="AC197" s="838"/>
      <c r="AD197" s="838"/>
      <c r="AE197" s="838"/>
      <c r="AF197" s="838"/>
      <c r="AG197" s="838"/>
      <c r="AH197" s="838"/>
      <c r="AI197" s="838"/>
      <c r="AJ197" s="838"/>
      <c r="AK197" s="838"/>
      <c r="AL197" s="838"/>
      <c r="AM197" s="838"/>
      <c r="AN197" s="838"/>
      <c r="AO197" s="838"/>
      <c r="AP197" s="838"/>
      <c r="AQ197" s="838"/>
      <c r="AR197" s="838"/>
      <c r="AS197" s="838"/>
      <c r="AT197" s="838"/>
      <c r="AU197" s="838"/>
      <c r="AV197" s="838"/>
      <c r="AW197" s="838"/>
      <c r="AX197" s="838"/>
    </row>
    <row r="198" spans="1:50">
      <c r="A198" s="881"/>
      <c r="B198" s="848"/>
      <c r="C198" s="882"/>
      <c r="D198" s="882"/>
      <c r="E198" s="883"/>
      <c r="F198" s="842"/>
      <c r="G198" s="882"/>
      <c r="H198" s="885"/>
      <c r="I198" s="885"/>
      <c r="J198" s="885"/>
      <c r="K198" s="885"/>
      <c r="L198" s="885"/>
      <c r="M198" s="885"/>
      <c r="N198" s="885"/>
      <c r="O198" s="885"/>
      <c r="P198" s="885"/>
      <c r="Q198" s="885"/>
      <c r="R198" s="885"/>
      <c r="S198" s="885"/>
      <c r="T198" s="885"/>
      <c r="U198" s="885"/>
      <c r="V198" s="885"/>
      <c r="W198" s="885"/>
      <c r="X198" s="885"/>
      <c r="Y198" s="885"/>
      <c r="Z198" s="885"/>
      <c r="AA198" s="885"/>
      <c r="AB198" s="885"/>
      <c r="AC198" s="885"/>
      <c r="AD198" s="885"/>
      <c r="AE198" s="885"/>
      <c r="AF198" s="885"/>
      <c r="AG198" s="885"/>
      <c r="AH198" s="885"/>
      <c r="AI198" s="885"/>
      <c r="AJ198" s="885"/>
      <c r="AK198" s="885"/>
      <c r="AL198" s="885"/>
      <c r="AM198" s="885"/>
      <c r="AN198" s="885"/>
      <c r="AO198" s="885"/>
      <c r="AP198" s="885"/>
      <c r="AQ198" s="885"/>
      <c r="AR198" s="885"/>
      <c r="AS198" s="885"/>
      <c r="AT198" s="885"/>
      <c r="AU198" s="885"/>
      <c r="AV198" s="885"/>
      <c r="AW198" s="842"/>
      <c r="AX198" s="885"/>
    </row>
    <row r="199" spans="1:50">
      <c r="A199" s="886"/>
      <c r="B199" s="887"/>
      <c r="C199" s="888"/>
      <c r="D199" s="886"/>
      <c r="E199" s="888"/>
      <c r="F199" s="889"/>
      <c r="G199" s="888"/>
      <c r="H199" s="890"/>
      <c r="I199" s="890"/>
      <c r="J199" s="890"/>
      <c r="K199" s="890"/>
      <c r="L199" s="890"/>
      <c r="M199" s="890"/>
      <c r="N199" s="890"/>
      <c r="O199" s="890"/>
      <c r="P199" s="890"/>
      <c r="Q199" s="890"/>
      <c r="R199" s="890"/>
      <c r="S199" s="890"/>
      <c r="T199" s="890"/>
      <c r="U199" s="890"/>
      <c r="V199" s="890"/>
      <c r="W199" s="890"/>
      <c r="X199" s="890"/>
      <c r="Y199" s="890"/>
      <c r="Z199" s="890"/>
      <c r="AA199" s="890"/>
      <c r="AB199" s="890"/>
      <c r="AC199" s="890"/>
      <c r="AD199" s="890"/>
      <c r="AE199" s="890"/>
      <c r="AF199" s="890"/>
      <c r="AG199" s="890"/>
      <c r="AH199" s="890"/>
      <c r="AI199" s="890"/>
      <c r="AJ199" s="890"/>
      <c r="AK199" s="890"/>
      <c r="AL199" s="890"/>
      <c r="AM199" s="890"/>
      <c r="AN199" s="890"/>
      <c r="AO199" s="890"/>
      <c r="AP199" s="890"/>
      <c r="AQ199" s="890"/>
      <c r="AR199" s="890"/>
      <c r="AS199" s="890"/>
      <c r="AT199" s="890"/>
      <c r="AU199" s="890"/>
      <c r="AV199" s="890"/>
      <c r="AW199" s="889"/>
      <c r="AX199" s="890"/>
    </row>
  </sheetData>
  <mergeCells count="70">
    <mergeCell ref="B26:B27"/>
    <mergeCell ref="C26:C27"/>
    <mergeCell ref="D26:D27"/>
    <mergeCell ref="E26:E27"/>
    <mergeCell ref="F26:F27"/>
    <mergeCell ref="M65:M66"/>
    <mergeCell ref="N65:N66"/>
    <mergeCell ref="O65:O66"/>
    <mergeCell ref="P65:P66"/>
    <mergeCell ref="Q65:Q66"/>
    <mergeCell ref="T65:T66"/>
    <mergeCell ref="U65:U66"/>
    <mergeCell ref="V65:V66"/>
    <mergeCell ref="W65:W66"/>
    <mergeCell ref="X65:X66"/>
    <mergeCell ref="AD65:AD66"/>
    <mergeCell ref="Y65:Y66"/>
    <mergeCell ref="Z65:Z66"/>
    <mergeCell ref="AA65:AA66"/>
    <mergeCell ref="AB65:AB66"/>
    <mergeCell ref="AC65:AC66"/>
    <mergeCell ref="AT65:AT66"/>
    <mergeCell ref="AU65:AU66"/>
    <mergeCell ref="AV65:AV66"/>
    <mergeCell ref="AW65:AW66"/>
    <mergeCell ref="AX65:AX66"/>
    <mergeCell ref="G7:G8"/>
    <mergeCell ref="H7:AV7"/>
    <mergeCell ref="A2:B2"/>
    <mergeCell ref="A3:AX3"/>
    <mergeCell ref="A4:AX4"/>
    <mergeCell ref="A6:A8"/>
    <mergeCell ref="B6:B8"/>
    <mergeCell ref="C6:C8"/>
    <mergeCell ref="G6:AV6"/>
    <mergeCell ref="D6:D8"/>
    <mergeCell ref="E6:E8"/>
    <mergeCell ref="F6:F8"/>
    <mergeCell ref="AW6:AW8"/>
    <mergeCell ref="AX6:AX8"/>
    <mergeCell ref="G26:G27"/>
    <mergeCell ref="AW26:AW27"/>
    <mergeCell ref="AX26:AX27"/>
    <mergeCell ref="A65:A66"/>
    <mergeCell ref="B65:B66"/>
    <mergeCell ref="C65:C66"/>
    <mergeCell ref="D65:D66"/>
    <mergeCell ref="E65:E66"/>
    <mergeCell ref="F65:F66"/>
    <mergeCell ref="A26:A27"/>
    <mergeCell ref="G65:G66"/>
    <mergeCell ref="H65:H66"/>
    <mergeCell ref="I65:I66"/>
    <mergeCell ref="J65:J66"/>
    <mergeCell ref="K65:K66"/>
    <mergeCell ref="L65:L66"/>
    <mergeCell ref="AE65:AE66"/>
    <mergeCell ref="AF65:AF66"/>
    <mergeCell ref="AR65:AR66"/>
    <mergeCell ref="AG65:AG66"/>
    <mergeCell ref="AH65:AH66"/>
    <mergeCell ref="AI65:AI66"/>
    <mergeCell ref="AJ65:AJ66"/>
    <mergeCell ref="AK65:AK66"/>
    <mergeCell ref="AL65:AL66"/>
    <mergeCell ref="AM65:AM66"/>
    <mergeCell ref="AN65:AN66"/>
    <mergeCell ref="AO65:AO66"/>
    <mergeCell ref="AP65:AP66"/>
    <mergeCell ref="AQ65:AQ66"/>
  </mergeCell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X901"/>
  <sheetViews>
    <sheetView showZeros="0" workbookViewId="0">
      <pane xSplit="3" ySplit="5" topLeftCell="D6" activePane="bottomRight" state="frozen"/>
      <selection pane="topRight" activeCell="D1" sqref="D1"/>
      <selection pane="bottomLeft" activeCell="A6" sqref="A6"/>
      <selection pane="bottomRight" activeCell="R14" sqref="R14"/>
    </sheetView>
  </sheetViews>
  <sheetFormatPr defaultColWidth="9.140625" defaultRowHeight="12.75"/>
  <cols>
    <col min="1" max="1" width="8" style="359" customWidth="1"/>
    <col min="2" max="2" width="36.85546875" style="359" customWidth="1"/>
    <col min="3" max="3" width="6.85546875" style="359" customWidth="1"/>
    <col min="4" max="4" width="11.140625" style="359" customWidth="1"/>
    <col min="5" max="5" width="8.28515625" style="359" customWidth="1"/>
    <col min="6" max="7" width="8" style="359" customWidth="1"/>
    <col min="8" max="8" width="10.5703125" style="359" customWidth="1"/>
    <col min="9" max="10" width="9.42578125" style="359" bestFit="1" customWidth="1"/>
    <col min="11" max="11" width="8" style="359" customWidth="1"/>
    <col min="12" max="12" width="10.28515625" style="359" customWidth="1"/>
    <col min="13" max="13" width="8.140625" style="359" customWidth="1"/>
    <col min="14" max="14" width="10.28515625" style="359" customWidth="1"/>
    <col min="15" max="15" width="8.42578125" style="359" customWidth="1"/>
    <col min="16" max="16" width="8.85546875" style="359" customWidth="1"/>
    <col min="17" max="17" width="8.140625" style="359" customWidth="1"/>
    <col min="18" max="18" width="9.42578125" style="359" bestFit="1" customWidth="1"/>
    <col min="19" max="19" width="8" style="359" customWidth="1"/>
    <col min="20" max="20" width="9.7109375" style="359" bestFit="1" customWidth="1"/>
    <col min="21" max="21" width="8.28515625" style="359" customWidth="1"/>
    <col min="22" max="16384" width="9.140625" style="359"/>
  </cols>
  <sheetData>
    <row r="1" spans="1:23" ht="18" customHeight="1">
      <c r="A1" s="1317" t="s">
        <v>9</v>
      </c>
      <c r="B1" s="1317"/>
      <c r="C1" s="361"/>
      <c r="D1" s="361"/>
      <c r="E1" s="361"/>
      <c r="F1" s="361"/>
      <c r="G1" s="361"/>
      <c r="H1" s="361"/>
      <c r="I1" s="361"/>
      <c r="J1" s="361"/>
      <c r="K1" s="361"/>
      <c r="L1" s="361"/>
      <c r="M1" s="361"/>
      <c r="N1" s="361"/>
      <c r="O1" s="361"/>
      <c r="P1" s="361"/>
      <c r="Q1" s="361"/>
      <c r="R1" s="378"/>
      <c r="S1" s="361"/>
      <c r="T1" s="361"/>
      <c r="U1" s="361"/>
    </row>
    <row r="2" spans="1:23" ht="19.5" customHeight="1">
      <c r="A2" s="1354" t="s">
        <v>765</v>
      </c>
      <c r="B2" s="1354"/>
      <c r="C2" s="1354"/>
      <c r="D2" s="1354"/>
      <c r="E2" s="1354"/>
      <c r="F2" s="1354"/>
      <c r="G2" s="1354"/>
      <c r="H2" s="1354"/>
      <c r="I2" s="1354"/>
      <c r="J2" s="1354"/>
      <c r="K2" s="1354"/>
      <c r="L2" s="1354"/>
      <c r="M2" s="1354"/>
      <c r="N2" s="1354"/>
      <c r="O2" s="1354"/>
      <c r="P2" s="1354"/>
      <c r="Q2" s="1354"/>
      <c r="R2" s="1354"/>
      <c r="S2" s="1354"/>
      <c r="T2" s="1354"/>
      <c r="U2" s="1354"/>
    </row>
    <row r="3" spans="1:23" ht="14.25" customHeight="1"/>
    <row r="4" spans="1:23" s="2" customFormat="1" ht="47.25" customHeight="1">
      <c r="A4" s="1280" t="s">
        <v>0</v>
      </c>
      <c r="B4" s="1280" t="s">
        <v>186</v>
      </c>
      <c r="C4" s="1280" t="s">
        <v>13</v>
      </c>
      <c r="D4" s="1280" t="s">
        <v>139</v>
      </c>
      <c r="E4" s="1280"/>
      <c r="F4" s="1280" t="s">
        <v>140</v>
      </c>
      <c r="G4" s="1280"/>
      <c r="H4" s="1280" t="s">
        <v>141</v>
      </c>
      <c r="I4" s="1280"/>
      <c r="J4" s="1280" t="s">
        <v>142</v>
      </c>
      <c r="K4" s="1280"/>
      <c r="L4" s="1280" t="s">
        <v>143</v>
      </c>
      <c r="M4" s="1280"/>
      <c r="N4" s="1280" t="s">
        <v>144</v>
      </c>
      <c r="O4" s="1280"/>
      <c r="P4" s="1280" t="s">
        <v>188</v>
      </c>
      <c r="Q4" s="1280"/>
      <c r="R4" s="1280" t="s">
        <v>145</v>
      </c>
      <c r="S4" s="1280"/>
      <c r="T4" s="1280" t="s">
        <v>146</v>
      </c>
      <c r="U4" s="1280"/>
    </row>
    <row r="5" spans="1:23" s="2" customFormat="1" ht="31.5" customHeight="1">
      <c r="A5" s="1280"/>
      <c r="B5" s="1280"/>
      <c r="C5" s="1280"/>
      <c r="D5" s="358" t="s">
        <v>137</v>
      </c>
      <c r="E5" s="358" t="s">
        <v>187</v>
      </c>
      <c r="F5" s="358" t="s">
        <v>137</v>
      </c>
      <c r="G5" s="358" t="s">
        <v>187</v>
      </c>
      <c r="H5" s="358" t="s">
        <v>137</v>
      </c>
      <c r="I5" s="358" t="s">
        <v>187</v>
      </c>
      <c r="J5" s="358" t="s">
        <v>137</v>
      </c>
      <c r="K5" s="358" t="s">
        <v>187</v>
      </c>
      <c r="L5" s="358" t="s">
        <v>137</v>
      </c>
      <c r="M5" s="358" t="s">
        <v>187</v>
      </c>
      <c r="N5" s="358" t="s">
        <v>137</v>
      </c>
      <c r="O5" s="358" t="s">
        <v>187</v>
      </c>
      <c r="P5" s="358" t="s">
        <v>137</v>
      </c>
      <c r="Q5" s="358" t="s">
        <v>187</v>
      </c>
      <c r="R5" s="358" t="s">
        <v>137</v>
      </c>
      <c r="S5" s="358" t="s">
        <v>187</v>
      </c>
      <c r="T5" s="358" t="s">
        <v>137</v>
      </c>
      <c r="U5" s="358" t="s">
        <v>187</v>
      </c>
    </row>
    <row r="6" spans="1:23" s="53" customFormat="1" ht="17.25" customHeight="1">
      <c r="A6" s="367"/>
      <c r="B6" s="367" t="s">
        <v>445</v>
      </c>
      <c r="C6" s="367"/>
      <c r="D6" s="386">
        <f>D7+D18+D45</f>
        <v>2715.2999999999997</v>
      </c>
      <c r="E6" s="386">
        <f>D6/2715.3*100</f>
        <v>99.999999999999972</v>
      </c>
      <c r="F6" s="386">
        <f t="shared" ref="F6:T6" si="0">F7+F18+F45</f>
        <v>0</v>
      </c>
      <c r="G6" s="386">
        <f t="shared" si="0"/>
        <v>0</v>
      </c>
      <c r="H6" s="386">
        <f t="shared" si="0"/>
        <v>2907.6</v>
      </c>
      <c r="I6" s="386">
        <f>H6/1388.7*100</f>
        <v>209.37567509181244</v>
      </c>
      <c r="J6" s="386">
        <f t="shared" si="0"/>
        <v>34.18</v>
      </c>
      <c r="K6" s="386">
        <f>J6/34.18*100</f>
        <v>100</v>
      </c>
      <c r="L6" s="386">
        <f t="shared" si="0"/>
        <v>1281.9000000000001</v>
      </c>
      <c r="M6" s="386">
        <f>L6*100/1098.9</f>
        <v>116.65301665301665</v>
      </c>
      <c r="N6" s="386">
        <f t="shared" si="0"/>
        <v>2784.0000000000005</v>
      </c>
      <c r="O6" s="386">
        <f>N6/2784*100</f>
        <v>100.00000000000003</v>
      </c>
      <c r="P6" s="386">
        <f t="shared" si="0"/>
        <v>3762.3500000000004</v>
      </c>
      <c r="Q6" s="386">
        <f>P6*100/1100</f>
        <v>342.03181818181821</v>
      </c>
      <c r="R6" s="386">
        <f t="shared" si="0"/>
        <v>1827.79</v>
      </c>
      <c r="S6" s="386">
        <f>R6/691*100</f>
        <v>264.5137481910275</v>
      </c>
      <c r="T6" s="386">
        <f t="shared" si="0"/>
        <v>1300</v>
      </c>
      <c r="U6" s="386">
        <f>T6*100/1300</f>
        <v>100</v>
      </c>
      <c r="W6" s="310">
        <f>1300-T6</f>
        <v>0</v>
      </c>
    </row>
    <row r="7" spans="1:23" s="53" customFormat="1" ht="17.25" customHeight="1">
      <c r="A7" s="367">
        <v>1</v>
      </c>
      <c r="B7" s="368" t="s">
        <v>14</v>
      </c>
      <c r="C7" s="367" t="s">
        <v>15</v>
      </c>
      <c r="D7" s="386">
        <f>D52+D97+D142+D187+D232+D277+D322+D367+D412+D457+D502+D547+D592+D637+D682+D727+D772+D817+D862</f>
        <v>2633.9999999999995</v>
      </c>
      <c r="E7" s="386">
        <f t="shared" ref="E7:E42" si="1">D7/2715.3*100</f>
        <v>97.005855706551742</v>
      </c>
      <c r="F7" s="386">
        <f t="shared" ref="F7:T22" si="2">F52+F97+F142+F187+F232+F277+F322+F367+F412+F457+F502+F547+F592+F637+F682+F727+F772+F817+F862</f>
        <v>0</v>
      </c>
      <c r="G7" s="386">
        <f t="shared" si="2"/>
        <v>0</v>
      </c>
      <c r="H7" s="386">
        <f t="shared" si="2"/>
        <v>2867</v>
      </c>
      <c r="I7" s="386">
        <f t="shared" ref="I7:I45" si="3">H7/1388.7*100</f>
        <v>206.45207748253762</v>
      </c>
      <c r="J7" s="386">
        <f t="shared" si="2"/>
        <v>34.18</v>
      </c>
      <c r="K7" s="386">
        <f t="shared" ref="K7:K13" si="4">J7/34.18*100</f>
        <v>100</v>
      </c>
      <c r="L7" s="386">
        <f t="shared" si="2"/>
        <v>1230.1200000000001</v>
      </c>
      <c r="M7" s="386">
        <f t="shared" ref="M7:M45" si="5">L7*100/1098.9</f>
        <v>111.94103194103195</v>
      </c>
      <c r="N7" s="386">
        <f t="shared" si="2"/>
        <v>0</v>
      </c>
      <c r="O7" s="386">
        <f t="shared" ref="O7:O23" si="6">N7/2784*100</f>
        <v>0</v>
      </c>
      <c r="P7" s="386">
        <f t="shared" si="2"/>
        <v>30.56</v>
      </c>
      <c r="Q7" s="386">
        <f t="shared" ref="Q7:Q45" si="7">P7*100/1100</f>
        <v>2.7781818181818183</v>
      </c>
      <c r="R7" s="386">
        <f t="shared" si="2"/>
        <v>130.56</v>
      </c>
      <c r="S7" s="386">
        <f t="shared" ref="S7:S45" si="8">R7/691*100</f>
        <v>18.894356005788712</v>
      </c>
      <c r="T7" s="386">
        <f t="shared" si="2"/>
        <v>14.5</v>
      </c>
      <c r="U7" s="386">
        <f t="shared" ref="U7:U45" si="9">T7*100/1300</f>
        <v>1.1153846153846154</v>
      </c>
    </row>
    <row r="8" spans="1:23" ht="17.25" customHeight="1">
      <c r="A8" s="369" t="s">
        <v>16</v>
      </c>
      <c r="B8" s="370" t="s">
        <v>17</v>
      </c>
      <c r="C8" s="369" t="s">
        <v>18</v>
      </c>
      <c r="D8" s="387">
        <f t="shared" ref="D8:D45" si="10">D53+D98+D143+D188+D233+D278+D323+D368+D413+D458+D503+D548+D593+D638+D683+D728+D773+D818+D863</f>
        <v>2600</v>
      </c>
      <c r="E8" s="387">
        <f t="shared" si="1"/>
        <v>95.753692041395055</v>
      </c>
      <c r="F8" s="387">
        <f t="shared" si="2"/>
        <v>0</v>
      </c>
      <c r="G8" s="387"/>
      <c r="H8" s="387">
        <f t="shared" si="2"/>
        <v>0</v>
      </c>
      <c r="I8" s="387">
        <f t="shared" si="3"/>
        <v>0</v>
      </c>
      <c r="J8" s="387">
        <f t="shared" si="2"/>
        <v>0</v>
      </c>
      <c r="K8" s="386">
        <f t="shared" si="4"/>
        <v>0</v>
      </c>
      <c r="L8" s="387">
        <f t="shared" si="2"/>
        <v>0</v>
      </c>
      <c r="M8" s="387">
        <f t="shared" si="5"/>
        <v>0</v>
      </c>
      <c r="N8" s="387">
        <f t="shared" si="2"/>
        <v>0</v>
      </c>
      <c r="O8" s="386">
        <f t="shared" si="6"/>
        <v>0</v>
      </c>
      <c r="P8" s="387">
        <f t="shared" si="2"/>
        <v>0</v>
      </c>
      <c r="Q8" s="387">
        <f t="shared" si="7"/>
        <v>0</v>
      </c>
      <c r="R8" s="387">
        <f t="shared" si="2"/>
        <v>0</v>
      </c>
      <c r="S8" s="387">
        <f t="shared" si="8"/>
        <v>0</v>
      </c>
      <c r="T8" s="387">
        <f t="shared" si="2"/>
        <v>0</v>
      </c>
      <c r="U8" s="387">
        <f t="shared" si="9"/>
        <v>0</v>
      </c>
    </row>
    <row r="9" spans="1:23" ht="17.25" customHeight="1">
      <c r="A9" s="369"/>
      <c r="B9" s="370" t="s">
        <v>19</v>
      </c>
      <c r="C9" s="369" t="s">
        <v>20</v>
      </c>
      <c r="D9" s="387">
        <f t="shared" si="10"/>
        <v>2600</v>
      </c>
      <c r="E9" s="387">
        <f t="shared" si="1"/>
        <v>95.753692041395055</v>
      </c>
      <c r="F9" s="387">
        <f t="shared" si="2"/>
        <v>0</v>
      </c>
      <c r="G9" s="387"/>
      <c r="H9" s="387">
        <f t="shared" si="2"/>
        <v>0</v>
      </c>
      <c r="I9" s="387">
        <f t="shared" si="3"/>
        <v>0</v>
      </c>
      <c r="J9" s="387">
        <f t="shared" si="2"/>
        <v>0</v>
      </c>
      <c r="K9" s="386">
        <f t="shared" si="4"/>
        <v>0</v>
      </c>
      <c r="L9" s="387">
        <f t="shared" si="2"/>
        <v>0</v>
      </c>
      <c r="M9" s="387">
        <f t="shared" si="5"/>
        <v>0</v>
      </c>
      <c r="N9" s="387">
        <f t="shared" si="2"/>
        <v>0</v>
      </c>
      <c r="O9" s="386">
        <f t="shared" si="6"/>
        <v>0</v>
      </c>
      <c r="P9" s="387">
        <f t="shared" si="2"/>
        <v>0</v>
      </c>
      <c r="Q9" s="387">
        <f t="shared" si="7"/>
        <v>0</v>
      </c>
      <c r="R9" s="387">
        <f t="shared" si="2"/>
        <v>0</v>
      </c>
      <c r="S9" s="387">
        <f t="shared" si="8"/>
        <v>0</v>
      </c>
      <c r="T9" s="387">
        <f t="shared" si="2"/>
        <v>0</v>
      </c>
      <c r="U9" s="387">
        <f t="shared" si="9"/>
        <v>0</v>
      </c>
    </row>
    <row r="10" spans="1:23" ht="17.25" customHeight="1">
      <c r="A10" s="369" t="s">
        <v>21</v>
      </c>
      <c r="B10" s="370" t="s">
        <v>22</v>
      </c>
      <c r="C10" s="369" t="s">
        <v>23</v>
      </c>
      <c r="D10" s="387">
        <f t="shared" si="10"/>
        <v>5.9</v>
      </c>
      <c r="E10" s="387">
        <f t="shared" si="1"/>
        <v>0.2172872242477811</v>
      </c>
      <c r="F10" s="387">
        <f t="shared" si="2"/>
        <v>0</v>
      </c>
      <c r="G10" s="387"/>
      <c r="H10" s="387">
        <f t="shared" si="2"/>
        <v>0</v>
      </c>
      <c r="I10" s="387">
        <f t="shared" si="3"/>
        <v>0</v>
      </c>
      <c r="J10" s="387">
        <f t="shared" si="2"/>
        <v>0</v>
      </c>
      <c r="K10" s="386">
        <f t="shared" si="4"/>
        <v>0</v>
      </c>
      <c r="L10" s="387">
        <f t="shared" si="2"/>
        <v>0.84</v>
      </c>
      <c r="M10" s="387">
        <f t="shared" si="5"/>
        <v>7.6440076440076429E-2</v>
      </c>
      <c r="N10" s="387">
        <f t="shared" si="2"/>
        <v>0</v>
      </c>
      <c r="O10" s="386">
        <f t="shared" si="6"/>
        <v>0</v>
      </c>
      <c r="P10" s="387">
        <f t="shared" si="2"/>
        <v>0</v>
      </c>
      <c r="Q10" s="387">
        <f t="shared" si="7"/>
        <v>0</v>
      </c>
      <c r="R10" s="387">
        <f t="shared" si="2"/>
        <v>0</v>
      </c>
      <c r="S10" s="387">
        <f t="shared" si="8"/>
        <v>0</v>
      </c>
      <c r="T10" s="387">
        <f t="shared" si="2"/>
        <v>0</v>
      </c>
      <c r="U10" s="387">
        <f t="shared" si="9"/>
        <v>0</v>
      </c>
    </row>
    <row r="11" spans="1:23" ht="17.25" customHeight="1">
      <c r="A11" s="369" t="s">
        <v>24</v>
      </c>
      <c r="B11" s="370" t="s">
        <v>25</v>
      </c>
      <c r="C11" s="369" t="s">
        <v>26</v>
      </c>
      <c r="D11" s="387">
        <f t="shared" si="10"/>
        <v>0.1</v>
      </c>
      <c r="E11" s="387">
        <f t="shared" si="1"/>
        <v>3.6828343092844256E-3</v>
      </c>
      <c r="F11" s="387">
        <f t="shared" si="2"/>
        <v>0</v>
      </c>
      <c r="G11" s="387"/>
      <c r="H11" s="387">
        <f t="shared" si="2"/>
        <v>0</v>
      </c>
      <c r="I11" s="387">
        <f t="shared" si="3"/>
        <v>0</v>
      </c>
      <c r="J11" s="387">
        <f t="shared" si="2"/>
        <v>0</v>
      </c>
      <c r="K11" s="386">
        <f t="shared" si="4"/>
        <v>0</v>
      </c>
      <c r="L11" s="387">
        <f t="shared" si="2"/>
        <v>12.280000000000001</v>
      </c>
      <c r="M11" s="387">
        <f t="shared" si="5"/>
        <v>1.1174811174811174</v>
      </c>
      <c r="N11" s="387">
        <f t="shared" si="2"/>
        <v>0</v>
      </c>
      <c r="O11" s="386">
        <f t="shared" si="6"/>
        <v>0</v>
      </c>
      <c r="P11" s="387">
        <f t="shared" si="2"/>
        <v>0</v>
      </c>
      <c r="Q11" s="387">
        <f t="shared" si="7"/>
        <v>0</v>
      </c>
      <c r="R11" s="387">
        <f t="shared" si="2"/>
        <v>0</v>
      </c>
      <c r="S11" s="387">
        <f t="shared" si="8"/>
        <v>0</v>
      </c>
      <c r="T11" s="387">
        <f t="shared" si="2"/>
        <v>13.299999999999999</v>
      </c>
      <c r="U11" s="387">
        <f t="shared" si="9"/>
        <v>1.023076923076923</v>
      </c>
    </row>
    <row r="12" spans="1:23" ht="17.25" customHeight="1">
      <c r="A12" s="369" t="s">
        <v>27</v>
      </c>
      <c r="B12" s="370" t="s">
        <v>28</v>
      </c>
      <c r="C12" s="369" t="s">
        <v>29</v>
      </c>
      <c r="D12" s="387">
        <f t="shared" si="10"/>
        <v>0</v>
      </c>
      <c r="E12" s="387">
        <f t="shared" si="1"/>
        <v>0</v>
      </c>
      <c r="F12" s="387">
        <f t="shared" si="2"/>
        <v>0</v>
      </c>
      <c r="G12" s="387"/>
      <c r="H12" s="387">
        <f t="shared" si="2"/>
        <v>2867</v>
      </c>
      <c r="I12" s="387">
        <f t="shared" si="3"/>
        <v>206.45207748253762</v>
      </c>
      <c r="J12" s="387">
        <f t="shared" si="2"/>
        <v>0</v>
      </c>
      <c r="K12" s="386">
        <f t="shared" si="4"/>
        <v>0</v>
      </c>
      <c r="L12" s="387">
        <f t="shared" si="2"/>
        <v>0</v>
      </c>
      <c r="M12" s="387">
        <f t="shared" si="5"/>
        <v>0</v>
      </c>
      <c r="N12" s="387">
        <f t="shared" si="2"/>
        <v>0</v>
      </c>
      <c r="O12" s="386">
        <f t="shared" si="6"/>
        <v>0</v>
      </c>
      <c r="P12" s="387">
        <f t="shared" si="2"/>
        <v>30.56</v>
      </c>
      <c r="Q12" s="387">
        <f t="shared" si="7"/>
        <v>2.7781818181818183</v>
      </c>
      <c r="R12" s="387">
        <f t="shared" si="2"/>
        <v>30.56</v>
      </c>
      <c r="S12" s="387">
        <f t="shared" si="8"/>
        <v>4.4225759768451525</v>
      </c>
      <c r="T12" s="387">
        <f t="shared" si="2"/>
        <v>1.2</v>
      </c>
      <c r="U12" s="387">
        <f t="shared" si="9"/>
        <v>9.2307692307692313E-2</v>
      </c>
    </row>
    <row r="13" spans="1:23" ht="17.25" customHeight="1">
      <c r="A13" s="369" t="s">
        <v>30</v>
      </c>
      <c r="B13" s="370" t="s">
        <v>31</v>
      </c>
      <c r="C13" s="369" t="s">
        <v>32</v>
      </c>
      <c r="D13" s="387">
        <f t="shared" si="10"/>
        <v>0</v>
      </c>
      <c r="E13" s="387">
        <f t="shared" si="1"/>
        <v>0</v>
      </c>
      <c r="F13" s="387">
        <f t="shared" si="2"/>
        <v>0</v>
      </c>
      <c r="G13" s="387"/>
      <c r="H13" s="387">
        <f t="shared" si="2"/>
        <v>0</v>
      </c>
      <c r="I13" s="387">
        <f t="shared" si="3"/>
        <v>0</v>
      </c>
      <c r="J13" s="387">
        <f t="shared" si="2"/>
        <v>34.18</v>
      </c>
      <c r="K13" s="387">
        <f t="shared" si="4"/>
        <v>100</v>
      </c>
      <c r="L13" s="387">
        <f t="shared" si="2"/>
        <v>0</v>
      </c>
      <c r="M13" s="387">
        <f t="shared" si="5"/>
        <v>0</v>
      </c>
      <c r="N13" s="387">
        <f t="shared" si="2"/>
        <v>0</v>
      </c>
      <c r="O13" s="386">
        <f t="shared" si="6"/>
        <v>0</v>
      </c>
      <c r="P13" s="387">
        <f t="shared" si="2"/>
        <v>0</v>
      </c>
      <c r="Q13" s="387">
        <f t="shared" si="7"/>
        <v>0</v>
      </c>
      <c r="R13" s="387">
        <f t="shared" si="2"/>
        <v>0</v>
      </c>
      <c r="S13" s="387">
        <f t="shared" si="8"/>
        <v>0</v>
      </c>
      <c r="T13" s="387">
        <f t="shared" si="2"/>
        <v>0</v>
      </c>
      <c r="U13" s="387">
        <f t="shared" si="9"/>
        <v>0</v>
      </c>
    </row>
    <row r="14" spans="1:23" ht="17.25" customHeight="1">
      <c r="A14" s="369" t="s">
        <v>33</v>
      </c>
      <c r="B14" s="370" t="s">
        <v>34</v>
      </c>
      <c r="C14" s="369" t="s">
        <v>35</v>
      </c>
      <c r="D14" s="387">
        <f t="shared" si="10"/>
        <v>0</v>
      </c>
      <c r="E14" s="387">
        <f t="shared" si="1"/>
        <v>0</v>
      </c>
      <c r="F14" s="387">
        <f t="shared" si="2"/>
        <v>0</v>
      </c>
      <c r="G14" s="387"/>
      <c r="H14" s="387">
        <f t="shared" si="2"/>
        <v>0</v>
      </c>
      <c r="I14" s="387">
        <f t="shared" si="3"/>
        <v>0</v>
      </c>
      <c r="J14" s="387">
        <f t="shared" si="2"/>
        <v>0</v>
      </c>
      <c r="K14" s="387">
        <f t="shared" ref="K14:K45" si="11">J14/33.5*100</f>
        <v>0</v>
      </c>
      <c r="L14" s="387">
        <f t="shared" si="2"/>
        <v>1217</v>
      </c>
      <c r="M14" s="387">
        <f t="shared" si="5"/>
        <v>110.74711074711074</v>
      </c>
      <c r="N14" s="387">
        <f t="shared" si="2"/>
        <v>0</v>
      </c>
      <c r="O14" s="386">
        <f t="shared" si="6"/>
        <v>0</v>
      </c>
      <c r="P14" s="387">
        <f t="shared" si="2"/>
        <v>0</v>
      </c>
      <c r="Q14" s="387">
        <f t="shared" si="7"/>
        <v>0</v>
      </c>
      <c r="R14" s="387">
        <f t="shared" si="2"/>
        <v>100</v>
      </c>
      <c r="S14" s="387">
        <f t="shared" si="8"/>
        <v>14.471780028943559</v>
      </c>
      <c r="T14" s="387">
        <f t="shared" si="2"/>
        <v>0</v>
      </c>
      <c r="U14" s="387">
        <f t="shared" si="9"/>
        <v>0</v>
      </c>
    </row>
    <row r="15" spans="1:23" ht="17.25" customHeight="1">
      <c r="A15" s="369" t="s">
        <v>36</v>
      </c>
      <c r="B15" s="370" t="s">
        <v>37</v>
      </c>
      <c r="C15" s="369" t="s">
        <v>38</v>
      </c>
      <c r="D15" s="387">
        <f t="shared" si="10"/>
        <v>28</v>
      </c>
      <c r="E15" s="387">
        <f t="shared" si="1"/>
        <v>1.031193606599639</v>
      </c>
      <c r="F15" s="387">
        <f t="shared" si="2"/>
        <v>0</v>
      </c>
      <c r="G15" s="387"/>
      <c r="H15" s="387">
        <f t="shared" si="2"/>
        <v>0</v>
      </c>
      <c r="I15" s="387">
        <f t="shared" si="3"/>
        <v>0</v>
      </c>
      <c r="J15" s="387">
        <f t="shared" si="2"/>
        <v>0</v>
      </c>
      <c r="K15" s="387">
        <f t="shared" si="11"/>
        <v>0</v>
      </c>
      <c r="L15" s="387">
        <f t="shared" si="2"/>
        <v>0</v>
      </c>
      <c r="M15" s="387">
        <f t="shared" si="5"/>
        <v>0</v>
      </c>
      <c r="N15" s="387">
        <f t="shared" si="2"/>
        <v>0</v>
      </c>
      <c r="O15" s="386">
        <f t="shared" si="6"/>
        <v>0</v>
      </c>
      <c r="P15" s="387">
        <f t="shared" si="2"/>
        <v>0</v>
      </c>
      <c r="Q15" s="387">
        <f t="shared" si="7"/>
        <v>0</v>
      </c>
      <c r="R15" s="387">
        <f t="shared" si="2"/>
        <v>0</v>
      </c>
      <c r="S15" s="387">
        <f t="shared" si="8"/>
        <v>0</v>
      </c>
      <c r="T15" s="387">
        <f t="shared" si="2"/>
        <v>0</v>
      </c>
      <c r="U15" s="387">
        <f t="shared" si="9"/>
        <v>0</v>
      </c>
    </row>
    <row r="16" spans="1:23" ht="17.25" customHeight="1">
      <c r="A16" s="369" t="s">
        <v>39</v>
      </c>
      <c r="B16" s="370" t="s">
        <v>40</v>
      </c>
      <c r="C16" s="369" t="s">
        <v>41</v>
      </c>
      <c r="D16" s="387">
        <f t="shared" si="10"/>
        <v>0</v>
      </c>
      <c r="E16" s="387">
        <f t="shared" si="1"/>
        <v>0</v>
      </c>
      <c r="F16" s="387">
        <f t="shared" si="2"/>
        <v>0</v>
      </c>
      <c r="G16" s="387"/>
      <c r="H16" s="387">
        <f t="shared" si="2"/>
        <v>0</v>
      </c>
      <c r="I16" s="387">
        <f t="shared" si="3"/>
        <v>0</v>
      </c>
      <c r="J16" s="387">
        <f t="shared" si="2"/>
        <v>0</v>
      </c>
      <c r="K16" s="387">
        <f t="shared" si="11"/>
        <v>0</v>
      </c>
      <c r="L16" s="387">
        <f t="shared" si="2"/>
        <v>0</v>
      </c>
      <c r="M16" s="387">
        <f t="shared" si="5"/>
        <v>0</v>
      </c>
      <c r="N16" s="387">
        <f t="shared" si="2"/>
        <v>0</v>
      </c>
      <c r="O16" s="386">
        <f t="shared" si="6"/>
        <v>0</v>
      </c>
      <c r="P16" s="387">
        <f t="shared" si="2"/>
        <v>0</v>
      </c>
      <c r="Q16" s="387">
        <f t="shared" si="7"/>
        <v>0</v>
      </c>
      <c r="R16" s="387">
        <f t="shared" si="2"/>
        <v>0</v>
      </c>
      <c r="S16" s="387">
        <f t="shared" si="8"/>
        <v>0</v>
      </c>
      <c r="T16" s="387">
        <f t="shared" si="2"/>
        <v>0</v>
      </c>
      <c r="U16" s="387">
        <f t="shared" si="9"/>
        <v>0</v>
      </c>
    </row>
    <row r="17" spans="1:21" s="59" customFormat="1" ht="17.25" customHeight="1">
      <c r="A17" s="369" t="s">
        <v>42</v>
      </c>
      <c r="B17" s="370" t="s">
        <v>43</v>
      </c>
      <c r="C17" s="369" t="s">
        <v>44</v>
      </c>
      <c r="D17" s="387">
        <f t="shared" si="10"/>
        <v>0</v>
      </c>
      <c r="E17" s="387">
        <f t="shared" si="1"/>
        <v>0</v>
      </c>
      <c r="F17" s="387">
        <f t="shared" si="2"/>
        <v>0</v>
      </c>
      <c r="G17" s="387"/>
      <c r="H17" s="387">
        <f t="shared" si="2"/>
        <v>0</v>
      </c>
      <c r="I17" s="387">
        <f t="shared" si="3"/>
        <v>0</v>
      </c>
      <c r="J17" s="387">
        <f t="shared" si="2"/>
        <v>0</v>
      </c>
      <c r="K17" s="387">
        <f t="shared" si="11"/>
        <v>0</v>
      </c>
      <c r="L17" s="387">
        <f t="shared" si="2"/>
        <v>0</v>
      </c>
      <c r="M17" s="387">
        <f t="shared" si="5"/>
        <v>0</v>
      </c>
      <c r="N17" s="387">
        <f t="shared" si="2"/>
        <v>0</v>
      </c>
      <c r="O17" s="386">
        <f t="shared" si="6"/>
        <v>0</v>
      </c>
      <c r="P17" s="387">
        <f t="shared" si="2"/>
        <v>0</v>
      </c>
      <c r="Q17" s="387">
        <f t="shared" si="7"/>
        <v>0</v>
      </c>
      <c r="R17" s="387">
        <f t="shared" si="2"/>
        <v>0</v>
      </c>
      <c r="S17" s="387">
        <f t="shared" si="8"/>
        <v>0</v>
      </c>
      <c r="T17" s="387">
        <f t="shared" si="2"/>
        <v>0</v>
      </c>
      <c r="U17" s="387">
        <f t="shared" si="9"/>
        <v>0</v>
      </c>
    </row>
    <row r="18" spans="1:21" s="53" customFormat="1" ht="16.5" customHeight="1">
      <c r="A18" s="367">
        <v>2</v>
      </c>
      <c r="B18" s="368" t="s">
        <v>45</v>
      </c>
      <c r="C18" s="367" t="s">
        <v>46</v>
      </c>
      <c r="D18" s="386">
        <f t="shared" si="10"/>
        <v>81.3</v>
      </c>
      <c r="E18" s="386">
        <f t="shared" si="1"/>
        <v>2.9941442934482376</v>
      </c>
      <c r="F18" s="386">
        <f t="shared" si="2"/>
        <v>0</v>
      </c>
      <c r="G18" s="386">
        <f>SUM(G19:G44)</f>
        <v>0</v>
      </c>
      <c r="H18" s="386">
        <f t="shared" si="2"/>
        <v>29.400000000000002</v>
      </c>
      <c r="I18" s="386">
        <f t="shared" si="3"/>
        <v>2.1170879239576585</v>
      </c>
      <c r="J18" s="386">
        <f t="shared" si="2"/>
        <v>0</v>
      </c>
      <c r="K18" s="386">
        <f t="shared" si="11"/>
        <v>0</v>
      </c>
      <c r="L18" s="386">
        <f t="shared" si="2"/>
        <v>46.29</v>
      </c>
      <c r="M18" s="386">
        <f t="shared" si="5"/>
        <v>4.2123942123942122</v>
      </c>
      <c r="N18" s="386">
        <f t="shared" si="2"/>
        <v>2784.0000000000005</v>
      </c>
      <c r="O18" s="386">
        <f t="shared" si="6"/>
        <v>100.00000000000003</v>
      </c>
      <c r="P18" s="386">
        <f t="shared" si="2"/>
        <v>3731.7900000000004</v>
      </c>
      <c r="Q18" s="386">
        <f t="shared" si="7"/>
        <v>339.25363636363642</v>
      </c>
      <c r="R18" s="386">
        <f t="shared" si="2"/>
        <v>1697.23</v>
      </c>
      <c r="S18" s="386">
        <f t="shared" si="8"/>
        <v>245.61939218523881</v>
      </c>
      <c r="T18" s="386">
        <f t="shared" si="2"/>
        <v>1285.5</v>
      </c>
      <c r="U18" s="386">
        <f t="shared" si="9"/>
        <v>98.884615384615387</v>
      </c>
    </row>
    <row r="19" spans="1:21" ht="16.5" customHeight="1">
      <c r="A19" s="369" t="s">
        <v>47</v>
      </c>
      <c r="B19" s="370" t="s">
        <v>48</v>
      </c>
      <c r="C19" s="369" t="s">
        <v>49</v>
      </c>
      <c r="D19" s="387">
        <f t="shared" si="10"/>
        <v>0</v>
      </c>
      <c r="E19" s="387">
        <f t="shared" si="1"/>
        <v>0</v>
      </c>
      <c r="F19" s="387">
        <f t="shared" si="2"/>
        <v>0</v>
      </c>
      <c r="G19" s="387"/>
      <c r="H19" s="387">
        <f t="shared" si="2"/>
        <v>0</v>
      </c>
      <c r="I19" s="387">
        <f t="shared" si="3"/>
        <v>0</v>
      </c>
      <c r="J19" s="387">
        <f t="shared" si="2"/>
        <v>0</v>
      </c>
      <c r="K19" s="387">
        <f t="shared" si="11"/>
        <v>0</v>
      </c>
      <c r="L19" s="387">
        <f t="shared" si="2"/>
        <v>26.5</v>
      </c>
      <c r="M19" s="387">
        <f t="shared" si="5"/>
        <v>2.4115024115024113</v>
      </c>
      <c r="N19" s="387">
        <f t="shared" si="2"/>
        <v>0</v>
      </c>
      <c r="O19" s="386">
        <f t="shared" si="6"/>
        <v>0</v>
      </c>
      <c r="P19" s="387">
        <f t="shared" si="2"/>
        <v>0</v>
      </c>
      <c r="Q19" s="387">
        <f t="shared" si="7"/>
        <v>0</v>
      </c>
      <c r="R19" s="387">
        <f t="shared" si="2"/>
        <v>0</v>
      </c>
      <c r="S19" s="387">
        <f t="shared" si="8"/>
        <v>0</v>
      </c>
      <c r="T19" s="387">
        <f t="shared" si="2"/>
        <v>8.1</v>
      </c>
      <c r="U19" s="387">
        <f t="shared" si="9"/>
        <v>0.62307692307692308</v>
      </c>
    </row>
    <row r="20" spans="1:21" ht="16.5" customHeight="1">
      <c r="A20" s="369" t="s">
        <v>50</v>
      </c>
      <c r="B20" s="370" t="s">
        <v>51</v>
      </c>
      <c r="C20" s="369" t="s">
        <v>52</v>
      </c>
      <c r="D20" s="387">
        <f t="shared" si="10"/>
        <v>0</v>
      </c>
      <c r="E20" s="387">
        <f t="shared" si="1"/>
        <v>0</v>
      </c>
      <c r="F20" s="387">
        <f t="shared" si="2"/>
        <v>0</v>
      </c>
      <c r="G20" s="387"/>
      <c r="H20" s="387">
        <f t="shared" si="2"/>
        <v>0</v>
      </c>
      <c r="I20" s="387">
        <f t="shared" si="3"/>
        <v>0</v>
      </c>
      <c r="J20" s="387">
        <f t="shared" si="2"/>
        <v>0</v>
      </c>
      <c r="K20" s="387">
        <f t="shared" si="11"/>
        <v>0</v>
      </c>
      <c r="L20" s="387">
        <f t="shared" si="2"/>
        <v>0</v>
      </c>
      <c r="M20" s="387">
        <f t="shared" si="5"/>
        <v>0</v>
      </c>
      <c r="N20" s="387">
        <f t="shared" si="2"/>
        <v>0</v>
      </c>
      <c r="O20" s="386">
        <f t="shared" si="6"/>
        <v>0</v>
      </c>
      <c r="P20" s="387">
        <f t="shared" si="2"/>
        <v>0</v>
      </c>
      <c r="Q20" s="387">
        <f t="shared" si="7"/>
        <v>0</v>
      </c>
      <c r="R20" s="387">
        <f t="shared" si="2"/>
        <v>0</v>
      </c>
      <c r="S20" s="387">
        <f t="shared" si="8"/>
        <v>0</v>
      </c>
      <c r="T20" s="387">
        <f t="shared" si="2"/>
        <v>0</v>
      </c>
      <c r="U20" s="387">
        <f t="shared" si="9"/>
        <v>0</v>
      </c>
    </row>
    <row r="21" spans="1:21" ht="16.5" customHeight="1">
      <c r="A21" s="369" t="s">
        <v>53</v>
      </c>
      <c r="B21" s="370" t="s">
        <v>54</v>
      </c>
      <c r="C21" s="369" t="s">
        <v>55</v>
      </c>
      <c r="D21" s="387">
        <f t="shared" si="10"/>
        <v>0</v>
      </c>
      <c r="E21" s="387">
        <f t="shared" si="1"/>
        <v>0</v>
      </c>
      <c r="F21" s="387">
        <f t="shared" si="2"/>
        <v>0</v>
      </c>
      <c r="G21" s="387"/>
      <c r="H21" s="387">
        <f t="shared" si="2"/>
        <v>0</v>
      </c>
      <c r="I21" s="387">
        <f t="shared" si="3"/>
        <v>0</v>
      </c>
      <c r="J21" s="387">
        <f t="shared" si="2"/>
        <v>0</v>
      </c>
      <c r="K21" s="387">
        <f t="shared" si="11"/>
        <v>0</v>
      </c>
      <c r="L21" s="387">
        <f t="shared" si="2"/>
        <v>0</v>
      </c>
      <c r="M21" s="387">
        <f t="shared" si="5"/>
        <v>0</v>
      </c>
      <c r="N21" s="387">
        <f t="shared" si="2"/>
        <v>2774.0000000000005</v>
      </c>
      <c r="O21" s="386">
        <f t="shared" si="6"/>
        <v>99.640804597701162</v>
      </c>
      <c r="P21" s="387">
        <f t="shared" si="2"/>
        <v>0</v>
      </c>
      <c r="Q21" s="387">
        <f t="shared" si="7"/>
        <v>0</v>
      </c>
      <c r="R21" s="387">
        <f t="shared" si="2"/>
        <v>0</v>
      </c>
      <c r="S21" s="387">
        <f t="shared" si="8"/>
        <v>0</v>
      </c>
      <c r="T21" s="387">
        <f t="shared" si="2"/>
        <v>0</v>
      </c>
      <c r="U21" s="387">
        <f t="shared" si="9"/>
        <v>0</v>
      </c>
    </row>
    <row r="22" spans="1:21" ht="16.5" customHeight="1">
      <c r="A22" s="369" t="s">
        <v>56</v>
      </c>
      <c r="B22" s="370" t="s">
        <v>57</v>
      </c>
      <c r="C22" s="369" t="s">
        <v>58</v>
      </c>
      <c r="D22" s="387">
        <f t="shared" si="10"/>
        <v>0</v>
      </c>
      <c r="E22" s="387">
        <f t="shared" si="1"/>
        <v>0</v>
      </c>
      <c r="F22" s="387">
        <f t="shared" si="2"/>
        <v>0</v>
      </c>
      <c r="G22" s="387"/>
      <c r="H22" s="387">
        <f t="shared" si="2"/>
        <v>0</v>
      </c>
      <c r="I22" s="387">
        <f t="shared" si="3"/>
        <v>0</v>
      </c>
      <c r="J22" s="387">
        <f t="shared" si="2"/>
        <v>0</v>
      </c>
      <c r="K22" s="387">
        <f t="shared" si="11"/>
        <v>0</v>
      </c>
      <c r="L22" s="387">
        <f t="shared" si="2"/>
        <v>0</v>
      </c>
      <c r="M22" s="387">
        <f t="shared" si="5"/>
        <v>0</v>
      </c>
      <c r="N22" s="387">
        <f t="shared" si="2"/>
        <v>0</v>
      </c>
      <c r="O22" s="386">
        <f t="shared" si="6"/>
        <v>0</v>
      </c>
      <c r="P22" s="387">
        <f t="shared" si="2"/>
        <v>0</v>
      </c>
      <c r="Q22" s="387">
        <f t="shared" si="7"/>
        <v>0</v>
      </c>
      <c r="R22" s="387">
        <f t="shared" si="2"/>
        <v>0</v>
      </c>
      <c r="S22" s="387">
        <f t="shared" si="8"/>
        <v>0</v>
      </c>
      <c r="T22" s="387">
        <f t="shared" si="2"/>
        <v>0</v>
      </c>
      <c r="U22" s="387">
        <f t="shared" si="9"/>
        <v>0</v>
      </c>
    </row>
    <row r="23" spans="1:21" ht="16.5" customHeight="1">
      <c r="A23" s="369" t="s">
        <v>59</v>
      </c>
      <c r="B23" s="370" t="s">
        <v>60</v>
      </c>
      <c r="C23" s="369" t="s">
        <v>61</v>
      </c>
      <c r="D23" s="387">
        <f t="shared" si="10"/>
        <v>0</v>
      </c>
      <c r="E23" s="387">
        <f t="shared" si="1"/>
        <v>0</v>
      </c>
      <c r="F23" s="387">
        <f t="shared" ref="F23:F45" si="12">F68+F113+F158+F203+F248+F293+F338+F383+F428+F473+F518+F563+F608+F653+F698+F743+F788+F833+F878</f>
        <v>0</v>
      </c>
      <c r="G23" s="387"/>
      <c r="H23" s="387">
        <f t="shared" ref="H23:H45" si="13">H68+H113+H158+H203+H248+H293+H338+H383+H428+H473+H518+H563+H608+H653+H698+H743+H788+H833+H878</f>
        <v>0</v>
      </c>
      <c r="I23" s="387">
        <f t="shared" si="3"/>
        <v>0</v>
      </c>
      <c r="J23" s="387">
        <f t="shared" ref="J23:J45" si="14">J68+J113+J158+J203+J248+J293+J338+J383+J428+J473+J518+J563+J608+J653+J698+J743+J788+J833+J878</f>
        <v>0</v>
      </c>
      <c r="K23" s="387">
        <f t="shared" si="11"/>
        <v>0</v>
      </c>
      <c r="L23" s="387">
        <f t="shared" ref="L23:L45" si="15">L68+L113+L158+L203+L248+L293+L338+L383+L428+L473+L518+L563+L608+L653+L698+L743+L788+L833+L878</f>
        <v>0</v>
      </c>
      <c r="M23" s="387">
        <f t="shared" si="5"/>
        <v>0</v>
      </c>
      <c r="N23" s="387">
        <f t="shared" ref="N23:N45" si="16">N68+N113+N158+N203+N248+N293+N338+N383+N428+N473+N518+N563+N608+N653+N698+N743+N788+N833+N878</f>
        <v>10</v>
      </c>
      <c r="O23" s="386">
        <f t="shared" si="6"/>
        <v>0.35919540229885055</v>
      </c>
      <c r="P23" s="387">
        <f t="shared" ref="P23:P45" si="17">P68+P113+P158+P203+P248+P293+P338+P383+P428+P473+P518+P563+P608+P653+P698+P743+P788+P833+P878</f>
        <v>0</v>
      </c>
      <c r="Q23" s="387">
        <f t="shared" si="7"/>
        <v>0</v>
      </c>
      <c r="R23" s="387">
        <f t="shared" ref="R23:R45" si="18">R68+R113+R158+R203+R248+R293+R338+R383+R428+R473+R518+R563+R608+R653+R698+R743+R788+R833+R878</f>
        <v>0</v>
      </c>
      <c r="S23" s="387">
        <f t="shared" si="8"/>
        <v>0</v>
      </c>
      <c r="T23" s="387">
        <f t="shared" ref="T23:T45" si="19">T68+T113+T158+T203+T248+T293+T338+T383+T428+T473+T518+T563+T608+T653+T698+T743+T788+T833+T878</f>
        <v>0</v>
      </c>
      <c r="U23" s="387">
        <f t="shared" si="9"/>
        <v>0</v>
      </c>
    </row>
    <row r="24" spans="1:21" ht="16.5" customHeight="1">
      <c r="A24" s="369" t="s">
        <v>62</v>
      </c>
      <c r="B24" s="370" t="s">
        <v>63</v>
      </c>
      <c r="C24" s="369" t="s">
        <v>64</v>
      </c>
      <c r="D24" s="387">
        <f t="shared" si="10"/>
        <v>0</v>
      </c>
      <c r="E24" s="387">
        <f t="shared" si="1"/>
        <v>0</v>
      </c>
      <c r="F24" s="387">
        <f t="shared" si="12"/>
        <v>0</v>
      </c>
      <c r="G24" s="387"/>
      <c r="H24" s="387">
        <f t="shared" si="13"/>
        <v>0</v>
      </c>
      <c r="I24" s="387">
        <f t="shared" si="3"/>
        <v>0</v>
      </c>
      <c r="J24" s="387">
        <f t="shared" si="14"/>
        <v>0</v>
      </c>
      <c r="K24" s="387">
        <f t="shared" si="11"/>
        <v>0</v>
      </c>
      <c r="L24" s="387">
        <f t="shared" si="15"/>
        <v>0</v>
      </c>
      <c r="M24" s="387">
        <f t="shared" si="5"/>
        <v>0</v>
      </c>
      <c r="N24" s="387">
        <f t="shared" si="16"/>
        <v>0</v>
      </c>
      <c r="O24" s="386">
        <f t="shared" ref="O24:O45" si="20">N24/2695.3*100</f>
        <v>0</v>
      </c>
      <c r="P24" s="387">
        <f t="shared" si="17"/>
        <v>493.54999999999995</v>
      </c>
      <c r="Q24" s="387">
        <f t="shared" si="7"/>
        <v>44.86818181818181</v>
      </c>
      <c r="R24" s="387">
        <f t="shared" si="18"/>
        <v>362.28</v>
      </c>
      <c r="S24" s="387">
        <f t="shared" si="8"/>
        <v>52.428364688856718</v>
      </c>
      <c r="T24" s="387">
        <f t="shared" si="19"/>
        <v>2.35</v>
      </c>
      <c r="U24" s="387">
        <f t="shared" si="9"/>
        <v>0.18076923076923077</v>
      </c>
    </row>
    <row r="25" spans="1:21" ht="16.5" customHeight="1">
      <c r="A25" s="369" t="s">
        <v>65</v>
      </c>
      <c r="B25" s="370" t="s">
        <v>66</v>
      </c>
      <c r="C25" s="369" t="s">
        <v>67</v>
      </c>
      <c r="D25" s="387">
        <f t="shared" si="10"/>
        <v>0</v>
      </c>
      <c r="E25" s="387">
        <f t="shared" si="1"/>
        <v>0</v>
      </c>
      <c r="F25" s="387">
        <f t="shared" si="12"/>
        <v>0</v>
      </c>
      <c r="G25" s="387"/>
      <c r="H25" s="387">
        <f t="shared" si="13"/>
        <v>0</v>
      </c>
      <c r="I25" s="387">
        <f t="shared" si="3"/>
        <v>0</v>
      </c>
      <c r="J25" s="387">
        <f t="shared" si="14"/>
        <v>0</v>
      </c>
      <c r="K25" s="387">
        <f t="shared" si="11"/>
        <v>0</v>
      </c>
      <c r="L25" s="387">
        <f t="shared" si="15"/>
        <v>0</v>
      </c>
      <c r="M25" s="387">
        <f t="shared" si="5"/>
        <v>0</v>
      </c>
      <c r="N25" s="387">
        <f t="shared" si="16"/>
        <v>0</v>
      </c>
      <c r="O25" s="386">
        <f t="shared" si="20"/>
        <v>0</v>
      </c>
      <c r="P25" s="387">
        <f t="shared" si="17"/>
        <v>0</v>
      </c>
      <c r="Q25" s="387">
        <f t="shared" si="7"/>
        <v>0</v>
      </c>
      <c r="R25" s="387">
        <f t="shared" si="18"/>
        <v>0</v>
      </c>
      <c r="S25" s="387">
        <f t="shared" si="8"/>
        <v>0</v>
      </c>
      <c r="T25" s="387">
        <f t="shared" si="19"/>
        <v>390.28</v>
      </c>
      <c r="U25" s="387">
        <f t="shared" si="9"/>
        <v>30.021538461538462</v>
      </c>
    </row>
    <row r="26" spans="1:21" ht="16.5" customHeight="1">
      <c r="A26" s="369" t="s">
        <v>68</v>
      </c>
      <c r="B26" s="370" t="s">
        <v>69</v>
      </c>
      <c r="C26" s="369" t="s">
        <v>70</v>
      </c>
      <c r="D26" s="387">
        <f t="shared" si="10"/>
        <v>0</v>
      </c>
      <c r="E26" s="387">
        <f t="shared" si="1"/>
        <v>0</v>
      </c>
      <c r="F26" s="387">
        <f t="shared" si="12"/>
        <v>0</v>
      </c>
      <c r="G26" s="387"/>
      <c r="H26" s="387">
        <f t="shared" si="13"/>
        <v>0</v>
      </c>
      <c r="I26" s="387">
        <f t="shared" si="3"/>
        <v>0</v>
      </c>
      <c r="J26" s="387">
        <f t="shared" si="14"/>
        <v>0</v>
      </c>
      <c r="K26" s="387">
        <f t="shared" si="11"/>
        <v>0</v>
      </c>
      <c r="L26" s="387">
        <f t="shared" si="15"/>
        <v>0</v>
      </c>
      <c r="M26" s="387">
        <f t="shared" si="5"/>
        <v>0</v>
      </c>
      <c r="N26" s="387">
        <f t="shared" si="16"/>
        <v>0</v>
      </c>
      <c r="O26" s="386">
        <f t="shared" si="20"/>
        <v>0</v>
      </c>
      <c r="P26" s="387">
        <f t="shared" si="17"/>
        <v>0</v>
      </c>
      <c r="Q26" s="387">
        <f t="shared" si="7"/>
        <v>0</v>
      </c>
      <c r="R26" s="387">
        <f t="shared" si="18"/>
        <v>0</v>
      </c>
      <c r="S26" s="387">
        <f t="shared" si="8"/>
        <v>0</v>
      </c>
      <c r="T26" s="387">
        <f t="shared" si="19"/>
        <v>0</v>
      </c>
      <c r="U26" s="387">
        <f t="shared" si="9"/>
        <v>0</v>
      </c>
    </row>
    <row r="27" spans="1:21" ht="29.25" customHeight="1">
      <c r="A27" s="369" t="s">
        <v>71</v>
      </c>
      <c r="B27" s="370" t="s">
        <v>135</v>
      </c>
      <c r="C27" s="369" t="s">
        <v>72</v>
      </c>
      <c r="D27" s="387">
        <f t="shared" si="10"/>
        <v>74.180000000000007</v>
      </c>
      <c r="E27" s="387">
        <f t="shared" si="1"/>
        <v>2.7319264906271865</v>
      </c>
      <c r="F27" s="387">
        <f t="shared" si="12"/>
        <v>0</v>
      </c>
      <c r="G27" s="387"/>
      <c r="H27" s="387">
        <f t="shared" si="13"/>
        <v>1.7</v>
      </c>
      <c r="I27" s="387">
        <f t="shared" si="3"/>
        <v>0.12241664866421832</v>
      </c>
      <c r="J27" s="387">
        <f t="shared" si="14"/>
        <v>0</v>
      </c>
      <c r="K27" s="387">
        <f t="shared" si="11"/>
        <v>0</v>
      </c>
      <c r="L27" s="387">
        <f t="shared" si="15"/>
        <v>1.2</v>
      </c>
      <c r="M27" s="387">
        <f t="shared" si="5"/>
        <v>0.1092001092001092</v>
      </c>
      <c r="N27" s="387">
        <f t="shared" si="16"/>
        <v>0</v>
      </c>
      <c r="O27" s="386">
        <f t="shared" si="20"/>
        <v>0</v>
      </c>
      <c r="P27" s="387">
        <f t="shared" si="17"/>
        <v>1555.35</v>
      </c>
      <c r="Q27" s="387">
        <f t="shared" si="7"/>
        <v>141.39545454545456</v>
      </c>
      <c r="R27" s="387">
        <f t="shared" si="18"/>
        <v>234.21000000000004</v>
      </c>
      <c r="S27" s="387">
        <f t="shared" si="8"/>
        <v>33.894356005788715</v>
      </c>
      <c r="T27" s="387">
        <f t="shared" si="19"/>
        <v>393.20999999999992</v>
      </c>
      <c r="U27" s="387">
        <f t="shared" si="9"/>
        <v>30.246923076923071</v>
      </c>
    </row>
    <row r="28" spans="1:21" ht="17.25" customHeight="1">
      <c r="A28" s="369" t="s">
        <v>73</v>
      </c>
      <c r="B28" s="370" t="s">
        <v>74</v>
      </c>
      <c r="C28" s="369" t="s">
        <v>75</v>
      </c>
      <c r="D28" s="387">
        <f t="shared" si="10"/>
        <v>0</v>
      </c>
      <c r="E28" s="387">
        <f t="shared" si="1"/>
        <v>0</v>
      </c>
      <c r="F28" s="387">
        <f t="shared" si="12"/>
        <v>0</v>
      </c>
      <c r="G28" s="387"/>
      <c r="H28" s="387">
        <f t="shared" si="13"/>
        <v>0</v>
      </c>
      <c r="I28" s="387">
        <f t="shared" si="3"/>
        <v>0</v>
      </c>
      <c r="J28" s="387">
        <f t="shared" si="14"/>
        <v>0</v>
      </c>
      <c r="K28" s="387">
        <f t="shared" si="11"/>
        <v>0</v>
      </c>
      <c r="L28" s="387">
        <f t="shared" si="15"/>
        <v>0</v>
      </c>
      <c r="M28" s="387">
        <f t="shared" si="5"/>
        <v>0</v>
      </c>
      <c r="N28" s="387">
        <f t="shared" si="16"/>
        <v>0</v>
      </c>
      <c r="O28" s="386">
        <f t="shared" si="20"/>
        <v>0</v>
      </c>
      <c r="P28" s="387">
        <f t="shared" si="17"/>
        <v>1.89</v>
      </c>
      <c r="Q28" s="387">
        <f t="shared" si="7"/>
        <v>0.17181818181818181</v>
      </c>
      <c r="R28" s="387">
        <f t="shared" si="18"/>
        <v>75</v>
      </c>
      <c r="S28" s="387">
        <f t="shared" si="8"/>
        <v>10.85383502170767</v>
      </c>
      <c r="T28" s="387">
        <f t="shared" si="19"/>
        <v>0.5</v>
      </c>
      <c r="U28" s="387">
        <f t="shared" si="9"/>
        <v>3.8461538461538464E-2</v>
      </c>
    </row>
    <row r="29" spans="1:21" ht="17.25" customHeight="1">
      <c r="A29" s="369" t="s">
        <v>76</v>
      </c>
      <c r="B29" s="370" t="s">
        <v>77</v>
      </c>
      <c r="C29" s="369" t="s">
        <v>78</v>
      </c>
      <c r="D29" s="387">
        <f t="shared" si="10"/>
        <v>0</v>
      </c>
      <c r="E29" s="387">
        <f t="shared" si="1"/>
        <v>0</v>
      </c>
      <c r="F29" s="387">
        <f t="shared" si="12"/>
        <v>0</v>
      </c>
      <c r="G29" s="387"/>
      <c r="H29" s="387">
        <f t="shared" si="13"/>
        <v>0</v>
      </c>
      <c r="I29" s="387">
        <f t="shared" si="3"/>
        <v>0</v>
      </c>
      <c r="J29" s="387">
        <f t="shared" si="14"/>
        <v>0</v>
      </c>
      <c r="K29" s="387">
        <f t="shared" si="11"/>
        <v>0</v>
      </c>
      <c r="L29" s="387">
        <f t="shared" si="15"/>
        <v>0</v>
      </c>
      <c r="M29" s="387">
        <f t="shared" si="5"/>
        <v>0</v>
      </c>
      <c r="N29" s="387">
        <f t="shared" si="16"/>
        <v>0</v>
      </c>
      <c r="O29" s="386">
        <f t="shared" si="20"/>
        <v>0</v>
      </c>
      <c r="P29" s="387">
        <f t="shared" si="17"/>
        <v>0</v>
      </c>
      <c r="Q29" s="387">
        <f t="shared" si="7"/>
        <v>0</v>
      </c>
      <c r="R29" s="387">
        <f t="shared" si="18"/>
        <v>0</v>
      </c>
      <c r="S29" s="387">
        <f t="shared" si="8"/>
        <v>0</v>
      </c>
      <c r="T29" s="387">
        <f t="shared" si="19"/>
        <v>0</v>
      </c>
      <c r="U29" s="387">
        <f t="shared" si="9"/>
        <v>0</v>
      </c>
    </row>
    <row r="30" spans="1:21" ht="17.25" customHeight="1">
      <c r="A30" s="369" t="s">
        <v>79</v>
      </c>
      <c r="B30" s="370" t="s">
        <v>80</v>
      </c>
      <c r="C30" s="369" t="s">
        <v>81</v>
      </c>
      <c r="D30" s="387">
        <f t="shared" si="10"/>
        <v>0</v>
      </c>
      <c r="E30" s="387">
        <f t="shared" si="1"/>
        <v>0</v>
      </c>
      <c r="F30" s="387">
        <f t="shared" si="12"/>
        <v>0</v>
      </c>
      <c r="G30" s="387"/>
      <c r="H30" s="387">
        <f t="shared" si="13"/>
        <v>0</v>
      </c>
      <c r="I30" s="387">
        <f t="shared" si="3"/>
        <v>0</v>
      </c>
      <c r="J30" s="387">
        <f t="shared" si="14"/>
        <v>0</v>
      </c>
      <c r="K30" s="387">
        <f t="shared" si="11"/>
        <v>0</v>
      </c>
      <c r="L30" s="387">
        <f t="shared" si="15"/>
        <v>0</v>
      </c>
      <c r="M30" s="387">
        <f t="shared" si="5"/>
        <v>0</v>
      </c>
      <c r="N30" s="387">
        <f t="shared" si="16"/>
        <v>0</v>
      </c>
      <c r="O30" s="386">
        <f t="shared" si="20"/>
        <v>0</v>
      </c>
      <c r="P30" s="387">
        <f t="shared" si="17"/>
        <v>0</v>
      </c>
      <c r="Q30" s="387">
        <f t="shared" si="7"/>
        <v>0</v>
      </c>
      <c r="R30" s="387">
        <f t="shared" si="18"/>
        <v>0</v>
      </c>
      <c r="S30" s="387">
        <f t="shared" si="8"/>
        <v>0</v>
      </c>
      <c r="T30" s="387">
        <f t="shared" si="19"/>
        <v>0</v>
      </c>
      <c r="U30" s="387">
        <f t="shared" si="9"/>
        <v>0</v>
      </c>
    </row>
    <row r="31" spans="1:21" ht="17.25" customHeight="1">
      <c r="A31" s="369" t="s">
        <v>82</v>
      </c>
      <c r="B31" s="370" t="s">
        <v>83</v>
      </c>
      <c r="C31" s="369" t="s">
        <v>84</v>
      </c>
      <c r="D31" s="387">
        <f t="shared" si="10"/>
        <v>0</v>
      </c>
      <c r="E31" s="387">
        <f t="shared" si="1"/>
        <v>0</v>
      </c>
      <c r="F31" s="387">
        <f t="shared" si="12"/>
        <v>0</v>
      </c>
      <c r="G31" s="387"/>
      <c r="H31" s="387">
        <f t="shared" si="13"/>
        <v>0</v>
      </c>
      <c r="I31" s="387">
        <f t="shared" si="3"/>
        <v>0</v>
      </c>
      <c r="J31" s="387">
        <f t="shared" si="14"/>
        <v>0</v>
      </c>
      <c r="K31" s="387">
        <f t="shared" si="11"/>
        <v>0</v>
      </c>
      <c r="L31" s="387">
        <f t="shared" si="15"/>
        <v>0</v>
      </c>
      <c r="M31" s="387">
        <f t="shared" si="5"/>
        <v>0</v>
      </c>
      <c r="N31" s="387">
        <f t="shared" si="16"/>
        <v>0</v>
      </c>
      <c r="O31" s="386">
        <f t="shared" si="20"/>
        <v>0</v>
      </c>
      <c r="P31" s="387">
        <f t="shared" si="17"/>
        <v>616.76</v>
      </c>
      <c r="Q31" s="387">
        <f t="shared" si="7"/>
        <v>56.06909090909091</v>
      </c>
      <c r="R31" s="387">
        <f t="shared" si="18"/>
        <v>572.11</v>
      </c>
      <c r="S31" s="387">
        <f t="shared" si="8"/>
        <v>82.79450072358901</v>
      </c>
      <c r="T31" s="387">
        <f t="shared" si="19"/>
        <v>464.20000000000005</v>
      </c>
      <c r="U31" s="387">
        <f t="shared" si="9"/>
        <v>35.707692307692312</v>
      </c>
    </row>
    <row r="32" spans="1:21" ht="17.25" customHeight="1">
      <c r="A32" s="369" t="s">
        <v>85</v>
      </c>
      <c r="B32" s="370" t="s">
        <v>86</v>
      </c>
      <c r="C32" s="369" t="s">
        <v>87</v>
      </c>
      <c r="D32" s="387">
        <f t="shared" si="10"/>
        <v>0</v>
      </c>
      <c r="E32" s="387">
        <f t="shared" si="1"/>
        <v>0</v>
      </c>
      <c r="F32" s="387">
        <f t="shared" si="12"/>
        <v>0</v>
      </c>
      <c r="G32" s="387"/>
      <c r="H32" s="387">
        <f t="shared" si="13"/>
        <v>0.3</v>
      </c>
      <c r="I32" s="387">
        <f t="shared" si="3"/>
        <v>2.1602937999567938E-2</v>
      </c>
      <c r="J32" s="387">
        <f t="shared" si="14"/>
        <v>0</v>
      </c>
      <c r="K32" s="387">
        <f t="shared" si="11"/>
        <v>0</v>
      </c>
      <c r="L32" s="387">
        <f t="shared" si="15"/>
        <v>0.94</v>
      </c>
      <c r="M32" s="387">
        <f t="shared" si="5"/>
        <v>8.5540085540085534E-2</v>
      </c>
      <c r="N32" s="387">
        <f t="shared" si="16"/>
        <v>0</v>
      </c>
      <c r="O32" s="386">
        <f t="shared" si="20"/>
        <v>0</v>
      </c>
      <c r="P32" s="387">
        <f t="shared" si="17"/>
        <v>456</v>
      </c>
      <c r="Q32" s="387">
        <f t="shared" si="7"/>
        <v>41.454545454545453</v>
      </c>
      <c r="R32" s="387">
        <f t="shared" si="18"/>
        <v>0</v>
      </c>
      <c r="S32" s="387">
        <f t="shared" si="8"/>
        <v>0</v>
      </c>
      <c r="T32" s="387">
        <f t="shared" si="19"/>
        <v>0</v>
      </c>
      <c r="U32" s="387">
        <f t="shared" si="9"/>
        <v>0</v>
      </c>
    </row>
    <row r="33" spans="1:21" ht="17.25" customHeight="1">
      <c r="A33" s="369" t="s">
        <v>88</v>
      </c>
      <c r="B33" s="370" t="s">
        <v>89</v>
      </c>
      <c r="C33" s="369" t="s">
        <v>90</v>
      </c>
      <c r="D33" s="387">
        <f t="shared" si="10"/>
        <v>0</v>
      </c>
      <c r="E33" s="387">
        <f t="shared" si="1"/>
        <v>0</v>
      </c>
      <c r="F33" s="387">
        <f t="shared" si="12"/>
        <v>0</v>
      </c>
      <c r="G33" s="387"/>
      <c r="H33" s="387">
        <f t="shared" si="13"/>
        <v>0</v>
      </c>
      <c r="I33" s="387">
        <f t="shared" si="3"/>
        <v>0</v>
      </c>
      <c r="J33" s="387">
        <f t="shared" si="14"/>
        <v>0</v>
      </c>
      <c r="K33" s="387">
        <f t="shared" si="11"/>
        <v>0</v>
      </c>
      <c r="L33" s="387">
        <f t="shared" si="15"/>
        <v>0</v>
      </c>
      <c r="M33" s="387">
        <f t="shared" si="5"/>
        <v>0</v>
      </c>
      <c r="N33" s="387">
        <f t="shared" si="16"/>
        <v>0</v>
      </c>
      <c r="O33" s="386">
        <f t="shared" si="20"/>
        <v>0</v>
      </c>
      <c r="P33" s="387">
        <f t="shared" si="17"/>
        <v>0</v>
      </c>
      <c r="Q33" s="387">
        <f t="shared" si="7"/>
        <v>0</v>
      </c>
      <c r="R33" s="387">
        <f t="shared" si="18"/>
        <v>0</v>
      </c>
      <c r="S33" s="387">
        <f t="shared" si="8"/>
        <v>0</v>
      </c>
      <c r="T33" s="387">
        <f t="shared" si="19"/>
        <v>3.7199999999999998</v>
      </c>
      <c r="U33" s="387">
        <f t="shared" si="9"/>
        <v>0.28615384615384615</v>
      </c>
    </row>
    <row r="34" spans="1:21" ht="27.75" customHeight="1">
      <c r="A34" s="369" t="s">
        <v>91</v>
      </c>
      <c r="B34" s="370" t="s">
        <v>92</v>
      </c>
      <c r="C34" s="369" t="s">
        <v>93</v>
      </c>
      <c r="D34" s="387">
        <f t="shared" si="10"/>
        <v>0</v>
      </c>
      <c r="E34" s="387">
        <f t="shared" si="1"/>
        <v>0</v>
      </c>
      <c r="F34" s="387">
        <f t="shared" si="12"/>
        <v>0</v>
      </c>
      <c r="G34" s="387"/>
      <c r="H34" s="387">
        <f t="shared" si="13"/>
        <v>0.2</v>
      </c>
      <c r="I34" s="387">
        <f t="shared" si="3"/>
        <v>1.4401958666378627E-2</v>
      </c>
      <c r="J34" s="387">
        <f t="shared" si="14"/>
        <v>0</v>
      </c>
      <c r="K34" s="387">
        <f t="shared" si="11"/>
        <v>0</v>
      </c>
      <c r="L34" s="387">
        <f t="shared" si="15"/>
        <v>0</v>
      </c>
      <c r="M34" s="387">
        <f t="shared" si="5"/>
        <v>0</v>
      </c>
      <c r="N34" s="387">
        <f t="shared" si="16"/>
        <v>0</v>
      </c>
      <c r="O34" s="386">
        <f t="shared" si="20"/>
        <v>0</v>
      </c>
      <c r="P34" s="387">
        <f t="shared" si="17"/>
        <v>0.26</v>
      </c>
      <c r="Q34" s="387">
        <f t="shared" si="7"/>
        <v>2.3636363636363636E-2</v>
      </c>
      <c r="R34" s="387">
        <f t="shared" si="18"/>
        <v>0</v>
      </c>
      <c r="S34" s="387">
        <f t="shared" si="8"/>
        <v>0</v>
      </c>
      <c r="T34" s="387">
        <f t="shared" si="19"/>
        <v>0.9</v>
      </c>
      <c r="U34" s="387">
        <f t="shared" si="9"/>
        <v>6.9230769230769235E-2</v>
      </c>
    </row>
    <row r="35" spans="1:21" ht="17.25" customHeight="1">
      <c r="A35" s="369" t="s">
        <v>94</v>
      </c>
      <c r="B35" s="370" t="s">
        <v>95</v>
      </c>
      <c r="C35" s="369" t="s">
        <v>96</v>
      </c>
      <c r="D35" s="387">
        <f t="shared" si="10"/>
        <v>0</v>
      </c>
      <c r="E35" s="387">
        <f t="shared" si="1"/>
        <v>0</v>
      </c>
      <c r="F35" s="387">
        <f t="shared" si="12"/>
        <v>0</v>
      </c>
      <c r="G35" s="387"/>
      <c r="H35" s="387">
        <f t="shared" si="13"/>
        <v>0</v>
      </c>
      <c r="I35" s="387">
        <f t="shared" si="3"/>
        <v>0</v>
      </c>
      <c r="J35" s="387">
        <f t="shared" si="14"/>
        <v>0</v>
      </c>
      <c r="K35" s="387">
        <f t="shared" si="11"/>
        <v>0</v>
      </c>
      <c r="L35" s="387">
        <f t="shared" si="15"/>
        <v>0</v>
      </c>
      <c r="M35" s="387">
        <f t="shared" si="5"/>
        <v>0</v>
      </c>
      <c r="N35" s="387">
        <f t="shared" si="16"/>
        <v>0</v>
      </c>
      <c r="O35" s="386">
        <f t="shared" si="20"/>
        <v>0</v>
      </c>
      <c r="P35" s="387">
        <f t="shared" si="17"/>
        <v>0</v>
      </c>
      <c r="Q35" s="387">
        <f t="shared" si="7"/>
        <v>0</v>
      </c>
      <c r="R35" s="387">
        <f t="shared" si="18"/>
        <v>0</v>
      </c>
      <c r="S35" s="387">
        <f t="shared" si="8"/>
        <v>0</v>
      </c>
      <c r="T35" s="387">
        <f t="shared" si="19"/>
        <v>0</v>
      </c>
      <c r="U35" s="387">
        <f t="shared" si="9"/>
        <v>0</v>
      </c>
    </row>
    <row r="36" spans="1:21" ht="17.25" customHeight="1">
      <c r="A36" s="369" t="s">
        <v>97</v>
      </c>
      <c r="B36" s="370" t="s">
        <v>98</v>
      </c>
      <c r="C36" s="369" t="s">
        <v>99</v>
      </c>
      <c r="D36" s="387">
        <f t="shared" si="10"/>
        <v>0</v>
      </c>
      <c r="E36" s="387">
        <f t="shared" si="1"/>
        <v>0</v>
      </c>
      <c r="F36" s="387">
        <f t="shared" si="12"/>
        <v>0</v>
      </c>
      <c r="G36" s="387"/>
      <c r="H36" s="387">
        <f t="shared" si="13"/>
        <v>0</v>
      </c>
      <c r="I36" s="387">
        <f t="shared" si="3"/>
        <v>0</v>
      </c>
      <c r="J36" s="387">
        <f t="shared" si="14"/>
        <v>0</v>
      </c>
      <c r="K36" s="387">
        <f t="shared" si="11"/>
        <v>0</v>
      </c>
      <c r="L36" s="387">
        <f t="shared" si="15"/>
        <v>11.25</v>
      </c>
      <c r="M36" s="387">
        <f t="shared" si="5"/>
        <v>1.0237510237510237</v>
      </c>
      <c r="N36" s="387">
        <f t="shared" si="16"/>
        <v>0</v>
      </c>
      <c r="O36" s="386">
        <f t="shared" si="20"/>
        <v>0</v>
      </c>
      <c r="P36" s="387">
        <f t="shared" si="17"/>
        <v>10</v>
      </c>
      <c r="Q36" s="387">
        <f t="shared" si="7"/>
        <v>0.90909090909090906</v>
      </c>
      <c r="R36" s="387">
        <f t="shared" si="18"/>
        <v>10</v>
      </c>
      <c r="S36" s="387">
        <f t="shared" si="8"/>
        <v>1.4471780028943559</v>
      </c>
      <c r="T36" s="387">
        <f t="shared" si="19"/>
        <v>4.51</v>
      </c>
      <c r="U36" s="387">
        <f t="shared" si="9"/>
        <v>0.34692307692307695</v>
      </c>
    </row>
    <row r="37" spans="1:21" ht="28.5" customHeight="1">
      <c r="A37" s="369" t="s">
        <v>100</v>
      </c>
      <c r="B37" s="370" t="s">
        <v>134</v>
      </c>
      <c r="C37" s="369" t="s">
        <v>101</v>
      </c>
      <c r="D37" s="387">
        <f t="shared" si="10"/>
        <v>1.4</v>
      </c>
      <c r="E37" s="387">
        <f t="shared" si="1"/>
        <v>5.1559680329981948E-2</v>
      </c>
      <c r="F37" s="387">
        <f t="shared" si="12"/>
        <v>0</v>
      </c>
      <c r="G37" s="387"/>
      <c r="H37" s="387">
        <f t="shared" si="13"/>
        <v>0</v>
      </c>
      <c r="I37" s="387">
        <f t="shared" si="3"/>
        <v>0</v>
      </c>
      <c r="J37" s="387">
        <f t="shared" si="14"/>
        <v>0</v>
      </c>
      <c r="K37" s="387">
        <f t="shared" si="11"/>
        <v>0</v>
      </c>
      <c r="L37" s="387">
        <f t="shared" si="15"/>
        <v>0</v>
      </c>
      <c r="M37" s="387">
        <f t="shared" si="5"/>
        <v>0</v>
      </c>
      <c r="N37" s="387">
        <f t="shared" si="16"/>
        <v>0</v>
      </c>
      <c r="O37" s="386">
        <f t="shared" si="20"/>
        <v>0</v>
      </c>
      <c r="P37" s="387">
        <f t="shared" si="17"/>
        <v>0</v>
      </c>
      <c r="Q37" s="387">
        <f t="shared" si="7"/>
        <v>0</v>
      </c>
      <c r="R37" s="387">
        <f t="shared" si="18"/>
        <v>0</v>
      </c>
      <c r="S37" s="387">
        <f t="shared" si="8"/>
        <v>0</v>
      </c>
      <c r="T37" s="387">
        <f t="shared" si="19"/>
        <v>0</v>
      </c>
      <c r="U37" s="387">
        <f t="shared" si="9"/>
        <v>0</v>
      </c>
    </row>
    <row r="38" spans="1:21" ht="16.5" customHeight="1">
      <c r="A38" s="369" t="s">
        <v>102</v>
      </c>
      <c r="B38" s="371" t="s">
        <v>103</v>
      </c>
      <c r="C38" s="369" t="s">
        <v>104</v>
      </c>
      <c r="D38" s="387">
        <f t="shared" si="10"/>
        <v>0</v>
      </c>
      <c r="E38" s="387">
        <f t="shared" si="1"/>
        <v>0</v>
      </c>
      <c r="F38" s="387">
        <f t="shared" si="12"/>
        <v>0</v>
      </c>
      <c r="G38" s="387"/>
      <c r="H38" s="387">
        <f t="shared" si="13"/>
        <v>0</v>
      </c>
      <c r="I38" s="387">
        <f t="shared" si="3"/>
        <v>0</v>
      </c>
      <c r="J38" s="387">
        <f t="shared" si="14"/>
        <v>0</v>
      </c>
      <c r="K38" s="387">
        <f t="shared" si="11"/>
        <v>0</v>
      </c>
      <c r="L38" s="387">
        <f t="shared" si="15"/>
        <v>0</v>
      </c>
      <c r="M38" s="387">
        <f t="shared" si="5"/>
        <v>0</v>
      </c>
      <c r="N38" s="387">
        <f t="shared" si="16"/>
        <v>0</v>
      </c>
      <c r="O38" s="386">
        <f t="shared" si="20"/>
        <v>0</v>
      </c>
      <c r="P38" s="387">
        <f t="shared" si="17"/>
        <v>0</v>
      </c>
      <c r="Q38" s="387">
        <f t="shared" si="7"/>
        <v>0</v>
      </c>
      <c r="R38" s="387">
        <f t="shared" si="18"/>
        <v>0</v>
      </c>
      <c r="S38" s="387">
        <f t="shared" si="8"/>
        <v>0</v>
      </c>
      <c r="T38" s="387">
        <f t="shared" si="19"/>
        <v>0</v>
      </c>
      <c r="U38" s="387">
        <f t="shared" si="9"/>
        <v>0</v>
      </c>
    </row>
    <row r="39" spans="1:21" ht="16.5" customHeight="1">
      <c r="A39" s="369" t="s">
        <v>105</v>
      </c>
      <c r="B39" s="370" t="s">
        <v>106</v>
      </c>
      <c r="C39" s="369" t="s">
        <v>107</v>
      </c>
      <c r="D39" s="387">
        <f t="shared" si="10"/>
        <v>0</v>
      </c>
      <c r="E39" s="387">
        <f t="shared" si="1"/>
        <v>0</v>
      </c>
      <c r="F39" s="387">
        <f t="shared" si="12"/>
        <v>0</v>
      </c>
      <c r="G39" s="387"/>
      <c r="H39" s="387">
        <f t="shared" si="13"/>
        <v>0</v>
      </c>
      <c r="I39" s="387">
        <f t="shared" si="3"/>
        <v>0</v>
      </c>
      <c r="J39" s="387">
        <f t="shared" si="14"/>
        <v>0</v>
      </c>
      <c r="K39" s="387">
        <f t="shared" si="11"/>
        <v>0</v>
      </c>
      <c r="L39" s="387">
        <f t="shared" si="15"/>
        <v>0</v>
      </c>
      <c r="M39" s="387">
        <f t="shared" si="5"/>
        <v>0</v>
      </c>
      <c r="N39" s="387">
        <f t="shared" si="16"/>
        <v>0</v>
      </c>
      <c r="O39" s="386">
        <f t="shared" si="20"/>
        <v>0</v>
      </c>
      <c r="P39" s="387">
        <f t="shared" si="17"/>
        <v>0.04</v>
      </c>
      <c r="Q39" s="387">
        <f t="shared" si="7"/>
        <v>3.6363636363636364E-3</v>
      </c>
      <c r="R39" s="387">
        <f t="shared" si="18"/>
        <v>0</v>
      </c>
      <c r="S39" s="387">
        <f t="shared" si="8"/>
        <v>0</v>
      </c>
      <c r="T39" s="387">
        <f t="shared" si="19"/>
        <v>5.2800000000000011</v>
      </c>
      <c r="U39" s="387">
        <f t="shared" si="9"/>
        <v>0.40615384615384625</v>
      </c>
    </row>
    <row r="40" spans="1:21" ht="16.5" customHeight="1">
      <c r="A40" s="369" t="s">
        <v>108</v>
      </c>
      <c r="B40" s="370" t="s">
        <v>109</v>
      </c>
      <c r="C40" s="369" t="s">
        <v>110</v>
      </c>
      <c r="D40" s="387">
        <f t="shared" si="10"/>
        <v>0</v>
      </c>
      <c r="E40" s="387">
        <f t="shared" si="1"/>
        <v>0</v>
      </c>
      <c r="F40" s="387">
        <f t="shared" si="12"/>
        <v>0</v>
      </c>
      <c r="G40" s="387"/>
      <c r="H40" s="387">
        <f t="shared" si="13"/>
        <v>0</v>
      </c>
      <c r="I40" s="387">
        <f t="shared" si="3"/>
        <v>0</v>
      </c>
      <c r="J40" s="387">
        <f t="shared" si="14"/>
        <v>0</v>
      </c>
      <c r="K40" s="387">
        <f t="shared" si="11"/>
        <v>0</v>
      </c>
      <c r="L40" s="387">
        <f t="shared" si="15"/>
        <v>0</v>
      </c>
      <c r="M40" s="387">
        <f t="shared" si="5"/>
        <v>0</v>
      </c>
      <c r="N40" s="387">
        <f t="shared" si="16"/>
        <v>0</v>
      </c>
      <c r="O40" s="386">
        <f t="shared" si="20"/>
        <v>0</v>
      </c>
      <c r="P40" s="387">
        <f t="shared" si="17"/>
        <v>585.96</v>
      </c>
      <c r="Q40" s="387">
        <f t="shared" si="7"/>
        <v>53.269090909090906</v>
      </c>
      <c r="R40" s="387">
        <f t="shared" si="18"/>
        <v>443.63000000000005</v>
      </c>
      <c r="S40" s="387">
        <f t="shared" si="8"/>
        <v>64.20115774240233</v>
      </c>
      <c r="T40" s="387">
        <f t="shared" si="19"/>
        <v>2.0700000000000003</v>
      </c>
      <c r="U40" s="387">
        <f t="shared" si="9"/>
        <v>0.15923076923076926</v>
      </c>
    </row>
    <row r="41" spans="1:21" ht="16.5" customHeight="1">
      <c r="A41" s="369" t="s">
        <v>111</v>
      </c>
      <c r="B41" s="370" t="s">
        <v>112</v>
      </c>
      <c r="C41" s="369" t="s">
        <v>113</v>
      </c>
      <c r="D41" s="387">
        <f t="shared" si="10"/>
        <v>0.02</v>
      </c>
      <c r="E41" s="387">
        <f t="shared" si="1"/>
        <v>7.3656686185688503E-4</v>
      </c>
      <c r="F41" s="387">
        <f t="shared" si="12"/>
        <v>0</v>
      </c>
      <c r="G41" s="387"/>
      <c r="H41" s="387">
        <f t="shared" si="13"/>
        <v>4.2</v>
      </c>
      <c r="I41" s="387">
        <f t="shared" si="3"/>
        <v>0.30244113199395117</v>
      </c>
      <c r="J41" s="387">
        <f t="shared" si="14"/>
        <v>0</v>
      </c>
      <c r="K41" s="387">
        <f t="shared" si="11"/>
        <v>0</v>
      </c>
      <c r="L41" s="387">
        <f t="shared" si="15"/>
        <v>0</v>
      </c>
      <c r="M41" s="387">
        <f t="shared" si="5"/>
        <v>0</v>
      </c>
      <c r="N41" s="387">
        <f t="shared" si="16"/>
        <v>0</v>
      </c>
      <c r="O41" s="386">
        <f t="shared" si="20"/>
        <v>0</v>
      </c>
      <c r="P41" s="387">
        <f t="shared" si="17"/>
        <v>0</v>
      </c>
      <c r="Q41" s="387">
        <f t="shared" si="7"/>
        <v>0</v>
      </c>
      <c r="R41" s="387">
        <f t="shared" si="18"/>
        <v>0</v>
      </c>
      <c r="S41" s="387">
        <f t="shared" si="8"/>
        <v>0</v>
      </c>
      <c r="T41" s="387">
        <f t="shared" si="19"/>
        <v>10.379999999999999</v>
      </c>
      <c r="U41" s="387">
        <f t="shared" si="9"/>
        <v>0.79846153846153844</v>
      </c>
    </row>
    <row r="42" spans="1:21" ht="16.5" customHeight="1">
      <c r="A42" s="369" t="s">
        <v>114</v>
      </c>
      <c r="B42" s="370" t="s">
        <v>115</v>
      </c>
      <c r="C42" s="369" t="s">
        <v>116</v>
      </c>
      <c r="D42" s="387">
        <f t="shared" si="10"/>
        <v>5.7</v>
      </c>
      <c r="E42" s="387">
        <f t="shared" si="1"/>
        <v>0.20992155562921225</v>
      </c>
      <c r="F42" s="387">
        <f t="shared" si="12"/>
        <v>0</v>
      </c>
      <c r="G42" s="387"/>
      <c r="H42" s="387">
        <f t="shared" si="13"/>
        <v>23</v>
      </c>
      <c r="I42" s="387">
        <f t="shared" si="3"/>
        <v>1.6562252466335421</v>
      </c>
      <c r="J42" s="387">
        <f t="shared" si="14"/>
        <v>0</v>
      </c>
      <c r="K42" s="387">
        <f t="shared" si="11"/>
        <v>0</v>
      </c>
      <c r="L42" s="387">
        <f t="shared" si="15"/>
        <v>6.4</v>
      </c>
      <c r="M42" s="387">
        <f t="shared" si="5"/>
        <v>0.58240058240058235</v>
      </c>
      <c r="N42" s="387">
        <f t="shared" si="16"/>
        <v>0</v>
      </c>
      <c r="O42" s="386">
        <f t="shared" si="20"/>
        <v>0</v>
      </c>
      <c r="P42" s="387">
        <f t="shared" si="17"/>
        <v>0</v>
      </c>
      <c r="Q42" s="387">
        <f t="shared" si="7"/>
        <v>0</v>
      </c>
      <c r="R42" s="387">
        <f t="shared" si="18"/>
        <v>0</v>
      </c>
      <c r="S42" s="387">
        <f t="shared" si="8"/>
        <v>0</v>
      </c>
      <c r="T42" s="387">
        <f t="shared" si="19"/>
        <v>0</v>
      </c>
      <c r="U42" s="387">
        <f t="shared" si="9"/>
        <v>0</v>
      </c>
    </row>
    <row r="43" spans="1:21" ht="16.5" customHeight="1">
      <c r="A43" s="369" t="s">
        <v>117</v>
      </c>
      <c r="B43" s="370" t="s">
        <v>118</v>
      </c>
      <c r="C43" s="369" t="s">
        <v>119</v>
      </c>
      <c r="D43" s="387">
        <f t="shared" si="10"/>
        <v>0</v>
      </c>
      <c r="E43" s="387">
        <f t="shared" ref="E43:E44" si="21">D43/3405.8*100</f>
        <v>0</v>
      </c>
      <c r="F43" s="387">
        <f t="shared" si="12"/>
        <v>0</v>
      </c>
      <c r="G43" s="387"/>
      <c r="H43" s="387">
        <f t="shared" si="13"/>
        <v>0</v>
      </c>
      <c r="I43" s="387">
        <f t="shared" si="3"/>
        <v>0</v>
      </c>
      <c r="J43" s="387">
        <f t="shared" si="14"/>
        <v>0</v>
      </c>
      <c r="K43" s="387">
        <f t="shared" si="11"/>
        <v>0</v>
      </c>
      <c r="L43" s="387">
        <f t="shared" si="15"/>
        <v>0</v>
      </c>
      <c r="M43" s="387">
        <f t="shared" si="5"/>
        <v>0</v>
      </c>
      <c r="N43" s="387">
        <f t="shared" si="16"/>
        <v>0</v>
      </c>
      <c r="O43" s="386">
        <f t="shared" si="20"/>
        <v>0</v>
      </c>
      <c r="P43" s="387">
        <f t="shared" si="17"/>
        <v>11.98</v>
      </c>
      <c r="Q43" s="387">
        <f t="shared" si="7"/>
        <v>1.0890909090909091</v>
      </c>
      <c r="R43" s="387">
        <f t="shared" si="18"/>
        <v>0</v>
      </c>
      <c r="S43" s="387">
        <f t="shared" si="8"/>
        <v>0</v>
      </c>
      <c r="T43" s="387">
        <f t="shared" si="19"/>
        <v>0</v>
      </c>
      <c r="U43" s="387">
        <f t="shared" si="9"/>
        <v>0</v>
      </c>
    </row>
    <row r="44" spans="1:21" ht="16.5" customHeight="1">
      <c r="A44" s="369" t="s">
        <v>120</v>
      </c>
      <c r="B44" s="370" t="s">
        <v>121</v>
      </c>
      <c r="C44" s="369" t="s">
        <v>122</v>
      </c>
      <c r="D44" s="387">
        <f t="shared" si="10"/>
        <v>0</v>
      </c>
      <c r="E44" s="387">
        <f t="shared" si="21"/>
        <v>0</v>
      </c>
      <c r="F44" s="387">
        <f t="shared" si="12"/>
        <v>0</v>
      </c>
      <c r="G44" s="387"/>
      <c r="H44" s="387">
        <f t="shared" si="13"/>
        <v>0</v>
      </c>
      <c r="I44" s="387">
        <f t="shared" si="3"/>
        <v>0</v>
      </c>
      <c r="J44" s="387">
        <f t="shared" si="14"/>
        <v>0</v>
      </c>
      <c r="K44" s="387">
        <f t="shared" si="11"/>
        <v>0</v>
      </c>
      <c r="L44" s="387">
        <f t="shared" si="15"/>
        <v>0</v>
      </c>
      <c r="M44" s="387">
        <f t="shared" si="5"/>
        <v>0</v>
      </c>
      <c r="N44" s="387">
        <f t="shared" si="16"/>
        <v>0</v>
      </c>
      <c r="O44" s="386">
        <f t="shared" si="20"/>
        <v>0</v>
      </c>
      <c r="P44" s="387">
        <f t="shared" si="17"/>
        <v>0</v>
      </c>
      <c r="Q44" s="387">
        <f t="shared" si="7"/>
        <v>0</v>
      </c>
      <c r="R44" s="387">
        <f t="shared" si="18"/>
        <v>0</v>
      </c>
      <c r="S44" s="387">
        <f t="shared" si="8"/>
        <v>0</v>
      </c>
      <c r="T44" s="387">
        <f t="shared" si="19"/>
        <v>0</v>
      </c>
      <c r="U44" s="387">
        <f t="shared" si="9"/>
        <v>0</v>
      </c>
    </row>
    <row r="45" spans="1:21" s="53" customFormat="1" ht="16.5" customHeight="1">
      <c r="A45" s="367">
        <v>3</v>
      </c>
      <c r="B45" s="368" t="s">
        <v>123</v>
      </c>
      <c r="C45" s="367" t="s">
        <v>124</v>
      </c>
      <c r="D45" s="386">
        <f t="shared" si="10"/>
        <v>0</v>
      </c>
      <c r="E45" s="386">
        <f>D45/3435.66*100</f>
        <v>0</v>
      </c>
      <c r="F45" s="386">
        <f t="shared" si="12"/>
        <v>0</v>
      </c>
      <c r="G45" s="386"/>
      <c r="H45" s="386">
        <f t="shared" si="13"/>
        <v>11.2</v>
      </c>
      <c r="I45" s="386">
        <f t="shared" si="3"/>
        <v>0.80650968531720302</v>
      </c>
      <c r="J45" s="386">
        <f t="shared" si="14"/>
        <v>0</v>
      </c>
      <c r="K45" s="386">
        <f t="shared" si="11"/>
        <v>0</v>
      </c>
      <c r="L45" s="386">
        <f t="shared" si="15"/>
        <v>5.49</v>
      </c>
      <c r="M45" s="386">
        <f t="shared" si="5"/>
        <v>0.49959049959049956</v>
      </c>
      <c r="N45" s="386">
        <f t="shared" si="16"/>
        <v>0</v>
      </c>
      <c r="O45" s="386">
        <f t="shared" si="20"/>
        <v>0</v>
      </c>
      <c r="P45" s="386">
        <f t="shared" si="17"/>
        <v>0</v>
      </c>
      <c r="Q45" s="387">
        <f t="shared" si="7"/>
        <v>0</v>
      </c>
      <c r="R45" s="386">
        <f t="shared" si="18"/>
        <v>0</v>
      </c>
      <c r="S45" s="386">
        <f t="shared" si="8"/>
        <v>0</v>
      </c>
      <c r="T45" s="386">
        <f t="shared" si="19"/>
        <v>0</v>
      </c>
      <c r="U45" s="387">
        <f t="shared" si="9"/>
        <v>0</v>
      </c>
    </row>
    <row r="46" spans="1:21" ht="20.25" customHeight="1">
      <c r="A46" s="1355" t="s">
        <v>329</v>
      </c>
      <c r="B46" s="1355"/>
    </row>
    <row r="47" spans="1:21" ht="20.25" customHeight="1">
      <c r="A47" s="1252" t="s">
        <v>185</v>
      </c>
      <c r="B47" s="1252"/>
      <c r="C47" s="1252"/>
      <c r="D47" s="1252"/>
      <c r="E47" s="1252"/>
      <c r="F47" s="1252"/>
      <c r="G47" s="1252"/>
      <c r="H47" s="1252"/>
      <c r="I47" s="1252"/>
      <c r="J47" s="1252"/>
      <c r="K47" s="1252"/>
      <c r="L47" s="1252"/>
      <c r="M47" s="1252"/>
      <c r="N47" s="1252"/>
      <c r="O47" s="1252"/>
      <c r="P47" s="1252"/>
      <c r="Q47" s="1252"/>
      <c r="R47" s="1252"/>
      <c r="S47" s="1252"/>
      <c r="T47" s="1252"/>
      <c r="U47" s="1252"/>
    </row>
    <row r="48" spans="1:21" ht="18.75">
      <c r="A48" s="1252" t="s">
        <v>322</v>
      </c>
      <c r="B48" s="1252"/>
      <c r="C48" s="1252"/>
      <c r="D48" s="1252"/>
      <c r="E48" s="1252"/>
      <c r="F48" s="1252"/>
      <c r="G48" s="1252"/>
      <c r="H48" s="1252"/>
      <c r="I48" s="1252"/>
      <c r="J48" s="1252"/>
      <c r="K48" s="1252"/>
      <c r="L48" s="1252"/>
      <c r="M48" s="1252"/>
      <c r="N48" s="1252"/>
      <c r="O48" s="1252"/>
      <c r="P48" s="1252"/>
      <c r="Q48" s="1252"/>
      <c r="R48" s="1252"/>
      <c r="S48" s="1252"/>
      <c r="T48" s="1252"/>
      <c r="U48" s="1252"/>
    </row>
    <row r="49" spans="1:21" ht="18.75" customHeight="1"/>
    <row r="50" spans="1:21" ht="45" customHeight="1">
      <c r="A50" s="1280" t="s">
        <v>0</v>
      </c>
      <c r="B50" s="1280" t="s">
        <v>186</v>
      </c>
      <c r="C50" s="1280" t="s">
        <v>13</v>
      </c>
      <c r="D50" s="1280" t="s">
        <v>139</v>
      </c>
      <c r="E50" s="1280"/>
      <c r="F50" s="1280" t="s">
        <v>140</v>
      </c>
      <c r="G50" s="1280"/>
      <c r="H50" s="1280" t="s">
        <v>141</v>
      </c>
      <c r="I50" s="1280"/>
      <c r="J50" s="1280" t="s">
        <v>142</v>
      </c>
      <c r="K50" s="1280"/>
      <c r="L50" s="1280" t="s">
        <v>143</v>
      </c>
      <c r="M50" s="1280"/>
      <c r="N50" s="1280" t="s">
        <v>144</v>
      </c>
      <c r="O50" s="1280"/>
      <c r="P50" s="1280" t="s">
        <v>188</v>
      </c>
      <c r="Q50" s="1280"/>
      <c r="R50" s="1280" t="s">
        <v>145</v>
      </c>
      <c r="S50" s="1280"/>
      <c r="T50" s="1280" t="s">
        <v>146</v>
      </c>
      <c r="U50" s="1280"/>
    </row>
    <row r="51" spans="1:21" ht="48.75" customHeight="1">
      <c r="A51" s="1280"/>
      <c r="B51" s="1280"/>
      <c r="C51" s="1280"/>
      <c r="D51" s="358" t="s">
        <v>137</v>
      </c>
      <c r="E51" s="358" t="s">
        <v>187</v>
      </c>
      <c r="F51" s="358" t="s">
        <v>137</v>
      </c>
      <c r="G51" s="358" t="s">
        <v>187</v>
      </c>
      <c r="H51" s="358" t="s">
        <v>137</v>
      </c>
      <c r="I51" s="358" t="s">
        <v>187</v>
      </c>
      <c r="J51" s="358" t="s">
        <v>137</v>
      </c>
      <c r="K51" s="358" t="s">
        <v>187</v>
      </c>
      <c r="L51" s="358" t="s">
        <v>137</v>
      </c>
      <c r="M51" s="358" t="s">
        <v>187</v>
      </c>
      <c r="N51" s="358" t="s">
        <v>137</v>
      </c>
      <c r="O51" s="358" t="s">
        <v>187</v>
      </c>
      <c r="P51" s="358" t="s">
        <v>137</v>
      </c>
      <c r="Q51" s="358" t="s">
        <v>187</v>
      </c>
      <c r="R51" s="358" t="s">
        <v>137</v>
      </c>
      <c r="S51" s="358" t="s">
        <v>187</v>
      </c>
      <c r="T51" s="358" t="s">
        <v>137</v>
      </c>
      <c r="U51" s="358" t="s">
        <v>187</v>
      </c>
    </row>
    <row r="52" spans="1:21" ht="35.25" customHeight="1">
      <c r="A52" s="358">
        <v>1</v>
      </c>
      <c r="B52" s="370" t="s">
        <v>14</v>
      </c>
      <c r="C52" s="358" t="s">
        <v>15</v>
      </c>
      <c r="D52" s="358">
        <f>D53+D55+D56+D57+D58+D59+D60+D61+D62</f>
        <v>0</v>
      </c>
      <c r="E52" s="358">
        <f t="shared" ref="E52:U52" si="22">E53+E55+E56+E57+E58+E59+E60+E61+E62</f>
        <v>0</v>
      </c>
      <c r="F52" s="358">
        <f t="shared" si="22"/>
        <v>0</v>
      </c>
      <c r="G52" s="358">
        <f t="shared" si="22"/>
        <v>0</v>
      </c>
      <c r="H52" s="358">
        <f t="shared" si="22"/>
        <v>12</v>
      </c>
      <c r="I52" s="358">
        <f t="shared" si="22"/>
        <v>0</v>
      </c>
      <c r="J52" s="358">
        <f t="shared" si="22"/>
        <v>0</v>
      </c>
      <c r="K52" s="358">
        <f t="shared" si="22"/>
        <v>0</v>
      </c>
      <c r="L52" s="358">
        <f t="shared" si="22"/>
        <v>0</v>
      </c>
      <c r="M52" s="358">
        <f t="shared" si="22"/>
        <v>0</v>
      </c>
      <c r="N52" s="358">
        <f t="shared" si="22"/>
        <v>0</v>
      </c>
      <c r="O52" s="358">
        <f t="shared" si="22"/>
        <v>0</v>
      </c>
      <c r="P52" s="358">
        <f t="shared" si="22"/>
        <v>0</v>
      </c>
      <c r="Q52" s="358">
        <f t="shared" si="22"/>
        <v>0</v>
      </c>
      <c r="R52" s="358">
        <f t="shared" si="22"/>
        <v>0</v>
      </c>
      <c r="S52" s="358">
        <f t="shared" si="22"/>
        <v>0</v>
      </c>
      <c r="T52" s="358">
        <f t="shared" si="22"/>
        <v>0</v>
      </c>
      <c r="U52" s="358">
        <f t="shared" si="22"/>
        <v>0</v>
      </c>
    </row>
    <row r="53" spans="1:21" ht="20.25" customHeight="1">
      <c r="A53" s="358" t="s">
        <v>16</v>
      </c>
      <c r="B53" s="370" t="s">
        <v>17</v>
      </c>
      <c r="C53" s="358" t="s">
        <v>18</v>
      </c>
      <c r="D53" s="358">
        <f>D54</f>
        <v>0</v>
      </c>
      <c r="E53" s="358">
        <f t="shared" ref="E53:U53" si="23">E54</f>
        <v>0</v>
      </c>
      <c r="F53" s="358">
        <f t="shared" si="23"/>
        <v>0</v>
      </c>
      <c r="G53" s="358">
        <f t="shared" si="23"/>
        <v>0</v>
      </c>
      <c r="H53" s="358">
        <f t="shared" si="23"/>
        <v>0</v>
      </c>
      <c r="I53" s="358">
        <f t="shared" si="23"/>
        <v>0</v>
      </c>
      <c r="J53" s="358">
        <f t="shared" si="23"/>
        <v>0</v>
      </c>
      <c r="K53" s="358">
        <f t="shared" si="23"/>
        <v>0</v>
      </c>
      <c r="L53" s="358">
        <f t="shared" si="23"/>
        <v>0</v>
      </c>
      <c r="M53" s="358">
        <f t="shared" si="23"/>
        <v>0</v>
      </c>
      <c r="N53" s="358">
        <f t="shared" si="23"/>
        <v>0</v>
      </c>
      <c r="O53" s="358">
        <f t="shared" si="23"/>
        <v>0</v>
      </c>
      <c r="P53" s="358">
        <f t="shared" si="23"/>
        <v>0</v>
      </c>
      <c r="Q53" s="358">
        <f t="shared" si="23"/>
        <v>0</v>
      </c>
      <c r="R53" s="358">
        <f t="shared" si="23"/>
        <v>0</v>
      </c>
      <c r="S53" s="358">
        <f t="shared" si="23"/>
        <v>0</v>
      </c>
      <c r="T53" s="358">
        <f t="shared" si="23"/>
        <v>0</v>
      </c>
      <c r="U53" s="358">
        <f t="shared" si="23"/>
        <v>0</v>
      </c>
    </row>
    <row r="54" spans="1:21" ht="20.25" customHeight="1">
      <c r="A54" s="358"/>
      <c r="B54" s="370" t="s">
        <v>19</v>
      </c>
      <c r="C54" s="358" t="s">
        <v>20</v>
      </c>
      <c r="D54" s="358"/>
      <c r="E54" s="358"/>
      <c r="F54" s="358"/>
      <c r="G54" s="358"/>
      <c r="H54" s="358"/>
      <c r="I54" s="358"/>
      <c r="J54" s="358"/>
      <c r="K54" s="358"/>
      <c r="L54" s="358"/>
      <c r="M54" s="358"/>
      <c r="N54" s="358"/>
      <c r="O54" s="358"/>
      <c r="P54" s="358"/>
      <c r="Q54" s="358"/>
      <c r="R54" s="358"/>
      <c r="S54" s="358"/>
      <c r="T54" s="358"/>
      <c r="U54" s="358"/>
    </row>
    <row r="55" spans="1:21" ht="20.25" customHeight="1">
      <c r="A55" s="358" t="s">
        <v>21</v>
      </c>
      <c r="B55" s="370" t="s">
        <v>22</v>
      </c>
      <c r="C55" s="358" t="s">
        <v>23</v>
      </c>
      <c r="D55" s="358"/>
      <c r="E55" s="358"/>
      <c r="F55" s="358"/>
      <c r="G55" s="358"/>
      <c r="H55" s="358"/>
      <c r="I55" s="358"/>
      <c r="J55" s="358"/>
      <c r="K55" s="358"/>
      <c r="L55" s="358"/>
      <c r="M55" s="358"/>
      <c r="N55" s="358"/>
      <c r="O55" s="358"/>
      <c r="P55" s="358"/>
      <c r="Q55" s="358"/>
      <c r="R55" s="358"/>
      <c r="S55" s="358"/>
      <c r="T55" s="358"/>
      <c r="U55" s="358"/>
    </row>
    <row r="56" spans="1:21" ht="20.25" customHeight="1">
      <c r="A56" s="358" t="s">
        <v>24</v>
      </c>
      <c r="B56" s="370" t="s">
        <v>25</v>
      </c>
      <c r="C56" s="358" t="s">
        <v>26</v>
      </c>
      <c r="D56" s="358"/>
      <c r="E56" s="358"/>
      <c r="F56" s="358"/>
      <c r="G56" s="358"/>
      <c r="H56" s="358"/>
      <c r="I56" s="358"/>
      <c r="J56" s="358"/>
      <c r="K56" s="358"/>
      <c r="L56" s="358"/>
      <c r="M56" s="358"/>
      <c r="N56" s="358"/>
      <c r="O56" s="358"/>
      <c r="P56" s="358"/>
      <c r="Q56" s="358"/>
      <c r="R56" s="358"/>
      <c r="S56" s="358"/>
      <c r="T56" s="358"/>
      <c r="U56" s="358"/>
    </row>
    <row r="57" spans="1:21" ht="20.25" customHeight="1">
      <c r="A57" s="358" t="s">
        <v>27</v>
      </c>
      <c r="B57" s="370" t="s">
        <v>28</v>
      </c>
      <c r="C57" s="358" t="s">
        <v>29</v>
      </c>
      <c r="D57" s="358"/>
      <c r="E57" s="358"/>
      <c r="F57" s="358"/>
      <c r="G57" s="358"/>
      <c r="H57" s="358">
        <v>12</v>
      </c>
      <c r="I57" s="358"/>
      <c r="J57" s="358"/>
      <c r="K57" s="358"/>
      <c r="L57" s="358"/>
      <c r="M57" s="358"/>
      <c r="N57" s="358"/>
      <c r="O57" s="358"/>
      <c r="P57" s="358"/>
      <c r="Q57" s="358"/>
      <c r="R57" s="358"/>
      <c r="S57" s="358"/>
      <c r="T57" s="358"/>
      <c r="U57" s="358"/>
    </row>
    <row r="58" spans="1:21" ht="20.25" customHeight="1">
      <c r="A58" s="358" t="s">
        <v>30</v>
      </c>
      <c r="B58" s="370" t="s">
        <v>31</v>
      </c>
      <c r="C58" s="358" t="s">
        <v>32</v>
      </c>
      <c r="D58" s="358"/>
      <c r="E58" s="358"/>
      <c r="F58" s="358"/>
      <c r="G58" s="358"/>
      <c r="H58" s="358"/>
      <c r="I58" s="358"/>
      <c r="J58" s="358"/>
      <c r="K58" s="358"/>
      <c r="L58" s="358"/>
      <c r="M58" s="358"/>
      <c r="N58" s="358"/>
      <c r="O58" s="358"/>
      <c r="P58" s="358"/>
      <c r="Q58" s="358"/>
      <c r="R58" s="358"/>
      <c r="S58" s="358"/>
      <c r="T58" s="358"/>
      <c r="U58" s="358"/>
    </row>
    <row r="59" spans="1:21" ht="20.25" customHeight="1">
      <c r="A59" s="358" t="s">
        <v>33</v>
      </c>
      <c r="B59" s="370" t="s">
        <v>34</v>
      </c>
      <c r="C59" s="358" t="s">
        <v>35</v>
      </c>
      <c r="D59" s="358"/>
      <c r="E59" s="358"/>
      <c r="F59" s="358"/>
      <c r="G59" s="358"/>
      <c r="H59" s="358"/>
      <c r="I59" s="358"/>
      <c r="J59" s="358"/>
      <c r="K59" s="358"/>
      <c r="L59" s="358"/>
      <c r="M59" s="358"/>
      <c r="N59" s="358"/>
      <c r="O59" s="358"/>
      <c r="P59" s="358"/>
      <c r="Q59" s="358"/>
      <c r="R59" s="358"/>
      <c r="S59" s="358"/>
      <c r="T59" s="358"/>
      <c r="U59" s="358"/>
    </row>
    <row r="60" spans="1:21" ht="20.25" customHeight="1">
      <c r="A60" s="358" t="s">
        <v>36</v>
      </c>
      <c r="B60" s="370" t="s">
        <v>37</v>
      </c>
      <c r="C60" s="358" t="s">
        <v>38</v>
      </c>
      <c r="D60" s="358"/>
      <c r="E60" s="358"/>
      <c r="F60" s="358"/>
      <c r="G60" s="358"/>
      <c r="H60" s="358"/>
      <c r="I60" s="358"/>
      <c r="J60" s="358"/>
      <c r="K60" s="358"/>
      <c r="L60" s="358"/>
      <c r="M60" s="358"/>
      <c r="N60" s="358"/>
      <c r="O60" s="358"/>
      <c r="P60" s="358"/>
      <c r="Q60" s="358"/>
      <c r="R60" s="358"/>
      <c r="S60" s="358"/>
      <c r="T60" s="358"/>
      <c r="U60" s="358"/>
    </row>
    <row r="61" spans="1:21" ht="20.25" customHeight="1">
      <c r="A61" s="358" t="s">
        <v>39</v>
      </c>
      <c r="B61" s="370" t="s">
        <v>40</v>
      </c>
      <c r="C61" s="358" t="s">
        <v>41</v>
      </c>
      <c r="D61" s="358"/>
      <c r="E61" s="358"/>
      <c r="F61" s="358"/>
      <c r="G61" s="358"/>
      <c r="H61" s="358"/>
      <c r="I61" s="358"/>
      <c r="J61" s="358"/>
      <c r="K61" s="358"/>
      <c r="L61" s="358"/>
      <c r="M61" s="358"/>
      <c r="N61" s="358"/>
      <c r="O61" s="358"/>
      <c r="P61" s="358"/>
      <c r="Q61" s="358"/>
      <c r="R61" s="358"/>
      <c r="S61" s="358"/>
      <c r="T61" s="358"/>
      <c r="U61" s="358"/>
    </row>
    <row r="62" spans="1:21" ht="20.25" customHeight="1">
      <c r="A62" s="358">
        <v>2</v>
      </c>
      <c r="B62" s="370" t="s">
        <v>43</v>
      </c>
      <c r="C62" s="358" t="s">
        <v>44</v>
      </c>
      <c r="D62" s="358"/>
      <c r="E62" s="358"/>
      <c r="F62" s="358"/>
      <c r="G62" s="358"/>
      <c r="H62" s="358"/>
      <c r="I62" s="358"/>
      <c r="J62" s="358"/>
      <c r="K62" s="358"/>
      <c r="L62" s="358"/>
      <c r="M62" s="358"/>
      <c r="N62" s="358"/>
      <c r="O62" s="358"/>
      <c r="P62" s="358"/>
      <c r="Q62" s="358"/>
      <c r="R62" s="358"/>
      <c r="S62" s="358"/>
      <c r="T62" s="358"/>
      <c r="U62" s="358"/>
    </row>
    <row r="63" spans="1:21" ht="20.25" customHeight="1">
      <c r="A63" s="358">
        <v>2</v>
      </c>
      <c r="B63" s="370" t="s">
        <v>45</v>
      </c>
      <c r="C63" s="358" t="s">
        <v>46</v>
      </c>
      <c r="D63" s="358">
        <f>SUM(D64:D89)</f>
        <v>0</v>
      </c>
      <c r="E63" s="358">
        <f t="shared" ref="E63:U63" si="24">SUM(E64:E89)</f>
        <v>0</v>
      </c>
      <c r="F63" s="358">
        <f t="shared" si="24"/>
        <v>0</v>
      </c>
      <c r="G63" s="358">
        <f t="shared" si="24"/>
        <v>0</v>
      </c>
      <c r="H63" s="358">
        <f t="shared" si="24"/>
        <v>0</v>
      </c>
      <c r="I63" s="358">
        <f t="shared" si="24"/>
        <v>0</v>
      </c>
      <c r="J63" s="358">
        <f t="shared" si="24"/>
        <v>0</v>
      </c>
      <c r="K63" s="358">
        <f t="shared" si="24"/>
        <v>0</v>
      </c>
      <c r="L63" s="358">
        <f t="shared" si="24"/>
        <v>0</v>
      </c>
      <c r="M63" s="358">
        <f t="shared" si="24"/>
        <v>0</v>
      </c>
      <c r="N63" s="358">
        <f t="shared" si="24"/>
        <v>0</v>
      </c>
      <c r="O63" s="358">
        <f t="shared" si="24"/>
        <v>0</v>
      </c>
      <c r="P63" s="358">
        <f t="shared" si="24"/>
        <v>88.02000000000001</v>
      </c>
      <c r="Q63" s="358">
        <f t="shared" si="24"/>
        <v>0</v>
      </c>
      <c r="R63" s="358">
        <f t="shared" si="24"/>
        <v>0</v>
      </c>
      <c r="S63" s="358">
        <f t="shared" si="24"/>
        <v>0</v>
      </c>
      <c r="T63" s="358">
        <f t="shared" si="24"/>
        <v>0</v>
      </c>
      <c r="U63" s="358">
        <f t="shared" si="24"/>
        <v>0</v>
      </c>
    </row>
    <row r="64" spans="1:21" ht="20.25" customHeight="1">
      <c r="A64" s="358" t="s">
        <v>47</v>
      </c>
      <c r="B64" s="370" t="s">
        <v>48</v>
      </c>
      <c r="C64" s="358" t="s">
        <v>49</v>
      </c>
      <c r="D64" s="358"/>
      <c r="E64" s="358"/>
      <c r="F64" s="358"/>
      <c r="G64" s="358"/>
      <c r="H64" s="358"/>
      <c r="I64" s="358"/>
      <c r="J64" s="358"/>
      <c r="K64" s="358"/>
      <c r="L64" s="358"/>
      <c r="M64" s="358"/>
      <c r="N64" s="358"/>
      <c r="O64" s="358"/>
      <c r="P64" s="358"/>
      <c r="Q64" s="358"/>
      <c r="R64" s="358"/>
      <c r="S64" s="358"/>
      <c r="T64" s="358"/>
      <c r="U64" s="358"/>
    </row>
    <row r="65" spans="1:21" ht="20.25" customHeight="1">
      <c r="A65" s="358" t="s">
        <v>50</v>
      </c>
      <c r="B65" s="370" t="s">
        <v>51</v>
      </c>
      <c r="C65" s="358" t="s">
        <v>52</v>
      </c>
      <c r="D65" s="358"/>
      <c r="E65" s="358"/>
      <c r="F65" s="358"/>
      <c r="G65" s="358"/>
      <c r="H65" s="358"/>
      <c r="I65" s="358"/>
      <c r="J65" s="358"/>
      <c r="K65" s="358"/>
      <c r="L65" s="358"/>
      <c r="M65" s="358"/>
      <c r="N65" s="358"/>
      <c r="O65" s="358"/>
      <c r="P65" s="358"/>
      <c r="Q65" s="358"/>
      <c r="R65" s="358"/>
      <c r="S65" s="358"/>
      <c r="T65" s="358"/>
      <c r="U65" s="358"/>
    </row>
    <row r="66" spans="1:21" ht="20.25" customHeight="1">
      <c r="A66" s="358" t="s">
        <v>53</v>
      </c>
      <c r="B66" s="370" t="s">
        <v>54</v>
      </c>
      <c r="C66" s="358" t="s">
        <v>55</v>
      </c>
      <c r="D66" s="358"/>
      <c r="E66" s="358"/>
      <c r="F66" s="358"/>
      <c r="G66" s="358"/>
      <c r="H66" s="358"/>
      <c r="I66" s="358"/>
      <c r="J66" s="358"/>
      <c r="K66" s="358"/>
      <c r="L66" s="358"/>
      <c r="M66" s="358"/>
      <c r="N66" s="358"/>
      <c r="O66" s="358"/>
      <c r="P66" s="358"/>
      <c r="Q66" s="358"/>
      <c r="R66" s="358"/>
      <c r="S66" s="358"/>
      <c r="T66" s="358"/>
      <c r="U66" s="358"/>
    </row>
    <row r="67" spans="1:21" ht="20.25" customHeight="1">
      <c r="A67" s="358" t="s">
        <v>56</v>
      </c>
      <c r="B67" s="370" t="s">
        <v>57</v>
      </c>
      <c r="C67" s="358" t="s">
        <v>58</v>
      </c>
      <c r="D67" s="358"/>
      <c r="E67" s="358"/>
      <c r="F67" s="358"/>
      <c r="G67" s="358"/>
      <c r="H67" s="358"/>
      <c r="I67" s="358"/>
      <c r="J67" s="358"/>
      <c r="K67" s="358"/>
      <c r="L67" s="358"/>
      <c r="M67" s="358"/>
      <c r="N67" s="358"/>
      <c r="O67" s="358"/>
      <c r="P67" s="358"/>
      <c r="Q67" s="358"/>
      <c r="R67" s="358"/>
      <c r="S67" s="358"/>
      <c r="T67" s="358"/>
      <c r="U67" s="358"/>
    </row>
    <row r="68" spans="1:21" ht="20.25" customHeight="1">
      <c r="A68" s="358" t="s">
        <v>59</v>
      </c>
      <c r="B68" s="370" t="s">
        <v>60</v>
      </c>
      <c r="C68" s="358" t="s">
        <v>61</v>
      </c>
      <c r="D68" s="358"/>
      <c r="E68" s="358"/>
      <c r="F68" s="358"/>
      <c r="G68" s="358"/>
      <c r="H68" s="358"/>
      <c r="I68" s="358"/>
      <c r="J68" s="358"/>
      <c r="K68" s="358"/>
      <c r="L68" s="358"/>
      <c r="M68" s="358"/>
      <c r="N68" s="358"/>
      <c r="O68" s="358"/>
      <c r="P68" s="358"/>
      <c r="Q68" s="358"/>
      <c r="R68" s="358"/>
      <c r="S68" s="358"/>
      <c r="T68" s="358"/>
      <c r="U68" s="358"/>
    </row>
    <row r="69" spans="1:21" ht="20.25" customHeight="1">
      <c r="A69" s="358" t="s">
        <v>62</v>
      </c>
      <c r="B69" s="370" t="s">
        <v>63</v>
      </c>
      <c r="C69" s="358" t="s">
        <v>64</v>
      </c>
      <c r="D69" s="358"/>
      <c r="E69" s="358"/>
      <c r="F69" s="358"/>
      <c r="G69" s="358"/>
      <c r="H69" s="358"/>
      <c r="I69" s="358"/>
      <c r="J69" s="358"/>
      <c r="K69" s="358"/>
      <c r="L69" s="358"/>
      <c r="M69" s="358"/>
      <c r="N69" s="358"/>
      <c r="O69" s="358"/>
      <c r="P69" s="358">
        <f>6+0.7+0.27+0.18</f>
        <v>7.15</v>
      </c>
      <c r="Q69" s="358"/>
      <c r="R69" s="358"/>
      <c r="S69" s="358"/>
      <c r="T69" s="358"/>
      <c r="U69" s="358"/>
    </row>
    <row r="70" spans="1:21" ht="20.25" customHeight="1">
      <c r="A70" s="358" t="s">
        <v>65</v>
      </c>
      <c r="B70" s="370" t="s">
        <v>66</v>
      </c>
      <c r="C70" s="358" t="s">
        <v>67</v>
      </c>
      <c r="D70" s="358"/>
      <c r="E70" s="358"/>
      <c r="F70" s="358"/>
      <c r="G70" s="358"/>
      <c r="H70" s="358"/>
      <c r="I70" s="358"/>
      <c r="J70" s="358"/>
      <c r="K70" s="358"/>
      <c r="L70" s="358"/>
      <c r="M70" s="358"/>
      <c r="N70" s="358"/>
      <c r="O70" s="358"/>
      <c r="P70" s="358"/>
      <c r="Q70" s="358"/>
      <c r="R70" s="358"/>
      <c r="S70" s="358"/>
      <c r="T70" s="358"/>
      <c r="U70" s="358"/>
    </row>
    <row r="71" spans="1:21" ht="20.25" customHeight="1">
      <c r="A71" s="358" t="s">
        <v>68</v>
      </c>
      <c r="B71" s="370" t="s">
        <v>69</v>
      </c>
      <c r="C71" s="358" t="s">
        <v>70</v>
      </c>
      <c r="D71" s="358"/>
      <c r="E71" s="358"/>
      <c r="F71" s="358"/>
      <c r="G71" s="358"/>
      <c r="H71" s="358"/>
      <c r="I71" s="358"/>
      <c r="J71" s="358"/>
      <c r="K71" s="358"/>
      <c r="L71" s="358"/>
      <c r="M71" s="358"/>
      <c r="N71" s="358"/>
      <c r="O71" s="358"/>
      <c r="P71" s="358"/>
      <c r="Q71" s="358"/>
      <c r="R71" s="358"/>
      <c r="S71" s="358"/>
      <c r="T71" s="358"/>
      <c r="U71" s="358"/>
    </row>
    <row r="72" spans="1:21" ht="29.25" customHeight="1">
      <c r="A72" s="358" t="s">
        <v>71</v>
      </c>
      <c r="B72" s="370" t="s">
        <v>135</v>
      </c>
      <c r="C72" s="358" t="s">
        <v>72</v>
      </c>
      <c r="D72" s="358"/>
      <c r="E72" s="358"/>
      <c r="F72" s="358"/>
      <c r="G72" s="358"/>
      <c r="H72" s="358"/>
      <c r="I72" s="358"/>
      <c r="J72" s="358"/>
      <c r="K72" s="358"/>
      <c r="L72" s="358"/>
      <c r="M72" s="358"/>
      <c r="N72" s="358"/>
      <c r="O72" s="358"/>
      <c r="P72" s="358">
        <f>0.78+20+1.29</f>
        <v>22.07</v>
      </c>
      <c r="Q72" s="358"/>
      <c r="R72" s="358"/>
      <c r="S72" s="358"/>
      <c r="T72" s="358"/>
      <c r="U72" s="358"/>
    </row>
    <row r="73" spans="1:21" ht="21.75" customHeight="1">
      <c r="A73" s="358" t="s">
        <v>73</v>
      </c>
      <c r="B73" s="370" t="s">
        <v>74</v>
      </c>
      <c r="C73" s="358" t="s">
        <v>75</v>
      </c>
      <c r="D73" s="358"/>
      <c r="E73" s="358"/>
      <c r="F73" s="358"/>
      <c r="G73" s="358"/>
      <c r="H73" s="358"/>
      <c r="I73" s="358"/>
      <c r="J73" s="358"/>
      <c r="K73" s="358"/>
      <c r="L73" s="358"/>
      <c r="M73" s="358"/>
      <c r="N73" s="358"/>
      <c r="O73" s="358"/>
      <c r="P73" s="358"/>
      <c r="Q73" s="358"/>
      <c r="R73" s="358"/>
      <c r="S73" s="358"/>
      <c r="T73" s="358"/>
      <c r="U73" s="358"/>
    </row>
    <row r="74" spans="1:21" ht="20.25" customHeight="1">
      <c r="A74" s="358" t="s">
        <v>76</v>
      </c>
      <c r="B74" s="370" t="s">
        <v>77</v>
      </c>
      <c r="C74" s="358" t="s">
        <v>78</v>
      </c>
      <c r="D74" s="358"/>
      <c r="E74" s="358"/>
      <c r="F74" s="358"/>
      <c r="G74" s="358"/>
      <c r="H74" s="358"/>
      <c r="I74" s="358"/>
      <c r="J74" s="358"/>
      <c r="K74" s="358"/>
      <c r="L74" s="358"/>
      <c r="M74" s="358"/>
      <c r="N74" s="358"/>
      <c r="O74" s="358"/>
      <c r="P74" s="358"/>
      <c r="Q74" s="358"/>
      <c r="R74" s="358"/>
      <c r="S74" s="358"/>
      <c r="T74" s="358"/>
      <c r="U74" s="358"/>
    </row>
    <row r="75" spans="1:21" ht="20.25" customHeight="1">
      <c r="A75" s="358" t="s">
        <v>79</v>
      </c>
      <c r="B75" s="370" t="s">
        <v>80</v>
      </c>
      <c r="C75" s="358" t="s">
        <v>81</v>
      </c>
      <c r="D75" s="358"/>
      <c r="E75" s="358"/>
      <c r="F75" s="358"/>
      <c r="G75" s="358"/>
      <c r="H75" s="358"/>
      <c r="I75" s="358"/>
      <c r="J75" s="358"/>
      <c r="K75" s="358"/>
      <c r="L75" s="358"/>
      <c r="M75" s="358"/>
      <c r="N75" s="358"/>
      <c r="O75" s="358"/>
      <c r="P75" s="358"/>
      <c r="Q75" s="358"/>
      <c r="R75" s="358"/>
      <c r="S75" s="358"/>
      <c r="T75" s="358"/>
      <c r="U75" s="358"/>
    </row>
    <row r="76" spans="1:21" ht="20.25" customHeight="1">
      <c r="A76" s="358" t="s">
        <v>82</v>
      </c>
      <c r="B76" s="370" t="s">
        <v>83</v>
      </c>
      <c r="C76" s="358" t="s">
        <v>84</v>
      </c>
      <c r="D76" s="358"/>
      <c r="E76" s="358"/>
      <c r="F76" s="358"/>
      <c r="G76" s="358"/>
      <c r="H76" s="358"/>
      <c r="I76" s="358"/>
      <c r="J76" s="358"/>
      <c r="K76" s="358"/>
      <c r="L76" s="358"/>
      <c r="M76" s="358"/>
      <c r="N76" s="358"/>
      <c r="O76" s="358"/>
      <c r="P76" s="358"/>
      <c r="Q76" s="358"/>
      <c r="R76" s="358"/>
      <c r="S76" s="358"/>
      <c r="T76" s="358"/>
      <c r="U76" s="358"/>
    </row>
    <row r="77" spans="1:21" ht="20.25" customHeight="1">
      <c r="A77" s="358" t="s">
        <v>85</v>
      </c>
      <c r="B77" s="370" t="s">
        <v>86</v>
      </c>
      <c r="C77" s="358" t="s">
        <v>87</v>
      </c>
      <c r="D77" s="358"/>
      <c r="E77" s="358"/>
      <c r="F77" s="358"/>
      <c r="G77" s="358"/>
      <c r="H77" s="358"/>
      <c r="I77" s="358"/>
      <c r="J77" s="358"/>
      <c r="K77" s="358"/>
      <c r="L77" s="358"/>
      <c r="M77" s="358"/>
      <c r="N77" s="358"/>
      <c r="O77" s="358"/>
      <c r="P77" s="358">
        <v>58.5</v>
      </c>
      <c r="Q77" s="358"/>
      <c r="R77" s="358"/>
      <c r="S77" s="358"/>
      <c r="T77" s="358"/>
      <c r="U77" s="358"/>
    </row>
    <row r="78" spans="1:21" ht="20.25" customHeight="1">
      <c r="A78" s="358" t="s">
        <v>88</v>
      </c>
      <c r="B78" s="370" t="s">
        <v>89</v>
      </c>
      <c r="C78" s="358" t="s">
        <v>90</v>
      </c>
      <c r="D78" s="358"/>
      <c r="E78" s="358"/>
      <c r="F78" s="358"/>
      <c r="G78" s="358"/>
      <c r="H78" s="358"/>
      <c r="I78" s="358"/>
      <c r="J78" s="358"/>
      <c r="K78" s="358"/>
      <c r="L78" s="358"/>
      <c r="M78" s="358"/>
      <c r="N78" s="358"/>
      <c r="O78" s="358"/>
      <c r="P78" s="358"/>
      <c r="Q78" s="358"/>
      <c r="R78" s="358"/>
      <c r="S78" s="358"/>
      <c r="T78" s="358"/>
      <c r="U78" s="358"/>
    </row>
    <row r="79" spans="1:21" ht="30" customHeight="1">
      <c r="A79" s="358" t="s">
        <v>91</v>
      </c>
      <c r="B79" s="370" t="s">
        <v>92</v>
      </c>
      <c r="C79" s="358" t="s">
        <v>93</v>
      </c>
      <c r="D79" s="358"/>
      <c r="E79" s="358"/>
      <c r="F79" s="358"/>
      <c r="G79" s="358"/>
      <c r="H79" s="358"/>
      <c r="I79" s="358"/>
      <c r="J79" s="358"/>
      <c r="K79" s="358"/>
      <c r="L79" s="358"/>
      <c r="M79" s="358"/>
      <c r="N79" s="358"/>
      <c r="O79" s="358"/>
      <c r="P79" s="358">
        <v>0.26</v>
      </c>
      <c r="Q79" s="358"/>
      <c r="R79" s="358"/>
      <c r="S79" s="358"/>
      <c r="T79" s="358"/>
      <c r="U79" s="358"/>
    </row>
    <row r="80" spans="1:21" ht="20.25" customHeight="1">
      <c r="A80" s="358" t="s">
        <v>94</v>
      </c>
      <c r="B80" s="370" t="s">
        <v>95</v>
      </c>
      <c r="C80" s="358" t="s">
        <v>96</v>
      </c>
      <c r="D80" s="358"/>
      <c r="E80" s="358"/>
      <c r="F80" s="358"/>
      <c r="G80" s="358"/>
      <c r="H80" s="358"/>
      <c r="I80" s="358"/>
      <c r="J80" s="358"/>
      <c r="K80" s="358"/>
      <c r="L80" s="358"/>
      <c r="M80" s="358"/>
      <c r="N80" s="358"/>
      <c r="O80" s="358"/>
      <c r="P80" s="358"/>
      <c r="Q80" s="358"/>
      <c r="R80" s="358"/>
      <c r="S80" s="358"/>
      <c r="T80" s="358"/>
      <c r="U80" s="358"/>
    </row>
    <row r="81" spans="1:21" ht="20.25" customHeight="1">
      <c r="A81" s="358" t="s">
        <v>97</v>
      </c>
      <c r="B81" s="370" t="s">
        <v>98</v>
      </c>
      <c r="C81" s="358" t="s">
        <v>99</v>
      </c>
      <c r="D81" s="358"/>
      <c r="E81" s="358"/>
      <c r="F81" s="358"/>
      <c r="G81" s="358"/>
      <c r="H81" s="358"/>
      <c r="I81" s="358"/>
      <c r="J81" s="358"/>
      <c r="K81" s="358"/>
      <c r="L81" s="358"/>
      <c r="M81" s="358"/>
      <c r="N81" s="358"/>
      <c r="O81" s="358"/>
      <c r="P81" s="358"/>
      <c r="Q81" s="358"/>
      <c r="R81" s="358"/>
      <c r="S81" s="358"/>
      <c r="T81" s="358"/>
      <c r="U81" s="358"/>
    </row>
    <row r="82" spans="1:21" ht="30.75" customHeight="1">
      <c r="A82" s="358" t="s">
        <v>100</v>
      </c>
      <c r="B82" s="370" t="s">
        <v>134</v>
      </c>
      <c r="C82" s="358" t="s">
        <v>101</v>
      </c>
      <c r="D82" s="358"/>
      <c r="E82" s="358"/>
      <c r="F82" s="358"/>
      <c r="G82" s="358"/>
      <c r="H82" s="358"/>
      <c r="I82" s="358"/>
      <c r="J82" s="358"/>
      <c r="K82" s="358"/>
      <c r="L82" s="358"/>
      <c r="M82" s="358"/>
      <c r="N82" s="358"/>
      <c r="O82" s="358"/>
      <c r="P82" s="358"/>
      <c r="Q82" s="358"/>
      <c r="R82" s="358"/>
      <c r="S82" s="358"/>
      <c r="T82" s="358"/>
      <c r="U82" s="358"/>
    </row>
    <row r="83" spans="1:21" ht="33" customHeight="1">
      <c r="A83" s="358" t="s">
        <v>102</v>
      </c>
      <c r="B83" s="370" t="s">
        <v>103</v>
      </c>
      <c r="C83" s="358" t="s">
        <v>104</v>
      </c>
      <c r="D83" s="358"/>
      <c r="E83" s="358"/>
      <c r="F83" s="358"/>
      <c r="G83" s="358"/>
      <c r="H83" s="358"/>
      <c r="I83" s="358"/>
      <c r="J83" s="358"/>
      <c r="K83" s="358"/>
      <c r="L83" s="358"/>
      <c r="M83" s="358"/>
      <c r="N83" s="358"/>
      <c r="O83" s="358"/>
      <c r="P83" s="358"/>
      <c r="Q83" s="358"/>
      <c r="R83" s="358"/>
      <c r="S83" s="358"/>
      <c r="T83" s="358"/>
      <c r="U83" s="358"/>
    </row>
    <row r="84" spans="1:21" ht="20.25" customHeight="1">
      <c r="A84" s="358" t="s">
        <v>105</v>
      </c>
      <c r="B84" s="370" t="s">
        <v>106</v>
      </c>
      <c r="C84" s="358" t="s">
        <v>107</v>
      </c>
      <c r="D84" s="358"/>
      <c r="E84" s="358"/>
      <c r="F84" s="358"/>
      <c r="G84" s="358"/>
      <c r="H84" s="358"/>
      <c r="I84" s="358"/>
      <c r="J84" s="358"/>
      <c r="K84" s="358"/>
      <c r="L84" s="358"/>
      <c r="M84" s="358"/>
      <c r="N84" s="358"/>
      <c r="O84" s="358"/>
      <c r="P84" s="358">
        <v>0.04</v>
      </c>
      <c r="Q84" s="358"/>
      <c r="R84" s="358"/>
      <c r="S84" s="358"/>
      <c r="T84" s="358"/>
      <c r="U84" s="358"/>
    </row>
    <row r="85" spans="1:21" ht="20.25" customHeight="1">
      <c r="A85" s="358" t="s">
        <v>108</v>
      </c>
      <c r="B85" s="370" t="s">
        <v>109</v>
      </c>
      <c r="C85" s="358" t="s">
        <v>110</v>
      </c>
      <c r="D85" s="358"/>
      <c r="E85" s="358"/>
      <c r="F85" s="358"/>
      <c r="G85" s="358"/>
      <c r="H85" s="358"/>
      <c r="I85" s="358"/>
      <c r="J85" s="358"/>
      <c r="K85" s="358"/>
      <c r="L85" s="358"/>
      <c r="M85" s="358"/>
      <c r="N85" s="358"/>
      <c r="O85" s="358"/>
      <c r="P85" s="358"/>
      <c r="Q85" s="358"/>
      <c r="R85" s="358"/>
      <c r="S85" s="358"/>
      <c r="T85" s="358"/>
      <c r="U85" s="358"/>
    </row>
    <row r="86" spans="1:21" ht="20.25" customHeight="1">
      <c r="A86" s="358" t="s">
        <v>111</v>
      </c>
      <c r="B86" s="370" t="s">
        <v>112</v>
      </c>
      <c r="C86" s="358" t="s">
        <v>113</v>
      </c>
      <c r="D86" s="358"/>
      <c r="E86" s="358"/>
      <c r="F86" s="358"/>
      <c r="G86" s="358"/>
      <c r="H86" s="358"/>
      <c r="I86" s="358"/>
      <c r="J86" s="358"/>
      <c r="K86" s="358"/>
      <c r="L86" s="358"/>
      <c r="M86" s="358"/>
      <c r="N86" s="358"/>
      <c r="O86" s="358"/>
      <c r="P86" s="358"/>
      <c r="Q86" s="358"/>
      <c r="R86" s="358"/>
      <c r="S86" s="358"/>
      <c r="T86" s="358"/>
      <c r="U86" s="358"/>
    </row>
    <row r="87" spans="1:21" ht="20.25" customHeight="1">
      <c r="A87" s="358" t="s">
        <v>114</v>
      </c>
      <c r="B87" s="370" t="s">
        <v>115</v>
      </c>
      <c r="C87" s="358" t="s">
        <v>116</v>
      </c>
      <c r="D87" s="358"/>
      <c r="E87" s="358"/>
      <c r="F87" s="358"/>
      <c r="G87" s="358"/>
      <c r="H87" s="358"/>
      <c r="I87" s="358"/>
      <c r="J87" s="358"/>
      <c r="K87" s="358"/>
      <c r="L87" s="358"/>
      <c r="M87" s="358"/>
      <c r="N87" s="358"/>
      <c r="O87" s="358"/>
      <c r="P87" s="358"/>
      <c r="Q87" s="358"/>
      <c r="R87" s="358"/>
      <c r="S87" s="358"/>
      <c r="T87" s="358"/>
      <c r="U87" s="358"/>
    </row>
    <row r="88" spans="1:21" ht="20.25" customHeight="1">
      <c r="A88" s="358" t="s">
        <v>117</v>
      </c>
      <c r="B88" s="370" t="s">
        <v>118</v>
      </c>
      <c r="C88" s="358" t="s">
        <v>119</v>
      </c>
      <c r="D88" s="358"/>
      <c r="E88" s="358"/>
      <c r="F88" s="358"/>
      <c r="G88" s="358"/>
      <c r="H88" s="358"/>
      <c r="I88" s="358"/>
      <c r="J88" s="358"/>
      <c r="K88" s="358"/>
      <c r="L88" s="358"/>
      <c r="M88" s="358"/>
      <c r="N88" s="358"/>
      <c r="O88" s="358"/>
      <c r="P88" s="358"/>
      <c r="Q88" s="358"/>
      <c r="R88" s="358"/>
      <c r="S88" s="358"/>
      <c r="T88" s="358"/>
      <c r="U88" s="358"/>
    </row>
    <row r="89" spans="1:21" ht="20.25" customHeight="1">
      <c r="A89" s="358" t="s">
        <v>120</v>
      </c>
      <c r="B89" s="370" t="s">
        <v>121</v>
      </c>
      <c r="C89" s="358" t="s">
        <v>122</v>
      </c>
      <c r="D89" s="358"/>
      <c r="E89" s="358"/>
      <c r="F89" s="358"/>
      <c r="G89" s="358"/>
      <c r="H89" s="358"/>
      <c r="I89" s="358"/>
      <c r="J89" s="358"/>
      <c r="K89" s="358"/>
      <c r="L89" s="358"/>
      <c r="M89" s="358"/>
      <c r="N89" s="358"/>
      <c r="O89" s="358"/>
      <c r="P89" s="358"/>
      <c r="Q89" s="358"/>
      <c r="R89" s="358"/>
      <c r="S89" s="358"/>
      <c r="T89" s="358"/>
      <c r="U89" s="358"/>
    </row>
    <row r="90" spans="1:21" ht="20.25" customHeight="1">
      <c r="A90" s="358">
        <v>3</v>
      </c>
      <c r="B90" s="370" t="s">
        <v>123</v>
      </c>
      <c r="C90" s="358" t="s">
        <v>124</v>
      </c>
      <c r="D90" s="358"/>
      <c r="E90" s="358"/>
      <c r="F90" s="358"/>
      <c r="G90" s="358"/>
      <c r="H90" s="358"/>
      <c r="I90" s="358"/>
      <c r="J90" s="358"/>
      <c r="K90" s="358"/>
      <c r="L90" s="358"/>
      <c r="M90" s="358"/>
      <c r="N90" s="358"/>
      <c r="O90" s="358"/>
      <c r="P90" s="358"/>
      <c r="Q90" s="358"/>
      <c r="R90" s="358"/>
      <c r="S90" s="358"/>
      <c r="T90" s="358"/>
      <c r="U90" s="358"/>
    </row>
    <row r="91" spans="1:21" ht="20.25" customHeight="1">
      <c r="A91" s="1355" t="s">
        <v>347</v>
      </c>
      <c r="B91" s="1355"/>
      <c r="C91" s="372"/>
      <c r="D91" s="372"/>
      <c r="E91" s="372"/>
      <c r="F91" s="372"/>
      <c r="G91" s="372"/>
      <c r="H91" s="372"/>
      <c r="I91" s="372"/>
      <c r="J91" s="372"/>
      <c r="K91" s="372"/>
      <c r="L91" s="372"/>
      <c r="M91" s="372"/>
      <c r="N91" s="372"/>
      <c r="O91" s="372"/>
      <c r="P91" s="372"/>
      <c r="Q91" s="372"/>
      <c r="R91" s="372"/>
      <c r="S91" s="372"/>
      <c r="T91" s="372"/>
      <c r="U91" s="372"/>
    </row>
    <row r="92" spans="1:21" ht="20.25" customHeight="1">
      <c r="A92" s="1354" t="s">
        <v>185</v>
      </c>
      <c r="B92" s="1354"/>
      <c r="C92" s="1354"/>
      <c r="D92" s="1354"/>
      <c r="E92" s="1354"/>
      <c r="F92" s="1354"/>
      <c r="G92" s="1354"/>
      <c r="H92" s="1354"/>
      <c r="I92" s="1354"/>
      <c r="J92" s="1354"/>
      <c r="K92" s="1354"/>
      <c r="L92" s="1354"/>
      <c r="M92" s="1354"/>
      <c r="N92" s="1354"/>
      <c r="O92" s="1354"/>
      <c r="P92" s="1354"/>
      <c r="Q92" s="1354"/>
      <c r="R92" s="1354"/>
      <c r="S92" s="1354"/>
      <c r="T92" s="1354"/>
      <c r="U92" s="1354"/>
    </row>
    <row r="93" spans="1:21" ht="16.5">
      <c r="A93" s="1354" t="s">
        <v>322</v>
      </c>
      <c r="B93" s="1354"/>
      <c r="C93" s="1354"/>
      <c r="D93" s="1354"/>
      <c r="E93" s="1354"/>
      <c r="F93" s="1354"/>
      <c r="G93" s="1354"/>
      <c r="H93" s="1354"/>
      <c r="I93" s="1354"/>
      <c r="J93" s="1354"/>
      <c r="K93" s="1354"/>
      <c r="L93" s="1354"/>
      <c r="M93" s="1354"/>
      <c r="N93" s="1354"/>
      <c r="O93" s="1354"/>
      <c r="P93" s="1354"/>
      <c r="Q93" s="1354"/>
      <c r="R93" s="1354"/>
      <c r="S93" s="1354"/>
      <c r="T93" s="1354"/>
      <c r="U93" s="1354"/>
    </row>
    <row r="94" spans="1:21" ht="18.75" customHeight="1"/>
    <row r="95" spans="1:21" ht="52.5" customHeight="1">
      <c r="A95" s="1357" t="s">
        <v>0</v>
      </c>
      <c r="B95" s="1357" t="s">
        <v>186</v>
      </c>
      <c r="C95" s="1357" t="s">
        <v>13</v>
      </c>
      <c r="D95" s="1357" t="s">
        <v>139</v>
      </c>
      <c r="E95" s="1357"/>
      <c r="F95" s="1357" t="s">
        <v>140</v>
      </c>
      <c r="G95" s="1357"/>
      <c r="H95" s="1357" t="s">
        <v>141</v>
      </c>
      <c r="I95" s="1357"/>
      <c r="J95" s="1357" t="s">
        <v>142</v>
      </c>
      <c r="K95" s="1357"/>
      <c r="L95" s="1357" t="s">
        <v>143</v>
      </c>
      <c r="M95" s="1357"/>
      <c r="N95" s="1357" t="s">
        <v>144</v>
      </c>
      <c r="O95" s="1357"/>
      <c r="P95" s="1357" t="s">
        <v>188</v>
      </c>
      <c r="Q95" s="1357"/>
      <c r="R95" s="1357" t="s">
        <v>145</v>
      </c>
      <c r="S95" s="1357"/>
      <c r="T95" s="1357" t="s">
        <v>146</v>
      </c>
      <c r="U95" s="1357"/>
    </row>
    <row r="96" spans="1:21" ht="35.25" customHeight="1">
      <c r="A96" s="1357"/>
      <c r="B96" s="1357"/>
      <c r="C96" s="1357"/>
      <c r="D96" s="106" t="s">
        <v>137</v>
      </c>
      <c r="E96" s="106" t="s">
        <v>187</v>
      </c>
      <c r="F96" s="106" t="s">
        <v>137</v>
      </c>
      <c r="G96" s="106" t="s">
        <v>187</v>
      </c>
      <c r="H96" s="106" t="s">
        <v>137</v>
      </c>
      <c r="I96" s="106" t="s">
        <v>187</v>
      </c>
      <c r="J96" s="106" t="s">
        <v>137</v>
      </c>
      <c r="K96" s="106" t="s">
        <v>187</v>
      </c>
      <c r="L96" s="106" t="s">
        <v>137</v>
      </c>
      <c r="M96" s="106" t="s">
        <v>187</v>
      </c>
      <c r="N96" s="106" t="s">
        <v>137</v>
      </c>
      <c r="O96" s="106" t="s">
        <v>187</v>
      </c>
      <c r="P96" s="106" t="s">
        <v>137</v>
      </c>
      <c r="Q96" s="106" t="s">
        <v>187</v>
      </c>
      <c r="R96" s="106" t="s">
        <v>137</v>
      </c>
      <c r="S96" s="106" t="s">
        <v>187</v>
      </c>
      <c r="T96" s="106" t="s">
        <v>137</v>
      </c>
      <c r="U96" s="106" t="s">
        <v>187</v>
      </c>
    </row>
    <row r="97" spans="1:21" ht="35.25" customHeight="1">
      <c r="A97" s="106">
        <v>1</v>
      </c>
      <c r="B97" s="373" t="s">
        <v>14</v>
      </c>
      <c r="C97" s="106" t="s">
        <v>15</v>
      </c>
      <c r="D97" s="106">
        <f>D98+D100+D101+D102+D103+D104+D105+D106+D107</f>
        <v>101.7</v>
      </c>
      <c r="E97" s="106">
        <f t="shared" ref="E97:U97" si="25">E98+E100+E101+E102+E103+E104+E105+E106+E107</f>
        <v>0</v>
      </c>
      <c r="F97" s="106">
        <f t="shared" si="25"/>
        <v>0</v>
      </c>
      <c r="G97" s="106">
        <f t="shared" si="25"/>
        <v>0</v>
      </c>
      <c r="H97" s="106">
        <f t="shared" si="25"/>
        <v>0</v>
      </c>
      <c r="I97" s="106">
        <f t="shared" si="25"/>
        <v>0</v>
      </c>
      <c r="J97" s="106">
        <f t="shared" si="25"/>
        <v>0</v>
      </c>
      <c r="K97" s="106">
        <f t="shared" si="25"/>
        <v>0</v>
      </c>
      <c r="L97" s="106">
        <f t="shared" si="25"/>
        <v>483.25</v>
      </c>
      <c r="M97" s="106">
        <f t="shared" si="25"/>
        <v>0</v>
      </c>
      <c r="N97" s="106">
        <f t="shared" si="25"/>
        <v>0</v>
      </c>
      <c r="O97" s="106">
        <f t="shared" si="25"/>
        <v>0</v>
      </c>
      <c r="P97" s="106">
        <f t="shared" si="25"/>
        <v>0</v>
      </c>
      <c r="Q97" s="106">
        <f t="shared" si="25"/>
        <v>0</v>
      </c>
      <c r="R97" s="106">
        <f t="shared" si="25"/>
        <v>100</v>
      </c>
      <c r="S97" s="106">
        <f t="shared" si="25"/>
        <v>0</v>
      </c>
      <c r="T97" s="106">
        <f t="shared" si="25"/>
        <v>0</v>
      </c>
      <c r="U97" s="106">
        <f t="shared" si="25"/>
        <v>0</v>
      </c>
    </row>
    <row r="98" spans="1:21" ht="20.25" customHeight="1">
      <c r="A98" s="106" t="s">
        <v>16</v>
      </c>
      <c r="B98" s="373" t="s">
        <v>17</v>
      </c>
      <c r="C98" s="106" t="s">
        <v>18</v>
      </c>
      <c r="D98" s="106">
        <f t="shared" ref="D98:U98" si="26">D99</f>
        <v>100</v>
      </c>
      <c r="E98" s="106">
        <f t="shared" si="26"/>
        <v>0</v>
      </c>
      <c r="F98" s="106">
        <f t="shared" si="26"/>
        <v>0</v>
      </c>
      <c r="G98" s="106">
        <f t="shared" si="26"/>
        <v>0</v>
      </c>
      <c r="H98" s="106">
        <f t="shared" si="26"/>
        <v>0</v>
      </c>
      <c r="I98" s="106">
        <f t="shared" si="26"/>
        <v>0</v>
      </c>
      <c r="J98" s="106">
        <f t="shared" si="26"/>
        <v>0</v>
      </c>
      <c r="K98" s="106">
        <f t="shared" si="26"/>
        <v>0</v>
      </c>
      <c r="L98" s="106">
        <f t="shared" si="26"/>
        <v>0</v>
      </c>
      <c r="M98" s="106">
        <f t="shared" si="26"/>
        <v>0</v>
      </c>
      <c r="N98" s="106">
        <f t="shared" si="26"/>
        <v>0</v>
      </c>
      <c r="O98" s="106">
        <f t="shared" si="26"/>
        <v>0</v>
      </c>
      <c r="P98" s="106">
        <f t="shared" si="26"/>
        <v>0</v>
      </c>
      <c r="Q98" s="106">
        <f t="shared" si="26"/>
        <v>0</v>
      </c>
      <c r="R98" s="106">
        <f t="shared" si="26"/>
        <v>0</v>
      </c>
      <c r="S98" s="106">
        <f t="shared" si="26"/>
        <v>0</v>
      </c>
      <c r="T98" s="106">
        <f t="shared" si="26"/>
        <v>0</v>
      </c>
      <c r="U98" s="106">
        <f t="shared" si="26"/>
        <v>0</v>
      </c>
    </row>
    <row r="99" spans="1:21" ht="20.25" customHeight="1">
      <c r="A99" s="106"/>
      <c r="B99" s="373" t="s">
        <v>19</v>
      </c>
      <c r="C99" s="106" t="s">
        <v>20</v>
      </c>
      <c r="D99" s="106">
        <f>42+18+40</f>
        <v>100</v>
      </c>
      <c r="E99" s="106"/>
      <c r="F99" s="106"/>
      <c r="G99" s="106"/>
      <c r="H99" s="106"/>
      <c r="I99" s="106"/>
      <c r="J99" s="106"/>
      <c r="K99" s="106"/>
      <c r="L99" s="106"/>
      <c r="M99" s="106"/>
      <c r="N99" s="106"/>
      <c r="O99" s="106"/>
      <c r="P99" s="106"/>
      <c r="Q99" s="106"/>
      <c r="R99" s="106"/>
      <c r="S99" s="106"/>
      <c r="T99" s="106"/>
      <c r="U99" s="106"/>
    </row>
    <row r="100" spans="1:21" ht="20.25" customHeight="1">
      <c r="A100" s="106" t="s">
        <v>21</v>
      </c>
      <c r="B100" s="373" t="s">
        <v>22</v>
      </c>
      <c r="C100" s="106" t="s">
        <v>23</v>
      </c>
      <c r="D100" s="106">
        <v>0.5</v>
      </c>
      <c r="E100" s="106"/>
      <c r="F100" s="106"/>
      <c r="G100" s="106"/>
      <c r="H100" s="106"/>
      <c r="I100" s="106"/>
      <c r="J100" s="106"/>
      <c r="K100" s="106"/>
      <c r="L100" s="106"/>
      <c r="M100" s="106"/>
      <c r="N100" s="106"/>
      <c r="O100" s="106"/>
      <c r="P100" s="106"/>
      <c r="Q100" s="106"/>
      <c r="R100" s="106"/>
      <c r="S100" s="106"/>
      <c r="T100" s="106"/>
      <c r="U100" s="106"/>
    </row>
    <row r="101" spans="1:21" ht="20.25" customHeight="1">
      <c r="A101" s="106" t="s">
        <v>24</v>
      </c>
      <c r="B101" s="373" t="s">
        <v>25</v>
      </c>
      <c r="C101" s="106" t="s">
        <v>26</v>
      </c>
      <c r="D101" s="106"/>
      <c r="E101" s="106"/>
      <c r="F101" s="106"/>
      <c r="G101" s="106"/>
      <c r="H101" s="106"/>
      <c r="I101" s="106"/>
      <c r="J101" s="106"/>
      <c r="K101" s="106"/>
      <c r="L101" s="106">
        <v>5.25</v>
      </c>
      <c r="M101" s="106"/>
      <c r="N101" s="106"/>
      <c r="O101" s="106"/>
      <c r="P101" s="106"/>
      <c r="Q101" s="106"/>
      <c r="R101" s="106"/>
      <c r="S101" s="106"/>
      <c r="T101" s="106"/>
      <c r="U101" s="106"/>
    </row>
    <row r="102" spans="1:21" ht="20.25" customHeight="1">
      <c r="A102" s="106" t="s">
        <v>27</v>
      </c>
      <c r="B102" s="373" t="s">
        <v>28</v>
      </c>
      <c r="C102" s="106" t="s">
        <v>29</v>
      </c>
      <c r="D102" s="106"/>
      <c r="E102" s="106"/>
      <c r="F102" s="106"/>
      <c r="G102" s="106"/>
      <c r="H102" s="106"/>
      <c r="I102" s="106"/>
      <c r="J102" s="106"/>
      <c r="K102" s="106"/>
      <c r="L102" s="106"/>
      <c r="M102" s="106"/>
      <c r="N102" s="106"/>
      <c r="O102" s="106"/>
      <c r="P102" s="106"/>
      <c r="Q102" s="106"/>
      <c r="R102" s="106"/>
      <c r="S102" s="106"/>
      <c r="T102" s="106"/>
      <c r="U102" s="106"/>
    </row>
    <row r="103" spans="1:21" ht="20.25" customHeight="1">
      <c r="A103" s="106" t="s">
        <v>30</v>
      </c>
      <c r="B103" s="373" t="s">
        <v>31</v>
      </c>
      <c r="C103" s="106" t="s">
        <v>32</v>
      </c>
      <c r="D103" s="106"/>
      <c r="E103" s="106"/>
      <c r="F103" s="106"/>
      <c r="G103" s="106"/>
      <c r="H103" s="106"/>
      <c r="I103" s="106"/>
      <c r="J103" s="106"/>
      <c r="K103" s="106"/>
      <c r="L103" s="106"/>
      <c r="M103" s="106"/>
      <c r="N103" s="106"/>
      <c r="O103" s="106"/>
      <c r="P103" s="106"/>
      <c r="Q103" s="106"/>
      <c r="R103" s="106"/>
      <c r="S103" s="106"/>
      <c r="T103" s="106"/>
      <c r="U103" s="106"/>
    </row>
    <row r="104" spans="1:21" ht="20.25" customHeight="1">
      <c r="A104" s="106" t="s">
        <v>33</v>
      </c>
      <c r="B104" s="373" t="s">
        <v>34</v>
      </c>
      <c r="C104" s="106" t="s">
        <v>35</v>
      </c>
      <c r="D104" s="106"/>
      <c r="E104" s="106"/>
      <c r="F104" s="106"/>
      <c r="G104" s="106"/>
      <c r="H104" s="106"/>
      <c r="I104" s="106"/>
      <c r="J104" s="106"/>
      <c r="K104" s="106"/>
      <c r="L104" s="106">
        <v>478</v>
      </c>
      <c r="M104" s="106"/>
      <c r="N104" s="106"/>
      <c r="O104" s="106"/>
      <c r="P104" s="106"/>
      <c r="Q104" s="106"/>
      <c r="R104" s="106">
        <v>100</v>
      </c>
      <c r="S104" s="106"/>
      <c r="T104" s="106"/>
      <c r="U104" s="106"/>
    </row>
    <row r="105" spans="1:21" ht="20.25" customHeight="1">
      <c r="A105" s="106" t="s">
        <v>36</v>
      </c>
      <c r="B105" s="373" t="s">
        <v>37</v>
      </c>
      <c r="C105" s="106" t="s">
        <v>38</v>
      </c>
      <c r="D105" s="106">
        <v>1.2</v>
      </c>
      <c r="E105" s="106"/>
      <c r="F105" s="106"/>
      <c r="G105" s="106"/>
      <c r="H105" s="106"/>
      <c r="I105" s="106"/>
      <c r="J105" s="106"/>
      <c r="K105" s="106"/>
      <c r="L105" s="106"/>
      <c r="M105" s="106"/>
      <c r="N105" s="106"/>
      <c r="O105" s="106"/>
      <c r="P105" s="106"/>
      <c r="Q105" s="106"/>
      <c r="R105" s="106"/>
      <c r="S105" s="106"/>
      <c r="T105" s="106"/>
      <c r="U105" s="106"/>
    </row>
    <row r="106" spans="1:21" ht="20.25" customHeight="1">
      <c r="A106" s="106" t="s">
        <v>39</v>
      </c>
      <c r="B106" s="373" t="s">
        <v>40</v>
      </c>
      <c r="C106" s="106" t="s">
        <v>41</v>
      </c>
      <c r="D106" s="106"/>
      <c r="E106" s="106"/>
      <c r="F106" s="106"/>
      <c r="G106" s="106"/>
      <c r="H106" s="106"/>
      <c r="I106" s="106"/>
      <c r="J106" s="106"/>
      <c r="K106" s="106"/>
      <c r="L106" s="106"/>
      <c r="M106" s="106"/>
      <c r="N106" s="106"/>
      <c r="O106" s="106"/>
      <c r="P106" s="106"/>
      <c r="Q106" s="106"/>
      <c r="R106" s="106"/>
      <c r="S106" s="106"/>
      <c r="T106" s="106"/>
      <c r="U106" s="106"/>
    </row>
    <row r="107" spans="1:21" ht="20.25" customHeight="1">
      <c r="A107" s="106">
        <v>2</v>
      </c>
      <c r="B107" s="373" t="s">
        <v>43</v>
      </c>
      <c r="C107" s="106" t="s">
        <v>44</v>
      </c>
      <c r="D107" s="106"/>
      <c r="E107" s="106"/>
      <c r="F107" s="106"/>
      <c r="G107" s="106"/>
      <c r="H107" s="106"/>
      <c r="I107" s="106"/>
      <c r="J107" s="106"/>
      <c r="K107" s="106"/>
      <c r="L107" s="106"/>
      <c r="M107" s="106"/>
      <c r="N107" s="106"/>
      <c r="O107" s="106"/>
      <c r="P107" s="106"/>
      <c r="Q107" s="106"/>
      <c r="R107" s="106"/>
      <c r="S107" s="106"/>
      <c r="T107" s="106"/>
      <c r="U107" s="106"/>
    </row>
    <row r="108" spans="1:21" ht="20.25" customHeight="1">
      <c r="A108" s="106">
        <v>2</v>
      </c>
      <c r="B108" s="373" t="s">
        <v>45</v>
      </c>
      <c r="C108" s="106" t="s">
        <v>46</v>
      </c>
      <c r="D108" s="106">
        <f>SUM(D109:D134)</f>
        <v>3.5</v>
      </c>
      <c r="E108" s="106">
        <f t="shared" ref="E108:U108" si="27">SUM(E109:E134)</f>
        <v>0</v>
      </c>
      <c r="F108" s="106">
        <f t="shared" si="27"/>
        <v>0</v>
      </c>
      <c r="G108" s="106">
        <f t="shared" si="27"/>
        <v>0</v>
      </c>
      <c r="H108" s="106">
        <f t="shared" si="27"/>
        <v>0</v>
      </c>
      <c r="I108" s="106">
        <f t="shared" si="27"/>
        <v>0</v>
      </c>
      <c r="J108" s="106">
        <f t="shared" si="27"/>
        <v>0</v>
      </c>
      <c r="K108" s="106">
        <f t="shared" si="27"/>
        <v>0</v>
      </c>
      <c r="L108" s="106">
        <f t="shared" si="27"/>
        <v>6.4</v>
      </c>
      <c r="M108" s="106">
        <f t="shared" si="27"/>
        <v>0</v>
      </c>
      <c r="N108" s="106">
        <f t="shared" si="27"/>
        <v>169.43</v>
      </c>
      <c r="O108" s="106">
        <f t="shared" si="27"/>
        <v>0</v>
      </c>
      <c r="P108" s="106">
        <f t="shared" si="27"/>
        <v>0</v>
      </c>
      <c r="Q108" s="106">
        <f t="shared" si="27"/>
        <v>0</v>
      </c>
      <c r="R108" s="106">
        <f t="shared" si="27"/>
        <v>0</v>
      </c>
      <c r="S108" s="106">
        <f t="shared" si="27"/>
        <v>0</v>
      </c>
      <c r="T108" s="106">
        <f t="shared" si="27"/>
        <v>0</v>
      </c>
      <c r="U108" s="106">
        <f t="shared" si="27"/>
        <v>0</v>
      </c>
    </row>
    <row r="109" spans="1:21" ht="20.25" customHeight="1">
      <c r="A109" s="106" t="s">
        <v>47</v>
      </c>
      <c r="B109" s="373" t="s">
        <v>48</v>
      </c>
      <c r="C109" s="106" t="s">
        <v>49</v>
      </c>
      <c r="D109" s="106"/>
      <c r="E109" s="106"/>
      <c r="F109" s="106"/>
      <c r="G109" s="106"/>
      <c r="H109" s="106"/>
      <c r="I109" s="106"/>
      <c r="J109" s="106"/>
      <c r="K109" s="106"/>
      <c r="L109" s="106"/>
      <c r="M109" s="106"/>
      <c r="N109" s="106"/>
      <c r="O109" s="106"/>
      <c r="P109" s="106"/>
      <c r="Q109" s="106"/>
      <c r="R109" s="106"/>
      <c r="S109" s="106"/>
      <c r="T109" s="106"/>
      <c r="U109" s="106"/>
    </row>
    <row r="110" spans="1:21" ht="20.25" customHeight="1">
      <c r="A110" s="106" t="s">
        <v>50</v>
      </c>
      <c r="B110" s="373" t="s">
        <v>51</v>
      </c>
      <c r="C110" s="106" t="s">
        <v>52</v>
      </c>
      <c r="D110" s="106"/>
      <c r="E110" s="106"/>
      <c r="F110" s="106"/>
      <c r="G110" s="106"/>
      <c r="H110" s="106"/>
      <c r="I110" s="106"/>
      <c r="J110" s="106"/>
      <c r="K110" s="106"/>
      <c r="L110" s="106"/>
      <c r="M110" s="106"/>
      <c r="N110" s="106"/>
      <c r="O110" s="106"/>
      <c r="P110" s="106"/>
      <c r="Q110" s="106"/>
      <c r="R110" s="106"/>
      <c r="S110" s="106"/>
      <c r="T110" s="106"/>
      <c r="U110" s="106"/>
    </row>
    <row r="111" spans="1:21" ht="20.25" customHeight="1">
      <c r="A111" s="106" t="s">
        <v>53</v>
      </c>
      <c r="B111" s="373" t="s">
        <v>54</v>
      </c>
      <c r="C111" s="106" t="s">
        <v>55</v>
      </c>
      <c r="D111" s="106"/>
      <c r="E111" s="106"/>
      <c r="F111" s="106"/>
      <c r="G111" s="106"/>
      <c r="H111" s="106"/>
      <c r="I111" s="106"/>
      <c r="J111" s="106"/>
      <c r="K111" s="106"/>
      <c r="L111" s="106"/>
      <c r="M111" s="106"/>
      <c r="N111" s="106">
        <v>159.43</v>
      </c>
      <c r="O111" s="106"/>
      <c r="P111" s="106"/>
      <c r="Q111" s="106"/>
      <c r="R111" s="106"/>
      <c r="S111" s="106"/>
      <c r="T111" s="106"/>
      <c r="U111" s="106"/>
    </row>
    <row r="112" spans="1:21" ht="20.25" customHeight="1">
      <c r="A112" s="106" t="s">
        <v>56</v>
      </c>
      <c r="B112" s="373" t="s">
        <v>57</v>
      </c>
      <c r="C112" s="106" t="s">
        <v>58</v>
      </c>
      <c r="D112" s="106"/>
      <c r="E112" s="106"/>
      <c r="F112" s="106"/>
      <c r="G112" s="106"/>
      <c r="H112" s="106"/>
      <c r="I112" s="106"/>
      <c r="J112" s="106"/>
      <c r="K112" s="106"/>
      <c r="L112" s="106"/>
      <c r="M112" s="106"/>
      <c r="N112" s="106"/>
      <c r="O112" s="106"/>
      <c r="P112" s="106"/>
      <c r="Q112" s="106"/>
      <c r="R112" s="106"/>
      <c r="S112" s="106"/>
      <c r="T112" s="106"/>
      <c r="U112" s="106"/>
    </row>
    <row r="113" spans="1:21" ht="20.25" customHeight="1">
      <c r="A113" s="106" t="s">
        <v>59</v>
      </c>
      <c r="B113" s="373" t="s">
        <v>60</v>
      </c>
      <c r="C113" s="106" t="s">
        <v>61</v>
      </c>
      <c r="D113" s="106"/>
      <c r="E113" s="106"/>
      <c r="F113" s="106"/>
      <c r="G113" s="106"/>
      <c r="H113" s="106"/>
      <c r="I113" s="106"/>
      <c r="J113" s="106"/>
      <c r="K113" s="106"/>
      <c r="L113" s="106"/>
      <c r="M113" s="106"/>
      <c r="N113" s="106">
        <v>10</v>
      </c>
      <c r="O113" s="106"/>
      <c r="P113" s="106"/>
      <c r="Q113" s="106"/>
      <c r="R113" s="106"/>
      <c r="S113" s="106"/>
      <c r="T113" s="106"/>
      <c r="U113" s="106"/>
    </row>
    <row r="114" spans="1:21" ht="20.25" customHeight="1">
      <c r="A114" s="106" t="s">
        <v>62</v>
      </c>
      <c r="B114" s="373" t="s">
        <v>63</v>
      </c>
      <c r="C114" s="106" t="s">
        <v>64</v>
      </c>
      <c r="D114" s="106"/>
      <c r="E114" s="106"/>
      <c r="F114" s="106"/>
      <c r="G114" s="106"/>
      <c r="H114" s="106"/>
      <c r="I114" s="106"/>
      <c r="J114" s="106"/>
      <c r="K114" s="106"/>
      <c r="L114" s="106"/>
      <c r="M114" s="106"/>
      <c r="N114" s="106"/>
      <c r="O114" s="106"/>
      <c r="P114" s="106"/>
      <c r="Q114" s="106"/>
      <c r="R114" s="106"/>
      <c r="S114" s="106"/>
      <c r="T114" s="106"/>
      <c r="U114" s="106"/>
    </row>
    <row r="115" spans="1:21" ht="20.25" customHeight="1">
      <c r="A115" s="106" t="s">
        <v>65</v>
      </c>
      <c r="B115" s="373" t="s">
        <v>66</v>
      </c>
      <c r="C115" s="106" t="s">
        <v>67</v>
      </c>
      <c r="D115" s="106"/>
      <c r="E115" s="106"/>
      <c r="F115" s="106"/>
      <c r="G115" s="106"/>
      <c r="H115" s="106"/>
      <c r="I115" s="106"/>
      <c r="J115" s="106"/>
      <c r="K115" s="106"/>
      <c r="L115" s="106"/>
      <c r="M115" s="106"/>
      <c r="N115" s="106"/>
      <c r="O115" s="106"/>
      <c r="P115" s="106"/>
      <c r="Q115" s="106"/>
      <c r="R115" s="106"/>
      <c r="S115" s="106"/>
      <c r="T115" s="106"/>
      <c r="U115" s="106"/>
    </row>
    <row r="116" spans="1:21" ht="20.25" customHeight="1">
      <c r="A116" s="106" t="s">
        <v>68</v>
      </c>
      <c r="B116" s="373" t="s">
        <v>69</v>
      </c>
      <c r="C116" s="106" t="s">
        <v>70</v>
      </c>
      <c r="D116" s="106"/>
      <c r="E116" s="106"/>
      <c r="F116" s="106"/>
      <c r="G116" s="106"/>
      <c r="H116" s="106"/>
      <c r="I116" s="106"/>
      <c r="J116" s="106"/>
      <c r="K116" s="106"/>
      <c r="L116" s="106"/>
      <c r="M116" s="106"/>
      <c r="N116" s="106"/>
      <c r="O116" s="106"/>
      <c r="P116" s="106"/>
      <c r="Q116" s="106"/>
      <c r="R116" s="106"/>
      <c r="S116" s="106"/>
      <c r="T116" s="106"/>
      <c r="U116" s="106"/>
    </row>
    <row r="117" spans="1:21" ht="20.25" customHeight="1">
      <c r="A117" s="106" t="s">
        <v>71</v>
      </c>
      <c r="B117" s="373" t="s">
        <v>135</v>
      </c>
      <c r="C117" s="106" t="s">
        <v>72</v>
      </c>
      <c r="D117" s="106">
        <v>3.5</v>
      </c>
      <c r="E117" s="106"/>
      <c r="F117" s="106"/>
      <c r="G117" s="106"/>
      <c r="H117" s="106"/>
      <c r="I117" s="106"/>
      <c r="J117" s="106"/>
      <c r="K117" s="106"/>
      <c r="L117" s="106"/>
      <c r="M117" s="106"/>
      <c r="N117" s="106"/>
      <c r="O117" s="106"/>
      <c r="P117" s="106"/>
      <c r="Q117" s="106"/>
      <c r="R117" s="106"/>
      <c r="S117" s="106"/>
      <c r="T117" s="106"/>
      <c r="U117" s="106"/>
    </row>
    <row r="118" spans="1:21" ht="34.5" customHeight="1">
      <c r="A118" s="106" t="s">
        <v>73</v>
      </c>
      <c r="B118" s="373" t="s">
        <v>74</v>
      </c>
      <c r="C118" s="106" t="s">
        <v>75</v>
      </c>
      <c r="D118" s="106"/>
      <c r="E118" s="106"/>
      <c r="F118" s="106"/>
      <c r="G118" s="106"/>
      <c r="H118" s="106"/>
      <c r="I118" s="106"/>
      <c r="J118" s="106"/>
      <c r="K118" s="106"/>
      <c r="L118" s="106"/>
      <c r="M118" s="106"/>
      <c r="N118" s="106"/>
      <c r="O118" s="106"/>
      <c r="P118" s="106"/>
      <c r="Q118" s="106"/>
      <c r="R118" s="106"/>
      <c r="S118" s="106"/>
      <c r="T118" s="106"/>
      <c r="U118" s="106"/>
    </row>
    <row r="119" spans="1:21" ht="20.25" customHeight="1">
      <c r="A119" s="106" t="s">
        <v>76</v>
      </c>
      <c r="B119" s="373" t="s">
        <v>77</v>
      </c>
      <c r="C119" s="106" t="s">
        <v>78</v>
      </c>
      <c r="D119" s="106"/>
      <c r="E119" s="106"/>
      <c r="F119" s="106"/>
      <c r="G119" s="106"/>
      <c r="H119" s="106"/>
      <c r="I119" s="106"/>
      <c r="J119" s="106"/>
      <c r="K119" s="106"/>
      <c r="L119" s="106"/>
      <c r="M119" s="106"/>
      <c r="N119" s="106"/>
      <c r="O119" s="106"/>
      <c r="P119" s="106"/>
      <c r="Q119" s="106"/>
      <c r="R119" s="106"/>
      <c r="S119" s="106"/>
      <c r="T119" s="106"/>
      <c r="U119" s="106"/>
    </row>
    <row r="120" spans="1:21" ht="20.25" customHeight="1">
      <c r="A120" s="106" t="s">
        <v>79</v>
      </c>
      <c r="B120" s="373" t="s">
        <v>80</v>
      </c>
      <c r="C120" s="106" t="s">
        <v>81</v>
      </c>
      <c r="D120" s="106"/>
      <c r="E120" s="106"/>
      <c r="F120" s="106"/>
      <c r="G120" s="106"/>
      <c r="H120" s="106"/>
      <c r="I120" s="106"/>
      <c r="J120" s="106"/>
      <c r="K120" s="106"/>
      <c r="L120" s="106"/>
      <c r="M120" s="106"/>
      <c r="N120" s="106"/>
      <c r="O120" s="106"/>
      <c r="P120" s="106"/>
      <c r="Q120" s="106"/>
      <c r="R120" s="106"/>
      <c r="S120" s="106"/>
      <c r="T120" s="106"/>
      <c r="U120" s="106"/>
    </row>
    <row r="121" spans="1:21" ht="20.25" customHeight="1">
      <c r="A121" s="106" t="s">
        <v>82</v>
      </c>
      <c r="B121" s="373" t="s">
        <v>83</v>
      </c>
      <c r="C121" s="106" t="s">
        <v>84</v>
      </c>
      <c r="D121" s="106"/>
      <c r="E121" s="106"/>
      <c r="F121" s="106"/>
      <c r="G121" s="106"/>
      <c r="H121" s="106"/>
      <c r="I121" s="106"/>
      <c r="J121" s="106"/>
      <c r="K121" s="106"/>
      <c r="L121" s="106"/>
      <c r="M121" s="106"/>
      <c r="N121" s="106"/>
      <c r="O121" s="106"/>
      <c r="P121" s="106"/>
      <c r="Q121" s="106"/>
      <c r="R121" s="106"/>
      <c r="S121" s="106"/>
      <c r="T121" s="106"/>
      <c r="U121" s="106"/>
    </row>
    <row r="122" spans="1:21" ht="20.25" customHeight="1">
      <c r="A122" s="106" t="s">
        <v>85</v>
      </c>
      <c r="B122" s="373" t="s">
        <v>86</v>
      </c>
      <c r="C122" s="106" t="s">
        <v>87</v>
      </c>
      <c r="D122" s="106"/>
      <c r="E122" s="106"/>
      <c r="F122" s="106"/>
      <c r="G122" s="106"/>
      <c r="H122" s="106"/>
      <c r="I122" s="106"/>
      <c r="J122" s="106"/>
      <c r="K122" s="106"/>
      <c r="L122" s="106"/>
      <c r="M122" s="106"/>
      <c r="N122" s="106"/>
      <c r="O122" s="106"/>
      <c r="P122" s="106"/>
      <c r="Q122" s="106"/>
      <c r="R122" s="106"/>
      <c r="S122" s="106"/>
      <c r="T122" s="106"/>
      <c r="U122" s="106"/>
    </row>
    <row r="123" spans="1:21" ht="20.25" customHeight="1">
      <c r="A123" s="106" t="s">
        <v>88</v>
      </c>
      <c r="B123" s="373" t="s">
        <v>89</v>
      </c>
      <c r="C123" s="106" t="s">
        <v>90</v>
      </c>
      <c r="D123" s="106"/>
      <c r="E123" s="106"/>
      <c r="F123" s="106"/>
      <c r="G123" s="106"/>
      <c r="H123" s="106"/>
      <c r="I123" s="106"/>
      <c r="J123" s="106"/>
      <c r="K123" s="106"/>
      <c r="L123" s="106"/>
      <c r="M123" s="106"/>
      <c r="N123" s="106"/>
      <c r="O123" s="106"/>
      <c r="P123" s="106"/>
      <c r="Q123" s="106"/>
      <c r="R123" s="106"/>
      <c r="S123" s="106"/>
      <c r="T123" s="106"/>
      <c r="U123" s="106"/>
    </row>
    <row r="124" spans="1:21" ht="20.25" customHeight="1">
      <c r="A124" s="106" t="s">
        <v>91</v>
      </c>
      <c r="B124" s="373" t="s">
        <v>92</v>
      </c>
      <c r="C124" s="106" t="s">
        <v>93</v>
      </c>
      <c r="D124" s="106"/>
      <c r="E124" s="106"/>
      <c r="F124" s="106"/>
      <c r="G124" s="106"/>
      <c r="H124" s="106"/>
      <c r="I124" s="106"/>
      <c r="J124" s="106"/>
      <c r="K124" s="106"/>
      <c r="L124" s="106"/>
      <c r="M124" s="106"/>
      <c r="N124" s="106"/>
      <c r="O124" s="106"/>
      <c r="P124" s="106"/>
      <c r="Q124" s="106"/>
      <c r="R124" s="106"/>
      <c r="S124" s="106"/>
      <c r="T124" s="106"/>
      <c r="U124" s="106"/>
    </row>
    <row r="125" spans="1:21" ht="20.25" customHeight="1">
      <c r="A125" s="106" t="s">
        <v>94</v>
      </c>
      <c r="B125" s="373" t="s">
        <v>95</v>
      </c>
      <c r="C125" s="106" t="s">
        <v>96</v>
      </c>
      <c r="D125" s="106"/>
      <c r="E125" s="106"/>
      <c r="F125" s="106"/>
      <c r="G125" s="106"/>
      <c r="H125" s="106"/>
      <c r="I125" s="106"/>
      <c r="J125" s="106"/>
      <c r="K125" s="106"/>
      <c r="L125" s="106"/>
      <c r="M125" s="106"/>
      <c r="N125" s="106"/>
      <c r="O125" s="106"/>
      <c r="P125" s="106"/>
      <c r="Q125" s="106"/>
      <c r="R125" s="106"/>
      <c r="S125" s="106"/>
      <c r="T125" s="106"/>
      <c r="U125" s="106"/>
    </row>
    <row r="126" spans="1:21" ht="20.25" customHeight="1">
      <c r="A126" s="106" t="s">
        <v>97</v>
      </c>
      <c r="B126" s="373" t="s">
        <v>98</v>
      </c>
      <c r="C126" s="106" t="s">
        <v>99</v>
      </c>
      <c r="D126" s="106"/>
      <c r="E126" s="106"/>
      <c r="F126" s="106"/>
      <c r="G126" s="106"/>
      <c r="H126" s="106"/>
      <c r="I126" s="106"/>
      <c r="J126" s="106"/>
      <c r="K126" s="106"/>
      <c r="L126" s="106"/>
      <c r="M126" s="106"/>
      <c r="N126" s="106"/>
      <c r="O126" s="106"/>
      <c r="P126" s="106"/>
      <c r="Q126" s="106"/>
      <c r="R126" s="106"/>
      <c r="S126" s="106"/>
      <c r="T126" s="106"/>
      <c r="U126" s="106"/>
    </row>
    <row r="127" spans="1:21" ht="20.25" customHeight="1">
      <c r="A127" s="106" t="s">
        <v>100</v>
      </c>
      <c r="B127" s="373" t="s">
        <v>134</v>
      </c>
      <c r="C127" s="106" t="s">
        <v>101</v>
      </c>
      <c r="D127" s="106"/>
      <c r="E127" s="106"/>
      <c r="F127" s="106"/>
      <c r="G127" s="106"/>
      <c r="H127" s="106"/>
      <c r="I127" s="106"/>
      <c r="J127" s="106"/>
      <c r="K127" s="106"/>
      <c r="L127" s="106"/>
      <c r="M127" s="106"/>
      <c r="N127" s="106"/>
      <c r="O127" s="106"/>
      <c r="P127" s="106"/>
      <c r="Q127" s="106"/>
      <c r="R127" s="106"/>
      <c r="S127" s="106"/>
      <c r="T127" s="106"/>
      <c r="U127" s="106"/>
    </row>
    <row r="128" spans="1:21" ht="33" customHeight="1">
      <c r="A128" s="106" t="s">
        <v>102</v>
      </c>
      <c r="B128" s="373" t="s">
        <v>103</v>
      </c>
      <c r="C128" s="106" t="s">
        <v>104</v>
      </c>
      <c r="D128" s="106"/>
      <c r="E128" s="106"/>
      <c r="F128" s="106"/>
      <c r="G128" s="106"/>
      <c r="H128" s="106"/>
      <c r="I128" s="106"/>
      <c r="J128" s="106"/>
      <c r="K128" s="106"/>
      <c r="L128" s="106"/>
      <c r="M128" s="106"/>
      <c r="N128" s="106"/>
      <c r="O128" s="106"/>
      <c r="P128" s="106"/>
      <c r="Q128" s="106"/>
      <c r="R128" s="106"/>
      <c r="S128" s="106"/>
      <c r="T128" s="106"/>
      <c r="U128" s="106"/>
    </row>
    <row r="129" spans="1:21" ht="20.25" customHeight="1">
      <c r="A129" s="106" t="s">
        <v>105</v>
      </c>
      <c r="B129" s="373" t="s">
        <v>106</v>
      </c>
      <c r="C129" s="106" t="s">
        <v>107</v>
      </c>
      <c r="D129" s="106"/>
      <c r="E129" s="106"/>
      <c r="F129" s="106"/>
      <c r="G129" s="106"/>
      <c r="H129" s="106"/>
      <c r="I129" s="106"/>
      <c r="J129" s="106"/>
      <c r="K129" s="106"/>
      <c r="L129" s="106"/>
      <c r="M129" s="106"/>
      <c r="N129" s="106"/>
      <c r="O129" s="106"/>
      <c r="P129" s="106"/>
      <c r="Q129" s="106"/>
      <c r="R129" s="106"/>
      <c r="S129" s="106"/>
      <c r="T129" s="106"/>
      <c r="U129" s="106"/>
    </row>
    <row r="130" spans="1:21" ht="20.25" customHeight="1">
      <c r="A130" s="106" t="s">
        <v>108</v>
      </c>
      <c r="B130" s="373" t="s">
        <v>109</v>
      </c>
      <c r="C130" s="106" t="s">
        <v>110</v>
      </c>
      <c r="D130" s="106"/>
      <c r="E130" s="106"/>
      <c r="F130" s="106"/>
      <c r="G130" s="106"/>
      <c r="H130" s="106"/>
      <c r="I130" s="106"/>
      <c r="J130" s="106"/>
      <c r="K130" s="106"/>
      <c r="L130" s="106"/>
      <c r="M130" s="106"/>
      <c r="N130" s="106"/>
      <c r="O130" s="106"/>
      <c r="P130" s="106"/>
      <c r="Q130" s="106"/>
      <c r="R130" s="106"/>
      <c r="S130" s="106"/>
      <c r="T130" s="106"/>
      <c r="U130" s="106"/>
    </row>
    <row r="131" spans="1:21" ht="20.25" customHeight="1">
      <c r="A131" s="106" t="s">
        <v>111</v>
      </c>
      <c r="B131" s="373" t="s">
        <v>112</v>
      </c>
      <c r="C131" s="106" t="s">
        <v>113</v>
      </c>
      <c r="D131" s="106"/>
      <c r="E131" s="106"/>
      <c r="F131" s="106"/>
      <c r="G131" s="106"/>
      <c r="H131" s="106"/>
      <c r="I131" s="106"/>
      <c r="J131" s="106"/>
      <c r="K131" s="106"/>
      <c r="L131" s="106"/>
      <c r="M131" s="106"/>
      <c r="N131" s="106"/>
      <c r="O131" s="106"/>
      <c r="P131" s="106"/>
      <c r="Q131" s="106"/>
      <c r="R131" s="106"/>
      <c r="S131" s="106"/>
      <c r="T131" s="106"/>
      <c r="U131" s="106"/>
    </row>
    <row r="132" spans="1:21" ht="20.25" customHeight="1">
      <c r="A132" s="106" t="s">
        <v>114</v>
      </c>
      <c r="B132" s="373" t="s">
        <v>115</v>
      </c>
      <c r="C132" s="106" t="s">
        <v>116</v>
      </c>
      <c r="D132" s="106"/>
      <c r="E132" s="106"/>
      <c r="F132" s="106"/>
      <c r="G132" s="106"/>
      <c r="H132" s="106"/>
      <c r="I132" s="106"/>
      <c r="J132" s="106"/>
      <c r="K132" s="106"/>
      <c r="L132" s="106">
        <v>6.4</v>
      </c>
      <c r="M132" s="106"/>
      <c r="N132" s="106"/>
      <c r="O132" s="106"/>
      <c r="P132" s="106"/>
      <c r="Q132" s="106"/>
      <c r="R132" s="106"/>
      <c r="S132" s="106"/>
      <c r="T132" s="106"/>
      <c r="U132" s="106"/>
    </row>
    <row r="133" spans="1:21" ht="20.25" customHeight="1">
      <c r="A133" s="106" t="s">
        <v>117</v>
      </c>
      <c r="B133" s="373" t="s">
        <v>118</v>
      </c>
      <c r="C133" s="106" t="s">
        <v>119</v>
      </c>
      <c r="D133" s="106"/>
      <c r="E133" s="106"/>
      <c r="F133" s="106"/>
      <c r="G133" s="106"/>
      <c r="H133" s="106"/>
      <c r="I133" s="106"/>
      <c r="J133" s="106"/>
      <c r="K133" s="106"/>
      <c r="L133" s="106"/>
      <c r="M133" s="106"/>
      <c r="N133" s="106"/>
      <c r="O133" s="106"/>
      <c r="P133" s="106"/>
      <c r="Q133" s="106"/>
      <c r="R133" s="106"/>
      <c r="S133" s="106"/>
      <c r="T133" s="106"/>
      <c r="U133" s="106"/>
    </row>
    <row r="134" spans="1:21" ht="20.25" customHeight="1">
      <c r="A134" s="106" t="s">
        <v>120</v>
      </c>
      <c r="B134" s="373" t="s">
        <v>121</v>
      </c>
      <c r="C134" s="106" t="s">
        <v>122</v>
      </c>
      <c r="D134" s="106"/>
      <c r="E134" s="106"/>
      <c r="F134" s="106"/>
      <c r="G134" s="106"/>
      <c r="H134" s="106"/>
      <c r="I134" s="106"/>
      <c r="J134" s="106"/>
      <c r="K134" s="106"/>
      <c r="L134" s="106"/>
      <c r="M134" s="106"/>
      <c r="N134" s="106"/>
      <c r="O134" s="106"/>
      <c r="P134" s="106"/>
      <c r="Q134" s="106"/>
      <c r="R134" s="106"/>
      <c r="S134" s="106"/>
      <c r="T134" s="106"/>
      <c r="U134" s="106"/>
    </row>
    <row r="135" spans="1:21" ht="20.25" customHeight="1">
      <c r="A135" s="106">
        <v>3</v>
      </c>
      <c r="B135" s="373" t="s">
        <v>123</v>
      </c>
      <c r="C135" s="106" t="s">
        <v>124</v>
      </c>
      <c r="D135" s="106"/>
      <c r="E135" s="106"/>
      <c r="F135" s="106"/>
      <c r="G135" s="106"/>
      <c r="H135" s="106"/>
      <c r="I135" s="106"/>
      <c r="J135" s="106"/>
      <c r="K135" s="106"/>
      <c r="L135" s="106"/>
      <c r="M135" s="106"/>
      <c r="N135" s="106"/>
      <c r="O135" s="106"/>
      <c r="P135" s="106"/>
      <c r="Q135" s="106"/>
      <c r="R135" s="106"/>
      <c r="S135" s="106"/>
      <c r="T135" s="106"/>
      <c r="U135" s="106"/>
    </row>
    <row r="136" spans="1:21" ht="20.25" customHeight="1">
      <c r="A136" s="1355" t="s">
        <v>348</v>
      </c>
      <c r="B136" s="1355"/>
      <c r="C136" s="372"/>
      <c r="D136" s="372"/>
      <c r="E136" s="372"/>
      <c r="F136" s="372"/>
      <c r="G136" s="372"/>
      <c r="H136" s="372"/>
      <c r="I136" s="372"/>
      <c r="J136" s="372"/>
      <c r="K136" s="372"/>
      <c r="L136" s="372"/>
      <c r="M136" s="372"/>
      <c r="N136" s="372"/>
      <c r="O136" s="372"/>
      <c r="P136" s="372"/>
      <c r="Q136" s="372"/>
      <c r="R136" s="372"/>
      <c r="S136" s="372"/>
      <c r="T136" s="372"/>
      <c r="U136" s="372"/>
    </row>
    <row r="137" spans="1:21" ht="20.25" customHeight="1">
      <c r="A137" s="1354" t="s">
        <v>185</v>
      </c>
      <c r="B137" s="1354"/>
      <c r="C137" s="1354"/>
      <c r="D137" s="1354"/>
      <c r="E137" s="1354"/>
      <c r="F137" s="1354"/>
      <c r="G137" s="1354"/>
      <c r="H137" s="1354"/>
      <c r="I137" s="1354"/>
      <c r="J137" s="1354"/>
      <c r="K137" s="1354"/>
      <c r="L137" s="1354"/>
      <c r="M137" s="1354"/>
      <c r="N137" s="1354"/>
      <c r="O137" s="1354"/>
      <c r="P137" s="1354"/>
      <c r="Q137" s="1354"/>
      <c r="R137" s="1354"/>
      <c r="S137" s="1354"/>
      <c r="T137" s="1354"/>
      <c r="U137" s="1354"/>
    </row>
    <row r="138" spans="1:21" ht="16.5">
      <c r="A138" s="1354" t="s">
        <v>322</v>
      </c>
      <c r="B138" s="1354"/>
      <c r="C138" s="1354"/>
      <c r="D138" s="1354"/>
      <c r="E138" s="1354"/>
      <c r="F138" s="1354"/>
      <c r="G138" s="1354"/>
      <c r="H138" s="1354"/>
      <c r="I138" s="1354"/>
      <c r="J138" s="1354"/>
      <c r="K138" s="1354"/>
      <c r="L138" s="1354"/>
      <c r="M138" s="1354"/>
      <c r="N138" s="1354"/>
      <c r="O138" s="1354"/>
      <c r="P138" s="1354"/>
      <c r="Q138" s="1354"/>
      <c r="R138" s="1354"/>
      <c r="S138" s="1354"/>
      <c r="T138" s="1354"/>
      <c r="U138" s="1354"/>
    </row>
    <row r="139" spans="1:21" ht="18.75" customHeight="1"/>
    <row r="140" spans="1:21" ht="50.25" customHeight="1">
      <c r="A140" s="1280" t="s">
        <v>0</v>
      </c>
      <c r="B140" s="1280" t="s">
        <v>186</v>
      </c>
      <c r="C140" s="1280" t="s">
        <v>13</v>
      </c>
      <c r="D140" s="1280" t="s">
        <v>139</v>
      </c>
      <c r="E140" s="1280"/>
      <c r="F140" s="1280" t="s">
        <v>140</v>
      </c>
      <c r="G140" s="1280"/>
      <c r="H140" s="1280" t="s">
        <v>141</v>
      </c>
      <c r="I140" s="1280"/>
      <c r="J140" s="1280" t="s">
        <v>142</v>
      </c>
      <c r="K140" s="1280"/>
      <c r="L140" s="1280" t="s">
        <v>143</v>
      </c>
      <c r="M140" s="1280"/>
      <c r="N140" s="1280" t="s">
        <v>144</v>
      </c>
      <c r="O140" s="1280"/>
      <c r="P140" s="1280" t="s">
        <v>188</v>
      </c>
      <c r="Q140" s="1280"/>
      <c r="R140" s="1280" t="s">
        <v>145</v>
      </c>
      <c r="S140" s="1280"/>
      <c r="T140" s="1280" t="s">
        <v>146</v>
      </c>
      <c r="U140" s="1280"/>
    </row>
    <row r="141" spans="1:21" ht="40.5" customHeight="1">
      <c r="A141" s="1280"/>
      <c r="B141" s="1280"/>
      <c r="C141" s="1280"/>
      <c r="D141" s="358" t="s">
        <v>137</v>
      </c>
      <c r="E141" s="358" t="s">
        <v>187</v>
      </c>
      <c r="F141" s="358" t="s">
        <v>137</v>
      </c>
      <c r="G141" s="358" t="s">
        <v>187</v>
      </c>
      <c r="H141" s="358" t="s">
        <v>137</v>
      </c>
      <c r="I141" s="358" t="s">
        <v>187</v>
      </c>
      <c r="J141" s="358" t="s">
        <v>137</v>
      </c>
      <c r="K141" s="358" t="s">
        <v>187</v>
      </c>
      <c r="L141" s="358" t="s">
        <v>137</v>
      </c>
      <c r="M141" s="358" t="s">
        <v>187</v>
      </c>
      <c r="N141" s="358" t="s">
        <v>137</v>
      </c>
      <c r="O141" s="358" t="s">
        <v>187</v>
      </c>
      <c r="P141" s="358" t="s">
        <v>137</v>
      </c>
      <c r="Q141" s="358" t="s">
        <v>187</v>
      </c>
      <c r="R141" s="358" t="s">
        <v>137</v>
      </c>
      <c r="S141" s="358" t="s">
        <v>187</v>
      </c>
      <c r="T141" s="358" t="s">
        <v>137</v>
      </c>
      <c r="U141" s="358" t="s">
        <v>187</v>
      </c>
    </row>
    <row r="142" spans="1:21" ht="35.25" customHeight="1">
      <c r="A142" s="358">
        <v>1</v>
      </c>
      <c r="B142" s="370" t="s">
        <v>14</v>
      </c>
      <c r="C142" s="358" t="s">
        <v>15</v>
      </c>
      <c r="D142" s="358">
        <f>D143+D145+D146+D147+D148+D149+D150+D151+D152</f>
        <v>202.39999999999998</v>
      </c>
      <c r="E142" s="358">
        <f t="shared" ref="E142:U142" si="28">E143+E145+E146+E147+E148+E149+E150+E151+E152</f>
        <v>0</v>
      </c>
      <c r="F142" s="358">
        <f t="shared" si="28"/>
        <v>0</v>
      </c>
      <c r="G142" s="358">
        <f t="shared" si="28"/>
        <v>0</v>
      </c>
      <c r="H142" s="358">
        <f t="shared" si="28"/>
        <v>338</v>
      </c>
      <c r="I142" s="358">
        <f t="shared" si="28"/>
        <v>0</v>
      </c>
      <c r="J142" s="358">
        <f t="shared" si="28"/>
        <v>34.18</v>
      </c>
      <c r="K142" s="358">
        <f t="shared" si="28"/>
        <v>0</v>
      </c>
      <c r="L142" s="358">
        <f t="shared" si="28"/>
        <v>564.25</v>
      </c>
      <c r="M142" s="358">
        <f t="shared" si="28"/>
        <v>0</v>
      </c>
      <c r="N142" s="358">
        <f t="shared" si="28"/>
        <v>0</v>
      </c>
      <c r="O142" s="358">
        <f t="shared" si="28"/>
        <v>0</v>
      </c>
      <c r="P142" s="358">
        <f t="shared" si="28"/>
        <v>0</v>
      </c>
      <c r="Q142" s="358">
        <f t="shared" si="28"/>
        <v>0</v>
      </c>
      <c r="R142" s="358">
        <f t="shared" si="28"/>
        <v>0</v>
      </c>
      <c r="S142" s="358">
        <f t="shared" si="28"/>
        <v>0</v>
      </c>
      <c r="T142" s="358">
        <f t="shared" si="28"/>
        <v>0</v>
      </c>
      <c r="U142" s="358">
        <f t="shared" si="28"/>
        <v>0</v>
      </c>
    </row>
    <row r="143" spans="1:21" ht="20.25" customHeight="1">
      <c r="A143" s="358" t="s">
        <v>16</v>
      </c>
      <c r="B143" s="370" t="s">
        <v>17</v>
      </c>
      <c r="C143" s="358" t="s">
        <v>18</v>
      </c>
      <c r="D143" s="358">
        <f t="shared" ref="D143:U143" si="29">D144</f>
        <v>200</v>
      </c>
      <c r="E143" s="358">
        <f t="shared" si="29"/>
        <v>0</v>
      </c>
      <c r="F143" s="358">
        <f t="shared" si="29"/>
        <v>0</v>
      </c>
      <c r="G143" s="358">
        <f t="shared" si="29"/>
        <v>0</v>
      </c>
      <c r="H143" s="358">
        <f t="shared" si="29"/>
        <v>0</v>
      </c>
      <c r="I143" s="358">
        <f t="shared" si="29"/>
        <v>0</v>
      </c>
      <c r="J143" s="358">
        <f t="shared" si="29"/>
        <v>0</v>
      </c>
      <c r="K143" s="358">
        <f t="shared" si="29"/>
        <v>0</v>
      </c>
      <c r="L143" s="358">
        <f t="shared" si="29"/>
        <v>0</v>
      </c>
      <c r="M143" s="358">
        <f t="shared" si="29"/>
        <v>0</v>
      </c>
      <c r="N143" s="358">
        <f t="shared" si="29"/>
        <v>0</v>
      </c>
      <c r="O143" s="358">
        <f t="shared" si="29"/>
        <v>0</v>
      </c>
      <c r="P143" s="358">
        <f t="shared" si="29"/>
        <v>0</v>
      </c>
      <c r="Q143" s="358">
        <f t="shared" si="29"/>
        <v>0</v>
      </c>
      <c r="R143" s="358">
        <f t="shared" si="29"/>
        <v>0</v>
      </c>
      <c r="S143" s="358">
        <f t="shared" si="29"/>
        <v>0</v>
      </c>
      <c r="T143" s="358">
        <f t="shared" si="29"/>
        <v>0</v>
      </c>
      <c r="U143" s="358">
        <f t="shared" si="29"/>
        <v>0</v>
      </c>
    </row>
    <row r="144" spans="1:21" ht="20.25" customHeight="1">
      <c r="A144" s="358"/>
      <c r="B144" s="370" t="s">
        <v>19</v>
      </c>
      <c r="C144" s="358" t="s">
        <v>20</v>
      </c>
      <c r="D144" s="358">
        <v>200</v>
      </c>
      <c r="E144" s="358"/>
      <c r="F144" s="358"/>
      <c r="G144" s="358"/>
      <c r="H144" s="358"/>
      <c r="I144" s="358"/>
      <c r="J144" s="358"/>
      <c r="K144" s="358"/>
      <c r="L144" s="358"/>
      <c r="M144" s="358"/>
      <c r="N144" s="358"/>
      <c r="O144" s="358"/>
      <c r="P144" s="358"/>
      <c r="Q144" s="358"/>
      <c r="R144" s="358"/>
      <c r="S144" s="358"/>
      <c r="T144" s="358"/>
      <c r="U144" s="358"/>
    </row>
    <row r="145" spans="1:21" ht="20.25" customHeight="1">
      <c r="A145" s="358" t="s">
        <v>21</v>
      </c>
      <c r="B145" s="370" t="s">
        <v>22</v>
      </c>
      <c r="C145" s="358" t="s">
        <v>23</v>
      </c>
      <c r="D145" s="358">
        <v>1.2</v>
      </c>
      <c r="E145" s="358"/>
      <c r="F145" s="358"/>
      <c r="G145" s="358"/>
      <c r="H145" s="358"/>
      <c r="I145" s="358"/>
      <c r="J145" s="358"/>
      <c r="K145" s="358"/>
      <c r="L145" s="358">
        <f>0.58+0.12</f>
        <v>0.7</v>
      </c>
      <c r="M145" s="358"/>
      <c r="N145" s="358"/>
      <c r="O145" s="358"/>
      <c r="P145" s="358"/>
      <c r="Q145" s="358"/>
      <c r="R145" s="358"/>
      <c r="S145" s="358"/>
      <c r="T145" s="358"/>
      <c r="U145" s="358"/>
    </row>
    <row r="146" spans="1:21" ht="20.25" customHeight="1">
      <c r="A146" s="358" t="s">
        <v>24</v>
      </c>
      <c r="B146" s="370" t="s">
        <v>25</v>
      </c>
      <c r="C146" s="358" t="s">
        <v>26</v>
      </c>
      <c r="D146" s="358"/>
      <c r="E146" s="358"/>
      <c r="F146" s="358"/>
      <c r="G146" s="358"/>
      <c r="H146" s="358"/>
      <c r="I146" s="358"/>
      <c r="J146" s="358"/>
      <c r="K146" s="358"/>
      <c r="L146" s="358">
        <v>0.55000000000000004</v>
      </c>
      <c r="M146" s="358"/>
      <c r="N146" s="358"/>
      <c r="O146" s="358"/>
      <c r="P146" s="358"/>
      <c r="Q146" s="358"/>
      <c r="R146" s="358"/>
      <c r="S146" s="358"/>
      <c r="T146" s="358"/>
      <c r="U146" s="358"/>
    </row>
    <row r="147" spans="1:21" ht="20.25" customHeight="1">
      <c r="A147" s="358" t="s">
        <v>27</v>
      </c>
      <c r="B147" s="370" t="s">
        <v>28</v>
      </c>
      <c r="C147" s="358" t="s">
        <v>29</v>
      </c>
      <c r="D147" s="358"/>
      <c r="E147" s="358"/>
      <c r="F147" s="358"/>
      <c r="G147" s="358"/>
      <c r="H147" s="358">
        <v>338</v>
      </c>
      <c r="I147" s="358"/>
      <c r="J147" s="358"/>
      <c r="K147" s="358"/>
      <c r="L147" s="358"/>
      <c r="M147" s="358"/>
      <c r="N147" s="358"/>
      <c r="O147" s="358"/>
      <c r="P147" s="358"/>
      <c r="Q147" s="358"/>
      <c r="R147" s="358"/>
      <c r="S147" s="358"/>
      <c r="T147" s="358"/>
      <c r="U147" s="358"/>
    </row>
    <row r="148" spans="1:21" ht="20.25" customHeight="1">
      <c r="A148" s="358" t="s">
        <v>30</v>
      </c>
      <c r="B148" s="370" t="s">
        <v>31</v>
      </c>
      <c r="C148" s="358" t="s">
        <v>32</v>
      </c>
      <c r="D148" s="358"/>
      <c r="E148" s="358"/>
      <c r="F148" s="358"/>
      <c r="G148" s="358"/>
      <c r="H148" s="358"/>
      <c r="I148" s="358"/>
      <c r="J148" s="358">
        <f>'[1]Minh Thanh'!BN20</f>
        <v>34.18</v>
      </c>
      <c r="K148" s="358"/>
      <c r="L148" s="358"/>
      <c r="M148" s="358"/>
      <c r="N148" s="358"/>
      <c r="O148" s="358"/>
      <c r="P148" s="358"/>
      <c r="Q148" s="358"/>
      <c r="R148" s="358"/>
      <c r="S148" s="358"/>
      <c r="T148" s="358"/>
      <c r="U148" s="358"/>
    </row>
    <row r="149" spans="1:21" ht="20.25" customHeight="1">
      <c r="A149" s="358" t="s">
        <v>33</v>
      </c>
      <c r="B149" s="370" t="s">
        <v>34</v>
      </c>
      <c r="C149" s="358" t="s">
        <v>35</v>
      </c>
      <c r="D149" s="358"/>
      <c r="E149" s="358"/>
      <c r="F149" s="358"/>
      <c r="G149" s="358"/>
      <c r="H149" s="358"/>
      <c r="I149" s="358"/>
      <c r="J149" s="358"/>
      <c r="K149" s="358"/>
      <c r="L149" s="358">
        <v>563</v>
      </c>
      <c r="M149" s="358"/>
      <c r="N149" s="358"/>
      <c r="O149" s="358"/>
      <c r="P149" s="358"/>
      <c r="Q149" s="358"/>
      <c r="R149" s="358"/>
      <c r="S149" s="358"/>
      <c r="T149" s="358"/>
      <c r="U149" s="358"/>
    </row>
    <row r="150" spans="1:21" ht="20.25" customHeight="1">
      <c r="A150" s="358" t="s">
        <v>36</v>
      </c>
      <c r="B150" s="370" t="s">
        <v>37</v>
      </c>
      <c r="C150" s="358" t="s">
        <v>38</v>
      </c>
      <c r="D150" s="358">
        <v>1.2</v>
      </c>
      <c r="E150" s="358"/>
      <c r="F150" s="358"/>
      <c r="G150" s="358"/>
      <c r="H150" s="358"/>
      <c r="I150" s="358"/>
      <c r="J150" s="358"/>
      <c r="K150" s="358"/>
      <c r="L150" s="358"/>
      <c r="M150" s="358"/>
      <c r="N150" s="358"/>
      <c r="O150" s="358"/>
      <c r="P150" s="358"/>
      <c r="Q150" s="358"/>
      <c r="R150" s="358"/>
      <c r="S150" s="358"/>
      <c r="T150" s="358"/>
      <c r="U150" s="358"/>
    </row>
    <row r="151" spans="1:21" ht="20.25" customHeight="1">
      <c r="A151" s="358" t="s">
        <v>39</v>
      </c>
      <c r="B151" s="370" t="s">
        <v>40</v>
      </c>
      <c r="C151" s="358" t="s">
        <v>41</v>
      </c>
      <c r="D151" s="358"/>
      <c r="E151" s="358"/>
      <c r="F151" s="358"/>
      <c r="G151" s="358"/>
      <c r="H151" s="358"/>
      <c r="I151" s="358"/>
      <c r="J151" s="358"/>
      <c r="K151" s="358"/>
      <c r="L151" s="358"/>
      <c r="M151" s="358"/>
      <c r="N151" s="358"/>
      <c r="O151" s="358"/>
      <c r="P151" s="358"/>
      <c r="Q151" s="358"/>
      <c r="R151" s="358"/>
      <c r="S151" s="358"/>
      <c r="T151" s="358"/>
      <c r="U151" s="358"/>
    </row>
    <row r="152" spans="1:21" ht="20.25" customHeight="1">
      <c r="A152" s="358">
        <v>2</v>
      </c>
      <c r="B152" s="370" t="s">
        <v>43</v>
      </c>
      <c r="C152" s="358" t="s">
        <v>44</v>
      </c>
      <c r="D152" s="358"/>
      <c r="E152" s="358"/>
      <c r="F152" s="358"/>
      <c r="G152" s="358"/>
      <c r="H152" s="358"/>
      <c r="I152" s="358"/>
      <c r="J152" s="358"/>
      <c r="K152" s="358"/>
      <c r="L152" s="358"/>
      <c r="M152" s="358"/>
      <c r="N152" s="358"/>
      <c r="O152" s="358"/>
      <c r="P152" s="358"/>
      <c r="Q152" s="358"/>
      <c r="R152" s="358"/>
      <c r="S152" s="358"/>
      <c r="T152" s="358"/>
      <c r="U152" s="358"/>
    </row>
    <row r="153" spans="1:21" ht="20.25" customHeight="1">
      <c r="A153" s="358">
        <v>2</v>
      </c>
      <c r="B153" s="370" t="s">
        <v>45</v>
      </c>
      <c r="C153" s="358" t="s">
        <v>46</v>
      </c>
      <c r="D153" s="358">
        <f>SUM(D154:D179)</f>
        <v>2.9</v>
      </c>
      <c r="E153" s="358">
        <f t="shared" ref="E153:U153" si="30">SUM(E154:E179)</f>
        <v>0</v>
      </c>
      <c r="F153" s="358">
        <f t="shared" si="30"/>
        <v>0</v>
      </c>
      <c r="G153" s="358">
        <f t="shared" si="30"/>
        <v>0</v>
      </c>
      <c r="H153" s="358">
        <f t="shared" si="30"/>
        <v>5.0999999999999996</v>
      </c>
      <c r="I153" s="358">
        <f t="shared" si="30"/>
        <v>0</v>
      </c>
      <c r="J153" s="358">
        <f t="shared" si="30"/>
        <v>0</v>
      </c>
      <c r="K153" s="358">
        <f t="shared" si="30"/>
        <v>0</v>
      </c>
      <c r="L153" s="358">
        <f t="shared" si="30"/>
        <v>39.89</v>
      </c>
      <c r="M153" s="358">
        <f t="shared" si="30"/>
        <v>0</v>
      </c>
      <c r="N153" s="358">
        <f t="shared" si="30"/>
        <v>56</v>
      </c>
      <c r="O153" s="358">
        <f t="shared" si="30"/>
        <v>0</v>
      </c>
      <c r="P153" s="358">
        <f t="shared" si="30"/>
        <v>182.47</v>
      </c>
      <c r="Q153" s="358">
        <f t="shared" si="30"/>
        <v>0</v>
      </c>
      <c r="R153" s="358">
        <f t="shared" si="30"/>
        <v>0</v>
      </c>
      <c r="S153" s="358">
        <f t="shared" si="30"/>
        <v>0</v>
      </c>
      <c r="T153" s="358">
        <f t="shared" si="30"/>
        <v>0</v>
      </c>
      <c r="U153" s="358">
        <f t="shared" si="30"/>
        <v>0</v>
      </c>
    </row>
    <row r="154" spans="1:21" ht="20.25" customHeight="1">
      <c r="A154" s="358" t="s">
        <v>47</v>
      </c>
      <c r="B154" s="370" t="s">
        <v>48</v>
      </c>
      <c r="C154" s="358" t="s">
        <v>49</v>
      </c>
      <c r="D154" s="358"/>
      <c r="E154" s="358"/>
      <c r="F154" s="358"/>
      <c r="G154" s="358"/>
      <c r="H154" s="358"/>
      <c r="I154" s="358"/>
      <c r="J154" s="358"/>
      <c r="K154" s="358"/>
      <c r="L154" s="358">
        <v>26.5</v>
      </c>
      <c r="M154" s="358"/>
      <c r="N154" s="358"/>
      <c r="O154" s="358"/>
      <c r="P154" s="358"/>
      <c r="Q154" s="358"/>
      <c r="R154" s="358"/>
      <c r="S154" s="358"/>
      <c r="T154" s="358"/>
      <c r="U154" s="358"/>
    </row>
    <row r="155" spans="1:21" ht="20.25" customHeight="1">
      <c r="A155" s="358" t="s">
        <v>50</v>
      </c>
      <c r="B155" s="370" t="s">
        <v>51</v>
      </c>
      <c r="C155" s="358" t="s">
        <v>52</v>
      </c>
      <c r="D155" s="358"/>
      <c r="E155" s="358"/>
      <c r="F155" s="358"/>
      <c r="G155" s="358"/>
      <c r="H155" s="358"/>
      <c r="I155" s="358"/>
      <c r="J155" s="358"/>
      <c r="K155" s="358"/>
      <c r="L155" s="358"/>
      <c r="M155" s="358"/>
      <c r="N155" s="358"/>
      <c r="O155" s="358"/>
      <c r="P155" s="358"/>
      <c r="Q155" s="358"/>
      <c r="R155" s="358"/>
      <c r="S155" s="358"/>
      <c r="T155" s="358"/>
      <c r="U155" s="358"/>
    </row>
    <row r="156" spans="1:21" ht="20.25" customHeight="1">
      <c r="A156" s="358" t="s">
        <v>53</v>
      </c>
      <c r="B156" s="370" t="s">
        <v>54</v>
      </c>
      <c r="C156" s="358" t="s">
        <v>55</v>
      </c>
      <c r="D156" s="358"/>
      <c r="E156" s="358"/>
      <c r="F156" s="358"/>
      <c r="G156" s="358"/>
      <c r="H156" s="358"/>
      <c r="I156" s="358"/>
      <c r="J156" s="358"/>
      <c r="K156" s="358"/>
      <c r="L156" s="358"/>
      <c r="M156" s="358"/>
      <c r="N156" s="358">
        <v>56</v>
      </c>
      <c r="O156" s="358"/>
      <c r="P156" s="358"/>
      <c r="Q156" s="358"/>
      <c r="R156" s="358"/>
      <c r="S156" s="358"/>
      <c r="T156" s="358"/>
      <c r="U156" s="358"/>
    </row>
    <row r="157" spans="1:21" ht="20.25" customHeight="1">
      <c r="A157" s="358" t="s">
        <v>56</v>
      </c>
      <c r="B157" s="370" t="s">
        <v>57</v>
      </c>
      <c r="C157" s="358" t="s">
        <v>58</v>
      </c>
      <c r="D157" s="358"/>
      <c r="E157" s="358"/>
      <c r="F157" s="358"/>
      <c r="G157" s="358"/>
      <c r="H157" s="358"/>
      <c r="I157" s="358"/>
      <c r="J157" s="358"/>
      <c r="K157" s="358"/>
      <c r="L157" s="358"/>
      <c r="M157" s="358"/>
      <c r="N157" s="358"/>
      <c r="O157" s="358"/>
      <c r="P157" s="358"/>
      <c r="Q157" s="358"/>
      <c r="R157" s="358"/>
      <c r="S157" s="358"/>
      <c r="T157" s="358"/>
      <c r="U157" s="358"/>
    </row>
    <row r="158" spans="1:21" ht="20.25" customHeight="1">
      <c r="A158" s="358" t="s">
        <v>59</v>
      </c>
      <c r="B158" s="370" t="s">
        <v>60</v>
      </c>
      <c r="C158" s="358" t="s">
        <v>61</v>
      </c>
      <c r="D158" s="358"/>
      <c r="E158" s="358"/>
      <c r="F158" s="358"/>
      <c r="G158" s="358"/>
      <c r="H158" s="358"/>
      <c r="I158" s="358"/>
      <c r="J158" s="358"/>
      <c r="K158" s="358"/>
      <c r="L158" s="358"/>
      <c r="M158" s="358"/>
      <c r="N158" s="358"/>
      <c r="O158" s="358"/>
      <c r="P158" s="358"/>
      <c r="Q158" s="358"/>
      <c r="R158" s="358"/>
      <c r="S158" s="358"/>
      <c r="T158" s="358"/>
      <c r="U158" s="358"/>
    </row>
    <row r="159" spans="1:21" ht="20.25" customHeight="1">
      <c r="A159" s="358" t="s">
        <v>62</v>
      </c>
      <c r="B159" s="370" t="s">
        <v>63</v>
      </c>
      <c r="C159" s="358" t="s">
        <v>64</v>
      </c>
      <c r="D159" s="358"/>
      <c r="E159" s="358"/>
      <c r="F159" s="358"/>
      <c r="G159" s="358"/>
      <c r="H159" s="358"/>
      <c r="I159" s="358"/>
      <c r="J159" s="358"/>
      <c r="K159" s="358"/>
      <c r="L159" s="358"/>
      <c r="M159" s="358"/>
      <c r="N159" s="358"/>
      <c r="O159" s="358"/>
      <c r="P159" s="358">
        <v>15</v>
      </c>
      <c r="Q159" s="358"/>
      <c r="R159" s="358"/>
      <c r="S159" s="358"/>
      <c r="T159" s="358"/>
      <c r="U159" s="358"/>
    </row>
    <row r="160" spans="1:21" ht="20.25" customHeight="1">
      <c r="A160" s="358" t="s">
        <v>65</v>
      </c>
      <c r="B160" s="370" t="s">
        <v>66</v>
      </c>
      <c r="C160" s="358" t="s">
        <v>67</v>
      </c>
      <c r="D160" s="358"/>
      <c r="E160" s="358"/>
      <c r="F160" s="358"/>
      <c r="G160" s="358"/>
      <c r="H160" s="358"/>
      <c r="I160" s="358"/>
      <c r="J160" s="358"/>
      <c r="K160" s="358"/>
      <c r="L160" s="358"/>
      <c r="M160" s="358"/>
      <c r="N160" s="358"/>
      <c r="O160" s="358"/>
      <c r="P160" s="358"/>
      <c r="Q160" s="358"/>
      <c r="R160" s="358"/>
      <c r="S160" s="358"/>
      <c r="T160" s="358"/>
      <c r="U160" s="358"/>
    </row>
    <row r="161" spans="1:21" ht="20.25" customHeight="1">
      <c r="A161" s="358" t="s">
        <v>68</v>
      </c>
      <c r="B161" s="370" t="s">
        <v>69</v>
      </c>
      <c r="C161" s="358" t="s">
        <v>70</v>
      </c>
      <c r="D161" s="358"/>
      <c r="E161" s="358"/>
      <c r="F161" s="358"/>
      <c r="G161" s="358"/>
      <c r="H161" s="358"/>
      <c r="I161" s="358"/>
      <c r="J161" s="358"/>
      <c r="K161" s="358"/>
      <c r="L161" s="358"/>
      <c r="M161" s="358"/>
      <c r="N161" s="358"/>
      <c r="O161" s="358"/>
      <c r="P161" s="358"/>
      <c r="Q161" s="358"/>
      <c r="R161" s="358"/>
      <c r="S161" s="358"/>
      <c r="T161" s="358"/>
      <c r="U161" s="358"/>
    </row>
    <row r="162" spans="1:21" ht="30.75" customHeight="1">
      <c r="A162" s="358" t="s">
        <v>71</v>
      </c>
      <c r="B162" s="370" t="s">
        <v>135</v>
      </c>
      <c r="C162" s="358" t="s">
        <v>72</v>
      </c>
      <c r="D162" s="358">
        <v>2.9</v>
      </c>
      <c r="E162" s="358"/>
      <c r="F162" s="358"/>
      <c r="G162" s="358"/>
      <c r="H162" s="358">
        <v>0.7</v>
      </c>
      <c r="I162" s="358"/>
      <c r="J162" s="358"/>
      <c r="K162" s="358"/>
      <c r="L162" s="358">
        <v>1.2</v>
      </c>
      <c r="M162" s="358"/>
      <c r="N162" s="358"/>
      <c r="O162" s="358"/>
      <c r="P162" s="358">
        <f>45.2+81.77</f>
        <v>126.97</v>
      </c>
      <c r="Q162" s="358"/>
      <c r="R162" s="358"/>
      <c r="S162" s="358"/>
      <c r="T162" s="358"/>
      <c r="U162" s="358"/>
    </row>
    <row r="163" spans="1:21" ht="34.5" customHeight="1">
      <c r="A163" s="358" t="s">
        <v>73</v>
      </c>
      <c r="B163" s="370" t="s">
        <v>74</v>
      </c>
      <c r="C163" s="358" t="s">
        <v>75</v>
      </c>
      <c r="D163" s="358"/>
      <c r="E163" s="358"/>
      <c r="F163" s="358"/>
      <c r="G163" s="358"/>
      <c r="H163" s="358"/>
      <c r="I163" s="358"/>
      <c r="J163" s="358"/>
      <c r="K163" s="358"/>
      <c r="L163" s="358"/>
      <c r="M163" s="358"/>
      <c r="N163" s="358"/>
      <c r="O163" s="358"/>
      <c r="P163" s="358"/>
      <c r="Q163" s="358"/>
      <c r="R163" s="358"/>
      <c r="S163" s="358"/>
      <c r="T163" s="358"/>
      <c r="U163" s="358"/>
    </row>
    <row r="164" spans="1:21" ht="20.25" customHeight="1">
      <c r="A164" s="358" t="s">
        <v>76</v>
      </c>
      <c r="B164" s="370" t="s">
        <v>77</v>
      </c>
      <c r="C164" s="358" t="s">
        <v>78</v>
      </c>
      <c r="D164" s="358"/>
      <c r="E164" s="358"/>
      <c r="F164" s="358"/>
      <c r="G164" s="358"/>
      <c r="H164" s="358"/>
      <c r="I164" s="358"/>
      <c r="J164" s="358"/>
      <c r="K164" s="358"/>
      <c r="L164" s="358"/>
      <c r="M164" s="358"/>
      <c r="N164" s="358"/>
      <c r="O164" s="358"/>
      <c r="P164" s="358"/>
      <c r="Q164" s="358"/>
      <c r="R164" s="358"/>
      <c r="S164" s="358"/>
      <c r="T164" s="358"/>
      <c r="U164" s="358"/>
    </row>
    <row r="165" spans="1:21" ht="20.25" customHeight="1">
      <c r="A165" s="358" t="s">
        <v>79</v>
      </c>
      <c r="B165" s="370" t="s">
        <v>80</v>
      </c>
      <c r="C165" s="358" t="s">
        <v>81</v>
      </c>
      <c r="D165" s="358"/>
      <c r="E165" s="358"/>
      <c r="F165" s="358"/>
      <c r="G165" s="358"/>
      <c r="H165" s="358"/>
      <c r="I165" s="358"/>
      <c r="J165" s="358"/>
      <c r="K165" s="358"/>
      <c r="L165" s="358"/>
      <c r="M165" s="358"/>
      <c r="N165" s="358"/>
      <c r="O165" s="358"/>
      <c r="P165" s="358"/>
      <c r="Q165" s="358"/>
      <c r="R165" s="358"/>
      <c r="S165" s="358"/>
      <c r="T165" s="358"/>
      <c r="U165" s="358"/>
    </row>
    <row r="166" spans="1:21" ht="20.25" customHeight="1">
      <c r="A166" s="358" t="s">
        <v>82</v>
      </c>
      <c r="B166" s="370" t="s">
        <v>83</v>
      </c>
      <c r="C166" s="358" t="s">
        <v>84</v>
      </c>
      <c r="D166" s="358"/>
      <c r="E166" s="358"/>
      <c r="F166" s="358"/>
      <c r="G166" s="358"/>
      <c r="H166" s="358"/>
      <c r="I166" s="358"/>
      <c r="J166" s="358"/>
      <c r="K166" s="358"/>
      <c r="L166" s="358"/>
      <c r="M166" s="358"/>
      <c r="N166" s="358"/>
      <c r="O166" s="358"/>
      <c r="P166" s="358"/>
      <c r="Q166" s="358"/>
      <c r="R166" s="358"/>
      <c r="S166" s="358"/>
      <c r="T166" s="358"/>
      <c r="U166" s="358"/>
    </row>
    <row r="167" spans="1:21" ht="20.25" customHeight="1">
      <c r="A167" s="358" t="s">
        <v>85</v>
      </c>
      <c r="B167" s="370" t="s">
        <v>86</v>
      </c>
      <c r="C167" s="358" t="s">
        <v>87</v>
      </c>
      <c r="D167" s="358"/>
      <c r="E167" s="358"/>
      <c r="F167" s="358"/>
      <c r="G167" s="358"/>
      <c r="H167" s="358"/>
      <c r="I167" s="358"/>
      <c r="J167" s="358"/>
      <c r="K167" s="358"/>
      <c r="L167" s="358">
        <v>0.94</v>
      </c>
      <c r="M167" s="358"/>
      <c r="N167" s="358"/>
      <c r="O167" s="358"/>
      <c r="P167" s="358">
        <v>40.5</v>
      </c>
      <c r="Q167" s="358"/>
      <c r="R167" s="358"/>
      <c r="S167" s="358"/>
      <c r="T167" s="358"/>
      <c r="U167" s="358"/>
    </row>
    <row r="168" spans="1:21" ht="20.25" customHeight="1">
      <c r="A168" s="358" t="s">
        <v>88</v>
      </c>
      <c r="B168" s="370" t="s">
        <v>89</v>
      </c>
      <c r="C168" s="358" t="s">
        <v>90</v>
      </c>
      <c r="D168" s="358"/>
      <c r="E168" s="358"/>
      <c r="F168" s="358"/>
      <c r="G168" s="358"/>
      <c r="H168" s="358"/>
      <c r="I168" s="358"/>
      <c r="J168" s="358"/>
      <c r="K168" s="358"/>
      <c r="L168" s="358"/>
      <c r="M168" s="358"/>
      <c r="N168" s="358"/>
      <c r="O168" s="358"/>
      <c r="P168" s="358"/>
      <c r="Q168" s="358"/>
      <c r="R168" s="358"/>
      <c r="S168" s="358"/>
      <c r="T168" s="358"/>
      <c r="U168" s="358"/>
    </row>
    <row r="169" spans="1:21" ht="20.25" customHeight="1">
      <c r="A169" s="358" t="s">
        <v>91</v>
      </c>
      <c r="B169" s="370" t="s">
        <v>92</v>
      </c>
      <c r="C169" s="358" t="s">
        <v>93</v>
      </c>
      <c r="D169" s="358"/>
      <c r="E169" s="358"/>
      <c r="F169" s="358"/>
      <c r="G169" s="358"/>
      <c r="H169" s="358">
        <v>0.2</v>
      </c>
      <c r="I169" s="358"/>
      <c r="J169" s="358"/>
      <c r="K169" s="358"/>
      <c r="L169" s="358"/>
      <c r="M169" s="358"/>
      <c r="N169" s="358"/>
      <c r="O169" s="358"/>
      <c r="P169" s="358"/>
      <c r="Q169" s="358"/>
      <c r="R169" s="358"/>
      <c r="S169" s="358"/>
      <c r="T169" s="358"/>
      <c r="U169" s="358"/>
    </row>
    <row r="170" spans="1:21" ht="20.25" customHeight="1">
      <c r="A170" s="358" t="s">
        <v>94</v>
      </c>
      <c r="B170" s="370" t="s">
        <v>95</v>
      </c>
      <c r="C170" s="358" t="s">
        <v>96</v>
      </c>
      <c r="D170" s="358"/>
      <c r="E170" s="358"/>
      <c r="F170" s="358"/>
      <c r="G170" s="358"/>
      <c r="H170" s="358"/>
      <c r="I170" s="358"/>
      <c r="J170" s="358"/>
      <c r="K170" s="358"/>
      <c r="L170" s="358"/>
      <c r="M170" s="358"/>
      <c r="N170" s="358"/>
      <c r="O170" s="358"/>
      <c r="P170" s="358"/>
      <c r="Q170" s="358"/>
      <c r="R170" s="358"/>
      <c r="S170" s="358"/>
      <c r="T170" s="358"/>
      <c r="U170" s="358"/>
    </row>
    <row r="171" spans="1:21" ht="20.25" customHeight="1">
      <c r="A171" s="358" t="s">
        <v>97</v>
      </c>
      <c r="B171" s="370" t="s">
        <v>98</v>
      </c>
      <c r="C171" s="358" t="s">
        <v>99</v>
      </c>
      <c r="D171" s="358"/>
      <c r="E171" s="358"/>
      <c r="F171" s="358"/>
      <c r="G171" s="358"/>
      <c r="H171" s="358"/>
      <c r="I171" s="358"/>
      <c r="J171" s="358"/>
      <c r="K171" s="358"/>
      <c r="L171" s="358">
        <v>11.25</v>
      </c>
      <c r="M171" s="358"/>
      <c r="N171" s="358"/>
      <c r="O171" s="358"/>
      <c r="P171" s="358"/>
      <c r="Q171" s="358"/>
      <c r="R171" s="358"/>
      <c r="S171" s="358"/>
      <c r="T171" s="358"/>
      <c r="U171" s="358"/>
    </row>
    <row r="172" spans="1:21" ht="20.25" customHeight="1">
      <c r="A172" s="358" t="s">
        <v>100</v>
      </c>
      <c r="B172" s="370" t="s">
        <v>134</v>
      </c>
      <c r="C172" s="358" t="s">
        <v>101</v>
      </c>
      <c r="D172" s="358"/>
      <c r="E172" s="358"/>
      <c r="F172" s="358"/>
      <c r="G172" s="358"/>
      <c r="H172" s="358"/>
      <c r="I172" s="358"/>
      <c r="J172" s="358"/>
      <c r="K172" s="358"/>
      <c r="L172" s="358"/>
      <c r="M172" s="358"/>
      <c r="N172" s="358"/>
      <c r="O172" s="358"/>
      <c r="P172" s="358"/>
      <c r="Q172" s="358"/>
      <c r="R172" s="358"/>
      <c r="S172" s="358"/>
      <c r="T172" s="358"/>
      <c r="U172" s="358"/>
    </row>
    <row r="173" spans="1:21" ht="33" customHeight="1">
      <c r="A173" s="358" t="s">
        <v>102</v>
      </c>
      <c r="B173" s="370" t="s">
        <v>103</v>
      </c>
      <c r="C173" s="358" t="s">
        <v>104</v>
      </c>
      <c r="D173" s="358"/>
      <c r="E173" s="358"/>
      <c r="F173" s="358"/>
      <c r="G173" s="358"/>
      <c r="H173" s="358"/>
      <c r="I173" s="358"/>
      <c r="J173" s="358"/>
      <c r="K173" s="358"/>
      <c r="L173" s="358"/>
      <c r="M173" s="358"/>
      <c r="N173" s="358"/>
      <c r="O173" s="358"/>
      <c r="P173" s="358"/>
      <c r="Q173" s="358"/>
      <c r="R173" s="358"/>
      <c r="S173" s="358"/>
      <c r="T173" s="358"/>
      <c r="U173" s="358"/>
    </row>
    <row r="174" spans="1:21" ht="20.25" customHeight="1">
      <c r="A174" s="358" t="s">
        <v>105</v>
      </c>
      <c r="B174" s="370" t="s">
        <v>106</v>
      </c>
      <c r="C174" s="358" t="s">
        <v>107</v>
      </c>
      <c r="D174" s="358"/>
      <c r="E174" s="358"/>
      <c r="F174" s="358"/>
      <c r="G174" s="358"/>
      <c r="H174" s="358"/>
      <c r="I174" s="358"/>
      <c r="J174" s="358"/>
      <c r="K174" s="358"/>
      <c r="L174" s="358"/>
      <c r="M174" s="358"/>
      <c r="N174" s="358"/>
      <c r="O174" s="358"/>
      <c r="P174" s="358"/>
      <c r="Q174" s="358"/>
      <c r="R174" s="358"/>
      <c r="S174" s="358"/>
      <c r="T174" s="358"/>
      <c r="U174" s="358"/>
    </row>
    <row r="175" spans="1:21" ht="20.25" customHeight="1">
      <c r="A175" s="358" t="s">
        <v>108</v>
      </c>
      <c r="B175" s="370" t="s">
        <v>109</v>
      </c>
      <c r="C175" s="358" t="s">
        <v>110</v>
      </c>
      <c r="D175" s="358"/>
      <c r="E175" s="358"/>
      <c r="F175" s="358"/>
      <c r="G175" s="358"/>
      <c r="H175" s="358"/>
      <c r="I175" s="358"/>
      <c r="J175" s="358"/>
      <c r="K175" s="358"/>
      <c r="L175" s="358"/>
      <c r="M175" s="358"/>
      <c r="N175" s="358"/>
      <c r="O175" s="358"/>
      <c r="P175" s="358"/>
      <c r="Q175" s="358"/>
      <c r="R175" s="358"/>
      <c r="S175" s="358"/>
      <c r="T175" s="358"/>
      <c r="U175" s="358"/>
    </row>
    <row r="176" spans="1:21" ht="20.25" customHeight="1">
      <c r="A176" s="358" t="s">
        <v>111</v>
      </c>
      <c r="B176" s="370" t="s">
        <v>112</v>
      </c>
      <c r="C176" s="358" t="s">
        <v>113</v>
      </c>
      <c r="D176" s="358"/>
      <c r="E176" s="358"/>
      <c r="F176" s="358"/>
      <c r="G176" s="358"/>
      <c r="H176" s="358">
        <v>4.2</v>
      </c>
      <c r="I176" s="358"/>
      <c r="J176" s="358"/>
      <c r="K176" s="358"/>
      <c r="L176" s="358"/>
      <c r="M176" s="358"/>
      <c r="N176" s="358"/>
      <c r="O176" s="358"/>
      <c r="P176" s="358"/>
      <c r="Q176" s="358"/>
      <c r="R176" s="358"/>
      <c r="S176" s="358"/>
      <c r="T176" s="358"/>
      <c r="U176" s="358"/>
    </row>
    <row r="177" spans="1:21" ht="20.25" customHeight="1">
      <c r="A177" s="358" t="s">
        <v>114</v>
      </c>
      <c r="B177" s="370" t="s">
        <v>115</v>
      </c>
      <c r="C177" s="358" t="s">
        <v>116</v>
      </c>
      <c r="D177" s="358"/>
      <c r="E177" s="358"/>
      <c r="F177" s="358"/>
      <c r="G177" s="358"/>
      <c r="H177" s="358"/>
      <c r="I177" s="358"/>
      <c r="J177" s="358"/>
      <c r="K177" s="358"/>
      <c r="L177" s="358"/>
      <c r="M177" s="358"/>
      <c r="N177" s="358"/>
      <c r="O177" s="358"/>
      <c r="P177" s="358"/>
      <c r="Q177" s="358"/>
      <c r="R177" s="358"/>
      <c r="S177" s="358"/>
      <c r="T177" s="358"/>
      <c r="U177" s="358"/>
    </row>
    <row r="178" spans="1:21" ht="20.25" customHeight="1">
      <c r="A178" s="358" t="s">
        <v>117</v>
      </c>
      <c r="B178" s="370" t="s">
        <v>118</v>
      </c>
      <c r="C178" s="358" t="s">
        <v>119</v>
      </c>
      <c r="D178" s="358"/>
      <c r="E178" s="358"/>
      <c r="F178" s="358"/>
      <c r="G178" s="358"/>
      <c r="H178" s="358"/>
      <c r="I178" s="358"/>
      <c r="J178" s="358"/>
      <c r="K178" s="358"/>
      <c r="L178" s="358"/>
      <c r="M178" s="358"/>
      <c r="N178" s="358"/>
      <c r="O178" s="358"/>
      <c r="P178" s="358"/>
      <c r="Q178" s="358"/>
      <c r="R178" s="358"/>
      <c r="S178" s="358"/>
      <c r="T178" s="358"/>
      <c r="U178" s="358"/>
    </row>
    <row r="179" spans="1:21" ht="20.25" customHeight="1">
      <c r="A179" s="358" t="s">
        <v>120</v>
      </c>
      <c r="B179" s="370" t="s">
        <v>121</v>
      </c>
      <c r="C179" s="358" t="s">
        <v>122</v>
      </c>
      <c r="D179" s="358"/>
      <c r="E179" s="358"/>
      <c r="F179" s="358"/>
      <c r="G179" s="358"/>
      <c r="H179" s="358"/>
      <c r="I179" s="358"/>
      <c r="J179" s="358"/>
      <c r="K179" s="358"/>
      <c r="L179" s="358"/>
      <c r="M179" s="358"/>
      <c r="N179" s="358"/>
      <c r="O179" s="358"/>
      <c r="P179" s="358"/>
      <c r="Q179" s="358"/>
      <c r="R179" s="358"/>
      <c r="S179" s="358"/>
      <c r="T179" s="358"/>
      <c r="U179" s="358"/>
    </row>
    <row r="180" spans="1:21" ht="20.25" customHeight="1">
      <c r="A180" s="358">
        <v>3</v>
      </c>
      <c r="B180" s="370" t="s">
        <v>123</v>
      </c>
      <c r="C180" s="358" t="s">
        <v>124</v>
      </c>
      <c r="D180" s="358"/>
      <c r="E180" s="358"/>
      <c r="F180" s="358"/>
      <c r="G180" s="358"/>
      <c r="H180" s="358"/>
      <c r="I180" s="358"/>
      <c r="J180" s="358"/>
      <c r="K180" s="358"/>
      <c r="L180" s="358"/>
      <c r="M180" s="358"/>
      <c r="N180" s="358"/>
      <c r="O180" s="358"/>
      <c r="P180" s="358"/>
      <c r="Q180" s="358"/>
      <c r="R180" s="358"/>
      <c r="S180" s="358"/>
      <c r="T180" s="358"/>
      <c r="U180" s="358"/>
    </row>
    <row r="181" spans="1:21" ht="20.25" customHeight="1">
      <c r="A181" s="1355" t="s">
        <v>349</v>
      </c>
      <c r="B181" s="1355"/>
      <c r="C181" s="372"/>
      <c r="D181" s="372"/>
      <c r="E181" s="372"/>
      <c r="F181" s="372"/>
      <c r="G181" s="372"/>
      <c r="H181" s="372"/>
      <c r="I181" s="372"/>
      <c r="J181" s="372"/>
      <c r="K181" s="372"/>
      <c r="L181" s="372"/>
      <c r="M181" s="372"/>
      <c r="N181" s="372"/>
      <c r="O181" s="372"/>
      <c r="P181" s="372"/>
      <c r="Q181" s="372"/>
      <c r="R181" s="372"/>
      <c r="S181" s="372"/>
      <c r="T181" s="372"/>
      <c r="U181" s="372"/>
    </row>
    <row r="182" spans="1:21" ht="21.75" customHeight="1">
      <c r="A182" s="1354" t="s">
        <v>185</v>
      </c>
      <c r="B182" s="1354"/>
      <c r="C182" s="1354"/>
      <c r="D182" s="1354"/>
      <c r="E182" s="1354"/>
      <c r="F182" s="1354"/>
      <c r="G182" s="1354"/>
      <c r="H182" s="1354"/>
      <c r="I182" s="1354"/>
      <c r="J182" s="1354"/>
      <c r="K182" s="1354"/>
      <c r="L182" s="1354"/>
      <c r="M182" s="1354"/>
      <c r="N182" s="1354"/>
      <c r="O182" s="1354"/>
      <c r="P182" s="1354"/>
      <c r="Q182" s="1354"/>
      <c r="R182" s="1354"/>
      <c r="S182" s="1354"/>
      <c r="T182" s="1354"/>
      <c r="U182" s="1354"/>
    </row>
    <row r="183" spans="1:21" ht="21.75" customHeight="1">
      <c r="A183" s="1354" t="s">
        <v>322</v>
      </c>
      <c r="B183" s="1354"/>
      <c r="C183" s="1354"/>
      <c r="D183" s="1354"/>
      <c r="E183" s="1354"/>
      <c r="F183" s="1354"/>
      <c r="G183" s="1354"/>
      <c r="H183" s="1354"/>
      <c r="I183" s="1354"/>
      <c r="J183" s="1354"/>
      <c r="K183" s="1354"/>
      <c r="L183" s="1354"/>
      <c r="M183" s="1354"/>
      <c r="N183" s="1354"/>
      <c r="O183" s="1354"/>
      <c r="P183" s="1354"/>
      <c r="Q183" s="1354"/>
      <c r="R183" s="1354"/>
      <c r="S183" s="1354"/>
      <c r="T183" s="1354"/>
      <c r="U183" s="1354"/>
    </row>
    <row r="184" spans="1:21" ht="21.75" customHeight="1"/>
    <row r="185" spans="1:21" ht="21.75" customHeight="1">
      <c r="A185" s="1280" t="s">
        <v>0</v>
      </c>
      <c r="B185" s="1280" t="s">
        <v>186</v>
      </c>
      <c r="C185" s="1280" t="s">
        <v>13</v>
      </c>
      <c r="D185" s="1280" t="s">
        <v>139</v>
      </c>
      <c r="E185" s="1280"/>
      <c r="F185" s="1280" t="s">
        <v>140</v>
      </c>
      <c r="G185" s="1280"/>
      <c r="H185" s="1280" t="s">
        <v>141</v>
      </c>
      <c r="I185" s="1280"/>
      <c r="J185" s="1280" t="s">
        <v>142</v>
      </c>
      <c r="K185" s="1280"/>
      <c r="L185" s="1280" t="s">
        <v>143</v>
      </c>
      <c r="M185" s="1280"/>
      <c r="N185" s="1280" t="s">
        <v>144</v>
      </c>
      <c r="O185" s="1280"/>
      <c r="P185" s="1280" t="s">
        <v>188</v>
      </c>
      <c r="Q185" s="1280"/>
      <c r="R185" s="1280" t="s">
        <v>145</v>
      </c>
      <c r="S185" s="1280"/>
      <c r="T185" s="1280" t="s">
        <v>146</v>
      </c>
      <c r="U185" s="1280"/>
    </row>
    <row r="186" spans="1:21" ht="21.75" customHeight="1">
      <c r="A186" s="1280"/>
      <c r="B186" s="1280"/>
      <c r="C186" s="1280"/>
      <c r="D186" s="358" t="s">
        <v>137</v>
      </c>
      <c r="E186" s="358" t="s">
        <v>187</v>
      </c>
      <c r="F186" s="358" t="s">
        <v>137</v>
      </c>
      <c r="G186" s="358" t="s">
        <v>187</v>
      </c>
      <c r="H186" s="358" t="s">
        <v>137</v>
      </c>
      <c r="I186" s="358" t="s">
        <v>187</v>
      </c>
      <c r="J186" s="358" t="s">
        <v>137</v>
      </c>
      <c r="K186" s="358" t="s">
        <v>187</v>
      </c>
      <c r="L186" s="358" t="s">
        <v>137</v>
      </c>
      <c r="M186" s="358" t="s">
        <v>187</v>
      </c>
      <c r="N186" s="358" t="s">
        <v>137</v>
      </c>
      <c r="O186" s="358" t="s">
        <v>187</v>
      </c>
      <c r="P186" s="358" t="s">
        <v>137</v>
      </c>
      <c r="Q186" s="358" t="s">
        <v>187</v>
      </c>
      <c r="R186" s="358" t="s">
        <v>137</v>
      </c>
      <c r="S186" s="358" t="s">
        <v>187</v>
      </c>
      <c r="T186" s="358" t="s">
        <v>137</v>
      </c>
      <c r="U186" s="358" t="s">
        <v>187</v>
      </c>
    </row>
    <row r="187" spans="1:21" ht="40.5" customHeight="1">
      <c r="A187" s="358">
        <v>1</v>
      </c>
      <c r="B187" s="370" t="s">
        <v>14</v>
      </c>
      <c r="C187" s="358" t="s">
        <v>15</v>
      </c>
      <c r="D187" s="358">
        <f>D188+D190+D191+D192+D193+D194+D195+D196+D197</f>
        <v>100.9</v>
      </c>
      <c r="E187" s="358">
        <f t="shared" ref="E187:U187" si="31">E188+E190+E191+E192+E193+E194+E195+E196+E197</f>
        <v>0</v>
      </c>
      <c r="F187" s="358">
        <f t="shared" si="31"/>
        <v>0</v>
      </c>
      <c r="G187" s="358">
        <f t="shared" si="31"/>
        <v>0</v>
      </c>
      <c r="H187" s="358">
        <f t="shared" si="31"/>
        <v>0</v>
      </c>
      <c r="I187" s="358">
        <f t="shared" si="31"/>
        <v>0</v>
      </c>
      <c r="J187" s="358">
        <f t="shared" si="31"/>
        <v>0</v>
      </c>
      <c r="K187" s="358">
        <f t="shared" si="31"/>
        <v>0</v>
      </c>
      <c r="L187" s="358">
        <f t="shared" si="31"/>
        <v>45</v>
      </c>
      <c r="M187" s="358">
        <f t="shared" si="31"/>
        <v>0</v>
      </c>
      <c r="N187" s="358">
        <f t="shared" si="31"/>
        <v>0</v>
      </c>
      <c r="O187" s="358">
        <f t="shared" si="31"/>
        <v>0</v>
      </c>
      <c r="P187" s="358">
        <f t="shared" si="31"/>
        <v>0</v>
      </c>
      <c r="Q187" s="358">
        <f t="shared" si="31"/>
        <v>0</v>
      </c>
      <c r="R187" s="358">
        <f t="shared" si="31"/>
        <v>0</v>
      </c>
      <c r="S187" s="358">
        <f t="shared" si="31"/>
        <v>0</v>
      </c>
      <c r="T187" s="358">
        <f t="shared" si="31"/>
        <v>0</v>
      </c>
      <c r="U187" s="358">
        <f t="shared" si="31"/>
        <v>0</v>
      </c>
    </row>
    <row r="188" spans="1:21" ht="21.75" customHeight="1">
      <c r="A188" s="358" t="s">
        <v>16</v>
      </c>
      <c r="B188" s="370" t="s">
        <v>17</v>
      </c>
      <c r="C188" s="358" t="s">
        <v>18</v>
      </c>
      <c r="D188" s="358">
        <f t="shared" ref="D188:U188" si="32">D189</f>
        <v>100</v>
      </c>
      <c r="E188" s="358">
        <f t="shared" si="32"/>
        <v>0</v>
      </c>
      <c r="F188" s="358">
        <f t="shared" si="32"/>
        <v>0</v>
      </c>
      <c r="G188" s="358">
        <f t="shared" si="32"/>
        <v>0</v>
      </c>
      <c r="H188" s="358">
        <f t="shared" si="32"/>
        <v>0</v>
      </c>
      <c r="I188" s="358">
        <f t="shared" si="32"/>
        <v>0</v>
      </c>
      <c r="J188" s="358">
        <f t="shared" si="32"/>
        <v>0</v>
      </c>
      <c r="K188" s="358">
        <f t="shared" si="32"/>
        <v>0</v>
      </c>
      <c r="L188" s="358">
        <f t="shared" si="32"/>
        <v>0</v>
      </c>
      <c r="M188" s="358">
        <f t="shared" si="32"/>
        <v>0</v>
      </c>
      <c r="N188" s="358">
        <f t="shared" si="32"/>
        <v>0</v>
      </c>
      <c r="O188" s="358">
        <f t="shared" si="32"/>
        <v>0</v>
      </c>
      <c r="P188" s="358">
        <f t="shared" si="32"/>
        <v>0</v>
      </c>
      <c r="Q188" s="358">
        <f t="shared" si="32"/>
        <v>0</v>
      </c>
      <c r="R188" s="358">
        <f t="shared" si="32"/>
        <v>0</v>
      </c>
      <c r="S188" s="358">
        <f t="shared" si="32"/>
        <v>0</v>
      </c>
      <c r="T188" s="358">
        <f t="shared" si="32"/>
        <v>0</v>
      </c>
      <c r="U188" s="358">
        <f t="shared" si="32"/>
        <v>0</v>
      </c>
    </row>
    <row r="189" spans="1:21" ht="21.75" customHeight="1">
      <c r="A189" s="358"/>
      <c r="B189" s="370" t="s">
        <v>19</v>
      </c>
      <c r="C189" s="358" t="s">
        <v>20</v>
      </c>
      <c r="D189" s="358">
        <v>100</v>
      </c>
      <c r="E189" s="358"/>
      <c r="F189" s="358"/>
      <c r="G189" s="358"/>
      <c r="H189" s="358"/>
      <c r="I189" s="358"/>
      <c r="J189" s="358"/>
      <c r="K189" s="358"/>
      <c r="L189" s="358"/>
      <c r="M189" s="358"/>
      <c r="N189" s="358"/>
      <c r="O189" s="358"/>
      <c r="P189" s="358"/>
      <c r="Q189" s="358"/>
      <c r="R189" s="358"/>
      <c r="S189" s="358"/>
      <c r="T189" s="358"/>
      <c r="U189" s="358"/>
    </row>
    <row r="190" spans="1:21" ht="21.75" customHeight="1">
      <c r="A190" s="358" t="s">
        <v>21</v>
      </c>
      <c r="B190" s="370" t="s">
        <v>22</v>
      </c>
      <c r="C190" s="358" t="s">
        <v>23</v>
      </c>
      <c r="D190" s="358">
        <v>0.9</v>
      </c>
      <c r="E190" s="358"/>
      <c r="F190" s="358"/>
      <c r="G190" s="358"/>
      <c r="H190" s="358"/>
      <c r="I190" s="358"/>
      <c r="J190" s="358"/>
      <c r="K190" s="358"/>
      <c r="L190" s="358"/>
      <c r="M190" s="358"/>
      <c r="N190" s="358"/>
      <c r="O190" s="358"/>
      <c r="P190" s="358"/>
      <c r="Q190" s="358"/>
      <c r="R190" s="358"/>
      <c r="S190" s="358"/>
      <c r="T190" s="358"/>
      <c r="U190" s="358"/>
    </row>
    <row r="191" spans="1:21" ht="21.75" customHeight="1">
      <c r="A191" s="358" t="s">
        <v>24</v>
      </c>
      <c r="B191" s="370" t="s">
        <v>25</v>
      </c>
      <c r="C191" s="358" t="s">
        <v>26</v>
      </c>
      <c r="D191" s="358"/>
      <c r="E191" s="358"/>
      <c r="F191" s="358"/>
      <c r="G191" s="358"/>
      <c r="H191" s="358"/>
      <c r="I191" s="358"/>
      <c r="J191" s="358"/>
      <c r="K191" s="358"/>
      <c r="L191" s="358"/>
      <c r="M191" s="358"/>
      <c r="N191" s="358"/>
      <c r="O191" s="358"/>
      <c r="P191" s="358"/>
      <c r="Q191" s="358"/>
      <c r="R191" s="358"/>
      <c r="S191" s="358"/>
      <c r="T191" s="358"/>
      <c r="U191" s="358"/>
    </row>
    <row r="192" spans="1:21" ht="21.75" customHeight="1">
      <c r="A192" s="358" t="s">
        <v>27</v>
      </c>
      <c r="B192" s="370" t="s">
        <v>28</v>
      </c>
      <c r="C192" s="358" t="s">
        <v>29</v>
      </c>
      <c r="D192" s="358"/>
      <c r="E192" s="358"/>
      <c r="F192" s="358"/>
      <c r="G192" s="358"/>
      <c r="H192" s="358"/>
      <c r="I192" s="358"/>
      <c r="J192" s="358"/>
      <c r="K192" s="358"/>
      <c r="L192" s="358"/>
      <c r="M192" s="358"/>
      <c r="N192" s="358"/>
      <c r="O192" s="358"/>
      <c r="P192" s="358"/>
      <c r="Q192" s="358"/>
      <c r="R192" s="358"/>
      <c r="S192" s="358"/>
      <c r="T192" s="358"/>
      <c r="U192" s="358"/>
    </row>
    <row r="193" spans="1:21" ht="21.75" customHeight="1">
      <c r="A193" s="358" t="s">
        <v>30</v>
      </c>
      <c r="B193" s="370" t="s">
        <v>31</v>
      </c>
      <c r="C193" s="358" t="s">
        <v>32</v>
      </c>
      <c r="D193" s="358"/>
      <c r="E193" s="358"/>
      <c r="F193" s="358"/>
      <c r="G193" s="358"/>
      <c r="H193" s="358"/>
      <c r="I193" s="358"/>
      <c r="J193" s="358"/>
      <c r="K193" s="358"/>
      <c r="L193" s="358"/>
      <c r="M193" s="358"/>
      <c r="N193" s="358"/>
      <c r="O193" s="358"/>
      <c r="P193" s="358"/>
      <c r="Q193" s="358"/>
      <c r="R193" s="358"/>
      <c r="S193" s="358"/>
      <c r="T193" s="358"/>
      <c r="U193" s="358"/>
    </row>
    <row r="194" spans="1:21" ht="21.75" customHeight="1">
      <c r="A194" s="358" t="s">
        <v>33</v>
      </c>
      <c r="B194" s="370" t="s">
        <v>34</v>
      </c>
      <c r="C194" s="358" t="s">
        <v>35</v>
      </c>
      <c r="D194" s="358"/>
      <c r="E194" s="358"/>
      <c r="F194" s="358"/>
      <c r="G194" s="358"/>
      <c r="H194" s="358"/>
      <c r="I194" s="358"/>
      <c r="J194" s="358"/>
      <c r="K194" s="358"/>
      <c r="L194" s="358">
        <v>45</v>
      </c>
      <c r="M194" s="358"/>
      <c r="N194" s="358"/>
      <c r="O194" s="358"/>
      <c r="P194" s="358"/>
      <c r="Q194" s="358"/>
      <c r="R194" s="358"/>
      <c r="S194" s="358"/>
      <c r="T194" s="358"/>
      <c r="U194" s="358"/>
    </row>
    <row r="195" spans="1:21" ht="21.75" customHeight="1">
      <c r="A195" s="358" t="s">
        <v>36</v>
      </c>
      <c r="B195" s="370" t="s">
        <v>37</v>
      </c>
      <c r="C195" s="358" t="s">
        <v>38</v>
      </c>
      <c r="D195" s="358"/>
      <c r="E195" s="358"/>
      <c r="F195" s="358"/>
      <c r="G195" s="358"/>
      <c r="H195" s="358"/>
      <c r="I195" s="358"/>
      <c r="J195" s="358"/>
      <c r="K195" s="358"/>
      <c r="L195" s="358"/>
      <c r="M195" s="358"/>
      <c r="N195" s="358"/>
      <c r="O195" s="358"/>
      <c r="P195" s="358"/>
      <c r="Q195" s="358"/>
      <c r="R195" s="358"/>
      <c r="S195" s="358"/>
      <c r="T195" s="358"/>
      <c r="U195" s="358"/>
    </row>
    <row r="196" spans="1:21" ht="21.75" customHeight="1">
      <c r="A196" s="358" t="s">
        <v>39</v>
      </c>
      <c r="B196" s="370" t="s">
        <v>40</v>
      </c>
      <c r="C196" s="358" t="s">
        <v>41</v>
      </c>
      <c r="D196" s="358"/>
      <c r="E196" s="358"/>
      <c r="F196" s="358"/>
      <c r="G196" s="358"/>
      <c r="H196" s="358"/>
      <c r="I196" s="358"/>
      <c r="J196" s="358"/>
      <c r="K196" s="358"/>
      <c r="L196" s="358"/>
      <c r="M196" s="358"/>
      <c r="N196" s="358"/>
      <c r="O196" s="358"/>
      <c r="P196" s="358"/>
      <c r="Q196" s="358"/>
      <c r="R196" s="358"/>
      <c r="S196" s="358"/>
      <c r="T196" s="358"/>
      <c r="U196" s="358"/>
    </row>
    <row r="197" spans="1:21" ht="21.75" customHeight="1">
      <c r="A197" s="358">
        <v>2</v>
      </c>
      <c r="B197" s="370" t="s">
        <v>43</v>
      </c>
      <c r="C197" s="358" t="s">
        <v>44</v>
      </c>
      <c r="D197" s="358"/>
      <c r="E197" s="358"/>
      <c r="F197" s="358"/>
      <c r="G197" s="358"/>
      <c r="H197" s="358"/>
      <c r="I197" s="358"/>
      <c r="J197" s="358"/>
      <c r="K197" s="358"/>
      <c r="L197" s="358"/>
      <c r="M197" s="358"/>
      <c r="N197" s="358"/>
      <c r="O197" s="358"/>
      <c r="P197" s="358"/>
      <c r="Q197" s="358"/>
      <c r="R197" s="358"/>
      <c r="S197" s="358"/>
      <c r="T197" s="358"/>
      <c r="U197" s="358"/>
    </row>
    <row r="198" spans="1:21" ht="21.75" customHeight="1">
      <c r="A198" s="358">
        <v>2</v>
      </c>
      <c r="B198" s="370" t="s">
        <v>45</v>
      </c>
      <c r="C198" s="358" t="s">
        <v>46</v>
      </c>
      <c r="D198" s="358">
        <f>SUM(D199:D224)</f>
        <v>2.6</v>
      </c>
      <c r="E198" s="358">
        <f t="shared" ref="E198:U198" si="33">SUM(E199:E224)</f>
        <v>0</v>
      </c>
      <c r="F198" s="358">
        <f t="shared" si="33"/>
        <v>0</v>
      </c>
      <c r="G198" s="358">
        <f t="shared" si="33"/>
        <v>0</v>
      </c>
      <c r="H198" s="358">
        <f t="shared" si="33"/>
        <v>0</v>
      </c>
      <c r="I198" s="358">
        <f t="shared" si="33"/>
        <v>0</v>
      </c>
      <c r="J198" s="358">
        <f t="shared" si="33"/>
        <v>0</v>
      </c>
      <c r="K198" s="358">
        <f t="shared" si="33"/>
        <v>0</v>
      </c>
      <c r="L198" s="358">
        <f t="shared" si="33"/>
        <v>0</v>
      </c>
      <c r="M198" s="358">
        <f t="shared" si="33"/>
        <v>0</v>
      </c>
      <c r="N198" s="358">
        <f t="shared" si="33"/>
        <v>22.7</v>
      </c>
      <c r="O198" s="358">
        <f t="shared" si="33"/>
        <v>0</v>
      </c>
      <c r="P198" s="358">
        <f t="shared" si="33"/>
        <v>0</v>
      </c>
      <c r="Q198" s="358">
        <f t="shared" si="33"/>
        <v>0</v>
      </c>
      <c r="R198" s="358">
        <f t="shared" si="33"/>
        <v>0</v>
      </c>
      <c r="S198" s="358">
        <f t="shared" si="33"/>
        <v>0</v>
      </c>
      <c r="T198" s="358">
        <f t="shared" si="33"/>
        <v>0</v>
      </c>
      <c r="U198" s="358">
        <f t="shared" si="33"/>
        <v>0</v>
      </c>
    </row>
    <row r="199" spans="1:21" ht="21.75" customHeight="1">
      <c r="A199" s="358" t="s">
        <v>47</v>
      </c>
      <c r="B199" s="370" t="s">
        <v>48</v>
      </c>
      <c r="C199" s="358" t="s">
        <v>49</v>
      </c>
      <c r="D199" s="358"/>
      <c r="E199" s="358"/>
      <c r="F199" s="358"/>
      <c r="G199" s="358"/>
      <c r="H199" s="358"/>
      <c r="I199" s="358"/>
      <c r="J199" s="358"/>
      <c r="K199" s="358"/>
      <c r="L199" s="358"/>
      <c r="M199" s="358"/>
      <c r="N199" s="358"/>
      <c r="O199" s="358"/>
      <c r="P199" s="358"/>
      <c r="Q199" s="358"/>
      <c r="R199" s="358"/>
      <c r="S199" s="358"/>
      <c r="T199" s="358"/>
      <c r="U199" s="358"/>
    </row>
    <row r="200" spans="1:21" ht="21.75" customHeight="1">
      <c r="A200" s="358" t="s">
        <v>50</v>
      </c>
      <c r="B200" s="370" t="s">
        <v>51</v>
      </c>
      <c r="C200" s="358" t="s">
        <v>52</v>
      </c>
      <c r="D200" s="358"/>
      <c r="E200" s="358"/>
      <c r="F200" s="358"/>
      <c r="G200" s="358"/>
      <c r="H200" s="358"/>
      <c r="I200" s="358"/>
      <c r="J200" s="358"/>
      <c r="K200" s="358"/>
      <c r="L200" s="358"/>
      <c r="M200" s="358"/>
      <c r="N200" s="358"/>
      <c r="O200" s="358"/>
      <c r="P200" s="358"/>
      <c r="Q200" s="358"/>
      <c r="R200" s="358"/>
      <c r="S200" s="358"/>
      <c r="T200" s="358"/>
      <c r="U200" s="358"/>
    </row>
    <row r="201" spans="1:21" ht="21.75" customHeight="1">
      <c r="A201" s="358" t="s">
        <v>53</v>
      </c>
      <c r="B201" s="370" t="s">
        <v>54</v>
      </c>
      <c r="C201" s="358" t="s">
        <v>55</v>
      </c>
      <c r="D201" s="358"/>
      <c r="E201" s="358"/>
      <c r="F201" s="358"/>
      <c r="G201" s="358"/>
      <c r="H201" s="358"/>
      <c r="I201" s="358"/>
      <c r="J201" s="358"/>
      <c r="K201" s="358"/>
      <c r="L201" s="358"/>
      <c r="M201" s="358"/>
      <c r="N201" s="358">
        <v>22.7</v>
      </c>
      <c r="O201" s="358"/>
      <c r="P201" s="358"/>
      <c r="Q201" s="358"/>
      <c r="R201" s="358"/>
      <c r="S201" s="358"/>
      <c r="T201" s="358"/>
      <c r="U201" s="358"/>
    </row>
    <row r="202" spans="1:21" ht="21.75" customHeight="1">
      <c r="A202" s="358" t="s">
        <v>56</v>
      </c>
      <c r="B202" s="370" t="s">
        <v>57</v>
      </c>
      <c r="C202" s="358" t="s">
        <v>58</v>
      </c>
      <c r="D202" s="358"/>
      <c r="E202" s="358"/>
      <c r="F202" s="358"/>
      <c r="G202" s="358"/>
      <c r="H202" s="358"/>
      <c r="I202" s="358"/>
      <c r="J202" s="358"/>
      <c r="K202" s="358"/>
      <c r="L202" s="358"/>
      <c r="M202" s="358"/>
      <c r="N202" s="358"/>
      <c r="O202" s="358"/>
      <c r="P202" s="358"/>
      <c r="Q202" s="358"/>
      <c r="R202" s="358"/>
      <c r="S202" s="358"/>
      <c r="T202" s="358"/>
      <c r="U202" s="358"/>
    </row>
    <row r="203" spans="1:21" ht="21.75" customHeight="1">
      <c r="A203" s="358" t="s">
        <v>59</v>
      </c>
      <c r="B203" s="370" t="s">
        <v>60</v>
      </c>
      <c r="C203" s="358" t="s">
        <v>61</v>
      </c>
      <c r="D203" s="358"/>
      <c r="E203" s="358"/>
      <c r="F203" s="358"/>
      <c r="G203" s="358"/>
      <c r="H203" s="358"/>
      <c r="I203" s="358"/>
      <c r="J203" s="358"/>
      <c r="K203" s="358"/>
      <c r="L203" s="358"/>
      <c r="M203" s="358"/>
      <c r="N203" s="358"/>
      <c r="O203" s="358"/>
      <c r="P203" s="358"/>
      <c r="Q203" s="358"/>
      <c r="R203" s="358"/>
      <c r="S203" s="358"/>
      <c r="T203" s="358"/>
      <c r="U203" s="358"/>
    </row>
    <row r="204" spans="1:21" ht="21.75" customHeight="1">
      <c r="A204" s="358" t="s">
        <v>62</v>
      </c>
      <c r="B204" s="370" t="s">
        <v>63</v>
      </c>
      <c r="C204" s="358" t="s">
        <v>64</v>
      </c>
      <c r="D204" s="358"/>
      <c r="E204" s="358"/>
      <c r="F204" s="358"/>
      <c r="G204" s="358"/>
      <c r="H204" s="358"/>
      <c r="I204" s="358"/>
      <c r="J204" s="358"/>
      <c r="K204" s="358"/>
      <c r="L204" s="358"/>
      <c r="M204" s="358"/>
      <c r="N204" s="358"/>
      <c r="O204" s="358"/>
      <c r="P204" s="358"/>
      <c r="Q204" s="358"/>
      <c r="R204" s="358"/>
      <c r="S204" s="358"/>
      <c r="T204" s="358"/>
      <c r="U204" s="358"/>
    </row>
    <row r="205" spans="1:21" ht="21.75" customHeight="1">
      <c r="A205" s="358" t="s">
        <v>65</v>
      </c>
      <c r="B205" s="370" t="s">
        <v>66</v>
      </c>
      <c r="C205" s="358" t="s">
        <v>67</v>
      </c>
      <c r="D205" s="358"/>
      <c r="E205" s="358"/>
      <c r="F205" s="358"/>
      <c r="G205" s="358"/>
      <c r="H205" s="358"/>
      <c r="I205" s="358"/>
      <c r="J205" s="358"/>
      <c r="K205" s="358"/>
      <c r="L205" s="358"/>
      <c r="M205" s="358"/>
      <c r="N205" s="358"/>
      <c r="O205" s="358"/>
      <c r="P205" s="358"/>
      <c r="Q205" s="358"/>
      <c r="R205" s="358"/>
      <c r="S205" s="358"/>
      <c r="T205" s="358"/>
      <c r="U205" s="358"/>
    </row>
    <row r="206" spans="1:21" ht="21.75" customHeight="1">
      <c r="A206" s="358" t="s">
        <v>68</v>
      </c>
      <c r="B206" s="370" t="s">
        <v>69</v>
      </c>
      <c r="C206" s="358" t="s">
        <v>70</v>
      </c>
      <c r="D206" s="358"/>
      <c r="E206" s="358"/>
      <c r="F206" s="358"/>
      <c r="G206" s="358"/>
      <c r="H206" s="358"/>
      <c r="I206" s="358"/>
      <c r="J206" s="358"/>
      <c r="K206" s="358"/>
      <c r="L206" s="358"/>
      <c r="M206" s="358"/>
      <c r="N206" s="358"/>
      <c r="O206" s="358"/>
      <c r="P206" s="358"/>
      <c r="Q206" s="358"/>
      <c r="R206" s="358"/>
      <c r="S206" s="358"/>
      <c r="T206" s="358"/>
      <c r="U206" s="358"/>
    </row>
    <row r="207" spans="1:21" ht="21.75" customHeight="1">
      <c r="A207" s="358" t="s">
        <v>71</v>
      </c>
      <c r="B207" s="370" t="s">
        <v>135</v>
      </c>
      <c r="C207" s="358" t="s">
        <v>72</v>
      </c>
      <c r="D207" s="358">
        <v>2.6</v>
      </c>
      <c r="E207" s="358"/>
      <c r="F207" s="358"/>
      <c r="G207" s="358"/>
      <c r="H207" s="358"/>
      <c r="I207" s="358"/>
      <c r="J207" s="358"/>
      <c r="K207" s="358"/>
      <c r="L207" s="358"/>
      <c r="M207" s="358"/>
      <c r="N207" s="358"/>
      <c r="O207" s="358"/>
      <c r="P207" s="358"/>
      <c r="Q207" s="358"/>
      <c r="R207" s="358"/>
      <c r="S207" s="358"/>
      <c r="T207" s="358"/>
      <c r="U207" s="358"/>
    </row>
    <row r="208" spans="1:21" ht="21.75" customHeight="1">
      <c r="A208" s="358" t="s">
        <v>73</v>
      </c>
      <c r="B208" s="370" t="s">
        <v>74</v>
      </c>
      <c r="C208" s="358" t="s">
        <v>75</v>
      </c>
      <c r="D208" s="358"/>
      <c r="E208" s="358"/>
      <c r="F208" s="358"/>
      <c r="G208" s="358"/>
      <c r="H208" s="358"/>
      <c r="I208" s="358"/>
      <c r="J208" s="358"/>
      <c r="K208" s="358"/>
      <c r="L208" s="358"/>
      <c r="M208" s="358"/>
      <c r="N208" s="358"/>
      <c r="O208" s="358"/>
      <c r="P208" s="358"/>
      <c r="Q208" s="358"/>
      <c r="R208" s="358"/>
      <c r="S208" s="358"/>
      <c r="T208" s="358"/>
      <c r="U208" s="358"/>
    </row>
    <row r="209" spans="1:21" ht="21.75" customHeight="1">
      <c r="A209" s="358" t="s">
        <v>76</v>
      </c>
      <c r="B209" s="370" t="s">
        <v>77</v>
      </c>
      <c r="C209" s="358" t="s">
        <v>78</v>
      </c>
      <c r="D209" s="358"/>
      <c r="E209" s="358"/>
      <c r="F209" s="358"/>
      <c r="G209" s="358"/>
      <c r="H209" s="358"/>
      <c r="I209" s="358"/>
      <c r="J209" s="358"/>
      <c r="K209" s="358"/>
      <c r="L209" s="358"/>
      <c r="M209" s="358"/>
      <c r="N209" s="358"/>
      <c r="O209" s="358"/>
      <c r="P209" s="358"/>
      <c r="Q209" s="358"/>
      <c r="R209" s="358"/>
      <c r="S209" s="358"/>
      <c r="T209" s="358"/>
      <c r="U209" s="358"/>
    </row>
    <row r="210" spans="1:21" ht="21.75" customHeight="1">
      <c r="A210" s="358" t="s">
        <v>79</v>
      </c>
      <c r="B210" s="370" t="s">
        <v>80</v>
      </c>
      <c r="C210" s="358" t="s">
        <v>81</v>
      </c>
      <c r="D210" s="358"/>
      <c r="E210" s="358"/>
      <c r="F210" s="358"/>
      <c r="G210" s="358"/>
      <c r="H210" s="358"/>
      <c r="I210" s="358"/>
      <c r="J210" s="358"/>
      <c r="K210" s="358"/>
      <c r="L210" s="358"/>
      <c r="M210" s="358"/>
      <c r="N210" s="358"/>
      <c r="O210" s="358"/>
      <c r="P210" s="358"/>
      <c r="Q210" s="358"/>
      <c r="R210" s="358"/>
      <c r="S210" s="358"/>
      <c r="T210" s="358"/>
      <c r="U210" s="358"/>
    </row>
    <row r="211" spans="1:21" ht="21.75" customHeight="1">
      <c r="A211" s="358" t="s">
        <v>82</v>
      </c>
      <c r="B211" s="370" t="s">
        <v>83</v>
      </c>
      <c r="C211" s="358" t="s">
        <v>84</v>
      </c>
      <c r="D211" s="358"/>
      <c r="E211" s="358"/>
      <c r="F211" s="358"/>
      <c r="G211" s="358"/>
      <c r="H211" s="358"/>
      <c r="I211" s="358"/>
      <c r="J211" s="358"/>
      <c r="K211" s="358"/>
      <c r="L211" s="358"/>
      <c r="M211" s="358"/>
      <c r="N211" s="358"/>
      <c r="O211" s="358"/>
      <c r="P211" s="358"/>
      <c r="Q211" s="358"/>
      <c r="R211" s="358"/>
      <c r="S211" s="358"/>
      <c r="T211" s="358"/>
      <c r="U211" s="358"/>
    </row>
    <row r="212" spans="1:21" ht="21.75" customHeight="1">
      <c r="A212" s="358" t="s">
        <v>85</v>
      </c>
      <c r="B212" s="370" t="s">
        <v>86</v>
      </c>
      <c r="C212" s="358" t="s">
        <v>87</v>
      </c>
      <c r="D212" s="358"/>
      <c r="E212" s="358"/>
      <c r="F212" s="358"/>
      <c r="G212" s="358"/>
      <c r="H212" s="358"/>
      <c r="I212" s="358"/>
      <c r="J212" s="358"/>
      <c r="K212" s="358"/>
      <c r="L212" s="358"/>
      <c r="M212" s="358"/>
      <c r="N212" s="358"/>
      <c r="O212" s="358"/>
      <c r="P212" s="358"/>
      <c r="Q212" s="358"/>
      <c r="R212" s="358"/>
      <c r="S212" s="358"/>
      <c r="T212" s="358"/>
      <c r="U212" s="358"/>
    </row>
    <row r="213" spans="1:21" ht="21.75" customHeight="1">
      <c r="A213" s="358" t="s">
        <v>88</v>
      </c>
      <c r="B213" s="370" t="s">
        <v>89</v>
      </c>
      <c r="C213" s="358" t="s">
        <v>90</v>
      </c>
      <c r="D213" s="358"/>
      <c r="E213" s="358"/>
      <c r="F213" s="358"/>
      <c r="G213" s="358"/>
      <c r="H213" s="358"/>
      <c r="I213" s="358"/>
      <c r="J213" s="358"/>
      <c r="K213" s="358"/>
      <c r="L213" s="358"/>
      <c r="M213" s="358"/>
      <c r="N213" s="358"/>
      <c r="O213" s="358"/>
      <c r="P213" s="358"/>
      <c r="Q213" s="358"/>
      <c r="R213" s="358"/>
      <c r="S213" s="358"/>
      <c r="T213" s="358"/>
      <c r="U213" s="358"/>
    </row>
    <row r="214" spans="1:21" ht="21.75" customHeight="1">
      <c r="A214" s="358" t="s">
        <v>91</v>
      </c>
      <c r="B214" s="370" t="s">
        <v>92</v>
      </c>
      <c r="C214" s="358" t="s">
        <v>93</v>
      </c>
      <c r="D214" s="358"/>
      <c r="E214" s="358"/>
      <c r="F214" s="358"/>
      <c r="G214" s="358"/>
      <c r="H214" s="358"/>
      <c r="I214" s="358"/>
      <c r="J214" s="358"/>
      <c r="K214" s="358"/>
      <c r="L214" s="358"/>
      <c r="M214" s="358"/>
      <c r="N214" s="358"/>
      <c r="O214" s="358"/>
      <c r="P214" s="358"/>
      <c r="Q214" s="358"/>
      <c r="R214" s="358"/>
      <c r="S214" s="358"/>
      <c r="T214" s="358"/>
      <c r="U214" s="358"/>
    </row>
    <row r="215" spans="1:21" ht="21.75" customHeight="1">
      <c r="A215" s="358" t="s">
        <v>94</v>
      </c>
      <c r="B215" s="370" t="s">
        <v>95</v>
      </c>
      <c r="C215" s="358" t="s">
        <v>96</v>
      </c>
      <c r="D215" s="358"/>
      <c r="E215" s="358"/>
      <c r="F215" s="358"/>
      <c r="G215" s="358"/>
      <c r="H215" s="358"/>
      <c r="I215" s="358"/>
      <c r="J215" s="358"/>
      <c r="K215" s="358"/>
      <c r="L215" s="358"/>
      <c r="M215" s="358"/>
      <c r="N215" s="358"/>
      <c r="O215" s="358"/>
      <c r="P215" s="358"/>
      <c r="Q215" s="358"/>
      <c r="R215" s="358"/>
      <c r="S215" s="358"/>
      <c r="T215" s="358"/>
      <c r="U215" s="358"/>
    </row>
    <row r="216" spans="1:21" ht="21.75" customHeight="1">
      <c r="A216" s="358" t="s">
        <v>97</v>
      </c>
      <c r="B216" s="370" t="s">
        <v>98</v>
      </c>
      <c r="C216" s="358" t="s">
        <v>99</v>
      </c>
      <c r="D216" s="358"/>
      <c r="E216" s="358"/>
      <c r="F216" s="358"/>
      <c r="G216" s="358"/>
      <c r="H216" s="358"/>
      <c r="I216" s="358"/>
      <c r="J216" s="358"/>
      <c r="K216" s="358"/>
      <c r="L216" s="358"/>
      <c r="M216" s="358"/>
      <c r="N216" s="358"/>
      <c r="O216" s="358"/>
      <c r="P216" s="358"/>
      <c r="Q216" s="358"/>
      <c r="R216" s="358"/>
      <c r="S216" s="358"/>
      <c r="T216" s="358"/>
      <c r="U216" s="358"/>
    </row>
    <row r="217" spans="1:21" ht="21.75" customHeight="1">
      <c r="A217" s="358" t="s">
        <v>100</v>
      </c>
      <c r="B217" s="370" t="s">
        <v>134</v>
      </c>
      <c r="C217" s="358" t="s">
        <v>101</v>
      </c>
      <c r="D217" s="358"/>
      <c r="E217" s="358"/>
      <c r="F217" s="358"/>
      <c r="G217" s="358"/>
      <c r="H217" s="358"/>
      <c r="I217" s="358"/>
      <c r="J217" s="358"/>
      <c r="K217" s="358"/>
      <c r="L217" s="358"/>
      <c r="M217" s="358"/>
      <c r="N217" s="358"/>
      <c r="O217" s="358"/>
      <c r="P217" s="358"/>
      <c r="Q217" s="358"/>
      <c r="R217" s="358"/>
      <c r="S217" s="358"/>
      <c r="T217" s="358"/>
      <c r="U217" s="358"/>
    </row>
    <row r="218" spans="1:21" ht="21.75" customHeight="1">
      <c r="A218" s="358" t="s">
        <v>102</v>
      </c>
      <c r="B218" s="370" t="s">
        <v>103</v>
      </c>
      <c r="C218" s="358" t="s">
        <v>104</v>
      </c>
      <c r="D218" s="358"/>
      <c r="E218" s="358"/>
      <c r="F218" s="358"/>
      <c r="G218" s="358"/>
      <c r="H218" s="358"/>
      <c r="I218" s="358"/>
      <c r="J218" s="358"/>
      <c r="K218" s="358"/>
      <c r="L218" s="358"/>
      <c r="M218" s="358"/>
      <c r="N218" s="358"/>
      <c r="O218" s="358"/>
      <c r="P218" s="358"/>
      <c r="Q218" s="358"/>
      <c r="R218" s="358"/>
      <c r="S218" s="358"/>
      <c r="T218" s="358"/>
      <c r="U218" s="358"/>
    </row>
    <row r="219" spans="1:21" ht="21.75" customHeight="1">
      <c r="A219" s="358" t="s">
        <v>105</v>
      </c>
      <c r="B219" s="370" t="s">
        <v>106</v>
      </c>
      <c r="C219" s="358" t="s">
        <v>107</v>
      </c>
      <c r="D219" s="358"/>
      <c r="E219" s="358"/>
      <c r="F219" s="358"/>
      <c r="G219" s="358"/>
      <c r="H219" s="358"/>
      <c r="I219" s="358"/>
      <c r="J219" s="358"/>
      <c r="K219" s="358"/>
      <c r="L219" s="358"/>
      <c r="M219" s="358"/>
      <c r="N219" s="358"/>
      <c r="O219" s="358"/>
      <c r="P219" s="358"/>
      <c r="Q219" s="358"/>
      <c r="R219" s="358"/>
      <c r="S219" s="358"/>
      <c r="T219" s="358"/>
      <c r="U219" s="358"/>
    </row>
    <row r="220" spans="1:21" ht="21.75" customHeight="1">
      <c r="A220" s="358" t="s">
        <v>108</v>
      </c>
      <c r="B220" s="370" t="s">
        <v>109</v>
      </c>
      <c r="C220" s="358" t="s">
        <v>110</v>
      </c>
      <c r="D220" s="358"/>
      <c r="E220" s="358"/>
      <c r="F220" s="358"/>
      <c r="G220" s="358"/>
      <c r="H220" s="358"/>
      <c r="I220" s="358"/>
      <c r="J220" s="358"/>
      <c r="K220" s="358"/>
      <c r="L220" s="358"/>
      <c r="M220" s="358"/>
      <c r="N220" s="358"/>
      <c r="O220" s="358"/>
      <c r="P220" s="358"/>
      <c r="Q220" s="358"/>
      <c r="R220" s="358"/>
      <c r="S220" s="358"/>
      <c r="T220" s="358"/>
      <c r="U220" s="358"/>
    </row>
    <row r="221" spans="1:21" ht="21.75" customHeight="1">
      <c r="A221" s="358" t="s">
        <v>111</v>
      </c>
      <c r="B221" s="370" t="s">
        <v>112</v>
      </c>
      <c r="C221" s="358" t="s">
        <v>113</v>
      </c>
      <c r="D221" s="358"/>
      <c r="E221" s="358"/>
      <c r="F221" s="358"/>
      <c r="G221" s="358"/>
      <c r="H221" s="358"/>
      <c r="I221" s="358"/>
      <c r="J221" s="358"/>
      <c r="K221" s="358"/>
      <c r="L221" s="358"/>
      <c r="M221" s="358"/>
      <c r="N221" s="358"/>
      <c r="O221" s="358"/>
      <c r="P221" s="358"/>
      <c r="Q221" s="358"/>
      <c r="R221" s="358"/>
      <c r="S221" s="358"/>
      <c r="T221" s="358"/>
      <c r="U221" s="358"/>
    </row>
    <row r="222" spans="1:21" ht="21.75" customHeight="1">
      <c r="A222" s="358" t="s">
        <v>114</v>
      </c>
      <c r="B222" s="370" t="s">
        <v>115</v>
      </c>
      <c r="C222" s="358" t="s">
        <v>116</v>
      </c>
      <c r="D222" s="358"/>
      <c r="E222" s="358"/>
      <c r="F222" s="358"/>
      <c r="G222" s="358"/>
      <c r="H222" s="358"/>
      <c r="I222" s="358"/>
      <c r="J222" s="358"/>
      <c r="K222" s="358"/>
      <c r="L222" s="358"/>
      <c r="M222" s="358"/>
      <c r="N222" s="358"/>
      <c r="O222" s="358"/>
      <c r="P222" s="358"/>
      <c r="Q222" s="358"/>
      <c r="R222" s="358"/>
      <c r="S222" s="358"/>
      <c r="T222" s="358"/>
      <c r="U222" s="358"/>
    </row>
    <row r="223" spans="1:21" ht="21.75" customHeight="1">
      <c r="A223" s="358" t="s">
        <v>117</v>
      </c>
      <c r="B223" s="370" t="s">
        <v>118</v>
      </c>
      <c r="C223" s="358" t="s">
        <v>119</v>
      </c>
      <c r="D223" s="358"/>
      <c r="E223" s="358"/>
      <c r="F223" s="358"/>
      <c r="G223" s="358"/>
      <c r="H223" s="358"/>
      <c r="I223" s="358"/>
      <c r="J223" s="358"/>
      <c r="K223" s="358"/>
      <c r="L223" s="358"/>
      <c r="M223" s="358"/>
      <c r="N223" s="358"/>
      <c r="O223" s="358"/>
      <c r="P223" s="358"/>
      <c r="Q223" s="358"/>
      <c r="R223" s="358"/>
      <c r="S223" s="358"/>
      <c r="T223" s="358"/>
      <c r="U223" s="358"/>
    </row>
    <row r="224" spans="1:21" ht="21.75" customHeight="1">
      <c r="A224" s="358" t="s">
        <v>120</v>
      </c>
      <c r="B224" s="370" t="s">
        <v>121</v>
      </c>
      <c r="C224" s="358" t="s">
        <v>122</v>
      </c>
      <c r="D224" s="358"/>
      <c r="E224" s="358"/>
      <c r="F224" s="358"/>
      <c r="G224" s="358"/>
      <c r="H224" s="358"/>
      <c r="I224" s="358"/>
      <c r="J224" s="358"/>
      <c r="K224" s="358"/>
      <c r="L224" s="358"/>
      <c r="M224" s="358"/>
      <c r="N224" s="358"/>
      <c r="O224" s="358"/>
      <c r="P224" s="358"/>
      <c r="Q224" s="358"/>
      <c r="R224" s="358"/>
      <c r="S224" s="358"/>
      <c r="T224" s="358"/>
      <c r="U224" s="358"/>
    </row>
    <row r="225" spans="1:21" ht="21.75" customHeight="1">
      <c r="A225" s="358">
        <v>3</v>
      </c>
      <c r="B225" s="370" t="s">
        <v>123</v>
      </c>
      <c r="C225" s="358" t="s">
        <v>124</v>
      </c>
      <c r="D225" s="358"/>
      <c r="E225" s="358"/>
      <c r="F225" s="358"/>
      <c r="G225" s="358"/>
      <c r="H225" s="358"/>
      <c r="I225" s="358"/>
      <c r="J225" s="358"/>
      <c r="K225" s="358"/>
      <c r="L225" s="358"/>
      <c r="M225" s="358"/>
      <c r="N225" s="358"/>
      <c r="O225" s="358"/>
      <c r="P225" s="358"/>
      <c r="Q225" s="358"/>
      <c r="R225" s="358"/>
      <c r="S225" s="358"/>
      <c r="T225" s="358"/>
      <c r="U225" s="358"/>
    </row>
    <row r="226" spans="1:21" ht="21.75" customHeight="1">
      <c r="A226" s="1355" t="s">
        <v>350</v>
      </c>
      <c r="B226" s="1355"/>
      <c r="C226" s="372"/>
      <c r="D226" s="372"/>
      <c r="E226" s="372"/>
      <c r="F226" s="372"/>
      <c r="G226" s="372"/>
      <c r="H226" s="372"/>
      <c r="I226" s="372"/>
      <c r="J226" s="372"/>
      <c r="K226" s="372"/>
      <c r="L226" s="372"/>
      <c r="M226" s="372"/>
      <c r="N226" s="372"/>
      <c r="O226" s="372"/>
      <c r="P226" s="372"/>
      <c r="Q226" s="372"/>
      <c r="R226" s="372"/>
      <c r="S226" s="372"/>
      <c r="T226" s="372"/>
      <c r="U226" s="372"/>
    </row>
    <row r="227" spans="1:21" ht="21.75" customHeight="1">
      <c r="A227" s="1354" t="s">
        <v>185</v>
      </c>
      <c r="B227" s="1354"/>
      <c r="C227" s="1354"/>
      <c r="D227" s="1354"/>
      <c r="E227" s="1354"/>
      <c r="F227" s="1354"/>
      <c r="G227" s="1354"/>
      <c r="H227" s="1354"/>
      <c r="I227" s="1354"/>
      <c r="J227" s="1354"/>
      <c r="K227" s="1354"/>
      <c r="L227" s="1354"/>
      <c r="M227" s="1354"/>
      <c r="N227" s="1354"/>
      <c r="O227" s="1354"/>
      <c r="P227" s="1354"/>
      <c r="Q227" s="1354"/>
      <c r="R227" s="1354"/>
      <c r="S227" s="1354"/>
      <c r="T227" s="1354"/>
      <c r="U227" s="1354"/>
    </row>
    <row r="228" spans="1:21" ht="21.75" customHeight="1">
      <c r="A228" s="1354" t="s">
        <v>322</v>
      </c>
      <c r="B228" s="1354"/>
      <c r="C228" s="1354"/>
      <c r="D228" s="1354"/>
      <c r="E228" s="1354"/>
      <c r="F228" s="1354"/>
      <c r="G228" s="1354"/>
      <c r="H228" s="1354"/>
      <c r="I228" s="1354"/>
      <c r="J228" s="1354"/>
      <c r="K228" s="1354"/>
      <c r="L228" s="1354"/>
      <c r="M228" s="1354"/>
      <c r="N228" s="1354"/>
      <c r="O228" s="1354"/>
      <c r="P228" s="1354"/>
      <c r="Q228" s="1354"/>
      <c r="R228" s="1354"/>
      <c r="S228" s="1354"/>
      <c r="T228" s="1354"/>
      <c r="U228" s="1354"/>
    </row>
    <row r="229" spans="1:21" ht="21.75" customHeight="1"/>
    <row r="230" spans="1:21" ht="30" customHeight="1">
      <c r="A230" s="1280" t="s">
        <v>0</v>
      </c>
      <c r="B230" s="1280" t="s">
        <v>186</v>
      </c>
      <c r="C230" s="1280" t="s">
        <v>13</v>
      </c>
      <c r="D230" s="1280" t="s">
        <v>139</v>
      </c>
      <c r="E230" s="1280"/>
      <c r="F230" s="1280" t="s">
        <v>140</v>
      </c>
      <c r="G230" s="1280"/>
      <c r="H230" s="1280" t="s">
        <v>141</v>
      </c>
      <c r="I230" s="1280"/>
      <c r="J230" s="1280" t="s">
        <v>142</v>
      </c>
      <c r="K230" s="1280"/>
      <c r="L230" s="1280" t="s">
        <v>143</v>
      </c>
      <c r="M230" s="1280"/>
      <c r="N230" s="1280" t="s">
        <v>144</v>
      </c>
      <c r="O230" s="1280"/>
      <c r="P230" s="1280" t="s">
        <v>188</v>
      </c>
      <c r="Q230" s="1280"/>
      <c r="R230" s="1280" t="s">
        <v>145</v>
      </c>
      <c r="S230" s="1280"/>
      <c r="T230" s="1280" t="s">
        <v>146</v>
      </c>
      <c r="U230" s="1280"/>
    </row>
    <row r="231" spans="1:21" ht="34.5" customHeight="1">
      <c r="A231" s="1280"/>
      <c r="B231" s="1280"/>
      <c r="C231" s="1280"/>
      <c r="D231" s="358" t="s">
        <v>137</v>
      </c>
      <c r="E231" s="358" t="s">
        <v>187</v>
      </c>
      <c r="F231" s="358" t="s">
        <v>137</v>
      </c>
      <c r="G231" s="358" t="s">
        <v>187</v>
      </c>
      <c r="H231" s="358" t="s">
        <v>137</v>
      </c>
      <c r="I231" s="358" t="s">
        <v>187</v>
      </c>
      <c r="J231" s="358" t="s">
        <v>137</v>
      </c>
      <c r="K231" s="358" t="s">
        <v>187</v>
      </c>
      <c r="L231" s="358" t="s">
        <v>137</v>
      </c>
      <c r="M231" s="358" t="s">
        <v>187</v>
      </c>
      <c r="N231" s="358" t="s">
        <v>137</v>
      </c>
      <c r="O231" s="358" t="s">
        <v>187</v>
      </c>
      <c r="P231" s="358" t="s">
        <v>137</v>
      </c>
      <c r="Q231" s="358" t="s">
        <v>187</v>
      </c>
      <c r="R231" s="358" t="s">
        <v>137</v>
      </c>
      <c r="S231" s="358" t="s">
        <v>187</v>
      </c>
      <c r="T231" s="358" t="s">
        <v>137</v>
      </c>
      <c r="U231" s="358" t="s">
        <v>187</v>
      </c>
    </row>
    <row r="232" spans="1:21" ht="33" customHeight="1">
      <c r="A232" s="358">
        <v>1</v>
      </c>
      <c r="B232" s="370" t="s">
        <v>14</v>
      </c>
      <c r="C232" s="358" t="s">
        <v>15</v>
      </c>
      <c r="D232" s="358">
        <f>D233+D235+D236+D237+D238+D239+D240+D241+D242</f>
        <v>83.100000000000009</v>
      </c>
      <c r="E232" s="358">
        <f t="shared" ref="E232:U232" si="34">E233+E235+E236+E237+E238+E239+E240+E241+E242</f>
        <v>0</v>
      </c>
      <c r="F232" s="358">
        <f t="shared" si="34"/>
        <v>0</v>
      </c>
      <c r="G232" s="358">
        <f t="shared" si="34"/>
        <v>0</v>
      </c>
      <c r="H232" s="358">
        <f t="shared" si="34"/>
        <v>7</v>
      </c>
      <c r="I232" s="358">
        <f t="shared" si="34"/>
        <v>0</v>
      </c>
      <c r="J232" s="358">
        <f t="shared" si="34"/>
        <v>0</v>
      </c>
      <c r="K232" s="358">
        <f t="shared" si="34"/>
        <v>0</v>
      </c>
      <c r="L232" s="358">
        <f t="shared" si="34"/>
        <v>23.64</v>
      </c>
      <c r="M232" s="358">
        <f t="shared" si="34"/>
        <v>0</v>
      </c>
      <c r="N232" s="358">
        <f t="shared" si="34"/>
        <v>0</v>
      </c>
      <c r="O232" s="358">
        <f t="shared" si="34"/>
        <v>0</v>
      </c>
      <c r="P232" s="358">
        <f t="shared" si="34"/>
        <v>0</v>
      </c>
      <c r="Q232" s="358">
        <f t="shared" si="34"/>
        <v>0</v>
      </c>
      <c r="R232" s="358">
        <f t="shared" si="34"/>
        <v>0</v>
      </c>
      <c r="S232" s="358">
        <f t="shared" si="34"/>
        <v>0</v>
      </c>
      <c r="T232" s="358">
        <f t="shared" si="34"/>
        <v>0</v>
      </c>
      <c r="U232" s="358">
        <f t="shared" si="34"/>
        <v>0</v>
      </c>
    </row>
    <row r="233" spans="1:21" ht="21.75" customHeight="1">
      <c r="A233" s="358" t="s">
        <v>16</v>
      </c>
      <c r="B233" s="370" t="s">
        <v>17</v>
      </c>
      <c r="C233" s="358" t="s">
        <v>18</v>
      </c>
      <c r="D233" s="358">
        <f t="shared" ref="D233:U233" si="35">D234</f>
        <v>80</v>
      </c>
      <c r="E233" s="358">
        <f t="shared" si="35"/>
        <v>0</v>
      </c>
      <c r="F233" s="358">
        <f t="shared" si="35"/>
        <v>0</v>
      </c>
      <c r="G233" s="358">
        <f t="shared" si="35"/>
        <v>0</v>
      </c>
      <c r="H233" s="358">
        <f t="shared" si="35"/>
        <v>0</v>
      </c>
      <c r="I233" s="358">
        <f t="shared" si="35"/>
        <v>0</v>
      </c>
      <c r="J233" s="358">
        <f t="shared" si="35"/>
        <v>0</v>
      </c>
      <c r="K233" s="358">
        <f t="shared" si="35"/>
        <v>0</v>
      </c>
      <c r="L233" s="358">
        <f t="shared" si="35"/>
        <v>0</v>
      </c>
      <c r="M233" s="358">
        <f t="shared" si="35"/>
        <v>0</v>
      </c>
      <c r="N233" s="358">
        <f t="shared" si="35"/>
        <v>0</v>
      </c>
      <c r="O233" s="358">
        <f t="shared" si="35"/>
        <v>0</v>
      </c>
      <c r="P233" s="358">
        <f t="shared" si="35"/>
        <v>0</v>
      </c>
      <c r="Q233" s="358">
        <f t="shared" si="35"/>
        <v>0</v>
      </c>
      <c r="R233" s="358">
        <f t="shared" si="35"/>
        <v>0</v>
      </c>
      <c r="S233" s="358">
        <f t="shared" si="35"/>
        <v>0</v>
      </c>
      <c r="T233" s="358">
        <f t="shared" si="35"/>
        <v>0</v>
      </c>
      <c r="U233" s="358">
        <f t="shared" si="35"/>
        <v>0</v>
      </c>
    </row>
    <row r="234" spans="1:21" ht="21.75" customHeight="1">
      <c r="A234" s="358"/>
      <c r="B234" s="370" t="s">
        <v>19</v>
      </c>
      <c r="C234" s="358" t="s">
        <v>20</v>
      </c>
      <c r="D234" s="358">
        <v>80</v>
      </c>
      <c r="E234" s="358"/>
      <c r="F234" s="358"/>
      <c r="G234" s="358"/>
      <c r="H234" s="358"/>
      <c r="I234" s="358"/>
      <c r="J234" s="358"/>
      <c r="K234" s="358"/>
      <c r="L234" s="358"/>
      <c r="M234" s="358"/>
      <c r="N234" s="358"/>
      <c r="O234" s="358"/>
      <c r="P234" s="358"/>
      <c r="Q234" s="358"/>
      <c r="R234" s="358"/>
      <c r="S234" s="358"/>
      <c r="T234" s="358"/>
      <c r="U234" s="358"/>
    </row>
    <row r="235" spans="1:21" ht="21.75" customHeight="1">
      <c r="A235" s="358" t="s">
        <v>21</v>
      </c>
      <c r="B235" s="370" t="s">
        <v>22</v>
      </c>
      <c r="C235" s="358" t="s">
        <v>23</v>
      </c>
      <c r="D235" s="358">
        <v>1.7</v>
      </c>
      <c r="E235" s="358"/>
      <c r="F235" s="358"/>
      <c r="G235" s="358"/>
      <c r="H235" s="358"/>
      <c r="I235" s="358"/>
      <c r="J235" s="358"/>
      <c r="K235" s="358"/>
      <c r="L235" s="358">
        <v>0.14000000000000001</v>
      </c>
      <c r="M235" s="358"/>
      <c r="N235" s="358"/>
      <c r="O235" s="358"/>
      <c r="P235" s="358"/>
      <c r="Q235" s="358"/>
      <c r="R235" s="358"/>
      <c r="S235" s="358"/>
      <c r="T235" s="358"/>
      <c r="U235" s="358"/>
    </row>
    <row r="236" spans="1:21" ht="21.75" customHeight="1">
      <c r="A236" s="358" t="s">
        <v>24</v>
      </c>
      <c r="B236" s="370" t="s">
        <v>25</v>
      </c>
      <c r="C236" s="358" t="s">
        <v>26</v>
      </c>
      <c r="D236" s="358"/>
      <c r="E236" s="358"/>
      <c r="F236" s="358"/>
      <c r="G236" s="358"/>
      <c r="H236" s="358"/>
      <c r="I236" s="358"/>
      <c r="J236" s="358"/>
      <c r="K236" s="358"/>
      <c r="L236" s="358">
        <v>2.5</v>
      </c>
      <c r="M236" s="358"/>
      <c r="N236" s="358"/>
      <c r="O236" s="358"/>
      <c r="P236" s="358"/>
      <c r="Q236" s="358"/>
      <c r="R236" s="358"/>
      <c r="S236" s="358"/>
      <c r="T236" s="358"/>
      <c r="U236" s="358"/>
    </row>
    <row r="237" spans="1:21" ht="21.75" customHeight="1">
      <c r="A237" s="358" t="s">
        <v>27</v>
      </c>
      <c r="B237" s="370" t="s">
        <v>28</v>
      </c>
      <c r="C237" s="358" t="s">
        <v>29</v>
      </c>
      <c r="D237" s="358"/>
      <c r="E237" s="358"/>
      <c r="F237" s="358"/>
      <c r="G237" s="358"/>
      <c r="H237" s="358">
        <v>7</v>
      </c>
      <c r="I237" s="358"/>
      <c r="J237" s="358"/>
      <c r="K237" s="358"/>
      <c r="L237" s="358"/>
      <c r="M237" s="358"/>
      <c r="N237" s="358"/>
      <c r="O237" s="358"/>
      <c r="P237" s="358"/>
      <c r="Q237" s="358"/>
      <c r="R237" s="358"/>
      <c r="S237" s="358"/>
      <c r="T237" s="358"/>
      <c r="U237" s="358"/>
    </row>
    <row r="238" spans="1:21" ht="21.75" customHeight="1">
      <c r="A238" s="358" t="s">
        <v>30</v>
      </c>
      <c r="B238" s="370" t="s">
        <v>31</v>
      </c>
      <c r="C238" s="358" t="s">
        <v>32</v>
      </c>
      <c r="D238" s="358"/>
      <c r="E238" s="358"/>
      <c r="F238" s="358"/>
      <c r="G238" s="358"/>
      <c r="H238" s="358"/>
      <c r="I238" s="358"/>
      <c r="J238" s="358"/>
      <c r="K238" s="358"/>
      <c r="L238" s="358"/>
      <c r="M238" s="358"/>
      <c r="N238" s="358"/>
      <c r="O238" s="358"/>
      <c r="P238" s="358"/>
      <c r="Q238" s="358"/>
      <c r="R238" s="358"/>
      <c r="S238" s="358"/>
      <c r="T238" s="358"/>
      <c r="U238" s="358"/>
    </row>
    <row r="239" spans="1:21" ht="21.75" customHeight="1">
      <c r="A239" s="358" t="s">
        <v>33</v>
      </c>
      <c r="B239" s="370" t="s">
        <v>34</v>
      </c>
      <c r="C239" s="358" t="s">
        <v>35</v>
      </c>
      <c r="D239" s="358"/>
      <c r="E239" s="358"/>
      <c r="F239" s="358"/>
      <c r="G239" s="358"/>
      <c r="H239" s="358"/>
      <c r="I239" s="358"/>
      <c r="J239" s="358"/>
      <c r="K239" s="358"/>
      <c r="L239" s="358">
        <v>21</v>
      </c>
      <c r="M239" s="358"/>
      <c r="N239" s="358"/>
      <c r="O239" s="358"/>
      <c r="P239" s="358"/>
      <c r="Q239" s="358"/>
      <c r="R239" s="358"/>
      <c r="S239" s="358"/>
      <c r="T239" s="358"/>
      <c r="U239" s="358"/>
    </row>
    <row r="240" spans="1:21" ht="21.75" customHeight="1">
      <c r="A240" s="358" t="s">
        <v>36</v>
      </c>
      <c r="B240" s="370" t="s">
        <v>37</v>
      </c>
      <c r="C240" s="358" t="s">
        <v>38</v>
      </c>
      <c r="D240" s="358">
        <v>1.4</v>
      </c>
      <c r="E240" s="358"/>
      <c r="F240" s="358"/>
      <c r="G240" s="358"/>
      <c r="H240" s="358"/>
      <c r="I240" s="358"/>
      <c r="J240" s="358"/>
      <c r="K240" s="358"/>
      <c r="L240" s="358"/>
      <c r="M240" s="358"/>
      <c r="N240" s="358"/>
      <c r="O240" s="358"/>
      <c r="P240" s="358"/>
      <c r="Q240" s="358"/>
      <c r="R240" s="358"/>
      <c r="S240" s="358"/>
      <c r="T240" s="358"/>
      <c r="U240" s="358"/>
    </row>
    <row r="241" spans="1:21" ht="21.75" customHeight="1">
      <c r="A241" s="358" t="s">
        <v>39</v>
      </c>
      <c r="B241" s="370" t="s">
        <v>40</v>
      </c>
      <c r="C241" s="358" t="s">
        <v>41</v>
      </c>
      <c r="D241" s="358"/>
      <c r="E241" s="358"/>
      <c r="F241" s="358"/>
      <c r="G241" s="358"/>
      <c r="H241" s="358"/>
      <c r="I241" s="358"/>
      <c r="J241" s="358"/>
      <c r="K241" s="358"/>
      <c r="L241" s="358"/>
      <c r="M241" s="358"/>
      <c r="N241" s="358"/>
      <c r="O241" s="358"/>
      <c r="P241" s="358"/>
      <c r="Q241" s="358"/>
      <c r="R241" s="358"/>
      <c r="S241" s="358"/>
      <c r="T241" s="358"/>
      <c r="U241" s="358"/>
    </row>
    <row r="242" spans="1:21" ht="21.75" customHeight="1">
      <c r="A242" s="358">
        <v>2</v>
      </c>
      <c r="B242" s="370" t="s">
        <v>43</v>
      </c>
      <c r="C242" s="358" t="s">
        <v>44</v>
      </c>
      <c r="D242" s="358"/>
      <c r="E242" s="358"/>
      <c r="F242" s="358"/>
      <c r="G242" s="358"/>
      <c r="H242" s="358"/>
      <c r="I242" s="358"/>
      <c r="J242" s="358"/>
      <c r="K242" s="358"/>
      <c r="L242" s="358"/>
      <c r="M242" s="358"/>
      <c r="N242" s="358"/>
      <c r="O242" s="358"/>
      <c r="P242" s="358"/>
      <c r="Q242" s="358"/>
      <c r="R242" s="358"/>
      <c r="S242" s="358"/>
      <c r="T242" s="358"/>
      <c r="U242" s="358"/>
    </row>
    <row r="243" spans="1:21" ht="21.75" customHeight="1">
      <c r="A243" s="358">
        <v>2</v>
      </c>
      <c r="B243" s="370" t="s">
        <v>45</v>
      </c>
      <c r="C243" s="358" t="s">
        <v>46</v>
      </c>
      <c r="D243" s="358">
        <f>SUM(D244:D269)</f>
        <v>4.5</v>
      </c>
      <c r="E243" s="358">
        <f t="shared" ref="E243:U243" si="36">SUM(E244:E269)</f>
        <v>0</v>
      </c>
      <c r="F243" s="358">
        <f t="shared" si="36"/>
        <v>0</v>
      </c>
      <c r="G243" s="358">
        <f t="shared" si="36"/>
        <v>0</v>
      </c>
      <c r="H243" s="358">
        <f t="shared" si="36"/>
        <v>0</v>
      </c>
      <c r="I243" s="358">
        <f t="shared" si="36"/>
        <v>0</v>
      </c>
      <c r="J243" s="358">
        <f t="shared" si="36"/>
        <v>0</v>
      </c>
      <c r="K243" s="358">
        <f t="shared" si="36"/>
        <v>0</v>
      </c>
      <c r="L243" s="358">
        <f t="shared" si="36"/>
        <v>0</v>
      </c>
      <c r="M243" s="358">
        <f t="shared" si="36"/>
        <v>0</v>
      </c>
      <c r="N243" s="358">
        <f t="shared" si="36"/>
        <v>0</v>
      </c>
      <c r="O243" s="358">
        <f t="shared" si="36"/>
        <v>0</v>
      </c>
      <c r="P243" s="358">
        <f t="shared" si="36"/>
        <v>322.39</v>
      </c>
      <c r="Q243" s="358">
        <f t="shared" si="36"/>
        <v>0</v>
      </c>
      <c r="R243" s="358">
        <f t="shared" si="36"/>
        <v>0</v>
      </c>
      <c r="S243" s="358">
        <f t="shared" si="36"/>
        <v>0</v>
      </c>
      <c r="T243" s="358">
        <f t="shared" si="36"/>
        <v>0</v>
      </c>
      <c r="U243" s="358">
        <f t="shared" si="36"/>
        <v>0</v>
      </c>
    </row>
    <row r="244" spans="1:21" ht="21.75" customHeight="1">
      <c r="A244" s="358" t="s">
        <v>47</v>
      </c>
      <c r="B244" s="370" t="s">
        <v>48</v>
      </c>
      <c r="C244" s="358" t="s">
        <v>49</v>
      </c>
      <c r="D244" s="358"/>
      <c r="E244" s="358"/>
      <c r="F244" s="358"/>
      <c r="G244" s="358"/>
      <c r="H244" s="358"/>
      <c r="I244" s="358"/>
      <c r="J244" s="358"/>
      <c r="K244" s="358"/>
      <c r="L244" s="358"/>
      <c r="M244" s="358"/>
      <c r="N244" s="358"/>
      <c r="O244" s="358"/>
      <c r="P244" s="358"/>
      <c r="Q244" s="358"/>
      <c r="R244" s="358"/>
      <c r="S244" s="358"/>
      <c r="T244" s="358"/>
      <c r="U244" s="358"/>
    </row>
    <row r="245" spans="1:21" ht="21.75" customHeight="1">
      <c r="A245" s="358" t="s">
        <v>50</v>
      </c>
      <c r="B245" s="370" t="s">
        <v>51</v>
      </c>
      <c r="C245" s="358" t="s">
        <v>52</v>
      </c>
      <c r="D245" s="358"/>
      <c r="E245" s="358"/>
      <c r="F245" s="358"/>
      <c r="G245" s="358"/>
      <c r="H245" s="358"/>
      <c r="I245" s="358"/>
      <c r="J245" s="358"/>
      <c r="K245" s="358"/>
      <c r="L245" s="358"/>
      <c r="M245" s="358"/>
      <c r="N245" s="358"/>
      <c r="O245" s="358"/>
      <c r="P245" s="358"/>
      <c r="Q245" s="358"/>
      <c r="R245" s="358"/>
      <c r="S245" s="358"/>
      <c r="T245" s="358"/>
      <c r="U245" s="358"/>
    </row>
    <row r="246" spans="1:21" ht="21.75" customHeight="1">
      <c r="A246" s="358" t="s">
        <v>53</v>
      </c>
      <c r="B246" s="370" t="s">
        <v>54</v>
      </c>
      <c r="C246" s="358" t="s">
        <v>55</v>
      </c>
      <c r="D246" s="358"/>
      <c r="E246" s="358"/>
      <c r="F246" s="358"/>
      <c r="G246" s="358"/>
      <c r="H246" s="358"/>
      <c r="I246" s="358"/>
      <c r="J246" s="358"/>
      <c r="K246" s="358"/>
      <c r="L246" s="358"/>
      <c r="M246" s="358"/>
      <c r="N246" s="358"/>
      <c r="O246" s="358"/>
      <c r="P246" s="358"/>
      <c r="Q246" s="358"/>
      <c r="R246" s="358"/>
      <c r="S246" s="358"/>
      <c r="T246" s="358"/>
      <c r="U246" s="358"/>
    </row>
    <row r="247" spans="1:21" ht="21.75" customHeight="1">
      <c r="A247" s="358" t="s">
        <v>56</v>
      </c>
      <c r="B247" s="370" t="s">
        <v>57</v>
      </c>
      <c r="C247" s="358" t="s">
        <v>58</v>
      </c>
      <c r="D247" s="358"/>
      <c r="E247" s="358"/>
      <c r="F247" s="358"/>
      <c r="G247" s="358"/>
      <c r="H247" s="358"/>
      <c r="I247" s="358"/>
      <c r="J247" s="358"/>
      <c r="K247" s="358"/>
      <c r="L247" s="358"/>
      <c r="M247" s="358"/>
      <c r="N247" s="358"/>
      <c r="O247" s="358"/>
      <c r="P247" s="358"/>
      <c r="Q247" s="358"/>
      <c r="R247" s="358"/>
      <c r="S247" s="358"/>
      <c r="T247" s="358"/>
      <c r="U247" s="358"/>
    </row>
    <row r="248" spans="1:21" ht="21.75" customHeight="1">
      <c r="A248" s="358" t="s">
        <v>59</v>
      </c>
      <c r="B248" s="370" t="s">
        <v>60</v>
      </c>
      <c r="C248" s="358" t="s">
        <v>61</v>
      </c>
      <c r="D248" s="358"/>
      <c r="E248" s="358"/>
      <c r="F248" s="358"/>
      <c r="G248" s="358"/>
      <c r="H248" s="358"/>
      <c r="I248" s="358"/>
      <c r="J248" s="358"/>
      <c r="K248" s="358"/>
      <c r="L248" s="358"/>
      <c r="M248" s="358"/>
      <c r="N248" s="358"/>
      <c r="O248" s="358"/>
      <c r="P248" s="358"/>
      <c r="Q248" s="358"/>
      <c r="R248" s="358"/>
      <c r="S248" s="358"/>
      <c r="T248" s="358"/>
      <c r="U248" s="358"/>
    </row>
    <row r="249" spans="1:21" ht="21.75" customHeight="1">
      <c r="A249" s="358" t="s">
        <v>62</v>
      </c>
      <c r="B249" s="370" t="s">
        <v>63</v>
      </c>
      <c r="C249" s="358" t="s">
        <v>64</v>
      </c>
      <c r="D249" s="358"/>
      <c r="E249" s="358"/>
      <c r="F249" s="358"/>
      <c r="G249" s="358"/>
      <c r="H249" s="358"/>
      <c r="I249" s="358"/>
      <c r="J249" s="358"/>
      <c r="K249" s="358"/>
      <c r="L249" s="358"/>
      <c r="M249" s="358"/>
      <c r="N249" s="358"/>
      <c r="O249" s="358"/>
      <c r="P249" s="358">
        <f>27.83</f>
        <v>27.83</v>
      </c>
      <c r="Q249" s="358"/>
      <c r="R249" s="358"/>
      <c r="S249" s="358"/>
      <c r="T249" s="358"/>
      <c r="U249" s="358"/>
    </row>
    <row r="250" spans="1:21" ht="21.75" customHeight="1">
      <c r="A250" s="358" t="s">
        <v>65</v>
      </c>
      <c r="B250" s="370" t="s">
        <v>66</v>
      </c>
      <c r="C250" s="358" t="s">
        <v>67</v>
      </c>
      <c r="D250" s="358"/>
      <c r="E250" s="358"/>
      <c r="F250" s="358"/>
      <c r="G250" s="358"/>
      <c r="H250" s="358"/>
      <c r="I250" s="358"/>
      <c r="J250" s="358"/>
      <c r="K250" s="358"/>
      <c r="L250" s="358"/>
      <c r="M250" s="358"/>
      <c r="N250" s="358"/>
      <c r="O250" s="358"/>
      <c r="P250" s="358"/>
      <c r="Q250" s="358"/>
      <c r="R250" s="358"/>
      <c r="S250" s="358"/>
      <c r="T250" s="358"/>
      <c r="U250" s="358"/>
    </row>
    <row r="251" spans="1:21" ht="21.75" customHeight="1">
      <c r="A251" s="358" t="s">
        <v>68</v>
      </c>
      <c r="B251" s="370" t="s">
        <v>69</v>
      </c>
      <c r="C251" s="358" t="s">
        <v>70</v>
      </c>
      <c r="D251" s="358"/>
      <c r="E251" s="358"/>
      <c r="F251" s="358"/>
      <c r="G251" s="358"/>
      <c r="H251" s="358"/>
      <c r="I251" s="358"/>
      <c r="J251" s="358"/>
      <c r="K251" s="358"/>
      <c r="L251" s="358"/>
      <c r="M251" s="358"/>
      <c r="N251" s="358"/>
      <c r="O251" s="358"/>
      <c r="P251" s="358"/>
      <c r="Q251" s="358"/>
      <c r="R251" s="358"/>
      <c r="S251" s="358"/>
      <c r="T251" s="358"/>
      <c r="U251" s="358"/>
    </row>
    <row r="252" spans="1:21" ht="33" customHeight="1">
      <c r="A252" s="358" t="s">
        <v>71</v>
      </c>
      <c r="B252" s="370" t="s">
        <v>135</v>
      </c>
      <c r="C252" s="358" t="s">
        <v>72</v>
      </c>
      <c r="D252" s="358">
        <v>4.5</v>
      </c>
      <c r="E252" s="358"/>
      <c r="F252" s="358"/>
      <c r="G252" s="358"/>
      <c r="H252" s="358"/>
      <c r="I252" s="358"/>
      <c r="J252" s="358"/>
      <c r="K252" s="358"/>
      <c r="L252" s="358"/>
      <c r="M252" s="358"/>
      <c r="N252" s="358"/>
      <c r="O252" s="358"/>
      <c r="P252" s="358">
        <f>8.36+102.66+2.97+1.03+39.71+0.48+11.2</f>
        <v>166.40999999999997</v>
      </c>
      <c r="Q252" s="358"/>
      <c r="R252" s="358"/>
      <c r="S252" s="358"/>
      <c r="T252" s="358"/>
      <c r="U252" s="358"/>
    </row>
    <row r="253" spans="1:21" ht="36" customHeight="1">
      <c r="A253" s="358" t="s">
        <v>73</v>
      </c>
      <c r="B253" s="370" t="s">
        <v>74</v>
      </c>
      <c r="C253" s="358" t="s">
        <v>75</v>
      </c>
      <c r="D253" s="358"/>
      <c r="E253" s="358"/>
      <c r="F253" s="358"/>
      <c r="G253" s="358"/>
      <c r="H253" s="358"/>
      <c r="I253" s="358"/>
      <c r="J253" s="358"/>
      <c r="K253" s="358"/>
      <c r="L253" s="358"/>
      <c r="M253" s="358"/>
      <c r="N253" s="358"/>
      <c r="O253" s="358"/>
      <c r="P253" s="358"/>
      <c r="Q253" s="358"/>
      <c r="R253" s="358"/>
      <c r="S253" s="358"/>
      <c r="T253" s="358"/>
      <c r="U253" s="358"/>
    </row>
    <row r="254" spans="1:21" ht="21.75" customHeight="1">
      <c r="A254" s="358" t="s">
        <v>76</v>
      </c>
      <c r="B254" s="370" t="s">
        <v>77</v>
      </c>
      <c r="C254" s="358" t="s">
        <v>78</v>
      </c>
      <c r="D254" s="358"/>
      <c r="E254" s="358"/>
      <c r="F254" s="358"/>
      <c r="G254" s="358"/>
      <c r="H254" s="358"/>
      <c r="I254" s="358"/>
      <c r="J254" s="358"/>
      <c r="K254" s="358"/>
      <c r="L254" s="358"/>
      <c r="M254" s="358"/>
      <c r="N254" s="358"/>
      <c r="O254" s="358"/>
      <c r="P254" s="358"/>
      <c r="Q254" s="358"/>
      <c r="R254" s="358"/>
      <c r="S254" s="358"/>
      <c r="T254" s="358"/>
      <c r="U254" s="358"/>
    </row>
    <row r="255" spans="1:21" ht="21.75" customHeight="1">
      <c r="A255" s="358" t="s">
        <v>79</v>
      </c>
      <c r="B255" s="370" t="s">
        <v>80</v>
      </c>
      <c r="C255" s="358" t="s">
        <v>81</v>
      </c>
      <c r="D255" s="358"/>
      <c r="E255" s="358"/>
      <c r="F255" s="358"/>
      <c r="G255" s="358"/>
      <c r="H255" s="358"/>
      <c r="I255" s="358"/>
      <c r="J255" s="358"/>
      <c r="K255" s="358"/>
      <c r="L255" s="358"/>
      <c r="M255" s="358"/>
      <c r="N255" s="358"/>
      <c r="O255" s="358"/>
      <c r="P255" s="358"/>
      <c r="Q255" s="358"/>
      <c r="R255" s="358"/>
      <c r="S255" s="358"/>
      <c r="T255" s="358"/>
      <c r="U255" s="358"/>
    </row>
    <row r="256" spans="1:21" ht="21.75" customHeight="1">
      <c r="A256" s="358" t="s">
        <v>82</v>
      </c>
      <c r="B256" s="370" t="s">
        <v>83</v>
      </c>
      <c r="C256" s="358" t="s">
        <v>84</v>
      </c>
      <c r="D256" s="358"/>
      <c r="E256" s="358"/>
      <c r="F256" s="358"/>
      <c r="G256" s="358"/>
      <c r="H256" s="358"/>
      <c r="I256" s="358"/>
      <c r="J256" s="358"/>
      <c r="K256" s="358"/>
      <c r="L256" s="358"/>
      <c r="M256" s="358"/>
      <c r="N256" s="358"/>
      <c r="O256" s="358"/>
      <c r="P256" s="358"/>
      <c r="Q256" s="358"/>
      <c r="R256" s="358"/>
      <c r="S256" s="358"/>
      <c r="T256" s="358"/>
      <c r="U256" s="358"/>
    </row>
    <row r="257" spans="1:21" ht="21.75" customHeight="1">
      <c r="A257" s="358" t="s">
        <v>85</v>
      </c>
      <c r="B257" s="370" t="s">
        <v>86</v>
      </c>
      <c r="C257" s="358" t="s">
        <v>87</v>
      </c>
      <c r="D257" s="358"/>
      <c r="E257" s="358"/>
      <c r="F257" s="358"/>
      <c r="G257" s="358"/>
      <c r="H257" s="358"/>
      <c r="I257" s="358"/>
      <c r="J257" s="358"/>
      <c r="K257" s="358"/>
      <c r="L257" s="358"/>
      <c r="M257" s="358"/>
      <c r="N257" s="358"/>
      <c r="O257" s="358"/>
      <c r="P257" s="358">
        <f>60.89+27.99+1.36</f>
        <v>90.24</v>
      </c>
      <c r="Q257" s="358"/>
      <c r="R257" s="358"/>
      <c r="S257" s="358"/>
      <c r="T257" s="358"/>
      <c r="U257" s="358"/>
    </row>
    <row r="258" spans="1:21" ht="21.75" customHeight="1">
      <c r="A258" s="358" t="s">
        <v>88</v>
      </c>
      <c r="B258" s="370" t="s">
        <v>89</v>
      </c>
      <c r="C258" s="358" t="s">
        <v>90</v>
      </c>
      <c r="D258" s="358"/>
      <c r="E258" s="358"/>
      <c r="F258" s="358"/>
      <c r="G258" s="358"/>
      <c r="H258" s="358"/>
      <c r="I258" s="358"/>
      <c r="J258" s="358"/>
      <c r="K258" s="358"/>
      <c r="L258" s="358"/>
      <c r="M258" s="358"/>
      <c r="N258" s="358"/>
      <c r="O258" s="358"/>
      <c r="P258" s="358"/>
      <c r="Q258" s="358"/>
      <c r="R258" s="358"/>
      <c r="S258" s="358"/>
      <c r="T258" s="358"/>
      <c r="U258" s="358"/>
    </row>
    <row r="259" spans="1:21" ht="21.75" customHeight="1">
      <c r="A259" s="358" t="s">
        <v>91</v>
      </c>
      <c r="B259" s="370" t="s">
        <v>92</v>
      </c>
      <c r="C259" s="358" t="s">
        <v>93</v>
      </c>
      <c r="D259" s="358"/>
      <c r="E259" s="358"/>
      <c r="F259" s="358"/>
      <c r="G259" s="358"/>
      <c r="H259" s="358"/>
      <c r="I259" s="358"/>
      <c r="J259" s="358"/>
      <c r="K259" s="358"/>
      <c r="L259" s="358"/>
      <c r="M259" s="358"/>
      <c r="N259" s="358"/>
      <c r="O259" s="358"/>
      <c r="P259" s="358"/>
      <c r="Q259" s="358"/>
      <c r="R259" s="358"/>
      <c r="S259" s="358"/>
      <c r="T259" s="358"/>
      <c r="U259" s="358"/>
    </row>
    <row r="260" spans="1:21" ht="21.75" customHeight="1">
      <c r="A260" s="358" t="s">
        <v>94</v>
      </c>
      <c r="B260" s="370" t="s">
        <v>95</v>
      </c>
      <c r="C260" s="358" t="s">
        <v>96</v>
      </c>
      <c r="D260" s="358"/>
      <c r="E260" s="358"/>
      <c r="F260" s="358"/>
      <c r="G260" s="358"/>
      <c r="H260" s="358"/>
      <c r="I260" s="358"/>
      <c r="J260" s="358"/>
      <c r="K260" s="358"/>
      <c r="L260" s="358"/>
      <c r="M260" s="358"/>
      <c r="N260" s="358"/>
      <c r="O260" s="358"/>
      <c r="P260" s="358"/>
      <c r="Q260" s="358"/>
      <c r="R260" s="358"/>
      <c r="S260" s="358"/>
      <c r="T260" s="358"/>
      <c r="U260" s="358"/>
    </row>
    <row r="261" spans="1:21" ht="21.75" customHeight="1">
      <c r="A261" s="358" t="s">
        <v>97</v>
      </c>
      <c r="B261" s="370" t="s">
        <v>98</v>
      </c>
      <c r="C261" s="358" t="s">
        <v>99</v>
      </c>
      <c r="D261" s="358"/>
      <c r="E261" s="358"/>
      <c r="F261" s="358"/>
      <c r="G261" s="358"/>
      <c r="H261" s="358"/>
      <c r="I261" s="358"/>
      <c r="J261" s="358"/>
      <c r="K261" s="358"/>
      <c r="L261" s="358"/>
      <c r="M261" s="358"/>
      <c r="N261" s="358"/>
      <c r="O261" s="358"/>
      <c r="P261" s="358"/>
      <c r="Q261" s="358"/>
      <c r="R261" s="358"/>
      <c r="S261" s="358"/>
      <c r="T261" s="358"/>
      <c r="U261" s="358"/>
    </row>
    <row r="262" spans="1:21" ht="21.75" customHeight="1">
      <c r="A262" s="358" t="s">
        <v>100</v>
      </c>
      <c r="B262" s="370" t="s">
        <v>134</v>
      </c>
      <c r="C262" s="358" t="s">
        <v>101</v>
      </c>
      <c r="D262" s="358"/>
      <c r="E262" s="358"/>
      <c r="F262" s="358"/>
      <c r="G262" s="358"/>
      <c r="H262" s="358"/>
      <c r="I262" s="358"/>
      <c r="J262" s="358"/>
      <c r="K262" s="358"/>
      <c r="L262" s="358"/>
      <c r="M262" s="358"/>
      <c r="N262" s="358"/>
      <c r="O262" s="358"/>
      <c r="P262" s="358"/>
      <c r="Q262" s="358"/>
      <c r="R262" s="358"/>
      <c r="S262" s="358"/>
      <c r="T262" s="358"/>
      <c r="U262" s="358"/>
    </row>
    <row r="263" spans="1:21" ht="21.75" customHeight="1">
      <c r="A263" s="358" t="s">
        <v>102</v>
      </c>
      <c r="B263" s="370" t="s">
        <v>103</v>
      </c>
      <c r="C263" s="358" t="s">
        <v>104</v>
      </c>
      <c r="D263" s="358"/>
      <c r="E263" s="358"/>
      <c r="F263" s="358"/>
      <c r="G263" s="358"/>
      <c r="H263" s="358"/>
      <c r="I263" s="358"/>
      <c r="J263" s="358"/>
      <c r="K263" s="358"/>
      <c r="L263" s="358"/>
      <c r="M263" s="358"/>
      <c r="N263" s="358"/>
      <c r="O263" s="358"/>
      <c r="P263" s="358"/>
      <c r="Q263" s="358"/>
      <c r="R263" s="358"/>
      <c r="S263" s="358"/>
      <c r="T263" s="358"/>
      <c r="U263" s="358"/>
    </row>
    <row r="264" spans="1:21" ht="21.75" customHeight="1">
      <c r="A264" s="358" t="s">
        <v>105</v>
      </c>
      <c r="B264" s="370" t="s">
        <v>106</v>
      </c>
      <c r="C264" s="358" t="s">
        <v>107</v>
      </c>
      <c r="D264" s="358"/>
      <c r="E264" s="358"/>
      <c r="F264" s="358"/>
      <c r="G264" s="358"/>
      <c r="H264" s="358"/>
      <c r="I264" s="358"/>
      <c r="J264" s="358"/>
      <c r="K264" s="358"/>
      <c r="L264" s="358"/>
      <c r="M264" s="358"/>
      <c r="N264" s="358"/>
      <c r="O264" s="358"/>
      <c r="P264" s="358"/>
      <c r="Q264" s="358"/>
      <c r="R264" s="358"/>
      <c r="S264" s="358"/>
      <c r="T264" s="358"/>
      <c r="U264" s="358"/>
    </row>
    <row r="265" spans="1:21" ht="21.75" customHeight="1">
      <c r="A265" s="358" t="s">
        <v>108</v>
      </c>
      <c r="B265" s="370" t="s">
        <v>109</v>
      </c>
      <c r="C265" s="358" t="s">
        <v>110</v>
      </c>
      <c r="D265" s="358"/>
      <c r="E265" s="358"/>
      <c r="F265" s="358"/>
      <c r="G265" s="358"/>
      <c r="H265" s="358"/>
      <c r="I265" s="358"/>
      <c r="J265" s="358"/>
      <c r="K265" s="358"/>
      <c r="L265" s="358"/>
      <c r="M265" s="358"/>
      <c r="N265" s="358"/>
      <c r="O265" s="358"/>
      <c r="P265" s="358">
        <f>8.13+20.05+8.13</f>
        <v>36.31</v>
      </c>
      <c r="Q265" s="358"/>
      <c r="R265" s="358"/>
      <c r="S265" s="358"/>
      <c r="T265" s="358"/>
      <c r="U265" s="358"/>
    </row>
    <row r="266" spans="1:21" ht="21.75" customHeight="1">
      <c r="A266" s="358" t="s">
        <v>111</v>
      </c>
      <c r="B266" s="370" t="s">
        <v>112</v>
      </c>
      <c r="C266" s="358" t="s">
        <v>113</v>
      </c>
      <c r="D266" s="358"/>
      <c r="E266" s="358"/>
      <c r="F266" s="358"/>
      <c r="G266" s="358"/>
      <c r="H266" s="358"/>
      <c r="I266" s="358"/>
      <c r="J266" s="358"/>
      <c r="K266" s="358"/>
      <c r="L266" s="358"/>
      <c r="M266" s="358"/>
      <c r="N266" s="358"/>
      <c r="O266" s="358"/>
      <c r="P266" s="358"/>
      <c r="Q266" s="358"/>
      <c r="R266" s="358"/>
      <c r="S266" s="358"/>
      <c r="T266" s="358"/>
      <c r="U266" s="358"/>
    </row>
    <row r="267" spans="1:21" ht="21.75" customHeight="1">
      <c r="A267" s="358" t="s">
        <v>114</v>
      </c>
      <c r="B267" s="370" t="s">
        <v>115</v>
      </c>
      <c r="C267" s="358" t="s">
        <v>116</v>
      </c>
      <c r="D267" s="358"/>
      <c r="E267" s="358"/>
      <c r="F267" s="358"/>
      <c r="G267" s="358"/>
      <c r="H267" s="358"/>
      <c r="I267" s="358"/>
      <c r="J267" s="358"/>
      <c r="K267" s="358"/>
      <c r="L267" s="358"/>
      <c r="M267" s="358"/>
      <c r="N267" s="358"/>
      <c r="O267" s="358"/>
      <c r="P267" s="358"/>
      <c r="Q267" s="358"/>
      <c r="R267" s="358"/>
      <c r="S267" s="358"/>
      <c r="T267" s="358"/>
      <c r="U267" s="358"/>
    </row>
    <row r="268" spans="1:21" ht="21.75" customHeight="1">
      <c r="A268" s="358" t="s">
        <v>117</v>
      </c>
      <c r="B268" s="370" t="s">
        <v>118</v>
      </c>
      <c r="C268" s="358" t="s">
        <v>119</v>
      </c>
      <c r="D268" s="358"/>
      <c r="E268" s="358"/>
      <c r="F268" s="358"/>
      <c r="G268" s="358"/>
      <c r="H268" s="358"/>
      <c r="I268" s="358"/>
      <c r="J268" s="358"/>
      <c r="K268" s="358"/>
      <c r="L268" s="358"/>
      <c r="M268" s="358"/>
      <c r="N268" s="358"/>
      <c r="O268" s="358"/>
      <c r="P268" s="358">
        <v>1.6</v>
      </c>
      <c r="Q268" s="358"/>
      <c r="R268" s="358"/>
      <c r="S268" s="358"/>
      <c r="T268" s="358"/>
      <c r="U268" s="358"/>
    </row>
    <row r="269" spans="1:21" ht="21.75" customHeight="1">
      <c r="A269" s="358" t="s">
        <v>120</v>
      </c>
      <c r="B269" s="370" t="s">
        <v>121</v>
      </c>
      <c r="C269" s="358" t="s">
        <v>122</v>
      </c>
      <c r="D269" s="358"/>
      <c r="E269" s="358"/>
      <c r="F269" s="358"/>
      <c r="G269" s="358"/>
      <c r="H269" s="358"/>
      <c r="I269" s="358"/>
      <c r="J269" s="358"/>
      <c r="K269" s="358"/>
      <c r="L269" s="358"/>
      <c r="M269" s="358"/>
      <c r="N269" s="358"/>
      <c r="O269" s="358"/>
      <c r="P269" s="358"/>
      <c r="Q269" s="358"/>
      <c r="R269" s="358"/>
      <c r="S269" s="358"/>
      <c r="T269" s="358"/>
      <c r="U269" s="358"/>
    </row>
    <row r="270" spans="1:21" ht="21.75" customHeight="1">
      <c r="A270" s="358">
        <v>3</v>
      </c>
      <c r="B270" s="370" t="s">
        <v>123</v>
      </c>
      <c r="C270" s="358" t="s">
        <v>124</v>
      </c>
      <c r="D270" s="358"/>
      <c r="E270" s="358"/>
      <c r="F270" s="358"/>
      <c r="G270" s="358"/>
      <c r="H270" s="358"/>
      <c r="I270" s="358"/>
      <c r="J270" s="358"/>
      <c r="K270" s="358"/>
      <c r="L270" s="358"/>
      <c r="M270" s="358"/>
      <c r="N270" s="358"/>
      <c r="O270" s="358"/>
      <c r="P270" s="358"/>
      <c r="Q270" s="358"/>
      <c r="R270" s="358"/>
      <c r="S270" s="358"/>
      <c r="T270" s="358"/>
      <c r="U270" s="358"/>
    </row>
    <row r="271" spans="1:21" ht="21.75" customHeight="1">
      <c r="A271" s="1355" t="s">
        <v>351</v>
      </c>
      <c r="B271" s="1355"/>
      <c r="C271" s="372"/>
      <c r="D271" s="372"/>
      <c r="E271" s="372"/>
      <c r="F271" s="372"/>
      <c r="G271" s="372"/>
      <c r="H271" s="372"/>
      <c r="I271" s="372"/>
      <c r="J271" s="372"/>
      <c r="K271" s="372"/>
      <c r="L271" s="372"/>
      <c r="M271" s="372"/>
      <c r="N271" s="372"/>
      <c r="O271" s="372"/>
      <c r="P271" s="372"/>
      <c r="Q271" s="372"/>
      <c r="R271" s="372"/>
      <c r="S271" s="372"/>
      <c r="T271" s="372"/>
      <c r="U271" s="372"/>
    </row>
    <row r="272" spans="1:21" ht="21.75" customHeight="1">
      <c r="A272" s="1354" t="s">
        <v>185</v>
      </c>
      <c r="B272" s="1354"/>
      <c r="C272" s="1354"/>
      <c r="D272" s="1354"/>
      <c r="E272" s="1354"/>
      <c r="F272" s="1354"/>
      <c r="G272" s="1354"/>
      <c r="H272" s="1354"/>
      <c r="I272" s="1354"/>
      <c r="J272" s="1354"/>
      <c r="K272" s="1354"/>
      <c r="L272" s="1354"/>
      <c r="M272" s="1354"/>
      <c r="N272" s="1354"/>
      <c r="O272" s="1354"/>
      <c r="P272" s="1354"/>
      <c r="Q272" s="1354"/>
      <c r="R272" s="1354"/>
      <c r="S272" s="1354"/>
      <c r="T272" s="1354"/>
      <c r="U272" s="1354"/>
    </row>
    <row r="273" spans="1:21" ht="21.75" customHeight="1">
      <c r="A273" s="1354" t="s">
        <v>322</v>
      </c>
      <c r="B273" s="1354"/>
      <c r="C273" s="1354"/>
      <c r="D273" s="1354"/>
      <c r="E273" s="1354"/>
      <c r="F273" s="1354"/>
      <c r="G273" s="1354"/>
      <c r="H273" s="1354"/>
      <c r="I273" s="1354"/>
      <c r="J273" s="1354"/>
      <c r="K273" s="1354"/>
      <c r="L273" s="1354"/>
      <c r="M273" s="1354"/>
      <c r="N273" s="1354"/>
      <c r="O273" s="1354"/>
      <c r="P273" s="1354"/>
      <c r="Q273" s="1354"/>
      <c r="R273" s="1354"/>
      <c r="S273" s="1354"/>
      <c r="T273" s="1354"/>
      <c r="U273" s="1354"/>
    </row>
    <row r="274" spans="1:21" ht="21.75" customHeight="1"/>
    <row r="275" spans="1:21" ht="21.75" customHeight="1">
      <c r="A275" s="1356" t="s">
        <v>0</v>
      </c>
      <c r="B275" s="1356" t="s">
        <v>186</v>
      </c>
      <c r="C275" s="1356" t="s">
        <v>13</v>
      </c>
      <c r="D275" s="1356" t="s">
        <v>139</v>
      </c>
      <c r="E275" s="1356"/>
      <c r="F275" s="1356" t="s">
        <v>140</v>
      </c>
      <c r="G275" s="1356"/>
      <c r="H275" s="1356" t="s">
        <v>141</v>
      </c>
      <c r="I275" s="1356"/>
      <c r="J275" s="1356" t="s">
        <v>142</v>
      </c>
      <c r="K275" s="1356"/>
      <c r="L275" s="1356" t="s">
        <v>143</v>
      </c>
      <c r="M275" s="1356"/>
      <c r="N275" s="1356" t="s">
        <v>144</v>
      </c>
      <c r="O275" s="1356"/>
      <c r="P275" s="1356" t="s">
        <v>188</v>
      </c>
      <c r="Q275" s="1356"/>
      <c r="R275" s="1356" t="s">
        <v>145</v>
      </c>
      <c r="S275" s="1356"/>
      <c r="T275" s="1356" t="s">
        <v>146</v>
      </c>
      <c r="U275" s="1356"/>
    </row>
    <row r="276" spans="1:21" ht="34.5" customHeight="1">
      <c r="A276" s="1356"/>
      <c r="B276" s="1356"/>
      <c r="C276" s="1356"/>
      <c r="D276" s="360" t="s">
        <v>137</v>
      </c>
      <c r="E276" s="360" t="s">
        <v>187</v>
      </c>
      <c r="F276" s="360" t="s">
        <v>137</v>
      </c>
      <c r="G276" s="360" t="s">
        <v>187</v>
      </c>
      <c r="H276" s="360" t="s">
        <v>137</v>
      </c>
      <c r="I276" s="360" t="s">
        <v>187</v>
      </c>
      <c r="J276" s="360" t="s">
        <v>137</v>
      </c>
      <c r="K276" s="360" t="s">
        <v>187</v>
      </c>
      <c r="L276" s="360" t="s">
        <v>137</v>
      </c>
      <c r="M276" s="360" t="s">
        <v>187</v>
      </c>
      <c r="N276" s="360" t="s">
        <v>137</v>
      </c>
      <c r="O276" s="360" t="s">
        <v>187</v>
      </c>
      <c r="P276" s="360" t="s">
        <v>137</v>
      </c>
      <c r="Q276" s="360" t="s">
        <v>187</v>
      </c>
      <c r="R276" s="360" t="s">
        <v>137</v>
      </c>
      <c r="S276" s="360" t="s">
        <v>187</v>
      </c>
      <c r="T276" s="360" t="s">
        <v>137</v>
      </c>
      <c r="U276" s="360" t="s">
        <v>187</v>
      </c>
    </row>
    <row r="277" spans="1:21" ht="33" customHeight="1">
      <c r="A277" s="360">
        <v>1</v>
      </c>
      <c r="B277" s="362" t="s">
        <v>14</v>
      </c>
      <c r="C277" s="360" t="s">
        <v>15</v>
      </c>
      <c r="D277" s="360">
        <f>D278+D280+D281+D282+D283+D284+D285+D286+D287</f>
        <v>141.5</v>
      </c>
      <c r="E277" s="360">
        <f t="shared" ref="E277:U277" si="37">E278+E280+E281+E282+E283+E284+E285+E286+E287</f>
        <v>0</v>
      </c>
      <c r="F277" s="360">
        <f t="shared" si="37"/>
        <v>0</v>
      </c>
      <c r="G277" s="360">
        <f t="shared" si="37"/>
        <v>0</v>
      </c>
      <c r="H277" s="360">
        <f t="shared" si="37"/>
        <v>348</v>
      </c>
      <c r="I277" s="360">
        <f t="shared" si="37"/>
        <v>0</v>
      </c>
      <c r="J277" s="360">
        <f t="shared" si="37"/>
        <v>0</v>
      </c>
      <c r="K277" s="360">
        <f t="shared" si="37"/>
        <v>0</v>
      </c>
      <c r="L277" s="360">
        <f t="shared" si="37"/>
        <v>18</v>
      </c>
      <c r="M277" s="360">
        <f t="shared" si="37"/>
        <v>0</v>
      </c>
      <c r="N277" s="360">
        <f t="shared" si="37"/>
        <v>0</v>
      </c>
      <c r="O277" s="360">
        <f t="shared" si="37"/>
        <v>0</v>
      </c>
      <c r="P277" s="360">
        <f t="shared" si="37"/>
        <v>0</v>
      </c>
      <c r="Q277" s="360">
        <f t="shared" si="37"/>
        <v>0</v>
      </c>
      <c r="R277" s="360">
        <f t="shared" si="37"/>
        <v>0</v>
      </c>
      <c r="S277" s="360">
        <f t="shared" si="37"/>
        <v>0</v>
      </c>
      <c r="T277" s="360">
        <f t="shared" si="37"/>
        <v>0</v>
      </c>
      <c r="U277" s="360">
        <f t="shared" si="37"/>
        <v>0</v>
      </c>
    </row>
    <row r="278" spans="1:21" ht="21.75" customHeight="1">
      <c r="A278" s="360" t="s">
        <v>16</v>
      </c>
      <c r="B278" s="362" t="s">
        <v>17</v>
      </c>
      <c r="C278" s="360" t="s">
        <v>18</v>
      </c>
      <c r="D278" s="360">
        <f t="shared" ref="D278:U278" si="38">D279</f>
        <v>140</v>
      </c>
      <c r="E278" s="360">
        <f t="shared" si="38"/>
        <v>0</v>
      </c>
      <c r="F278" s="360">
        <f t="shared" si="38"/>
        <v>0</v>
      </c>
      <c r="G278" s="360">
        <f t="shared" si="38"/>
        <v>0</v>
      </c>
      <c r="H278" s="360">
        <f t="shared" si="38"/>
        <v>0</v>
      </c>
      <c r="I278" s="360">
        <f t="shared" si="38"/>
        <v>0</v>
      </c>
      <c r="J278" s="360">
        <f t="shared" si="38"/>
        <v>0</v>
      </c>
      <c r="K278" s="360">
        <f t="shared" si="38"/>
        <v>0</v>
      </c>
      <c r="L278" s="360">
        <f t="shared" si="38"/>
        <v>0</v>
      </c>
      <c r="M278" s="360">
        <f t="shared" si="38"/>
        <v>0</v>
      </c>
      <c r="N278" s="360">
        <f t="shared" si="38"/>
        <v>0</v>
      </c>
      <c r="O278" s="360">
        <f t="shared" si="38"/>
        <v>0</v>
      </c>
      <c r="P278" s="360">
        <f t="shared" si="38"/>
        <v>0</v>
      </c>
      <c r="Q278" s="360">
        <f t="shared" si="38"/>
        <v>0</v>
      </c>
      <c r="R278" s="360">
        <f t="shared" si="38"/>
        <v>0</v>
      </c>
      <c r="S278" s="360">
        <f t="shared" si="38"/>
        <v>0</v>
      </c>
      <c r="T278" s="360">
        <f t="shared" si="38"/>
        <v>0</v>
      </c>
      <c r="U278" s="360">
        <f t="shared" si="38"/>
        <v>0</v>
      </c>
    </row>
    <row r="279" spans="1:21" ht="21.75" customHeight="1">
      <c r="A279" s="360"/>
      <c r="B279" s="362" t="s">
        <v>19</v>
      </c>
      <c r="C279" s="360" t="s">
        <v>20</v>
      </c>
      <c r="D279" s="360">
        <v>140</v>
      </c>
      <c r="E279" s="360"/>
      <c r="F279" s="360"/>
      <c r="G279" s="360"/>
      <c r="H279" s="360"/>
      <c r="I279" s="360"/>
      <c r="J279" s="360"/>
      <c r="K279" s="360"/>
      <c r="L279" s="360"/>
      <c r="M279" s="360"/>
      <c r="N279" s="360"/>
      <c r="O279" s="360"/>
      <c r="P279" s="360"/>
      <c r="Q279" s="360"/>
      <c r="R279" s="360"/>
      <c r="S279" s="360"/>
      <c r="T279" s="360"/>
      <c r="U279" s="360"/>
    </row>
    <row r="280" spans="1:21" ht="21.75" customHeight="1">
      <c r="A280" s="360" t="s">
        <v>21</v>
      </c>
      <c r="B280" s="362" t="s">
        <v>22</v>
      </c>
      <c r="C280" s="360" t="s">
        <v>23</v>
      </c>
      <c r="D280" s="360"/>
      <c r="E280" s="360"/>
      <c r="F280" s="360"/>
      <c r="G280" s="360"/>
      <c r="H280" s="360"/>
      <c r="I280" s="360"/>
      <c r="J280" s="360"/>
      <c r="K280" s="360"/>
      <c r="L280" s="360"/>
      <c r="M280" s="360"/>
      <c r="N280" s="360"/>
      <c r="O280" s="360"/>
      <c r="P280" s="360"/>
      <c r="Q280" s="360"/>
      <c r="R280" s="360"/>
      <c r="S280" s="360"/>
      <c r="T280" s="360"/>
      <c r="U280" s="360"/>
    </row>
    <row r="281" spans="1:21" ht="21.75" customHeight="1">
      <c r="A281" s="360" t="s">
        <v>24</v>
      </c>
      <c r="B281" s="362" t="s">
        <v>25</v>
      </c>
      <c r="C281" s="360" t="s">
        <v>26</v>
      </c>
      <c r="D281" s="360"/>
      <c r="E281" s="360"/>
      <c r="F281" s="360"/>
      <c r="G281" s="360"/>
      <c r="H281" s="360"/>
      <c r="I281" s="360"/>
      <c r="J281" s="360"/>
      <c r="K281" s="360"/>
      <c r="L281" s="360"/>
      <c r="M281" s="360"/>
      <c r="N281" s="360"/>
      <c r="O281" s="360"/>
      <c r="P281" s="360"/>
      <c r="Q281" s="360"/>
      <c r="R281" s="360"/>
      <c r="S281" s="360"/>
      <c r="T281" s="360"/>
      <c r="U281" s="360"/>
    </row>
    <row r="282" spans="1:21" ht="21.75" customHeight="1">
      <c r="A282" s="360" t="s">
        <v>27</v>
      </c>
      <c r="B282" s="362" t="s">
        <v>28</v>
      </c>
      <c r="C282" s="360" t="s">
        <v>29</v>
      </c>
      <c r="D282" s="360"/>
      <c r="E282" s="360"/>
      <c r="F282" s="360"/>
      <c r="G282" s="360"/>
      <c r="H282" s="360">
        <v>348</v>
      </c>
      <c r="I282" s="360"/>
      <c r="J282" s="360"/>
      <c r="K282" s="360"/>
      <c r="L282" s="360"/>
      <c r="M282" s="360"/>
      <c r="N282" s="360"/>
      <c r="O282" s="360"/>
      <c r="P282" s="360"/>
      <c r="Q282" s="360"/>
      <c r="R282" s="360"/>
      <c r="S282" s="360"/>
      <c r="T282" s="360"/>
      <c r="U282" s="360"/>
    </row>
    <row r="283" spans="1:21" ht="21.75" customHeight="1">
      <c r="A283" s="360" t="s">
        <v>30</v>
      </c>
      <c r="B283" s="362" t="s">
        <v>31</v>
      </c>
      <c r="C283" s="360" t="s">
        <v>32</v>
      </c>
      <c r="D283" s="360"/>
      <c r="E283" s="360"/>
      <c r="F283" s="360"/>
      <c r="G283" s="360"/>
      <c r="H283" s="360"/>
      <c r="I283" s="360"/>
      <c r="J283" s="360"/>
      <c r="K283" s="360"/>
      <c r="L283" s="360"/>
      <c r="M283" s="360"/>
      <c r="N283" s="360"/>
      <c r="O283" s="360"/>
      <c r="P283" s="360"/>
      <c r="Q283" s="360"/>
      <c r="R283" s="360"/>
      <c r="S283" s="360"/>
      <c r="T283" s="360"/>
      <c r="U283" s="360"/>
    </row>
    <row r="284" spans="1:21" ht="21.75" customHeight="1">
      <c r="A284" s="360" t="s">
        <v>33</v>
      </c>
      <c r="B284" s="362" t="s">
        <v>34</v>
      </c>
      <c r="C284" s="360" t="s">
        <v>35</v>
      </c>
      <c r="D284" s="360"/>
      <c r="E284" s="360"/>
      <c r="F284" s="360"/>
      <c r="G284" s="360"/>
      <c r="H284" s="360"/>
      <c r="I284" s="360"/>
      <c r="J284" s="360"/>
      <c r="K284" s="360"/>
      <c r="L284" s="360">
        <v>18</v>
      </c>
      <c r="M284" s="360"/>
      <c r="N284" s="360"/>
      <c r="O284" s="360"/>
      <c r="P284" s="360"/>
      <c r="Q284" s="360"/>
      <c r="R284" s="360"/>
      <c r="S284" s="360"/>
      <c r="T284" s="360"/>
      <c r="U284" s="360"/>
    </row>
    <row r="285" spans="1:21" ht="21.75" customHeight="1">
      <c r="A285" s="360" t="s">
        <v>36</v>
      </c>
      <c r="B285" s="362" t="s">
        <v>37</v>
      </c>
      <c r="C285" s="360" t="s">
        <v>38</v>
      </c>
      <c r="D285" s="360">
        <v>1.5</v>
      </c>
      <c r="E285" s="360"/>
      <c r="F285" s="360"/>
      <c r="G285" s="360"/>
      <c r="H285" s="360"/>
      <c r="I285" s="360"/>
      <c r="J285" s="360"/>
      <c r="K285" s="360"/>
      <c r="L285" s="360"/>
      <c r="M285" s="360"/>
      <c r="N285" s="360"/>
      <c r="O285" s="360"/>
      <c r="P285" s="360"/>
      <c r="Q285" s="360"/>
      <c r="R285" s="360"/>
      <c r="S285" s="360"/>
      <c r="T285" s="360"/>
      <c r="U285" s="360"/>
    </row>
    <row r="286" spans="1:21" ht="21.75" customHeight="1">
      <c r="A286" s="360" t="s">
        <v>39</v>
      </c>
      <c r="B286" s="362" t="s">
        <v>40</v>
      </c>
      <c r="C286" s="360" t="s">
        <v>41</v>
      </c>
      <c r="D286" s="360"/>
      <c r="E286" s="360"/>
      <c r="F286" s="360"/>
      <c r="G286" s="360"/>
      <c r="H286" s="360"/>
      <c r="I286" s="360"/>
      <c r="J286" s="360"/>
      <c r="K286" s="360"/>
      <c r="L286" s="360"/>
      <c r="M286" s="360"/>
      <c r="N286" s="360"/>
      <c r="O286" s="360"/>
      <c r="P286" s="360"/>
      <c r="Q286" s="360"/>
      <c r="R286" s="360"/>
      <c r="S286" s="360"/>
      <c r="T286" s="360"/>
      <c r="U286" s="360"/>
    </row>
    <row r="287" spans="1:21" ht="21.75" customHeight="1">
      <c r="A287" s="360">
        <v>2</v>
      </c>
      <c r="B287" s="362" t="s">
        <v>43</v>
      </c>
      <c r="C287" s="360" t="s">
        <v>44</v>
      </c>
      <c r="D287" s="360"/>
      <c r="E287" s="360"/>
      <c r="F287" s="360"/>
      <c r="G287" s="360"/>
      <c r="H287" s="360"/>
      <c r="I287" s="360"/>
      <c r="J287" s="360"/>
      <c r="K287" s="360"/>
      <c r="L287" s="360"/>
      <c r="M287" s="360"/>
      <c r="N287" s="360"/>
      <c r="O287" s="360"/>
      <c r="P287" s="360"/>
      <c r="Q287" s="360"/>
      <c r="R287" s="360"/>
      <c r="S287" s="360"/>
      <c r="T287" s="360"/>
      <c r="U287" s="360"/>
    </row>
    <row r="288" spans="1:21" ht="21.75" customHeight="1">
      <c r="A288" s="360">
        <v>2</v>
      </c>
      <c r="B288" s="362" t="s">
        <v>45</v>
      </c>
      <c r="C288" s="360" t="s">
        <v>46</v>
      </c>
      <c r="D288" s="360">
        <f>SUM(D289:D314)</f>
        <v>5.7</v>
      </c>
      <c r="E288" s="360">
        <f t="shared" ref="E288:U288" si="39">SUM(E289:E314)</f>
        <v>0</v>
      </c>
      <c r="F288" s="360">
        <f t="shared" si="39"/>
        <v>0</v>
      </c>
      <c r="G288" s="360">
        <f t="shared" si="39"/>
        <v>0</v>
      </c>
      <c r="H288" s="360">
        <f t="shared" si="39"/>
        <v>0</v>
      </c>
      <c r="I288" s="360">
        <f t="shared" si="39"/>
        <v>0</v>
      </c>
      <c r="J288" s="360">
        <f t="shared" si="39"/>
        <v>0</v>
      </c>
      <c r="K288" s="360">
        <f t="shared" si="39"/>
        <v>0</v>
      </c>
      <c r="L288" s="360">
        <f t="shared" si="39"/>
        <v>0</v>
      </c>
      <c r="M288" s="360">
        <f t="shared" si="39"/>
        <v>0</v>
      </c>
      <c r="N288" s="360">
        <f t="shared" si="39"/>
        <v>0</v>
      </c>
      <c r="O288" s="360">
        <f t="shared" si="39"/>
        <v>0</v>
      </c>
      <c r="P288" s="360">
        <f t="shared" si="39"/>
        <v>807.87</v>
      </c>
      <c r="Q288" s="360">
        <f t="shared" si="39"/>
        <v>0</v>
      </c>
      <c r="R288" s="360">
        <f t="shared" si="39"/>
        <v>0</v>
      </c>
      <c r="S288" s="360">
        <f t="shared" si="39"/>
        <v>0</v>
      </c>
      <c r="T288" s="360">
        <f t="shared" si="39"/>
        <v>0</v>
      </c>
      <c r="U288" s="360">
        <f t="shared" si="39"/>
        <v>0</v>
      </c>
    </row>
    <row r="289" spans="1:21" ht="21.75" customHeight="1">
      <c r="A289" s="360" t="s">
        <v>47</v>
      </c>
      <c r="B289" s="362" t="s">
        <v>48</v>
      </c>
      <c r="C289" s="360" t="s">
        <v>49</v>
      </c>
      <c r="D289" s="360"/>
      <c r="E289" s="360"/>
      <c r="F289" s="360"/>
      <c r="G289" s="360"/>
      <c r="H289" s="360"/>
      <c r="I289" s="360"/>
      <c r="J289" s="360"/>
      <c r="K289" s="360"/>
      <c r="L289" s="360"/>
      <c r="M289" s="360"/>
      <c r="N289" s="360"/>
      <c r="O289" s="360"/>
      <c r="P289" s="360"/>
      <c r="Q289" s="360"/>
      <c r="R289" s="360"/>
      <c r="S289" s="360"/>
      <c r="T289" s="360"/>
      <c r="U289" s="360"/>
    </row>
    <row r="290" spans="1:21" ht="21.75" customHeight="1">
      <c r="A290" s="360" t="s">
        <v>50</v>
      </c>
      <c r="B290" s="362" t="s">
        <v>51</v>
      </c>
      <c r="C290" s="360" t="s">
        <v>52</v>
      </c>
      <c r="D290" s="360"/>
      <c r="E290" s="360"/>
      <c r="F290" s="360"/>
      <c r="G290" s="360"/>
      <c r="H290" s="360"/>
      <c r="I290" s="360"/>
      <c r="J290" s="360"/>
      <c r="K290" s="360"/>
      <c r="L290" s="360"/>
      <c r="M290" s="360"/>
      <c r="N290" s="360"/>
      <c r="O290" s="360"/>
      <c r="P290" s="360"/>
      <c r="Q290" s="360"/>
      <c r="R290" s="360"/>
      <c r="S290" s="360"/>
      <c r="T290" s="360"/>
      <c r="U290" s="360"/>
    </row>
    <row r="291" spans="1:21" ht="21.75" customHeight="1">
      <c r="A291" s="360" t="s">
        <v>53</v>
      </c>
      <c r="B291" s="362" t="s">
        <v>54</v>
      </c>
      <c r="C291" s="360" t="s">
        <v>55</v>
      </c>
      <c r="D291" s="360"/>
      <c r="E291" s="360"/>
      <c r="F291" s="360"/>
      <c r="G291" s="360"/>
      <c r="H291" s="360"/>
      <c r="I291" s="360"/>
      <c r="J291" s="360"/>
      <c r="K291" s="360"/>
      <c r="L291" s="360"/>
      <c r="M291" s="360"/>
      <c r="N291" s="360"/>
      <c r="O291" s="360"/>
      <c r="P291" s="360"/>
      <c r="Q291" s="360"/>
      <c r="R291" s="360"/>
      <c r="S291" s="360"/>
      <c r="T291" s="360"/>
      <c r="U291" s="360"/>
    </row>
    <row r="292" spans="1:21" ht="21.75" customHeight="1">
      <c r="A292" s="360" t="s">
        <v>56</v>
      </c>
      <c r="B292" s="362" t="s">
        <v>57</v>
      </c>
      <c r="C292" s="360" t="s">
        <v>58</v>
      </c>
      <c r="D292" s="360"/>
      <c r="E292" s="360"/>
      <c r="F292" s="360"/>
      <c r="G292" s="360"/>
      <c r="H292" s="360"/>
      <c r="I292" s="360"/>
      <c r="J292" s="360"/>
      <c r="K292" s="360"/>
      <c r="L292" s="360"/>
      <c r="M292" s="360"/>
      <c r="N292" s="360"/>
      <c r="O292" s="360"/>
      <c r="P292" s="360"/>
      <c r="Q292" s="360"/>
      <c r="R292" s="360"/>
      <c r="S292" s="360"/>
      <c r="T292" s="360"/>
      <c r="U292" s="360"/>
    </row>
    <row r="293" spans="1:21" ht="21.75" customHeight="1">
      <c r="A293" s="360" t="s">
        <v>59</v>
      </c>
      <c r="B293" s="362" t="s">
        <v>60</v>
      </c>
      <c r="C293" s="360" t="s">
        <v>61</v>
      </c>
      <c r="D293" s="360"/>
      <c r="E293" s="360"/>
      <c r="F293" s="360"/>
      <c r="G293" s="360"/>
      <c r="H293" s="360"/>
      <c r="I293" s="360"/>
      <c r="J293" s="360"/>
      <c r="K293" s="360"/>
      <c r="L293" s="360"/>
      <c r="M293" s="360"/>
      <c r="N293" s="360">
        <f>'[1]Ha An'!BN30</f>
        <v>0</v>
      </c>
      <c r="O293" s="360"/>
      <c r="P293" s="360"/>
      <c r="Q293" s="360"/>
      <c r="R293" s="360"/>
      <c r="S293" s="360"/>
      <c r="T293" s="360"/>
      <c r="U293" s="360"/>
    </row>
    <row r="294" spans="1:21" ht="21.75" customHeight="1">
      <c r="A294" s="360" t="s">
        <v>62</v>
      </c>
      <c r="B294" s="362" t="s">
        <v>63</v>
      </c>
      <c r="C294" s="360" t="s">
        <v>64</v>
      </c>
      <c r="D294" s="360"/>
      <c r="E294" s="360"/>
      <c r="F294" s="360"/>
      <c r="G294" s="360"/>
      <c r="H294" s="360"/>
      <c r="I294" s="360"/>
      <c r="J294" s="360"/>
      <c r="K294" s="360"/>
      <c r="L294" s="360"/>
      <c r="M294" s="360"/>
      <c r="N294" s="360"/>
      <c r="O294" s="360"/>
      <c r="P294" s="360">
        <f>64.62+2.41</f>
        <v>67.03</v>
      </c>
      <c r="Q294" s="360"/>
      <c r="R294" s="360"/>
      <c r="S294" s="360"/>
      <c r="T294" s="360"/>
      <c r="U294" s="360"/>
    </row>
    <row r="295" spans="1:21" ht="21.75" customHeight="1">
      <c r="A295" s="360" t="s">
        <v>65</v>
      </c>
      <c r="B295" s="362" t="s">
        <v>66</v>
      </c>
      <c r="C295" s="360" t="s">
        <v>67</v>
      </c>
      <c r="D295" s="360"/>
      <c r="E295" s="360"/>
      <c r="F295" s="360"/>
      <c r="G295" s="360"/>
      <c r="H295" s="360"/>
      <c r="I295" s="360"/>
      <c r="J295" s="360"/>
      <c r="K295" s="360"/>
      <c r="L295" s="360"/>
      <c r="M295" s="360"/>
      <c r="N295" s="360"/>
      <c r="O295" s="360"/>
      <c r="P295" s="360"/>
      <c r="Q295" s="360"/>
      <c r="R295" s="360"/>
      <c r="S295" s="360"/>
      <c r="T295" s="360"/>
      <c r="U295" s="360"/>
    </row>
    <row r="296" spans="1:21" ht="21.75" customHeight="1">
      <c r="A296" s="360" t="s">
        <v>68</v>
      </c>
      <c r="B296" s="362" t="s">
        <v>69</v>
      </c>
      <c r="C296" s="360" t="s">
        <v>70</v>
      </c>
      <c r="D296" s="360"/>
      <c r="E296" s="360"/>
      <c r="F296" s="360"/>
      <c r="G296" s="360"/>
      <c r="H296" s="360"/>
      <c r="I296" s="360"/>
      <c r="J296" s="360"/>
      <c r="K296" s="360"/>
      <c r="L296" s="360"/>
      <c r="M296" s="360"/>
      <c r="N296" s="360"/>
      <c r="O296" s="360"/>
      <c r="P296" s="360"/>
      <c r="Q296" s="360"/>
      <c r="R296" s="360"/>
      <c r="S296" s="360"/>
      <c r="T296" s="360"/>
      <c r="U296" s="360"/>
    </row>
    <row r="297" spans="1:21" ht="21.75" customHeight="1">
      <c r="A297" s="360" t="s">
        <v>71</v>
      </c>
      <c r="B297" s="362" t="s">
        <v>135</v>
      </c>
      <c r="C297" s="360" t="s">
        <v>72</v>
      </c>
      <c r="D297" s="360">
        <v>4.5</v>
      </c>
      <c r="E297" s="360"/>
      <c r="F297" s="360"/>
      <c r="G297" s="360"/>
      <c r="H297" s="360"/>
      <c r="I297" s="360"/>
      <c r="J297" s="360"/>
      <c r="K297" s="360"/>
      <c r="L297" s="360"/>
      <c r="M297" s="360"/>
      <c r="N297" s="360"/>
      <c r="O297" s="360"/>
      <c r="P297" s="360">
        <f>40.13+241.32+3.76+3.14+4.04+3.97+41.89+32+6.93</f>
        <v>377.18</v>
      </c>
      <c r="Q297" s="360"/>
      <c r="R297" s="360"/>
      <c r="S297" s="360"/>
      <c r="T297" s="360"/>
      <c r="U297" s="360"/>
    </row>
    <row r="298" spans="1:21" ht="36" customHeight="1">
      <c r="A298" s="360" t="s">
        <v>73</v>
      </c>
      <c r="B298" s="362" t="s">
        <v>74</v>
      </c>
      <c r="C298" s="360" t="s">
        <v>75</v>
      </c>
      <c r="D298" s="360"/>
      <c r="E298" s="360"/>
      <c r="F298" s="360"/>
      <c r="G298" s="360"/>
      <c r="H298" s="360"/>
      <c r="I298" s="360"/>
      <c r="J298" s="360"/>
      <c r="K298" s="360"/>
      <c r="L298" s="360"/>
      <c r="M298" s="360"/>
      <c r="N298" s="360"/>
      <c r="O298" s="360"/>
      <c r="P298" s="360"/>
      <c r="Q298" s="360"/>
      <c r="R298" s="360"/>
      <c r="S298" s="360"/>
      <c r="T298" s="360"/>
      <c r="U298" s="360"/>
    </row>
    <row r="299" spans="1:21" ht="21.75" customHeight="1">
      <c r="A299" s="360" t="s">
        <v>76</v>
      </c>
      <c r="B299" s="362" t="s">
        <v>77</v>
      </c>
      <c r="C299" s="360" t="s">
        <v>78</v>
      </c>
      <c r="D299" s="360"/>
      <c r="E299" s="360"/>
      <c r="F299" s="360"/>
      <c r="G299" s="360"/>
      <c r="H299" s="360"/>
      <c r="I299" s="360"/>
      <c r="J299" s="360"/>
      <c r="K299" s="360"/>
      <c r="L299" s="360"/>
      <c r="M299" s="360"/>
      <c r="N299" s="360"/>
      <c r="O299" s="360"/>
      <c r="P299" s="360"/>
      <c r="Q299" s="360"/>
      <c r="R299" s="360"/>
      <c r="S299" s="360"/>
      <c r="T299" s="360"/>
      <c r="U299" s="360"/>
    </row>
    <row r="300" spans="1:21" ht="21.75" customHeight="1">
      <c r="A300" s="360" t="s">
        <v>79</v>
      </c>
      <c r="B300" s="362" t="s">
        <v>80</v>
      </c>
      <c r="C300" s="360" t="s">
        <v>81</v>
      </c>
      <c r="D300" s="360"/>
      <c r="E300" s="360"/>
      <c r="F300" s="360"/>
      <c r="G300" s="360"/>
      <c r="H300" s="360"/>
      <c r="I300" s="360"/>
      <c r="J300" s="360"/>
      <c r="K300" s="360"/>
      <c r="L300" s="360"/>
      <c r="M300" s="360"/>
      <c r="N300" s="360"/>
      <c r="O300" s="360"/>
      <c r="P300" s="360"/>
      <c r="Q300" s="360"/>
      <c r="R300" s="360"/>
      <c r="S300" s="360"/>
      <c r="T300" s="360"/>
      <c r="U300" s="360"/>
    </row>
    <row r="301" spans="1:21" ht="21.75" customHeight="1">
      <c r="A301" s="360" t="s">
        <v>82</v>
      </c>
      <c r="B301" s="362" t="s">
        <v>83</v>
      </c>
      <c r="C301" s="360" t="s">
        <v>84</v>
      </c>
      <c r="D301" s="360"/>
      <c r="E301" s="360"/>
      <c r="F301" s="360"/>
      <c r="G301" s="360"/>
      <c r="H301" s="360"/>
      <c r="I301" s="360"/>
      <c r="J301" s="360"/>
      <c r="K301" s="360"/>
      <c r="L301" s="360"/>
      <c r="M301" s="360"/>
      <c r="N301" s="360"/>
      <c r="O301" s="360"/>
      <c r="P301" s="360"/>
      <c r="Q301" s="360"/>
      <c r="R301" s="360"/>
      <c r="S301" s="360"/>
      <c r="T301" s="360"/>
      <c r="U301" s="360"/>
    </row>
    <row r="302" spans="1:21" ht="21.75" customHeight="1">
      <c r="A302" s="360" t="s">
        <v>85</v>
      </c>
      <c r="B302" s="362" t="s">
        <v>86</v>
      </c>
      <c r="C302" s="360" t="s">
        <v>87</v>
      </c>
      <c r="D302" s="360"/>
      <c r="E302" s="360"/>
      <c r="F302" s="360"/>
      <c r="G302" s="360"/>
      <c r="H302" s="360"/>
      <c r="I302" s="360"/>
      <c r="J302" s="360"/>
      <c r="K302" s="360"/>
      <c r="L302" s="360"/>
      <c r="M302" s="360"/>
      <c r="N302" s="360"/>
      <c r="O302" s="360"/>
      <c r="P302" s="360">
        <f>218.76+48</f>
        <v>266.76</v>
      </c>
      <c r="Q302" s="360"/>
      <c r="R302" s="360"/>
      <c r="S302" s="360"/>
      <c r="T302" s="360"/>
      <c r="U302" s="360"/>
    </row>
    <row r="303" spans="1:21" ht="21.75" customHeight="1">
      <c r="A303" s="360" t="s">
        <v>88</v>
      </c>
      <c r="B303" s="362" t="s">
        <v>89</v>
      </c>
      <c r="C303" s="360" t="s">
        <v>90</v>
      </c>
      <c r="D303" s="360"/>
      <c r="E303" s="360"/>
      <c r="F303" s="360"/>
      <c r="G303" s="360"/>
      <c r="H303" s="360"/>
      <c r="I303" s="360"/>
      <c r="J303" s="360"/>
      <c r="K303" s="360"/>
      <c r="L303" s="360"/>
      <c r="M303" s="360"/>
      <c r="N303" s="360"/>
      <c r="O303" s="360"/>
      <c r="P303" s="360"/>
      <c r="Q303" s="360"/>
      <c r="R303" s="360"/>
      <c r="S303" s="360"/>
      <c r="T303" s="360"/>
      <c r="U303" s="360"/>
    </row>
    <row r="304" spans="1:21" ht="21.75" customHeight="1">
      <c r="A304" s="360" t="s">
        <v>91</v>
      </c>
      <c r="B304" s="362" t="s">
        <v>92</v>
      </c>
      <c r="C304" s="360" t="s">
        <v>93</v>
      </c>
      <c r="D304" s="360"/>
      <c r="E304" s="360"/>
      <c r="F304" s="360"/>
      <c r="G304" s="360"/>
      <c r="H304" s="360"/>
      <c r="I304" s="360"/>
      <c r="J304" s="360"/>
      <c r="K304" s="360"/>
      <c r="L304" s="360"/>
      <c r="M304" s="360"/>
      <c r="N304" s="360"/>
      <c r="O304" s="360"/>
      <c r="P304" s="360"/>
      <c r="Q304" s="360"/>
      <c r="R304" s="360"/>
      <c r="S304" s="360"/>
      <c r="T304" s="360"/>
      <c r="U304" s="360"/>
    </row>
    <row r="305" spans="1:21" ht="21.75" customHeight="1">
      <c r="A305" s="360" t="s">
        <v>94</v>
      </c>
      <c r="B305" s="362" t="s">
        <v>95</v>
      </c>
      <c r="C305" s="360" t="s">
        <v>96</v>
      </c>
      <c r="D305" s="360"/>
      <c r="E305" s="360"/>
      <c r="F305" s="360"/>
      <c r="G305" s="360"/>
      <c r="H305" s="360"/>
      <c r="I305" s="360"/>
      <c r="J305" s="360"/>
      <c r="K305" s="360"/>
      <c r="L305" s="360"/>
      <c r="M305" s="360"/>
      <c r="N305" s="360"/>
      <c r="O305" s="360"/>
      <c r="P305" s="360"/>
      <c r="Q305" s="360"/>
      <c r="R305" s="360"/>
      <c r="S305" s="360"/>
      <c r="T305" s="360"/>
      <c r="U305" s="360"/>
    </row>
    <row r="306" spans="1:21" ht="21.75" customHeight="1">
      <c r="A306" s="360" t="s">
        <v>97</v>
      </c>
      <c r="B306" s="362" t="s">
        <v>98</v>
      </c>
      <c r="C306" s="360" t="s">
        <v>99</v>
      </c>
      <c r="D306" s="360"/>
      <c r="E306" s="360"/>
      <c r="F306" s="360"/>
      <c r="G306" s="360"/>
      <c r="H306" s="360"/>
      <c r="I306" s="360"/>
      <c r="J306" s="360"/>
      <c r="K306" s="360"/>
      <c r="L306" s="360"/>
      <c r="M306" s="360"/>
      <c r="N306" s="360"/>
      <c r="O306" s="360"/>
      <c r="P306" s="360"/>
      <c r="Q306" s="360"/>
      <c r="R306" s="360"/>
      <c r="S306" s="360"/>
      <c r="T306" s="360"/>
      <c r="U306" s="360"/>
    </row>
    <row r="307" spans="1:21" ht="21.75" customHeight="1">
      <c r="A307" s="360" t="s">
        <v>100</v>
      </c>
      <c r="B307" s="362" t="s">
        <v>134</v>
      </c>
      <c r="C307" s="360" t="s">
        <v>101</v>
      </c>
      <c r="D307" s="360"/>
      <c r="E307" s="360"/>
      <c r="F307" s="360"/>
      <c r="G307" s="360"/>
      <c r="H307" s="360"/>
      <c r="I307" s="360"/>
      <c r="J307" s="360"/>
      <c r="K307" s="360"/>
      <c r="L307" s="360"/>
      <c r="M307" s="360"/>
      <c r="N307" s="360"/>
      <c r="O307" s="360"/>
      <c r="P307" s="360"/>
      <c r="Q307" s="360"/>
      <c r="R307" s="360"/>
      <c r="S307" s="360"/>
      <c r="T307" s="360"/>
      <c r="U307" s="360"/>
    </row>
    <row r="308" spans="1:21" ht="21.75" customHeight="1">
      <c r="A308" s="360" t="s">
        <v>102</v>
      </c>
      <c r="B308" s="362" t="s">
        <v>103</v>
      </c>
      <c r="C308" s="360" t="s">
        <v>104</v>
      </c>
      <c r="D308" s="360"/>
      <c r="E308" s="360"/>
      <c r="F308" s="360"/>
      <c r="G308" s="360"/>
      <c r="H308" s="360"/>
      <c r="I308" s="360"/>
      <c r="J308" s="360"/>
      <c r="K308" s="360"/>
      <c r="L308" s="360"/>
      <c r="M308" s="360"/>
      <c r="N308" s="360"/>
      <c r="O308" s="360"/>
      <c r="P308" s="360"/>
      <c r="Q308" s="360"/>
      <c r="R308" s="360"/>
      <c r="S308" s="360"/>
      <c r="T308" s="360"/>
      <c r="U308" s="360"/>
    </row>
    <row r="309" spans="1:21" ht="21.75" customHeight="1">
      <c r="A309" s="360" t="s">
        <v>105</v>
      </c>
      <c r="B309" s="362" t="s">
        <v>106</v>
      </c>
      <c r="C309" s="360" t="s">
        <v>107</v>
      </c>
      <c r="D309" s="360"/>
      <c r="E309" s="360"/>
      <c r="F309" s="360"/>
      <c r="G309" s="360"/>
      <c r="H309" s="360"/>
      <c r="I309" s="360"/>
      <c r="J309" s="360"/>
      <c r="K309" s="360"/>
      <c r="L309" s="360"/>
      <c r="M309" s="360"/>
      <c r="N309" s="360"/>
      <c r="O309" s="360"/>
      <c r="P309" s="360"/>
      <c r="Q309" s="360"/>
      <c r="R309" s="360"/>
      <c r="S309" s="360"/>
      <c r="T309" s="360"/>
      <c r="U309" s="360"/>
    </row>
    <row r="310" spans="1:21" ht="21.75" customHeight="1">
      <c r="A310" s="360" t="s">
        <v>108</v>
      </c>
      <c r="B310" s="362" t="s">
        <v>109</v>
      </c>
      <c r="C310" s="360" t="s">
        <v>110</v>
      </c>
      <c r="D310" s="360"/>
      <c r="E310" s="360"/>
      <c r="F310" s="360"/>
      <c r="G310" s="360"/>
      <c r="H310" s="360"/>
      <c r="I310" s="360"/>
      <c r="J310" s="360"/>
      <c r="K310" s="360"/>
      <c r="L310" s="360"/>
      <c r="M310" s="360"/>
      <c r="N310" s="360"/>
      <c r="O310" s="360"/>
      <c r="P310" s="360">
        <f>53.69+2.23+30.6</f>
        <v>86.52</v>
      </c>
      <c r="Q310" s="360"/>
      <c r="R310" s="360"/>
      <c r="S310" s="360"/>
      <c r="T310" s="360"/>
      <c r="U310" s="360"/>
    </row>
    <row r="311" spans="1:21" ht="21.75" customHeight="1">
      <c r="A311" s="360" t="s">
        <v>111</v>
      </c>
      <c r="B311" s="362" t="s">
        <v>112</v>
      </c>
      <c r="C311" s="360" t="s">
        <v>113</v>
      </c>
      <c r="D311" s="360"/>
      <c r="E311" s="360"/>
      <c r="F311" s="360"/>
      <c r="G311" s="360"/>
      <c r="H311" s="360"/>
      <c r="I311" s="360"/>
      <c r="J311" s="360"/>
      <c r="K311" s="360"/>
      <c r="L311" s="360"/>
      <c r="M311" s="360"/>
      <c r="N311" s="360"/>
      <c r="O311" s="360"/>
      <c r="P311" s="360"/>
      <c r="Q311" s="360"/>
      <c r="R311" s="360"/>
      <c r="S311" s="360"/>
      <c r="T311" s="360"/>
      <c r="U311" s="360"/>
    </row>
    <row r="312" spans="1:21" ht="21.75" customHeight="1">
      <c r="A312" s="360" t="s">
        <v>114</v>
      </c>
      <c r="B312" s="362" t="s">
        <v>115</v>
      </c>
      <c r="C312" s="360" t="s">
        <v>116</v>
      </c>
      <c r="D312" s="360">
        <v>1.2</v>
      </c>
      <c r="E312" s="360"/>
      <c r="F312" s="360"/>
      <c r="G312" s="360"/>
      <c r="H312" s="360"/>
      <c r="I312" s="360"/>
      <c r="J312" s="360"/>
      <c r="K312" s="360"/>
      <c r="L312" s="360"/>
      <c r="M312" s="360"/>
      <c r="N312" s="360"/>
      <c r="O312" s="360"/>
      <c r="P312" s="360"/>
      <c r="Q312" s="360"/>
      <c r="R312" s="360"/>
      <c r="S312" s="360"/>
      <c r="T312" s="360"/>
      <c r="U312" s="360"/>
    </row>
    <row r="313" spans="1:21" ht="21.75" customHeight="1">
      <c r="A313" s="360" t="s">
        <v>117</v>
      </c>
      <c r="B313" s="362" t="s">
        <v>118</v>
      </c>
      <c r="C313" s="360" t="s">
        <v>119</v>
      </c>
      <c r="D313" s="360"/>
      <c r="E313" s="360"/>
      <c r="F313" s="360"/>
      <c r="G313" s="360"/>
      <c r="H313" s="360"/>
      <c r="I313" s="360"/>
      <c r="J313" s="360"/>
      <c r="K313" s="360"/>
      <c r="L313" s="360"/>
      <c r="M313" s="360"/>
      <c r="N313" s="360"/>
      <c r="O313" s="360"/>
      <c r="P313" s="360">
        <v>10.38</v>
      </c>
      <c r="Q313" s="360"/>
      <c r="R313" s="360"/>
      <c r="S313" s="360"/>
      <c r="T313" s="360"/>
      <c r="U313" s="360"/>
    </row>
    <row r="314" spans="1:21" ht="21.75" customHeight="1">
      <c r="A314" s="360" t="s">
        <v>120</v>
      </c>
      <c r="B314" s="362" t="s">
        <v>121</v>
      </c>
      <c r="C314" s="360" t="s">
        <v>122</v>
      </c>
      <c r="D314" s="360"/>
      <c r="E314" s="360"/>
      <c r="F314" s="360"/>
      <c r="G314" s="360"/>
      <c r="H314" s="360"/>
      <c r="I314" s="360"/>
      <c r="J314" s="360"/>
      <c r="K314" s="360"/>
      <c r="L314" s="360"/>
      <c r="M314" s="360"/>
      <c r="N314" s="360"/>
      <c r="O314" s="360"/>
      <c r="P314" s="360"/>
      <c r="Q314" s="360"/>
      <c r="R314" s="360"/>
      <c r="S314" s="360"/>
      <c r="T314" s="360"/>
      <c r="U314" s="360"/>
    </row>
    <row r="315" spans="1:21" ht="21.75" customHeight="1">
      <c r="A315" s="360">
        <v>3</v>
      </c>
      <c r="B315" s="362" t="s">
        <v>123</v>
      </c>
      <c r="C315" s="360" t="s">
        <v>124</v>
      </c>
      <c r="D315" s="360"/>
      <c r="E315" s="360"/>
      <c r="F315" s="360"/>
      <c r="G315" s="360"/>
      <c r="H315" s="360">
        <v>11.2</v>
      </c>
      <c r="I315" s="360"/>
      <c r="J315" s="360"/>
      <c r="K315" s="360"/>
      <c r="L315" s="360"/>
      <c r="M315" s="360"/>
      <c r="N315" s="360"/>
      <c r="O315" s="360"/>
      <c r="P315" s="360"/>
      <c r="Q315" s="360"/>
      <c r="R315" s="360"/>
      <c r="S315" s="360"/>
      <c r="T315" s="360"/>
      <c r="U315" s="360"/>
    </row>
    <row r="316" spans="1:21" ht="21.75" customHeight="1">
      <c r="A316" s="1355" t="s">
        <v>352</v>
      </c>
      <c r="B316" s="1355"/>
      <c r="C316" s="372"/>
      <c r="D316" s="372"/>
      <c r="E316" s="372"/>
      <c r="F316" s="372"/>
      <c r="G316" s="372"/>
      <c r="H316" s="372"/>
      <c r="I316" s="372"/>
      <c r="J316" s="372"/>
      <c r="K316" s="372"/>
      <c r="L316" s="372"/>
      <c r="M316" s="372"/>
      <c r="N316" s="372"/>
      <c r="O316" s="372"/>
      <c r="P316" s="372"/>
      <c r="Q316" s="372"/>
      <c r="R316" s="372"/>
      <c r="S316" s="372"/>
      <c r="T316" s="372"/>
      <c r="U316" s="372"/>
    </row>
    <row r="317" spans="1:21" ht="21.75" customHeight="1">
      <c r="A317" s="1354" t="s">
        <v>185</v>
      </c>
      <c r="B317" s="1354"/>
      <c r="C317" s="1354"/>
      <c r="D317" s="1354"/>
      <c r="E317" s="1354"/>
      <c r="F317" s="1354"/>
      <c r="G317" s="1354"/>
      <c r="H317" s="1354"/>
      <c r="I317" s="1354"/>
      <c r="J317" s="1354"/>
      <c r="K317" s="1354"/>
      <c r="L317" s="1354"/>
      <c r="M317" s="1354"/>
      <c r="N317" s="1354"/>
      <c r="O317" s="1354"/>
      <c r="P317" s="1354"/>
      <c r="Q317" s="1354"/>
      <c r="R317" s="1354"/>
      <c r="S317" s="1354"/>
      <c r="T317" s="1354"/>
      <c r="U317" s="1354"/>
    </row>
    <row r="318" spans="1:21" ht="21.75" customHeight="1">
      <c r="A318" s="1354" t="s">
        <v>322</v>
      </c>
      <c r="B318" s="1354"/>
      <c r="C318" s="1354"/>
      <c r="D318" s="1354"/>
      <c r="E318" s="1354"/>
      <c r="F318" s="1354"/>
      <c r="G318" s="1354"/>
      <c r="H318" s="1354"/>
      <c r="I318" s="1354"/>
      <c r="J318" s="1354"/>
      <c r="K318" s="1354"/>
      <c r="L318" s="1354"/>
      <c r="M318" s="1354"/>
      <c r="N318" s="1354"/>
      <c r="O318" s="1354"/>
      <c r="P318" s="1354"/>
      <c r="Q318" s="1354"/>
      <c r="R318" s="1354"/>
      <c r="S318" s="1354"/>
      <c r="T318" s="1354"/>
      <c r="U318" s="1354"/>
    </row>
    <row r="319" spans="1:21" ht="21.75" customHeight="1"/>
    <row r="320" spans="1:21" ht="21.75" customHeight="1">
      <c r="A320" s="1356" t="s">
        <v>0</v>
      </c>
      <c r="B320" s="1356" t="s">
        <v>186</v>
      </c>
      <c r="C320" s="1356" t="s">
        <v>13</v>
      </c>
      <c r="D320" s="1356" t="s">
        <v>139</v>
      </c>
      <c r="E320" s="1356"/>
      <c r="F320" s="1356" t="s">
        <v>140</v>
      </c>
      <c r="G320" s="1356"/>
      <c r="H320" s="1356" t="s">
        <v>141</v>
      </c>
      <c r="I320" s="1356"/>
      <c r="J320" s="1356" t="s">
        <v>142</v>
      </c>
      <c r="K320" s="1356"/>
      <c r="L320" s="1356" t="s">
        <v>143</v>
      </c>
      <c r="M320" s="1356"/>
      <c r="N320" s="1356" t="s">
        <v>144</v>
      </c>
      <c r="O320" s="1356"/>
      <c r="P320" s="1356" t="s">
        <v>188</v>
      </c>
      <c r="Q320" s="1356"/>
      <c r="R320" s="1356" t="s">
        <v>145</v>
      </c>
      <c r="S320" s="1356"/>
      <c r="T320" s="1356" t="s">
        <v>146</v>
      </c>
      <c r="U320" s="1356"/>
    </row>
    <row r="321" spans="1:21" ht="49.5" customHeight="1">
      <c r="A321" s="1356"/>
      <c r="B321" s="1356"/>
      <c r="C321" s="1356"/>
      <c r="D321" s="360" t="s">
        <v>137</v>
      </c>
      <c r="E321" s="360" t="s">
        <v>187</v>
      </c>
      <c r="F321" s="360" t="s">
        <v>137</v>
      </c>
      <c r="G321" s="360" t="s">
        <v>187</v>
      </c>
      <c r="H321" s="360" t="s">
        <v>137</v>
      </c>
      <c r="I321" s="360" t="s">
        <v>187</v>
      </c>
      <c r="J321" s="360" t="s">
        <v>137</v>
      </c>
      <c r="K321" s="360" t="s">
        <v>187</v>
      </c>
      <c r="L321" s="360" t="s">
        <v>137</v>
      </c>
      <c r="M321" s="360" t="s">
        <v>187</v>
      </c>
      <c r="N321" s="360" t="s">
        <v>137</v>
      </c>
      <c r="O321" s="360" t="s">
        <v>187</v>
      </c>
      <c r="P321" s="360" t="s">
        <v>137</v>
      </c>
      <c r="Q321" s="360" t="s">
        <v>187</v>
      </c>
      <c r="R321" s="360" t="s">
        <v>137</v>
      </c>
      <c r="S321" s="360" t="s">
        <v>187</v>
      </c>
      <c r="T321" s="360" t="s">
        <v>137</v>
      </c>
      <c r="U321" s="360" t="s">
        <v>187</v>
      </c>
    </row>
    <row r="322" spans="1:21" ht="33" customHeight="1">
      <c r="A322" s="360">
        <v>1</v>
      </c>
      <c r="B322" s="362" t="s">
        <v>14</v>
      </c>
      <c r="C322" s="360" t="s">
        <v>15</v>
      </c>
      <c r="D322" s="360">
        <f>D323+D325+D326+D327+D328+D329+D330+D331+D332</f>
        <v>0</v>
      </c>
      <c r="E322" s="360">
        <f t="shared" ref="E322:U322" si="40">E323+E325+E326+E327+E328+E329+E330+E331+E332</f>
        <v>0</v>
      </c>
      <c r="F322" s="360">
        <f t="shared" si="40"/>
        <v>0</v>
      </c>
      <c r="G322" s="360">
        <f t="shared" si="40"/>
        <v>0</v>
      </c>
      <c r="H322" s="360">
        <f t="shared" si="40"/>
        <v>31</v>
      </c>
      <c r="I322" s="360">
        <f t="shared" si="40"/>
        <v>0</v>
      </c>
      <c r="J322" s="360">
        <f t="shared" si="40"/>
        <v>0</v>
      </c>
      <c r="K322" s="360">
        <f t="shared" si="40"/>
        <v>0</v>
      </c>
      <c r="L322" s="360">
        <f t="shared" si="40"/>
        <v>0</v>
      </c>
      <c r="M322" s="360">
        <f t="shared" si="40"/>
        <v>0</v>
      </c>
      <c r="N322" s="360">
        <f t="shared" si="40"/>
        <v>0</v>
      </c>
      <c r="O322" s="360">
        <f t="shared" si="40"/>
        <v>0</v>
      </c>
      <c r="P322" s="360">
        <f t="shared" si="40"/>
        <v>0</v>
      </c>
      <c r="Q322" s="360">
        <f t="shared" si="40"/>
        <v>0</v>
      </c>
      <c r="R322" s="360">
        <f t="shared" si="40"/>
        <v>0</v>
      </c>
      <c r="S322" s="360">
        <f t="shared" si="40"/>
        <v>0</v>
      </c>
      <c r="T322" s="360">
        <f t="shared" si="40"/>
        <v>0</v>
      </c>
      <c r="U322" s="360">
        <f t="shared" si="40"/>
        <v>0</v>
      </c>
    </row>
    <row r="323" spans="1:21" ht="21.75" customHeight="1">
      <c r="A323" s="360" t="s">
        <v>16</v>
      </c>
      <c r="B323" s="362" t="s">
        <v>17</v>
      </c>
      <c r="C323" s="360" t="s">
        <v>18</v>
      </c>
      <c r="D323" s="360">
        <f t="shared" ref="D323:U323" si="41">D324</f>
        <v>0</v>
      </c>
      <c r="E323" s="360">
        <f t="shared" si="41"/>
        <v>0</v>
      </c>
      <c r="F323" s="360">
        <f t="shared" si="41"/>
        <v>0</v>
      </c>
      <c r="G323" s="360">
        <f t="shared" si="41"/>
        <v>0</v>
      </c>
      <c r="H323" s="360">
        <f t="shared" si="41"/>
        <v>0</v>
      </c>
      <c r="I323" s="360">
        <f t="shared" si="41"/>
        <v>0</v>
      </c>
      <c r="J323" s="360">
        <f t="shared" si="41"/>
        <v>0</v>
      </c>
      <c r="K323" s="360">
        <f t="shared" si="41"/>
        <v>0</v>
      </c>
      <c r="L323" s="360">
        <f t="shared" si="41"/>
        <v>0</v>
      </c>
      <c r="M323" s="360">
        <f t="shared" si="41"/>
        <v>0</v>
      </c>
      <c r="N323" s="360">
        <f t="shared" si="41"/>
        <v>0</v>
      </c>
      <c r="O323" s="360">
        <f t="shared" si="41"/>
        <v>0</v>
      </c>
      <c r="P323" s="360">
        <f t="shared" si="41"/>
        <v>0</v>
      </c>
      <c r="Q323" s="360">
        <f t="shared" si="41"/>
        <v>0</v>
      </c>
      <c r="R323" s="360">
        <f t="shared" si="41"/>
        <v>0</v>
      </c>
      <c r="S323" s="360">
        <f t="shared" si="41"/>
        <v>0</v>
      </c>
      <c r="T323" s="360">
        <f t="shared" si="41"/>
        <v>0</v>
      </c>
      <c r="U323" s="360">
        <f t="shared" si="41"/>
        <v>0</v>
      </c>
    </row>
    <row r="324" spans="1:21" ht="21.75" customHeight="1">
      <c r="A324" s="360"/>
      <c r="B324" s="362" t="s">
        <v>19</v>
      </c>
      <c r="C324" s="360" t="s">
        <v>20</v>
      </c>
      <c r="D324" s="360"/>
      <c r="E324" s="360"/>
      <c r="F324" s="360"/>
      <c r="G324" s="360"/>
      <c r="H324" s="360"/>
      <c r="I324" s="360"/>
      <c r="J324" s="360"/>
      <c r="K324" s="360"/>
      <c r="L324" s="360"/>
      <c r="M324" s="360"/>
      <c r="N324" s="360"/>
      <c r="O324" s="360"/>
      <c r="P324" s="360"/>
      <c r="Q324" s="360"/>
      <c r="R324" s="360"/>
      <c r="S324" s="360"/>
      <c r="T324" s="360"/>
      <c r="U324" s="360"/>
    </row>
    <row r="325" spans="1:21" ht="21.75" customHeight="1">
      <c r="A325" s="360" t="s">
        <v>21</v>
      </c>
      <c r="B325" s="362" t="s">
        <v>22</v>
      </c>
      <c r="C325" s="360" t="s">
        <v>23</v>
      </c>
      <c r="D325" s="360"/>
      <c r="E325" s="360"/>
      <c r="F325" s="360"/>
      <c r="G325" s="360"/>
      <c r="H325" s="360"/>
      <c r="I325" s="360"/>
      <c r="J325" s="360"/>
      <c r="K325" s="360"/>
      <c r="L325" s="360"/>
      <c r="M325" s="360"/>
      <c r="N325" s="360"/>
      <c r="O325" s="360"/>
      <c r="P325" s="360"/>
      <c r="Q325" s="360"/>
      <c r="R325" s="360"/>
      <c r="S325" s="360"/>
      <c r="T325" s="360"/>
      <c r="U325" s="360"/>
    </row>
    <row r="326" spans="1:21" ht="21.75" customHeight="1">
      <c r="A326" s="360" t="s">
        <v>24</v>
      </c>
      <c r="B326" s="362" t="s">
        <v>25</v>
      </c>
      <c r="C326" s="360" t="s">
        <v>26</v>
      </c>
      <c r="D326" s="360"/>
      <c r="E326" s="360"/>
      <c r="F326" s="360"/>
      <c r="G326" s="360"/>
      <c r="H326" s="360"/>
      <c r="I326" s="360"/>
      <c r="J326" s="360"/>
      <c r="K326" s="360"/>
      <c r="L326" s="360"/>
      <c r="M326" s="360"/>
      <c r="N326" s="360"/>
      <c r="O326" s="360"/>
      <c r="P326" s="360"/>
      <c r="Q326" s="360"/>
      <c r="R326" s="360"/>
      <c r="S326" s="360"/>
      <c r="T326" s="360"/>
      <c r="U326" s="360"/>
    </row>
    <row r="327" spans="1:21" ht="21.75" customHeight="1">
      <c r="A327" s="360" t="s">
        <v>27</v>
      </c>
      <c r="B327" s="362" t="s">
        <v>28</v>
      </c>
      <c r="C327" s="360" t="s">
        <v>29</v>
      </c>
      <c r="D327" s="360"/>
      <c r="E327" s="360"/>
      <c r="F327" s="360"/>
      <c r="G327" s="360"/>
      <c r="H327" s="360">
        <v>31</v>
      </c>
      <c r="I327" s="360"/>
      <c r="J327" s="360"/>
      <c r="K327" s="360"/>
      <c r="L327" s="360"/>
      <c r="M327" s="360"/>
      <c r="N327" s="360"/>
      <c r="O327" s="360"/>
      <c r="P327" s="360"/>
      <c r="Q327" s="360"/>
      <c r="R327" s="360"/>
      <c r="S327" s="360"/>
      <c r="T327" s="360"/>
      <c r="U327" s="360"/>
    </row>
    <row r="328" spans="1:21" ht="21.75" customHeight="1">
      <c r="A328" s="360" t="s">
        <v>30</v>
      </c>
      <c r="B328" s="362" t="s">
        <v>31</v>
      </c>
      <c r="C328" s="360" t="s">
        <v>32</v>
      </c>
      <c r="D328" s="360"/>
      <c r="E328" s="360"/>
      <c r="F328" s="360"/>
      <c r="G328" s="360"/>
      <c r="H328" s="360"/>
      <c r="I328" s="360"/>
      <c r="J328" s="360"/>
      <c r="K328" s="360"/>
      <c r="L328" s="360"/>
      <c r="M328" s="360"/>
      <c r="N328" s="360"/>
      <c r="O328" s="360"/>
      <c r="P328" s="360"/>
      <c r="Q328" s="360"/>
      <c r="R328" s="360"/>
      <c r="S328" s="360"/>
      <c r="T328" s="360"/>
      <c r="U328" s="360"/>
    </row>
    <row r="329" spans="1:21" ht="21.75" customHeight="1">
      <c r="A329" s="360" t="s">
        <v>33</v>
      </c>
      <c r="B329" s="362" t="s">
        <v>34</v>
      </c>
      <c r="C329" s="360" t="s">
        <v>35</v>
      </c>
      <c r="D329" s="360"/>
      <c r="E329" s="360"/>
      <c r="F329" s="360"/>
      <c r="G329" s="360"/>
      <c r="H329" s="360"/>
      <c r="I329" s="360"/>
      <c r="J329" s="360"/>
      <c r="K329" s="360"/>
      <c r="L329" s="360"/>
      <c r="M329" s="360"/>
      <c r="N329" s="360"/>
      <c r="O329" s="360"/>
      <c r="P329" s="360"/>
      <c r="Q329" s="360"/>
      <c r="R329" s="360"/>
      <c r="S329" s="360"/>
      <c r="T329" s="360"/>
      <c r="U329" s="360"/>
    </row>
    <row r="330" spans="1:21" ht="21.75" customHeight="1">
      <c r="A330" s="360" t="s">
        <v>36</v>
      </c>
      <c r="B330" s="362" t="s">
        <v>37</v>
      </c>
      <c r="C330" s="360" t="s">
        <v>38</v>
      </c>
      <c r="D330" s="360"/>
      <c r="E330" s="360"/>
      <c r="F330" s="360"/>
      <c r="G330" s="360"/>
      <c r="H330" s="360"/>
      <c r="I330" s="360"/>
      <c r="J330" s="360"/>
      <c r="K330" s="360"/>
      <c r="L330" s="360"/>
      <c r="M330" s="360"/>
      <c r="N330" s="360"/>
      <c r="O330" s="360"/>
      <c r="P330" s="360"/>
      <c r="Q330" s="360"/>
      <c r="R330" s="360"/>
      <c r="S330" s="360"/>
      <c r="T330" s="360"/>
      <c r="U330" s="360"/>
    </row>
    <row r="331" spans="1:21" ht="21.75" customHeight="1">
      <c r="A331" s="360" t="s">
        <v>39</v>
      </c>
      <c r="B331" s="362" t="s">
        <v>40</v>
      </c>
      <c r="C331" s="360" t="s">
        <v>41</v>
      </c>
      <c r="D331" s="360"/>
      <c r="E331" s="360"/>
      <c r="F331" s="360"/>
      <c r="G331" s="360"/>
      <c r="H331" s="360"/>
      <c r="I331" s="360"/>
      <c r="J331" s="360"/>
      <c r="K331" s="360"/>
      <c r="L331" s="360"/>
      <c r="M331" s="360"/>
      <c r="N331" s="360"/>
      <c r="O331" s="360"/>
      <c r="P331" s="360"/>
      <c r="Q331" s="360"/>
      <c r="R331" s="360"/>
      <c r="S331" s="360"/>
      <c r="T331" s="360"/>
      <c r="U331" s="360"/>
    </row>
    <row r="332" spans="1:21" ht="21.75" customHeight="1">
      <c r="A332" s="360">
        <v>2</v>
      </c>
      <c r="B332" s="362" t="s">
        <v>43</v>
      </c>
      <c r="C332" s="360" t="s">
        <v>44</v>
      </c>
      <c r="D332" s="360"/>
      <c r="E332" s="360"/>
      <c r="F332" s="360"/>
      <c r="G332" s="360"/>
      <c r="H332" s="360"/>
      <c r="I332" s="360"/>
      <c r="J332" s="360"/>
      <c r="K332" s="360"/>
      <c r="L332" s="360"/>
      <c r="M332" s="360"/>
      <c r="N332" s="360"/>
      <c r="O332" s="360"/>
      <c r="P332" s="360"/>
      <c r="Q332" s="360"/>
      <c r="R332" s="360"/>
      <c r="S332" s="360"/>
      <c r="T332" s="360"/>
      <c r="U332" s="360"/>
    </row>
    <row r="333" spans="1:21" ht="21.75" customHeight="1">
      <c r="A333" s="360">
        <v>2</v>
      </c>
      <c r="B333" s="362" t="s">
        <v>45</v>
      </c>
      <c r="C333" s="360" t="s">
        <v>46</v>
      </c>
      <c r="D333" s="360">
        <f>SUM(D334:D359)</f>
        <v>0</v>
      </c>
      <c r="E333" s="360">
        <f t="shared" ref="E333:U333" si="42">SUM(E334:E359)</f>
        <v>0</v>
      </c>
      <c r="F333" s="360">
        <f t="shared" si="42"/>
        <v>0</v>
      </c>
      <c r="G333" s="360">
        <f t="shared" si="42"/>
        <v>0</v>
      </c>
      <c r="H333" s="360">
        <f t="shared" si="42"/>
        <v>4</v>
      </c>
      <c r="I333" s="360">
        <f t="shared" si="42"/>
        <v>0</v>
      </c>
      <c r="J333" s="360">
        <f t="shared" si="42"/>
        <v>0</v>
      </c>
      <c r="K333" s="360">
        <f t="shared" si="42"/>
        <v>0</v>
      </c>
      <c r="L333" s="360">
        <f t="shared" si="42"/>
        <v>0</v>
      </c>
      <c r="M333" s="360">
        <f t="shared" si="42"/>
        <v>0</v>
      </c>
      <c r="N333" s="360">
        <f t="shared" si="42"/>
        <v>0</v>
      </c>
      <c r="O333" s="360">
        <f t="shared" si="42"/>
        <v>0</v>
      </c>
      <c r="P333" s="360">
        <f t="shared" si="42"/>
        <v>0</v>
      </c>
      <c r="Q333" s="360">
        <f t="shared" si="42"/>
        <v>0</v>
      </c>
      <c r="R333" s="360">
        <f t="shared" si="42"/>
        <v>75</v>
      </c>
      <c r="S333" s="360">
        <f t="shared" si="42"/>
        <v>0</v>
      </c>
      <c r="T333" s="360">
        <f t="shared" si="42"/>
        <v>0</v>
      </c>
      <c r="U333" s="360">
        <f t="shared" si="42"/>
        <v>0</v>
      </c>
    </row>
    <row r="334" spans="1:21" ht="21.75" customHeight="1">
      <c r="A334" s="360" t="s">
        <v>47</v>
      </c>
      <c r="B334" s="362" t="s">
        <v>48</v>
      </c>
      <c r="C334" s="360" t="s">
        <v>49</v>
      </c>
      <c r="D334" s="360"/>
      <c r="E334" s="360"/>
      <c r="F334" s="360"/>
      <c r="G334" s="360"/>
      <c r="H334" s="360"/>
      <c r="I334" s="360"/>
      <c r="J334" s="360"/>
      <c r="K334" s="360"/>
      <c r="L334" s="360"/>
      <c r="M334" s="360"/>
      <c r="N334" s="360"/>
      <c r="O334" s="360"/>
      <c r="P334" s="360"/>
      <c r="Q334" s="360"/>
      <c r="R334" s="360"/>
      <c r="S334" s="360"/>
      <c r="T334" s="360"/>
      <c r="U334" s="360"/>
    </row>
    <row r="335" spans="1:21" ht="21.75" customHeight="1">
      <c r="A335" s="360" t="s">
        <v>50</v>
      </c>
      <c r="B335" s="362" t="s">
        <v>51</v>
      </c>
      <c r="C335" s="360" t="s">
        <v>52</v>
      </c>
      <c r="D335" s="360"/>
      <c r="E335" s="360"/>
      <c r="F335" s="360"/>
      <c r="G335" s="360"/>
      <c r="H335" s="360"/>
      <c r="I335" s="360"/>
      <c r="J335" s="360"/>
      <c r="K335" s="360"/>
      <c r="L335" s="360"/>
      <c r="M335" s="360"/>
      <c r="N335" s="360"/>
      <c r="O335" s="360"/>
      <c r="P335" s="360"/>
      <c r="Q335" s="360"/>
      <c r="R335" s="360"/>
      <c r="S335" s="360"/>
      <c r="T335" s="360"/>
      <c r="U335" s="360"/>
    </row>
    <row r="336" spans="1:21" ht="21.75" customHeight="1">
      <c r="A336" s="360" t="s">
        <v>53</v>
      </c>
      <c r="B336" s="362" t="s">
        <v>54</v>
      </c>
      <c r="C336" s="360" t="s">
        <v>55</v>
      </c>
      <c r="D336" s="360"/>
      <c r="E336" s="360"/>
      <c r="F336" s="360"/>
      <c r="G336" s="360"/>
      <c r="H336" s="360"/>
      <c r="I336" s="360"/>
      <c r="J336" s="360"/>
      <c r="K336" s="360"/>
      <c r="L336" s="360"/>
      <c r="M336" s="360"/>
      <c r="N336" s="360"/>
      <c r="O336" s="360"/>
      <c r="P336" s="360"/>
      <c r="Q336" s="360"/>
      <c r="R336" s="360"/>
      <c r="S336" s="360"/>
      <c r="T336" s="360"/>
      <c r="U336" s="360"/>
    </row>
    <row r="337" spans="1:21" ht="21.75" customHeight="1">
      <c r="A337" s="360" t="s">
        <v>56</v>
      </c>
      <c r="B337" s="362" t="s">
        <v>57</v>
      </c>
      <c r="C337" s="360" t="s">
        <v>58</v>
      </c>
      <c r="D337" s="360"/>
      <c r="E337" s="360"/>
      <c r="F337" s="360"/>
      <c r="G337" s="360"/>
      <c r="H337" s="360"/>
      <c r="I337" s="360"/>
      <c r="J337" s="360"/>
      <c r="K337" s="360"/>
      <c r="L337" s="360"/>
      <c r="M337" s="360"/>
      <c r="N337" s="360"/>
      <c r="O337" s="360"/>
      <c r="P337" s="360"/>
      <c r="Q337" s="360"/>
      <c r="R337" s="360"/>
      <c r="S337" s="360"/>
      <c r="T337" s="360"/>
      <c r="U337" s="360"/>
    </row>
    <row r="338" spans="1:21" ht="21.75" customHeight="1">
      <c r="A338" s="360" t="s">
        <v>59</v>
      </c>
      <c r="B338" s="362" t="s">
        <v>60</v>
      </c>
      <c r="C338" s="360" t="s">
        <v>61</v>
      </c>
      <c r="D338" s="360"/>
      <c r="E338" s="360"/>
      <c r="F338" s="360"/>
      <c r="G338" s="360"/>
      <c r="H338" s="360"/>
      <c r="I338" s="360"/>
      <c r="J338" s="360"/>
      <c r="K338" s="360"/>
      <c r="L338" s="360"/>
      <c r="M338" s="360"/>
      <c r="N338" s="360"/>
      <c r="O338" s="360"/>
      <c r="P338" s="360"/>
      <c r="Q338" s="360"/>
      <c r="R338" s="360"/>
      <c r="S338" s="360"/>
      <c r="T338" s="360"/>
      <c r="U338" s="360"/>
    </row>
    <row r="339" spans="1:21" ht="21.75" customHeight="1">
      <c r="A339" s="360" t="s">
        <v>62</v>
      </c>
      <c r="B339" s="362" t="s">
        <v>63</v>
      </c>
      <c r="C339" s="360" t="s">
        <v>64</v>
      </c>
      <c r="D339" s="360"/>
      <c r="E339" s="360"/>
      <c r="F339" s="360"/>
      <c r="G339" s="360"/>
      <c r="H339" s="360"/>
      <c r="I339" s="360"/>
      <c r="J339" s="360"/>
      <c r="K339" s="360"/>
      <c r="L339" s="360"/>
      <c r="M339" s="360"/>
      <c r="N339" s="360"/>
      <c r="O339" s="360"/>
      <c r="P339" s="360"/>
      <c r="Q339" s="360"/>
      <c r="R339" s="360"/>
      <c r="S339" s="360"/>
      <c r="T339" s="360"/>
      <c r="U339" s="360"/>
    </row>
    <row r="340" spans="1:21" ht="21.75" customHeight="1">
      <c r="A340" s="360" t="s">
        <v>65</v>
      </c>
      <c r="B340" s="362" t="s">
        <v>66</v>
      </c>
      <c r="C340" s="360" t="s">
        <v>67</v>
      </c>
      <c r="D340" s="360"/>
      <c r="E340" s="360"/>
      <c r="F340" s="360"/>
      <c r="G340" s="360"/>
      <c r="H340" s="360"/>
      <c r="I340" s="360"/>
      <c r="J340" s="360"/>
      <c r="K340" s="360"/>
      <c r="L340" s="360"/>
      <c r="M340" s="360"/>
      <c r="N340" s="360"/>
      <c r="O340" s="360"/>
      <c r="P340" s="360"/>
      <c r="Q340" s="360"/>
      <c r="R340" s="360"/>
      <c r="S340" s="360"/>
      <c r="T340" s="360"/>
      <c r="U340" s="360"/>
    </row>
    <row r="341" spans="1:21" ht="21.75" customHeight="1">
      <c r="A341" s="360" t="s">
        <v>68</v>
      </c>
      <c r="B341" s="362" t="s">
        <v>69</v>
      </c>
      <c r="C341" s="360" t="s">
        <v>70</v>
      </c>
      <c r="D341" s="360"/>
      <c r="E341" s="360"/>
      <c r="F341" s="360"/>
      <c r="G341" s="360"/>
      <c r="H341" s="360"/>
      <c r="I341" s="360"/>
      <c r="J341" s="360"/>
      <c r="K341" s="360"/>
      <c r="L341" s="360"/>
      <c r="M341" s="360"/>
      <c r="N341" s="360"/>
      <c r="O341" s="360"/>
      <c r="P341" s="360"/>
      <c r="Q341" s="360"/>
      <c r="R341" s="360"/>
      <c r="S341" s="360"/>
      <c r="T341" s="360"/>
      <c r="U341" s="360"/>
    </row>
    <row r="342" spans="1:21" ht="21.75" customHeight="1">
      <c r="A342" s="360" t="s">
        <v>71</v>
      </c>
      <c r="B342" s="362" t="s">
        <v>135</v>
      </c>
      <c r="C342" s="360" t="s">
        <v>72</v>
      </c>
      <c r="D342" s="360"/>
      <c r="E342" s="360"/>
      <c r="F342" s="360"/>
      <c r="G342" s="360"/>
      <c r="H342" s="360">
        <v>1</v>
      </c>
      <c r="I342" s="360"/>
      <c r="J342" s="360"/>
      <c r="K342" s="360"/>
      <c r="L342" s="360"/>
      <c r="M342" s="360"/>
      <c r="N342" s="360"/>
      <c r="O342" s="360"/>
      <c r="P342" s="360"/>
      <c r="Q342" s="360"/>
      <c r="R342" s="360"/>
      <c r="S342" s="360"/>
      <c r="T342" s="360"/>
      <c r="U342" s="360"/>
    </row>
    <row r="343" spans="1:21" ht="36" customHeight="1">
      <c r="A343" s="360" t="s">
        <v>73</v>
      </c>
      <c r="B343" s="362" t="s">
        <v>74</v>
      </c>
      <c r="C343" s="360" t="s">
        <v>75</v>
      </c>
      <c r="D343" s="360"/>
      <c r="E343" s="360"/>
      <c r="F343" s="360"/>
      <c r="G343" s="360"/>
      <c r="H343" s="360"/>
      <c r="I343" s="360"/>
      <c r="J343" s="360"/>
      <c r="K343" s="360"/>
      <c r="L343" s="360"/>
      <c r="M343" s="360"/>
      <c r="N343" s="360"/>
      <c r="O343" s="360"/>
      <c r="P343" s="360"/>
      <c r="Q343" s="360"/>
      <c r="R343" s="360">
        <v>75</v>
      </c>
      <c r="S343" s="360"/>
      <c r="T343" s="360"/>
      <c r="U343" s="360"/>
    </row>
    <row r="344" spans="1:21" ht="21.75" customHeight="1">
      <c r="A344" s="360" t="s">
        <v>76</v>
      </c>
      <c r="B344" s="362" t="s">
        <v>77</v>
      </c>
      <c r="C344" s="360" t="s">
        <v>78</v>
      </c>
      <c r="D344" s="360"/>
      <c r="E344" s="360"/>
      <c r="F344" s="360"/>
      <c r="G344" s="360"/>
      <c r="H344" s="360"/>
      <c r="I344" s="360"/>
      <c r="J344" s="360"/>
      <c r="K344" s="360"/>
      <c r="L344" s="360"/>
      <c r="M344" s="360"/>
      <c r="N344" s="360"/>
      <c r="O344" s="360"/>
      <c r="P344" s="360"/>
      <c r="Q344" s="360"/>
      <c r="R344" s="360"/>
      <c r="S344" s="360"/>
      <c r="T344" s="360"/>
      <c r="U344" s="360"/>
    </row>
    <row r="345" spans="1:21" ht="21.75" customHeight="1">
      <c r="A345" s="360" t="s">
        <v>79</v>
      </c>
      <c r="B345" s="362" t="s">
        <v>80</v>
      </c>
      <c r="C345" s="360" t="s">
        <v>81</v>
      </c>
      <c r="D345" s="360"/>
      <c r="E345" s="360"/>
      <c r="F345" s="360"/>
      <c r="G345" s="360"/>
      <c r="H345" s="360"/>
      <c r="I345" s="360"/>
      <c r="J345" s="360"/>
      <c r="K345" s="360"/>
      <c r="L345" s="360"/>
      <c r="M345" s="360"/>
      <c r="N345" s="360"/>
      <c r="O345" s="360"/>
      <c r="P345" s="360"/>
      <c r="Q345" s="360"/>
      <c r="R345" s="360"/>
      <c r="S345" s="360"/>
      <c r="T345" s="360"/>
      <c r="U345" s="360"/>
    </row>
    <row r="346" spans="1:21" ht="21.75" customHeight="1">
      <c r="A346" s="360" t="s">
        <v>82</v>
      </c>
      <c r="B346" s="362" t="s">
        <v>83</v>
      </c>
      <c r="C346" s="360" t="s">
        <v>84</v>
      </c>
      <c r="D346" s="360"/>
      <c r="E346" s="360"/>
      <c r="F346" s="360"/>
      <c r="G346" s="360"/>
      <c r="H346" s="360"/>
      <c r="I346" s="360"/>
      <c r="J346" s="360"/>
      <c r="K346" s="360"/>
      <c r="L346" s="360"/>
      <c r="M346" s="360"/>
      <c r="N346" s="360"/>
      <c r="O346" s="360"/>
      <c r="P346" s="360"/>
      <c r="Q346" s="360"/>
      <c r="R346" s="360"/>
      <c r="S346" s="360"/>
      <c r="T346" s="360"/>
      <c r="U346" s="360"/>
    </row>
    <row r="347" spans="1:21" ht="21.75" customHeight="1">
      <c r="A347" s="360" t="s">
        <v>85</v>
      </c>
      <c r="B347" s="362" t="s">
        <v>86</v>
      </c>
      <c r="C347" s="360" t="s">
        <v>87</v>
      </c>
      <c r="D347" s="360"/>
      <c r="E347" s="360"/>
      <c r="F347" s="360"/>
      <c r="G347" s="360"/>
      <c r="H347" s="360"/>
      <c r="I347" s="360"/>
      <c r="J347" s="360"/>
      <c r="K347" s="360"/>
      <c r="L347" s="360"/>
      <c r="M347" s="360"/>
      <c r="N347" s="360"/>
      <c r="O347" s="360"/>
      <c r="P347" s="360"/>
      <c r="Q347" s="360"/>
      <c r="R347" s="360"/>
      <c r="S347" s="360"/>
      <c r="T347" s="360"/>
      <c r="U347" s="360"/>
    </row>
    <row r="348" spans="1:21" ht="21.75" customHeight="1">
      <c r="A348" s="360" t="s">
        <v>88</v>
      </c>
      <c r="B348" s="362" t="s">
        <v>89</v>
      </c>
      <c r="C348" s="360" t="s">
        <v>90</v>
      </c>
      <c r="D348" s="360"/>
      <c r="E348" s="360"/>
      <c r="F348" s="360"/>
      <c r="G348" s="360"/>
      <c r="H348" s="360"/>
      <c r="I348" s="360"/>
      <c r="J348" s="360"/>
      <c r="K348" s="360"/>
      <c r="L348" s="360"/>
      <c r="M348" s="360"/>
      <c r="N348" s="360"/>
      <c r="O348" s="360"/>
      <c r="P348" s="360"/>
      <c r="Q348" s="360"/>
      <c r="R348" s="360"/>
      <c r="S348" s="360"/>
      <c r="T348" s="360"/>
      <c r="U348" s="360"/>
    </row>
    <row r="349" spans="1:21" ht="21.75" customHeight="1">
      <c r="A349" s="360" t="s">
        <v>91</v>
      </c>
      <c r="B349" s="362" t="s">
        <v>92</v>
      </c>
      <c r="C349" s="360" t="s">
        <v>93</v>
      </c>
      <c r="D349" s="360"/>
      <c r="E349" s="360"/>
      <c r="F349" s="360"/>
      <c r="G349" s="360"/>
      <c r="H349" s="360"/>
      <c r="I349" s="360"/>
      <c r="J349" s="360"/>
      <c r="K349" s="360"/>
      <c r="L349" s="360"/>
      <c r="M349" s="360"/>
      <c r="N349" s="360"/>
      <c r="O349" s="360"/>
      <c r="P349" s="360"/>
      <c r="Q349" s="360"/>
      <c r="R349" s="360"/>
      <c r="S349" s="360"/>
      <c r="T349" s="360"/>
      <c r="U349" s="360"/>
    </row>
    <row r="350" spans="1:21" ht="21.75" customHeight="1">
      <c r="A350" s="360" t="s">
        <v>94</v>
      </c>
      <c r="B350" s="362" t="s">
        <v>95</v>
      </c>
      <c r="C350" s="360" t="s">
        <v>96</v>
      </c>
      <c r="D350" s="360"/>
      <c r="E350" s="360"/>
      <c r="F350" s="360"/>
      <c r="G350" s="360"/>
      <c r="H350" s="360"/>
      <c r="I350" s="360"/>
      <c r="J350" s="360"/>
      <c r="K350" s="360"/>
      <c r="L350" s="360"/>
      <c r="M350" s="360"/>
      <c r="N350" s="360"/>
      <c r="O350" s="360"/>
      <c r="P350" s="360"/>
      <c r="Q350" s="360"/>
      <c r="R350" s="360"/>
      <c r="S350" s="360"/>
      <c r="T350" s="360"/>
      <c r="U350" s="360"/>
    </row>
    <row r="351" spans="1:21" ht="21.75" customHeight="1">
      <c r="A351" s="360" t="s">
        <v>97</v>
      </c>
      <c r="B351" s="362" t="s">
        <v>98</v>
      </c>
      <c r="C351" s="360" t="s">
        <v>99</v>
      </c>
      <c r="D351" s="360"/>
      <c r="E351" s="360"/>
      <c r="F351" s="360"/>
      <c r="G351" s="360"/>
      <c r="H351" s="360"/>
      <c r="I351" s="360"/>
      <c r="J351" s="360"/>
      <c r="K351" s="360"/>
      <c r="L351" s="360"/>
      <c r="M351" s="360"/>
      <c r="N351" s="360"/>
      <c r="O351" s="360"/>
      <c r="P351" s="360"/>
      <c r="Q351" s="360"/>
      <c r="R351" s="360"/>
      <c r="S351" s="360"/>
      <c r="T351" s="360"/>
      <c r="U351" s="360"/>
    </row>
    <row r="352" spans="1:21" ht="21.75" customHeight="1">
      <c r="A352" s="360" t="s">
        <v>100</v>
      </c>
      <c r="B352" s="362" t="s">
        <v>134</v>
      </c>
      <c r="C352" s="360" t="s">
        <v>101</v>
      </c>
      <c r="D352" s="360"/>
      <c r="E352" s="360"/>
      <c r="F352" s="360"/>
      <c r="G352" s="360"/>
      <c r="H352" s="360"/>
      <c r="I352" s="360"/>
      <c r="J352" s="360"/>
      <c r="K352" s="360"/>
      <c r="L352" s="360"/>
      <c r="M352" s="360"/>
      <c r="N352" s="360"/>
      <c r="O352" s="360"/>
      <c r="P352" s="360"/>
      <c r="Q352" s="360"/>
      <c r="R352" s="360"/>
      <c r="S352" s="360"/>
      <c r="T352" s="360"/>
      <c r="U352" s="360"/>
    </row>
    <row r="353" spans="1:21" ht="21.75" customHeight="1">
      <c r="A353" s="360" t="s">
        <v>102</v>
      </c>
      <c r="B353" s="362" t="s">
        <v>103</v>
      </c>
      <c r="C353" s="360" t="s">
        <v>104</v>
      </c>
      <c r="D353" s="360"/>
      <c r="E353" s="360"/>
      <c r="F353" s="360"/>
      <c r="G353" s="360"/>
      <c r="H353" s="360"/>
      <c r="I353" s="360"/>
      <c r="J353" s="360"/>
      <c r="K353" s="360"/>
      <c r="L353" s="360"/>
      <c r="M353" s="360"/>
      <c r="N353" s="360"/>
      <c r="O353" s="360"/>
      <c r="P353" s="360"/>
      <c r="Q353" s="360"/>
      <c r="R353" s="360"/>
      <c r="S353" s="360"/>
      <c r="T353" s="360"/>
      <c r="U353" s="360"/>
    </row>
    <row r="354" spans="1:21" ht="21.75" customHeight="1">
      <c r="A354" s="360" t="s">
        <v>105</v>
      </c>
      <c r="B354" s="362" t="s">
        <v>106</v>
      </c>
      <c r="C354" s="360" t="s">
        <v>107</v>
      </c>
      <c r="D354" s="360"/>
      <c r="E354" s="360"/>
      <c r="F354" s="360"/>
      <c r="G354" s="360"/>
      <c r="H354" s="360"/>
      <c r="I354" s="360"/>
      <c r="J354" s="360"/>
      <c r="K354" s="360"/>
      <c r="L354" s="360"/>
      <c r="M354" s="360"/>
      <c r="N354" s="360"/>
      <c r="O354" s="360"/>
      <c r="P354" s="360"/>
      <c r="Q354" s="360"/>
      <c r="R354" s="360"/>
      <c r="S354" s="360"/>
      <c r="T354" s="360"/>
      <c r="U354" s="360"/>
    </row>
    <row r="355" spans="1:21" ht="21.75" customHeight="1">
      <c r="A355" s="360" t="s">
        <v>108</v>
      </c>
      <c r="B355" s="362" t="s">
        <v>109</v>
      </c>
      <c r="C355" s="360" t="s">
        <v>110</v>
      </c>
      <c r="D355" s="360"/>
      <c r="E355" s="360"/>
      <c r="F355" s="360"/>
      <c r="G355" s="360"/>
      <c r="H355" s="360"/>
      <c r="I355" s="360"/>
      <c r="J355" s="360"/>
      <c r="K355" s="360"/>
      <c r="L355" s="360"/>
      <c r="M355" s="360"/>
      <c r="N355" s="360"/>
      <c r="O355" s="360"/>
      <c r="P355" s="360"/>
      <c r="Q355" s="360"/>
      <c r="R355" s="360"/>
      <c r="S355" s="360"/>
      <c r="T355" s="360"/>
      <c r="U355" s="360"/>
    </row>
    <row r="356" spans="1:21" ht="21.75" customHeight="1">
      <c r="A356" s="360" t="s">
        <v>111</v>
      </c>
      <c r="B356" s="362" t="s">
        <v>112</v>
      </c>
      <c r="C356" s="360" t="s">
        <v>113</v>
      </c>
      <c r="D356" s="360"/>
      <c r="E356" s="360"/>
      <c r="F356" s="360"/>
      <c r="G356" s="360"/>
      <c r="H356" s="360"/>
      <c r="I356" s="360"/>
      <c r="J356" s="360"/>
      <c r="K356" s="360"/>
      <c r="L356" s="360"/>
      <c r="M356" s="360"/>
      <c r="N356" s="360"/>
      <c r="O356" s="360"/>
      <c r="P356" s="360"/>
      <c r="Q356" s="360"/>
      <c r="R356" s="360"/>
      <c r="S356" s="360"/>
      <c r="T356" s="360"/>
      <c r="U356" s="360"/>
    </row>
    <row r="357" spans="1:21" ht="21.75" customHeight="1">
      <c r="A357" s="360" t="s">
        <v>114</v>
      </c>
      <c r="B357" s="362" t="s">
        <v>115</v>
      </c>
      <c r="C357" s="360" t="s">
        <v>116</v>
      </c>
      <c r="D357" s="360"/>
      <c r="E357" s="360"/>
      <c r="F357" s="360"/>
      <c r="G357" s="360"/>
      <c r="H357" s="360">
        <v>3</v>
      </c>
      <c r="I357" s="360"/>
      <c r="J357" s="360"/>
      <c r="K357" s="360"/>
      <c r="L357" s="360"/>
      <c r="M357" s="360"/>
      <c r="N357" s="360"/>
      <c r="O357" s="360"/>
      <c r="P357" s="360"/>
      <c r="Q357" s="360"/>
      <c r="R357" s="360"/>
      <c r="S357" s="360"/>
      <c r="T357" s="360"/>
      <c r="U357" s="360"/>
    </row>
    <row r="358" spans="1:21" ht="21.75" customHeight="1">
      <c r="A358" s="360" t="s">
        <v>117</v>
      </c>
      <c r="B358" s="362" t="s">
        <v>118</v>
      </c>
      <c r="C358" s="360" t="s">
        <v>119</v>
      </c>
      <c r="D358" s="360"/>
      <c r="E358" s="360"/>
      <c r="F358" s="360"/>
      <c r="G358" s="360"/>
      <c r="H358" s="360"/>
      <c r="I358" s="360"/>
      <c r="J358" s="360"/>
      <c r="K358" s="360"/>
      <c r="L358" s="360"/>
      <c r="M358" s="360"/>
      <c r="N358" s="360"/>
      <c r="O358" s="360"/>
      <c r="P358" s="360"/>
      <c r="Q358" s="360"/>
      <c r="R358" s="360"/>
      <c r="S358" s="360"/>
      <c r="T358" s="360"/>
      <c r="U358" s="360"/>
    </row>
    <row r="359" spans="1:21" ht="21.75" customHeight="1">
      <c r="A359" s="360" t="s">
        <v>120</v>
      </c>
      <c r="B359" s="362" t="s">
        <v>121</v>
      </c>
      <c r="C359" s="360" t="s">
        <v>122</v>
      </c>
      <c r="D359" s="360"/>
      <c r="E359" s="360"/>
      <c r="F359" s="360"/>
      <c r="G359" s="360"/>
      <c r="H359" s="360"/>
      <c r="I359" s="360"/>
      <c r="J359" s="360"/>
      <c r="K359" s="360"/>
      <c r="L359" s="360"/>
      <c r="M359" s="360"/>
      <c r="N359" s="360"/>
      <c r="O359" s="360"/>
      <c r="P359" s="360"/>
      <c r="Q359" s="360"/>
      <c r="R359" s="360"/>
      <c r="S359" s="360"/>
      <c r="T359" s="360"/>
      <c r="U359" s="360"/>
    </row>
    <row r="360" spans="1:21" ht="21.75" customHeight="1">
      <c r="A360" s="360">
        <v>3</v>
      </c>
      <c r="B360" s="362" t="s">
        <v>123</v>
      </c>
      <c r="C360" s="360" t="s">
        <v>124</v>
      </c>
      <c r="D360" s="360"/>
      <c r="E360" s="360"/>
      <c r="F360" s="360"/>
      <c r="G360" s="360"/>
      <c r="H360" s="360"/>
      <c r="I360" s="360"/>
      <c r="J360" s="360"/>
      <c r="K360" s="360"/>
      <c r="L360" s="360"/>
      <c r="M360" s="360"/>
      <c r="N360" s="360"/>
      <c r="O360" s="360"/>
      <c r="P360" s="360"/>
      <c r="Q360" s="360"/>
      <c r="R360" s="360"/>
      <c r="S360" s="360"/>
      <c r="T360" s="360"/>
      <c r="U360" s="360"/>
    </row>
    <row r="361" spans="1:21" ht="21.75" customHeight="1">
      <c r="A361" s="1355" t="s">
        <v>353</v>
      </c>
      <c r="B361" s="1355"/>
      <c r="C361" s="372"/>
      <c r="D361" s="372"/>
      <c r="E361" s="372"/>
      <c r="F361" s="372"/>
      <c r="G361" s="372"/>
      <c r="H361" s="372"/>
      <c r="I361" s="372"/>
      <c r="J361" s="372"/>
      <c r="K361" s="372"/>
      <c r="L361" s="372"/>
      <c r="M361" s="372"/>
      <c r="N361" s="372"/>
      <c r="O361" s="372"/>
      <c r="P361" s="372"/>
      <c r="Q361" s="372"/>
      <c r="R361" s="372"/>
      <c r="S361" s="372"/>
      <c r="T361" s="372"/>
      <c r="U361" s="372"/>
    </row>
    <row r="362" spans="1:21" ht="21.75" customHeight="1">
      <c r="A362" s="1354" t="s">
        <v>185</v>
      </c>
      <c r="B362" s="1354"/>
      <c r="C362" s="1354"/>
      <c r="D362" s="1354"/>
      <c r="E362" s="1354"/>
      <c r="F362" s="1354"/>
      <c r="G362" s="1354"/>
      <c r="H362" s="1354"/>
      <c r="I362" s="1354"/>
      <c r="J362" s="1354"/>
      <c r="K362" s="1354"/>
      <c r="L362" s="1354"/>
      <c r="M362" s="1354"/>
      <c r="N362" s="1354"/>
      <c r="O362" s="1354"/>
      <c r="P362" s="1354"/>
      <c r="Q362" s="1354"/>
      <c r="R362" s="1354"/>
      <c r="S362" s="1354"/>
      <c r="T362" s="1354"/>
      <c r="U362" s="1354"/>
    </row>
    <row r="363" spans="1:21" ht="21.75" customHeight="1">
      <c r="A363" s="1354" t="s">
        <v>322</v>
      </c>
      <c r="B363" s="1354"/>
      <c r="C363" s="1354"/>
      <c r="D363" s="1354"/>
      <c r="E363" s="1354"/>
      <c r="F363" s="1354"/>
      <c r="G363" s="1354"/>
      <c r="H363" s="1354"/>
      <c r="I363" s="1354"/>
      <c r="J363" s="1354"/>
      <c r="K363" s="1354"/>
      <c r="L363" s="1354"/>
      <c r="M363" s="1354"/>
      <c r="N363" s="1354"/>
      <c r="O363" s="1354"/>
      <c r="P363" s="1354"/>
      <c r="Q363" s="1354"/>
      <c r="R363" s="1354"/>
      <c r="S363" s="1354"/>
      <c r="T363" s="1354"/>
      <c r="U363" s="1354"/>
    </row>
    <row r="364" spans="1:21" ht="21.75" customHeight="1"/>
    <row r="365" spans="1:21" ht="21.75" customHeight="1">
      <c r="A365" s="1356" t="s">
        <v>0</v>
      </c>
      <c r="B365" s="1356" t="s">
        <v>186</v>
      </c>
      <c r="C365" s="1356" t="s">
        <v>13</v>
      </c>
      <c r="D365" s="1356" t="s">
        <v>139</v>
      </c>
      <c r="E365" s="1356"/>
      <c r="F365" s="1356" t="s">
        <v>140</v>
      </c>
      <c r="G365" s="1356"/>
      <c r="H365" s="1356" t="s">
        <v>141</v>
      </c>
      <c r="I365" s="1356"/>
      <c r="J365" s="1356" t="s">
        <v>142</v>
      </c>
      <c r="K365" s="1356"/>
      <c r="L365" s="1356" t="s">
        <v>143</v>
      </c>
      <c r="M365" s="1356"/>
      <c r="N365" s="1356" t="s">
        <v>144</v>
      </c>
      <c r="O365" s="1356"/>
      <c r="P365" s="1356" t="s">
        <v>188</v>
      </c>
      <c r="Q365" s="1356"/>
      <c r="R365" s="1356" t="s">
        <v>145</v>
      </c>
      <c r="S365" s="1356"/>
      <c r="T365" s="1356" t="s">
        <v>146</v>
      </c>
      <c r="U365" s="1356"/>
    </row>
    <row r="366" spans="1:21" ht="49.5" customHeight="1">
      <c r="A366" s="1356"/>
      <c r="B366" s="1356"/>
      <c r="C366" s="1356"/>
      <c r="D366" s="360" t="s">
        <v>137</v>
      </c>
      <c r="E366" s="360" t="s">
        <v>187</v>
      </c>
      <c r="F366" s="360" t="s">
        <v>137</v>
      </c>
      <c r="G366" s="360" t="s">
        <v>187</v>
      </c>
      <c r="H366" s="360" t="s">
        <v>137</v>
      </c>
      <c r="I366" s="360" t="s">
        <v>187</v>
      </c>
      <c r="J366" s="360" t="s">
        <v>137</v>
      </c>
      <c r="K366" s="360" t="s">
        <v>187</v>
      </c>
      <c r="L366" s="360" t="s">
        <v>137</v>
      </c>
      <c r="M366" s="360" t="s">
        <v>187</v>
      </c>
      <c r="N366" s="360" t="s">
        <v>137</v>
      </c>
      <c r="O366" s="360" t="s">
        <v>187</v>
      </c>
      <c r="P366" s="360" t="s">
        <v>137</v>
      </c>
      <c r="Q366" s="360" t="s">
        <v>187</v>
      </c>
      <c r="R366" s="360" t="s">
        <v>137</v>
      </c>
      <c r="S366" s="360" t="s">
        <v>187</v>
      </c>
      <c r="T366" s="360" t="s">
        <v>137</v>
      </c>
      <c r="U366" s="360" t="s">
        <v>187</v>
      </c>
    </row>
    <row r="367" spans="1:21" ht="33" customHeight="1">
      <c r="A367" s="360">
        <v>1</v>
      </c>
      <c r="B367" s="362" t="s">
        <v>14</v>
      </c>
      <c r="C367" s="360" t="s">
        <v>15</v>
      </c>
      <c r="D367" s="360">
        <f>D368+D370+D371+D372+D373+D374+D375+D376+D377</f>
        <v>152.5</v>
      </c>
      <c r="E367" s="360">
        <f t="shared" ref="E367:U367" si="43">E368+E370+E371+E372+E373+E374+E375+E376+E377</f>
        <v>0</v>
      </c>
      <c r="F367" s="360">
        <f t="shared" si="43"/>
        <v>0</v>
      </c>
      <c r="G367" s="360">
        <f t="shared" si="43"/>
        <v>0</v>
      </c>
      <c r="H367" s="360">
        <f t="shared" si="43"/>
        <v>80</v>
      </c>
      <c r="I367" s="360">
        <f t="shared" si="43"/>
        <v>0</v>
      </c>
      <c r="J367" s="360">
        <f t="shared" si="43"/>
        <v>0</v>
      </c>
      <c r="K367" s="360">
        <f t="shared" si="43"/>
        <v>0</v>
      </c>
      <c r="L367" s="360">
        <f t="shared" si="43"/>
        <v>0</v>
      </c>
      <c r="M367" s="360">
        <f t="shared" si="43"/>
        <v>0</v>
      </c>
      <c r="N367" s="360">
        <f t="shared" si="43"/>
        <v>0</v>
      </c>
      <c r="O367" s="360">
        <f t="shared" si="43"/>
        <v>0</v>
      </c>
      <c r="P367" s="360">
        <f t="shared" si="43"/>
        <v>0</v>
      </c>
      <c r="Q367" s="360">
        <f t="shared" si="43"/>
        <v>0</v>
      </c>
      <c r="R367" s="360">
        <f t="shared" si="43"/>
        <v>0</v>
      </c>
      <c r="S367" s="360">
        <f t="shared" si="43"/>
        <v>0</v>
      </c>
      <c r="T367" s="360">
        <f t="shared" si="43"/>
        <v>0</v>
      </c>
      <c r="U367" s="360">
        <f t="shared" si="43"/>
        <v>0</v>
      </c>
    </row>
    <row r="368" spans="1:21" ht="15.75" customHeight="1">
      <c r="A368" s="360" t="s">
        <v>16</v>
      </c>
      <c r="B368" s="362" t="s">
        <v>17</v>
      </c>
      <c r="C368" s="360" t="s">
        <v>18</v>
      </c>
      <c r="D368" s="360">
        <f t="shared" ref="D368:U368" si="44">D369</f>
        <v>150</v>
      </c>
      <c r="E368" s="360">
        <f t="shared" si="44"/>
        <v>0</v>
      </c>
      <c r="F368" s="360">
        <f t="shared" si="44"/>
        <v>0</v>
      </c>
      <c r="G368" s="360">
        <f t="shared" si="44"/>
        <v>0</v>
      </c>
      <c r="H368" s="360">
        <f t="shared" si="44"/>
        <v>0</v>
      </c>
      <c r="I368" s="360">
        <f t="shared" si="44"/>
        <v>0</v>
      </c>
      <c r="J368" s="360">
        <f t="shared" si="44"/>
        <v>0</v>
      </c>
      <c r="K368" s="360">
        <f t="shared" si="44"/>
        <v>0</v>
      </c>
      <c r="L368" s="360">
        <f t="shared" si="44"/>
        <v>0</v>
      </c>
      <c r="M368" s="360">
        <f t="shared" si="44"/>
        <v>0</v>
      </c>
      <c r="N368" s="360">
        <f t="shared" si="44"/>
        <v>0</v>
      </c>
      <c r="O368" s="360">
        <f t="shared" si="44"/>
        <v>0</v>
      </c>
      <c r="P368" s="360">
        <f t="shared" si="44"/>
        <v>0</v>
      </c>
      <c r="Q368" s="360">
        <f t="shared" si="44"/>
        <v>0</v>
      </c>
      <c r="R368" s="360">
        <f t="shared" si="44"/>
        <v>0</v>
      </c>
      <c r="S368" s="360">
        <f t="shared" si="44"/>
        <v>0</v>
      </c>
      <c r="T368" s="360">
        <f t="shared" si="44"/>
        <v>0</v>
      </c>
      <c r="U368" s="360">
        <f t="shared" si="44"/>
        <v>0</v>
      </c>
    </row>
    <row r="369" spans="1:21" ht="15.75" customHeight="1">
      <c r="A369" s="360"/>
      <c r="B369" s="362" t="s">
        <v>19</v>
      </c>
      <c r="C369" s="360" t="s">
        <v>20</v>
      </c>
      <c r="D369" s="360">
        <v>150</v>
      </c>
      <c r="E369" s="360"/>
      <c r="F369" s="360"/>
      <c r="G369" s="360"/>
      <c r="H369" s="360"/>
      <c r="I369" s="360"/>
      <c r="J369" s="360"/>
      <c r="K369" s="360"/>
      <c r="L369" s="360"/>
      <c r="M369" s="360"/>
      <c r="N369" s="360"/>
      <c r="O369" s="360"/>
      <c r="P369" s="360"/>
      <c r="Q369" s="360"/>
      <c r="R369" s="360"/>
      <c r="S369" s="360"/>
      <c r="T369" s="360"/>
      <c r="U369" s="360"/>
    </row>
    <row r="370" spans="1:21" ht="15.75" customHeight="1">
      <c r="A370" s="360" t="s">
        <v>21</v>
      </c>
      <c r="B370" s="362" t="s">
        <v>22</v>
      </c>
      <c r="C370" s="360" t="s">
        <v>23</v>
      </c>
      <c r="D370" s="360"/>
      <c r="E370" s="360"/>
      <c r="F370" s="360"/>
      <c r="G370" s="360"/>
      <c r="H370" s="360"/>
      <c r="I370" s="360"/>
      <c r="J370" s="360"/>
      <c r="K370" s="360"/>
      <c r="L370" s="360"/>
      <c r="M370" s="360"/>
      <c r="N370" s="360"/>
      <c r="O370" s="360"/>
      <c r="P370" s="360"/>
      <c r="Q370" s="360"/>
      <c r="R370" s="360"/>
      <c r="S370" s="360"/>
      <c r="T370" s="360"/>
      <c r="U370" s="360"/>
    </row>
    <row r="371" spans="1:21" ht="15.75" customHeight="1">
      <c r="A371" s="360" t="s">
        <v>24</v>
      </c>
      <c r="B371" s="362" t="s">
        <v>25</v>
      </c>
      <c r="C371" s="360" t="s">
        <v>26</v>
      </c>
      <c r="D371" s="360"/>
      <c r="E371" s="360"/>
      <c r="F371" s="360"/>
      <c r="G371" s="360"/>
      <c r="H371" s="360"/>
      <c r="I371" s="360"/>
      <c r="J371" s="360"/>
      <c r="K371" s="360"/>
      <c r="L371" s="360"/>
      <c r="M371" s="360"/>
      <c r="N371" s="360"/>
      <c r="O371" s="360"/>
      <c r="P371" s="360"/>
      <c r="Q371" s="360"/>
      <c r="R371" s="360"/>
      <c r="S371" s="360"/>
      <c r="T371" s="360"/>
      <c r="U371" s="360"/>
    </row>
    <row r="372" spans="1:21" ht="15.75" customHeight="1">
      <c r="A372" s="360" t="s">
        <v>27</v>
      </c>
      <c r="B372" s="362" t="s">
        <v>28</v>
      </c>
      <c r="C372" s="360" t="s">
        <v>29</v>
      </c>
      <c r="D372" s="360"/>
      <c r="E372" s="360"/>
      <c r="F372" s="360"/>
      <c r="G372" s="360"/>
      <c r="H372" s="360">
        <v>80</v>
      </c>
      <c r="I372" s="360"/>
      <c r="J372" s="360"/>
      <c r="K372" s="360"/>
      <c r="L372" s="360"/>
      <c r="M372" s="360"/>
      <c r="N372" s="360"/>
      <c r="O372" s="360"/>
      <c r="P372" s="360"/>
      <c r="Q372" s="360"/>
      <c r="R372" s="360"/>
      <c r="S372" s="360"/>
      <c r="T372" s="360"/>
      <c r="U372" s="360"/>
    </row>
    <row r="373" spans="1:21" ht="15.75" customHeight="1">
      <c r="A373" s="360" t="s">
        <v>30</v>
      </c>
      <c r="B373" s="362" t="s">
        <v>31</v>
      </c>
      <c r="C373" s="360" t="s">
        <v>32</v>
      </c>
      <c r="D373" s="360"/>
      <c r="E373" s="360"/>
      <c r="F373" s="360"/>
      <c r="G373" s="360"/>
      <c r="H373" s="360"/>
      <c r="I373" s="360"/>
      <c r="J373" s="360"/>
      <c r="K373" s="360"/>
      <c r="L373" s="360"/>
      <c r="M373" s="360"/>
      <c r="N373" s="360"/>
      <c r="O373" s="360"/>
      <c r="P373" s="360"/>
      <c r="Q373" s="360"/>
      <c r="R373" s="360"/>
      <c r="S373" s="360"/>
      <c r="T373" s="360"/>
      <c r="U373" s="360"/>
    </row>
    <row r="374" spans="1:21" ht="15.75" customHeight="1">
      <c r="A374" s="360" t="s">
        <v>33</v>
      </c>
      <c r="B374" s="362" t="s">
        <v>34</v>
      </c>
      <c r="C374" s="360" t="s">
        <v>35</v>
      </c>
      <c r="D374" s="360"/>
      <c r="E374" s="360"/>
      <c r="F374" s="360"/>
      <c r="G374" s="360"/>
      <c r="H374" s="360"/>
      <c r="I374" s="360"/>
      <c r="J374" s="360"/>
      <c r="K374" s="360"/>
      <c r="L374" s="360"/>
      <c r="M374" s="360"/>
      <c r="N374" s="360"/>
      <c r="O374" s="360"/>
      <c r="P374" s="360"/>
      <c r="Q374" s="360"/>
      <c r="R374" s="360"/>
      <c r="S374" s="360"/>
      <c r="T374" s="360"/>
      <c r="U374" s="360"/>
    </row>
    <row r="375" spans="1:21" ht="15.75" customHeight="1">
      <c r="A375" s="360" t="s">
        <v>36</v>
      </c>
      <c r="B375" s="362" t="s">
        <v>37</v>
      </c>
      <c r="C375" s="360" t="s">
        <v>38</v>
      </c>
      <c r="D375" s="360">
        <v>2.5</v>
      </c>
      <c r="E375" s="360"/>
      <c r="F375" s="360"/>
      <c r="G375" s="360"/>
      <c r="H375" s="360"/>
      <c r="I375" s="360"/>
      <c r="J375" s="360"/>
      <c r="K375" s="360"/>
      <c r="L375" s="360"/>
      <c r="M375" s="360"/>
      <c r="N375" s="360"/>
      <c r="O375" s="360"/>
      <c r="P375" s="360"/>
      <c r="Q375" s="360"/>
      <c r="R375" s="360"/>
      <c r="S375" s="360"/>
      <c r="T375" s="360"/>
      <c r="U375" s="360"/>
    </row>
    <row r="376" spans="1:21" ht="15.75" customHeight="1">
      <c r="A376" s="360" t="s">
        <v>39</v>
      </c>
      <c r="B376" s="362" t="s">
        <v>40</v>
      </c>
      <c r="C376" s="360" t="s">
        <v>41</v>
      </c>
      <c r="D376" s="360"/>
      <c r="E376" s="360"/>
      <c r="F376" s="360"/>
      <c r="G376" s="360"/>
      <c r="H376" s="360"/>
      <c r="I376" s="360"/>
      <c r="J376" s="360"/>
      <c r="K376" s="360"/>
      <c r="L376" s="360"/>
      <c r="M376" s="360"/>
      <c r="N376" s="360"/>
      <c r="O376" s="360"/>
      <c r="P376" s="360"/>
      <c r="Q376" s="360"/>
      <c r="R376" s="360"/>
      <c r="S376" s="360"/>
      <c r="T376" s="360"/>
      <c r="U376" s="360"/>
    </row>
    <row r="377" spans="1:21" ht="15.75" customHeight="1">
      <c r="A377" s="360">
        <v>2</v>
      </c>
      <c r="B377" s="362" t="s">
        <v>43</v>
      </c>
      <c r="C377" s="360" t="s">
        <v>44</v>
      </c>
      <c r="D377" s="360"/>
      <c r="E377" s="360"/>
      <c r="F377" s="360"/>
      <c r="G377" s="360"/>
      <c r="H377" s="360"/>
      <c r="I377" s="360"/>
      <c r="J377" s="360"/>
      <c r="K377" s="360"/>
      <c r="L377" s="360"/>
      <c r="M377" s="360"/>
      <c r="N377" s="360"/>
      <c r="O377" s="360"/>
      <c r="P377" s="360"/>
      <c r="Q377" s="360"/>
      <c r="R377" s="360"/>
      <c r="S377" s="360"/>
      <c r="T377" s="360"/>
      <c r="U377" s="360"/>
    </row>
    <row r="378" spans="1:21" ht="15.75" customHeight="1">
      <c r="A378" s="360">
        <v>2</v>
      </c>
      <c r="B378" s="362" t="s">
        <v>45</v>
      </c>
      <c r="C378" s="360" t="s">
        <v>46</v>
      </c>
      <c r="D378" s="360">
        <f>SUM(D379:D404)</f>
        <v>4.7</v>
      </c>
      <c r="E378" s="360">
        <f t="shared" ref="E378:U378" si="45">SUM(E379:E404)</f>
        <v>0</v>
      </c>
      <c r="F378" s="360">
        <f t="shared" si="45"/>
        <v>0</v>
      </c>
      <c r="G378" s="360">
        <f t="shared" si="45"/>
        <v>0</v>
      </c>
      <c r="H378" s="360">
        <f t="shared" si="45"/>
        <v>0</v>
      </c>
      <c r="I378" s="360">
        <f t="shared" si="45"/>
        <v>0</v>
      </c>
      <c r="J378" s="360">
        <f t="shared" si="45"/>
        <v>0</v>
      </c>
      <c r="K378" s="360">
        <f t="shared" si="45"/>
        <v>0</v>
      </c>
      <c r="L378" s="360">
        <f t="shared" si="45"/>
        <v>0</v>
      </c>
      <c r="M378" s="360">
        <f t="shared" si="45"/>
        <v>0</v>
      </c>
      <c r="N378" s="360">
        <f t="shared" si="45"/>
        <v>0</v>
      </c>
      <c r="O378" s="360">
        <f t="shared" si="45"/>
        <v>0</v>
      </c>
      <c r="P378" s="360">
        <f t="shared" si="45"/>
        <v>0</v>
      </c>
      <c r="Q378" s="360">
        <f t="shared" si="45"/>
        <v>0</v>
      </c>
      <c r="R378" s="360">
        <f t="shared" si="45"/>
        <v>0</v>
      </c>
      <c r="S378" s="360">
        <f t="shared" si="45"/>
        <v>0</v>
      </c>
      <c r="T378" s="360">
        <f t="shared" si="45"/>
        <v>0</v>
      </c>
      <c r="U378" s="360">
        <f t="shared" si="45"/>
        <v>0</v>
      </c>
    </row>
    <row r="379" spans="1:21" ht="15.75" customHeight="1">
      <c r="A379" s="360" t="s">
        <v>47</v>
      </c>
      <c r="B379" s="362" t="s">
        <v>48</v>
      </c>
      <c r="C379" s="360" t="s">
        <v>49</v>
      </c>
      <c r="D379" s="360"/>
      <c r="E379" s="360"/>
      <c r="F379" s="360"/>
      <c r="G379" s="360"/>
      <c r="H379" s="360"/>
      <c r="I379" s="360"/>
      <c r="J379" s="360"/>
      <c r="K379" s="360"/>
      <c r="L379" s="360"/>
      <c r="M379" s="360"/>
      <c r="N379" s="360"/>
      <c r="O379" s="360"/>
      <c r="P379" s="360"/>
      <c r="Q379" s="360"/>
      <c r="R379" s="360"/>
      <c r="S379" s="360"/>
      <c r="T379" s="360"/>
      <c r="U379" s="360"/>
    </row>
    <row r="380" spans="1:21" ht="15.75" customHeight="1">
      <c r="A380" s="360" t="s">
        <v>50</v>
      </c>
      <c r="B380" s="362" t="s">
        <v>51</v>
      </c>
      <c r="C380" s="360" t="s">
        <v>52</v>
      </c>
      <c r="D380" s="360"/>
      <c r="E380" s="360"/>
      <c r="F380" s="360"/>
      <c r="G380" s="360"/>
      <c r="H380" s="360"/>
      <c r="I380" s="360"/>
      <c r="J380" s="360"/>
      <c r="K380" s="360"/>
      <c r="L380" s="360"/>
      <c r="M380" s="360"/>
      <c r="N380" s="360"/>
      <c r="O380" s="360"/>
      <c r="P380" s="360"/>
      <c r="Q380" s="360"/>
      <c r="R380" s="360"/>
      <c r="S380" s="360"/>
      <c r="T380" s="360"/>
      <c r="U380" s="360"/>
    </row>
    <row r="381" spans="1:21" ht="15.75" customHeight="1">
      <c r="A381" s="360" t="s">
        <v>53</v>
      </c>
      <c r="B381" s="362" t="s">
        <v>54</v>
      </c>
      <c r="C381" s="360" t="s">
        <v>55</v>
      </c>
      <c r="D381" s="360"/>
      <c r="E381" s="360"/>
      <c r="F381" s="360"/>
      <c r="G381" s="360"/>
      <c r="H381" s="360"/>
      <c r="I381" s="360"/>
      <c r="J381" s="360"/>
      <c r="K381" s="360"/>
      <c r="L381" s="360"/>
      <c r="M381" s="360"/>
      <c r="N381" s="360"/>
      <c r="O381" s="360"/>
      <c r="P381" s="360"/>
      <c r="Q381" s="360"/>
      <c r="R381" s="360"/>
      <c r="S381" s="360"/>
      <c r="T381" s="360"/>
      <c r="U381" s="360"/>
    </row>
    <row r="382" spans="1:21" ht="15.75" customHeight="1">
      <c r="A382" s="360" t="s">
        <v>56</v>
      </c>
      <c r="B382" s="362" t="s">
        <v>57</v>
      </c>
      <c r="C382" s="360" t="s">
        <v>58</v>
      </c>
      <c r="D382" s="360"/>
      <c r="E382" s="360"/>
      <c r="F382" s="360"/>
      <c r="G382" s="360"/>
      <c r="H382" s="360"/>
      <c r="I382" s="360"/>
      <c r="J382" s="360"/>
      <c r="K382" s="360"/>
      <c r="L382" s="360"/>
      <c r="M382" s="360"/>
      <c r="N382" s="360"/>
      <c r="O382" s="360"/>
      <c r="P382" s="360"/>
      <c r="Q382" s="360"/>
      <c r="R382" s="360"/>
      <c r="S382" s="360"/>
      <c r="T382" s="360"/>
      <c r="U382" s="360"/>
    </row>
    <row r="383" spans="1:21" ht="15.75" customHeight="1">
      <c r="A383" s="360" t="s">
        <v>59</v>
      </c>
      <c r="B383" s="362" t="s">
        <v>60</v>
      </c>
      <c r="C383" s="360" t="s">
        <v>61</v>
      </c>
      <c r="D383" s="360"/>
      <c r="E383" s="360"/>
      <c r="F383" s="360"/>
      <c r="G383" s="360"/>
      <c r="H383" s="360"/>
      <c r="I383" s="360"/>
      <c r="J383" s="360"/>
      <c r="K383" s="360"/>
      <c r="L383" s="360"/>
      <c r="M383" s="360"/>
      <c r="N383" s="360"/>
      <c r="O383" s="360"/>
      <c r="P383" s="360"/>
      <c r="Q383" s="360"/>
      <c r="R383" s="360"/>
      <c r="S383" s="360"/>
      <c r="T383" s="360"/>
      <c r="U383" s="360"/>
    </row>
    <row r="384" spans="1:21" ht="15.75" customHeight="1">
      <c r="A384" s="360" t="s">
        <v>62</v>
      </c>
      <c r="B384" s="362" t="s">
        <v>63</v>
      </c>
      <c r="C384" s="360" t="s">
        <v>64</v>
      </c>
      <c r="D384" s="360"/>
      <c r="E384" s="360"/>
      <c r="F384" s="360"/>
      <c r="G384" s="360"/>
      <c r="H384" s="360"/>
      <c r="I384" s="360"/>
      <c r="J384" s="360"/>
      <c r="K384" s="360"/>
      <c r="L384" s="360"/>
      <c r="M384" s="360"/>
      <c r="N384" s="360"/>
      <c r="O384" s="360"/>
      <c r="P384" s="360"/>
      <c r="Q384" s="360"/>
      <c r="R384" s="360"/>
      <c r="S384" s="360"/>
      <c r="T384" s="360"/>
      <c r="U384" s="360"/>
    </row>
    <row r="385" spans="1:21" ht="15.75" customHeight="1">
      <c r="A385" s="360" t="s">
        <v>65</v>
      </c>
      <c r="B385" s="362" t="s">
        <v>66</v>
      </c>
      <c r="C385" s="360" t="s">
        <v>67</v>
      </c>
      <c r="D385" s="360"/>
      <c r="E385" s="360"/>
      <c r="F385" s="360"/>
      <c r="G385" s="360"/>
      <c r="H385" s="360"/>
      <c r="I385" s="360"/>
      <c r="J385" s="360"/>
      <c r="K385" s="360"/>
      <c r="L385" s="360"/>
      <c r="M385" s="360"/>
      <c r="N385" s="360"/>
      <c r="O385" s="360"/>
      <c r="P385" s="360"/>
      <c r="Q385" s="360"/>
      <c r="R385" s="360"/>
      <c r="S385" s="360"/>
      <c r="T385" s="360"/>
      <c r="U385" s="360"/>
    </row>
    <row r="386" spans="1:21" ht="15.75" customHeight="1">
      <c r="A386" s="360" t="s">
        <v>68</v>
      </c>
      <c r="B386" s="362" t="s">
        <v>69</v>
      </c>
      <c r="C386" s="360" t="s">
        <v>70</v>
      </c>
      <c r="D386" s="360"/>
      <c r="E386" s="360"/>
      <c r="F386" s="360"/>
      <c r="G386" s="360"/>
      <c r="H386" s="360"/>
      <c r="I386" s="360"/>
      <c r="J386" s="360"/>
      <c r="K386" s="360"/>
      <c r="L386" s="360"/>
      <c r="M386" s="360"/>
      <c r="N386" s="360"/>
      <c r="O386" s="360"/>
      <c r="P386" s="360"/>
      <c r="Q386" s="360"/>
      <c r="R386" s="360"/>
      <c r="S386" s="360"/>
      <c r="T386" s="360"/>
      <c r="U386" s="360"/>
    </row>
    <row r="387" spans="1:21" ht="15.75" customHeight="1">
      <c r="A387" s="360" t="s">
        <v>71</v>
      </c>
      <c r="B387" s="362" t="s">
        <v>135</v>
      </c>
      <c r="C387" s="360" t="s">
        <v>72</v>
      </c>
      <c r="D387" s="360">
        <v>3.5</v>
      </c>
      <c r="E387" s="360"/>
      <c r="F387" s="360"/>
      <c r="G387" s="360"/>
      <c r="H387" s="360"/>
      <c r="I387" s="360"/>
      <c r="J387" s="360"/>
      <c r="K387" s="360"/>
      <c r="L387" s="360"/>
      <c r="M387" s="360"/>
      <c r="N387" s="360"/>
      <c r="O387" s="360"/>
      <c r="P387" s="360"/>
      <c r="Q387" s="360"/>
      <c r="R387" s="360"/>
      <c r="S387" s="360"/>
      <c r="T387" s="360"/>
      <c r="U387" s="360"/>
    </row>
    <row r="388" spans="1:21" ht="15.75" customHeight="1">
      <c r="A388" s="360" t="s">
        <v>73</v>
      </c>
      <c r="B388" s="362" t="s">
        <v>74</v>
      </c>
      <c r="C388" s="360" t="s">
        <v>75</v>
      </c>
      <c r="D388" s="360"/>
      <c r="E388" s="360"/>
      <c r="F388" s="360"/>
      <c r="G388" s="360"/>
      <c r="H388" s="360"/>
      <c r="I388" s="360"/>
      <c r="J388" s="360"/>
      <c r="K388" s="360"/>
      <c r="L388" s="360"/>
      <c r="M388" s="360"/>
      <c r="N388" s="360"/>
      <c r="O388" s="360"/>
      <c r="P388" s="360"/>
      <c r="Q388" s="360"/>
      <c r="R388" s="360"/>
      <c r="S388" s="360"/>
      <c r="T388" s="360"/>
      <c r="U388" s="360"/>
    </row>
    <row r="389" spans="1:21" ht="15.75" customHeight="1">
      <c r="A389" s="360" t="s">
        <v>76</v>
      </c>
      <c r="B389" s="362" t="s">
        <v>77</v>
      </c>
      <c r="C389" s="360" t="s">
        <v>78</v>
      </c>
      <c r="D389" s="360"/>
      <c r="E389" s="360"/>
      <c r="F389" s="360"/>
      <c r="G389" s="360"/>
      <c r="H389" s="360"/>
      <c r="I389" s="360"/>
      <c r="J389" s="360"/>
      <c r="K389" s="360"/>
      <c r="L389" s="360"/>
      <c r="M389" s="360"/>
      <c r="N389" s="360"/>
      <c r="O389" s="360"/>
      <c r="P389" s="360"/>
      <c r="Q389" s="360"/>
      <c r="R389" s="360"/>
      <c r="S389" s="360"/>
      <c r="T389" s="360"/>
      <c r="U389" s="360"/>
    </row>
    <row r="390" spans="1:21" ht="15.75" customHeight="1">
      <c r="A390" s="360" t="s">
        <v>79</v>
      </c>
      <c r="B390" s="362" t="s">
        <v>80</v>
      </c>
      <c r="C390" s="360" t="s">
        <v>81</v>
      </c>
      <c r="D390" s="360"/>
      <c r="E390" s="360"/>
      <c r="F390" s="360"/>
      <c r="G390" s="360"/>
      <c r="H390" s="360"/>
      <c r="I390" s="360"/>
      <c r="J390" s="360"/>
      <c r="K390" s="360"/>
      <c r="L390" s="360"/>
      <c r="M390" s="360"/>
      <c r="N390" s="360"/>
      <c r="O390" s="360"/>
      <c r="P390" s="360"/>
      <c r="Q390" s="360"/>
      <c r="R390" s="360"/>
      <c r="S390" s="360"/>
      <c r="T390" s="360"/>
      <c r="U390" s="360"/>
    </row>
    <row r="391" spans="1:21" ht="15.75" customHeight="1">
      <c r="A391" s="360" t="s">
        <v>82</v>
      </c>
      <c r="B391" s="362" t="s">
        <v>83</v>
      </c>
      <c r="C391" s="360" t="s">
        <v>84</v>
      </c>
      <c r="D391" s="360"/>
      <c r="E391" s="360"/>
      <c r="F391" s="360"/>
      <c r="G391" s="360"/>
      <c r="H391" s="360"/>
      <c r="I391" s="360"/>
      <c r="J391" s="360"/>
      <c r="K391" s="360"/>
      <c r="L391" s="360"/>
      <c r="M391" s="360"/>
      <c r="N391" s="360"/>
      <c r="O391" s="360"/>
      <c r="P391" s="360"/>
      <c r="Q391" s="360"/>
      <c r="R391" s="360"/>
      <c r="S391" s="360"/>
      <c r="T391" s="360"/>
      <c r="U391" s="360"/>
    </row>
    <row r="392" spans="1:21" ht="15.75" customHeight="1">
      <c r="A392" s="360" t="s">
        <v>85</v>
      </c>
      <c r="B392" s="362" t="s">
        <v>86</v>
      </c>
      <c r="C392" s="360" t="s">
        <v>87</v>
      </c>
      <c r="D392" s="360"/>
      <c r="E392" s="360"/>
      <c r="F392" s="360"/>
      <c r="G392" s="360"/>
      <c r="H392" s="360"/>
      <c r="I392" s="360"/>
      <c r="J392" s="360"/>
      <c r="K392" s="360"/>
      <c r="L392" s="360"/>
      <c r="M392" s="360"/>
      <c r="N392" s="360"/>
      <c r="O392" s="360"/>
      <c r="P392" s="360"/>
      <c r="Q392" s="360"/>
      <c r="R392" s="360"/>
      <c r="S392" s="360"/>
      <c r="T392" s="360"/>
      <c r="U392" s="360"/>
    </row>
    <row r="393" spans="1:21" ht="15.75" customHeight="1">
      <c r="A393" s="360" t="s">
        <v>88</v>
      </c>
      <c r="B393" s="362" t="s">
        <v>89</v>
      </c>
      <c r="C393" s="360" t="s">
        <v>90</v>
      </c>
      <c r="D393" s="360"/>
      <c r="E393" s="360"/>
      <c r="F393" s="360"/>
      <c r="G393" s="360"/>
      <c r="H393" s="360"/>
      <c r="I393" s="360"/>
      <c r="J393" s="360"/>
      <c r="K393" s="360"/>
      <c r="L393" s="360"/>
      <c r="M393" s="360"/>
      <c r="N393" s="360"/>
      <c r="O393" s="360"/>
      <c r="P393" s="360"/>
      <c r="Q393" s="360"/>
      <c r="R393" s="360"/>
      <c r="S393" s="360"/>
      <c r="T393" s="360"/>
      <c r="U393" s="360"/>
    </row>
    <row r="394" spans="1:21" ht="15.75" customHeight="1">
      <c r="A394" s="360" t="s">
        <v>91</v>
      </c>
      <c r="B394" s="362" t="s">
        <v>92</v>
      </c>
      <c r="C394" s="360" t="s">
        <v>93</v>
      </c>
      <c r="D394" s="360"/>
      <c r="E394" s="360"/>
      <c r="F394" s="360"/>
      <c r="G394" s="360"/>
      <c r="H394" s="360"/>
      <c r="I394" s="360"/>
      <c r="J394" s="360"/>
      <c r="K394" s="360"/>
      <c r="L394" s="360"/>
      <c r="M394" s="360"/>
      <c r="N394" s="360"/>
      <c r="O394" s="360"/>
      <c r="P394" s="360"/>
      <c r="Q394" s="360"/>
      <c r="R394" s="360"/>
      <c r="S394" s="360"/>
      <c r="T394" s="360"/>
      <c r="U394" s="360"/>
    </row>
    <row r="395" spans="1:21" ht="15.75" customHeight="1">
      <c r="A395" s="360" t="s">
        <v>94</v>
      </c>
      <c r="B395" s="362" t="s">
        <v>95</v>
      </c>
      <c r="C395" s="360" t="s">
        <v>96</v>
      </c>
      <c r="D395" s="360"/>
      <c r="E395" s="360"/>
      <c r="F395" s="360"/>
      <c r="G395" s="360"/>
      <c r="H395" s="360"/>
      <c r="I395" s="360"/>
      <c r="J395" s="360"/>
      <c r="K395" s="360"/>
      <c r="L395" s="360"/>
      <c r="M395" s="360"/>
      <c r="N395" s="360"/>
      <c r="O395" s="360"/>
      <c r="P395" s="360"/>
      <c r="Q395" s="360"/>
      <c r="R395" s="360"/>
      <c r="S395" s="360"/>
      <c r="T395" s="360"/>
      <c r="U395" s="360"/>
    </row>
    <row r="396" spans="1:21" ht="15.75" customHeight="1">
      <c r="A396" s="360" t="s">
        <v>97</v>
      </c>
      <c r="B396" s="362" t="s">
        <v>98</v>
      </c>
      <c r="C396" s="360" t="s">
        <v>99</v>
      </c>
      <c r="D396" s="360"/>
      <c r="E396" s="360"/>
      <c r="F396" s="360"/>
      <c r="G396" s="360"/>
      <c r="H396" s="360"/>
      <c r="I396" s="360"/>
      <c r="J396" s="360"/>
      <c r="K396" s="360"/>
      <c r="L396" s="360"/>
      <c r="M396" s="360"/>
      <c r="N396" s="360"/>
      <c r="O396" s="360"/>
      <c r="P396" s="360"/>
      <c r="Q396" s="360"/>
      <c r="R396" s="360"/>
      <c r="S396" s="360"/>
      <c r="T396" s="360"/>
      <c r="U396" s="360"/>
    </row>
    <row r="397" spans="1:21" ht="15.75" customHeight="1">
      <c r="A397" s="360" t="s">
        <v>100</v>
      </c>
      <c r="B397" s="362" t="s">
        <v>134</v>
      </c>
      <c r="C397" s="360" t="s">
        <v>101</v>
      </c>
      <c r="D397" s="360"/>
      <c r="E397" s="360"/>
      <c r="F397" s="360"/>
      <c r="G397" s="360"/>
      <c r="H397" s="360"/>
      <c r="I397" s="360"/>
      <c r="J397" s="360"/>
      <c r="K397" s="360"/>
      <c r="L397" s="360"/>
      <c r="M397" s="360"/>
      <c r="N397" s="360"/>
      <c r="O397" s="360"/>
      <c r="P397" s="360"/>
      <c r="Q397" s="360"/>
      <c r="R397" s="360"/>
      <c r="S397" s="360"/>
      <c r="T397" s="360"/>
      <c r="U397" s="360"/>
    </row>
    <row r="398" spans="1:21" ht="15.75" customHeight="1">
      <c r="A398" s="360" t="s">
        <v>102</v>
      </c>
      <c r="B398" s="362" t="s">
        <v>103</v>
      </c>
      <c r="C398" s="360" t="s">
        <v>104</v>
      </c>
      <c r="D398" s="360"/>
      <c r="E398" s="360"/>
      <c r="F398" s="360"/>
      <c r="G398" s="360"/>
      <c r="H398" s="360"/>
      <c r="I398" s="360"/>
      <c r="J398" s="360"/>
      <c r="K398" s="360"/>
      <c r="L398" s="360"/>
      <c r="M398" s="360"/>
      <c r="N398" s="360"/>
      <c r="O398" s="360"/>
      <c r="P398" s="360"/>
      <c r="Q398" s="360"/>
      <c r="R398" s="360"/>
      <c r="S398" s="360"/>
      <c r="T398" s="360"/>
      <c r="U398" s="360"/>
    </row>
    <row r="399" spans="1:21" ht="15.75" customHeight="1">
      <c r="A399" s="360" t="s">
        <v>105</v>
      </c>
      <c r="B399" s="362" t="s">
        <v>106</v>
      </c>
      <c r="C399" s="360" t="s">
        <v>107</v>
      </c>
      <c r="D399" s="360"/>
      <c r="E399" s="360"/>
      <c r="F399" s="360"/>
      <c r="G399" s="360"/>
      <c r="H399" s="360"/>
      <c r="I399" s="360"/>
      <c r="J399" s="360"/>
      <c r="K399" s="360"/>
      <c r="L399" s="360"/>
      <c r="M399" s="360"/>
      <c r="N399" s="360"/>
      <c r="O399" s="360"/>
      <c r="P399" s="360"/>
      <c r="Q399" s="360"/>
      <c r="R399" s="360"/>
      <c r="S399" s="360"/>
      <c r="T399" s="360"/>
      <c r="U399" s="360"/>
    </row>
    <row r="400" spans="1:21" ht="15.75" customHeight="1">
      <c r="A400" s="360" t="s">
        <v>108</v>
      </c>
      <c r="B400" s="362" t="s">
        <v>109</v>
      </c>
      <c r="C400" s="360" t="s">
        <v>110</v>
      </c>
      <c r="D400" s="360"/>
      <c r="E400" s="360"/>
      <c r="F400" s="360"/>
      <c r="G400" s="360"/>
      <c r="H400" s="360"/>
      <c r="I400" s="360"/>
      <c r="J400" s="360"/>
      <c r="K400" s="360"/>
      <c r="L400" s="360"/>
      <c r="M400" s="360"/>
      <c r="N400" s="360"/>
      <c r="O400" s="360"/>
      <c r="P400" s="360"/>
      <c r="Q400" s="360"/>
      <c r="R400" s="360"/>
      <c r="S400" s="360"/>
      <c r="T400" s="360"/>
      <c r="U400" s="360"/>
    </row>
    <row r="401" spans="1:21" ht="15.75" customHeight="1">
      <c r="A401" s="360" t="s">
        <v>111</v>
      </c>
      <c r="B401" s="362" t="s">
        <v>112</v>
      </c>
      <c r="C401" s="360" t="s">
        <v>113</v>
      </c>
      <c r="D401" s="360"/>
      <c r="E401" s="360"/>
      <c r="F401" s="360"/>
      <c r="G401" s="360"/>
      <c r="H401" s="360"/>
      <c r="I401" s="360"/>
      <c r="J401" s="360"/>
      <c r="K401" s="360"/>
      <c r="L401" s="360"/>
      <c r="M401" s="360"/>
      <c r="N401" s="360"/>
      <c r="O401" s="360"/>
      <c r="P401" s="360"/>
      <c r="Q401" s="360"/>
      <c r="R401" s="360"/>
      <c r="S401" s="360"/>
      <c r="T401" s="360"/>
      <c r="U401" s="360"/>
    </row>
    <row r="402" spans="1:21" ht="15.75" customHeight="1">
      <c r="A402" s="360" t="s">
        <v>114</v>
      </c>
      <c r="B402" s="362" t="s">
        <v>115</v>
      </c>
      <c r="C402" s="360" t="s">
        <v>116</v>
      </c>
      <c r="D402" s="360">
        <v>1.2</v>
      </c>
      <c r="E402" s="360"/>
      <c r="F402" s="360"/>
      <c r="G402" s="360"/>
      <c r="H402" s="360"/>
      <c r="I402" s="360"/>
      <c r="J402" s="360"/>
      <c r="K402" s="360"/>
      <c r="L402" s="360"/>
      <c r="M402" s="360"/>
      <c r="N402" s="360"/>
      <c r="O402" s="360"/>
      <c r="P402" s="360"/>
      <c r="Q402" s="360"/>
      <c r="R402" s="360"/>
      <c r="S402" s="360"/>
      <c r="T402" s="360"/>
      <c r="U402" s="360"/>
    </row>
    <row r="403" spans="1:21" ht="15.75" customHeight="1">
      <c r="A403" s="360" t="s">
        <v>117</v>
      </c>
      <c r="B403" s="362" t="s">
        <v>118</v>
      </c>
      <c r="C403" s="360" t="s">
        <v>119</v>
      </c>
      <c r="D403" s="360"/>
      <c r="E403" s="360"/>
      <c r="F403" s="360"/>
      <c r="G403" s="360"/>
      <c r="H403" s="360"/>
      <c r="I403" s="360"/>
      <c r="J403" s="360"/>
      <c r="K403" s="360"/>
      <c r="L403" s="360"/>
      <c r="M403" s="360"/>
      <c r="N403" s="360"/>
      <c r="O403" s="360"/>
      <c r="P403" s="360"/>
      <c r="Q403" s="360"/>
      <c r="R403" s="360"/>
      <c r="S403" s="360"/>
      <c r="T403" s="360"/>
      <c r="U403" s="360"/>
    </row>
    <row r="404" spans="1:21" ht="15.75" customHeight="1">
      <c r="A404" s="360" t="s">
        <v>120</v>
      </c>
      <c r="B404" s="362" t="s">
        <v>121</v>
      </c>
      <c r="C404" s="360" t="s">
        <v>122</v>
      </c>
      <c r="D404" s="360"/>
      <c r="E404" s="360"/>
      <c r="F404" s="360"/>
      <c r="G404" s="360"/>
      <c r="H404" s="360"/>
      <c r="I404" s="360"/>
      <c r="J404" s="360"/>
      <c r="K404" s="360"/>
      <c r="L404" s="360"/>
      <c r="M404" s="360"/>
      <c r="N404" s="360"/>
      <c r="O404" s="360"/>
      <c r="P404" s="360"/>
      <c r="Q404" s="360"/>
      <c r="R404" s="360"/>
      <c r="S404" s="360"/>
      <c r="T404" s="360"/>
      <c r="U404" s="360"/>
    </row>
    <row r="405" spans="1:21" ht="15.75" customHeight="1">
      <c r="A405" s="360">
        <v>3</v>
      </c>
      <c r="B405" s="362" t="s">
        <v>123</v>
      </c>
      <c r="C405" s="360" t="s">
        <v>124</v>
      </c>
      <c r="D405" s="360"/>
      <c r="E405" s="360"/>
      <c r="F405" s="360"/>
      <c r="G405" s="360"/>
      <c r="H405" s="360"/>
      <c r="I405" s="360"/>
      <c r="J405" s="360"/>
      <c r="K405" s="360"/>
      <c r="L405" s="360"/>
      <c r="M405" s="360"/>
      <c r="N405" s="360"/>
      <c r="O405" s="360"/>
      <c r="P405" s="360"/>
      <c r="Q405" s="360"/>
      <c r="R405" s="360"/>
      <c r="S405" s="360"/>
      <c r="T405" s="360"/>
      <c r="U405" s="360"/>
    </row>
    <row r="406" spans="1:21" ht="15.75" customHeight="1">
      <c r="A406" s="1355" t="s">
        <v>354</v>
      </c>
      <c r="B406" s="1355"/>
      <c r="C406" s="372"/>
      <c r="D406" s="372"/>
      <c r="E406" s="372"/>
      <c r="F406" s="372"/>
      <c r="G406" s="372"/>
      <c r="H406" s="372"/>
      <c r="I406" s="372"/>
      <c r="J406" s="372"/>
      <c r="K406" s="372"/>
      <c r="L406" s="372"/>
      <c r="M406" s="372"/>
      <c r="N406" s="372"/>
      <c r="O406" s="372"/>
      <c r="P406" s="372"/>
      <c r="Q406" s="372"/>
      <c r="R406" s="372"/>
      <c r="S406" s="372"/>
      <c r="T406" s="372"/>
      <c r="U406" s="372"/>
    </row>
    <row r="407" spans="1:21" ht="21.75" customHeight="1">
      <c r="A407" s="1354" t="s">
        <v>185</v>
      </c>
      <c r="B407" s="1354"/>
      <c r="C407" s="1354"/>
      <c r="D407" s="1354"/>
      <c r="E407" s="1354"/>
      <c r="F407" s="1354"/>
      <c r="G407" s="1354"/>
      <c r="H407" s="1354"/>
      <c r="I407" s="1354"/>
      <c r="J407" s="1354"/>
      <c r="K407" s="1354"/>
      <c r="L407" s="1354"/>
      <c r="M407" s="1354"/>
      <c r="N407" s="1354"/>
      <c r="O407" s="1354"/>
      <c r="P407" s="1354"/>
      <c r="Q407" s="1354"/>
      <c r="R407" s="1354"/>
      <c r="S407" s="1354"/>
      <c r="T407" s="1354"/>
      <c r="U407" s="1354"/>
    </row>
    <row r="408" spans="1:21" ht="21.75" customHeight="1">
      <c r="A408" s="1354" t="s">
        <v>322</v>
      </c>
      <c r="B408" s="1354"/>
      <c r="C408" s="1354"/>
      <c r="D408" s="1354"/>
      <c r="E408" s="1354"/>
      <c r="F408" s="1354"/>
      <c r="G408" s="1354"/>
      <c r="H408" s="1354"/>
      <c r="I408" s="1354"/>
      <c r="J408" s="1354"/>
      <c r="K408" s="1354"/>
      <c r="L408" s="1354"/>
      <c r="M408" s="1354"/>
      <c r="N408" s="1354"/>
      <c r="O408" s="1354"/>
      <c r="P408" s="1354"/>
      <c r="Q408" s="1354"/>
      <c r="R408" s="1354"/>
      <c r="S408" s="1354"/>
      <c r="T408" s="1354"/>
      <c r="U408" s="1354"/>
    </row>
    <row r="409" spans="1:21" ht="21.75" customHeight="1"/>
    <row r="410" spans="1:21" ht="21.75" customHeight="1">
      <c r="A410" s="1356" t="s">
        <v>0</v>
      </c>
      <c r="B410" s="1356" t="s">
        <v>186</v>
      </c>
      <c r="C410" s="1356" t="s">
        <v>13</v>
      </c>
      <c r="D410" s="1356" t="s">
        <v>139</v>
      </c>
      <c r="E410" s="1356"/>
      <c r="F410" s="1356" t="s">
        <v>140</v>
      </c>
      <c r="G410" s="1356"/>
      <c r="H410" s="1356" t="s">
        <v>141</v>
      </c>
      <c r="I410" s="1356"/>
      <c r="J410" s="1356" t="s">
        <v>142</v>
      </c>
      <c r="K410" s="1356"/>
      <c r="L410" s="1356" t="s">
        <v>143</v>
      </c>
      <c r="M410" s="1356"/>
      <c r="N410" s="1356" t="s">
        <v>144</v>
      </c>
      <c r="O410" s="1356"/>
      <c r="P410" s="1356" t="s">
        <v>188</v>
      </c>
      <c r="Q410" s="1356"/>
      <c r="R410" s="1356" t="s">
        <v>145</v>
      </c>
      <c r="S410" s="1356"/>
      <c r="T410" s="1356" t="s">
        <v>146</v>
      </c>
      <c r="U410" s="1356"/>
    </row>
    <row r="411" spans="1:21" ht="49.5" customHeight="1">
      <c r="A411" s="1356"/>
      <c r="B411" s="1356"/>
      <c r="C411" s="1356"/>
      <c r="D411" s="360" t="s">
        <v>137</v>
      </c>
      <c r="E411" s="360" t="s">
        <v>187</v>
      </c>
      <c r="F411" s="360" t="s">
        <v>137</v>
      </c>
      <c r="G411" s="360" t="s">
        <v>187</v>
      </c>
      <c r="H411" s="360" t="s">
        <v>137</v>
      </c>
      <c r="I411" s="360" t="s">
        <v>187</v>
      </c>
      <c r="J411" s="360" t="s">
        <v>137</v>
      </c>
      <c r="K411" s="360" t="s">
        <v>187</v>
      </c>
      <c r="L411" s="360" t="s">
        <v>137</v>
      </c>
      <c r="M411" s="360" t="s">
        <v>187</v>
      </c>
      <c r="N411" s="360" t="s">
        <v>137</v>
      </c>
      <c r="O411" s="360" t="s">
        <v>187</v>
      </c>
      <c r="P411" s="360" t="s">
        <v>137</v>
      </c>
      <c r="Q411" s="360" t="s">
        <v>187</v>
      </c>
      <c r="R411" s="360" t="s">
        <v>137</v>
      </c>
      <c r="S411" s="360" t="s">
        <v>187</v>
      </c>
      <c r="T411" s="360" t="s">
        <v>137</v>
      </c>
      <c r="U411" s="360" t="s">
        <v>187</v>
      </c>
    </row>
    <row r="412" spans="1:21" ht="33" customHeight="1">
      <c r="A412" s="360">
        <v>1</v>
      </c>
      <c r="B412" s="362" t="s">
        <v>14</v>
      </c>
      <c r="C412" s="360" t="s">
        <v>15</v>
      </c>
      <c r="D412" s="360">
        <f>D413+D415+D416+D417+D418+D419+D420+D421+D422</f>
        <v>251.5</v>
      </c>
      <c r="E412" s="360">
        <f t="shared" ref="E412:U412" si="46">E413+E415+E416+E417+E418+E419+E420+E421+E422</f>
        <v>0</v>
      </c>
      <c r="F412" s="360">
        <f t="shared" si="46"/>
        <v>0</v>
      </c>
      <c r="G412" s="360">
        <f t="shared" si="46"/>
        <v>0</v>
      </c>
      <c r="H412" s="360">
        <f t="shared" si="46"/>
        <v>520</v>
      </c>
      <c r="I412" s="360">
        <f t="shared" si="46"/>
        <v>0</v>
      </c>
      <c r="J412" s="360">
        <f t="shared" si="46"/>
        <v>0</v>
      </c>
      <c r="K412" s="360">
        <f t="shared" si="46"/>
        <v>0</v>
      </c>
      <c r="L412" s="360">
        <f t="shared" si="46"/>
        <v>0</v>
      </c>
      <c r="M412" s="360">
        <f t="shared" si="46"/>
        <v>0</v>
      </c>
      <c r="N412" s="360">
        <f t="shared" si="46"/>
        <v>0</v>
      </c>
      <c r="O412" s="360">
        <f t="shared" si="46"/>
        <v>0</v>
      </c>
      <c r="P412" s="360">
        <f t="shared" si="46"/>
        <v>0</v>
      </c>
      <c r="Q412" s="360">
        <f t="shared" si="46"/>
        <v>0</v>
      </c>
      <c r="R412" s="360">
        <f t="shared" si="46"/>
        <v>0</v>
      </c>
      <c r="S412" s="360">
        <f t="shared" si="46"/>
        <v>0</v>
      </c>
      <c r="T412" s="360">
        <f t="shared" si="46"/>
        <v>0</v>
      </c>
      <c r="U412" s="360">
        <f t="shared" si="46"/>
        <v>0</v>
      </c>
    </row>
    <row r="413" spans="1:21" ht="15.75" customHeight="1">
      <c r="A413" s="360" t="s">
        <v>16</v>
      </c>
      <c r="B413" s="362" t="s">
        <v>17</v>
      </c>
      <c r="C413" s="360" t="s">
        <v>18</v>
      </c>
      <c r="D413" s="360">
        <f t="shared" ref="D413:U413" si="47">D414</f>
        <v>250</v>
      </c>
      <c r="E413" s="360">
        <f t="shared" si="47"/>
        <v>0</v>
      </c>
      <c r="F413" s="360">
        <f t="shared" si="47"/>
        <v>0</v>
      </c>
      <c r="G413" s="360">
        <f t="shared" si="47"/>
        <v>0</v>
      </c>
      <c r="H413" s="360">
        <f t="shared" si="47"/>
        <v>0</v>
      </c>
      <c r="I413" s="360">
        <f t="shared" si="47"/>
        <v>0</v>
      </c>
      <c r="J413" s="360">
        <f t="shared" si="47"/>
        <v>0</v>
      </c>
      <c r="K413" s="360">
        <f t="shared" si="47"/>
        <v>0</v>
      </c>
      <c r="L413" s="360">
        <f t="shared" si="47"/>
        <v>0</v>
      </c>
      <c r="M413" s="360">
        <f t="shared" si="47"/>
        <v>0</v>
      </c>
      <c r="N413" s="360">
        <f t="shared" si="47"/>
        <v>0</v>
      </c>
      <c r="O413" s="360">
        <f t="shared" si="47"/>
        <v>0</v>
      </c>
      <c r="P413" s="360">
        <f t="shared" si="47"/>
        <v>0</v>
      </c>
      <c r="Q413" s="360">
        <f t="shared" si="47"/>
        <v>0</v>
      </c>
      <c r="R413" s="360">
        <f t="shared" si="47"/>
        <v>0</v>
      </c>
      <c r="S413" s="360">
        <f t="shared" si="47"/>
        <v>0</v>
      </c>
      <c r="T413" s="360">
        <f t="shared" si="47"/>
        <v>0</v>
      </c>
      <c r="U413" s="360">
        <f t="shared" si="47"/>
        <v>0</v>
      </c>
    </row>
    <row r="414" spans="1:21" ht="15.75" customHeight="1">
      <c r="A414" s="360"/>
      <c r="B414" s="362" t="s">
        <v>19</v>
      </c>
      <c r="C414" s="360" t="s">
        <v>20</v>
      </c>
      <c r="D414" s="360">
        <v>250</v>
      </c>
      <c r="E414" s="360"/>
      <c r="F414" s="360"/>
      <c r="G414" s="360"/>
      <c r="H414" s="360"/>
      <c r="I414" s="360"/>
      <c r="J414" s="360"/>
      <c r="K414" s="360"/>
      <c r="L414" s="360"/>
      <c r="M414" s="360"/>
      <c r="N414" s="360"/>
      <c r="O414" s="360"/>
      <c r="P414" s="360"/>
      <c r="Q414" s="360"/>
      <c r="R414" s="360"/>
      <c r="S414" s="360"/>
      <c r="T414" s="360"/>
      <c r="U414" s="360"/>
    </row>
    <row r="415" spans="1:21" ht="15.75" customHeight="1">
      <c r="A415" s="360" t="s">
        <v>21</v>
      </c>
      <c r="B415" s="362" t="s">
        <v>22</v>
      </c>
      <c r="C415" s="360" t="s">
        <v>23</v>
      </c>
      <c r="D415" s="360"/>
      <c r="E415" s="360"/>
      <c r="F415" s="360"/>
      <c r="G415" s="360"/>
      <c r="H415" s="360"/>
      <c r="I415" s="360"/>
      <c r="J415" s="360"/>
      <c r="K415" s="360"/>
      <c r="L415" s="360"/>
      <c r="M415" s="360"/>
      <c r="N415" s="360"/>
      <c r="O415" s="360"/>
      <c r="P415" s="360"/>
      <c r="Q415" s="360"/>
      <c r="R415" s="360"/>
      <c r="S415" s="360"/>
      <c r="T415" s="360"/>
      <c r="U415" s="360"/>
    </row>
    <row r="416" spans="1:21" ht="15.75" customHeight="1">
      <c r="A416" s="360" t="s">
        <v>24</v>
      </c>
      <c r="B416" s="362" t="s">
        <v>25</v>
      </c>
      <c r="C416" s="360" t="s">
        <v>26</v>
      </c>
      <c r="D416" s="360"/>
      <c r="E416" s="360"/>
      <c r="F416" s="360"/>
      <c r="G416" s="360"/>
      <c r="H416" s="360"/>
      <c r="I416" s="360"/>
      <c r="J416" s="360"/>
      <c r="K416" s="360"/>
      <c r="L416" s="360"/>
      <c r="M416" s="360"/>
      <c r="N416" s="360"/>
      <c r="O416" s="360"/>
      <c r="P416" s="360"/>
      <c r="Q416" s="360"/>
      <c r="R416" s="360"/>
      <c r="S416" s="360"/>
      <c r="T416" s="360"/>
      <c r="U416" s="360"/>
    </row>
    <row r="417" spans="1:21" ht="15.75" customHeight="1">
      <c r="A417" s="360" t="s">
        <v>27</v>
      </c>
      <c r="B417" s="362" t="s">
        <v>28</v>
      </c>
      <c r="C417" s="360" t="s">
        <v>29</v>
      </c>
      <c r="D417" s="360"/>
      <c r="E417" s="360"/>
      <c r="F417" s="360"/>
      <c r="G417" s="360"/>
      <c r="H417" s="360">
        <v>520</v>
      </c>
      <c r="I417" s="360"/>
      <c r="J417" s="360"/>
      <c r="K417" s="360"/>
      <c r="L417" s="360"/>
      <c r="M417" s="360"/>
      <c r="N417" s="360"/>
      <c r="O417" s="360"/>
      <c r="P417" s="360"/>
      <c r="Q417" s="360"/>
      <c r="R417" s="360"/>
      <c r="S417" s="360"/>
      <c r="T417" s="360"/>
      <c r="U417" s="360"/>
    </row>
    <row r="418" spans="1:21" ht="15.75" customHeight="1">
      <c r="A418" s="360" t="s">
        <v>30</v>
      </c>
      <c r="B418" s="362" t="s">
        <v>31</v>
      </c>
      <c r="C418" s="360" t="s">
        <v>32</v>
      </c>
      <c r="D418" s="360"/>
      <c r="E418" s="360"/>
      <c r="F418" s="360"/>
      <c r="G418" s="360"/>
      <c r="H418" s="360"/>
      <c r="I418" s="360"/>
      <c r="J418" s="360"/>
      <c r="K418" s="360"/>
      <c r="L418" s="360"/>
      <c r="M418" s="360"/>
      <c r="N418" s="360"/>
      <c r="O418" s="360"/>
      <c r="P418" s="360"/>
      <c r="Q418" s="360"/>
      <c r="R418" s="360"/>
      <c r="S418" s="360"/>
      <c r="T418" s="360"/>
      <c r="U418" s="360"/>
    </row>
    <row r="419" spans="1:21" ht="15.75" customHeight="1">
      <c r="A419" s="360" t="s">
        <v>33</v>
      </c>
      <c r="B419" s="362" t="s">
        <v>34</v>
      </c>
      <c r="C419" s="360" t="s">
        <v>35</v>
      </c>
      <c r="D419" s="360"/>
      <c r="E419" s="360"/>
      <c r="F419" s="360"/>
      <c r="G419" s="360"/>
      <c r="H419" s="360"/>
      <c r="I419" s="360"/>
      <c r="J419" s="360"/>
      <c r="K419" s="360"/>
      <c r="L419" s="360"/>
      <c r="M419" s="360"/>
      <c r="N419" s="360"/>
      <c r="O419" s="360"/>
      <c r="P419" s="360"/>
      <c r="Q419" s="360"/>
      <c r="R419" s="360"/>
      <c r="S419" s="360"/>
      <c r="T419" s="360"/>
      <c r="U419" s="360"/>
    </row>
    <row r="420" spans="1:21" ht="15.75" customHeight="1">
      <c r="A420" s="360" t="s">
        <v>36</v>
      </c>
      <c r="B420" s="362" t="s">
        <v>37</v>
      </c>
      <c r="C420" s="360" t="s">
        <v>38</v>
      </c>
      <c r="D420" s="360">
        <v>1.5</v>
      </c>
      <c r="E420" s="360"/>
      <c r="F420" s="360"/>
      <c r="G420" s="360"/>
      <c r="H420" s="360"/>
      <c r="I420" s="360"/>
      <c r="J420" s="360"/>
      <c r="K420" s="360"/>
      <c r="L420" s="360"/>
      <c r="M420" s="360"/>
      <c r="N420" s="360"/>
      <c r="O420" s="360"/>
      <c r="P420" s="360"/>
      <c r="Q420" s="360"/>
      <c r="R420" s="360"/>
      <c r="S420" s="360"/>
      <c r="T420" s="360"/>
      <c r="U420" s="360"/>
    </row>
    <row r="421" spans="1:21" ht="15.75" customHeight="1">
      <c r="A421" s="360" t="s">
        <v>39</v>
      </c>
      <c r="B421" s="362" t="s">
        <v>40</v>
      </c>
      <c r="C421" s="360" t="s">
        <v>41</v>
      </c>
      <c r="D421" s="360"/>
      <c r="E421" s="360"/>
      <c r="F421" s="360"/>
      <c r="G421" s="360"/>
      <c r="H421" s="360"/>
      <c r="I421" s="360"/>
      <c r="J421" s="360"/>
      <c r="K421" s="360"/>
      <c r="L421" s="360"/>
      <c r="M421" s="360"/>
      <c r="N421" s="360"/>
      <c r="O421" s="360"/>
      <c r="P421" s="360"/>
      <c r="Q421" s="360"/>
      <c r="R421" s="360"/>
      <c r="S421" s="360"/>
      <c r="T421" s="360"/>
      <c r="U421" s="360"/>
    </row>
    <row r="422" spans="1:21" ht="15.75" customHeight="1">
      <c r="A422" s="360">
        <v>2</v>
      </c>
      <c r="B422" s="362" t="s">
        <v>43</v>
      </c>
      <c r="C422" s="360" t="s">
        <v>44</v>
      </c>
      <c r="D422" s="360"/>
      <c r="E422" s="360"/>
      <c r="F422" s="360"/>
      <c r="G422" s="360"/>
      <c r="H422" s="360"/>
      <c r="I422" s="360"/>
      <c r="J422" s="360"/>
      <c r="K422" s="360"/>
      <c r="L422" s="360"/>
      <c r="M422" s="360"/>
      <c r="N422" s="360"/>
      <c r="O422" s="360"/>
      <c r="P422" s="360"/>
      <c r="Q422" s="360"/>
      <c r="R422" s="360"/>
      <c r="S422" s="360"/>
      <c r="T422" s="360"/>
      <c r="U422" s="360"/>
    </row>
    <row r="423" spans="1:21" ht="15.75" customHeight="1">
      <c r="A423" s="360">
        <v>2</v>
      </c>
      <c r="B423" s="362" t="s">
        <v>45</v>
      </c>
      <c r="C423" s="360" t="s">
        <v>46</v>
      </c>
      <c r="D423" s="360">
        <f>SUM(D424:D449)</f>
        <v>6</v>
      </c>
      <c r="E423" s="360">
        <f t="shared" ref="E423:U423" si="48">SUM(E424:E449)</f>
        <v>0</v>
      </c>
      <c r="F423" s="360">
        <f t="shared" si="48"/>
        <v>0</v>
      </c>
      <c r="G423" s="360">
        <f t="shared" si="48"/>
        <v>0</v>
      </c>
      <c r="H423" s="360">
        <f t="shared" si="48"/>
        <v>20</v>
      </c>
      <c r="I423" s="360">
        <f t="shared" si="48"/>
        <v>0</v>
      </c>
      <c r="J423" s="360">
        <f t="shared" si="48"/>
        <v>0</v>
      </c>
      <c r="K423" s="360">
        <f t="shared" si="48"/>
        <v>0</v>
      </c>
      <c r="L423" s="360">
        <f t="shared" si="48"/>
        <v>0</v>
      </c>
      <c r="M423" s="360">
        <f t="shared" si="48"/>
        <v>0</v>
      </c>
      <c r="N423" s="360">
        <f t="shared" si="48"/>
        <v>0</v>
      </c>
      <c r="O423" s="360">
        <f t="shared" si="48"/>
        <v>0</v>
      </c>
      <c r="P423" s="360">
        <f t="shared" si="48"/>
        <v>0</v>
      </c>
      <c r="Q423" s="360">
        <f t="shared" si="48"/>
        <v>0</v>
      </c>
      <c r="R423" s="360">
        <f t="shared" si="48"/>
        <v>0</v>
      </c>
      <c r="S423" s="360">
        <f t="shared" si="48"/>
        <v>0</v>
      </c>
      <c r="T423" s="360">
        <f t="shared" si="48"/>
        <v>0</v>
      </c>
      <c r="U423" s="360">
        <f t="shared" si="48"/>
        <v>0</v>
      </c>
    </row>
    <row r="424" spans="1:21" ht="15.75" customHeight="1">
      <c r="A424" s="360" t="s">
        <v>47</v>
      </c>
      <c r="B424" s="362" t="s">
        <v>48</v>
      </c>
      <c r="C424" s="360" t="s">
        <v>49</v>
      </c>
      <c r="D424" s="360"/>
      <c r="E424" s="360"/>
      <c r="F424" s="360"/>
      <c r="G424" s="360"/>
      <c r="H424" s="360"/>
      <c r="I424" s="360"/>
      <c r="J424" s="360"/>
      <c r="K424" s="360"/>
      <c r="L424" s="360"/>
      <c r="M424" s="360"/>
      <c r="N424" s="360"/>
      <c r="O424" s="360"/>
      <c r="P424" s="360"/>
      <c r="Q424" s="360"/>
      <c r="R424" s="360"/>
      <c r="S424" s="360"/>
      <c r="T424" s="360"/>
      <c r="U424" s="360"/>
    </row>
    <row r="425" spans="1:21" ht="15.75" customHeight="1">
      <c r="A425" s="360" t="s">
        <v>50</v>
      </c>
      <c r="B425" s="362" t="s">
        <v>51</v>
      </c>
      <c r="C425" s="360" t="s">
        <v>52</v>
      </c>
      <c r="D425" s="360"/>
      <c r="E425" s="360"/>
      <c r="F425" s="360"/>
      <c r="G425" s="360"/>
      <c r="H425" s="360"/>
      <c r="I425" s="360"/>
      <c r="J425" s="360"/>
      <c r="K425" s="360"/>
      <c r="L425" s="360"/>
      <c r="M425" s="360"/>
      <c r="N425" s="360"/>
      <c r="O425" s="360"/>
      <c r="P425" s="360"/>
      <c r="Q425" s="360"/>
      <c r="R425" s="360"/>
      <c r="S425" s="360"/>
      <c r="T425" s="360"/>
      <c r="U425" s="360"/>
    </row>
    <row r="426" spans="1:21" ht="15.75" customHeight="1">
      <c r="A426" s="360" t="s">
        <v>53</v>
      </c>
      <c r="B426" s="362" t="s">
        <v>54</v>
      </c>
      <c r="C426" s="360" t="s">
        <v>55</v>
      </c>
      <c r="D426" s="360"/>
      <c r="E426" s="360"/>
      <c r="F426" s="360"/>
      <c r="G426" s="360"/>
      <c r="H426" s="360"/>
      <c r="I426" s="360"/>
      <c r="J426" s="360"/>
      <c r="K426" s="360"/>
      <c r="L426" s="360"/>
      <c r="M426" s="360"/>
      <c r="N426" s="360"/>
      <c r="O426" s="360"/>
      <c r="P426" s="360"/>
      <c r="Q426" s="360"/>
      <c r="R426" s="360"/>
      <c r="S426" s="360"/>
      <c r="T426" s="360"/>
      <c r="U426" s="360"/>
    </row>
    <row r="427" spans="1:21" ht="15.75" customHeight="1">
      <c r="A427" s="360" t="s">
        <v>56</v>
      </c>
      <c r="B427" s="362" t="s">
        <v>57</v>
      </c>
      <c r="C427" s="360" t="s">
        <v>58</v>
      </c>
      <c r="D427" s="360"/>
      <c r="E427" s="360"/>
      <c r="F427" s="360"/>
      <c r="G427" s="360"/>
      <c r="H427" s="360"/>
      <c r="I427" s="360"/>
      <c r="J427" s="360"/>
      <c r="K427" s="360"/>
      <c r="L427" s="360"/>
      <c r="M427" s="360"/>
      <c r="N427" s="360"/>
      <c r="O427" s="360"/>
      <c r="P427" s="360"/>
      <c r="Q427" s="360"/>
      <c r="R427" s="360"/>
      <c r="S427" s="360"/>
      <c r="T427" s="360"/>
      <c r="U427" s="360"/>
    </row>
    <row r="428" spans="1:21" ht="15.75" customHeight="1">
      <c r="A428" s="360" t="s">
        <v>59</v>
      </c>
      <c r="B428" s="362" t="s">
        <v>60</v>
      </c>
      <c r="C428" s="360" t="s">
        <v>61</v>
      </c>
      <c r="D428" s="360"/>
      <c r="E428" s="360"/>
      <c r="F428" s="360"/>
      <c r="G428" s="360"/>
      <c r="H428" s="360"/>
      <c r="I428" s="360"/>
      <c r="J428" s="360"/>
      <c r="K428" s="360"/>
      <c r="L428" s="360"/>
      <c r="M428" s="360"/>
      <c r="N428" s="360"/>
      <c r="O428" s="360"/>
      <c r="P428" s="360"/>
      <c r="Q428" s="360"/>
      <c r="R428" s="360"/>
      <c r="S428" s="360"/>
      <c r="T428" s="360"/>
      <c r="U428" s="360"/>
    </row>
    <row r="429" spans="1:21" ht="15.75" customHeight="1">
      <c r="A429" s="360" t="s">
        <v>62</v>
      </c>
      <c r="B429" s="362" t="s">
        <v>63</v>
      </c>
      <c r="C429" s="360" t="s">
        <v>64</v>
      </c>
      <c r="D429" s="360"/>
      <c r="E429" s="360"/>
      <c r="F429" s="360"/>
      <c r="G429" s="360"/>
      <c r="H429" s="360"/>
      <c r="I429" s="360"/>
      <c r="J429" s="360"/>
      <c r="K429" s="360"/>
      <c r="L429" s="360"/>
      <c r="M429" s="360"/>
      <c r="N429" s="360"/>
      <c r="O429" s="360"/>
      <c r="P429" s="360"/>
      <c r="Q429" s="360"/>
      <c r="R429" s="360"/>
      <c r="S429" s="360"/>
      <c r="T429" s="360"/>
      <c r="U429" s="360"/>
    </row>
    <row r="430" spans="1:21" ht="15.75" customHeight="1">
      <c r="A430" s="360" t="s">
        <v>65</v>
      </c>
      <c r="B430" s="362" t="s">
        <v>66</v>
      </c>
      <c r="C430" s="360" t="s">
        <v>67</v>
      </c>
      <c r="D430" s="360"/>
      <c r="E430" s="360"/>
      <c r="F430" s="360"/>
      <c r="G430" s="360"/>
      <c r="H430" s="360"/>
      <c r="I430" s="360"/>
      <c r="J430" s="360"/>
      <c r="K430" s="360"/>
      <c r="L430" s="360"/>
      <c r="M430" s="360"/>
      <c r="N430" s="360"/>
      <c r="O430" s="360"/>
      <c r="P430" s="360"/>
      <c r="Q430" s="360"/>
      <c r="R430" s="360"/>
      <c r="S430" s="360"/>
      <c r="T430" s="360"/>
      <c r="U430" s="360"/>
    </row>
    <row r="431" spans="1:21" ht="15.75" customHeight="1">
      <c r="A431" s="360" t="s">
        <v>68</v>
      </c>
      <c r="B431" s="362" t="s">
        <v>69</v>
      </c>
      <c r="C431" s="360" t="s">
        <v>70</v>
      </c>
      <c r="D431" s="360"/>
      <c r="E431" s="360"/>
      <c r="F431" s="360"/>
      <c r="G431" s="360"/>
      <c r="H431" s="360"/>
      <c r="I431" s="360"/>
      <c r="J431" s="360"/>
      <c r="K431" s="360"/>
      <c r="L431" s="360"/>
      <c r="M431" s="360"/>
      <c r="N431" s="360"/>
      <c r="O431" s="360"/>
      <c r="P431" s="360"/>
      <c r="Q431" s="360"/>
      <c r="R431" s="360"/>
      <c r="S431" s="360"/>
      <c r="T431" s="360"/>
      <c r="U431" s="360"/>
    </row>
    <row r="432" spans="1:21" ht="15.75" customHeight="1">
      <c r="A432" s="360" t="s">
        <v>71</v>
      </c>
      <c r="B432" s="362" t="s">
        <v>135</v>
      </c>
      <c r="C432" s="360" t="s">
        <v>72</v>
      </c>
      <c r="D432" s="360">
        <v>5.2</v>
      </c>
      <c r="E432" s="360"/>
      <c r="F432" s="360"/>
      <c r="G432" s="360"/>
      <c r="H432" s="360"/>
      <c r="I432" s="360"/>
      <c r="J432" s="360"/>
      <c r="K432" s="360"/>
      <c r="L432" s="360"/>
      <c r="M432" s="360"/>
      <c r="N432" s="360"/>
      <c r="O432" s="360"/>
      <c r="P432" s="360"/>
      <c r="Q432" s="360"/>
      <c r="R432" s="360"/>
      <c r="S432" s="360"/>
      <c r="T432" s="360"/>
      <c r="U432" s="360"/>
    </row>
    <row r="433" spans="1:21" ht="15.75" customHeight="1">
      <c r="A433" s="360" t="s">
        <v>73</v>
      </c>
      <c r="B433" s="362" t="s">
        <v>74</v>
      </c>
      <c r="C433" s="360" t="s">
        <v>75</v>
      </c>
      <c r="D433" s="360"/>
      <c r="E433" s="360"/>
      <c r="F433" s="360"/>
      <c r="G433" s="360"/>
      <c r="H433" s="360"/>
      <c r="I433" s="360"/>
      <c r="J433" s="360"/>
      <c r="K433" s="360"/>
      <c r="L433" s="360"/>
      <c r="M433" s="360"/>
      <c r="N433" s="360"/>
      <c r="O433" s="360"/>
      <c r="P433" s="360"/>
      <c r="Q433" s="360"/>
      <c r="R433" s="360"/>
      <c r="S433" s="360"/>
      <c r="T433" s="360"/>
      <c r="U433" s="360"/>
    </row>
    <row r="434" spans="1:21" ht="15.75" customHeight="1">
      <c r="A434" s="360" t="s">
        <v>76</v>
      </c>
      <c r="B434" s="362" t="s">
        <v>77</v>
      </c>
      <c r="C434" s="360" t="s">
        <v>78</v>
      </c>
      <c r="D434" s="360"/>
      <c r="E434" s="360"/>
      <c r="F434" s="360"/>
      <c r="G434" s="360"/>
      <c r="H434" s="360"/>
      <c r="I434" s="360"/>
      <c r="J434" s="360"/>
      <c r="K434" s="360"/>
      <c r="L434" s="360"/>
      <c r="M434" s="360"/>
      <c r="N434" s="360"/>
      <c r="O434" s="360"/>
      <c r="P434" s="360"/>
      <c r="Q434" s="360"/>
      <c r="R434" s="360"/>
      <c r="S434" s="360"/>
      <c r="T434" s="360"/>
      <c r="U434" s="360"/>
    </row>
    <row r="435" spans="1:21" ht="15.75" customHeight="1">
      <c r="A435" s="360" t="s">
        <v>79</v>
      </c>
      <c r="B435" s="362" t="s">
        <v>80</v>
      </c>
      <c r="C435" s="360" t="s">
        <v>81</v>
      </c>
      <c r="D435" s="360"/>
      <c r="E435" s="360"/>
      <c r="F435" s="360"/>
      <c r="G435" s="360"/>
      <c r="H435" s="360"/>
      <c r="I435" s="360"/>
      <c r="J435" s="360"/>
      <c r="K435" s="360"/>
      <c r="L435" s="360"/>
      <c r="M435" s="360"/>
      <c r="N435" s="360"/>
      <c r="O435" s="360"/>
      <c r="P435" s="360"/>
      <c r="Q435" s="360"/>
      <c r="R435" s="360"/>
      <c r="S435" s="360"/>
      <c r="T435" s="360"/>
      <c r="U435" s="360"/>
    </row>
    <row r="436" spans="1:21" ht="15.75" customHeight="1">
      <c r="A436" s="360" t="s">
        <v>82</v>
      </c>
      <c r="B436" s="362" t="s">
        <v>83</v>
      </c>
      <c r="C436" s="360" t="s">
        <v>84</v>
      </c>
      <c r="D436" s="360"/>
      <c r="E436" s="360"/>
      <c r="F436" s="360"/>
      <c r="G436" s="360"/>
      <c r="H436" s="360"/>
      <c r="I436" s="360"/>
      <c r="J436" s="360"/>
      <c r="K436" s="360"/>
      <c r="L436" s="360"/>
      <c r="M436" s="360"/>
      <c r="N436" s="360"/>
      <c r="O436" s="360"/>
      <c r="P436" s="360"/>
      <c r="Q436" s="360"/>
      <c r="R436" s="360"/>
      <c r="S436" s="360"/>
      <c r="T436" s="360"/>
      <c r="U436" s="360"/>
    </row>
    <row r="437" spans="1:21" ht="15.75" customHeight="1">
      <c r="A437" s="360" t="s">
        <v>85</v>
      </c>
      <c r="B437" s="362" t="s">
        <v>86</v>
      </c>
      <c r="C437" s="360" t="s">
        <v>87</v>
      </c>
      <c r="D437" s="360"/>
      <c r="E437" s="360"/>
      <c r="F437" s="360"/>
      <c r="G437" s="360"/>
      <c r="H437" s="360"/>
      <c r="I437" s="360"/>
      <c r="J437" s="360"/>
      <c r="K437" s="360"/>
      <c r="L437" s="360"/>
      <c r="M437" s="360"/>
      <c r="N437" s="360"/>
      <c r="O437" s="360"/>
      <c r="P437" s="360"/>
      <c r="Q437" s="360"/>
      <c r="R437" s="360"/>
      <c r="S437" s="360"/>
      <c r="T437" s="360"/>
      <c r="U437" s="360"/>
    </row>
    <row r="438" spans="1:21" ht="15.75" customHeight="1">
      <c r="A438" s="360" t="s">
        <v>88</v>
      </c>
      <c r="B438" s="362" t="s">
        <v>89</v>
      </c>
      <c r="C438" s="360" t="s">
        <v>90</v>
      </c>
      <c r="D438" s="360"/>
      <c r="E438" s="360"/>
      <c r="F438" s="360"/>
      <c r="G438" s="360"/>
      <c r="H438" s="360"/>
      <c r="I438" s="360"/>
      <c r="J438" s="360"/>
      <c r="K438" s="360"/>
      <c r="L438" s="360"/>
      <c r="M438" s="360"/>
      <c r="N438" s="360"/>
      <c r="O438" s="360"/>
      <c r="P438" s="360"/>
      <c r="Q438" s="360"/>
      <c r="R438" s="360"/>
      <c r="S438" s="360"/>
      <c r="T438" s="360"/>
      <c r="U438" s="360"/>
    </row>
    <row r="439" spans="1:21" ht="15.75" customHeight="1">
      <c r="A439" s="360" t="s">
        <v>91</v>
      </c>
      <c r="B439" s="362" t="s">
        <v>92</v>
      </c>
      <c r="C439" s="360" t="s">
        <v>93</v>
      </c>
      <c r="D439" s="360"/>
      <c r="E439" s="360"/>
      <c r="F439" s="360"/>
      <c r="G439" s="360"/>
      <c r="H439" s="360"/>
      <c r="I439" s="360"/>
      <c r="J439" s="360"/>
      <c r="K439" s="360"/>
      <c r="L439" s="360"/>
      <c r="M439" s="360"/>
      <c r="N439" s="360"/>
      <c r="O439" s="360"/>
      <c r="P439" s="360"/>
      <c r="Q439" s="360"/>
      <c r="R439" s="360"/>
      <c r="S439" s="360"/>
      <c r="T439" s="360"/>
      <c r="U439" s="360"/>
    </row>
    <row r="440" spans="1:21" ht="15.75" customHeight="1">
      <c r="A440" s="360" t="s">
        <v>94</v>
      </c>
      <c r="B440" s="362" t="s">
        <v>95</v>
      </c>
      <c r="C440" s="360" t="s">
        <v>96</v>
      </c>
      <c r="D440" s="360"/>
      <c r="E440" s="360"/>
      <c r="F440" s="360"/>
      <c r="G440" s="360"/>
      <c r="H440" s="360"/>
      <c r="I440" s="360"/>
      <c r="J440" s="360"/>
      <c r="K440" s="360"/>
      <c r="L440" s="360"/>
      <c r="M440" s="360"/>
      <c r="N440" s="360"/>
      <c r="O440" s="360"/>
      <c r="P440" s="360"/>
      <c r="Q440" s="360"/>
      <c r="R440" s="360"/>
      <c r="S440" s="360"/>
      <c r="T440" s="360"/>
      <c r="U440" s="360"/>
    </row>
    <row r="441" spans="1:21" ht="15.75" customHeight="1">
      <c r="A441" s="360" t="s">
        <v>97</v>
      </c>
      <c r="B441" s="362" t="s">
        <v>98</v>
      </c>
      <c r="C441" s="360" t="s">
        <v>99</v>
      </c>
      <c r="D441" s="360"/>
      <c r="E441" s="360"/>
      <c r="F441" s="360"/>
      <c r="G441" s="360"/>
      <c r="H441" s="360"/>
      <c r="I441" s="360"/>
      <c r="J441" s="360"/>
      <c r="K441" s="360"/>
      <c r="L441" s="360"/>
      <c r="M441" s="360"/>
      <c r="N441" s="360"/>
      <c r="O441" s="360"/>
      <c r="P441" s="360"/>
      <c r="Q441" s="360"/>
      <c r="R441" s="360"/>
      <c r="S441" s="360"/>
      <c r="T441" s="360"/>
      <c r="U441" s="360"/>
    </row>
    <row r="442" spans="1:21" ht="15.75" customHeight="1">
      <c r="A442" s="360" t="s">
        <v>100</v>
      </c>
      <c r="B442" s="362" t="s">
        <v>134</v>
      </c>
      <c r="C442" s="360" t="s">
        <v>101</v>
      </c>
      <c r="D442" s="360"/>
      <c r="E442" s="360"/>
      <c r="F442" s="360"/>
      <c r="G442" s="360"/>
      <c r="H442" s="360"/>
      <c r="I442" s="360"/>
      <c r="J442" s="360"/>
      <c r="K442" s="360"/>
      <c r="L442" s="360"/>
      <c r="M442" s="360"/>
      <c r="N442" s="360"/>
      <c r="O442" s="360"/>
      <c r="P442" s="360"/>
      <c r="Q442" s="360"/>
      <c r="R442" s="360"/>
      <c r="S442" s="360"/>
      <c r="T442" s="360"/>
      <c r="U442" s="360"/>
    </row>
    <row r="443" spans="1:21" ht="15.75" customHeight="1">
      <c r="A443" s="360" t="s">
        <v>102</v>
      </c>
      <c r="B443" s="362" t="s">
        <v>103</v>
      </c>
      <c r="C443" s="360" t="s">
        <v>104</v>
      </c>
      <c r="D443" s="360"/>
      <c r="E443" s="360"/>
      <c r="F443" s="360"/>
      <c r="G443" s="360"/>
      <c r="H443" s="360"/>
      <c r="I443" s="360"/>
      <c r="J443" s="360"/>
      <c r="K443" s="360"/>
      <c r="L443" s="360"/>
      <c r="M443" s="360"/>
      <c r="N443" s="360"/>
      <c r="O443" s="360"/>
      <c r="P443" s="360"/>
      <c r="Q443" s="360"/>
      <c r="R443" s="360"/>
      <c r="S443" s="360"/>
      <c r="T443" s="360"/>
      <c r="U443" s="360"/>
    </row>
    <row r="444" spans="1:21" ht="15.75" customHeight="1">
      <c r="A444" s="360" t="s">
        <v>105</v>
      </c>
      <c r="B444" s="362" t="s">
        <v>106</v>
      </c>
      <c r="C444" s="360" t="s">
        <v>107</v>
      </c>
      <c r="D444" s="360"/>
      <c r="E444" s="360"/>
      <c r="F444" s="360"/>
      <c r="G444" s="360"/>
      <c r="H444" s="360"/>
      <c r="I444" s="360"/>
      <c r="J444" s="360"/>
      <c r="K444" s="360"/>
      <c r="L444" s="360"/>
      <c r="M444" s="360"/>
      <c r="N444" s="360"/>
      <c r="O444" s="360"/>
      <c r="P444" s="360"/>
      <c r="Q444" s="360"/>
      <c r="R444" s="360"/>
      <c r="S444" s="360"/>
      <c r="T444" s="360"/>
      <c r="U444" s="360"/>
    </row>
    <row r="445" spans="1:21" ht="15.75" customHeight="1">
      <c r="A445" s="360" t="s">
        <v>108</v>
      </c>
      <c r="B445" s="362" t="s">
        <v>109</v>
      </c>
      <c r="C445" s="360" t="s">
        <v>110</v>
      </c>
      <c r="D445" s="360"/>
      <c r="E445" s="360"/>
      <c r="F445" s="360"/>
      <c r="G445" s="360"/>
      <c r="H445" s="360"/>
      <c r="I445" s="360"/>
      <c r="J445" s="360"/>
      <c r="K445" s="360"/>
      <c r="L445" s="360"/>
      <c r="M445" s="360"/>
      <c r="N445" s="360"/>
      <c r="O445" s="360"/>
      <c r="P445" s="360"/>
      <c r="Q445" s="360"/>
      <c r="R445" s="360"/>
      <c r="S445" s="360"/>
      <c r="T445" s="360"/>
      <c r="U445" s="360"/>
    </row>
    <row r="446" spans="1:21" ht="15.75" customHeight="1">
      <c r="A446" s="360" t="s">
        <v>111</v>
      </c>
      <c r="B446" s="362" t="s">
        <v>112</v>
      </c>
      <c r="C446" s="360" t="s">
        <v>113</v>
      </c>
      <c r="D446" s="360"/>
      <c r="E446" s="360"/>
      <c r="F446" s="360"/>
      <c r="G446" s="360"/>
      <c r="H446" s="360"/>
      <c r="I446" s="360"/>
      <c r="J446" s="360"/>
      <c r="K446" s="360"/>
      <c r="L446" s="360"/>
      <c r="M446" s="360"/>
      <c r="N446" s="360"/>
      <c r="O446" s="360"/>
      <c r="P446" s="360"/>
      <c r="Q446" s="360"/>
      <c r="R446" s="360"/>
      <c r="S446" s="360"/>
      <c r="T446" s="360"/>
      <c r="U446" s="360"/>
    </row>
    <row r="447" spans="1:21" ht="15.75" customHeight="1">
      <c r="A447" s="360" t="s">
        <v>114</v>
      </c>
      <c r="B447" s="362" t="s">
        <v>115</v>
      </c>
      <c r="C447" s="360" t="s">
        <v>116</v>
      </c>
      <c r="D447" s="360">
        <v>0.8</v>
      </c>
      <c r="E447" s="360"/>
      <c r="F447" s="360"/>
      <c r="G447" s="360"/>
      <c r="H447" s="360">
        <v>20</v>
      </c>
      <c r="I447" s="360"/>
      <c r="J447" s="360"/>
      <c r="K447" s="360"/>
      <c r="L447" s="360"/>
      <c r="M447" s="360"/>
      <c r="N447" s="360"/>
      <c r="O447" s="360"/>
      <c r="P447" s="360"/>
      <c r="Q447" s="360"/>
      <c r="R447" s="360"/>
      <c r="S447" s="360"/>
      <c r="T447" s="360"/>
      <c r="U447" s="360"/>
    </row>
    <row r="448" spans="1:21" ht="15.75" customHeight="1">
      <c r="A448" s="360" t="s">
        <v>117</v>
      </c>
      <c r="B448" s="362" t="s">
        <v>118</v>
      </c>
      <c r="C448" s="360" t="s">
        <v>119</v>
      </c>
      <c r="D448" s="360"/>
      <c r="E448" s="360"/>
      <c r="F448" s="360"/>
      <c r="G448" s="360"/>
      <c r="H448" s="360"/>
      <c r="I448" s="360"/>
      <c r="J448" s="360"/>
      <c r="K448" s="360"/>
      <c r="L448" s="360"/>
      <c r="M448" s="360"/>
      <c r="N448" s="360"/>
      <c r="O448" s="360"/>
      <c r="P448" s="360"/>
      <c r="Q448" s="360"/>
      <c r="R448" s="360"/>
      <c r="S448" s="360"/>
      <c r="T448" s="360"/>
      <c r="U448" s="360"/>
    </row>
    <row r="449" spans="1:21" ht="15.75" customHeight="1">
      <c r="A449" s="360" t="s">
        <v>120</v>
      </c>
      <c r="B449" s="362" t="s">
        <v>121</v>
      </c>
      <c r="C449" s="360" t="s">
        <v>122</v>
      </c>
      <c r="D449" s="360"/>
      <c r="E449" s="360"/>
      <c r="F449" s="360"/>
      <c r="G449" s="360"/>
      <c r="H449" s="360"/>
      <c r="I449" s="360"/>
      <c r="J449" s="360"/>
      <c r="K449" s="360"/>
      <c r="L449" s="360"/>
      <c r="M449" s="360"/>
      <c r="N449" s="360"/>
      <c r="O449" s="360"/>
      <c r="P449" s="360"/>
      <c r="Q449" s="360"/>
      <c r="R449" s="360"/>
      <c r="S449" s="360"/>
      <c r="T449" s="360"/>
      <c r="U449" s="360"/>
    </row>
    <row r="450" spans="1:21" ht="15.75" customHeight="1">
      <c r="A450" s="374">
        <v>3</v>
      </c>
      <c r="B450" s="374" t="s">
        <v>123</v>
      </c>
      <c r="C450" s="374" t="s">
        <v>124</v>
      </c>
      <c r="D450" s="374"/>
      <c r="E450" s="374"/>
      <c r="F450" s="374"/>
      <c r="G450" s="374"/>
      <c r="H450" s="374"/>
      <c r="I450" s="374"/>
      <c r="J450" s="374"/>
      <c r="K450" s="374"/>
      <c r="L450" s="374"/>
      <c r="M450" s="374"/>
      <c r="N450" s="374"/>
      <c r="O450" s="374"/>
      <c r="P450" s="374"/>
      <c r="Q450" s="374"/>
      <c r="R450" s="374"/>
      <c r="S450" s="374"/>
      <c r="T450" s="374"/>
      <c r="U450" s="374"/>
    </row>
    <row r="451" spans="1:21" ht="15.75" customHeight="1">
      <c r="A451" s="1355" t="s">
        <v>355</v>
      </c>
      <c r="B451" s="1355"/>
      <c r="C451" s="372"/>
      <c r="D451" s="372"/>
      <c r="E451" s="372"/>
      <c r="F451" s="372"/>
      <c r="G451" s="372"/>
      <c r="H451" s="372"/>
      <c r="I451" s="372"/>
      <c r="J451" s="372"/>
      <c r="K451" s="372"/>
      <c r="L451" s="372"/>
      <c r="M451" s="372"/>
      <c r="N451" s="372"/>
      <c r="O451" s="372"/>
      <c r="P451" s="372"/>
      <c r="Q451" s="372"/>
      <c r="R451" s="372"/>
      <c r="S451" s="372"/>
      <c r="T451" s="372"/>
      <c r="U451" s="372"/>
    </row>
    <row r="452" spans="1:21" ht="19.5" customHeight="1">
      <c r="A452" s="1354" t="s">
        <v>185</v>
      </c>
      <c r="B452" s="1354"/>
      <c r="C452" s="1354"/>
      <c r="D452" s="1354"/>
      <c r="E452" s="1354"/>
      <c r="F452" s="1354"/>
      <c r="G452" s="1354"/>
      <c r="H452" s="1354"/>
      <c r="I452" s="1354"/>
      <c r="J452" s="1354"/>
      <c r="K452" s="1354"/>
      <c r="L452" s="1354"/>
      <c r="M452" s="1354"/>
      <c r="N452" s="1354"/>
      <c r="O452" s="1354"/>
      <c r="P452" s="1354"/>
      <c r="Q452" s="1354"/>
      <c r="R452" s="1354"/>
      <c r="S452" s="1354"/>
      <c r="T452" s="1354"/>
      <c r="U452" s="1354"/>
    </row>
    <row r="453" spans="1:21" ht="19.5" customHeight="1">
      <c r="A453" s="1354" t="s">
        <v>322</v>
      </c>
      <c r="B453" s="1354"/>
      <c r="C453" s="1354"/>
      <c r="D453" s="1354"/>
      <c r="E453" s="1354"/>
      <c r="F453" s="1354"/>
      <c r="G453" s="1354"/>
      <c r="H453" s="1354"/>
      <c r="I453" s="1354"/>
      <c r="J453" s="1354"/>
      <c r="K453" s="1354"/>
      <c r="L453" s="1354"/>
      <c r="M453" s="1354"/>
      <c r="N453" s="1354"/>
      <c r="O453" s="1354"/>
      <c r="P453" s="1354"/>
      <c r="Q453" s="1354"/>
      <c r="R453" s="1354"/>
      <c r="S453" s="1354"/>
      <c r="T453" s="1354"/>
      <c r="U453" s="1354"/>
    </row>
    <row r="454" spans="1:21" ht="19.5" customHeight="1"/>
    <row r="455" spans="1:21" ht="49.5" customHeight="1">
      <c r="A455" s="1356" t="s">
        <v>0</v>
      </c>
      <c r="B455" s="1356" t="s">
        <v>186</v>
      </c>
      <c r="C455" s="1356" t="s">
        <v>13</v>
      </c>
      <c r="D455" s="1356" t="s">
        <v>139</v>
      </c>
      <c r="E455" s="1356"/>
      <c r="F455" s="1356" t="s">
        <v>140</v>
      </c>
      <c r="G455" s="1356"/>
      <c r="H455" s="1356" t="s">
        <v>141</v>
      </c>
      <c r="I455" s="1356"/>
      <c r="J455" s="1356" t="s">
        <v>142</v>
      </c>
      <c r="K455" s="1356"/>
      <c r="L455" s="1356" t="s">
        <v>143</v>
      </c>
      <c r="M455" s="1356"/>
      <c r="N455" s="1356" t="s">
        <v>144</v>
      </c>
      <c r="O455" s="1356"/>
      <c r="P455" s="1356" t="s">
        <v>188</v>
      </c>
      <c r="Q455" s="1356"/>
      <c r="R455" s="1356" t="s">
        <v>145</v>
      </c>
      <c r="S455" s="1356"/>
      <c r="T455" s="1356" t="s">
        <v>146</v>
      </c>
      <c r="U455" s="1356"/>
    </row>
    <row r="456" spans="1:21" ht="41.25" customHeight="1">
      <c r="A456" s="1356"/>
      <c r="B456" s="1356"/>
      <c r="C456" s="1356"/>
      <c r="D456" s="360" t="s">
        <v>137</v>
      </c>
      <c r="E456" s="360" t="s">
        <v>187</v>
      </c>
      <c r="F456" s="360" t="s">
        <v>137</v>
      </c>
      <c r="G456" s="360" t="s">
        <v>187</v>
      </c>
      <c r="H456" s="360" t="s">
        <v>137</v>
      </c>
      <c r="I456" s="360" t="s">
        <v>187</v>
      </c>
      <c r="J456" s="360" t="s">
        <v>137</v>
      </c>
      <c r="K456" s="360" t="s">
        <v>187</v>
      </c>
      <c r="L456" s="360" t="s">
        <v>137</v>
      </c>
      <c r="M456" s="360" t="s">
        <v>187</v>
      </c>
      <c r="N456" s="360" t="s">
        <v>137</v>
      </c>
      <c r="O456" s="360" t="s">
        <v>187</v>
      </c>
      <c r="P456" s="360" t="s">
        <v>137</v>
      </c>
      <c r="Q456" s="360" t="s">
        <v>187</v>
      </c>
      <c r="R456" s="360" t="s">
        <v>137</v>
      </c>
      <c r="S456" s="360" t="s">
        <v>187</v>
      </c>
      <c r="T456" s="360" t="s">
        <v>137</v>
      </c>
      <c r="U456" s="360" t="s">
        <v>187</v>
      </c>
    </row>
    <row r="457" spans="1:21" ht="19.5" customHeight="1">
      <c r="A457" s="344">
        <v>1</v>
      </c>
      <c r="B457" s="344" t="s">
        <v>14</v>
      </c>
      <c r="C457" s="360" t="s">
        <v>15</v>
      </c>
      <c r="D457" s="344">
        <f>D458+D460+D461+D462+D463+D464+D465+D466+D467</f>
        <v>151.69999999999999</v>
      </c>
      <c r="E457" s="344">
        <f t="shared" ref="E457:U457" si="49">E458+E460+E461+E462+E463+E464+E465+E466+E467</f>
        <v>0</v>
      </c>
      <c r="F457" s="344">
        <f t="shared" si="49"/>
        <v>0</v>
      </c>
      <c r="G457" s="344">
        <f t="shared" si="49"/>
        <v>0</v>
      </c>
      <c r="H457" s="344">
        <f t="shared" si="49"/>
        <v>45</v>
      </c>
      <c r="I457" s="344">
        <f t="shared" si="49"/>
        <v>0</v>
      </c>
      <c r="J457" s="344">
        <f t="shared" si="49"/>
        <v>0</v>
      </c>
      <c r="K457" s="344">
        <f t="shared" si="49"/>
        <v>0</v>
      </c>
      <c r="L457" s="344">
        <f t="shared" si="49"/>
        <v>0</v>
      </c>
      <c r="M457" s="344">
        <f t="shared" si="49"/>
        <v>0</v>
      </c>
      <c r="N457" s="344">
        <f t="shared" si="49"/>
        <v>0</v>
      </c>
      <c r="O457" s="344">
        <f t="shared" si="49"/>
        <v>0</v>
      </c>
      <c r="P457" s="344">
        <f t="shared" si="49"/>
        <v>0</v>
      </c>
      <c r="Q457" s="344">
        <f t="shared" si="49"/>
        <v>0</v>
      </c>
      <c r="R457" s="344">
        <f t="shared" si="49"/>
        <v>0</v>
      </c>
      <c r="S457" s="344">
        <f t="shared" si="49"/>
        <v>0</v>
      </c>
      <c r="T457" s="344">
        <f t="shared" si="49"/>
        <v>0</v>
      </c>
      <c r="U457" s="344">
        <f t="shared" si="49"/>
        <v>0</v>
      </c>
    </row>
    <row r="458" spans="1:21" ht="19.5" customHeight="1">
      <c r="A458" s="344" t="s">
        <v>16</v>
      </c>
      <c r="B458" s="344" t="s">
        <v>17</v>
      </c>
      <c r="C458" s="360" t="s">
        <v>18</v>
      </c>
      <c r="D458" s="344">
        <f t="shared" ref="D458:U458" si="50">D459</f>
        <v>150</v>
      </c>
      <c r="E458" s="344">
        <f t="shared" si="50"/>
        <v>0</v>
      </c>
      <c r="F458" s="344">
        <f t="shared" si="50"/>
        <v>0</v>
      </c>
      <c r="G458" s="344">
        <f t="shared" si="50"/>
        <v>0</v>
      </c>
      <c r="H458" s="344">
        <f t="shared" si="50"/>
        <v>0</v>
      </c>
      <c r="I458" s="344">
        <f t="shared" si="50"/>
        <v>0</v>
      </c>
      <c r="J458" s="344">
        <f t="shared" si="50"/>
        <v>0</v>
      </c>
      <c r="K458" s="344">
        <f t="shared" si="50"/>
        <v>0</v>
      </c>
      <c r="L458" s="344">
        <f t="shared" si="50"/>
        <v>0</v>
      </c>
      <c r="M458" s="344">
        <f t="shared" si="50"/>
        <v>0</v>
      </c>
      <c r="N458" s="344">
        <f t="shared" si="50"/>
        <v>0</v>
      </c>
      <c r="O458" s="344">
        <f t="shared" si="50"/>
        <v>0</v>
      </c>
      <c r="P458" s="344">
        <f t="shared" si="50"/>
        <v>0</v>
      </c>
      <c r="Q458" s="344">
        <f t="shared" si="50"/>
        <v>0</v>
      </c>
      <c r="R458" s="344">
        <f t="shared" si="50"/>
        <v>0</v>
      </c>
      <c r="S458" s="344">
        <f t="shared" si="50"/>
        <v>0</v>
      </c>
      <c r="T458" s="344">
        <f t="shared" si="50"/>
        <v>0</v>
      </c>
      <c r="U458" s="344">
        <f t="shared" si="50"/>
        <v>0</v>
      </c>
    </row>
    <row r="459" spans="1:21" ht="19.5" customHeight="1">
      <c r="A459" s="344"/>
      <c r="B459" s="344" t="s">
        <v>19</v>
      </c>
      <c r="C459" s="360" t="s">
        <v>20</v>
      </c>
      <c r="D459" s="344">
        <v>150</v>
      </c>
      <c r="E459" s="344"/>
      <c r="F459" s="344"/>
      <c r="G459" s="344"/>
      <c r="H459" s="344"/>
      <c r="I459" s="344"/>
      <c r="J459" s="344"/>
      <c r="K459" s="344"/>
      <c r="L459" s="344"/>
      <c r="M459" s="344"/>
      <c r="N459" s="344"/>
      <c r="O459" s="344"/>
      <c r="P459" s="344"/>
      <c r="Q459" s="344"/>
      <c r="R459" s="344"/>
      <c r="S459" s="344"/>
      <c r="T459" s="344"/>
      <c r="U459" s="344"/>
    </row>
    <row r="460" spans="1:21" ht="19.5" customHeight="1">
      <c r="A460" s="344" t="s">
        <v>21</v>
      </c>
      <c r="B460" s="344" t="s">
        <v>22</v>
      </c>
      <c r="C460" s="360" t="s">
        <v>23</v>
      </c>
      <c r="D460" s="344">
        <v>1.6</v>
      </c>
      <c r="E460" s="344"/>
      <c r="F460" s="344"/>
      <c r="G460" s="344"/>
      <c r="H460" s="344"/>
      <c r="I460" s="344"/>
      <c r="J460" s="344"/>
      <c r="K460" s="344"/>
      <c r="L460" s="344"/>
      <c r="M460" s="344"/>
      <c r="N460" s="344"/>
      <c r="O460" s="344"/>
      <c r="P460" s="344"/>
      <c r="Q460" s="344"/>
      <c r="R460" s="344"/>
      <c r="S460" s="344"/>
      <c r="T460" s="344"/>
      <c r="U460" s="344"/>
    </row>
    <row r="461" spans="1:21" ht="19.5" customHeight="1">
      <c r="A461" s="344" t="s">
        <v>24</v>
      </c>
      <c r="B461" s="344" t="s">
        <v>25</v>
      </c>
      <c r="C461" s="360" t="s">
        <v>26</v>
      </c>
      <c r="D461" s="344">
        <v>0.1</v>
      </c>
      <c r="E461" s="344"/>
      <c r="F461" s="344"/>
      <c r="G461" s="344"/>
      <c r="H461" s="344"/>
      <c r="I461" s="344"/>
      <c r="J461" s="344"/>
      <c r="K461" s="344"/>
      <c r="L461" s="344"/>
      <c r="M461" s="344"/>
      <c r="N461" s="344"/>
      <c r="O461" s="344"/>
      <c r="P461" s="344"/>
      <c r="Q461" s="344"/>
      <c r="R461" s="344"/>
      <c r="S461" s="344"/>
      <c r="T461" s="344"/>
      <c r="U461" s="344"/>
    </row>
    <row r="462" spans="1:21" ht="19.5" customHeight="1">
      <c r="A462" s="344" t="s">
        <v>27</v>
      </c>
      <c r="B462" s="344" t="s">
        <v>28</v>
      </c>
      <c r="C462" s="360" t="s">
        <v>29</v>
      </c>
      <c r="D462" s="344"/>
      <c r="E462" s="344"/>
      <c r="F462" s="344"/>
      <c r="G462" s="344"/>
      <c r="H462" s="344">
        <v>45</v>
      </c>
      <c r="I462" s="344"/>
      <c r="J462" s="344"/>
      <c r="K462" s="344"/>
      <c r="L462" s="344"/>
      <c r="M462" s="344"/>
      <c r="N462" s="344"/>
      <c r="O462" s="344"/>
      <c r="P462" s="344"/>
      <c r="Q462" s="344"/>
      <c r="R462" s="344"/>
      <c r="S462" s="344"/>
      <c r="T462" s="344"/>
      <c r="U462" s="344"/>
    </row>
    <row r="463" spans="1:21" ht="19.5" customHeight="1">
      <c r="A463" s="344" t="s">
        <v>30</v>
      </c>
      <c r="B463" s="344" t="s">
        <v>31</v>
      </c>
      <c r="C463" s="360" t="s">
        <v>32</v>
      </c>
      <c r="D463" s="344"/>
      <c r="E463" s="344"/>
      <c r="F463" s="344"/>
      <c r="G463" s="344"/>
      <c r="H463" s="344"/>
      <c r="I463" s="344"/>
      <c r="J463" s="344"/>
      <c r="K463" s="344"/>
      <c r="L463" s="344"/>
      <c r="M463" s="344"/>
      <c r="N463" s="344"/>
      <c r="O463" s="344"/>
      <c r="P463" s="344"/>
      <c r="Q463" s="344"/>
      <c r="R463" s="344"/>
      <c r="S463" s="344"/>
      <c r="T463" s="344"/>
      <c r="U463" s="344"/>
    </row>
    <row r="464" spans="1:21" ht="19.5" customHeight="1">
      <c r="A464" s="344" t="s">
        <v>33</v>
      </c>
      <c r="B464" s="344" t="s">
        <v>34</v>
      </c>
      <c r="C464" s="360" t="s">
        <v>35</v>
      </c>
      <c r="D464" s="344"/>
      <c r="E464" s="344"/>
      <c r="F464" s="344"/>
      <c r="G464" s="344"/>
      <c r="H464" s="344"/>
      <c r="I464" s="344"/>
      <c r="J464" s="344"/>
      <c r="K464" s="344"/>
      <c r="L464" s="344"/>
      <c r="M464" s="344"/>
      <c r="N464" s="344"/>
      <c r="O464" s="344"/>
      <c r="P464" s="344"/>
      <c r="Q464" s="344"/>
      <c r="R464" s="344"/>
      <c r="S464" s="344"/>
      <c r="T464" s="344"/>
      <c r="U464" s="344"/>
    </row>
    <row r="465" spans="1:21" ht="19.5" customHeight="1">
      <c r="A465" s="344" t="s">
        <v>36</v>
      </c>
      <c r="B465" s="344" t="s">
        <v>37</v>
      </c>
      <c r="C465" s="360" t="s">
        <v>38</v>
      </c>
      <c r="D465" s="344"/>
      <c r="E465" s="344"/>
      <c r="F465" s="344"/>
      <c r="G465" s="344"/>
      <c r="H465" s="344"/>
      <c r="I465" s="344"/>
      <c r="J465" s="344"/>
      <c r="K465" s="344"/>
      <c r="L465" s="344"/>
      <c r="M465" s="344"/>
      <c r="N465" s="344"/>
      <c r="O465" s="344"/>
      <c r="P465" s="344"/>
      <c r="Q465" s="344"/>
      <c r="R465" s="344"/>
      <c r="S465" s="344"/>
      <c r="T465" s="344"/>
      <c r="U465" s="344"/>
    </row>
    <row r="466" spans="1:21" ht="19.5" customHeight="1">
      <c r="A466" s="344" t="s">
        <v>39</v>
      </c>
      <c r="B466" s="344" t="s">
        <v>40</v>
      </c>
      <c r="C466" s="360" t="s">
        <v>41</v>
      </c>
      <c r="D466" s="344"/>
      <c r="E466" s="344"/>
      <c r="F466" s="344"/>
      <c r="G466" s="344"/>
      <c r="H466" s="344"/>
      <c r="I466" s="344"/>
      <c r="J466" s="344"/>
      <c r="K466" s="344"/>
      <c r="L466" s="344"/>
      <c r="M466" s="344"/>
      <c r="N466" s="344"/>
      <c r="O466" s="344"/>
      <c r="P466" s="344"/>
      <c r="Q466" s="344"/>
      <c r="R466" s="344"/>
      <c r="S466" s="344"/>
      <c r="T466" s="344"/>
      <c r="U466" s="344"/>
    </row>
    <row r="467" spans="1:21" ht="19.5" customHeight="1">
      <c r="A467" s="344">
        <v>2</v>
      </c>
      <c r="B467" s="344" t="s">
        <v>43</v>
      </c>
      <c r="C467" s="360" t="s">
        <v>44</v>
      </c>
      <c r="D467" s="344"/>
      <c r="E467" s="344"/>
      <c r="F467" s="344"/>
      <c r="G467" s="344"/>
      <c r="H467" s="344"/>
      <c r="I467" s="344"/>
      <c r="J467" s="344"/>
      <c r="K467" s="344"/>
      <c r="L467" s="344"/>
      <c r="M467" s="344"/>
      <c r="N467" s="344"/>
      <c r="O467" s="344"/>
      <c r="P467" s="344"/>
      <c r="Q467" s="344"/>
      <c r="R467" s="344"/>
      <c r="S467" s="344"/>
      <c r="T467" s="344"/>
      <c r="U467" s="344"/>
    </row>
    <row r="468" spans="1:21" ht="19.5" customHeight="1">
      <c r="A468" s="344">
        <v>2</v>
      </c>
      <c r="B468" s="344" t="s">
        <v>45</v>
      </c>
      <c r="C468" s="360" t="s">
        <v>46</v>
      </c>
      <c r="D468" s="344">
        <f>SUM(D469:D494)</f>
        <v>4.5999999999999996</v>
      </c>
      <c r="E468" s="344">
        <f t="shared" ref="E468:U468" si="51">SUM(E469:E494)</f>
        <v>0</v>
      </c>
      <c r="F468" s="344">
        <f t="shared" si="51"/>
        <v>0</v>
      </c>
      <c r="G468" s="344">
        <f t="shared" si="51"/>
        <v>0</v>
      </c>
      <c r="H468" s="344">
        <f t="shared" si="51"/>
        <v>0</v>
      </c>
      <c r="I468" s="344">
        <f t="shared" si="51"/>
        <v>0</v>
      </c>
      <c r="J468" s="344">
        <f t="shared" si="51"/>
        <v>0</v>
      </c>
      <c r="K468" s="344">
        <f t="shared" si="51"/>
        <v>0</v>
      </c>
      <c r="L468" s="344">
        <f t="shared" si="51"/>
        <v>0</v>
      </c>
      <c r="M468" s="344">
        <f t="shared" si="51"/>
        <v>0</v>
      </c>
      <c r="N468" s="344">
        <f t="shared" si="51"/>
        <v>0</v>
      </c>
      <c r="O468" s="344">
        <f t="shared" si="51"/>
        <v>0</v>
      </c>
      <c r="P468" s="344">
        <f t="shared" si="51"/>
        <v>0</v>
      </c>
      <c r="Q468" s="344">
        <f t="shared" si="51"/>
        <v>0</v>
      </c>
      <c r="R468" s="344">
        <f t="shared" si="51"/>
        <v>0</v>
      </c>
      <c r="S468" s="344">
        <f t="shared" si="51"/>
        <v>0</v>
      </c>
      <c r="T468" s="344">
        <f t="shared" si="51"/>
        <v>0</v>
      </c>
      <c r="U468" s="344">
        <f t="shared" si="51"/>
        <v>0</v>
      </c>
    </row>
    <row r="469" spans="1:21" ht="19.5" customHeight="1">
      <c r="A469" s="344" t="s">
        <v>47</v>
      </c>
      <c r="B469" s="344" t="s">
        <v>48</v>
      </c>
      <c r="C469" s="360" t="s">
        <v>49</v>
      </c>
      <c r="D469" s="344"/>
      <c r="E469" s="344"/>
      <c r="F469" s="344"/>
      <c r="G469" s="344"/>
      <c r="H469" s="344"/>
      <c r="I469" s="344"/>
      <c r="J469" s="344"/>
      <c r="K469" s="344"/>
      <c r="L469" s="344"/>
      <c r="M469" s="344"/>
      <c r="N469" s="344"/>
      <c r="O469" s="344"/>
      <c r="P469" s="344"/>
      <c r="Q469" s="344"/>
      <c r="R469" s="344"/>
      <c r="S469" s="344"/>
      <c r="T469" s="344"/>
      <c r="U469" s="344"/>
    </row>
    <row r="470" spans="1:21" ht="19.5" customHeight="1">
      <c r="A470" s="344" t="s">
        <v>50</v>
      </c>
      <c r="B470" s="344" t="s">
        <v>51</v>
      </c>
      <c r="C470" s="360" t="s">
        <v>52</v>
      </c>
      <c r="D470" s="344"/>
      <c r="E470" s="344"/>
      <c r="F470" s="344"/>
      <c r="G470" s="344"/>
      <c r="H470" s="344"/>
      <c r="I470" s="344"/>
      <c r="J470" s="344"/>
      <c r="K470" s="344"/>
      <c r="L470" s="344"/>
      <c r="M470" s="344"/>
      <c r="N470" s="344"/>
      <c r="O470" s="344"/>
      <c r="P470" s="344"/>
      <c r="Q470" s="344"/>
      <c r="R470" s="344"/>
      <c r="S470" s="344"/>
      <c r="T470" s="344"/>
      <c r="U470" s="344"/>
    </row>
    <row r="471" spans="1:21" ht="19.5" customHeight="1">
      <c r="A471" s="344" t="s">
        <v>53</v>
      </c>
      <c r="B471" s="344" t="s">
        <v>54</v>
      </c>
      <c r="C471" s="360" t="s">
        <v>55</v>
      </c>
      <c r="D471" s="344"/>
      <c r="E471" s="344"/>
      <c r="F471" s="344"/>
      <c r="G471" s="344"/>
      <c r="H471" s="344"/>
      <c r="I471" s="344"/>
      <c r="J471" s="344"/>
      <c r="K471" s="344"/>
      <c r="L471" s="344"/>
      <c r="M471" s="344"/>
      <c r="N471" s="344"/>
      <c r="O471" s="344"/>
      <c r="P471" s="344"/>
      <c r="Q471" s="344"/>
      <c r="R471" s="344"/>
      <c r="S471" s="344"/>
      <c r="T471" s="344"/>
      <c r="U471" s="344"/>
    </row>
    <row r="472" spans="1:21" ht="19.5" customHeight="1">
      <c r="A472" s="344" t="s">
        <v>56</v>
      </c>
      <c r="B472" s="344" t="s">
        <v>57</v>
      </c>
      <c r="C472" s="360" t="s">
        <v>58</v>
      </c>
      <c r="D472" s="344"/>
      <c r="E472" s="344"/>
      <c r="F472" s="344"/>
      <c r="G472" s="344"/>
      <c r="H472" s="344"/>
      <c r="I472" s="344"/>
      <c r="J472" s="344"/>
      <c r="K472" s="344"/>
      <c r="L472" s="344"/>
      <c r="M472" s="344"/>
      <c r="N472" s="344"/>
      <c r="O472" s="344"/>
      <c r="P472" s="344"/>
      <c r="Q472" s="344"/>
      <c r="R472" s="344"/>
      <c r="S472" s="344"/>
      <c r="T472" s="344"/>
      <c r="U472" s="344"/>
    </row>
    <row r="473" spans="1:21" ht="19.5" customHeight="1">
      <c r="A473" s="344" t="s">
        <v>59</v>
      </c>
      <c r="B473" s="344" t="s">
        <v>60</v>
      </c>
      <c r="C473" s="360" t="s">
        <v>61</v>
      </c>
      <c r="D473" s="344"/>
      <c r="E473" s="344"/>
      <c r="F473" s="344"/>
      <c r="G473" s="344"/>
      <c r="H473" s="344"/>
      <c r="I473" s="344"/>
      <c r="J473" s="344"/>
      <c r="K473" s="344"/>
      <c r="L473" s="344"/>
      <c r="M473" s="344"/>
      <c r="N473" s="344"/>
      <c r="O473" s="344"/>
      <c r="P473" s="344"/>
      <c r="Q473" s="344"/>
      <c r="R473" s="344"/>
      <c r="S473" s="344"/>
      <c r="T473" s="344"/>
      <c r="U473" s="344"/>
    </row>
    <row r="474" spans="1:21" ht="19.5" customHeight="1">
      <c r="A474" s="344" t="s">
        <v>62</v>
      </c>
      <c r="B474" s="344" t="s">
        <v>63</v>
      </c>
      <c r="C474" s="360" t="s">
        <v>64</v>
      </c>
      <c r="D474" s="344"/>
      <c r="E474" s="344"/>
      <c r="F474" s="344"/>
      <c r="G474" s="344"/>
      <c r="H474" s="344"/>
      <c r="I474" s="344"/>
      <c r="J474" s="344"/>
      <c r="K474" s="344"/>
      <c r="L474" s="344"/>
      <c r="M474" s="344"/>
      <c r="N474" s="344"/>
      <c r="O474" s="344"/>
      <c r="P474" s="344"/>
      <c r="Q474" s="344"/>
      <c r="R474" s="344"/>
      <c r="S474" s="344"/>
      <c r="T474" s="344"/>
      <c r="U474" s="344"/>
    </row>
    <row r="475" spans="1:21" ht="19.5" customHeight="1">
      <c r="A475" s="344" t="s">
        <v>65</v>
      </c>
      <c r="B475" s="344" t="s">
        <v>66</v>
      </c>
      <c r="C475" s="360" t="s">
        <v>67</v>
      </c>
      <c r="D475" s="344"/>
      <c r="E475" s="344"/>
      <c r="F475" s="344"/>
      <c r="G475" s="344"/>
      <c r="H475" s="344"/>
      <c r="I475" s="344"/>
      <c r="J475" s="344"/>
      <c r="K475" s="344"/>
      <c r="L475" s="344"/>
      <c r="M475" s="344"/>
      <c r="N475" s="344"/>
      <c r="O475" s="344"/>
      <c r="P475" s="344"/>
      <c r="Q475" s="344"/>
      <c r="R475" s="344"/>
      <c r="S475" s="344"/>
      <c r="T475" s="344"/>
      <c r="U475" s="344"/>
    </row>
    <row r="476" spans="1:21" ht="19.5" customHeight="1">
      <c r="A476" s="344" t="s">
        <v>68</v>
      </c>
      <c r="B476" s="344" t="s">
        <v>69</v>
      </c>
      <c r="C476" s="360" t="s">
        <v>70</v>
      </c>
      <c r="D476" s="344"/>
      <c r="E476" s="344"/>
      <c r="F476" s="344"/>
      <c r="G476" s="344"/>
      <c r="H476" s="344"/>
      <c r="I476" s="344"/>
      <c r="J476" s="344"/>
      <c r="K476" s="344"/>
      <c r="L476" s="344"/>
      <c r="M476" s="344"/>
      <c r="N476" s="344"/>
      <c r="O476" s="344"/>
      <c r="P476" s="344"/>
      <c r="Q476" s="344"/>
      <c r="R476" s="344"/>
      <c r="S476" s="344"/>
      <c r="T476" s="344"/>
      <c r="U476" s="344"/>
    </row>
    <row r="477" spans="1:21" ht="19.5" customHeight="1">
      <c r="A477" s="344" t="s">
        <v>71</v>
      </c>
      <c r="B477" s="344" t="s">
        <v>135</v>
      </c>
      <c r="C477" s="360" t="s">
        <v>72</v>
      </c>
      <c r="D477" s="344">
        <v>4.58</v>
      </c>
      <c r="E477" s="344"/>
      <c r="F477" s="344"/>
      <c r="G477" s="344"/>
      <c r="H477" s="344"/>
      <c r="I477" s="344"/>
      <c r="J477" s="344"/>
      <c r="K477" s="344"/>
      <c r="L477" s="344"/>
      <c r="M477" s="344"/>
      <c r="N477" s="344"/>
      <c r="O477" s="344"/>
      <c r="P477" s="344"/>
      <c r="Q477" s="344"/>
      <c r="R477" s="344"/>
      <c r="S477" s="344"/>
      <c r="T477" s="344"/>
      <c r="U477" s="344"/>
    </row>
    <row r="478" spans="1:21" ht="19.5" customHeight="1">
      <c r="A478" s="344" t="s">
        <v>73</v>
      </c>
      <c r="B478" s="344" t="s">
        <v>74</v>
      </c>
      <c r="C478" s="360" t="s">
        <v>75</v>
      </c>
      <c r="D478" s="344"/>
      <c r="E478" s="344"/>
      <c r="F478" s="344"/>
      <c r="G478" s="344"/>
      <c r="H478" s="344"/>
      <c r="I478" s="344"/>
      <c r="J478" s="344"/>
      <c r="K478" s="344"/>
      <c r="L478" s="344"/>
      <c r="M478" s="344"/>
      <c r="N478" s="344"/>
      <c r="O478" s="344"/>
      <c r="P478" s="344"/>
      <c r="Q478" s="344"/>
      <c r="R478" s="344"/>
      <c r="S478" s="344"/>
      <c r="T478" s="344"/>
      <c r="U478" s="344"/>
    </row>
    <row r="479" spans="1:21" ht="19.5" customHeight="1">
      <c r="A479" s="344" t="s">
        <v>76</v>
      </c>
      <c r="B479" s="344" t="s">
        <v>77</v>
      </c>
      <c r="C479" s="360" t="s">
        <v>78</v>
      </c>
      <c r="D479" s="344"/>
      <c r="E479" s="344"/>
      <c r="F479" s="344"/>
      <c r="G479" s="344"/>
      <c r="H479" s="344"/>
      <c r="I479" s="344"/>
      <c r="J479" s="344"/>
      <c r="K479" s="344"/>
      <c r="L479" s="344"/>
      <c r="M479" s="344"/>
      <c r="N479" s="344"/>
      <c r="O479" s="344"/>
      <c r="P479" s="344"/>
      <c r="Q479" s="344"/>
      <c r="R479" s="344"/>
      <c r="S479" s="344"/>
      <c r="T479" s="344"/>
      <c r="U479" s="344"/>
    </row>
    <row r="480" spans="1:21" ht="19.5" customHeight="1">
      <c r="A480" s="344" t="s">
        <v>79</v>
      </c>
      <c r="B480" s="344" t="s">
        <v>80</v>
      </c>
      <c r="C480" s="360" t="s">
        <v>81</v>
      </c>
      <c r="D480" s="344"/>
      <c r="E480" s="344"/>
      <c r="F480" s="344"/>
      <c r="G480" s="344"/>
      <c r="H480" s="344"/>
      <c r="I480" s="344"/>
      <c r="J480" s="344"/>
      <c r="K480" s="344"/>
      <c r="L480" s="344"/>
      <c r="M480" s="344"/>
      <c r="N480" s="344"/>
      <c r="O480" s="344"/>
      <c r="P480" s="344"/>
      <c r="Q480" s="344"/>
      <c r="R480" s="344"/>
      <c r="S480" s="344"/>
      <c r="T480" s="344"/>
      <c r="U480" s="344"/>
    </row>
    <row r="481" spans="1:21" ht="19.5" customHeight="1">
      <c r="A481" s="344" t="s">
        <v>82</v>
      </c>
      <c r="B481" s="344" t="s">
        <v>83</v>
      </c>
      <c r="C481" s="360" t="s">
        <v>84</v>
      </c>
      <c r="D481" s="344"/>
      <c r="E481" s="344"/>
      <c r="F481" s="344"/>
      <c r="G481" s="344"/>
      <c r="H481" s="344"/>
      <c r="I481" s="344"/>
      <c r="J481" s="344"/>
      <c r="K481" s="344"/>
      <c r="L481" s="344"/>
      <c r="M481" s="344"/>
      <c r="N481" s="344"/>
      <c r="O481" s="344"/>
      <c r="P481" s="344"/>
      <c r="Q481" s="344"/>
      <c r="R481" s="344"/>
      <c r="S481" s="344"/>
      <c r="T481" s="344"/>
      <c r="U481" s="344"/>
    </row>
    <row r="482" spans="1:21" ht="19.5" customHeight="1">
      <c r="A482" s="344" t="s">
        <v>85</v>
      </c>
      <c r="B482" s="344" t="s">
        <v>86</v>
      </c>
      <c r="C482" s="360" t="s">
        <v>87</v>
      </c>
      <c r="D482" s="344"/>
      <c r="E482" s="344"/>
      <c r="F482" s="344"/>
      <c r="G482" s="344"/>
      <c r="H482" s="344"/>
      <c r="I482" s="344"/>
      <c r="J482" s="344"/>
      <c r="K482" s="344"/>
      <c r="L482" s="344"/>
      <c r="M482" s="344"/>
      <c r="N482" s="344"/>
      <c r="O482" s="344"/>
      <c r="P482" s="344"/>
      <c r="Q482" s="344"/>
      <c r="R482" s="344"/>
      <c r="S482" s="344"/>
      <c r="T482" s="344"/>
      <c r="U482" s="344"/>
    </row>
    <row r="483" spans="1:21" ht="19.5" customHeight="1">
      <c r="A483" s="344" t="s">
        <v>88</v>
      </c>
      <c r="B483" s="344" t="s">
        <v>89</v>
      </c>
      <c r="C483" s="360" t="s">
        <v>90</v>
      </c>
      <c r="D483" s="344"/>
      <c r="E483" s="344"/>
      <c r="F483" s="344"/>
      <c r="G483" s="344"/>
      <c r="H483" s="344"/>
      <c r="I483" s="344"/>
      <c r="J483" s="344"/>
      <c r="K483" s="344"/>
      <c r="L483" s="344"/>
      <c r="M483" s="344"/>
      <c r="N483" s="344"/>
      <c r="O483" s="344"/>
      <c r="P483" s="344"/>
      <c r="Q483" s="344"/>
      <c r="R483" s="344"/>
      <c r="S483" s="344"/>
      <c r="T483" s="344"/>
      <c r="U483" s="344"/>
    </row>
    <row r="484" spans="1:21" ht="19.5" customHeight="1">
      <c r="A484" s="344" t="s">
        <v>91</v>
      </c>
      <c r="B484" s="344" t="s">
        <v>92</v>
      </c>
      <c r="C484" s="360" t="s">
        <v>93</v>
      </c>
      <c r="D484" s="344"/>
      <c r="E484" s="344"/>
      <c r="F484" s="344"/>
      <c r="G484" s="344"/>
      <c r="H484" s="344"/>
      <c r="I484" s="344"/>
      <c r="J484" s="344"/>
      <c r="K484" s="344"/>
      <c r="L484" s="344"/>
      <c r="M484" s="344"/>
      <c r="N484" s="344"/>
      <c r="O484" s="344"/>
      <c r="P484" s="344"/>
      <c r="Q484" s="344"/>
      <c r="R484" s="344"/>
      <c r="S484" s="344"/>
      <c r="T484" s="344"/>
      <c r="U484" s="344"/>
    </row>
    <row r="485" spans="1:21" ht="19.5" customHeight="1">
      <c r="A485" s="344" t="s">
        <v>94</v>
      </c>
      <c r="B485" s="344" t="s">
        <v>95</v>
      </c>
      <c r="C485" s="360" t="s">
        <v>96</v>
      </c>
      <c r="D485" s="344"/>
      <c r="E485" s="344"/>
      <c r="F485" s="344"/>
      <c r="G485" s="344"/>
      <c r="H485" s="344"/>
      <c r="I485" s="344"/>
      <c r="J485" s="344"/>
      <c r="K485" s="344"/>
      <c r="L485" s="344"/>
      <c r="M485" s="344"/>
      <c r="N485" s="344"/>
      <c r="O485" s="344"/>
      <c r="P485" s="344"/>
      <c r="Q485" s="344"/>
      <c r="R485" s="344"/>
      <c r="S485" s="344"/>
      <c r="T485" s="344"/>
      <c r="U485" s="344"/>
    </row>
    <row r="486" spans="1:21" ht="19.5" customHeight="1">
      <c r="A486" s="344" t="s">
        <v>97</v>
      </c>
      <c r="B486" s="344" t="s">
        <v>98</v>
      </c>
      <c r="C486" s="360" t="s">
        <v>99</v>
      </c>
      <c r="D486" s="344"/>
      <c r="E486" s="344"/>
      <c r="F486" s="344"/>
      <c r="G486" s="344"/>
      <c r="H486" s="344"/>
      <c r="I486" s="344"/>
      <c r="J486" s="344"/>
      <c r="K486" s="344"/>
      <c r="L486" s="344"/>
      <c r="M486" s="344"/>
      <c r="N486" s="344"/>
      <c r="O486" s="344"/>
      <c r="P486" s="344"/>
      <c r="Q486" s="344"/>
      <c r="R486" s="344"/>
      <c r="S486" s="344"/>
      <c r="T486" s="344"/>
      <c r="U486" s="344"/>
    </row>
    <row r="487" spans="1:21" ht="19.5" customHeight="1">
      <c r="A487" s="344" t="s">
        <v>100</v>
      </c>
      <c r="B487" s="344" t="s">
        <v>134</v>
      </c>
      <c r="C487" s="360" t="s">
        <v>101</v>
      </c>
      <c r="D487" s="344"/>
      <c r="E487" s="344"/>
      <c r="F487" s="344"/>
      <c r="G487" s="344"/>
      <c r="H487" s="344"/>
      <c r="I487" s="344"/>
      <c r="J487" s="344"/>
      <c r="K487" s="344"/>
      <c r="L487" s="344"/>
      <c r="M487" s="344"/>
      <c r="N487" s="344"/>
      <c r="O487" s="344"/>
      <c r="P487" s="344"/>
      <c r="Q487" s="344"/>
      <c r="R487" s="344"/>
      <c r="S487" s="344"/>
      <c r="T487" s="344"/>
      <c r="U487" s="344"/>
    </row>
    <row r="488" spans="1:21" ht="19.5" customHeight="1">
      <c r="A488" s="344" t="s">
        <v>102</v>
      </c>
      <c r="B488" s="344" t="s">
        <v>103</v>
      </c>
      <c r="C488" s="360" t="s">
        <v>104</v>
      </c>
      <c r="D488" s="344"/>
      <c r="E488" s="344"/>
      <c r="F488" s="344"/>
      <c r="G488" s="344"/>
      <c r="H488" s="344"/>
      <c r="I488" s="344"/>
      <c r="J488" s="344"/>
      <c r="K488" s="344"/>
      <c r="L488" s="344"/>
      <c r="M488" s="344"/>
      <c r="N488" s="344"/>
      <c r="O488" s="344"/>
      <c r="P488" s="344"/>
      <c r="Q488" s="344"/>
      <c r="R488" s="344"/>
      <c r="S488" s="344"/>
      <c r="T488" s="344"/>
      <c r="U488" s="344"/>
    </row>
    <row r="489" spans="1:21" ht="19.5" customHeight="1">
      <c r="A489" s="344" t="s">
        <v>105</v>
      </c>
      <c r="B489" s="344" t="s">
        <v>106</v>
      </c>
      <c r="C489" s="360" t="s">
        <v>107</v>
      </c>
      <c r="D489" s="344"/>
      <c r="E489" s="344"/>
      <c r="F489" s="344"/>
      <c r="G489" s="344"/>
      <c r="H489" s="344"/>
      <c r="I489" s="344"/>
      <c r="J489" s="344"/>
      <c r="K489" s="344"/>
      <c r="L489" s="344"/>
      <c r="M489" s="344"/>
      <c r="N489" s="344"/>
      <c r="O489" s="344"/>
      <c r="P489" s="344"/>
      <c r="Q489" s="344"/>
      <c r="R489" s="344"/>
      <c r="S489" s="344"/>
      <c r="T489" s="344"/>
      <c r="U489" s="344"/>
    </row>
    <row r="490" spans="1:21" ht="19.5" customHeight="1">
      <c r="A490" s="344" t="s">
        <v>108</v>
      </c>
      <c r="B490" s="344" t="s">
        <v>109</v>
      </c>
      <c r="C490" s="360" t="s">
        <v>110</v>
      </c>
      <c r="D490" s="344"/>
      <c r="E490" s="344"/>
      <c r="F490" s="344"/>
      <c r="G490" s="344"/>
      <c r="H490" s="344"/>
      <c r="I490" s="344"/>
      <c r="J490" s="344"/>
      <c r="K490" s="344"/>
      <c r="L490" s="344"/>
      <c r="M490" s="344"/>
      <c r="N490" s="344"/>
      <c r="O490" s="344"/>
      <c r="P490" s="344"/>
      <c r="Q490" s="344"/>
      <c r="R490" s="344"/>
      <c r="S490" s="344"/>
      <c r="T490" s="344"/>
      <c r="U490" s="344"/>
    </row>
    <row r="491" spans="1:21" ht="19.5" customHeight="1">
      <c r="A491" s="344" t="s">
        <v>111</v>
      </c>
      <c r="B491" s="344" t="s">
        <v>112</v>
      </c>
      <c r="C491" s="360" t="s">
        <v>113</v>
      </c>
      <c r="D491" s="344">
        <v>0.02</v>
      </c>
      <c r="E491" s="344"/>
      <c r="F491" s="344"/>
      <c r="G491" s="344"/>
      <c r="H491" s="344"/>
      <c r="I491" s="344"/>
      <c r="J491" s="344"/>
      <c r="K491" s="344"/>
      <c r="L491" s="344"/>
      <c r="M491" s="344"/>
      <c r="N491" s="344"/>
      <c r="O491" s="344"/>
      <c r="P491" s="344"/>
      <c r="Q491" s="344"/>
      <c r="R491" s="344"/>
      <c r="S491" s="344"/>
      <c r="T491" s="344"/>
      <c r="U491" s="344"/>
    </row>
    <row r="492" spans="1:21" ht="19.5" customHeight="1">
      <c r="A492" s="344" t="s">
        <v>114</v>
      </c>
      <c r="B492" s="344" t="s">
        <v>115</v>
      </c>
      <c r="C492" s="360" t="s">
        <v>116</v>
      </c>
      <c r="D492" s="344"/>
      <c r="E492" s="344"/>
      <c r="F492" s="344"/>
      <c r="G492" s="344"/>
      <c r="H492" s="344"/>
      <c r="I492" s="344"/>
      <c r="J492" s="344"/>
      <c r="K492" s="344"/>
      <c r="L492" s="344"/>
      <c r="M492" s="344"/>
      <c r="N492" s="344"/>
      <c r="O492" s="344"/>
      <c r="P492" s="344"/>
      <c r="Q492" s="344"/>
      <c r="R492" s="344"/>
      <c r="S492" s="344"/>
      <c r="T492" s="344"/>
      <c r="U492" s="344"/>
    </row>
    <row r="493" spans="1:21" ht="19.5" customHeight="1">
      <c r="A493" s="344" t="s">
        <v>117</v>
      </c>
      <c r="B493" s="344" t="s">
        <v>118</v>
      </c>
      <c r="C493" s="360" t="s">
        <v>119</v>
      </c>
      <c r="D493" s="344"/>
      <c r="E493" s="344"/>
      <c r="F493" s="344"/>
      <c r="G493" s="344"/>
      <c r="H493" s="344"/>
      <c r="I493" s="344"/>
      <c r="J493" s="344"/>
      <c r="K493" s="344"/>
      <c r="L493" s="344"/>
      <c r="M493" s="344"/>
      <c r="N493" s="344"/>
      <c r="O493" s="344"/>
      <c r="P493" s="344"/>
      <c r="Q493" s="344"/>
      <c r="R493" s="344"/>
      <c r="S493" s="344"/>
      <c r="T493" s="344"/>
      <c r="U493" s="344"/>
    </row>
    <row r="494" spans="1:21" ht="19.5" customHeight="1">
      <c r="A494" s="344" t="s">
        <v>120</v>
      </c>
      <c r="B494" s="344" t="s">
        <v>121</v>
      </c>
      <c r="C494" s="360" t="s">
        <v>122</v>
      </c>
      <c r="D494" s="344"/>
      <c r="E494" s="344"/>
      <c r="F494" s="344"/>
      <c r="G494" s="344"/>
      <c r="H494" s="344"/>
      <c r="I494" s="344"/>
      <c r="J494" s="344"/>
      <c r="K494" s="344"/>
      <c r="L494" s="344"/>
      <c r="M494" s="344"/>
      <c r="N494" s="344"/>
      <c r="O494" s="344"/>
      <c r="P494" s="344"/>
      <c r="Q494" s="344"/>
      <c r="R494" s="344"/>
      <c r="S494" s="344"/>
      <c r="T494" s="344"/>
      <c r="U494" s="344"/>
    </row>
    <row r="495" spans="1:21" ht="19.5" customHeight="1">
      <c r="A495" s="344">
        <v>3</v>
      </c>
      <c r="B495" s="344" t="s">
        <v>123</v>
      </c>
      <c r="C495" s="360" t="s">
        <v>124</v>
      </c>
      <c r="D495" s="344"/>
      <c r="E495" s="344"/>
      <c r="F495" s="344"/>
      <c r="G495" s="344"/>
      <c r="H495" s="344"/>
      <c r="I495" s="344"/>
      <c r="J495" s="344"/>
      <c r="K495" s="344"/>
      <c r="L495" s="344"/>
      <c r="M495" s="344"/>
      <c r="N495" s="344"/>
      <c r="O495" s="344"/>
      <c r="P495" s="344"/>
      <c r="Q495" s="344"/>
      <c r="R495" s="344"/>
      <c r="S495" s="344"/>
      <c r="T495" s="344"/>
      <c r="U495" s="344"/>
    </row>
    <row r="496" spans="1:21" ht="19.5" customHeight="1">
      <c r="A496" s="1355" t="s">
        <v>356</v>
      </c>
      <c r="B496" s="1355"/>
      <c r="C496" s="372"/>
      <c r="D496" s="372"/>
      <c r="E496" s="372"/>
      <c r="F496" s="372"/>
      <c r="G496" s="372"/>
      <c r="H496" s="372"/>
      <c r="I496" s="372"/>
      <c r="J496" s="372"/>
      <c r="K496" s="372"/>
      <c r="L496" s="372"/>
      <c r="M496" s="372"/>
      <c r="N496" s="372"/>
      <c r="O496" s="372"/>
      <c r="P496" s="372"/>
      <c r="Q496" s="372"/>
      <c r="R496" s="372"/>
      <c r="S496" s="372"/>
      <c r="T496" s="372"/>
      <c r="U496" s="372"/>
    </row>
    <row r="497" spans="1:21" ht="19.5" customHeight="1">
      <c r="A497" s="1354" t="s">
        <v>185</v>
      </c>
      <c r="B497" s="1354"/>
      <c r="C497" s="1354"/>
      <c r="D497" s="1354"/>
      <c r="E497" s="1354"/>
      <c r="F497" s="1354"/>
      <c r="G497" s="1354"/>
      <c r="H497" s="1354"/>
      <c r="I497" s="1354"/>
      <c r="J497" s="1354"/>
      <c r="K497" s="1354"/>
      <c r="L497" s="1354"/>
      <c r="M497" s="1354"/>
      <c r="N497" s="1354"/>
      <c r="O497" s="1354"/>
      <c r="P497" s="1354"/>
      <c r="Q497" s="1354"/>
      <c r="R497" s="1354"/>
      <c r="S497" s="1354"/>
      <c r="T497" s="1354"/>
      <c r="U497" s="1354"/>
    </row>
    <row r="498" spans="1:21" ht="19.5" customHeight="1">
      <c r="A498" s="1354" t="s">
        <v>322</v>
      </c>
      <c r="B498" s="1354"/>
      <c r="C498" s="1354"/>
      <c r="D498" s="1354"/>
      <c r="E498" s="1354"/>
      <c r="F498" s="1354"/>
      <c r="G498" s="1354"/>
      <c r="H498" s="1354"/>
      <c r="I498" s="1354"/>
      <c r="J498" s="1354"/>
      <c r="K498" s="1354"/>
      <c r="L498" s="1354"/>
      <c r="M498" s="1354"/>
      <c r="N498" s="1354"/>
      <c r="O498" s="1354"/>
      <c r="P498" s="1354"/>
      <c r="Q498" s="1354"/>
      <c r="R498" s="1354"/>
      <c r="S498" s="1354"/>
      <c r="T498" s="1354"/>
      <c r="U498" s="1354"/>
    </row>
    <row r="499" spans="1:21" ht="19.5" customHeight="1"/>
    <row r="500" spans="1:21" ht="19.5" customHeight="1">
      <c r="A500" s="1356" t="s">
        <v>0</v>
      </c>
      <c r="B500" s="1356" t="s">
        <v>186</v>
      </c>
      <c r="C500" s="1356" t="s">
        <v>13</v>
      </c>
      <c r="D500" s="1356" t="s">
        <v>139</v>
      </c>
      <c r="E500" s="1356"/>
      <c r="F500" s="1356" t="s">
        <v>140</v>
      </c>
      <c r="G500" s="1356"/>
      <c r="H500" s="1356" t="s">
        <v>141</v>
      </c>
      <c r="I500" s="1356"/>
      <c r="J500" s="1356" t="s">
        <v>142</v>
      </c>
      <c r="K500" s="1356"/>
      <c r="L500" s="1356" t="s">
        <v>143</v>
      </c>
      <c r="M500" s="1356"/>
      <c r="N500" s="1356" t="s">
        <v>144</v>
      </c>
      <c r="O500" s="1356"/>
      <c r="P500" s="1356" t="s">
        <v>188</v>
      </c>
      <c r="Q500" s="1356"/>
      <c r="R500" s="1356" t="s">
        <v>145</v>
      </c>
      <c r="S500" s="1356"/>
      <c r="T500" s="1356" t="s">
        <v>146</v>
      </c>
      <c r="U500" s="1356"/>
    </row>
    <row r="501" spans="1:21" ht="43.5" customHeight="1">
      <c r="A501" s="1356"/>
      <c r="B501" s="1356"/>
      <c r="C501" s="1356"/>
      <c r="D501" s="360" t="s">
        <v>137</v>
      </c>
      <c r="E501" s="360" t="s">
        <v>187</v>
      </c>
      <c r="F501" s="360" t="s">
        <v>137</v>
      </c>
      <c r="G501" s="360" t="s">
        <v>187</v>
      </c>
      <c r="H501" s="360" t="s">
        <v>137</v>
      </c>
      <c r="I501" s="360" t="s">
        <v>187</v>
      </c>
      <c r="J501" s="360" t="s">
        <v>137</v>
      </c>
      <c r="K501" s="360" t="s">
        <v>187</v>
      </c>
      <c r="L501" s="360" t="s">
        <v>137</v>
      </c>
      <c r="M501" s="360" t="s">
        <v>187</v>
      </c>
      <c r="N501" s="360" t="s">
        <v>137</v>
      </c>
      <c r="O501" s="360" t="s">
        <v>187</v>
      </c>
      <c r="P501" s="360" t="s">
        <v>137</v>
      </c>
      <c r="Q501" s="360" t="s">
        <v>187</v>
      </c>
      <c r="R501" s="360" t="s">
        <v>137</v>
      </c>
      <c r="S501" s="360" t="s">
        <v>187</v>
      </c>
      <c r="T501" s="360" t="s">
        <v>137</v>
      </c>
      <c r="U501" s="360" t="s">
        <v>187</v>
      </c>
    </row>
    <row r="502" spans="1:21" ht="19.5" customHeight="1">
      <c r="A502" s="360">
        <v>1</v>
      </c>
      <c r="B502" s="362" t="s">
        <v>14</v>
      </c>
      <c r="C502" s="360" t="s">
        <v>15</v>
      </c>
      <c r="D502" s="360">
        <f>D503+D505+D506+D507+D508+D509+D510+D511+D512</f>
        <v>100</v>
      </c>
      <c r="E502" s="360">
        <f t="shared" ref="E502:U502" si="52">E503+E505+E506+E507+E508+E509+E510+E511+E512</f>
        <v>0</v>
      </c>
      <c r="F502" s="360">
        <f t="shared" si="52"/>
        <v>0</v>
      </c>
      <c r="G502" s="360">
        <f t="shared" si="52"/>
        <v>0</v>
      </c>
      <c r="H502" s="360">
        <f t="shared" si="52"/>
        <v>34</v>
      </c>
      <c r="I502" s="360">
        <f t="shared" si="52"/>
        <v>0</v>
      </c>
      <c r="J502" s="360">
        <f t="shared" si="52"/>
        <v>0</v>
      </c>
      <c r="K502" s="360">
        <f t="shared" si="52"/>
        <v>0</v>
      </c>
      <c r="L502" s="360">
        <f t="shared" si="52"/>
        <v>0</v>
      </c>
      <c r="M502" s="360">
        <f t="shared" si="52"/>
        <v>0</v>
      </c>
      <c r="N502" s="360">
        <f t="shared" si="52"/>
        <v>0</v>
      </c>
      <c r="O502" s="360">
        <f t="shared" si="52"/>
        <v>0</v>
      </c>
      <c r="P502" s="360">
        <f t="shared" si="52"/>
        <v>0</v>
      </c>
      <c r="Q502" s="360">
        <f t="shared" si="52"/>
        <v>0</v>
      </c>
      <c r="R502" s="360">
        <f t="shared" si="52"/>
        <v>0</v>
      </c>
      <c r="S502" s="360">
        <f t="shared" si="52"/>
        <v>0</v>
      </c>
      <c r="T502" s="360">
        <f t="shared" si="52"/>
        <v>0</v>
      </c>
      <c r="U502" s="360">
        <f t="shared" si="52"/>
        <v>0</v>
      </c>
    </row>
    <row r="503" spans="1:21" ht="19.5" customHeight="1">
      <c r="A503" s="360" t="s">
        <v>16</v>
      </c>
      <c r="B503" s="362" t="s">
        <v>17</v>
      </c>
      <c r="C503" s="360" t="s">
        <v>18</v>
      </c>
      <c r="D503" s="360">
        <f t="shared" ref="D503:U503" si="53">D504</f>
        <v>100</v>
      </c>
      <c r="E503" s="360">
        <f t="shared" si="53"/>
        <v>0</v>
      </c>
      <c r="F503" s="360">
        <f t="shared" si="53"/>
        <v>0</v>
      </c>
      <c r="G503" s="360">
        <f t="shared" si="53"/>
        <v>0</v>
      </c>
      <c r="H503" s="360">
        <f t="shared" si="53"/>
        <v>0</v>
      </c>
      <c r="I503" s="360">
        <f t="shared" si="53"/>
        <v>0</v>
      </c>
      <c r="J503" s="360">
        <f t="shared" si="53"/>
        <v>0</v>
      </c>
      <c r="K503" s="360">
        <f t="shared" si="53"/>
        <v>0</v>
      </c>
      <c r="L503" s="360">
        <f t="shared" si="53"/>
        <v>0</v>
      </c>
      <c r="M503" s="360">
        <f t="shared" si="53"/>
        <v>0</v>
      </c>
      <c r="N503" s="360">
        <f t="shared" si="53"/>
        <v>0</v>
      </c>
      <c r="O503" s="360">
        <f t="shared" si="53"/>
        <v>0</v>
      </c>
      <c r="P503" s="360">
        <f t="shared" si="53"/>
        <v>0</v>
      </c>
      <c r="Q503" s="360">
        <f t="shared" si="53"/>
        <v>0</v>
      </c>
      <c r="R503" s="360">
        <f t="shared" si="53"/>
        <v>0</v>
      </c>
      <c r="S503" s="360">
        <f t="shared" si="53"/>
        <v>0</v>
      </c>
      <c r="T503" s="360">
        <f t="shared" si="53"/>
        <v>0</v>
      </c>
      <c r="U503" s="360">
        <f t="shared" si="53"/>
        <v>0</v>
      </c>
    </row>
    <row r="504" spans="1:21" ht="19.5" customHeight="1">
      <c r="A504" s="360"/>
      <c r="B504" s="362" t="s">
        <v>19</v>
      </c>
      <c r="C504" s="360" t="s">
        <v>20</v>
      </c>
      <c r="D504" s="360">
        <v>100</v>
      </c>
      <c r="E504" s="360"/>
      <c r="F504" s="360"/>
      <c r="G504" s="360"/>
      <c r="H504" s="360"/>
      <c r="I504" s="360"/>
      <c r="J504" s="360"/>
      <c r="K504" s="360"/>
      <c r="L504" s="360"/>
      <c r="M504" s="360"/>
      <c r="N504" s="360"/>
      <c r="O504" s="360"/>
      <c r="P504" s="360"/>
      <c r="Q504" s="360"/>
      <c r="R504" s="360"/>
      <c r="S504" s="360"/>
      <c r="T504" s="360"/>
      <c r="U504" s="360"/>
    </row>
    <row r="505" spans="1:21" ht="19.5" customHeight="1">
      <c r="A505" s="360" t="s">
        <v>21</v>
      </c>
      <c r="B505" s="362" t="s">
        <v>22</v>
      </c>
      <c r="C505" s="360" t="s">
        <v>23</v>
      </c>
      <c r="D505" s="360"/>
      <c r="E505" s="360"/>
      <c r="F505" s="360"/>
      <c r="G505" s="360"/>
      <c r="H505" s="360"/>
      <c r="I505" s="360"/>
      <c r="J505" s="360"/>
      <c r="K505" s="360"/>
      <c r="L505" s="360"/>
      <c r="M505" s="360"/>
      <c r="N505" s="360"/>
      <c r="O505" s="360"/>
      <c r="P505" s="360"/>
      <c r="Q505" s="360"/>
      <c r="R505" s="360"/>
      <c r="S505" s="360"/>
      <c r="T505" s="360"/>
      <c r="U505" s="360"/>
    </row>
    <row r="506" spans="1:21" ht="19.5" customHeight="1">
      <c r="A506" s="360" t="s">
        <v>24</v>
      </c>
      <c r="B506" s="362" t="s">
        <v>25</v>
      </c>
      <c r="C506" s="360" t="s">
        <v>26</v>
      </c>
      <c r="D506" s="360"/>
      <c r="E506" s="360"/>
      <c r="F506" s="360"/>
      <c r="G506" s="360"/>
      <c r="H506" s="360"/>
      <c r="I506" s="360"/>
      <c r="J506" s="360"/>
      <c r="K506" s="360"/>
      <c r="L506" s="360"/>
      <c r="M506" s="360"/>
      <c r="N506" s="360"/>
      <c r="O506" s="360"/>
      <c r="P506" s="360"/>
      <c r="Q506" s="360"/>
      <c r="R506" s="360"/>
      <c r="S506" s="360"/>
      <c r="T506" s="360"/>
      <c r="U506" s="360"/>
    </row>
    <row r="507" spans="1:21" ht="19.5" customHeight="1">
      <c r="A507" s="360" t="s">
        <v>27</v>
      </c>
      <c r="B507" s="362" t="s">
        <v>28</v>
      </c>
      <c r="C507" s="360" t="s">
        <v>29</v>
      </c>
      <c r="D507" s="360"/>
      <c r="E507" s="360"/>
      <c r="F507" s="360"/>
      <c r="G507" s="360"/>
      <c r="H507" s="360">
        <v>34</v>
      </c>
      <c r="I507" s="360"/>
      <c r="J507" s="360"/>
      <c r="K507" s="360"/>
      <c r="L507" s="360"/>
      <c r="M507" s="360"/>
      <c r="N507" s="360"/>
      <c r="O507" s="360"/>
      <c r="P507" s="360"/>
      <c r="Q507" s="360"/>
      <c r="R507" s="360"/>
      <c r="S507" s="360"/>
      <c r="T507" s="360"/>
      <c r="U507" s="360"/>
    </row>
    <row r="508" spans="1:21" ht="19.5" customHeight="1">
      <c r="A508" s="360" t="s">
        <v>30</v>
      </c>
      <c r="B508" s="362" t="s">
        <v>31</v>
      </c>
      <c r="C508" s="360" t="s">
        <v>32</v>
      </c>
      <c r="D508" s="360"/>
      <c r="E508" s="360"/>
      <c r="F508" s="360"/>
      <c r="G508" s="360"/>
      <c r="H508" s="360"/>
      <c r="I508" s="360"/>
      <c r="J508" s="360"/>
      <c r="K508" s="360"/>
      <c r="L508" s="360"/>
      <c r="M508" s="360"/>
      <c r="N508" s="360"/>
      <c r="O508" s="360"/>
      <c r="P508" s="360"/>
      <c r="Q508" s="360"/>
      <c r="R508" s="360"/>
      <c r="S508" s="360"/>
      <c r="T508" s="360"/>
      <c r="U508" s="360"/>
    </row>
    <row r="509" spans="1:21" ht="19.5" customHeight="1">
      <c r="A509" s="360" t="s">
        <v>33</v>
      </c>
      <c r="B509" s="362" t="s">
        <v>34</v>
      </c>
      <c r="C509" s="360" t="s">
        <v>35</v>
      </c>
      <c r="D509" s="360"/>
      <c r="E509" s="360"/>
      <c r="F509" s="360"/>
      <c r="G509" s="360"/>
      <c r="H509" s="360"/>
      <c r="I509" s="360"/>
      <c r="J509" s="360"/>
      <c r="K509" s="360"/>
      <c r="L509" s="360"/>
      <c r="M509" s="360"/>
      <c r="N509" s="360"/>
      <c r="O509" s="360"/>
      <c r="P509" s="360"/>
      <c r="Q509" s="360"/>
      <c r="R509" s="360"/>
      <c r="S509" s="360"/>
      <c r="T509" s="360"/>
      <c r="U509" s="360"/>
    </row>
    <row r="510" spans="1:21" ht="19.5" customHeight="1">
      <c r="A510" s="360" t="s">
        <v>36</v>
      </c>
      <c r="B510" s="362" t="s">
        <v>37</v>
      </c>
      <c r="C510" s="360" t="s">
        <v>38</v>
      </c>
      <c r="D510" s="360"/>
      <c r="E510" s="360"/>
      <c r="F510" s="360"/>
      <c r="G510" s="360"/>
      <c r="H510" s="360"/>
      <c r="I510" s="360"/>
      <c r="J510" s="360"/>
      <c r="K510" s="360"/>
      <c r="L510" s="360"/>
      <c r="M510" s="360"/>
      <c r="N510" s="360"/>
      <c r="O510" s="360"/>
      <c r="P510" s="360"/>
      <c r="Q510" s="360"/>
      <c r="R510" s="360"/>
      <c r="S510" s="360"/>
      <c r="T510" s="360"/>
      <c r="U510" s="360"/>
    </row>
    <row r="511" spans="1:21" ht="19.5" customHeight="1">
      <c r="A511" s="360" t="s">
        <v>39</v>
      </c>
      <c r="B511" s="362" t="s">
        <v>40</v>
      </c>
      <c r="C511" s="360" t="s">
        <v>41</v>
      </c>
      <c r="D511" s="360"/>
      <c r="E511" s="360"/>
      <c r="F511" s="360"/>
      <c r="G511" s="360"/>
      <c r="H511" s="360"/>
      <c r="I511" s="360"/>
      <c r="J511" s="360"/>
      <c r="K511" s="360"/>
      <c r="L511" s="360"/>
      <c r="M511" s="360"/>
      <c r="N511" s="360"/>
      <c r="O511" s="360"/>
      <c r="P511" s="360"/>
      <c r="Q511" s="360"/>
      <c r="R511" s="360"/>
      <c r="S511" s="360"/>
      <c r="T511" s="360"/>
      <c r="U511" s="360"/>
    </row>
    <row r="512" spans="1:21" ht="19.5" customHeight="1">
      <c r="A512" s="360">
        <v>2</v>
      </c>
      <c r="B512" s="362" t="s">
        <v>43</v>
      </c>
      <c r="C512" s="360" t="s">
        <v>44</v>
      </c>
      <c r="D512" s="360"/>
      <c r="E512" s="360"/>
      <c r="F512" s="360"/>
      <c r="G512" s="360"/>
      <c r="H512" s="360"/>
      <c r="I512" s="360"/>
      <c r="J512" s="360"/>
      <c r="K512" s="360"/>
      <c r="L512" s="360"/>
      <c r="M512" s="360"/>
      <c r="N512" s="360"/>
      <c r="O512" s="360"/>
      <c r="P512" s="360"/>
      <c r="Q512" s="360"/>
      <c r="R512" s="360"/>
      <c r="S512" s="360"/>
      <c r="T512" s="360"/>
      <c r="U512" s="360"/>
    </row>
    <row r="513" spans="1:21" ht="19.5" customHeight="1">
      <c r="A513" s="360">
        <v>2</v>
      </c>
      <c r="B513" s="362" t="s">
        <v>45</v>
      </c>
      <c r="C513" s="360" t="s">
        <v>46</v>
      </c>
      <c r="D513" s="360">
        <f>SUM(D514:D539)</f>
        <v>4</v>
      </c>
      <c r="E513" s="360">
        <f t="shared" ref="E513:U513" si="54">SUM(E514:E539)</f>
        <v>0</v>
      </c>
      <c r="F513" s="360">
        <f t="shared" si="54"/>
        <v>0</v>
      </c>
      <c r="G513" s="360">
        <f t="shared" si="54"/>
        <v>0</v>
      </c>
      <c r="H513" s="360">
        <f t="shared" si="54"/>
        <v>0.3</v>
      </c>
      <c r="I513" s="360">
        <f t="shared" si="54"/>
        <v>0</v>
      </c>
      <c r="J513" s="360">
        <f t="shared" si="54"/>
        <v>0</v>
      </c>
      <c r="K513" s="360">
        <f t="shared" si="54"/>
        <v>0</v>
      </c>
      <c r="L513" s="360">
        <f t="shared" si="54"/>
        <v>0</v>
      </c>
      <c r="M513" s="360">
        <f t="shared" si="54"/>
        <v>0</v>
      </c>
      <c r="N513" s="360">
        <f t="shared" si="54"/>
        <v>0</v>
      </c>
      <c r="O513" s="360">
        <f t="shared" si="54"/>
        <v>0</v>
      </c>
      <c r="P513" s="360">
        <f t="shared" si="54"/>
        <v>0</v>
      </c>
      <c r="Q513" s="360">
        <f t="shared" si="54"/>
        <v>0</v>
      </c>
      <c r="R513" s="360">
        <f t="shared" si="54"/>
        <v>0</v>
      </c>
      <c r="S513" s="360">
        <f t="shared" si="54"/>
        <v>0</v>
      </c>
      <c r="T513" s="360">
        <f t="shared" si="54"/>
        <v>0</v>
      </c>
      <c r="U513" s="360">
        <f t="shared" si="54"/>
        <v>0</v>
      </c>
    </row>
    <row r="514" spans="1:21" ht="19.5" customHeight="1">
      <c r="A514" s="360" t="s">
        <v>47</v>
      </c>
      <c r="B514" s="362" t="s">
        <v>48</v>
      </c>
      <c r="C514" s="360" t="s">
        <v>49</v>
      </c>
      <c r="D514" s="360"/>
      <c r="E514" s="360"/>
      <c r="F514" s="360"/>
      <c r="G514" s="360"/>
      <c r="H514" s="360"/>
      <c r="I514" s="360"/>
      <c r="J514" s="360"/>
      <c r="K514" s="360"/>
      <c r="L514" s="360"/>
      <c r="M514" s="360"/>
      <c r="N514" s="360"/>
      <c r="O514" s="360"/>
      <c r="P514" s="360"/>
      <c r="Q514" s="360"/>
      <c r="R514" s="360"/>
      <c r="S514" s="360"/>
      <c r="T514" s="360"/>
      <c r="U514" s="360"/>
    </row>
    <row r="515" spans="1:21" ht="19.5" customHeight="1">
      <c r="A515" s="360" t="s">
        <v>50</v>
      </c>
      <c r="B515" s="362" t="s">
        <v>51</v>
      </c>
      <c r="C515" s="360" t="s">
        <v>52</v>
      </c>
      <c r="D515" s="360"/>
      <c r="E515" s="360"/>
      <c r="F515" s="360"/>
      <c r="G515" s="360"/>
      <c r="H515" s="360"/>
      <c r="I515" s="360"/>
      <c r="J515" s="360"/>
      <c r="K515" s="360"/>
      <c r="L515" s="360"/>
      <c r="M515" s="360"/>
      <c r="N515" s="360"/>
      <c r="O515" s="360"/>
      <c r="P515" s="360"/>
      <c r="Q515" s="360"/>
      <c r="R515" s="360"/>
      <c r="S515" s="360"/>
      <c r="T515" s="360"/>
      <c r="U515" s="360"/>
    </row>
    <row r="516" spans="1:21" ht="19.5" customHeight="1">
      <c r="A516" s="360" t="s">
        <v>53</v>
      </c>
      <c r="B516" s="362" t="s">
        <v>54</v>
      </c>
      <c r="C516" s="360" t="s">
        <v>55</v>
      </c>
      <c r="D516" s="360"/>
      <c r="E516" s="360"/>
      <c r="F516" s="360"/>
      <c r="G516" s="360"/>
      <c r="H516" s="360"/>
      <c r="I516" s="360"/>
      <c r="J516" s="360"/>
      <c r="K516" s="360"/>
      <c r="L516" s="360"/>
      <c r="M516" s="360"/>
      <c r="N516" s="360"/>
      <c r="O516" s="360"/>
      <c r="P516" s="360"/>
      <c r="Q516" s="360"/>
      <c r="R516" s="360"/>
      <c r="S516" s="360"/>
      <c r="T516" s="360"/>
      <c r="U516" s="360"/>
    </row>
    <row r="517" spans="1:21" ht="19.5" customHeight="1">
      <c r="A517" s="360" t="s">
        <v>56</v>
      </c>
      <c r="B517" s="362" t="s">
        <v>57</v>
      </c>
      <c r="C517" s="360" t="s">
        <v>58</v>
      </c>
      <c r="D517" s="360"/>
      <c r="E517" s="360"/>
      <c r="F517" s="360"/>
      <c r="G517" s="360"/>
      <c r="H517" s="360"/>
      <c r="I517" s="360"/>
      <c r="J517" s="360"/>
      <c r="K517" s="360"/>
      <c r="L517" s="360"/>
      <c r="M517" s="360"/>
      <c r="N517" s="360"/>
      <c r="O517" s="360"/>
      <c r="P517" s="360"/>
      <c r="Q517" s="360"/>
      <c r="R517" s="360"/>
      <c r="S517" s="360"/>
      <c r="T517" s="360"/>
      <c r="U517" s="360"/>
    </row>
    <row r="518" spans="1:21" ht="19.5" customHeight="1">
      <c r="A518" s="360" t="s">
        <v>59</v>
      </c>
      <c r="B518" s="362" t="s">
        <v>60</v>
      </c>
      <c r="C518" s="360" t="s">
        <v>61</v>
      </c>
      <c r="D518" s="360"/>
      <c r="E518" s="360"/>
      <c r="F518" s="360"/>
      <c r="G518" s="360"/>
      <c r="H518" s="360"/>
      <c r="I518" s="360"/>
      <c r="J518" s="360"/>
      <c r="K518" s="360"/>
      <c r="L518" s="360"/>
      <c r="M518" s="360"/>
      <c r="N518" s="360"/>
      <c r="O518" s="360"/>
      <c r="P518" s="360"/>
      <c r="Q518" s="360"/>
      <c r="R518" s="360"/>
      <c r="S518" s="360"/>
      <c r="T518" s="360"/>
      <c r="U518" s="360"/>
    </row>
    <row r="519" spans="1:21" ht="19.5" customHeight="1">
      <c r="A519" s="360" t="s">
        <v>62</v>
      </c>
      <c r="B519" s="362" t="s">
        <v>63</v>
      </c>
      <c r="C519" s="360" t="s">
        <v>64</v>
      </c>
      <c r="D519" s="360"/>
      <c r="E519" s="360"/>
      <c r="F519" s="360"/>
      <c r="G519" s="360"/>
      <c r="H519" s="360"/>
      <c r="I519" s="360"/>
      <c r="J519" s="360"/>
      <c r="K519" s="360"/>
      <c r="L519" s="360"/>
      <c r="M519" s="360"/>
      <c r="N519" s="360"/>
      <c r="O519" s="360"/>
      <c r="P519" s="360"/>
      <c r="Q519" s="360"/>
      <c r="R519" s="360"/>
      <c r="S519" s="360"/>
      <c r="T519" s="360"/>
      <c r="U519" s="360"/>
    </row>
    <row r="520" spans="1:21" ht="19.5" customHeight="1">
      <c r="A520" s="360" t="s">
        <v>65</v>
      </c>
      <c r="B520" s="362" t="s">
        <v>66</v>
      </c>
      <c r="C520" s="360" t="s">
        <v>67</v>
      </c>
      <c r="D520" s="360"/>
      <c r="E520" s="360"/>
      <c r="F520" s="360"/>
      <c r="G520" s="360"/>
      <c r="H520" s="360"/>
      <c r="I520" s="360"/>
      <c r="J520" s="360"/>
      <c r="K520" s="360"/>
      <c r="L520" s="360"/>
      <c r="M520" s="360"/>
      <c r="N520" s="360"/>
      <c r="O520" s="360"/>
      <c r="P520" s="360"/>
      <c r="Q520" s="360"/>
      <c r="R520" s="360"/>
      <c r="S520" s="360"/>
      <c r="T520" s="360"/>
      <c r="U520" s="360"/>
    </row>
    <row r="521" spans="1:21" ht="19.5" customHeight="1">
      <c r="A521" s="360" t="s">
        <v>68</v>
      </c>
      <c r="B521" s="362" t="s">
        <v>69</v>
      </c>
      <c r="C521" s="360" t="s">
        <v>70</v>
      </c>
      <c r="D521" s="360"/>
      <c r="E521" s="360"/>
      <c r="F521" s="360"/>
      <c r="G521" s="360"/>
      <c r="H521" s="360"/>
      <c r="I521" s="360"/>
      <c r="J521" s="360"/>
      <c r="K521" s="360"/>
      <c r="L521" s="360"/>
      <c r="M521" s="360"/>
      <c r="N521" s="360"/>
      <c r="O521" s="360"/>
      <c r="P521" s="360"/>
      <c r="Q521" s="360"/>
      <c r="R521" s="360"/>
      <c r="S521" s="360"/>
      <c r="T521" s="360"/>
      <c r="U521" s="360"/>
    </row>
    <row r="522" spans="1:21" ht="19.5" customHeight="1">
      <c r="A522" s="360" t="s">
        <v>71</v>
      </c>
      <c r="B522" s="362" t="s">
        <v>135</v>
      </c>
      <c r="C522" s="360" t="s">
        <v>72</v>
      </c>
      <c r="D522" s="360">
        <v>2.6</v>
      </c>
      <c r="E522" s="360"/>
      <c r="F522" s="360"/>
      <c r="G522" s="360"/>
      <c r="H522" s="360"/>
      <c r="I522" s="360"/>
      <c r="J522" s="360"/>
      <c r="K522" s="360"/>
      <c r="L522" s="360"/>
      <c r="M522" s="360"/>
      <c r="N522" s="360"/>
      <c r="O522" s="360"/>
      <c r="P522" s="360"/>
      <c r="Q522" s="360"/>
      <c r="R522" s="360"/>
      <c r="S522" s="360"/>
      <c r="T522" s="360"/>
      <c r="U522" s="360"/>
    </row>
    <row r="523" spans="1:21" ht="19.5" customHeight="1">
      <c r="A523" s="360" t="s">
        <v>73</v>
      </c>
      <c r="B523" s="362" t="s">
        <v>74</v>
      </c>
      <c r="C523" s="360" t="s">
        <v>75</v>
      </c>
      <c r="D523" s="360"/>
      <c r="E523" s="360"/>
      <c r="F523" s="360"/>
      <c r="G523" s="360"/>
      <c r="H523" s="360"/>
      <c r="I523" s="360"/>
      <c r="J523" s="360"/>
      <c r="K523" s="360"/>
      <c r="L523" s="360"/>
      <c r="M523" s="360"/>
      <c r="N523" s="360"/>
      <c r="O523" s="360"/>
      <c r="P523" s="360"/>
      <c r="Q523" s="360"/>
      <c r="R523" s="360"/>
      <c r="S523" s="360"/>
      <c r="T523" s="360"/>
      <c r="U523" s="360"/>
    </row>
    <row r="524" spans="1:21" ht="19.5" customHeight="1">
      <c r="A524" s="360" t="s">
        <v>76</v>
      </c>
      <c r="B524" s="362" t="s">
        <v>77</v>
      </c>
      <c r="C524" s="360" t="s">
        <v>78</v>
      </c>
      <c r="D524" s="360"/>
      <c r="E524" s="360"/>
      <c r="F524" s="360"/>
      <c r="G524" s="360"/>
      <c r="H524" s="360"/>
      <c r="I524" s="360"/>
      <c r="J524" s="360"/>
      <c r="K524" s="360"/>
      <c r="L524" s="360"/>
      <c r="M524" s="360"/>
      <c r="N524" s="360"/>
      <c r="O524" s="360"/>
      <c r="P524" s="360"/>
      <c r="Q524" s="360"/>
      <c r="R524" s="360"/>
      <c r="S524" s="360"/>
      <c r="T524" s="360"/>
      <c r="U524" s="360"/>
    </row>
    <row r="525" spans="1:21" ht="19.5" customHeight="1">
      <c r="A525" s="360" t="s">
        <v>79</v>
      </c>
      <c r="B525" s="362" t="s">
        <v>80</v>
      </c>
      <c r="C525" s="360" t="s">
        <v>81</v>
      </c>
      <c r="D525" s="360"/>
      <c r="E525" s="360"/>
      <c r="F525" s="360"/>
      <c r="G525" s="360"/>
      <c r="H525" s="360"/>
      <c r="I525" s="360"/>
      <c r="J525" s="360"/>
      <c r="K525" s="360"/>
      <c r="L525" s="360"/>
      <c r="M525" s="360"/>
      <c r="N525" s="360"/>
      <c r="O525" s="360"/>
      <c r="P525" s="360"/>
      <c r="Q525" s="360"/>
      <c r="R525" s="360"/>
      <c r="S525" s="360"/>
      <c r="T525" s="360"/>
      <c r="U525" s="360"/>
    </row>
    <row r="526" spans="1:21" ht="19.5" customHeight="1">
      <c r="A526" s="360" t="s">
        <v>82</v>
      </c>
      <c r="B526" s="362" t="s">
        <v>83</v>
      </c>
      <c r="C526" s="360" t="s">
        <v>84</v>
      </c>
      <c r="D526" s="360"/>
      <c r="E526" s="360"/>
      <c r="F526" s="360"/>
      <c r="G526" s="360"/>
      <c r="H526" s="360"/>
      <c r="I526" s="360"/>
      <c r="J526" s="360"/>
      <c r="K526" s="360"/>
      <c r="L526" s="360"/>
      <c r="M526" s="360"/>
      <c r="N526" s="360"/>
      <c r="O526" s="360"/>
      <c r="P526" s="360"/>
      <c r="Q526" s="360"/>
      <c r="R526" s="360"/>
      <c r="S526" s="360"/>
      <c r="T526" s="360"/>
      <c r="U526" s="360"/>
    </row>
    <row r="527" spans="1:21" ht="19.5" customHeight="1">
      <c r="A527" s="360" t="s">
        <v>85</v>
      </c>
      <c r="B527" s="362" t="s">
        <v>86</v>
      </c>
      <c r="C527" s="360" t="s">
        <v>87</v>
      </c>
      <c r="D527" s="360"/>
      <c r="E527" s="360"/>
      <c r="F527" s="360"/>
      <c r="G527" s="360"/>
      <c r="H527" s="360">
        <v>0.3</v>
      </c>
      <c r="I527" s="360"/>
      <c r="J527" s="360"/>
      <c r="K527" s="360"/>
      <c r="L527" s="360"/>
      <c r="M527" s="360"/>
      <c r="N527" s="360"/>
      <c r="O527" s="360"/>
      <c r="P527" s="360"/>
      <c r="Q527" s="360"/>
      <c r="R527" s="360"/>
      <c r="S527" s="360"/>
      <c r="T527" s="360"/>
      <c r="U527" s="360"/>
    </row>
    <row r="528" spans="1:21" ht="19.5" customHeight="1">
      <c r="A528" s="360" t="s">
        <v>88</v>
      </c>
      <c r="B528" s="362" t="s">
        <v>89</v>
      </c>
      <c r="C528" s="360" t="s">
        <v>90</v>
      </c>
      <c r="D528" s="360"/>
      <c r="E528" s="360"/>
      <c r="F528" s="360"/>
      <c r="G528" s="360"/>
      <c r="H528" s="360"/>
      <c r="I528" s="360"/>
      <c r="J528" s="360"/>
      <c r="K528" s="360"/>
      <c r="L528" s="360"/>
      <c r="M528" s="360"/>
      <c r="N528" s="360"/>
      <c r="O528" s="360"/>
      <c r="P528" s="360"/>
      <c r="Q528" s="360"/>
      <c r="R528" s="360"/>
      <c r="S528" s="360"/>
      <c r="T528" s="360"/>
      <c r="U528" s="360"/>
    </row>
    <row r="529" spans="1:21" ht="19.5" customHeight="1">
      <c r="A529" s="360" t="s">
        <v>91</v>
      </c>
      <c r="B529" s="362" t="s">
        <v>92</v>
      </c>
      <c r="C529" s="360" t="s">
        <v>93</v>
      </c>
      <c r="D529" s="360"/>
      <c r="E529" s="360"/>
      <c r="F529" s="360"/>
      <c r="G529" s="360"/>
      <c r="H529" s="360"/>
      <c r="I529" s="360"/>
      <c r="J529" s="360"/>
      <c r="K529" s="360"/>
      <c r="L529" s="360"/>
      <c r="M529" s="360"/>
      <c r="N529" s="360"/>
      <c r="O529" s="360"/>
      <c r="P529" s="360"/>
      <c r="Q529" s="360"/>
      <c r="R529" s="360"/>
      <c r="S529" s="360"/>
      <c r="T529" s="360"/>
      <c r="U529" s="360"/>
    </row>
    <row r="530" spans="1:21" ht="19.5" customHeight="1">
      <c r="A530" s="360" t="s">
        <v>94</v>
      </c>
      <c r="B530" s="362" t="s">
        <v>95</v>
      </c>
      <c r="C530" s="360" t="s">
        <v>96</v>
      </c>
      <c r="D530" s="360"/>
      <c r="E530" s="360"/>
      <c r="F530" s="360"/>
      <c r="G530" s="360"/>
      <c r="H530" s="360"/>
      <c r="I530" s="360"/>
      <c r="J530" s="360"/>
      <c r="K530" s="360"/>
      <c r="L530" s="360"/>
      <c r="M530" s="360"/>
      <c r="N530" s="360"/>
      <c r="O530" s="360"/>
      <c r="P530" s="360"/>
      <c r="Q530" s="360"/>
      <c r="R530" s="360"/>
      <c r="S530" s="360"/>
      <c r="T530" s="360"/>
      <c r="U530" s="360"/>
    </row>
    <row r="531" spans="1:21" ht="19.5" customHeight="1">
      <c r="A531" s="360" t="s">
        <v>97</v>
      </c>
      <c r="B531" s="362" t="s">
        <v>98</v>
      </c>
      <c r="C531" s="360" t="s">
        <v>99</v>
      </c>
      <c r="D531" s="360"/>
      <c r="E531" s="360"/>
      <c r="F531" s="360"/>
      <c r="G531" s="360"/>
      <c r="H531" s="360"/>
      <c r="I531" s="360"/>
      <c r="J531" s="360"/>
      <c r="K531" s="360"/>
      <c r="L531" s="360"/>
      <c r="M531" s="360"/>
      <c r="N531" s="360"/>
      <c r="O531" s="360"/>
      <c r="P531" s="360"/>
      <c r="Q531" s="360"/>
      <c r="R531" s="360"/>
      <c r="S531" s="360"/>
      <c r="T531" s="360"/>
      <c r="U531" s="360"/>
    </row>
    <row r="532" spans="1:21" ht="19.5" customHeight="1">
      <c r="A532" s="360" t="s">
        <v>100</v>
      </c>
      <c r="B532" s="362" t="s">
        <v>134</v>
      </c>
      <c r="C532" s="360" t="s">
        <v>101</v>
      </c>
      <c r="D532" s="360">
        <v>1.4</v>
      </c>
      <c r="E532" s="360"/>
      <c r="F532" s="360"/>
      <c r="G532" s="360"/>
      <c r="H532" s="360"/>
      <c r="I532" s="360"/>
      <c r="J532" s="360"/>
      <c r="K532" s="360"/>
      <c r="L532" s="360"/>
      <c r="M532" s="360"/>
      <c r="N532" s="360"/>
      <c r="O532" s="360"/>
      <c r="P532" s="360"/>
      <c r="Q532" s="360"/>
      <c r="R532" s="360"/>
      <c r="S532" s="360"/>
      <c r="T532" s="360"/>
      <c r="U532" s="360"/>
    </row>
    <row r="533" spans="1:21" ht="28.5" customHeight="1">
      <c r="A533" s="360" t="s">
        <v>102</v>
      </c>
      <c r="B533" s="362" t="s">
        <v>103</v>
      </c>
      <c r="C533" s="360" t="s">
        <v>104</v>
      </c>
      <c r="D533" s="360"/>
      <c r="E533" s="360"/>
      <c r="F533" s="360"/>
      <c r="G533" s="360"/>
      <c r="H533" s="360"/>
      <c r="I533" s="360"/>
      <c r="J533" s="360"/>
      <c r="K533" s="360"/>
      <c r="L533" s="360"/>
      <c r="M533" s="360"/>
      <c r="N533" s="360"/>
      <c r="O533" s="360"/>
      <c r="P533" s="360"/>
      <c r="Q533" s="360"/>
      <c r="R533" s="360"/>
      <c r="S533" s="360"/>
      <c r="T533" s="360"/>
      <c r="U533" s="360"/>
    </row>
    <row r="534" spans="1:21" ht="19.5" customHeight="1">
      <c r="A534" s="360" t="s">
        <v>105</v>
      </c>
      <c r="B534" s="362" t="s">
        <v>106</v>
      </c>
      <c r="C534" s="360" t="s">
        <v>107</v>
      </c>
      <c r="D534" s="360"/>
      <c r="E534" s="360"/>
      <c r="F534" s="360"/>
      <c r="G534" s="360"/>
      <c r="H534" s="360"/>
      <c r="I534" s="360"/>
      <c r="J534" s="360"/>
      <c r="K534" s="360"/>
      <c r="L534" s="360"/>
      <c r="M534" s="360"/>
      <c r="N534" s="360"/>
      <c r="O534" s="360"/>
      <c r="P534" s="360"/>
      <c r="Q534" s="360"/>
      <c r="R534" s="360"/>
      <c r="S534" s="360"/>
      <c r="T534" s="360"/>
      <c r="U534" s="360"/>
    </row>
    <row r="535" spans="1:21" ht="19.5" customHeight="1">
      <c r="A535" s="360" t="s">
        <v>108</v>
      </c>
      <c r="B535" s="362" t="s">
        <v>109</v>
      </c>
      <c r="C535" s="360" t="s">
        <v>110</v>
      </c>
      <c r="D535" s="360"/>
      <c r="E535" s="360"/>
      <c r="F535" s="360"/>
      <c r="G535" s="360"/>
      <c r="H535" s="360"/>
      <c r="I535" s="360"/>
      <c r="J535" s="360"/>
      <c r="K535" s="360"/>
      <c r="L535" s="360"/>
      <c r="M535" s="360"/>
      <c r="N535" s="360"/>
      <c r="O535" s="360"/>
      <c r="P535" s="360"/>
      <c r="Q535" s="360"/>
      <c r="R535" s="360"/>
      <c r="S535" s="360"/>
      <c r="T535" s="360"/>
      <c r="U535" s="360"/>
    </row>
    <row r="536" spans="1:21" ht="19.5" customHeight="1">
      <c r="A536" s="360" t="s">
        <v>111</v>
      </c>
      <c r="B536" s="362" t="s">
        <v>112</v>
      </c>
      <c r="C536" s="360" t="s">
        <v>113</v>
      </c>
      <c r="D536" s="360"/>
      <c r="E536" s="360"/>
      <c r="F536" s="360"/>
      <c r="G536" s="360"/>
      <c r="H536" s="360"/>
      <c r="I536" s="360"/>
      <c r="J536" s="360"/>
      <c r="K536" s="360"/>
      <c r="L536" s="360"/>
      <c r="M536" s="360"/>
      <c r="N536" s="360"/>
      <c r="O536" s="360"/>
      <c r="P536" s="360"/>
      <c r="Q536" s="360"/>
      <c r="R536" s="360"/>
      <c r="S536" s="360"/>
      <c r="T536" s="360"/>
      <c r="U536" s="360"/>
    </row>
    <row r="537" spans="1:21" ht="19.5" customHeight="1">
      <c r="A537" s="360" t="s">
        <v>114</v>
      </c>
      <c r="B537" s="362" t="s">
        <v>115</v>
      </c>
      <c r="C537" s="360" t="s">
        <v>116</v>
      </c>
      <c r="D537" s="360"/>
      <c r="E537" s="360"/>
      <c r="F537" s="360"/>
      <c r="G537" s="360"/>
      <c r="H537" s="360"/>
      <c r="I537" s="360"/>
      <c r="J537" s="360"/>
      <c r="K537" s="360"/>
      <c r="L537" s="360"/>
      <c r="M537" s="360"/>
      <c r="N537" s="360"/>
      <c r="O537" s="360"/>
      <c r="P537" s="360"/>
      <c r="Q537" s="360"/>
      <c r="R537" s="360"/>
      <c r="S537" s="360"/>
      <c r="T537" s="360"/>
      <c r="U537" s="360"/>
    </row>
    <row r="538" spans="1:21" ht="19.5" customHeight="1">
      <c r="A538" s="360" t="s">
        <v>117</v>
      </c>
      <c r="B538" s="362" t="s">
        <v>118</v>
      </c>
      <c r="C538" s="360" t="s">
        <v>119</v>
      </c>
      <c r="D538" s="360"/>
      <c r="E538" s="360"/>
      <c r="F538" s="360"/>
      <c r="G538" s="360"/>
      <c r="H538" s="360"/>
      <c r="I538" s="360"/>
      <c r="J538" s="360"/>
      <c r="K538" s="360"/>
      <c r="L538" s="360"/>
      <c r="M538" s="360"/>
      <c r="N538" s="360"/>
      <c r="O538" s="360"/>
      <c r="P538" s="360"/>
      <c r="Q538" s="360"/>
      <c r="R538" s="360"/>
      <c r="S538" s="360"/>
      <c r="T538" s="360"/>
      <c r="U538" s="360"/>
    </row>
    <row r="539" spans="1:21" ht="19.5" customHeight="1">
      <c r="A539" s="360" t="s">
        <v>120</v>
      </c>
      <c r="B539" s="362" t="s">
        <v>121</v>
      </c>
      <c r="C539" s="360" t="s">
        <v>122</v>
      </c>
      <c r="D539" s="360"/>
      <c r="E539" s="360"/>
      <c r="F539" s="360"/>
      <c r="G539" s="360"/>
      <c r="H539" s="360"/>
      <c r="I539" s="360"/>
      <c r="J539" s="360"/>
      <c r="K539" s="360"/>
      <c r="L539" s="360"/>
      <c r="M539" s="360"/>
      <c r="N539" s="360"/>
      <c r="O539" s="360"/>
      <c r="P539" s="360"/>
      <c r="Q539" s="360"/>
      <c r="R539" s="360"/>
      <c r="S539" s="360"/>
      <c r="T539" s="360"/>
      <c r="U539" s="360"/>
    </row>
    <row r="540" spans="1:21" ht="19.5" customHeight="1">
      <c r="A540" s="360">
        <v>3</v>
      </c>
      <c r="B540" s="362" t="s">
        <v>123</v>
      </c>
      <c r="C540" s="360" t="s">
        <v>124</v>
      </c>
      <c r="D540" s="360"/>
      <c r="E540" s="360"/>
      <c r="F540" s="360"/>
      <c r="G540" s="360"/>
      <c r="H540" s="360"/>
      <c r="I540" s="360"/>
      <c r="J540" s="360"/>
      <c r="K540" s="360"/>
      <c r="L540" s="360"/>
      <c r="M540" s="360"/>
      <c r="N540" s="360"/>
      <c r="O540" s="360"/>
      <c r="P540" s="360"/>
      <c r="Q540" s="360"/>
      <c r="R540" s="360"/>
      <c r="S540" s="360"/>
      <c r="T540" s="360"/>
      <c r="U540" s="360"/>
    </row>
    <row r="541" spans="1:21" ht="19.5" customHeight="1">
      <c r="A541" s="1355" t="s">
        <v>357</v>
      </c>
      <c r="B541" s="1355"/>
      <c r="C541" s="372"/>
      <c r="D541" s="372"/>
      <c r="E541" s="372"/>
      <c r="F541" s="372"/>
      <c r="G541" s="372"/>
      <c r="H541" s="372"/>
      <c r="I541" s="372"/>
      <c r="J541" s="372"/>
      <c r="K541" s="372"/>
      <c r="L541" s="372"/>
      <c r="M541" s="372"/>
      <c r="N541" s="372"/>
      <c r="O541" s="372"/>
      <c r="P541" s="372"/>
      <c r="Q541" s="372"/>
      <c r="R541" s="372"/>
      <c r="S541" s="372"/>
      <c r="T541" s="372"/>
      <c r="U541" s="372"/>
    </row>
    <row r="542" spans="1:21" ht="19.5" customHeight="1">
      <c r="A542" s="1354" t="s">
        <v>185</v>
      </c>
      <c r="B542" s="1354"/>
      <c r="C542" s="1354"/>
      <c r="D542" s="1354"/>
      <c r="E542" s="1354"/>
      <c r="F542" s="1354"/>
      <c r="G542" s="1354"/>
      <c r="H542" s="1354"/>
      <c r="I542" s="1354"/>
      <c r="J542" s="1354"/>
      <c r="K542" s="1354"/>
      <c r="L542" s="1354"/>
      <c r="M542" s="1354"/>
      <c r="N542" s="1354"/>
      <c r="O542" s="1354"/>
      <c r="P542" s="1354"/>
      <c r="Q542" s="1354"/>
      <c r="R542" s="1354"/>
      <c r="S542" s="1354"/>
      <c r="T542" s="1354"/>
      <c r="U542" s="1354"/>
    </row>
    <row r="543" spans="1:21" ht="19.5" customHeight="1">
      <c r="A543" s="1354" t="s">
        <v>322</v>
      </c>
      <c r="B543" s="1354"/>
      <c r="C543" s="1354"/>
      <c r="D543" s="1354"/>
      <c r="E543" s="1354"/>
      <c r="F543" s="1354"/>
      <c r="G543" s="1354"/>
      <c r="H543" s="1354"/>
      <c r="I543" s="1354"/>
      <c r="J543" s="1354"/>
      <c r="K543" s="1354"/>
      <c r="L543" s="1354"/>
      <c r="M543" s="1354"/>
      <c r="N543" s="1354"/>
      <c r="O543" s="1354"/>
      <c r="P543" s="1354"/>
      <c r="Q543" s="1354"/>
      <c r="R543" s="1354"/>
      <c r="S543" s="1354"/>
      <c r="T543" s="1354"/>
      <c r="U543" s="1354"/>
    </row>
    <row r="544" spans="1:21" ht="19.5" customHeight="1"/>
    <row r="545" spans="1:21" ht="19.5" customHeight="1">
      <c r="A545" s="1356" t="s">
        <v>0</v>
      </c>
      <c r="B545" s="1356" t="s">
        <v>186</v>
      </c>
      <c r="C545" s="1356" t="s">
        <v>13</v>
      </c>
      <c r="D545" s="1356" t="s">
        <v>139</v>
      </c>
      <c r="E545" s="1356"/>
      <c r="F545" s="1356" t="s">
        <v>140</v>
      </c>
      <c r="G545" s="1356"/>
      <c r="H545" s="1356" t="s">
        <v>141</v>
      </c>
      <c r="I545" s="1356"/>
      <c r="J545" s="1356" t="s">
        <v>142</v>
      </c>
      <c r="K545" s="1356"/>
      <c r="L545" s="1356" t="s">
        <v>143</v>
      </c>
      <c r="M545" s="1356"/>
      <c r="N545" s="1356" t="s">
        <v>144</v>
      </c>
      <c r="O545" s="1356"/>
      <c r="P545" s="1356" t="s">
        <v>188</v>
      </c>
      <c r="Q545" s="1356"/>
      <c r="R545" s="1356" t="s">
        <v>145</v>
      </c>
      <c r="S545" s="1356"/>
      <c r="T545" s="1356" t="s">
        <v>146</v>
      </c>
      <c r="U545" s="1356"/>
    </row>
    <row r="546" spans="1:21" ht="51.75" customHeight="1">
      <c r="A546" s="1356"/>
      <c r="B546" s="1356"/>
      <c r="C546" s="1356"/>
      <c r="D546" s="360" t="s">
        <v>137</v>
      </c>
      <c r="E546" s="360" t="s">
        <v>187</v>
      </c>
      <c r="F546" s="360" t="s">
        <v>137</v>
      </c>
      <c r="G546" s="360" t="s">
        <v>187</v>
      </c>
      <c r="H546" s="360" t="s">
        <v>137</v>
      </c>
      <c r="I546" s="360" t="s">
        <v>187</v>
      </c>
      <c r="J546" s="360" t="s">
        <v>137</v>
      </c>
      <c r="K546" s="360" t="s">
        <v>187</v>
      </c>
      <c r="L546" s="360" t="s">
        <v>137</v>
      </c>
      <c r="M546" s="360" t="s">
        <v>187</v>
      </c>
      <c r="N546" s="360" t="s">
        <v>137</v>
      </c>
      <c r="O546" s="360" t="s">
        <v>187</v>
      </c>
      <c r="P546" s="360" t="s">
        <v>137</v>
      </c>
      <c r="Q546" s="360" t="s">
        <v>187</v>
      </c>
      <c r="R546" s="360" t="s">
        <v>137</v>
      </c>
      <c r="S546" s="360" t="s">
        <v>187</v>
      </c>
      <c r="T546" s="360" t="s">
        <v>137</v>
      </c>
      <c r="U546" s="360" t="s">
        <v>187</v>
      </c>
    </row>
    <row r="547" spans="1:21" ht="33.75" customHeight="1">
      <c r="A547" s="344">
        <v>1</v>
      </c>
      <c r="B547" s="344" t="s">
        <v>14</v>
      </c>
      <c r="C547" s="360" t="s">
        <v>15</v>
      </c>
      <c r="D547" s="360">
        <f>D548+D550+D551+D552+D553+D554+D555+D556+D557</f>
        <v>205.6</v>
      </c>
      <c r="E547" s="360">
        <f t="shared" ref="E547:U547" si="55">E548+E550+E551+E552+E553+E554+E555+E556+E557</f>
        <v>0</v>
      </c>
      <c r="F547" s="360">
        <f t="shared" si="55"/>
        <v>0</v>
      </c>
      <c r="G547" s="360">
        <f t="shared" si="55"/>
        <v>0</v>
      </c>
      <c r="H547" s="360">
        <f t="shared" si="55"/>
        <v>30</v>
      </c>
      <c r="I547" s="360">
        <f t="shared" si="55"/>
        <v>0</v>
      </c>
      <c r="J547" s="360">
        <f t="shared" si="55"/>
        <v>0</v>
      </c>
      <c r="K547" s="360">
        <f t="shared" si="55"/>
        <v>0</v>
      </c>
      <c r="L547" s="360">
        <f t="shared" si="55"/>
        <v>95.98</v>
      </c>
      <c r="M547" s="360">
        <f t="shared" si="55"/>
        <v>0</v>
      </c>
      <c r="N547" s="360">
        <f t="shared" si="55"/>
        <v>0</v>
      </c>
      <c r="O547" s="360">
        <f t="shared" si="55"/>
        <v>0</v>
      </c>
      <c r="P547" s="360">
        <f t="shared" si="55"/>
        <v>0</v>
      </c>
      <c r="Q547" s="360">
        <f t="shared" si="55"/>
        <v>0</v>
      </c>
      <c r="R547" s="360">
        <f t="shared" si="55"/>
        <v>0</v>
      </c>
      <c r="S547" s="360">
        <f t="shared" si="55"/>
        <v>0</v>
      </c>
      <c r="T547" s="360">
        <f t="shared" si="55"/>
        <v>2.5</v>
      </c>
      <c r="U547" s="360">
        <f t="shared" si="55"/>
        <v>0</v>
      </c>
    </row>
    <row r="548" spans="1:21" ht="19.5" customHeight="1">
      <c r="A548" s="344" t="s">
        <v>16</v>
      </c>
      <c r="B548" s="344" t="s">
        <v>17</v>
      </c>
      <c r="C548" s="360" t="s">
        <v>18</v>
      </c>
      <c r="D548" s="360">
        <f t="shared" ref="D548:U548" si="56">D549</f>
        <v>200</v>
      </c>
      <c r="E548" s="360">
        <f t="shared" si="56"/>
        <v>0</v>
      </c>
      <c r="F548" s="360">
        <f t="shared" si="56"/>
        <v>0</v>
      </c>
      <c r="G548" s="360">
        <f t="shared" si="56"/>
        <v>0</v>
      </c>
      <c r="H548" s="360">
        <f t="shared" si="56"/>
        <v>0</v>
      </c>
      <c r="I548" s="360">
        <f t="shared" si="56"/>
        <v>0</v>
      </c>
      <c r="J548" s="360">
        <f t="shared" si="56"/>
        <v>0</v>
      </c>
      <c r="K548" s="360">
        <f t="shared" si="56"/>
        <v>0</v>
      </c>
      <c r="L548" s="360">
        <f t="shared" si="56"/>
        <v>0</v>
      </c>
      <c r="M548" s="360">
        <f t="shared" si="56"/>
        <v>0</v>
      </c>
      <c r="N548" s="360">
        <f t="shared" si="56"/>
        <v>0</v>
      </c>
      <c r="O548" s="360">
        <f t="shared" si="56"/>
        <v>0</v>
      </c>
      <c r="P548" s="360">
        <f t="shared" si="56"/>
        <v>0</v>
      </c>
      <c r="Q548" s="360">
        <f t="shared" si="56"/>
        <v>0</v>
      </c>
      <c r="R548" s="360">
        <f t="shared" si="56"/>
        <v>0</v>
      </c>
      <c r="S548" s="360">
        <f t="shared" si="56"/>
        <v>0</v>
      </c>
      <c r="T548" s="360">
        <f t="shared" si="56"/>
        <v>0</v>
      </c>
      <c r="U548" s="360">
        <f t="shared" si="56"/>
        <v>0</v>
      </c>
    </row>
    <row r="549" spans="1:21" ht="19.5" customHeight="1">
      <c r="A549" s="344"/>
      <c r="B549" s="344" t="s">
        <v>19</v>
      </c>
      <c r="C549" s="360" t="s">
        <v>20</v>
      </c>
      <c r="D549" s="360">
        <v>200</v>
      </c>
      <c r="E549" s="360"/>
      <c r="F549" s="360"/>
      <c r="G549" s="360"/>
      <c r="H549" s="360"/>
      <c r="I549" s="360"/>
      <c r="J549" s="360"/>
      <c r="K549" s="360"/>
      <c r="L549" s="360"/>
      <c r="M549" s="360"/>
      <c r="N549" s="360"/>
      <c r="O549" s="360"/>
      <c r="P549" s="360"/>
      <c r="Q549" s="360"/>
      <c r="R549" s="360"/>
      <c r="S549" s="360"/>
      <c r="T549" s="360"/>
      <c r="U549" s="360"/>
    </row>
    <row r="550" spans="1:21" ht="19.5" customHeight="1">
      <c r="A550" s="344" t="s">
        <v>21</v>
      </c>
      <c r="B550" s="344" t="s">
        <v>22</v>
      </c>
      <c r="C550" s="360" t="s">
        <v>23</v>
      </c>
      <c r="D550" s="360"/>
      <c r="E550" s="360"/>
      <c r="F550" s="360"/>
      <c r="G550" s="360"/>
      <c r="H550" s="360"/>
      <c r="I550" s="360"/>
      <c r="J550" s="360"/>
      <c r="K550" s="360"/>
      <c r="L550" s="360"/>
      <c r="M550" s="360"/>
      <c r="N550" s="360"/>
      <c r="O550" s="360"/>
      <c r="P550" s="360"/>
      <c r="Q550" s="360"/>
      <c r="R550" s="360"/>
      <c r="S550" s="360"/>
      <c r="T550" s="360"/>
      <c r="U550" s="360"/>
    </row>
    <row r="551" spans="1:21" ht="19.5" customHeight="1">
      <c r="A551" s="344" t="s">
        <v>24</v>
      </c>
      <c r="B551" s="344" t="s">
        <v>25</v>
      </c>
      <c r="C551" s="360" t="s">
        <v>26</v>
      </c>
      <c r="D551" s="360"/>
      <c r="E551" s="360"/>
      <c r="F551" s="360"/>
      <c r="G551" s="360"/>
      <c r="H551" s="360"/>
      <c r="I551" s="360"/>
      <c r="J551" s="360"/>
      <c r="K551" s="360"/>
      <c r="L551" s="360">
        <f>3.38+0.6</f>
        <v>3.98</v>
      </c>
      <c r="M551" s="360"/>
      <c r="N551" s="360"/>
      <c r="O551" s="360"/>
      <c r="P551" s="360"/>
      <c r="Q551" s="360"/>
      <c r="R551" s="360"/>
      <c r="S551" s="360"/>
      <c r="T551" s="360">
        <v>2.5</v>
      </c>
      <c r="U551" s="360"/>
    </row>
    <row r="552" spans="1:21" ht="19.5" customHeight="1">
      <c r="A552" s="344" t="s">
        <v>27</v>
      </c>
      <c r="B552" s="344" t="s">
        <v>28</v>
      </c>
      <c r="C552" s="360" t="s">
        <v>29</v>
      </c>
      <c r="D552" s="360"/>
      <c r="E552" s="360"/>
      <c r="F552" s="360"/>
      <c r="G552" s="360"/>
      <c r="H552" s="360">
        <v>30</v>
      </c>
      <c r="I552" s="360"/>
      <c r="J552" s="360"/>
      <c r="K552" s="360"/>
      <c r="L552" s="360"/>
      <c r="M552" s="360"/>
      <c r="N552" s="360"/>
      <c r="O552" s="360"/>
      <c r="P552" s="360"/>
      <c r="Q552" s="360"/>
      <c r="R552" s="360"/>
      <c r="S552" s="360"/>
      <c r="T552" s="360"/>
      <c r="U552" s="360"/>
    </row>
    <row r="553" spans="1:21" ht="19.5" customHeight="1">
      <c r="A553" s="344" t="s">
        <v>30</v>
      </c>
      <c r="B553" s="344" t="s">
        <v>31</v>
      </c>
      <c r="C553" s="360" t="s">
        <v>32</v>
      </c>
      <c r="D553" s="360"/>
      <c r="E553" s="360"/>
      <c r="F553" s="360"/>
      <c r="G553" s="360"/>
      <c r="H553" s="360"/>
      <c r="I553" s="360"/>
      <c r="J553" s="360"/>
      <c r="K553" s="360"/>
      <c r="L553" s="360"/>
      <c r="M553" s="360"/>
      <c r="N553" s="360"/>
      <c r="O553" s="360"/>
      <c r="P553" s="360"/>
      <c r="Q553" s="360"/>
      <c r="R553" s="360"/>
      <c r="S553" s="360"/>
      <c r="T553" s="360"/>
      <c r="U553" s="360"/>
    </row>
    <row r="554" spans="1:21" ht="19.5" customHeight="1">
      <c r="A554" s="344" t="s">
        <v>33</v>
      </c>
      <c r="B554" s="344" t="s">
        <v>34</v>
      </c>
      <c r="C554" s="360" t="s">
        <v>35</v>
      </c>
      <c r="D554" s="360"/>
      <c r="E554" s="360"/>
      <c r="F554" s="360"/>
      <c r="G554" s="360"/>
      <c r="H554" s="360"/>
      <c r="I554" s="360"/>
      <c r="J554" s="360"/>
      <c r="K554" s="360"/>
      <c r="L554" s="360">
        <v>92</v>
      </c>
      <c r="M554" s="360"/>
      <c r="N554" s="360"/>
      <c r="O554" s="360"/>
      <c r="P554" s="360"/>
      <c r="Q554" s="360"/>
      <c r="R554" s="360"/>
      <c r="S554" s="360"/>
      <c r="T554" s="360"/>
      <c r="U554" s="360"/>
    </row>
    <row r="555" spans="1:21" ht="19.5" customHeight="1">
      <c r="A555" s="344" t="s">
        <v>36</v>
      </c>
      <c r="B555" s="344" t="s">
        <v>37</v>
      </c>
      <c r="C555" s="360" t="s">
        <v>38</v>
      </c>
      <c r="D555" s="360">
        <v>5.6</v>
      </c>
      <c r="E555" s="360"/>
      <c r="F555" s="360"/>
      <c r="G555" s="360"/>
      <c r="H555" s="360"/>
      <c r="I555" s="360"/>
      <c r="J555" s="360"/>
      <c r="K555" s="360"/>
      <c r="L555" s="360"/>
      <c r="M555" s="360"/>
      <c r="N555" s="360"/>
      <c r="O555" s="360"/>
      <c r="P555" s="360"/>
      <c r="Q555" s="360"/>
      <c r="R555" s="360"/>
      <c r="S555" s="360"/>
      <c r="T555" s="360"/>
      <c r="U555" s="360"/>
    </row>
    <row r="556" spans="1:21" ht="19.5" customHeight="1">
      <c r="A556" s="344" t="s">
        <v>39</v>
      </c>
      <c r="B556" s="344" t="s">
        <v>40</v>
      </c>
      <c r="C556" s="360" t="s">
        <v>41</v>
      </c>
      <c r="D556" s="360"/>
      <c r="E556" s="360"/>
      <c r="F556" s="360"/>
      <c r="G556" s="360"/>
      <c r="H556" s="360"/>
      <c r="I556" s="360"/>
      <c r="J556" s="360"/>
      <c r="K556" s="360"/>
      <c r="L556" s="360"/>
      <c r="M556" s="360"/>
      <c r="N556" s="360"/>
      <c r="O556" s="360"/>
      <c r="P556" s="360"/>
      <c r="Q556" s="360"/>
      <c r="R556" s="360"/>
      <c r="S556" s="360"/>
      <c r="T556" s="360"/>
      <c r="U556" s="360"/>
    </row>
    <row r="557" spans="1:21" ht="19.5" customHeight="1">
      <c r="A557" s="344">
        <v>2</v>
      </c>
      <c r="B557" s="344" t="s">
        <v>43</v>
      </c>
      <c r="C557" s="360" t="s">
        <v>44</v>
      </c>
      <c r="D557" s="360"/>
      <c r="E557" s="360"/>
      <c r="F557" s="360"/>
      <c r="G557" s="360"/>
      <c r="H557" s="360"/>
      <c r="I557" s="360"/>
      <c r="J557" s="360"/>
      <c r="K557" s="360"/>
      <c r="L557" s="360"/>
      <c r="M557" s="360"/>
      <c r="N557" s="360"/>
      <c r="O557" s="360"/>
      <c r="P557" s="360"/>
      <c r="Q557" s="360"/>
      <c r="R557" s="360"/>
      <c r="S557" s="360"/>
      <c r="T557" s="360"/>
      <c r="U557" s="360"/>
    </row>
    <row r="558" spans="1:21" ht="19.5" customHeight="1">
      <c r="A558" s="344">
        <v>2</v>
      </c>
      <c r="B558" s="344" t="s">
        <v>45</v>
      </c>
      <c r="C558" s="360" t="s">
        <v>46</v>
      </c>
      <c r="D558" s="360">
        <f>SUM(D559:D584)</f>
        <v>6.5</v>
      </c>
      <c r="E558" s="360">
        <f t="shared" ref="E558:U558" si="57">SUM(E559:E584)</f>
        <v>0</v>
      </c>
      <c r="F558" s="360">
        <f t="shared" si="57"/>
        <v>0</v>
      </c>
      <c r="G558" s="360">
        <f t="shared" si="57"/>
        <v>0</v>
      </c>
      <c r="H558" s="360">
        <f t="shared" si="57"/>
        <v>0</v>
      </c>
      <c r="I558" s="360">
        <f t="shared" si="57"/>
        <v>0</v>
      </c>
      <c r="J558" s="360">
        <f t="shared" si="57"/>
        <v>0</v>
      </c>
      <c r="K558" s="360">
        <f t="shared" si="57"/>
        <v>0</v>
      </c>
      <c r="L558" s="360">
        <f t="shared" si="57"/>
        <v>0</v>
      </c>
      <c r="M558" s="360">
        <f t="shared" si="57"/>
        <v>0</v>
      </c>
      <c r="N558" s="360">
        <f t="shared" si="57"/>
        <v>629.35000000000014</v>
      </c>
      <c r="O558" s="360">
        <f t="shared" si="57"/>
        <v>0</v>
      </c>
      <c r="P558" s="360">
        <f t="shared" si="57"/>
        <v>0</v>
      </c>
      <c r="Q558" s="360">
        <f t="shared" si="57"/>
        <v>0</v>
      </c>
      <c r="R558" s="360">
        <f t="shared" si="57"/>
        <v>0</v>
      </c>
      <c r="S558" s="360">
        <f t="shared" si="57"/>
        <v>0</v>
      </c>
      <c r="T558" s="360">
        <f>SUM(T559:T584)</f>
        <v>126.57999999999998</v>
      </c>
      <c r="U558" s="360">
        <f t="shared" si="57"/>
        <v>0</v>
      </c>
    </row>
    <row r="559" spans="1:21" ht="19.5" customHeight="1">
      <c r="A559" s="344" t="s">
        <v>47</v>
      </c>
      <c r="B559" s="344" t="s">
        <v>48</v>
      </c>
      <c r="C559" s="360" t="s">
        <v>49</v>
      </c>
      <c r="D559" s="360"/>
      <c r="E559" s="360"/>
      <c r="F559" s="360"/>
      <c r="G559" s="360"/>
      <c r="H559" s="360"/>
      <c r="I559" s="360"/>
      <c r="J559" s="360"/>
      <c r="K559" s="360"/>
      <c r="L559" s="360"/>
      <c r="M559" s="360"/>
      <c r="N559" s="360"/>
      <c r="O559" s="360"/>
      <c r="P559" s="360"/>
      <c r="Q559" s="360"/>
      <c r="R559" s="360"/>
      <c r="S559" s="360"/>
      <c r="T559" s="360"/>
      <c r="U559" s="360"/>
    </row>
    <row r="560" spans="1:21" ht="19.5" customHeight="1">
      <c r="A560" s="344" t="s">
        <v>50</v>
      </c>
      <c r="B560" s="344" t="s">
        <v>51</v>
      </c>
      <c r="C560" s="360" t="s">
        <v>52</v>
      </c>
      <c r="D560" s="360"/>
      <c r="E560" s="360"/>
      <c r="F560" s="360"/>
      <c r="G560" s="360"/>
      <c r="H560" s="360"/>
      <c r="I560" s="360"/>
      <c r="J560" s="360"/>
      <c r="K560" s="360"/>
      <c r="L560" s="360"/>
      <c r="M560" s="360"/>
      <c r="N560" s="360"/>
      <c r="O560" s="360"/>
      <c r="P560" s="360"/>
      <c r="Q560" s="360"/>
      <c r="R560" s="360"/>
      <c r="S560" s="360"/>
      <c r="T560" s="360"/>
      <c r="U560" s="360"/>
    </row>
    <row r="561" spans="1:21" ht="19.5" customHeight="1">
      <c r="A561" s="344" t="s">
        <v>53</v>
      </c>
      <c r="B561" s="344" t="s">
        <v>54</v>
      </c>
      <c r="C561" s="360" t="s">
        <v>55</v>
      </c>
      <c r="D561" s="360"/>
      <c r="E561" s="360"/>
      <c r="F561" s="360"/>
      <c r="G561" s="360"/>
      <c r="H561" s="360"/>
      <c r="I561" s="360"/>
      <c r="J561" s="360"/>
      <c r="K561" s="360"/>
      <c r="L561" s="360"/>
      <c r="M561" s="360"/>
      <c r="N561" s="360">
        <f>'[1]Song Khoai'!BN28</f>
        <v>629.35000000000014</v>
      </c>
      <c r="O561" s="360"/>
      <c r="P561" s="360"/>
      <c r="Q561" s="360"/>
      <c r="R561" s="360"/>
      <c r="S561" s="360"/>
      <c r="T561" s="360"/>
      <c r="U561" s="360"/>
    </row>
    <row r="562" spans="1:21" ht="19.5" customHeight="1">
      <c r="A562" s="344" t="s">
        <v>56</v>
      </c>
      <c r="B562" s="344" t="s">
        <v>57</v>
      </c>
      <c r="C562" s="360" t="s">
        <v>58</v>
      </c>
      <c r="D562" s="360"/>
      <c r="E562" s="360"/>
      <c r="F562" s="360"/>
      <c r="G562" s="360"/>
      <c r="H562" s="360"/>
      <c r="I562" s="360"/>
      <c r="J562" s="360"/>
      <c r="K562" s="360"/>
      <c r="L562" s="360"/>
      <c r="M562" s="360"/>
      <c r="N562" s="360"/>
      <c r="O562" s="360"/>
      <c r="P562" s="360"/>
      <c r="Q562" s="360"/>
      <c r="R562" s="360"/>
      <c r="S562" s="360"/>
      <c r="T562" s="360"/>
      <c r="U562" s="360"/>
    </row>
    <row r="563" spans="1:21" ht="19.5" customHeight="1">
      <c r="A563" s="344" t="s">
        <v>59</v>
      </c>
      <c r="B563" s="344" t="s">
        <v>60</v>
      </c>
      <c r="C563" s="360" t="s">
        <v>61</v>
      </c>
      <c r="D563" s="360"/>
      <c r="E563" s="360"/>
      <c r="F563" s="360"/>
      <c r="G563" s="360"/>
      <c r="H563" s="360"/>
      <c r="I563" s="360"/>
      <c r="J563" s="360"/>
      <c r="K563" s="360"/>
      <c r="L563" s="360"/>
      <c r="M563" s="360"/>
      <c r="N563" s="360"/>
      <c r="O563" s="360"/>
      <c r="P563" s="360"/>
      <c r="Q563" s="360"/>
      <c r="R563" s="360"/>
      <c r="S563" s="360"/>
      <c r="T563" s="360"/>
      <c r="U563" s="360"/>
    </row>
    <row r="564" spans="1:21" ht="19.5" customHeight="1">
      <c r="A564" s="344" t="s">
        <v>62</v>
      </c>
      <c r="B564" s="344" t="s">
        <v>63</v>
      </c>
      <c r="C564" s="360" t="s">
        <v>64</v>
      </c>
      <c r="D564" s="360"/>
      <c r="E564" s="360"/>
      <c r="F564" s="360"/>
      <c r="G564" s="360"/>
      <c r="H564" s="360"/>
      <c r="I564" s="360"/>
      <c r="J564" s="360"/>
      <c r="K564" s="360"/>
      <c r="L564" s="360"/>
      <c r="M564" s="360"/>
      <c r="N564" s="360"/>
      <c r="O564" s="360"/>
      <c r="P564" s="360"/>
      <c r="Q564" s="360"/>
      <c r="R564" s="360"/>
      <c r="S564" s="360"/>
      <c r="T564" s="360">
        <v>1.07</v>
      </c>
      <c r="U564" s="360"/>
    </row>
    <row r="565" spans="1:21" ht="19.5" customHeight="1">
      <c r="A565" s="344" t="s">
        <v>65</v>
      </c>
      <c r="B565" s="344" t="s">
        <v>66</v>
      </c>
      <c r="C565" s="360" t="s">
        <v>67</v>
      </c>
      <c r="D565" s="360"/>
      <c r="E565" s="360"/>
      <c r="F565" s="360"/>
      <c r="G565" s="360"/>
      <c r="H565" s="360"/>
      <c r="I565" s="360"/>
      <c r="J565" s="360"/>
      <c r="K565" s="360"/>
      <c r="L565" s="360"/>
      <c r="M565" s="360"/>
      <c r="N565" s="360"/>
      <c r="O565" s="360"/>
      <c r="P565" s="360"/>
      <c r="Q565" s="360"/>
      <c r="R565" s="360"/>
      <c r="S565" s="360"/>
      <c r="T565" s="360">
        <f>'[1]Song Khoai'!BN32</f>
        <v>21.74</v>
      </c>
      <c r="U565" s="360"/>
    </row>
    <row r="566" spans="1:21" ht="19.5" customHeight="1">
      <c r="A566" s="344" t="s">
        <v>68</v>
      </c>
      <c r="B566" s="344" t="s">
        <v>69</v>
      </c>
      <c r="C566" s="360" t="s">
        <v>70</v>
      </c>
      <c r="D566" s="360"/>
      <c r="E566" s="360"/>
      <c r="F566" s="360"/>
      <c r="G566" s="360"/>
      <c r="H566" s="360"/>
      <c r="I566" s="360"/>
      <c r="J566" s="360"/>
      <c r="K566" s="360"/>
      <c r="L566" s="360"/>
      <c r="M566" s="360"/>
      <c r="N566" s="360"/>
      <c r="O566" s="360"/>
      <c r="P566" s="360"/>
      <c r="Q566" s="360"/>
      <c r="R566" s="360"/>
      <c r="S566" s="360"/>
      <c r="T566" s="360"/>
      <c r="U566" s="360"/>
    </row>
    <row r="567" spans="1:21" ht="19.5" customHeight="1">
      <c r="A567" s="344" t="s">
        <v>71</v>
      </c>
      <c r="B567" s="344" t="s">
        <v>135</v>
      </c>
      <c r="C567" s="360" t="s">
        <v>72</v>
      </c>
      <c r="D567" s="360">
        <v>6.5</v>
      </c>
      <c r="E567" s="360"/>
      <c r="F567" s="360"/>
      <c r="G567" s="360"/>
      <c r="H567" s="360"/>
      <c r="I567" s="360"/>
      <c r="J567" s="360"/>
      <c r="K567" s="360"/>
      <c r="L567" s="360"/>
      <c r="M567" s="360"/>
      <c r="N567" s="360"/>
      <c r="O567" s="360"/>
      <c r="P567" s="360"/>
      <c r="Q567" s="360"/>
      <c r="R567" s="360"/>
      <c r="S567" s="360"/>
      <c r="T567" s="360">
        <f>'[1]Song Khoai'!BN34-70.01</f>
        <v>37.459999999999994</v>
      </c>
      <c r="U567" s="360"/>
    </row>
    <row r="568" spans="1:21" ht="35.25" customHeight="1">
      <c r="A568" s="344" t="s">
        <v>73</v>
      </c>
      <c r="B568" s="344" t="s">
        <v>74</v>
      </c>
      <c r="C568" s="360" t="s">
        <v>75</v>
      </c>
      <c r="D568" s="360"/>
      <c r="E568" s="360"/>
      <c r="F568" s="360"/>
      <c r="G568" s="360"/>
      <c r="H568" s="360"/>
      <c r="I568" s="360"/>
      <c r="J568" s="360"/>
      <c r="K568" s="360"/>
      <c r="L568" s="360"/>
      <c r="M568" s="360"/>
      <c r="N568" s="360"/>
      <c r="O568" s="360"/>
      <c r="P568" s="360"/>
      <c r="Q568" s="360"/>
      <c r="R568" s="360"/>
      <c r="S568" s="360"/>
      <c r="T568" s="360">
        <f>'[1]Song Khoai'!BN46</f>
        <v>0</v>
      </c>
      <c r="U568" s="360"/>
    </row>
    <row r="569" spans="1:21" ht="19.5" customHeight="1">
      <c r="A569" s="344" t="s">
        <v>76</v>
      </c>
      <c r="B569" s="344" t="s">
        <v>77</v>
      </c>
      <c r="C569" s="360" t="s">
        <v>78</v>
      </c>
      <c r="D569" s="360"/>
      <c r="E569" s="360"/>
      <c r="F569" s="360"/>
      <c r="G569" s="360"/>
      <c r="H569" s="360"/>
      <c r="I569" s="360"/>
      <c r="J569" s="360"/>
      <c r="K569" s="360"/>
      <c r="L569" s="360"/>
      <c r="M569" s="360"/>
      <c r="N569" s="360"/>
      <c r="O569" s="360"/>
      <c r="P569" s="360"/>
      <c r="Q569" s="360"/>
      <c r="R569" s="360"/>
      <c r="S569" s="360"/>
      <c r="T569" s="360"/>
      <c r="U569" s="360"/>
    </row>
    <row r="570" spans="1:21" ht="19.5" customHeight="1">
      <c r="A570" s="344" t="s">
        <v>79</v>
      </c>
      <c r="B570" s="344" t="s">
        <v>80</v>
      </c>
      <c r="C570" s="360" t="s">
        <v>81</v>
      </c>
      <c r="D570" s="360"/>
      <c r="E570" s="360"/>
      <c r="F570" s="360"/>
      <c r="G570" s="360"/>
      <c r="H570" s="360"/>
      <c r="I570" s="360"/>
      <c r="J570" s="360"/>
      <c r="K570" s="360"/>
      <c r="L570" s="360"/>
      <c r="M570" s="360"/>
      <c r="N570" s="360"/>
      <c r="O570" s="360"/>
      <c r="P570" s="360"/>
      <c r="Q570" s="360"/>
      <c r="R570" s="360"/>
      <c r="S570" s="360"/>
      <c r="T570" s="360"/>
      <c r="U570" s="360"/>
    </row>
    <row r="571" spans="1:21" ht="19.5" customHeight="1">
      <c r="A571" s="344" t="s">
        <v>82</v>
      </c>
      <c r="B571" s="344" t="s">
        <v>83</v>
      </c>
      <c r="C571" s="360" t="s">
        <v>84</v>
      </c>
      <c r="D571" s="360"/>
      <c r="E571" s="360"/>
      <c r="F571" s="360"/>
      <c r="G571" s="360"/>
      <c r="H571" s="360"/>
      <c r="I571" s="360"/>
      <c r="J571" s="360"/>
      <c r="K571" s="360"/>
      <c r="L571" s="360"/>
      <c r="M571" s="360"/>
      <c r="N571" s="360"/>
      <c r="O571" s="360"/>
      <c r="P571" s="360"/>
      <c r="Q571" s="360"/>
      <c r="R571" s="360"/>
      <c r="S571" s="360"/>
      <c r="T571" s="360">
        <f>'[1]Song Khoai'!BN49</f>
        <v>62.6</v>
      </c>
      <c r="U571" s="360"/>
    </row>
    <row r="572" spans="1:21" ht="19.5" customHeight="1">
      <c r="A572" s="344" t="s">
        <v>85</v>
      </c>
      <c r="B572" s="344" t="s">
        <v>86</v>
      </c>
      <c r="C572" s="360" t="s">
        <v>87</v>
      </c>
      <c r="D572" s="360"/>
      <c r="E572" s="360"/>
      <c r="F572" s="360"/>
      <c r="G572" s="360"/>
      <c r="H572" s="360"/>
      <c r="I572" s="360"/>
      <c r="J572" s="360"/>
      <c r="K572" s="360"/>
      <c r="L572" s="360"/>
      <c r="M572" s="360"/>
      <c r="N572" s="360"/>
      <c r="O572" s="360"/>
      <c r="P572" s="360"/>
      <c r="Q572" s="360"/>
      <c r="R572" s="360"/>
      <c r="S572" s="360"/>
      <c r="T572" s="360"/>
      <c r="U572" s="360"/>
    </row>
    <row r="573" spans="1:21" ht="19.5" customHeight="1">
      <c r="A573" s="344" t="s">
        <v>88</v>
      </c>
      <c r="B573" s="344" t="s">
        <v>89</v>
      </c>
      <c r="C573" s="360" t="s">
        <v>90</v>
      </c>
      <c r="D573" s="360"/>
      <c r="E573" s="360"/>
      <c r="F573" s="360"/>
      <c r="G573" s="360"/>
      <c r="H573" s="360"/>
      <c r="I573" s="360"/>
      <c r="J573" s="360"/>
      <c r="K573" s="360"/>
      <c r="L573" s="360"/>
      <c r="M573" s="360"/>
      <c r="N573" s="360"/>
      <c r="O573" s="360"/>
      <c r="P573" s="360"/>
      <c r="Q573" s="360"/>
      <c r="R573" s="360"/>
      <c r="S573" s="360"/>
      <c r="T573" s="360">
        <f>'[1]Song Khoai'!BN51</f>
        <v>0.21</v>
      </c>
      <c r="U573" s="360"/>
    </row>
    <row r="574" spans="1:21" ht="19.5" customHeight="1">
      <c r="A574" s="344" t="s">
        <v>91</v>
      </c>
      <c r="B574" s="344" t="s">
        <v>92</v>
      </c>
      <c r="C574" s="360" t="s">
        <v>93</v>
      </c>
      <c r="D574" s="360"/>
      <c r="E574" s="360"/>
      <c r="F574" s="360"/>
      <c r="G574" s="360"/>
      <c r="H574" s="360"/>
      <c r="I574" s="360"/>
      <c r="J574" s="360"/>
      <c r="K574" s="360"/>
      <c r="L574" s="360"/>
      <c r="M574" s="360"/>
      <c r="N574" s="360"/>
      <c r="O574" s="360"/>
      <c r="P574" s="360"/>
      <c r="Q574" s="360"/>
      <c r="R574" s="360"/>
      <c r="S574" s="360"/>
      <c r="T574" s="360">
        <f>'[1]Song Khoai'!BN52</f>
        <v>7.0000000000000007E-2</v>
      </c>
      <c r="U574" s="360"/>
    </row>
    <row r="575" spans="1:21" ht="19.5" customHeight="1">
      <c r="A575" s="344" t="s">
        <v>94</v>
      </c>
      <c r="B575" s="344" t="s">
        <v>95</v>
      </c>
      <c r="C575" s="360" t="s">
        <v>96</v>
      </c>
      <c r="D575" s="360"/>
      <c r="E575" s="360"/>
      <c r="F575" s="360"/>
      <c r="G575" s="360"/>
      <c r="H575" s="360"/>
      <c r="I575" s="360"/>
      <c r="J575" s="360"/>
      <c r="K575" s="360"/>
      <c r="L575" s="360"/>
      <c r="M575" s="360"/>
      <c r="N575" s="360"/>
      <c r="O575" s="360"/>
      <c r="P575" s="360"/>
      <c r="Q575" s="360"/>
      <c r="R575" s="360"/>
      <c r="S575" s="360"/>
      <c r="T575" s="360"/>
      <c r="U575" s="360"/>
    </row>
    <row r="576" spans="1:21" ht="19.5" customHeight="1">
      <c r="A576" s="344" t="s">
        <v>97</v>
      </c>
      <c r="B576" s="344" t="s">
        <v>98</v>
      </c>
      <c r="C576" s="360" t="s">
        <v>99</v>
      </c>
      <c r="D576" s="360"/>
      <c r="E576" s="360"/>
      <c r="F576" s="360"/>
      <c r="G576" s="360"/>
      <c r="H576" s="360"/>
      <c r="I576" s="360"/>
      <c r="J576" s="360"/>
      <c r="K576" s="360"/>
      <c r="L576" s="360"/>
      <c r="M576" s="360"/>
      <c r="N576" s="360"/>
      <c r="O576" s="360"/>
      <c r="P576" s="360"/>
      <c r="Q576" s="360"/>
      <c r="R576" s="360"/>
      <c r="S576" s="360"/>
      <c r="T576" s="360">
        <f>'[1]Song Khoai'!BN54</f>
        <v>1.35</v>
      </c>
      <c r="U576" s="360"/>
    </row>
    <row r="577" spans="1:21" ht="19.5" customHeight="1">
      <c r="A577" s="344" t="s">
        <v>100</v>
      </c>
      <c r="B577" s="344" t="s">
        <v>134</v>
      </c>
      <c r="C577" s="360" t="s">
        <v>101</v>
      </c>
      <c r="D577" s="360"/>
      <c r="E577" s="360"/>
      <c r="F577" s="360"/>
      <c r="G577" s="360"/>
      <c r="H577" s="360"/>
      <c r="I577" s="360"/>
      <c r="J577" s="360"/>
      <c r="K577" s="360"/>
      <c r="L577" s="360"/>
      <c r="M577" s="360"/>
      <c r="N577" s="360"/>
      <c r="O577" s="360"/>
      <c r="P577" s="360"/>
      <c r="Q577" s="360"/>
      <c r="R577" s="360"/>
      <c r="S577" s="360"/>
      <c r="T577" s="360"/>
      <c r="U577" s="360"/>
    </row>
    <row r="578" spans="1:21" ht="28.5" customHeight="1">
      <c r="A578" s="344" t="s">
        <v>102</v>
      </c>
      <c r="B578" s="344" t="s">
        <v>103</v>
      </c>
      <c r="C578" s="360" t="s">
        <v>104</v>
      </c>
      <c r="D578" s="360"/>
      <c r="E578" s="360"/>
      <c r="F578" s="360"/>
      <c r="G578" s="360"/>
      <c r="H578" s="360"/>
      <c r="I578" s="360"/>
      <c r="J578" s="360"/>
      <c r="K578" s="360"/>
      <c r="L578" s="360"/>
      <c r="M578" s="360"/>
      <c r="N578" s="360"/>
      <c r="O578" s="360"/>
      <c r="P578" s="360"/>
      <c r="Q578" s="360"/>
      <c r="R578" s="360"/>
      <c r="S578" s="360"/>
      <c r="T578" s="360"/>
      <c r="U578" s="360"/>
    </row>
    <row r="579" spans="1:21" ht="19.5" customHeight="1">
      <c r="A579" s="344" t="s">
        <v>105</v>
      </c>
      <c r="B579" s="344" t="s">
        <v>106</v>
      </c>
      <c r="C579" s="360" t="s">
        <v>107</v>
      </c>
      <c r="D579" s="360"/>
      <c r="E579" s="360"/>
      <c r="F579" s="360"/>
      <c r="G579" s="360"/>
      <c r="H579" s="360"/>
      <c r="I579" s="360"/>
      <c r="J579" s="360"/>
      <c r="K579" s="360"/>
      <c r="L579" s="360"/>
      <c r="M579" s="360"/>
      <c r="N579" s="360"/>
      <c r="O579" s="360"/>
      <c r="P579" s="360"/>
      <c r="Q579" s="360"/>
      <c r="R579" s="360"/>
      <c r="S579" s="360"/>
      <c r="T579" s="360">
        <f>'[1]Song Khoai'!BN57</f>
        <v>0.66999999999999993</v>
      </c>
      <c r="U579" s="360"/>
    </row>
    <row r="580" spans="1:21" ht="19.5" customHeight="1">
      <c r="A580" s="344" t="s">
        <v>108</v>
      </c>
      <c r="B580" s="344" t="s">
        <v>109</v>
      </c>
      <c r="C580" s="360" t="s">
        <v>110</v>
      </c>
      <c r="D580" s="360"/>
      <c r="E580" s="360"/>
      <c r="F580" s="360"/>
      <c r="G580" s="360"/>
      <c r="H580" s="360"/>
      <c r="I580" s="360"/>
      <c r="J580" s="360"/>
      <c r="K580" s="360"/>
      <c r="L580" s="360"/>
      <c r="M580" s="360"/>
      <c r="N580" s="360"/>
      <c r="O580" s="360"/>
      <c r="P580" s="360"/>
      <c r="Q580" s="360"/>
      <c r="R580" s="360"/>
      <c r="S580" s="360"/>
      <c r="T580" s="360"/>
      <c r="U580" s="360"/>
    </row>
    <row r="581" spans="1:21" ht="19.5" customHeight="1">
      <c r="A581" s="344" t="s">
        <v>111</v>
      </c>
      <c r="B581" s="344" t="s">
        <v>112</v>
      </c>
      <c r="C581" s="360" t="s">
        <v>113</v>
      </c>
      <c r="D581" s="360"/>
      <c r="E581" s="360"/>
      <c r="F581" s="360"/>
      <c r="G581" s="360"/>
      <c r="H581" s="360"/>
      <c r="I581" s="360"/>
      <c r="J581" s="360"/>
      <c r="K581" s="360"/>
      <c r="L581" s="360"/>
      <c r="M581" s="360"/>
      <c r="N581" s="360"/>
      <c r="O581" s="360"/>
      <c r="P581" s="360"/>
      <c r="Q581" s="360"/>
      <c r="R581" s="360"/>
      <c r="S581" s="360"/>
      <c r="T581" s="360">
        <f>'[1]Song Khoai'!BN59</f>
        <v>1.41</v>
      </c>
      <c r="U581" s="360"/>
    </row>
    <row r="582" spans="1:21" ht="19.5" customHeight="1">
      <c r="A582" s="344" t="s">
        <v>114</v>
      </c>
      <c r="B582" s="344" t="s">
        <v>115</v>
      </c>
      <c r="C582" s="360" t="s">
        <v>116</v>
      </c>
      <c r="D582" s="360"/>
      <c r="E582" s="360"/>
      <c r="F582" s="360"/>
      <c r="G582" s="360"/>
      <c r="H582" s="360"/>
      <c r="I582" s="360"/>
      <c r="J582" s="360"/>
      <c r="K582" s="360"/>
      <c r="L582" s="360"/>
      <c r="M582" s="360"/>
      <c r="N582" s="360"/>
      <c r="O582" s="360"/>
      <c r="P582" s="360"/>
      <c r="Q582" s="360"/>
      <c r="R582" s="360"/>
      <c r="S582" s="360"/>
      <c r="T582" s="360"/>
      <c r="U582" s="360"/>
    </row>
    <row r="583" spans="1:21" ht="19.5" customHeight="1">
      <c r="A583" s="344" t="s">
        <v>117</v>
      </c>
      <c r="B583" s="344" t="s">
        <v>118</v>
      </c>
      <c r="C583" s="360" t="s">
        <v>119</v>
      </c>
      <c r="D583" s="360"/>
      <c r="E583" s="360"/>
      <c r="F583" s="360"/>
      <c r="G583" s="360"/>
      <c r="H583" s="360"/>
      <c r="I583" s="360"/>
      <c r="J583" s="360"/>
      <c r="K583" s="360"/>
      <c r="L583" s="360"/>
      <c r="M583" s="360"/>
      <c r="N583" s="360"/>
      <c r="O583" s="360"/>
      <c r="P583" s="360"/>
      <c r="Q583" s="360"/>
      <c r="R583" s="360"/>
      <c r="S583" s="360"/>
      <c r="T583" s="360"/>
      <c r="U583" s="360"/>
    </row>
    <row r="584" spans="1:21" ht="19.5" customHeight="1">
      <c r="A584" s="344" t="s">
        <v>120</v>
      </c>
      <c r="B584" s="344" t="s">
        <v>121</v>
      </c>
      <c r="C584" s="360" t="s">
        <v>122</v>
      </c>
      <c r="D584" s="360"/>
      <c r="E584" s="360"/>
      <c r="F584" s="360"/>
      <c r="G584" s="360"/>
      <c r="H584" s="360"/>
      <c r="I584" s="360"/>
      <c r="J584" s="360"/>
      <c r="K584" s="360"/>
      <c r="L584" s="360"/>
      <c r="M584" s="360"/>
      <c r="N584" s="360"/>
      <c r="O584" s="360"/>
      <c r="P584" s="360"/>
      <c r="Q584" s="360"/>
      <c r="R584" s="360"/>
      <c r="S584" s="360"/>
      <c r="T584" s="360"/>
      <c r="U584" s="360"/>
    </row>
    <row r="585" spans="1:21" ht="19.5" customHeight="1">
      <c r="A585" s="344">
        <v>3</v>
      </c>
      <c r="B585" s="344" t="s">
        <v>123</v>
      </c>
      <c r="C585" s="360" t="s">
        <v>124</v>
      </c>
      <c r="D585" s="360"/>
      <c r="E585" s="360"/>
      <c r="F585" s="360"/>
      <c r="G585" s="360"/>
      <c r="H585" s="360"/>
      <c r="I585" s="360"/>
      <c r="J585" s="360"/>
      <c r="K585" s="360"/>
      <c r="L585" s="360">
        <f>'[1]Song Khoai'!BN65</f>
        <v>5.49</v>
      </c>
      <c r="M585" s="360"/>
      <c r="N585" s="360"/>
      <c r="O585" s="360"/>
      <c r="P585" s="360"/>
      <c r="Q585" s="360"/>
      <c r="R585" s="360"/>
      <c r="S585" s="360"/>
      <c r="T585" s="360"/>
      <c r="U585" s="360"/>
    </row>
    <row r="586" spans="1:21" ht="19.5" customHeight="1">
      <c r="A586" s="1355" t="s">
        <v>358</v>
      </c>
      <c r="B586" s="1355"/>
      <c r="C586" s="372"/>
      <c r="D586" s="372"/>
      <c r="E586" s="372"/>
      <c r="F586" s="372"/>
      <c r="G586" s="372"/>
      <c r="H586" s="372"/>
      <c r="I586" s="372"/>
      <c r="J586" s="372"/>
      <c r="K586" s="372"/>
      <c r="L586" s="372"/>
      <c r="M586" s="372"/>
      <c r="N586" s="372"/>
      <c r="O586" s="372"/>
      <c r="P586" s="372"/>
      <c r="Q586" s="372"/>
      <c r="R586" s="372"/>
      <c r="S586" s="372"/>
      <c r="T586" s="372"/>
      <c r="U586" s="372"/>
    </row>
    <row r="587" spans="1:21" ht="19.5" customHeight="1">
      <c r="A587" s="1354" t="s">
        <v>185</v>
      </c>
      <c r="B587" s="1354"/>
      <c r="C587" s="1354"/>
      <c r="D587" s="1354"/>
      <c r="E587" s="1354"/>
      <c r="F587" s="1354"/>
      <c r="G587" s="1354"/>
      <c r="H587" s="1354"/>
      <c r="I587" s="1354"/>
      <c r="J587" s="1354"/>
      <c r="K587" s="1354"/>
      <c r="L587" s="1354"/>
      <c r="M587" s="1354"/>
      <c r="N587" s="1354"/>
      <c r="O587" s="1354"/>
      <c r="P587" s="1354"/>
      <c r="Q587" s="1354"/>
      <c r="R587" s="1354"/>
      <c r="S587" s="1354"/>
      <c r="T587" s="1354"/>
      <c r="U587" s="1354"/>
    </row>
    <row r="588" spans="1:21" ht="19.5" customHeight="1">
      <c r="A588" s="1354" t="s">
        <v>322</v>
      </c>
      <c r="B588" s="1354"/>
      <c r="C588" s="1354"/>
      <c r="D588" s="1354"/>
      <c r="E588" s="1354"/>
      <c r="F588" s="1354"/>
      <c r="G588" s="1354"/>
      <c r="H588" s="1354"/>
      <c r="I588" s="1354"/>
      <c r="J588" s="1354"/>
      <c r="K588" s="1354"/>
      <c r="L588" s="1354"/>
      <c r="M588" s="1354"/>
      <c r="N588" s="1354"/>
      <c r="O588" s="1354"/>
      <c r="P588" s="1354"/>
      <c r="Q588" s="1354"/>
      <c r="R588" s="1354"/>
      <c r="S588" s="1354"/>
      <c r="T588" s="1354"/>
      <c r="U588" s="1354"/>
    </row>
    <row r="589" spans="1:21" ht="19.5" customHeight="1"/>
    <row r="590" spans="1:21" ht="19.5" customHeight="1">
      <c r="A590" s="1356" t="s">
        <v>0</v>
      </c>
      <c r="B590" s="1356" t="s">
        <v>186</v>
      </c>
      <c r="C590" s="1356" t="s">
        <v>13</v>
      </c>
      <c r="D590" s="1356" t="s">
        <v>139</v>
      </c>
      <c r="E590" s="1356"/>
      <c r="F590" s="1356" t="s">
        <v>140</v>
      </c>
      <c r="G590" s="1356"/>
      <c r="H590" s="1356" t="s">
        <v>141</v>
      </c>
      <c r="I590" s="1356"/>
      <c r="J590" s="1356" t="s">
        <v>142</v>
      </c>
      <c r="K590" s="1356"/>
      <c r="L590" s="1356" t="s">
        <v>143</v>
      </c>
      <c r="M590" s="1356"/>
      <c r="N590" s="1356" t="s">
        <v>144</v>
      </c>
      <c r="O590" s="1356"/>
      <c r="P590" s="1356" t="s">
        <v>188</v>
      </c>
      <c r="Q590" s="1356"/>
      <c r="R590" s="1356" t="s">
        <v>145</v>
      </c>
      <c r="S590" s="1356"/>
      <c r="T590" s="1356" t="s">
        <v>146</v>
      </c>
      <c r="U590" s="1356"/>
    </row>
    <row r="591" spans="1:21" ht="51.75" customHeight="1">
      <c r="A591" s="1356"/>
      <c r="B591" s="1356"/>
      <c r="C591" s="1356"/>
      <c r="D591" s="360" t="s">
        <v>137</v>
      </c>
      <c r="E591" s="360" t="s">
        <v>187</v>
      </c>
      <c r="F591" s="360" t="s">
        <v>137</v>
      </c>
      <c r="G591" s="360" t="s">
        <v>187</v>
      </c>
      <c r="H591" s="360" t="s">
        <v>137</v>
      </c>
      <c r="I591" s="360" t="s">
        <v>187</v>
      </c>
      <c r="J591" s="360" t="s">
        <v>137</v>
      </c>
      <c r="K591" s="360" t="s">
        <v>187</v>
      </c>
      <c r="L591" s="360" t="s">
        <v>137</v>
      </c>
      <c r="M591" s="360" t="s">
        <v>187</v>
      </c>
      <c r="N591" s="360" t="s">
        <v>137</v>
      </c>
      <c r="O591" s="360" t="s">
        <v>187</v>
      </c>
      <c r="P591" s="360" t="s">
        <v>137</v>
      </c>
      <c r="Q591" s="360" t="s">
        <v>187</v>
      </c>
      <c r="R591" s="360" t="s">
        <v>137</v>
      </c>
      <c r="S591" s="360" t="s">
        <v>187</v>
      </c>
      <c r="T591" s="360" t="s">
        <v>137</v>
      </c>
      <c r="U591" s="360" t="s">
        <v>187</v>
      </c>
    </row>
    <row r="592" spans="1:21" ht="33.75" customHeight="1">
      <c r="A592" s="360">
        <v>1</v>
      </c>
      <c r="B592" s="362" t="s">
        <v>14</v>
      </c>
      <c r="C592" s="360" t="s">
        <v>15</v>
      </c>
      <c r="D592" s="360">
        <f>D593+D595+D596+D597+D598+D599+D600+D601+D602</f>
        <v>252.5</v>
      </c>
      <c r="E592" s="360">
        <f t="shared" ref="E592:U592" si="58">E593+E595+E596+E597+E598+E599+E600+E601+E602</f>
        <v>0</v>
      </c>
      <c r="F592" s="360">
        <f t="shared" si="58"/>
        <v>0</v>
      </c>
      <c r="G592" s="360">
        <f t="shared" si="58"/>
        <v>0</v>
      </c>
      <c r="H592" s="360">
        <f t="shared" si="58"/>
        <v>0</v>
      </c>
      <c r="I592" s="360">
        <f t="shared" si="58"/>
        <v>0</v>
      </c>
      <c r="J592" s="360">
        <f t="shared" si="58"/>
        <v>0</v>
      </c>
      <c r="K592" s="360">
        <f t="shared" si="58"/>
        <v>0</v>
      </c>
      <c r="L592" s="360">
        <f t="shared" si="58"/>
        <v>0</v>
      </c>
      <c r="M592" s="360">
        <f t="shared" si="58"/>
        <v>0</v>
      </c>
      <c r="N592" s="360">
        <f t="shared" si="58"/>
        <v>0</v>
      </c>
      <c r="O592" s="360">
        <f t="shared" si="58"/>
        <v>0</v>
      </c>
      <c r="P592" s="360">
        <f t="shared" si="58"/>
        <v>0</v>
      </c>
      <c r="Q592" s="360">
        <f t="shared" si="58"/>
        <v>0</v>
      </c>
      <c r="R592" s="360">
        <f t="shared" si="58"/>
        <v>0</v>
      </c>
      <c r="S592" s="360">
        <f t="shared" si="58"/>
        <v>0</v>
      </c>
      <c r="T592" s="360">
        <f t="shared" si="58"/>
        <v>2.6</v>
      </c>
      <c r="U592" s="360">
        <f t="shared" si="58"/>
        <v>0</v>
      </c>
    </row>
    <row r="593" spans="1:21" ht="19.5" customHeight="1">
      <c r="A593" s="360" t="s">
        <v>16</v>
      </c>
      <c r="B593" s="362" t="s">
        <v>17</v>
      </c>
      <c r="C593" s="360" t="s">
        <v>18</v>
      </c>
      <c r="D593" s="360">
        <f t="shared" ref="D593:U593" si="59">D594</f>
        <v>250</v>
      </c>
      <c r="E593" s="360">
        <f t="shared" si="59"/>
        <v>0</v>
      </c>
      <c r="F593" s="360">
        <f t="shared" si="59"/>
        <v>0</v>
      </c>
      <c r="G593" s="360">
        <f t="shared" si="59"/>
        <v>0</v>
      </c>
      <c r="H593" s="360">
        <f t="shared" si="59"/>
        <v>0</v>
      </c>
      <c r="I593" s="360">
        <f t="shared" si="59"/>
        <v>0</v>
      </c>
      <c r="J593" s="360">
        <f t="shared" si="59"/>
        <v>0</v>
      </c>
      <c r="K593" s="360">
        <f t="shared" si="59"/>
        <v>0</v>
      </c>
      <c r="L593" s="360">
        <f t="shared" si="59"/>
        <v>0</v>
      </c>
      <c r="M593" s="360">
        <f t="shared" si="59"/>
        <v>0</v>
      </c>
      <c r="N593" s="360">
        <f t="shared" si="59"/>
        <v>0</v>
      </c>
      <c r="O593" s="360">
        <f t="shared" si="59"/>
        <v>0</v>
      </c>
      <c r="P593" s="360">
        <f t="shared" si="59"/>
        <v>0</v>
      </c>
      <c r="Q593" s="360">
        <f t="shared" si="59"/>
        <v>0</v>
      </c>
      <c r="R593" s="360">
        <f t="shared" si="59"/>
        <v>0</v>
      </c>
      <c r="S593" s="360">
        <f t="shared" si="59"/>
        <v>0</v>
      </c>
      <c r="T593" s="360">
        <f t="shared" si="59"/>
        <v>0</v>
      </c>
      <c r="U593" s="360">
        <f t="shared" si="59"/>
        <v>0</v>
      </c>
    </row>
    <row r="594" spans="1:21" ht="19.5" customHeight="1">
      <c r="A594" s="360"/>
      <c r="B594" s="362" t="s">
        <v>19</v>
      </c>
      <c r="C594" s="360" t="s">
        <v>20</v>
      </c>
      <c r="D594" s="360">
        <v>250</v>
      </c>
      <c r="E594" s="360"/>
      <c r="F594" s="360"/>
      <c r="G594" s="360"/>
      <c r="H594" s="360"/>
      <c r="I594" s="360"/>
      <c r="J594" s="360"/>
      <c r="K594" s="360"/>
      <c r="L594" s="360"/>
      <c r="M594" s="360"/>
      <c r="N594" s="360"/>
      <c r="O594" s="360"/>
      <c r="P594" s="360"/>
      <c r="Q594" s="360"/>
      <c r="R594" s="360"/>
      <c r="S594" s="360"/>
      <c r="T594" s="360"/>
      <c r="U594" s="360"/>
    </row>
    <row r="595" spans="1:21" ht="19.5" customHeight="1">
      <c r="A595" s="360" t="s">
        <v>21</v>
      </c>
      <c r="B595" s="362" t="s">
        <v>22</v>
      </c>
      <c r="C595" s="360" t="s">
        <v>23</v>
      </c>
      <c r="D595" s="360"/>
      <c r="E595" s="360"/>
      <c r="F595" s="360"/>
      <c r="G595" s="360"/>
      <c r="H595" s="360"/>
      <c r="I595" s="360"/>
      <c r="J595" s="360"/>
      <c r="K595" s="360"/>
      <c r="L595" s="360"/>
      <c r="M595" s="360"/>
      <c r="N595" s="360"/>
      <c r="O595" s="360"/>
      <c r="P595" s="360"/>
      <c r="Q595" s="360"/>
      <c r="R595" s="360"/>
      <c r="S595" s="360"/>
      <c r="T595" s="360"/>
      <c r="U595" s="360"/>
    </row>
    <row r="596" spans="1:21" ht="19.5" customHeight="1">
      <c r="A596" s="360" t="s">
        <v>24</v>
      </c>
      <c r="B596" s="362" t="s">
        <v>25</v>
      </c>
      <c r="C596" s="360" t="s">
        <v>26</v>
      </c>
      <c r="D596" s="360"/>
      <c r="E596" s="360"/>
      <c r="F596" s="360"/>
      <c r="G596" s="360"/>
      <c r="H596" s="360"/>
      <c r="I596" s="360"/>
      <c r="J596" s="360"/>
      <c r="K596" s="360"/>
      <c r="L596" s="360"/>
      <c r="M596" s="360"/>
      <c r="N596" s="360"/>
      <c r="O596" s="360"/>
      <c r="P596" s="360"/>
      <c r="Q596" s="360"/>
      <c r="R596" s="360"/>
      <c r="S596" s="360"/>
      <c r="T596" s="360">
        <f>2.6</f>
        <v>2.6</v>
      </c>
      <c r="U596" s="360"/>
    </row>
    <row r="597" spans="1:21" ht="19.5" customHeight="1">
      <c r="A597" s="360" t="s">
        <v>27</v>
      </c>
      <c r="B597" s="362" t="s">
        <v>28</v>
      </c>
      <c r="C597" s="360" t="s">
        <v>29</v>
      </c>
      <c r="D597" s="360"/>
      <c r="E597" s="360"/>
      <c r="F597" s="360"/>
      <c r="G597" s="360"/>
      <c r="H597" s="360"/>
      <c r="I597" s="360"/>
      <c r="J597" s="360"/>
      <c r="K597" s="360"/>
      <c r="L597" s="360"/>
      <c r="M597" s="360"/>
      <c r="N597" s="360"/>
      <c r="O597" s="360"/>
      <c r="P597" s="360"/>
      <c r="Q597" s="360"/>
      <c r="R597" s="360"/>
      <c r="S597" s="360"/>
      <c r="T597" s="360"/>
      <c r="U597" s="360"/>
    </row>
    <row r="598" spans="1:21" ht="19.5" customHeight="1">
      <c r="A598" s="360" t="s">
        <v>30</v>
      </c>
      <c r="B598" s="362" t="s">
        <v>31</v>
      </c>
      <c r="C598" s="360" t="s">
        <v>32</v>
      </c>
      <c r="D598" s="360"/>
      <c r="E598" s="360"/>
      <c r="F598" s="360"/>
      <c r="G598" s="360"/>
      <c r="H598" s="360"/>
      <c r="I598" s="360"/>
      <c r="J598" s="360"/>
      <c r="K598" s="360"/>
      <c r="L598" s="360"/>
      <c r="M598" s="360"/>
      <c r="N598" s="360"/>
      <c r="O598" s="360"/>
      <c r="P598" s="360"/>
      <c r="Q598" s="360"/>
      <c r="R598" s="360"/>
      <c r="S598" s="360"/>
      <c r="T598" s="360"/>
      <c r="U598" s="360"/>
    </row>
    <row r="599" spans="1:21" ht="19.5" customHeight="1">
      <c r="A599" s="360" t="s">
        <v>33</v>
      </c>
      <c r="B599" s="362" t="s">
        <v>34</v>
      </c>
      <c r="C599" s="360" t="s">
        <v>35</v>
      </c>
      <c r="D599" s="360"/>
      <c r="E599" s="360"/>
      <c r="F599" s="360"/>
      <c r="G599" s="360"/>
      <c r="H599" s="360"/>
      <c r="I599" s="360"/>
      <c r="J599" s="360"/>
      <c r="K599" s="360"/>
      <c r="L599" s="360"/>
      <c r="M599" s="360"/>
      <c r="N599" s="360"/>
      <c r="O599" s="360"/>
      <c r="P599" s="360"/>
      <c r="Q599" s="360"/>
      <c r="R599" s="360"/>
      <c r="S599" s="360"/>
      <c r="T599" s="360"/>
      <c r="U599" s="360"/>
    </row>
    <row r="600" spans="1:21" ht="19.5" customHeight="1">
      <c r="A600" s="360" t="s">
        <v>36</v>
      </c>
      <c r="B600" s="362" t="s">
        <v>37</v>
      </c>
      <c r="C600" s="360" t="s">
        <v>38</v>
      </c>
      <c r="D600" s="360">
        <v>2.5</v>
      </c>
      <c r="E600" s="360"/>
      <c r="F600" s="360"/>
      <c r="G600" s="360"/>
      <c r="H600" s="360"/>
      <c r="I600" s="360"/>
      <c r="J600" s="360"/>
      <c r="K600" s="360"/>
      <c r="L600" s="360"/>
      <c r="M600" s="360"/>
      <c r="N600" s="360"/>
      <c r="O600" s="360"/>
      <c r="P600" s="360"/>
      <c r="Q600" s="360"/>
      <c r="R600" s="360"/>
      <c r="S600" s="360"/>
      <c r="T600" s="360"/>
      <c r="U600" s="360"/>
    </row>
    <row r="601" spans="1:21" ht="19.5" customHeight="1">
      <c r="A601" s="360" t="s">
        <v>39</v>
      </c>
      <c r="B601" s="362" t="s">
        <v>40</v>
      </c>
      <c r="C601" s="360" t="s">
        <v>41</v>
      </c>
      <c r="D601" s="360"/>
      <c r="E601" s="360"/>
      <c r="F601" s="360"/>
      <c r="G601" s="360"/>
      <c r="H601" s="360"/>
      <c r="I601" s="360"/>
      <c r="J601" s="360"/>
      <c r="K601" s="360"/>
      <c r="L601" s="360"/>
      <c r="M601" s="360"/>
      <c r="N601" s="360"/>
      <c r="O601" s="360"/>
      <c r="P601" s="360"/>
      <c r="Q601" s="360"/>
      <c r="R601" s="360"/>
      <c r="S601" s="360"/>
      <c r="T601" s="360"/>
      <c r="U601" s="360"/>
    </row>
    <row r="602" spans="1:21" ht="19.5" customHeight="1">
      <c r="A602" s="360">
        <v>2</v>
      </c>
      <c r="B602" s="362" t="s">
        <v>43</v>
      </c>
      <c r="C602" s="360" t="s">
        <v>44</v>
      </c>
      <c r="D602" s="360"/>
      <c r="E602" s="360"/>
      <c r="F602" s="360"/>
      <c r="G602" s="360"/>
      <c r="H602" s="360"/>
      <c r="I602" s="360"/>
      <c r="J602" s="360"/>
      <c r="K602" s="360"/>
      <c r="L602" s="360"/>
      <c r="M602" s="360"/>
      <c r="N602" s="360"/>
      <c r="O602" s="360"/>
      <c r="P602" s="360"/>
      <c r="Q602" s="360"/>
      <c r="R602" s="360"/>
      <c r="S602" s="360"/>
      <c r="T602" s="360"/>
      <c r="U602" s="360"/>
    </row>
    <row r="603" spans="1:21" ht="19.5" customHeight="1">
      <c r="A603" s="360">
        <v>2</v>
      </c>
      <c r="B603" s="362" t="s">
        <v>45</v>
      </c>
      <c r="C603" s="360" t="s">
        <v>46</v>
      </c>
      <c r="D603" s="360">
        <f>SUM(D604:D629)</f>
        <v>5.6</v>
      </c>
      <c r="E603" s="360">
        <f t="shared" ref="E603:U603" si="60">SUM(E604:E629)</f>
        <v>0</v>
      </c>
      <c r="F603" s="360">
        <f t="shared" si="60"/>
        <v>0</v>
      </c>
      <c r="G603" s="360">
        <f t="shared" si="60"/>
        <v>0</v>
      </c>
      <c r="H603" s="360">
        <f t="shared" si="60"/>
        <v>0</v>
      </c>
      <c r="I603" s="360">
        <f t="shared" si="60"/>
        <v>0</v>
      </c>
      <c r="J603" s="360">
        <f t="shared" si="60"/>
        <v>0</v>
      </c>
      <c r="K603" s="360">
        <f t="shared" si="60"/>
        <v>0</v>
      </c>
      <c r="L603" s="360">
        <f t="shared" si="60"/>
        <v>0</v>
      </c>
      <c r="M603" s="360">
        <f t="shared" si="60"/>
        <v>0</v>
      </c>
      <c r="N603" s="360">
        <f t="shared" si="60"/>
        <v>0</v>
      </c>
      <c r="O603" s="360">
        <f t="shared" si="60"/>
        <v>0</v>
      </c>
      <c r="P603" s="360">
        <f t="shared" si="60"/>
        <v>0</v>
      </c>
      <c r="Q603" s="360">
        <f t="shared" si="60"/>
        <v>0</v>
      </c>
      <c r="R603" s="360">
        <f t="shared" si="60"/>
        <v>0</v>
      </c>
      <c r="S603" s="360">
        <f t="shared" si="60"/>
        <v>0</v>
      </c>
      <c r="T603" s="360">
        <f>SUM(T604:T629)</f>
        <v>194.20000000000005</v>
      </c>
      <c r="U603" s="360">
        <f t="shared" si="60"/>
        <v>0</v>
      </c>
    </row>
    <row r="604" spans="1:21" ht="19.5" customHeight="1">
      <c r="A604" s="360" t="s">
        <v>47</v>
      </c>
      <c r="B604" s="362" t="s">
        <v>48</v>
      </c>
      <c r="C604" s="360" t="s">
        <v>49</v>
      </c>
      <c r="D604" s="360"/>
      <c r="E604" s="360"/>
      <c r="F604" s="360"/>
      <c r="G604" s="360"/>
      <c r="H604" s="360"/>
      <c r="I604" s="360"/>
      <c r="J604" s="360"/>
      <c r="K604" s="360"/>
      <c r="L604" s="360"/>
      <c r="M604" s="360"/>
      <c r="N604" s="360"/>
      <c r="O604" s="360"/>
      <c r="P604" s="360"/>
      <c r="Q604" s="360"/>
      <c r="R604" s="360"/>
      <c r="S604" s="360"/>
      <c r="T604" s="360">
        <v>8.1</v>
      </c>
      <c r="U604" s="360"/>
    </row>
    <row r="605" spans="1:21" ht="19.5" customHeight="1">
      <c r="A605" s="360" t="s">
        <v>50</v>
      </c>
      <c r="B605" s="362" t="s">
        <v>51</v>
      </c>
      <c r="C605" s="360" t="s">
        <v>52</v>
      </c>
      <c r="D605" s="360"/>
      <c r="E605" s="360"/>
      <c r="F605" s="360"/>
      <c r="G605" s="360"/>
      <c r="H605" s="360"/>
      <c r="I605" s="360"/>
      <c r="J605" s="360"/>
      <c r="K605" s="360"/>
      <c r="L605" s="360"/>
      <c r="M605" s="360"/>
      <c r="N605" s="360"/>
      <c r="O605" s="360"/>
      <c r="P605" s="360"/>
      <c r="Q605" s="360"/>
      <c r="R605" s="360"/>
      <c r="S605" s="360"/>
      <c r="T605" s="360"/>
      <c r="U605" s="360"/>
    </row>
    <row r="606" spans="1:21" ht="19.5" customHeight="1">
      <c r="A606" s="360" t="s">
        <v>53</v>
      </c>
      <c r="B606" s="362" t="s">
        <v>54</v>
      </c>
      <c r="C606" s="360" t="s">
        <v>55</v>
      </c>
      <c r="D606" s="360"/>
      <c r="E606" s="360"/>
      <c r="F606" s="360"/>
      <c r="G606" s="360"/>
      <c r="H606" s="360"/>
      <c r="I606" s="360"/>
      <c r="J606" s="360"/>
      <c r="K606" s="360"/>
      <c r="L606" s="360"/>
      <c r="M606" s="360"/>
      <c r="N606" s="360"/>
      <c r="O606" s="360"/>
      <c r="P606" s="360"/>
      <c r="Q606" s="360"/>
      <c r="R606" s="360"/>
      <c r="S606" s="360"/>
      <c r="T606" s="360"/>
      <c r="U606" s="360"/>
    </row>
    <row r="607" spans="1:21" ht="19.5" customHeight="1">
      <c r="A607" s="360" t="s">
        <v>56</v>
      </c>
      <c r="B607" s="362" t="s">
        <v>57</v>
      </c>
      <c r="C607" s="360" t="s">
        <v>58</v>
      </c>
      <c r="D607" s="360"/>
      <c r="E607" s="360"/>
      <c r="F607" s="360"/>
      <c r="G607" s="360"/>
      <c r="H607" s="360"/>
      <c r="I607" s="360"/>
      <c r="J607" s="360"/>
      <c r="K607" s="360"/>
      <c r="L607" s="360"/>
      <c r="M607" s="360"/>
      <c r="N607" s="360"/>
      <c r="O607" s="360"/>
      <c r="P607" s="360"/>
      <c r="Q607" s="360"/>
      <c r="R607" s="360"/>
      <c r="S607" s="360"/>
      <c r="T607" s="360"/>
      <c r="U607" s="360"/>
    </row>
    <row r="608" spans="1:21" ht="19.5" customHeight="1">
      <c r="A608" s="360" t="s">
        <v>59</v>
      </c>
      <c r="B608" s="362" t="s">
        <v>60</v>
      </c>
      <c r="C608" s="360" t="s">
        <v>61</v>
      </c>
      <c r="D608" s="360"/>
      <c r="E608" s="360"/>
      <c r="F608" s="360"/>
      <c r="G608" s="360"/>
      <c r="H608" s="360"/>
      <c r="I608" s="360"/>
      <c r="J608" s="360"/>
      <c r="K608" s="360"/>
      <c r="L608" s="360"/>
      <c r="M608" s="360"/>
      <c r="N608" s="360"/>
      <c r="O608" s="360"/>
      <c r="P608" s="360"/>
      <c r="Q608" s="360"/>
      <c r="R608" s="360"/>
      <c r="S608" s="360"/>
      <c r="T608" s="360"/>
      <c r="U608" s="360"/>
    </row>
    <row r="609" spans="1:21" ht="19.5" customHeight="1">
      <c r="A609" s="360" t="s">
        <v>62</v>
      </c>
      <c r="B609" s="362" t="s">
        <v>63</v>
      </c>
      <c r="C609" s="360" t="s">
        <v>64</v>
      </c>
      <c r="D609" s="360"/>
      <c r="E609" s="360"/>
      <c r="F609" s="360"/>
      <c r="G609" s="360"/>
      <c r="H609" s="360"/>
      <c r="I609" s="360"/>
      <c r="J609" s="360"/>
      <c r="K609" s="360"/>
      <c r="L609" s="360"/>
      <c r="M609" s="360"/>
      <c r="N609" s="360"/>
      <c r="O609" s="360"/>
      <c r="P609" s="360"/>
      <c r="Q609" s="360"/>
      <c r="R609" s="360"/>
      <c r="S609" s="360"/>
      <c r="T609" s="360">
        <f>'[1]Tien An'!BN31</f>
        <v>0.91999999999999993</v>
      </c>
      <c r="U609" s="360"/>
    </row>
    <row r="610" spans="1:21" ht="19.5" customHeight="1">
      <c r="A610" s="360" t="s">
        <v>65</v>
      </c>
      <c r="B610" s="362" t="s">
        <v>66</v>
      </c>
      <c r="C610" s="360" t="s">
        <v>67</v>
      </c>
      <c r="D610" s="360"/>
      <c r="E610" s="360"/>
      <c r="F610" s="360"/>
      <c r="G610" s="360"/>
      <c r="H610" s="360"/>
      <c r="I610" s="360"/>
      <c r="J610" s="360"/>
      <c r="K610" s="360"/>
      <c r="L610" s="360"/>
      <c r="M610" s="360"/>
      <c r="N610" s="360"/>
      <c r="O610" s="360"/>
      <c r="P610" s="360"/>
      <c r="Q610" s="360"/>
      <c r="R610" s="360"/>
      <c r="S610" s="360"/>
      <c r="T610" s="360">
        <f>'[1]Tien An'!BN32</f>
        <v>11.72</v>
      </c>
      <c r="U610" s="360"/>
    </row>
    <row r="611" spans="1:21" ht="19.5" customHeight="1">
      <c r="A611" s="360" t="s">
        <v>68</v>
      </c>
      <c r="B611" s="362" t="s">
        <v>69</v>
      </c>
      <c r="C611" s="360" t="s">
        <v>70</v>
      </c>
      <c r="D611" s="360"/>
      <c r="E611" s="360"/>
      <c r="F611" s="360"/>
      <c r="G611" s="360"/>
      <c r="H611" s="360"/>
      <c r="I611" s="360"/>
      <c r="J611" s="360"/>
      <c r="K611" s="360"/>
      <c r="L611" s="360"/>
      <c r="M611" s="360"/>
      <c r="N611" s="360"/>
      <c r="O611" s="360"/>
      <c r="P611" s="360"/>
      <c r="Q611" s="360"/>
      <c r="R611" s="360"/>
      <c r="S611" s="360"/>
      <c r="T611" s="360"/>
      <c r="U611" s="360"/>
    </row>
    <row r="612" spans="1:21" ht="19.5" customHeight="1">
      <c r="A612" s="360" t="s">
        <v>71</v>
      </c>
      <c r="B612" s="362" t="s">
        <v>135</v>
      </c>
      <c r="C612" s="360" t="s">
        <v>72</v>
      </c>
      <c r="D612" s="360">
        <v>5.6</v>
      </c>
      <c r="E612" s="360"/>
      <c r="F612" s="360"/>
      <c r="G612" s="360"/>
      <c r="H612" s="360"/>
      <c r="I612" s="360"/>
      <c r="J612" s="360"/>
      <c r="K612" s="360"/>
      <c r="L612" s="360"/>
      <c r="M612" s="360"/>
      <c r="N612" s="360"/>
      <c r="O612" s="360"/>
      <c r="P612" s="360"/>
      <c r="Q612" s="360"/>
      <c r="R612" s="360"/>
      <c r="S612" s="360"/>
      <c r="T612" s="360">
        <f>'[1]Tien An'!BN34-66.84</f>
        <v>46.210000000000008</v>
      </c>
      <c r="U612" s="360"/>
    </row>
    <row r="613" spans="1:21" ht="35.25" customHeight="1">
      <c r="A613" s="360" t="s">
        <v>73</v>
      </c>
      <c r="B613" s="362" t="s">
        <v>74</v>
      </c>
      <c r="C613" s="360" t="s">
        <v>75</v>
      </c>
      <c r="D613" s="360"/>
      <c r="E613" s="360"/>
      <c r="F613" s="360"/>
      <c r="G613" s="360"/>
      <c r="H613" s="360"/>
      <c r="I613" s="360"/>
      <c r="J613" s="360"/>
      <c r="K613" s="360"/>
      <c r="L613" s="360"/>
      <c r="M613" s="360"/>
      <c r="N613" s="360"/>
      <c r="O613" s="360"/>
      <c r="P613" s="360"/>
      <c r="Q613" s="360"/>
      <c r="R613" s="360"/>
      <c r="S613" s="360"/>
      <c r="T613" s="360">
        <f>'[1]Tien An'!BN46</f>
        <v>0</v>
      </c>
      <c r="U613" s="360"/>
    </row>
    <row r="614" spans="1:21" ht="19.5" customHeight="1">
      <c r="A614" s="360" t="s">
        <v>76</v>
      </c>
      <c r="B614" s="362" t="s">
        <v>77</v>
      </c>
      <c r="C614" s="360" t="s">
        <v>78</v>
      </c>
      <c r="D614" s="360"/>
      <c r="E614" s="360"/>
      <c r="F614" s="360"/>
      <c r="G614" s="360"/>
      <c r="H614" s="360"/>
      <c r="I614" s="360"/>
      <c r="J614" s="360"/>
      <c r="K614" s="360"/>
      <c r="L614" s="360"/>
      <c r="M614" s="360"/>
      <c r="N614" s="360"/>
      <c r="O614" s="360"/>
      <c r="P614" s="360"/>
      <c r="Q614" s="360"/>
      <c r="R614" s="360"/>
      <c r="S614" s="360"/>
      <c r="T614" s="360"/>
      <c r="U614" s="360"/>
    </row>
    <row r="615" spans="1:21" ht="19.5" customHeight="1">
      <c r="A615" s="360" t="s">
        <v>79</v>
      </c>
      <c r="B615" s="362" t="s">
        <v>80</v>
      </c>
      <c r="C615" s="360" t="s">
        <v>81</v>
      </c>
      <c r="D615" s="360"/>
      <c r="E615" s="360"/>
      <c r="F615" s="360"/>
      <c r="G615" s="360"/>
      <c r="H615" s="360"/>
      <c r="I615" s="360"/>
      <c r="J615" s="360"/>
      <c r="K615" s="360"/>
      <c r="L615" s="360"/>
      <c r="M615" s="360"/>
      <c r="N615" s="360"/>
      <c r="O615" s="360"/>
      <c r="P615" s="360"/>
      <c r="Q615" s="360"/>
      <c r="R615" s="360"/>
      <c r="S615" s="360"/>
      <c r="T615" s="360"/>
      <c r="U615" s="360"/>
    </row>
    <row r="616" spans="1:21" ht="19.5" customHeight="1">
      <c r="A616" s="360" t="s">
        <v>82</v>
      </c>
      <c r="B616" s="362" t="s">
        <v>83</v>
      </c>
      <c r="C616" s="360" t="s">
        <v>84</v>
      </c>
      <c r="D616" s="360"/>
      <c r="E616" s="360"/>
      <c r="F616" s="360"/>
      <c r="G616" s="360"/>
      <c r="H616" s="360"/>
      <c r="I616" s="360"/>
      <c r="J616" s="360"/>
      <c r="K616" s="360"/>
      <c r="L616" s="360"/>
      <c r="M616" s="360"/>
      <c r="N616" s="360"/>
      <c r="O616" s="360"/>
      <c r="P616" s="360"/>
      <c r="Q616" s="360"/>
      <c r="R616" s="360"/>
      <c r="S616" s="360"/>
      <c r="T616" s="360">
        <f>'[1]Tien An'!BN49</f>
        <v>123.05</v>
      </c>
      <c r="U616" s="360"/>
    </row>
    <row r="617" spans="1:21" ht="19.5" customHeight="1">
      <c r="A617" s="360" t="s">
        <v>85</v>
      </c>
      <c r="B617" s="362" t="s">
        <v>86</v>
      </c>
      <c r="C617" s="360" t="s">
        <v>87</v>
      </c>
      <c r="D617" s="360"/>
      <c r="E617" s="360"/>
      <c r="F617" s="360"/>
      <c r="G617" s="360"/>
      <c r="H617" s="360"/>
      <c r="I617" s="360"/>
      <c r="J617" s="360"/>
      <c r="K617" s="360"/>
      <c r="L617" s="360"/>
      <c r="M617" s="360"/>
      <c r="N617" s="360"/>
      <c r="O617" s="360"/>
      <c r="P617" s="360"/>
      <c r="Q617" s="360"/>
      <c r="R617" s="360"/>
      <c r="S617" s="360"/>
      <c r="T617" s="360"/>
      <c r="U617" s="360"/>
    </row>
    <row r="618" spans="1:21" ht="19.5" customHeight="1">
      <c r="A618" s="360" t="s">
        <v>88</v>
      </c>
      <c r="B618" s="362" t="s">
        <v>89</v>
      </c>
      <c r="C618" s="360" t="s">
        <v>90</v>
      </c>
      <c r="D618" s="360"/>
      <c r="E618" s="360"/>
      <c r="F618" s="360"/>
      <c r="G618" s="360"/>
      <c r="H618" s="360"/>
      <c r="I618" s="360"/>
      <c r="J618" s="360"/>
      <c r="K618" s="360"/>
      <c r="L618" s="360"/>
      <c r="M618" s="360"/>
      <c r="N618" s="360"/>
      <c r="O618" s="360"/>
      <c r="P618" s="360"/>
      <c r="Q618" s="360"/>
      <c r="R618" s="360"/>
      <c r="S618" s="360"/>
      <c r="T618" s="360">
        <f>'[1]Tien An'!BN51</f>
        <v>0.57999999999999996</v>
      </c>
      <c r="U618" s="360"/>
    </row>
    <row r="619" spans="1:21" ht="19.5" customHeight="1">
      <c r="A619" s="360" t="s">
        <v>91</v>
      </c>
      <c r="B619" s="362" t="s">
        <v>92</v>
      </c>
      <c r="C619" s="360" t="s">
        <v>93</v>
      </c>
      <c r="D619" s="360"/>
      <c r="E619" s="360"/>
      <c r="F619" s="360"/>
      <c r="G619" s="360"/>
      <c r="H619" s="360"/>
      <c r="I619" s="360"/>
      <c r="J619" s="360"/>
      <c r="K619" s="360"/>
      <c r="L619" s="360"/>
      <c r="M619" s="360"/>
      <c r="N619" s="360"/>
      <c r="O619" s="360"/>
      <c r="P619" s="360"/>
      <c r="Q619" s="360"/>
      <c r="R619" s="360"/>
      <c r="S619" s="360"/>
      <c r="T619" s="360">
        <f>'[1]Tien An'!BN52</f>
        <v>0.32999999999999996</v>
      </c>
      <c r="U619" s="360"/>
    </row>
    <row r="620" spans="1:21" ht="19.5" customHeight="1">
      <c r="A620" s="360" t="s">
        <v>94</v>
      </c>
      <c r="B620" s="362" t="s">
        <v>95</v>
      </c>
      <c r="C620" s="360" t="s">
        <v>96</v>
      </c>
      <c r="D620" s="360"/>
      <c r="E620" s="360"/>
      <c r="F620" s="360"/>
      <c r="G620" s="360"/>
      <c r="H620" s="360"/>
      <c r="I620" s="360"/>
      <c r="J620" s="360"/>
      <c r="K620" s="360"/>
      <c r="L620" s="360"/>
      <c r="M620" s="360"/>
      <c r="N620" s="360"/>
      <c r="O620" s="360"/>
      <c r="P620" s="360"/>
      <c r="Q620" s="360"/>
      <c r="R620" s="360"/>
      <c r="S620" s="360"/>
      <c r="T620" s="360"/>
      <c r="U620" s="360"/>
    </row>
    <row r="621" spans="1:21" ht="19.5" customHeight="1">
      <c r="A621" s="360" t="s">
        <v>97</v>
      </c>
      <c r="B621" s="362" t="s">
        <v>98</v>
      </c>
      <c r="C621" s="360" t="s">
        <v>99</v>
      </c>
      <c r="D621" s="360"/>
      <c r="E621" s="360"/>
      <c r="F621" s="360"/>
      <c r="G621" s="360"/>
      <c r="H621" s="360"/>
      <c r="I621" s="360"/>
      <c r="J621" s="360"/>
      <c r="K621" s="360"/>
      <c r="L621" s="360"/>
      <c r="M621" s="360"/>
      <c r="N621" s="360"/>
      <c r="O621" s="360"/>
      <c r="P621" s="360"/>
      <c r="Q621" s="360"/>
      <c r="R621" s="360"/>
      <c r="S621" s="360"/>
      <c r="T621" s="360">
        <f>'[1]Tien An'!BN54</f>
        <v>0.09</v>
      </c>
      <c r="U621" s="360"/>
    </row>
    <row r="622" spans="1:21" ht="19.5" customHeight="1">
      <c r="A622" s="360" t="s">
        <v>100</v>
      </c>
      <c r="B622" s="362" t="s">
        <v>134</v>
      </c>
      <c r="C622" s="360" t="s">
        <v>101</v>
      </c>
      <c r="D622" s="360"/>
      <c r="E622" s="360"/>
      <c r="F622" s="360"/>
      <c r="G622" s="360"/>
      <c r="H622" s="360"/>
      <c r="I622" s="360"/>
      <c r="J622" s="360"/>
      <c r="K622" s="360"/>
      <c r="L622" s="360"/>
      <c r="M622" s="360"/>
      <c r="N622" s="360"/>
      <c r="O622" s="360"/>
      <c r="P622" s="360"/>
      <c r="Q622" s="360"/>
      <c r="R622" s="360"/>
      <c r="S622" s="360"/>
      <c r="T622" s="360"/>
      <c r="U622" s="360"/>
    </row>
    <row r="623" spans="1:21" ht="28.5" customHeight="1">
      <c r="A623" s="360" t="s">
        <v>102</v>
      </c>
      <c r="B623" s="362" t="s">
        <v>103</v>
      </c>
      <c r="C623" s="360" t="s">
        <v>104</v>
      </c>
      <c r="D623" s="360"/>
      <c r="E623" s="360"/>
      <c r="F623" s="360"/>
      <c r="G623" s="360"/>
      <c r="H623" s="360"/>
      <c r="I623" s="360"/>
      <c r="J623" s="360"/>
      <c r="K623" s="360"/>
      <c r="L623" s="360"/>
      <c r="M623" s="360"/>
      <c r="N623" s="360"/>
      <c r="O623" s="360"/>
      <c r="P623" s="360"/>
      <c r="Q623" s="360"/>
      <c r="R623" s="360"/>
      <c r="S623" s="360"/>
      <c r="T623" s="360"/>
      <c r="U623" s="360"/>
    </row>
    <row r="624" spans="1:21" ht="19.5" customHeight="1">
      <c r="A624" s="360" t="s">
        <v>105</v>
      </c>
      <c r="B624" s="362" t="s">
        <v>106</v>
      </c>
      <c r="C624" s="360" t="s">
        <v>107</v>
      </c>
      <c r="D624" s="360"/>
      <c r="E624" s="360"/>
      <c r="F624" s="360"/>
      <c r="G624" s="360"/>
      <c r="H624" s="360"/>
      <c r="I624" s="360"/>
      <c r="J624" s="360"/>
      <c r="K624" s="360"/>
      <c r="L624" s="360"/>
      <c r="M624" s="360"/>
      <c r="N624" s="360"/>
      <c r="O624" s="360"/>
      <c r="P624" s="360"/>
      <c r="Q624" s="360"/>
      <c r="R624" s="360"/>
      <c r="S624" s="360"/>
      <c r="T624" s="360">
        <f>'[1]Tien An'!BN57</f>
        <v>1.33</v>
      </c>
      <c r="U624" s="360"/>
    </row>
    <row r="625" spans="1:21" ht="19.5" customHeight="1">
      <c r="A625" s="360" t="s">
        <v>108</v>
      </c>
      <c r="B625" s="362" t="s">
        <v>109</v>
      </c>
      <c r="C625" s="360" t="s">
        <v>110</v>
      </c>
      <c r="D625" s="360"/>
      <c r="E625" s="360"/>
      <c r="F625" s="360"/>
      <c r="G625" s="360"/>
      <c r="H625" s="360"/>
      <c r="I625" s="360"/>
      <c r="J625" s="360"/>
      <c r="K625" s="360"/>
      <c r="L625" s="360"/>
      <c r="M625" s="360"/>
      <c r="N625" s="360"/>
      <c r="O625" s="360"/>
      <c r="P625" s="360"/>
      <c r="Q625" s="360"/>
      <c r="R625" s="360"/>
      <c r="S625" s="360"/>
      <c r="T625" s="360"/>
      <c r="U625" s="360"/>
    </row>
    <row r="626" spans="1:21" ht="19.5" customHeight="1">
      <c r="A626" s="360" t="s">
        <v>111</v>
      </c>
      <c r="B626" s="362" t="s">
        <v>112</v>
      </c>
      <c r="C626" s="360" t="s">
        <v>113</v>
      </c>
      <c r="D626" s="360"/>
      <c r="E626" s="360"/>
      <c r="F626" s="360"/>
      <c r="G626" s="360"/>
      <c r="H626" s="360"/>
      <c r="I626" s="360"/>
      <c r="J626" s="360"/>
      <c r="K626" s="360"/>
      <c r="L626" s="360"/>
      <c r="M626" s="360"/>
      <c r="N626" s="360"/>
      <c r="O626" s="360"/>
      <c r="P626" s="360"/>
      <c r="Q626" s="360"/>
      <c r="R626" s="360"/>
      <c r="S626" s="360"/>
      <c r="T626" s="360">
        <f>'[1]Tien An'!BN59</f>
        <v>1.87</v>
      </c>
      <c r="U626" s="360"/>
    </row>
    <row r="627" spans="1:21" ht="19.5" customHeight="1">
      <c r="A627" s="360" t="s">
        <v>114</v>
      </c>
      <c r="B627" s="362" t="s">
        <v>115</v>
      </c>
      <c r="C627" s="360" t="s">
        <v>116</v>
      </c>
      <c r="D627" s="360"/>
      <c r="E627" s="360"/>
      <c r="F627" s="360"/>
      <c r="G627" s="360"/>
      <c r="H627" s="360"/>
      <c r="I627" s="360"/>
      <c r="J627" s="360"/>
      <c r="K627" s="360"/>
      <c r="L627" s="360"/>
      <c r="M627" s="360"/>
      <c r="N627" s="360"/>
      <c r="O627" s="360"/>
      <c r="P627" s="360"/>
      <c r="Q627" s="360"/>
      <c r="R627" s="360"/>
      <c r="S627" s="360"/>
      <c r="T627" s="360"/>
      <c r="U627" s="360"/>
    </row>
    <row r="628" spans="1:21" ht="19.5" customHeight="1">
      <c r="A628" s="360" t="s">
        <v>117</v>
      </c>
      <c r="B628" s="362" t="s">
        <v>118</v>
      </c>
      <c r="C628" s="360" t="s">
        <v>119</v>
      </c>
      <c r="D628" s="360"/>
      <c r="E628" s="360"/>
      <c r="F628" s="360"/>
      <c r="G628" s="360"/>
      <c r="H628" s="360"/>
      <c r="I628" s="360"/>
      <c r="J628" s="360"/>
      <c r="K628" s="360"/>
      <c r="L628" s="360"/>
      <c r="M628" s="360"/>
      <c r="N628" s="360"/>
      <c r="O628" s="360"/>
      <c r="P628" s="360"/>
      <c r="Q628" s="360"/>
      <c r="R628" s="360"/>
      <c r="S628" s="360"/>
      <c r="T628" s="360"/>
      <c r="U628" s="360"/>
    </row>
    <row r="629" spans="1:21" ht="19.5" customHeight="1">
      <c r="A629" s="360" t="s">
        <v>120</v>
      </c>
      <c r="B629" s="362" t="s">
        <v>121</v>
      </c>
      <c r="C629" s="360" t="s">
        <v>122</v>
      </c>
      <c r="D629" s="360"/>
      <c r="E629" s="360"/>
      <c r="F629" s="360"/>
      <c r="G629" s="360"/>
      <c r="H629" s="360"/>
      <c r="I629" s="360"/>
      <c r="J629" s="360"/>
      <c r="K629" s="360"/>
      <c r="L629" s="360"/>
      <c r="M629" s="360"/>
      <c r="N629" s="360"/>
      <c r="O629" s="360"/>
      <c r="P629" s="360"/>
      <c r="Q629" s="360"/>
      <c r="R629" s="360"/>
      <c r="S629" s="360"/>
      <c r="T629" s="360"/>
      <c r="U629" s="360"/>
    </row>
    <row r="630" spans="1:21" ht="19.5" customHeight="1">
      <c r="A630" s="360">
        <v>3</v>
      </c>
      <c r="B630" s="362" t="s">
        <v>123</v>
      </c>
      <c r="C630" s="360" t="s">
        <v>124</v>
      </c>
      <c r="D630" s="360"/>
      <c r="E630" s="360"/>
      <c r="F630" s="360"/>
      <c r="G630" s="360"/>
      <c r="H630" s="360"/>
      <c r="I630" s="360"/>
      <c r="J630" s="360"/>
      <c r="K630" s="360"/>
      <c r="L630" s="360"/>
      <c r="M630" s="360"/>
      <c r="N630" s="360"/>
      <c r="O630" s="360"/>
      <c r="P630" s="360"/>
      <c r="Q630" s="360"/>
      <c r="R630" s="360"/>
      <c r="S630" s="360"/>
      <c r="T630" s="360"/>
      <c r="U630" s="360"/>
    </row>
    <row r="631" spans="1:21" ht="19.5" customHeight="1">
      <c r="A631" s="1355" t="s">
        <v>359</v>
      </c>
      <c r="B631" s="1355"/>
      <c r="C631" s="372"/>
      <c r="D631" s="372"/>
      <c r="E631" s="372"/>
      <c r="F631" s="372"/>
      <c r="G631" s="372"/>
      <c r="H631" s="372"/>
      <c r="I631" s="372"/>
      <c r="J631" s="372"/>
      <c r="K631" s="372"/>
      <c r="L631" s="372"/>
      <c r="M631" s="372"/>
      <c r="N631" s="372"/>
      <c r="O631" s="372"/>
      <c r="P631" s="372"/>
      <c r="Q631" s="372"/>
      <c r="R631" s="372"/>
      <c r="S631" s="372"/>
      <c r="T631" s="372"/>
      <c r="U631" s="372"/>
    </row>
    <row r="632" spans="1:21" ht="19.5" customHeight="1">
      <c r="A632" s="1354" t="s">
        <v>185</v>
      </c>
      <c r="B632" s="1354"/>
      <c r="C632" s="1354"/>
      <c r="D632" s="1354"/>
      <c r="E632" s="1354"/>
      <c r="F632" s="1354"/>
      <c r="G632" s="1354"/>
      <c r="H632" s="1354"/>
      <c r="I632" s="1354"/>
      <c r="J632" s="1354"/>
      <c r="K632" s="1354"/>
      <c r="L632" s="1354"/>
      <c r="M632" s="1354"/>
      <c r="N632" s="1354"/>
      <c r="O632" s="1354"/>
      <c r="P632" s="1354"/>
      <c r="Q632" s="1354"/>
      <c r="R632" s="1354"/>
      <c r="S632" s="1354"/>
      <c r="T632" s="1354"/>
      <c r="U632" s="1354"/>
    </row>
    <row r="633" spans="1:21" ht="19.5" customHeight="1">
      <c r="A633" s="1354" t="s">
        <v>322</v>
      </c>
      <c r="B633" s="1354"/>
      <c r="C633" s="1354"/>
      <c r="D633" s="1354"/>
      <c r="E633" s="1354"/>
      <c r="F633" s="1354"/>
      <c r="G633" s="1354"/>
      <c r="H633" s="1354"/>
      <c r="I633" s="1354"/>
      <c r="J633" s="1354"/>
      <c r="K633" s="1354"/>
      <c r="L633" s="1354"/>
      <c r="M633" s="1354"/>
      <c r="N633" s="1354"/>
      <c r="O633" s="1354"/>
      <c r="P633" s="1354"/>
      <c r="Q633" s="1354"/>
      <c r="R633" s="1354"/>
      <c r="S633" s="1354"/>
      <c r="T633" s="1354"/>
      <c r="U633" s="1354"/>
    </row>
    <row r="634" spans="1:21" ht="19.5" customHeight="1"/>
    <row r="635" spans="1:21" ht="19.5" customHeight="1">
      <c r="A635" s="1356" t="s">
        <v>0</v>
      </c>
      <c r="B635" s="1356" t="s">
        <v>186</v>
      </c>
      <c r="C635" s="1356" t="s">
        <v>13</v>
      </c>
      <c r="D635" s="1356" t="s">
        <v>139</v>
      </c>
      <c r="E635" s="1356"/>
      <c r="F635" s="1356" t="s">
        <v>140</v>
      </c>
      <c r="G635" s="1356"/>
      <c r="H635" s="1356" t="s">
        <v>141</v>
      </c>
      <c r="I635" s="1356"/>
      <c r="J635" s="1356" t="s">
        <v>142</v>
      </c>
      <c r="K635" s="1356"/>
      <c r="L635" s="1356" t="s">
        <v>143</v>
      </c>
      <c r="M635" s="1356"/>
      <c r="N635" s="1356" t="s">
        <v>144</v>
      </c>
      <c r="O635" s="1356"/>
      <c r="P635" s="1356" t="s">
        <v>188</v>
      </c>
      <c r="Q635" s="1356"/>
      <c r="R635" s="1356" t="s">
        <v>145</v>
      </c>
      <c r="S635" s="1356"/>
      <c r="T635" s="1356" t="s">
        <v>146</v>
      </c>
      <c r="U635" s="1356"/>
    </row>
    <row r="636" spans="1:21" ht="51.75" customHeight="1">
      <c r="A636" s="1356"/>
      <c r="B636" s="1356"/>
      <c r="C636" s="1356"/>
      <c r="D636" s="360" t="s">
        <v>137</v>
      </c>
      <c r="E636" s="360" t="s">
        <v>187</v>
      </c>
      <c r="F636" s="360" t="s">
        <v>137</v>
      </c>
      <c r="G636" s="360" t="s">
        <v>187</v>
      </c>
      <c r="H636" s="360" t="s">
        <v>137</v>
      </c>
      <c r="I636" s="360" t="s">
        <v>187</v>
      </c>
      <c r="J636" s="360" t="s">
        <v>137</v>
      </c>
      <c r="K636" s="360" t="s">
        <v>187</v>
      </c>
      <c r="L636" s="360" t="s">
        <v>137</v>
      </c>
      <c r="M636" s="360" t="s">
        <v>187</v>
      </c>
      <c r="N636" s="360" t="s">
        <v>137</v>
      </c>
      <c r="O636" s="360" t="s">
        <v>187</v>
      </c>
      <c r="P636" s="360" t="s">
        <v>137</v>
      </c>
      <c r="Q636" s="360" t="s">
        <v>187</v>
      </c>
      <c r="R636" s="360" t="s">
        <v>137</v>
      </c>
      <c r="S636" s="360" t="s">
        <v>187</v>
      </c>
      <c r="T636" s="360" t="s">
        <v>137</v>
      </c>
      <c r="U636" s="360" t="s">
        <v>187</v>
      </c>
    </row>
    <row r="637" spans="1:21" ht="33.75" customHeight="1">
      <c r="A637" s="360">
        <v>1</v>
      </c>
      <c r="B637" s="362" t="s">
        <v>14</v>
      </c>
      <c r="C637" s="360" t="s">
        <v>15</v>
      </c>
      <c r="D637" s="360">
        <f>D638+D640+D641+D642+D643+D644+D645+D646+D647</f>
        <v>0</v>
      </c>
      <c r="E637" s="360">
        <f t="shared" ref="E637:U637" si="61">E638+E640+E641+E642+E643+E644+E645+E646+E647</f>
        <v>0</v>
      </c>
      <c r="F637" s="360">
        <f t="shared" si="61"/>
        <v>0</v>
      </c>
      <c r="G637" s="360">
        <f t="shared" si="61"/>
        <v>0</v>
      </c>
      <c r="H637" s="360">
        <f t="shared" si="61"/>
        <v>416</v>
      </c>
      <c r="I637" s="360">
        <f t="shared" si="61"/>
        <v>0</v>
      </c>
      <c r="J637" s="360">
        <f t="shared" si="61"/>
        <v>0</v>
      </c>
      <c r="K637" s="360">
        <f t="shared" si="61"/>
        <v>0</v>
      </c>
      <c r="L637" s="360">
        <f t="shared" si="61"/>
        <v>0</v>
      </c>
      <c r="M637" s="360">
        <f t="shared" si="61"/>
        <v>0</v>
      </c>
      <c r="N637" s="360">
        <f t="shared" si="61"/>
        <v>0</v>
      </c>
      <c r="O637" s="360">
        <f t="shared" si="61"/>
        <v>0</v>
      </c>
      <c r="P637" s="360">
        <f t="shared" si="61"/>
        <v>30.56</v>
      </c>
      <c r="Q637" s="360">
        <f t="shared" si="61"/>
        <v>0</v>
      </c>
      <c r="R637" s="360">
        <f t="shared" si="61"/>
        <v>30.56</v>
      </c>
      <c r="S637" s="360">
        <f t="shared" si="61"/>
        <v>0</v>
      </c>
      <c r="T637" s="360">
        <f t="shared" si="61"/>
        <v>1.2</v>
      </c>
      <c r="U637" s="360">
        <f t="shared" si="61"/>
        <v>0</v>
      </c>
    </row>
    <row r="638" spans="1:21" ht="19.5" customHeight="1">
      <c r="A638" s="360" t="s">
        <v>16</v>
      </c>
      <c r="B638" s="362" t="s">
        <v>17</v>
      </c>
      <c r="C638" s="360" t="s">
        <v>18</v>
      </c>
      <c r="D638" s="360">
        <f t="shared" ref="D638:U638" si="62">D639</f>
        <v>0</v>
      </c>
      <c r="E638" s="360">
        <f t="shared" si="62"/>
        <v>0</v>
      </c>
      <c r="F638" s="360">
        <f t="shared" si="62"/>
        <v>0</v>
      </c>
      <c r="G638" s="360">
        <f t="shared" si="62"/>
        <v>0</v>
      </c>
      <c r="H638" s="360">
        <f t="shared" si="62"/>
        <v>0</v>
      </c>
      <c r="I638" s="360">
        <f t="shared" si="62"/>
        <v>0</v>
      </c>
      <c r="J638" s="360">
        <f t="shared" si="62"/>
        <v>0</v>
      </c>
      <c r="K638" s="360">
        <f t="shared" si="62"/>
        <v>0</v>
      </c>
      <c r="L638" s="360">
        <f t="shared" si="62"/>
        <v>0</v>
      </c>
      <c r="M638" s="360">
        <f t="shared" si="62"/>
        <v>0</v>
      </c>
      <c r="N638" s="360">
        <f t="shared" si="62"/>
        <v>0</v>
      </c>
      <c r="O638" s="360">
        <f t="shared" si="62"/>
        <v>0</v>
      </c>
      <c r="P638" s="360">
        <f t="shared" si="62"/>
        <v>0</v>
      </c>
      <c r="Q638" s="360">
        <f t="shared" si="62"/>
        <v>0</v>
      </c>
      <c r="R638" s="360">
        <f t="shared" si="62"/>
        <v>0</v>
      </c>
      <c r="S638" s="360">
        <f t="shared" si="62"/>
        <v>0</v>
      </c>
      <c r="T638" s="360">
        <f t="shared" si="62"/>
        <v>0</v>
      </c>
      <c r="U638" s="360">
        <f t="shared" si="62"/>
        <v>0</v>
      </c>
    </row>
    <row r="639" spans="1:21" ht="19.5" customHeight="1">
      <c r="A639" s="360"/>
      <c r="B639" s="362" t="s">
        <v>19</v>
      </c>
      <c r="C639" s="360" t="s">
        <v>20</v>
      </c>
      <c r="D639" s="360"/>
      <c r="E639" s="360"/>
      <c r="F639" s="360"/>
      <c r="G639" s="360"/>
      <c r="H639" s="360"/>
      <c r="I639" s="360"/>
      <c r="J639" s="360"/>
      <c r="K639" s="360"/>
      <c r="L639" s="360"/>
      <c r="M639" s="360"/>
      <c r="N639" s="360"/>
      <c r="O639" s="360"/>
      <c r="P639" s="360"/>
      <c r="Q639" s="360"/>
      <c r="R639" s="360"/>
      <c r="S639" s="360"/>
      <c r="T639" s="360"/>
      <c r="U639" s="360"/>
    </row>
    <row r="640" spans="1:21" ht="19.5" customHeight="1">
      <c r="A640" s="360" t="s">
        <v>21</v>
      </c>
      <c r="B640" s="362" t="s">
        <v>22</v>
      </c>
      <c r="C640" s="360" t="s">
        <v>23</v>
      </c>
      <c r="D640" s="360"/>
      <c r="E640" s="360"/>
      <c r="F640" s="360"/>
      <c r="G640" s="360"/>
      <c r="H640" s="360"/>
      <c r="I640" s="360"/>
      <c r="J640" s="360"/>
      <c r="K640" s="360"/>
      <c r="L640" s="360"/>
      <c r="M640" s="360"/>
      <c r="N640" s="360"/>
      <c r="O640" s="360"/>
      <c r="P640" s="360"/>
      <c r="Q640" s="360"/>
      <c r="R640" s="360"/>
      <c r="S640" s="360"/>
      <c r="T640" s="360"/>
      <c r="U640" s="360"/>
    </row>
    <row r="641" spans="1:24" ht="19.5" customHeight="1">
      <c r="A641" s="360" t="s">
        <v>24</v>
      </c>
      <c r="B641" s="362" t="s">
        <v>25</v>
      </c>
      <c r="C641" s="360" t="s">
        <v>26</v>
      </c>
      <c r="D641" s="360"/>
      <c r="E641" s="360"/>
      <c r="F641" s="360"/>
      <c r="G641" s="360"/>
      <c r="H641" s="360"/>
      <c r="I641" s="360"/>
      <c r="J641" s="360"/>
      <c r="K641" s="360"/>
      <c r="L641" s="360"/>
      <c r="M641" s="360"/>
      <c r="N641" s="360"/>
      <c r="O641" s="360"/>
      <c r="P641" s="360"/>
      <c r="Q641" s="360"/>
      <c r="R641" s="360"/>
      <c r="S641" s="360"/>
      <c r="T641" s="360"/>
      <c r="U641" s="360"/>
    </row>
    <row r="642" spans="1:24" ht="19.5" customHeight="1">
      <c r="A642" s="360" t="s">
        <v>27</v>
      </c>
      <c r="B642" s="362" t="s">
        <v>28</v>
      </c>
      <c r="C642" s="360" t="s">
        <v>29</v>
      </c>
      <c r="D642" s="360"/>
      <c r="E642" s="360"/>
      <c r="F642" s="360"/>
      <c r="G642" s="360"/>
      <c r="H642" s="360">
        <v>416</v>
      </c>
      <c r="I642" s="360"/>
      <c r="J642" s="360"/>
      <c r="K642" s="360"/>
      <c r="L642" s="360"/>
      <c r="M642" s="360"/>
      <c r="N642" s="360"/>
      <c r="O642" s="360"/>
      <c r="P642" s="360">
        <v>30.56</v>
      </c>
      <c r="Q642" s="360"/>
      <c r="R642" s="360">
        <f>P642</f>
        <v>30.56</v>
      </c>
      <c r="S642" s="360"/>
      <c r="T642" s="360">
        <v>1.2</v>
      </c>
      <c r="U642" s="360"/>
    </row>
    <row r="643" spans="1:24" ht="19.5" customHeight="1">
      <c r="A643" s="360" t="s">
        <v>30</v>
      </c>
      <c r="B643" s="362" t="s">
        <v>31</v>
      </c>
      <c r="C643" s="360" t="s">
        <v>32</v>
      </c>
      <c r="D643" s="360"/>
      <c r="E643" s="360"/>
      <c r="F643" s="360"/>
      <c r="G643" s="360"/>
      <c r="H643" s="360"/>
      <c r="I643" s="360"/>
      <c r="J643" s="360"/>
      <c r="K643" s="360"/>
      <c r="L643" s="360"/>
      <c r="M643" s="360"/>
      <c r="N643" s="360"/>
      <c r="O643" s="360"/>
      <c r="P643" s="360"/>
      <c r="Q643" s="360"/>
      <c r="R643" s="360"/>
      <c r="S643" s="360"/>
      <c r="T643" s="360"/>
      <c r="U643" s="360"/>
    </row>
    <row r="644" spans="1:24" ht="19.5" customHeight="1">
      <c r="A644" s="360" t="s">
        <v>33</v>
      </c>
      <c r="B644" s="362" t="s">
        <v>34</v>
      </c>
      <c r="C644" s="360" t="s">
        <v>35</v>
      </c>
      <c r="D644" s="360"/>
      <c r="E644" s="360"/>
      <c r="F644" s="360"/>
      <c r="G644" s="360"/>
      <c r="H644" s="360"/>
      <c r="I644" s="360"/>
      <c r="J644" s="360"/>
      <c r="K644" s="360"/>
      <c r="L644" s="360"/>
      <c r="M644" s="360"/>
      <c r="N644" s="360"/>
      <c r="O644" s="360"/>
      <c r="P644" s="360"/>
      <c r="Q644" s="360"/>
      <c r="R644" s="360"/>
      <c r="S644" s="360"/>
      <c r="T644" s="360"/>
      <c r="U644" s="360"/>
    </row>
    <row r="645" spans="1:24" ht="19.5" customHeight="1">
      <c r="A645" s="360" t="s">
        <v>36</v>
      </c>
      <c r="B645" s="362" t="s">
        <v>37</v>
      </c>
      <c r="C645" s="360" t="s">
        <v>38</v>
      </c>
      <c r="D645" s="360"/>
      <c r="E645" s="360"/>
      <c r="F645" s="360"/>
      <c r="G645" s="360"/>
      <c r="H645" s="360"/>
      <c r="I645" s="360"/>
      <c r="J645" s="360"/>
      <c r="K645" s="360"/>
      <c r="L645" s="360"/>
      <c r="M645" s="360"/>
      <c r="N645" s="360"/>
      <c r="O645" s="360"/>
      <c r="P645" s="360"/>
      <c r="Q645" s="360"/>
      <c r="R645" s="360"/>
      <c r="S645" s="360"/>
      <c r="T645" s="360"/>
      <c r="U645" s="360"/>
    </row>
    <row r="646" spans="1:24" ht="19.5" customHeight="1">
      <c r="A646" s="360" t="s">
        <v>39</v>
      </c>
      <c r="B646" s="362" t="s">
        <v>40</v>
      </c>
      <c r="C646" s="360" t="s">
        <v>41</v>
      </c>
      <c r="D646" s="360"/>
      <c r="E646" s="360"/>
      <c r="F646" s="360"/>
      <c r="G646" s="360"/>
      <c r="H646" s="360"/>
      <c r="I646" s="360"/>
      <c r="J646" s="360"/>
      <c r="K646" s="360"/>
      <c r="L646" s="360"/>
      <c r="M646" s="360"/>
      <c r="N646" s="360"/>
      <c r="O646" s="360"/>
      <c r="P646" s="360"/>
      <c r="Q646" s="360"/>
      <c r="R646" s="360"/>
      <c r="S646" s="360"/>
      <c r="T646" s="360"/>
      <c r="U646" s="360"/>
    </row>
    <row r="647" spans="1:24" ht="19.5" customHeight="1">
      <c r="A647" s="360">
        <v>2</v>
      </c>
      <c r="B647" s="362" t="s">
        <v>43</v>
      </c>
      <c r="C647" s="360" t="s">
        <v>44</v>
      </c>
      <c r="D647" s="360"/>
      <c r="E647" s="360"/>
      <c r="F647" s="360"/>
      <c r="G647" s="360"/>
      <c r="H647" s="360"/>
      <c r="I647" s="360"/>
      <c r="J647" s="360"/>
      <c r="K647" s="360"/>
      <c r="L647" s="360"/>
      <c r="M647" s="360"/>
      <c r="N647" s="360"/>
      <c r="O647" s="360"/>
      <c r="P647" s="360"/>
      <c r="Q647" s="360"/>
      <c r="R647" s="360"/>
      <c r="S647" s="360"/>
      <c r="T647" s="360"/>
      <c r="U647" s="360"/>
    </row>
    <row r="648" spans="1:24" ht="19.5" customHeight="1">
      <c r="A648" s="360">
        <v>2</v>
      </c>
      <c r="B648" s="362" t="s">
        <v>45</v>
      </c>
      <c r="C648" s="360" t="s">
        <v>46</v>
      </c>
      <c r="D648" s="360">
        <f>SUM(D649:D674)</f>
        <v>0</v>
      </c>
      <c r="E648" s="360">
        <f t="shared" ref="E648:U648" si="63">SUM(E649:E674)</f>
        <v>0</v>
      </c>
      <c r="F648" s="360">
        <f t="shared" si="63"/>
        <v>0</v>
      </c>
      <c r="G648" s="360">
        <f t="shared" si="63"/>
        <v>0</v>
      </c>
      <c r="H648" s="360">
        <f t="shared" si="63"/>
        <v>0</v>
      </c>
      <c r="I648" s="360">
        <f t="shared" si="63"/>
        <v>0</v>
      </c>
      <c r="J648" s="360">
        <f t="shared" si="63"/>
        <v>0</v>
      </c>
      <c r="K648" s="360">
        <f t="shared" si="63"/>
        <v>0</v>
      </c>
      <c r="L648" s="360">
        <f t="shared" si="63"/>
        <v>0</v>
      </c>
      <c r="M648" s="360">
        <f t="shared" si="63"/>
        <v>0</v>
      </c>
      <c r="N648" s="360">
        <f t="shared" si="63"/>
        <v>0</v>
      </c>
      <c r="O648" s="360">
        <f t="shared" si="63"/>
        <v>0</v>
      </c>
      <c r="P648" s="360">
        <f t="shared" si="63"/>
        <v>2193.7600000000002</v>
      </c>
      <c r="Q648" s="360">
        <f t="shared" si="63"/>
        <v>0</v>
      </c>
      <c r="R648" s="360">
        <f t="shared" si="63"/>
        <v>1622.23</v>
      </c>
      <c r="S648" s="360">
        <f t="shared" si="63"/>
        <v>0</v>
      </c>
      <c r="T648" s="360">
        <f t="shared" si="63"/>
        <v>121.66999999999997</v>
      </c>
      <c r="U648" s="360">
        <f t="shared" si="63"/>
        <v>0</v>
      </c>
      <c r="V648" s="359">
        <f>R648+R637</f>
        <v>1652.79</v>
      </c>
      <c r="W648" s="359">
        <v>516</v>
      </c>
      <c r="X648" s="359">
        <f>V648-W648</f>
        <v>1136.79</v>
      </c>
    </row>
    <row r="649" spans="1:24" ht="19.5" customHeight="1">
      <c r="A649" s="360" t="s">
        <v>47</v>
      </c>
      <c r="B649" s="362" t="s">
        <v>48</v>
      </c>
      <c r="C649" s="360" t="s">
        <v>49</v>
      </c>
      <c r="D649" s="360"/>
      <c r="E649" s="360"/>
      <c r="F649" s="360"/>
      <c r="G649" s="360"/>
      <c r="H649" s="360"/>
      <c r="I649" s="360"/>
      <c r="J649" s="360"/>
      <c r="K649" s="360"/>
      <c r="L649" s="360"/>
      <c r="M649" s="360"/>
      <c r="N649" s="360"/>
      <c r="O649" s="360"/>
      <c r="P649" s="360"/>
      <c r="Q649" s="360"/>
      <c r="R649" s="360"/>
      <c r="S649" s="360"/>
      <c r="T649" s="360"/>
      <c r="U649" s="360"/>
    </row>
    <row r="650" spans="1:24" ht="19.5" customHeight="1">
      <c r="A650" s="360" t="s">
        <v>50</v>
      </c>
      <c r="B650" s="362" t="s">
        <v>51</v>
      </c>
      <c r="C650" s="360" t="s">
        <v>52</v>
      </c>
      <c r="D650" s="360"/>
      <c r="E650" s="360"/>
      <c r="F650" s="360"/>
      <c r="G650" s="360"/>
      <c r="H650" s="360"/>
      <c r="I650" s="360"/>
      <c r="J650" s="360"/>
      <c r="K650" s="360"/>
      <c r="L650" s="360"/>
      <c r="M650" s="360"/>
      <c r="N650" s="360"/>
      <c r="O650" s="360"/>
      <c r="P650" s="360"/>
      <c r="Q650" s="360"/>
      <c r="R650" s="360"/>
      <c r="S650" s="360"/>
      <c r="T650" s="360"/>
      <c r="U650" s="360"/>
    </row>
    <row r="651" spans="1:24" ht="19.5" customHeight="1">
      <c r="A651" s="360" t="s">
        <v>53</v>
      </c>
      <c r="B651" s="362" t="s">
        <v>54</v>
      </c>
      <c r="C651" s="360" t="s">
        <v>55</v>
      </c>
      <c r="D651" s="360"/>
      <c r="E651" s="360"/>
      <c r="F651" s="360"/>
      <c r="G651" s="360"/>
      <c r="H651" s="360"/>
      <c r="I651" s="360"/>
      <c r="J651" s="360"/>
      <c r="K651" s="360"/>
      <c r="L651" s="360"/>
      <c r="M651" s="360"/>
      <c r="N651" s="360"/>
      <c r="O651" s="360"/>
      <c r="P651" s="360"/>
      <c r="Q651" s="360"/>
      <c r="R651" s="360"/>
      <c r="S651" s="360"/>
      <c r="T651" s="360"/>
      <c r="U651" s="360"/>
    </row>
    <row r="652" spans="1:24" ht="19.5" customHeight="1">
      <c r="A652" s="360" t="s">
        <v>56</v>
      </c>
      <c r="B652" s="362" t="s">
        <v>57</v>
      </c>
      <c r="C652" s="360" t="s">
        <v>58</v>
      </c>
      <c r="D652" s="360"/>
      <c r="E652" s="360"/>
      <c r="F652" s="360"/>
      <c r="G652" s="360"/>
      <c r="H652" s="360"/>
      <c r="I652" s="360"/>
      <c r="J652" s="360"/>
      <c r="K652" s="360"/>
      <c r="L652" s="360"/>
      <c r="M652" s="360"/>
      <c r="N652" s="360"/>
      <c r="O652" s="360"/>
      <c r="P652" s="360"/>
      <c r="Q652" s="360"/>
      <c r="R652" s="360"/>
      <c r="S652" s="360"/>
      <c r="T652" s="360"/>
      <c r="U652" s="360"/>
    </row>
    <row r="653" spans="1:24" ht="19.5" customHeight="1">
      <c r="A653" s="360" t="s">
        <v>59</v>
      </c>
      <c r="B653" s="362" t="s">
        <v>60</v>
      </c>
      <c r="C653" s="360" t="s">
        <v>61</v>
      </c>
      <c r="D653" s="360"/>
      <c r="E653" s="360"/>
      <c r="F653" s="360"/>
      <c r="G653" s="360"/>
      <c r="H653" s="360"/>
      <c r="I653" s="360"/>
      <c r="J653" s="360"/>
      <c r="K653" s="360"/>
      <c r="L653" s="360"/>
      <c r="M653" s="360"/>
      <c r="N653" s="360"/>
      <c r="O653" s="360"/>
      <c r="P653" s="360"/>
      <c r="Q653" s="360"/>
      <c r="R653" s="360"/>
      <c r="S653" s="360"/>
      <c r="T653" s="360"/>
      <c r="U653" s="360"/>
    </row>
    <row r="654" spans="1:24" ht="19.5" customHeight="1">
      <c r="A654" s="360" t="s">
        <v>62</v>
      </c>
      <c r="B654" s="362" t="s">
        <v>63</v>
      </c>
      <c r="C654" s="360" t="s">
        <v>64</v>
      </c>
      <c r="D654" s="360"/>
      <c r="E654" s="360"/>
      <c r="F654" s="360"/>
      <c r="G654" s="360"/>
      <c r="H654" s="360"/>
      <c r="I654" s="360"/>
      <c r="J654" s="360"/>
      <c r="K654" s="360"/>
      <c r="L654" s="360"/>
      <c r="M654" s="360"/>
      <c r="N654" s="360"/>
      <c r="O654" s="360"/>
      <c r="P654" s="360">
        <f>150.8+41.08+170.4</f>
        <v>362.28</v>
      </c>
      <c r="Q654" s="360"/>
      <c r="R654" s="360">
        <f>P654</f>
        <v>362.28</v>
      </c>
      <c r="S654" s="360"/>
      <c r="T654" s="360"/>
      <c r="U654" s="360"/>
    </row>
    <row r="655" spans="1:24" ht="19.5" customHeight="1">
      <c r="A655" s="360" t="s">
        <v>65</v>
      </c>
      <c r="B655" s="362" t="s">
        <v>66</v>
      </c>
      <c r="C655" s="360" t="s">
        <v>67</v>
      </c>
      <c r="D655" s="360"/>
      <c r="E655" s="360"/>
      <c r="F655" s="360"/>
      <c r="G655" s="360"/>
      <c r="H655" s="360"/>
      <c r="I655" s="360"/>
      <c r="J655" s="360"/>
      <c r="K655" s="360"/>
      <c r="L655" s="360"/>
      <c r="M655" s="360"/>
      <c r="N655" s="360"/>
      <c r="O655" s="360"/>
      <c r="P655" s="360"/>
      <c r="Q655" s="360"/>
      <c r="R655" s="360"/>
      <c r="S655" s="360"/>
      <c r="T655" s="360"/>
      <c r="U655" s="360"/>
    </row>
    <row r="656" spans="1:24" ht="29.25" customHeight="1">
      <c r="A656" s="360" t="s">
        <v>68</v>
      </c>
      <c r="B656" s="362" t="s">
        <v>69</v>
      </c>
      <c r="C656" s="360" t="s">
        <v>70</v>
      </c>
      <c r="D656" s="360"/>
      <c r="E656" s="360"/>
      <c r="F656" s="360"/>
      <c r="G656" s="360"/>
      <c r="H656" s="360"/>
      <c r="I656" s="360"/>
      <c r="J656" s="360"/>
      <c r="K656" s="360"/>
      <c r="L656" s="360"/>
      <c r="M656" s="360"/>
      <c r="N656" s="360"/>
      <c r="O656" s="360"/>
      <c r="P656" s="360"/>
      <c r="Q656" s="360"/>
      <c r="R656" s="360"/>
      <c r="S656" s="360"/>
      <c r="T656" s="360"/>
      <c r="U656" s="360"/>
    </row>
    <row r="657" spans="1:21" ht="27.75" customHeight="1">
      <c r="A657" s="360" t="s">
        <v>71</v>
      </c>
      <c r="B657" s="362" t="s">
        <v>135</v>
      </c>
      <c r="C657" s="360" t="s">
        <v>72</v>
      </c>
      <c r="D657" s="360"/>
      <c r="E657" s="360"/>
      <c r="F657" s="360"/>
      <c r="G657" s="360"/>
      <c r="H657" s="360"/>
      <c r="I657" s="360"/>
      <c r="J657" s="360"/>
      <c r="K657" s="360"/>
      <c r="L657" s="360"/>
      <c r="M657" s="360"/>
      <c r="N657" s="360"/>
      <c r="O657" s="360"/>
      <c r="P657" s="360">
        <f>R657-190+29.77+6.02+15.8+399.47+7.76+6.62+19.51+16.47+240.39+2.93+14.9</f>
        <v>803.85</v>
      </c>
      <c r="Q657" s="360"/>
      <c r="R657" s="360">
        <f>190+2.43+1.3+0.13+71.6+2.8-34.05</f>
        <v>234.21000000000004</v>
      </c>
      <c r="S657" s="360"/>
      <c r="T657" s="360">
        <f>'[1]Hoang Tan'!BN34-R657-35.02</f>
        <v>75.809999999999974</v>
      </c>
      <c r="U657" s="360"/>
    </row>
    <row r="658" spans="1:21" ht="35.25" customHeight="1">
      <c r="A658" s="360" t="s">
        <v>73</v>
      </c>
      <c r="B658" s="362" t="s">
        <v>74</v>
      </c>
      <c r="C658" s="360" t="s">
        <v>75</v>
      </c>
      <c r="D658" s="360"/>
      <c r="E658" s="360"/>
      <c r="F658" s="360"/>
      <c r="G658" s="360"/>
      <c r="H658" s="360"/>
      <c r="I658" s="360"/>
      <c r="J658" s="360"/>
      <c r="K658" s="360"/>
      <c r="L658" s="360"/>
      <c r="M658" s="360"/>
      <c r="N658" s="360"/>
      <c r="O658" s="360"/>
      <c r="P658" s="360">
        <v>1.89</v>
      </c>
      <c r="Q658" s="360"/>
      <c r="R658" s="360"/>
      <c r="S658" s="360"/>
      <c r="T658" s="360"/>
      <c r="U658" s="360"/>
    </row>
    <row r="659" spans="1:21" ht="19.5" customHeight="1">
      <c r="A659" s="360" t="s">
        <v>76</v>
      </c>
      <c r="B659" s="362" t="s">
        <v>77</v>
      </c>
      <c r="C659" s="360" t="s">
        <v>78</v>
      </c>
      <c r="D659" s="360"/>
      <c r="E659" s="360"/>
      <c r="F659" s="360"/>
      <c r="G659" s="360"/>
      <c r="H659" s="360"/>
      <c r="I659" s="360"/>
      <c r="J659" s="360"/>
      <c r="K659" s="360"/>
      <c r="L659" s="360"/>
      <c r="M659" s="360"/>
      <c r="N659" s="360"/>
      <c r="O659" s="360"/>
      <c r="P659" s="360"/>
      <c r="Q659" s="360"/>
      <c r="R659" s="360"/>
      <c r="S659" s="360"/>
      <c r="T659" s="360"/>
      <c r="U659" s="360"/>
    </row>
    <row r="660" spans="1:21" ht="19.5" customHeight="1">
      <c r="A660" s="360" t="s">
        <v>79</v>
      </c>
      <c r="B660" s="362" t="s">
        <v>80</v>
      </c>
      <c r="C660" s="360" t="s">
        <v>81</v>
      </c>
      <c r="D660" s="360"/>
      <c r="E660" s="360"/>
      <c r="F660" s="360"/>
      <c r="G660" s="360"/>
      <c r="H660" s="360"/>
      <c r="I660" s="360"/>
      <c r="J660" s="360"/>
      <c r="K660" s="360"/>
      <c r="L660" s="360"/>
      <c r="M660" s="360"/>
      <c r="N660" s="360"/>
      <c r="O660" s="360"/>
      <c r="P660" s="360"/>
      <c r="Q660" s="360"/>
      <c r="R660" s="360"/>
      <c r="S660" s="360"/>
      <c r="T660" s="360"/>
      <c r="U660" s="360"/>
    </row>
    <row r="661" spans="1:21" ht="19.5" customHeight="1">
      <c r="A661" s="360" t="s">
        <v>82</v>
      </c>
      <c r="B661" s="362" t="s">
        <v>83</v>
      </c>
      <c r="C661" s="360" t="s">
        <v>84</v>
      </c>
      <c r="D661" s="360"/>
      <c r="E661" s="360"/>
      <c r="F661" s="360"/>
      <c r="G661" s="360"/>
      <c r="H661" s="360"/>
      <c r="I661" s="360"/>
      <c r="J661" s="360"/>
      <c r="K661" s="360"/>
      <c r="L661" s="360"/>
      <c r="M661" s="360"/>
      <c r="N661" s="360"/>
      <c r="O661" s="360"/>
      <c r="P661" s="360">
        <f>50.8+298.19+223.12</f>
        <v>572.11</v>
      </c>
      <c r="Q661" s="360"/>
      <c r="R661" s="360">
        <f>P661</f>
        <v>572.11</v>
      </c>
      <c r="S661" s="360"/>
      <c r="T661" s="360">
        <v>45</v>
      </c>
      <c r="U661" s="360"/>
    </row>
    <row r="662" spans="1:21" ht="19.5" customHeight="1">
      <c r="A662" s="360" t="s">
        <v>85</v>
      </c>
      <c r="B662" s="362" t="s">
        <v>86</v>
      </c>
      <c r="C662" s="360" t="s">
        <v>87</v>
      </c>
      <c r="D662" s="360"/>
      <c r="E662" s="360"/>
      <c r="F662" s="360"/>
      <c r="G662" s="360"/>
      <c r="H662" s="360"/>
      <c r="I662" s="360"/>
      <c r="J662" s="360"/>
      <c r="K662" s="360"/>
      <c r="L662" s="360"/>
      <c r="M662" s="360"/>
      <c r="N662" s="360"/>
      <c r="O662" s="360"/>
      <c r="P662" s="360"/>
      <c r="Q662" s="360"/>
      <c r="R662" s="360"/>
      <c r="S662" s="360"/>
      <c r="T662" s="360"/>
      <c r="U662" s="360"/>
    </row>
    <row r="663" spans="1:21" ht="19.5" customHeight="1">
      <c r="A663" s="360" t="s">
        <v>88</v>
      </c>
      <c r="B663" s="362" t="s">
        <v>89</v>
      </c>
      <c r="C663" s="360" t="s">
        <v>90</v>
      </c>
      <c r="D663" s="360"/>
      <c r="E663" s="360"/>
      <c r="F663" s="360"/>
      <c r="G663" s="360"/>
      <c r="H663" s="360"/>
      <c r="I663" s="360"/>
      <c r="J663" s="360"/>
      <c r="K663" s="360"/>
      <c r="L663" s="360"/>
      <c r="M663" s="360"/>
      <c r="N663" s="360"/>
      <c r="O663" s="360"/>
      <c r="P663" s="360"/>
      <c r="Q663" s="360"/>
      <c r="R663" s="360"/>
      <c r="S663" s="360"/>
      <c r="T663" s="360">
        <f>'[1]Hoang Tan'!BN51</f>
        <v>0.31</v>
      </c>
      <c r="U663" s="360"/>
    </row>
    <row r="664" spans="1:21" ht="19.5" customHeight="1">
      <c r="A664" s="360" t="s">
        <v>91</v>
      </c>
      <c r="B664" s="362" t="s">
        <v>92</v>
      </c>
      <c r="C664" s="360" t="s">
        <v>93</v>
      </c>
      <c r="D664" s="360"/>
      <c r="E664" s="360"/>
      <c r="F664" s="360"/>
      <c r="G664" s="360"/>
      <c r="H664" s="360"/>
      <c r="I664" s="360"/>
      <c r="J664" s="360"/>
      <c r="K664" s="360"/>
      <c r="L664" s="360"/>
      <c r="M664" s="360"/>
      <c r="N664" s="360"/>
      <c r="O664" s="360"/>
      <c r="P664" s="360"/>
      <c r="Q664" s="360"/>
      <c r="R664" s="360"/>
      <c r="S664" s="360"/>
      <c r="T664" s="360">
        <f>'[1]Hoang Tan'!BN52</f>
        <v>0.36</v>
      </c>
      <c r="U664" s="360"/>
    </row>
    <row r="665" spans="1:21" ht="19.5" customHeight="1">
      <c r="A665" s="360" t="s">
        <v>94</v>
      </c>
      <c r="B665" s="362" t="s">
        <v>95</v>
      </c>
      <c r="C665" s="360" t="s">
        <v>96</v>
      </c>
      <c r="D665" s="360"/>
      <c r="E665" s="360"/>
      <c r="F665" s="360"/>
      <c r="G665" s="360"/>
      <c r="H665" s="360"/>
      <c r="I665" s="360"/>
      <c r="J665" s="360"/>
      <c r="K665" s="360"/>
      <c r="L665" s="360"/>
      <c r="M665" s="360"/>
      <c r="N665" s="360"/>
      <c r="O665" s="360"/>
      <c r="P665" s="360"/>
      <c r="Q665" s="360"/>
      <c r="R665" s="360"/>
      <c r="S665" s="360"/>
      <c r="T665" s="360"/>
      <c r="U665" s="360"/>
    </row>
    <row r="666" spans="1:21" ht="19.5" customHeight="1">
      <c r="A666" s="360" t="s">
        <v>97</v>
      </c>
      <c r="B666" s="362" t="s">
        <v>98</v>
      </c>
      <c r="C666" s="360" t="s">
        <v>99</v>
      </c>
      <c r="D666" s="360"/>
      <c r="E666" s="360"/>
      <c r="F666" s="360"/>
      <c r="G666" s="360"/>
      <c r="H666" s="360"/>
      <c r="I666" s="360"/>
      <c r="J666" s="360"/>
      <c r="K666" s="360"/>
      <c r="L666" s="360"/>
      <c r="M666" s="360"/>
      <c r="N666" s="360"/>
      <c r="O666" s="360"/>
      <c r="P666" s="360">
        <v>10</v>
      </c>
      <c r="Q666" s="360"/>
      <c r="R666" s="360">
        <f>P666</f>
        <v>10</v>
      </c>
      <c r="S666" s="360"/>
      <c r="T666" s="360"/>
      <c r="U666" s="360"/>
    </row>
    <row r="667" spans="1:21" ht="19.5" customHeight="1">
      <c r="A667" s="360" t="s">
        <v>100</v>
      </c>
      <c r="B667" s="362" t="s">
        <v>134</v>
      </c>
      <c r="C667" s="360" t="s">
        <v>101</v>
      </c>
      <c r="D667" s="360"/>
      <c r="E667" s="360"/>
      <c r="F667" s="360"/>
      <c r="G667" s="360"/>
      <c r="H667" s="360"/>
      <c r="I667" s="360"/>
      <c r="J667" s="360"/>
      <c r="K667" s="360"/>
      <c r="L667" s="360"/>
      <c r="M667" s="360"/>
      <c r="N667" s="360"/>
      <c r="O667" s="360"/>
      <c r="P667" s="360"/>
      <c r="Q667" s="360"/>
      <c r="R667" s="360"/>
      <c r="S667" s="360"/>
      <c r="T667" s="360"/>
      <c r="U667" s="360"/>
    </row>
    <row r="668" spans="1:21" ht="28.5" customHeight="1">
      <c r="A668" s="360" t="s">
        <v>102</v>
      </c>
      <c r="B668" s="362" t="s">
        <v>103</v>
      </c>
      <c r="C668" s="360" t="s">
        <v>104</v>
      </c>
      <c r="D668" s="360"/>
      <c r="E668" s="360"/>
      <c r="F668" s="360"/>
      <c r="G668" s="360"/>
      <c r="H668" s="360"/>
      <c r="I668" s="360"/>
      <c r="J668" s="360"/>
      <c r="K668" s="360"/>
      <c r="L668" s="360"/>
      <c r="M668" s="360"/>
      <c r="N668" s="360"/>
      <c r="O668" s="360"/>
      <c r="P668" s="360"/>
      <c r="Q668" s="360"/>
      <c r="R668" s="360"/>
      <c r="S668" s="360"/>
      <c r="T668" s="360"/>
      <c r="U668" s="360"/>
    </row>
    <row r="669" spans="1:21" ht="19.5" customHeight="1">
      <c r="A669" s="360" t="s">
        <v>105</v>
      </c>
      <c r="B669" s="362" t="s">
        <v>106</v>
      </c>
      <c r="C669" s="360" t="s">
        <v>107</v>
      </c>
      <c r="D669" s="360"/>
      <c r="E669" s="360"/>
      <c r="F669" s="360"/>
      <c r="G669" s="360"/>
      <c r="H669" s="360"/>
      <c r="I669" s="360"/>
      <c r="J669" s="360"/>
      <c r="K669" s="360"/>
      <c r="L669" s="360"/>
      <c r="M669" s="360"/>
      <c r="N669" s="360"/>
      <c r="O669" s="360"/>
      <c r="P669" s="360"/>
      <c r="Q669" s="360"/>
      <c r="R669" s="360"/>
      <c r="S669" s="360"/>
      <c r="T669" s="360">
        <f>'[1]Hoang Tan'!BN57</f>
        <v>0.16</v>
      </c>
      <c r="U669" s="360"/>
    </row>
    <row r="670" spans="1:21" ht="19.5" customHeight="1">
      <c r="A670" s="360" t="s">
        <v>108</v>
      </c>
      <c r="B670" s="362" t="s">
        <v>109</v>
      </c>
      <c r="C670" s="360" t="s">
        <v>110</v>
      </c>
      <c r="D670" s="360"/>
      <c r="E670" s="360"/>
      <c r="F670" s="360"/>
      <c r="G670" s="360"/>
      <c r="H670" s="360"/>
      <c r="I670" s="360"/>
      <c r="J670" s="360"/>
      <c r="K670" s="360"/>
      <c r="L670" s="360"/>
      <c r="M670" s="360"/>
      <c r="N670" s="360"/>
      <c r="O670" s="360"/>
      <c r="P670" s="360">
        <f>39.63+113.95+223.36+66.69</f>
        <v>443.63000000000005</v>
      </c>
      <c r="Q670" s="360"/>
      <c r="R670" s="360">
        <f>P670</f>
        <v>443.63000000000005</v>
      </c>
      <c r="S670" s="360"/>
      <c r="T670" s="360"/>
      <c r="U670" s="360"/>
    </row>
    <row r="671" spans="1:21" ht="19.5" customHeight="1">
      <c r="A671" s="360" t="s">
        <v>111</v>
      </c>
      <c r="B671" s="362" t="s">
        <v>112</v>
      </c>
      <c r="C671" s="360" t="s">
        <v>113</v>
      </c>
      <c r="D671" s="360"/>
      <c r="E671" s="360"/>
      <c r="F671" s="360"/>
      <c r="G671" s="360"/>
      <c r="H671" s="360"/>
      <c r="I671" s="360"/>
      <c r="J671" s="360"/>
      <c r="K671" s="360"/>
      <c r="L671" s="360"/>
      <c r="M671" s="360"/>
      <c r="N671" s="360"/>
      <c r="O671" s="360"/>
      <c r="P671" s="360"/>
      <c r="Q671" s="360"/>
      <c r="R671" s="360"/>
      <c r="S671" s="360"/>
      <c r="T671" s="360">
        <f>'[1]Hoang Tan'!BN59</f>
        <v>0.03</v>
      </c>
      <c r="U671" s="360"/>
    </row>
    <row r="672" spans="1:21" ht="19.5" customHeight="1">
      <c r="A672" s="360" t="s">
        <v>114</v>
      </c>
      <c r="B672" s="362" t="s">
        <v>115</v>
      </c>
      <c r="C672" s="360" t="s">
        <v>116</v>
      </c>
      <c r="D672" s="360"/>
      <c r="E672" s="360"/>
      <c r="F672" s="360"/>
      <c r="G672" s="360"/>
      <c r="H672" s="360"/>
      <c r="I672" s="360"/>
      <c r="J672" s="360"/>
      <c r="K672" s="360"/>
      <c r="L672" s="360"/>
      <c r="M672" s="360"/>
      <c r="N672" s="360"/>
      <c r="O672" s="360"/>
      <c r="P672" s="360"/>
      <c r="Q672" s="360"/>
      <c r="R672" s="360"/>
      <c r="S672" s="360"/>
      <c r="T672" s="360"/>
      <c r="U672" s="360"/>
    </row>
    <row r="673" spans="1:21" ht="19.5" customHeight="1">
      <c r="A673" s="360" t="s">
        <v>117</v>
      </c>
      <c r="B673" s="362" t="s">
        <v>118</v>
      </c>
      <c r="C673" s="360" t="s">
        <v>119</v>
      </c>
      <c r="D673" s="360"/>
      <c r="E673" s="360"/>
      <c r="F673" s="360"/>
      <c r="G673" s="360"/>
      <c r="H673" s="360"/>
      <c r="I673" s="360"/>
      <c r="J673" s="360"/>
      <c r="K673" s="360"/>
      <c r="L673" s="360"/>
      <c r="M673" s="360"/>
      <c r="N673" s="360"/>
      <c r="O673" s="360"/>
      <c r="P673" s="360"/>
      <c r="Q673" s="360"/>
      <c r="R673" s="360"/>
      <c r="S673" s="360"/>
      <c r="T673" s="360"/>
      <c r="U673" s="360"/>
    </row>
    <row r="674" spans="1:21" ht="19.5" customHeight="1">
      <c r="A674" s="360" t="s">
        <v>120</v>
      </c>
      <c r="B674" s="362" t="s">
        <v>121</v>
      </c>
      <c r="C674" s="360" t="s">
        <v>122</v>
      </c>
      <c r="D674" s="360"/>
      <c r="E674" s="360"/>
      <c r="F674" s="360"/>
      <c r="G674" s="360"/>
      <c r="H674" s="360"/>
      <c r="I674" s="360"/>
      <c r="J674" s="360"/>
      <c r="K674" s="360"/>
      <c r="L674" s="360"/>
      <c r="M674" s="360"/>
      <c r="N674" s="360"/>
      <c r="O674" s="360"/>
      <c r="P674" s="360"/>
      <c r="Q674" s="360"/>
      <c r="R674" s="360"/>
      <c r="S674" s="360"/>
      <c r="T674" s="360"/>
      <c r="U674" s="360"/>
    </row>
    <row r="675" spans="1:21" ht="19.5" customHeight="1">
      <c r="A675" s="360">
        <v>3</v>
      </c>
      <c r="B675" s="362" t="s">
        <v>123</v>
      </c>
      <c r="C675" s="360" t="s">
        <v>124</v>
      </c>
      <c r="D675" s="360"/>
      <c r="E675" s="360"/>
      <c r="F675" s="360"/>
      <c r="G675" s="360"/>
      <c r="H675" s="360"/>
      <c r="I675" s="360"/>
      <c r="J675" s="360"/>
      <c r="K675" s="360"/>
      <c r="L675" s="360"/>
      <c r="M675" s="360"/>
      <c r="N675" s="360"/>
      <c r="O675" s="360"/>
      <c r="P675" s="360"/>
      <c r="Q675" s="360"/>
      <c r="R675" s="360"/>
      <c r="S675" s="360"/>
      <c r="T675" s="360"/>
      <c r="U675" s="360"/>
    </row>
    <row r="676" spans="1:21" ht="19.5" customHeight="1">
      <c r="A676" s="1355" t="s">
        <v>360</v>
      </c>
      <c r="B676" s="1355"/>
      <c r="C676" s="372"/>
      <c r="D676" s="372"/>
      <c r="E676" s="372"/>
      <c r="F676" s="372"/>
      <c r="G676" s="372"/>
      <c r="H676" s="372"/>
      <c r="I676" s="372"/>
      <c r="J676" s="372"/>
      <c r="K676" s="372"/>
      <c r="L676" s="372"/>
      <c r="M676" s="372"/>
      <c r="N676" s="372"/>
      <c r="O676" s="372"/>
      <c r="P676" s="372"/>
      <c r="Q676" s="372"/>
      <c r="R676" s="372"/>
      <c r="S676" s="372"/>
      <c r="T676" s="372"/>
      <c r="U676" s="372"/>
    </row>
    <row r="677" spans="1:21" ht="19.5" customHeight="1">
      <c r="A677" s="1354" t="s">
        <v>185</v>
      </c>
      <c r="B677" s="1354"/>
      <c r="C677" s="1354"/>
      <c r="D677" s="1354"/>
      <c r="E677" s="1354"/>
      <c r="F677" s="1354"/>
      <c r="G677" s="1354"/>
      <c r="H677" s="1354"/>
      <c r="I677" s="1354"/>
      <c r="J677" s="1354"/>
      <c r="K677" s="1354"/>
      <c r="L677" s="1354"/>
      <c r="M677" s="1354"/>
      <c r="N677" s="1354"/>
      <c r="O677" s="1354"/>
      <c r="P677" s="1354"/>
      <c r="Q677" s="1354"/>
      <c r="R677" s="1354"/>
      <c r="S677" s="1354"/>
      <c r="T677" s="1354"/>
      <c r="U677" s="1354"/>
    </row>
    <row r="678" spans="1:21" ht="19.5" customHeight="1">
      <c r="A678" s="1354" t="s">
        <v>322</v>
      </c>
      <c r="B678" s="1354"/>
      <c r="C678" s="1354"/>
      <c r="D678" s="1354"/>
      <c r="E678" s="1354"/>
      <c r="F678" s="1354"/>
      <c r="G678" s="1354"/>
      <c r="H678" s="1354"/>
      <c r="I678" s="1354"/>
      <c r="J678" s="1354"/>
      <c r="K678" s="1354"/>
      <c r="L678" s="1354"/>
      <c r="M678" s="1354"/>
      <c r="N678" s="1354"/>
      <c r="O678" s="1354"/>
      <c r="P678" s="1354"/>
      <c r="Q678" s="1354"/>
      <c r="R678" s="1354"/>
      <c r="S678" s="1354"/>
      <c r="T678" s="1354"/>
      <c r="U678" s="1354"/>
    </row>
    <row r="679" spans="1:21" ht="19.5" customHeight="1"/>
    <row r="680" spans="1:21" ht="19.5" customHeight="1">
      <c r="A680" s="1356" t="s">
        <v>0</v>
      </c>
      <c r="B680" s="1356" t="s">
        <v>186</v>
      </c>
      <c r="C680" s="1356" t="s">
        <v>13</v>
      </c>
      <c r="D680" s="1356" t="s">
        <v>139</v>
      </c>
      <c r="E680" s="1356"/>
      <c r="F680" s="1356" t="s">
        <v>140</v>
      </c>
      <c r="G680" s="1356"/>
      <c r="H680" s="1356" t="s">
        <v>141</v>
      </c>
      <c r="I680" s="1356"/>
      <c r="J680" s="1356" t="s">
        <v>142</v>
      </c>
      <c r="K680" s="1356"/>
      <c r="L680" s="1356" t="s">
        <v>143</v>
      </c>
      <c r="M680" s="1356"/>
      <c r="N680" s="1356" t="s">
        <v>144</v>
      </c>
      <c r="O680" s="1356"/>
      <c r="P680" s="1356" t="s">
        <v>188</v>
      </c>
      <c r="Q680" s="1356"/>
      <c r="R680" s="1356" t="s">
        <v>145</v>
      </c>
      <c r="S680" s="1356"/>
      <c r="T680" s="1356" t="s">
        <v>146</v>
      </c>
      <c r="U680" s="1356"/>
    </row>
    <row r="681" spans="1:21" ht="51.75" customHeight="1">
      <c r="A681" s="1356"/>
      <c r="B681" s="1356"/>
      <c r="C681" s="1356"/>
      <c r="D681" s="360" t="s">
        <v>137</v>
      </c>
      <c r="E681" s="360" t="s">
        <v>187</v>
      </c>
      <c r="F681" s="360" t="s">
        <v>137</v>
      </c>
      <c r="G681" s="360" t="s">
        <v>187</v>
      </c>
      <c r="H681" s="360" t="s">
        <v>137</v>
      </c>
      <c r="I681" s="360" t="s">
        <v>187</v>
      </c>
      <c r="J681" s="360" t="s">
        <v>137</v>
      </c>
      <c r="K681" s="360" t="s">
        <v>187</v>
      </c>
      <c r="L681" s="360" t="s">
        <v>137</v>
      </c>
      <c r="M681" s="360" t="s">
        <v>187</v>
      </c>
      <c r="N681" s="360" t="s">
        <v>137</v>
      </c>
      <c r="O681" s="360" t="s">
        <v>187</v>
      </c>
      <c r="P681" s="360" t="s">
        <v>137</v>
      </c>
      <c r="Q681" s="360" t="s">
        <v>187</v>
      </c>
      <c r="R681" s="360" t="s">
        <v>137</v>
      </c>
      <c r="S681" s="360" t="s">
        <v>187</v>
      </c>
      <c r="T681" s="360" t="s">
        <v>137</v>
      </c>
      <c r="U681" s="360" t="s">
        <v>187</v>
      </c>
    </row>
    <row r="682" spans="1:21" ht="33.75" customHeight="1">
      <c r="A682" s="360">
        <v>1</v>
      </c>
      <c r="B682" s="362" t="s">
        <v>14</v>
      </c>
      <c r="C682" s="360" t="s">
        <v>15</v>
      </c>
      <c r="D682" s="360">
        <f>D683+D685+D686+D687+D688+D689+D690+D691+D692</f>
        <v>250</v>
      </c>
      <c r="E682" s="360">
        <f t="shared" ref="E682:U682" si="64">E683+E685+E686+E687+E688+E689+E690+E691+E692</f>
        <v>0</v>
      </c>
      <c r="F682" s="360">
        <f t="shared" si="64"/>
        <v>0</v>
      </c>
      <c r="G682" s="360">
        <f t="shared" si="64"/>
        <v>0</v>
      </c>
      <c r="H682" s="360">
        <f t="shared" si="64"/>
        <v>24</v>
      </c>
      <c r="I682" s="360">
        <f t="shared" si="64"/>
        <v>0</v>
      </c>
      <c r="J682" s="360">
        <f t="shared" si="64"/>
        <v>0</v>
      </c>
      <c r="K682" s="360">
        <f t="shared" si="64"/>
        <v>0</v>
      </c>
      <c r="L682" s="360">
        <f t="shared" si="64"/>
        <v>0</v>
      </c>
      <c r="M682" s="360">
        <f t="shared" si="64"/>
        <v>0</v>
      </c>
      <c r="N682" s="360">
        <f t="shared" si="64"/>
        <v>0</v>
      </c>
      <c r="O682" s="360">
        <f t="shared" si="64"/>
        <v>0</v>
      </c>
      <c r="P682" s="360">
        <f t="shared" si="64"/>
        <v>0</v>
      </c>
      <c r="Q682" s="360">
        <f t="shared" si="64"/>
        <v>0</v>
      </c>
      <c r="R682" s="360">
        <f t="shared" si="64"/>
        <v>0</v>
      </c>
      <c r="S682" s="360">
        <f t="shared" si="64"/>
        <v>0</v>
      </c>
      <c r="T682" s="360">
        <f t="shared" si="64"/>
        <v>2.5</v>
      </c>
      <c r="U682" s="360">
        <f t="shared" si="64"/>
        <v>0</v>
      </c>
    </row>
    <row r="683" spans="1:21" ht="19.5" customHeight="1">
      <c r="A683" s="360" t="s">
        <v>16</v>
      </c>
      <c r="B683" s="362" t="s">
        <v>17</v>
      </c>
      <c r="C683" s="360" t="s">
        <v>18</v>
      </c>
      <c r="D683" s="360">
        <f t="shared" ref="D683:U683" si="65">D684</f>
        <v>250</v>
      </c>
      <c r="E683" s="360">
        <f t="shared" si="65"/>
        <v>0</v>
      </c>
      <c r="F683" s="360">
        <f t="shared" si="65"/>
        <v>0</v>
      </c>
      <c r="G683" s="360">
        <f t="shared" si="65"/>
        <v>0</v>
      </c>
      <c r="H683" s="360">
        <f t="shared" si="65"/>
        <v>0</v>
      </c>
      <c r="I683" s="360">
        <f t="shared" si="65"/>
        <v>0</v>
      </c>
      <c r="J683" s="360">
        <f t="shared" si="65"/>
        <v>0</v>
      </c>
      <c r="K683" s="360">
        <f t="shared" si="65"/>
        <v>0</v>
      </c>
      <c r="L683" s="360">
        <f t="shared" si="65"/>
        <v>0</v>
      </c>
      <c r="M683" s="360">
        <f t="shared" si="65"/>
        <v>0</v>
      </c>
      <c r="N683" s="360">
        <f t="shared" si="65"/>
        <v>0</v>
      </c>
      <c r="O683" s="360">
        <f t="shared" si="65"/>
        <v>0</v>
      </c>
      <c r="P683" s="360">
        <f t="shared" si="65"/>
        <v>0</v>
      </c>
      <c r="Q683" s="360">
        <f t="shared" si="65"/>
        <v>0</v>
      </c>
      <c r="R683" s="360">
        <f t="shared" si="65"/>
        <v>0</v>
      </c>
      <c r="S683" s="360">
        <f t="shared" si="65"/>
        <v>0</v>
      </c>
      <c r="T683" s="360">
        <f t="shared" si="65"/>
        <v>0</v>
      </c>
      <c r="U683" s="360">
        <f t="shared" si="65"/>
        <v>0</v>
      </c>
    </row>
    <row r="684" spans="1:21" ht="19.5" customHeight="1">
      <c r="A684" s="360"/>
      <c r="B684" s="362" t="s">
        <v>19</v>
      </c>
      <c r="C684" s="360" t="s">
        <v>20</v>
      </c>
      <c r="D684" s="360">
        <v>250</v>
      </c>
      <c r="E684" s="360"/>
      <c r="F684" s="360"/>
      <c r="G684" s="360"/>
      <c r="H684" s="360"/>
      <c r="I684" s="360"/>
      <c r="J684" s="360"/>
      <c r="K684" s="360"/>
      <c r="L684" s="360"/>
      <c r="M684" s="360"/>
      <c r="N684" s="360"/>
      <c r="O684" s="360"/>
      <c r="P684" s="360"/>
      <c r="Q684" s="360"/>
      <c r="R684" s="360"/>
      <c r="S684" s="360"/>
      <c r="T684" s="360"/>
      <c r="U684" s="360"/>
    </row>
    <row r="685" spans="1:21" ht="19.5" customHeight="1">
      <c r="A685" s="360" t="s">
        <v>21</v>
      </c>
      <c r="B685" s="362" t="s">
        <v>22</v>
      </c>
      <c r="C685" s="360" t="s">
        <v>23</v>
      </c>
      <c r="D685" s="360"/>
      <c r="E685" s="360"/>
      <c r="F685" s="360"/>
      <c r="G685" s="360"/>
      <c r="H685" s="360"/>
      <c r="I685" s="360"/>
      <c r="J685" s="360"/>
      <c r="K685" s="360"/>
      <c r="L685" s="360"/>
      <c r="M685" s="360"/>
      <c r="N685" s="360"/>
      <c r="O685" s="360"/>
      <c r="P685" s="360"/>
      <c r="Q685" s="360"/>
      <c r="R685" s="360"/>
      <c r="S685" s="360"/>
      <c r="T685" s="360"/>
      <c r="U685" s="360"/>
    </row>
    <row r="686" spans="1:21" ht="19.5" customHeight="1">
      <c r="A686" s="360" t="s">
        <v>24</v>
      </c>
      <c r="B686" s="362" t="s">
        <v>25</v>
      </c>
      <c r="C686" s="360" t="s">
        <v>26</v>
      </c>
      <c r="D686" s="360"/>
      <c r="E686" s="360"/>
      <c r="F686" s="360"/>
      <c r="G686" s="360"/>
      <c r="H686" s="360"/>
      <c r="I686" s="360"/>
      <c r="J686" s="360"/>
      <c r="K686" s="360"/>
      <c r="L686" s="360"/>
      <c r="M686" s="360"/>
      <c r="N686" s="360"/>
      <c r="O686" s="360"/>
      <c r="P686" s="360"/>
      <c r="Q686" s="360"/>
      <c r="R686" s="360"/>
      <c r="S686" s="360"/>
      <c r="T686" s="360">
        <v>2.5</v>
      </c>
      <c r="U686" s="360"/>
    </row>
    <row r="687" spans="1:21" ht="19.5" customHeight="1">
      <c r="A687" s="360" t="s">
        <v>27</v>
      </c>
      <c r="B687" s="362" t="s">
        <v>28</v>
      </c>
      <c r="C687" s="360" t="s">
        <v>29</v>
      </c>
      <c r="D687" s="360"/>
      <c r="E687" s="360"/>
      <c r="F687" s="360"/>
      <c r="G687" s="360"/>
      <c r="H687" s="360">
        <v>24</v>
      </c>
      <c r="I687" s="360"/>
      <c r="J687" s="360"/>
      <c r="K687" s="360"/>
      <c r="L687" s="360"/>
      <c r="M687" s="360"/>
      <c r="N687" s="360"/>
      <c r="O687" s="360"/>
      <c r="P687" s="360"/>
      <c r="Q687" s="360"/>
      <c r="R687" s="360"/>
      <c r="S687" s="360"/>
      <c r="T687" s="360"/>
      <c r="U687" s="360"/>
    </row>
    <row r="688" spans="1:21" ht="19.5" customHeight="1">
      <c r="A688" s="360" t="s">
        <v>30</v>
      </c>
      <c r="B688" s="362" t="s">
        <v>31</v>
      </c>
      <c r="C688" s="360" t="s">
        <v>32</v>
      </c>
      <c r="D688" s="360"/>
      <c r="E688" s="360"/>
      <c r="F688" s="360"/>
      <c r="G688" s="360"/>
      <c r="H688" s="360"/>
      <c r="I688" s="360"/>
      <c r="J688" s="360"/>
      <c r="K688" s="360"/>
      <c r="L688" s="360"/>
      <c r="M688" s="360"/>
      <c r="N688" s="360"/>
      <c r="O688" s="360"/>
      <c r="P688" s="360"/>
      <c r="Q688" s="360"/>
      <c r="R688" s="360"/>
      <c r="S688" s="360"/>
      <c r="T688" s="360"/>
      <c r="U688" s="360"/>
    </row>
    <row r="689" spans="1:21" ht="19.5" customHeight="1">
      <c r="A689" s="360" t="s">
        <v>33</v>
      </c>
      <c r="B689" s="362" t="s">
        <v>34</v>
      </c>
      <c r="C689" s="360" t="s">
        <v>35</v>
      </c>
      <c r="D689" s="360"/>
      <c r="E689" s="360"/>
      <c r="F689" s="360"/>
      <c r="G689" s="360"/>
      <c r="H689" s="360"/>
      <c r="I689" s="360"/>
      <c r="J689" s="360"/>
      <c r="K689" s="360"/>
      <c r="L689" s="360"/>
      <c r="M689" s="360"/>
      <c r="N689" s="360"/>
      <c r="O689" s="360"/>
      <c r="P689" s="360"/>
      <c r="Q689" s="360"/>
      <c r="R689" s="360"/>
      <c r="S689" s="360"/>
      <c r="T689" s="360"/>
      <c r="U689" s="360"/>
    </row>
    <row r="690" spans="1:21" ht="19.5" customHeight="1">
      <c r="A690" s="360" t="s">
        <v>36</v>
      </c>
      <c r="B690" s="362" t="s">
        <v>37</v>
      </c>
      <c r="C690" s="360" t="s">
        <v>38</v>
      </c>
      <c r="D690" s="360"/>
      <c r="E690" s="360"/>
      <c r="F690" s="360"/>
      <c r="G690" s="360"/>
      <c r="H690" s="360"/>
      <c r="I690" s="360"/>
      <c r="J690" s="360"/>
      <c r="K690" s="360"/>
      <c r="L690" s="360"/>
      <c r="M690" s="360"/>
      <c r="N690" s="360"/>
      <c r="O690" s="360"/>
      <c r="P690" s="360"/>
      <c r="Q690" s="360"/>
      <c r="R690" s="360"/>
      <c r="S690" s="360"/>
      <c r="T690" s="360"/>
      <c r="U690" s="360"/>
    </row>
    <row r="691" spans="1:21" ht="19.5" customHeight="1">
      <c r="A691" s="360" t="s">
        <v>39</v>
      </c>
      <c r="B691" s="362" t="s">
        <v>40</v>
      </c>
      <c r="C691" s="360" t="s">
        <v>41</v>
      </c>
      <c r="D691" s="360"/>
      <c r="E691" s="360"/>
      <c r="F691" s="360"/>
      <c r="G691" s="360"/>
      <c r="H691" s="360"/>
      <c r="I691" s="360"/>
      <c r="J691" s="360"/>
      <c r="K691" s="360"/>
      <c r="L691" s="360"/>
      <c r="M691" s="360"/>
      <c r="N691" s="360"/>
      <c r="O691" s="360"/>
      <c r="P691" s="360"/>
      <c r="Q691" s="360"/>
      <c r="R691" s="360"/>
      <c r="S691" s="360"/>
      <c r="T691" s="360"/>
      <c r="U691" s="360"/>
    </row>
    <row r="692" spans="1:21" ht="19.5" customHeight="1">
      <c r="A692" s="360">
        <v>2</v>
      </c>
      <c r="B692" s="362" t="s">
        <v>43</v>
      </c>
      <c r="C692" s="360" t="s">
        <v>44</v>
      </c>
      <c r="D692" s="360"/>
      <c r="E692" s="360"/>
      <c r="F692" s="360"/>
      <c r="G692" s="360"/>
      <c r="H692" s="360"/>
      <c r="I692" s="360"/>
      <c r="J692" s="360"/>
      <c r="K692" s="360"/>
      <c r="L692" s="360"/>
      <c r="M692" s="360"/>
      <c r="N692" s="360"/>
      <c r="O692" s="360"/>
      <c r="P692" s="360"/>
      <c r="Q692" s="360"/>
      <c r="R692" s="360"/>
      <c r="S692" s="360"/>
      <c r="T692" s="360"/>
      <c r="U692" s="360"/>
    </row>
    <row r="693" spans="1:21" ht="19.5" customHeight="1">
      <c r="A693" s="360">
        <v>2</v>
      </c>
      <c r="B693" s="362" t="s">
        <v>45</v>
      </c>
      <c r="C693" s="360" t="s">
        <v>46</v>
      </c>
      <c r="D693" s="360">
        <f>SUM(D694:D719)</f>
        <v>6.6</v>
      </c>
      <c r="E693" s="360">
        <f t="shared" ref="E693:U693" si="66">SUM(E694:E719)</f>
        <v>0</v>
      </c>
      <c r="F693" s="360">
        <f t="shared" si="66"/>
        <v>0</v>
      </c>
      <c r="G693" s="360">
        <f t="shared" si="66"/>
        <v>0</v>
      </c>
      <c r="H693" s="360">
        <f t="shared" si="66"/>
        <v>0</v>
      </c>
      <c r="I693" s="360">
        <f t="shared" si="66"/>
        <v>0</v>
      </c>
      <c r="J693" s="360">
        <f t="shared" si="66"/>
        <v>0</v>
      </c>
      <c r="K693" s="360">
        <f t="shared" si="66"/>
        <v>0</v>
      </c>
      <c r="L693" s="360">
        <f t="shared" si="66"/>
        <v>0</v>
      </c>
      <c r="M693" s="360">
        <f t="shared" si="66"/>
        <v>0</v>
      </c>
      <c r="N693" s="360">
        <f t="shared" si="66"/>
        <v>0</v>
      </c>
      <c r="O693" s="360">
        <f t="shared" si="66"/>
        <v>0</v>
      </c>
      <c r="P693" s="360">
        <f t="shared" si="66"/>
        <v>0</v>
      </c>
      <c r="Q693" s="360">
        <f t="shared" si="66"/>
        <v>0</v>
      </c>
      <c r="R693" s="360">
        <f t="shared" si="66"/>
        <v>0</v>
      </c>
      <c r="S693" s="360">
        <f t="shared" si="66"/>
        <v>0</v>
      </c>
      <c r="T693" s="360">
        <f t="shared" si="66"/>
        <v>186.64999999999998</v>
      </c>
      <c r="U693" s="360">
        <f t="shared" si="66"/>
        <v>0</v>
      </c>
    </row>
    <row r="694" spans="1:21" ht="19.5" customHeight="1">
      <c r="A694" s="360" t="s">
        <v>47</v>
      </c>
      <c r="B694" s="362" t="s">
        <v>48</v>
      </c>
      <c r="C694" s="360" t="s">
        <v>49</v>
      </c>
      <c r="D694" s="360"/>
      <c r="E694" s="360"/>
      <c r="F694" s="360"/>
      <c r="G694" s="360"/>
      <c r="H694" s="360"/>
      <c r="I694" s="360"/>
      <c r="J694" s="360"/>
      <c r="K694" s="360"/>
      <c r="L694" s="360"/>
      <c r="M694" s="360"/>
      <c r="N694" s="360"/>
      <c r="O694" s="360"/>
      <c r="P694" s="360"/>
      <c r="Q694" s="360"/>
      <c r="R694" s="360"/>
      <c r="S694" s="360"/>
      <c r="T694" s="360"/>
      <c r="U694" s="360"/>
    </row>
    <row r="695" spans="1:21" ht="19.5" customHeight="1">
      <c r="A695" s="360" t="s">
        <v>50</v>
      </c>
      <c r="B695" s="362" t="s">
        <v>51</v>
      </c>
      <c r="C695" s="360" t="s">
        <v>52</v>
      </c>
      <c r="D695" s="360"/>
      <c r="E695" s="360"/>
      <c r="F695" s="360"/>
      <c r="G695" s="360"/>
      <c r="H695" s="360"/>
      <c r="I695" s="360"/>
      <c r="J695" s="360"/>
      <c r="K695" s="360"/>
      <c r="L695" s="360"/>
      <c r="M695" s="360"/>
      <c r="N695" s="360"/>
      <c r="O695" s="360"/>
      <c r="P695" s="360"/>
      <c r="Q695" s="360"/>
      <c r="R695" s="360"/>
      <c r="S695" s="360"/>
      <c r="T695" s="360"/>
      <c r="U695" s="360"/>
    </row>
    <row r="696" spans="1:21" ht="19.5" customHeight="1">
      <c r="A696" s="360" t="s">
        <v>53</v>
      </c>
      <c r="B696" s="362" t="s">
        <v>54</v>
      </c>
      <c r="C696" s="360" t="s">
        <v>55</v>
      </c>
      <c r="D696" s="360"/>
      <c r="E696" s="360"/>
      <c r="F696" s="360"/>
      <c r="G696" s="360"/>
      <c r="H696" s="360"/>
      <c r="I696" s="360"/>
      <c r="J696" s="360"/>
      <c r="K696" s="360"/>
      <c r="L696" s="360"/>
      <c r="M696" s="360"/>
      <c r="N696" s="360">
        <f>'[1]Hiep Hoa'!BN28</f>
        <v>0</v>
      </c>
      <c r="O696" s="360"/>
      <c r="P696" s="360"/>
      <c r="Q696" s="360"/>
      <c r="R696" s="360"/>
      <c r="S696" s="360"/>
      <c r="T696" s="360"/>
      <c r="U696" s="360"/>
    </row>
    <row r="697" spans="1:21" ht="19.5" customHeight="1">
      <c r="A697" s="360" t="s">
        <v>56</v>
      </c>
      <c r="B697" s="362" t="s">
        <v>57</v>
      </c>
      <c r="C697" s="360" t="s">
        <v>58</v>
      </c>
      <c r="D697" s="360"/>
      <c r="E697" s="360"/>
      <c r="F697" s="360"/>
      <c r="G697" s="360"/>
      <c r="H697" s="360"/>
      <c r="I697" s="360"/>
      <c r="J697" s="360"/>
      <c r="K697" s="360"/>
      <c r="L697" s="360"/>
      <c r="M697" s="360"/>
      <c r="N697" s="360"/>
      <c r="O697" s="360"/>
      <c r="P697" s="360"/>
      <c r="Q697" s="360"/>
      <c r="R697" s="360"/>
      <c r="S697" s="360"/>
      <c r="T697" s="360"/>
      <c r="U697" s="360"/>
    </row>
    <row r="698" spans="1:21" ht="19.5" customHeight="1">
      <c r="A698" s="360" t="s">
        <v>59</v>
      </c>
      <c r="B698" s="362" t="s">
        <v>60</v>
      </c>
      <c r="C698" s="360" t="s">
        <v>61</v>
      </c>
      <c r="D698" s="360"/>
      <c r="E698" s="360"/>
      <c r="F698" s="360"/>
      <c r="G698" s="360"/>
      <c r="H698" s="360"/>
      <c r="I698" s="360"/>
      <c r="J698" s="360"/>
      <c r="K698" s="360"/>
      <c r="L698" s="360"/>
      <c r="M698" s="360"/>
      <c r="N698" s="360"/>
      <c r="O698" s="360"/>
      <c r="P698" s="360"/>
      <c r="Q698" s="360"/>
      <c r="R698" s="360"/>
      <c r="S698" s="360"/>
      <c r="T698" s="360"/>
      <c r="U698" s="360"/>
    </row>
    <row r="699" spans="1:21" ht="19.5" customHeight="1">
      <c r="A699" s="360" t="s">
        <v>62</v>
      </c>
      <c r="B699" s="362" t="s">
        <v>63</v>
      </c>
      <c r="C699" s="360" t="s">
        <v>64</v>
      </c>
      <c r="D699" s="360"/>
      <c r="E699" s="360"/>
      <c r="F699" s="360"/>
      <c r="G699" s="360"/>
      <c r="H699" s="360"/>
      <c r="I699" s="360"/>
      <c r="J699" s="360"/>
      <c r="K699" s="360"/>
      <c r="L699" s="360"/>
      <c r="M699" s="360"/>
      <c r="N699" s="360"/>
      <c r="O699" s="360"/>
      <c r="P699" s="360"/>
      <c r="Q699" s="360"/>
      <c r="R699" s="360"/>
      <c r="S699" s="360"/>
      <c r="T699" s="360"/>
      <c r="U699" s="360"/>
    </row>
    <row r="700" spans="1:21" ht="19.5" customHeight="1">
      <c r="A700" s="360" t="s">
        <v>65</v>
      </c>
      <c r="B700" s="362" t="s">
        <v>66</v>
      </c>
      <c r="C700" s="360" t="s">
        <v>67</v>
      </c>
      <c r="D700" s="360"/>
      <c r="E700" s="360"/>
      <c r="F700" s="360"/>
      <c r="G700" s="360"/>
      <c r="H700" s="360"/>
      <c r="I700" s="360"/>
      <c r="J700" s="360"/>
      <c r="K700" s="360"/>
      <c r="L700" s="360"/>
      <c r="M700" s="360"/>
      <c r="N700" s="360"/>
      <c r="O700" s="360"/>
      <c r="P700" s="360"/>
      <c r="Q700" s="360"/>
      <c r="R700" s="360"/>
      <c r="S700" s="360"/>
      <c r="T700" s="360">
        <v>90.2</v>
      </c>
      <c r="U700" s="360"/>
    </row>
    <row r="701" spans="1:21" ht="19.5" customHeight="1">
      <c r="A701" s="360" t="s">
        <v>68</v>
      </c>
      <c r="B701" s="362" t="s">
        <v>69</v>
      </c>
      <c r="C701" s="360" t="s">
        <v>70</v>
      </c>
      <c r="D701" s="360"/>
      <c r="E701" s="360"/>
      <c r="F701" s="360"/>
      <c r="G701" s="360"/>
      <c r="H701" s="360"/>
      <c r="I701" s="360"/>
      <c r="J701" s="360"/>
      <c r="K701" s="360"/>
      <c r="L701" s="360"/>
      <c r="M701" s="360"/>
      <c r="N701" s="360"/>
      <c r="O701" s="360"/>
      <c r="P701" s="360"/>
      <c r="Q701" s="360"/>
      <c r="R701" s="360"/>
      <c r="S701" s="360"/>
      <c r="T701" s="360"/>
      <c r="U701" s="360"/>
    </row>
    <row r="702" spans="1:21" ht="19.5" customHeight="1">
      <c r="A702" s="360" t="s">
        <v>71</v>
      </c>
      <c r="B702" s="362" t="s">
        <v>135</v>
      </c>
      <c r="C702" s="360" t="s">
        <v>72</v>
      </c>
      <c r="D702" s="360">
        <v>6.6</v>
      </c>
      <c r="E702" s="360"/>
      <c r="F702" s="360"/>
      <c r="G702" s="360"/>
      <c r="H702" s="360"/>
      <c r="I702" s="360"/>
      <c r="J702" s="360"/>
      <c r="K702" s="360"/>
      <c r="L702" s="360"/>
      <c r="M702" s="360"/>
      <c r="N702" s="360"/>
      <c r="O702" s="360"/>
      <c r="P702" s="360"/>
      <c r="Q702" s="360"/>
      <c r="R702" s="360"/>
      <c r="S702" s="360"/>
      <c r="T702" s="360">
        <f>'[1]Hiep Hoa'!BN34-35.81</f>
        <v>39.06</v>
      </c>
      <c r="U702" s="360"/>
    </row>
    <row r="703" spans="1:21" ht="35.25" customHeight="1">
      <c r="A703" s="360" t="s">
        <v>73</v>
      </c>
      <c r="B703" s="362" t="s">
        <v>74</v>
      </c>
      <c r="C703" s="360" t="s">
        <v>75</v>
      </c>
      <c r="D703" s="360"/>
      <c r="E703" s="360"/>
      <c r="F703" s="360"/>
      <c r="G703" s="360"/>
      <c r="H703" s="360"/>
      <c r="I703" s="360"/>
      <c r="J703" s="360"/>
      <c r="K703" s="360"/>
      <c r="L703" s="360"/>
      <c r="M703" s="360"/>
      <c r="N703" s="360"/>
      <c r="O703" s="360"/>
      <c r="P703" s="360"/>
      <c r="Q703" s="360"/>
      <c r="R703" s="360"/>
      <c r="S703" s="360"/>
      <c r="T703" s="360">
        <f>'[1]Hiep Hoa'!BN46</f>
        <v>0</v>
      </c>
      <c r="U703" s="360"/>
    </row>
    <row r="704" spans="1:21" ht="19.5" customHeight="1">
      <c r="A704" s="360" t="s">
        <v>76</v>
      </c>
      <c r="B704" s="362" t="s">
        <v>77</v>
      </c>
      <c r="C704" s="360" t="s">
        <v>78</v>
      </c>
      <c r="D704" s="360"/>
      <c r="E704" s="360"/>
      <c r="F704" s="360"/>
      <c r="G704" s="360"/>
      <c r="H704" s="360"/>
      <c r="I704" s="360"/>
      <c r="J704" s="360"/>
      <c r="K704" s="360"/>
      <c r="L704" s="360"/>
      <c r="M704" s="360"/>
      <c r="N704" s="360"/>
      <c r="O704" s="360"/>
      <c r="P704" s="360"/>
      <c r="Q704" s="360"/>
      <c r="R704" s="360"/>
      <c r="S704" s="360"/>
      <c r="T704" s="360"/>
      <c r="U704" s="360"/>
    </row>
    <row r="705" spans="1:21" ht="19.5" customHeight="1">
      <c r="A705" s="360" t="s">
        <v>79</v>
      </c>
      <c r="B705" s="362" t="s">
        <v>80</v>
      </c>
      <c r="C705" s="360" t="s">
        <v>81</v>
      </c>
      <c r="D705" s="360"/>
      <c r="E705" s="360"/>
      <c r="F705" s="360"/>
      <c r="G705" s="360"/>
      <c r="H705" s="360"/>
      <c r="I705" s="360"/>
      <c r="J705" s="360"/>
      <c r="K705" s="360"/>
      <c r="L705" s="360"/>
      <c r="M705" s="360"/>
      <c r="N705" s="360"/>
      <c r="O705" s="360"/>
      <c r="P705" s="360"/>
      <c r="Q705" s="360"/>
      <c r="R705" s="360"/>
      <c r="S705" s="360"/>
      <c r="T705" s="360"/>
      <c r="U705" s="360"/>
    </row>
    <row r="706" spans="1:21" ht="19.5" customHeight="1">
      <c r="A706" s="360" t="s">
        <v>82</v>
      </c>
      <c r="B706" s="362" t="s">
        <v>83</v>
      </c>
      <c r="C706" s="360" t="s">
        <v>84</v>
      </c>
      <c r="D706" s="360"/>
      <c r="E706" s="360"/>
      <c r="F706" s="360"/>
      <c r="G706" s="360"/>
      <c r="H706" s="360"/>
      <c r="I706" s="360"/>
      <c r="J706" s="360"/>
      <c r="K706" s="360"/>
      <c r="L706" s="360"/>
      <c r="M706" s="360"/>
      <c r="N706" s="360"/>
      <c r="O706" s="360"/>
      <c r="P706" s="360"/>
      <c r="Q706" s="360"/>
      <c r="R706" s="360"/>
      <c r="S706" s="360"/>
      <c r="T706" s="360">
        <v>52.1</v>
      </c>
      <c r="U706" s="360"/>
    </row>
    <row r="707" spans="1:21" ht="19.5" customHeight="1">
      <c r="A707" s="360" t="s">
        <v>85</v>
      </c>
      <c r="B707" s="362" t="s">
        <v>86</v>
      </c>
      <c r="C707" s="360" t="s">
        <v>87</v>
      </c>
      <c r="D707" s="360"/>
      <c r="E707" s="360"/>
      <c r="F707" s="360"/>
      <c r="G707" s="360"/>
      <c r="H707" s="360"/>
      <c r="I707" s="360"/>
      <c r="J707" s="360"/>
      <c r="K707" s="360"/>
      <c r="L707" s="360"/>
      <c r="M707" s="360"/>
      <c r="N707" s="360"/>
      <c r="O707" s="360"/>
      <c r="P707" s="360"/>
      <c r="Q707" s="360"/>
      <c r="R707" s="360"/>
      <c r="S707" s="360"/>
      <c r="T707" s="360"/>
      <c r="U707" s="360"/>
    </row>
    <row r="708" spans="1:21" ht="19.5" customHeight="1">
      <c r="A708" s="360" t="s">
        <v>88</v>
      </c>
      <c r="B708" s="362" t="s">
        <v>89</v>
      </c>
      <c r="C708" s="360" t="s">
        <v>90</v>
      </c>
      <c r="D708" s="360"/>
      <c r="E708" s="360"/>
      <c r="F708" s="360"/>
      <c r="G708" s="360"/>
      <c r="H708" s="360"/>
      <c r="I708" s="360"/>
      <c r="J708" s="360"/>
      <c r="K708" s="360"/>
      <c r="L708" s="360"/>
      <c r="M708" s="360"/>
      <c r="N708" s="360"/>
      <c r="O708" s="360"/>
      <c r="P708" s="360"/>
      <c r="Q708" s="360"/>
      <c r="R708" s="360"/>
      <c r="S708" s="360"/>
      <c r="T708" s="360">
        <f>'[1]Hiep Hoa'!BN51</f>
        <v>0.54</v>
      </c>
      <c r="U708" s="360"/>
    </row>
    <row r="709" spans="1:21" ht="19.5" customHeight="1">
      <c r="A709" s="360" t="s">
        <v>91</v>
      </c>
      <c r="B709" s="362" t="s">
        <v>92</v>
      </c>
      <c r="C709" s="360" t="s">
        <v>93</v>
      </c>
      <c r="D709" s="360"/>
      <c r="E709" s="360"/>
      <c r="F709" s="360"/>
      <c r="G709" s="360"/>
      <c r="H709" s="360"/>
      <c r="I709" s="360"/>
      <c r="J709" s="360"/>
      <c r="K709" s="360"/>
      <c r="L709" s="360"/>
      <c r="M709" s="360"/>
      <c r="N709" s="360"/>
      <c r="O709" s="360"/>
      <c r="P709" s="360"/>
      <c r="Q709" s="360"/>
      <c r="R709" s="360"/>
      <c r="S709" s="360"/>
      <c r="T709" s="360">
        <f>'[1]Hiep Hoa'!BN52</f>
        <v>0.02</v>
      </c>
      <c r="U709" s="360"/>
    </row>
    <row r="710" spans="1:21" ht="19.5" customHeight="1">
      <c r="A710" s="360" t="s">
        <v>94</v>
      </c>
      <c r="B710" s="362" t="s">
        <v>95</v>
      </c>
      <c r="C710" s="360" t="s">
        <v>96</v>
      </c>
      <c r="D710" s="360"/>
      <c r="E710" s="360"/>
      <c r="F710" s="360"/>
      <c r="G710" s="360"/>
      <c r="H710" s="360"/>
      <c r="I710" s="360"/>
      <c r="J710" s="360"/>
      <c r="K710" s="360"/>
      <c r="L710" s="360"/>
      <c r="M710" s="360"/>
      <c r="N710" s="360"/>
      <c r="O710" s="360"/>
      <c r="P710" s="360"/>
      <c r="Q710" s="360"/>
      <c r="R710" s="360"/>
      <c r="S710" s="360"/>
      <c r="T710" s="360"/>
      <c r="U710" s="360"/>
    </row>
    <row r="711" spans="1:21" ht="19.5" customHeight="1">
      <c r="A711" s="360" t="s">
        <v>97</v>
      </c>
      <c r="B711" s="362" t="s">
        <v>98</v>
      </c>
      <c r="C711" s="360" t="s">
        <v>99</v>
      </c>
      <c r="D711" s="360"/>
      <c r="E711" s="360"/>
      <c r="F711" s="360"/>
      <c r="G711" s="360"/>
      <c r="H711" s="360"/>
      <c r="I711" s="360"/>
      <c r="J711" s="360"/>
      <c r="K711" s="360"/>
      <c r="L711" s="360"/>
      <c r="M711" s="360"/>
      <c r="N711" s="360"/>
      <c r="O711" s="360"/>
      <c r="P711" s="360"/>
      <c r="Q711" s="360"/>
      <c r="R711" s="360"/>
      <c r="S711" s="360"/>
      <c r="T711" s="360">
        <f>'[1]Hiep Hoa'!BN54</f>
        <v>2.31</v>
      </c>
      <c r="U711" s="360"/>
    </row>
    <row r="712" spans="1:21" ht="19.5" customHeight="1">
      <c r="A712" s="360" t="s">
        <v>100</v>
      </c>
      <c r="B712" s="362" t="s">
        <v>134</v>
      </c>
      <c r="C712" s="360" t="s">
        <v>101</v>
      </c>
      <c r="D712" s="360"/>
      <c r="E712" s="360"/>
      <c r="F712" s="360"/>
      <c r="G712" s="360"/>
      <c r="H712" s="360"/>
      <c r="I712" s="360"/>
      <c r="J712" s="360"/>
      <c r="K712" s="360"/>
      <c r="L712" s="360"/>
      <c r="M712" s="360"/>
      <c r="N712" s="360"/>
      <c r="O712" s="360"/>
      <c r="P712" s="360"/>
      <c r="Q712" s="360"/>
      <c r="R712" s="360"/>
      <c r="S712" s="360"/>
      <c r="T712" s="360"/>
      <c r="U712" s="360"/>
    </row>
    <row r="713" spans="1:21" ht="28.5" customHeight="1">
      <c r="A713" s="360" t="s">
        <v>102</v>
      </c>
      <c r="B713" s="362" t="s">
        <v>103</v>
      </c>
      <c r="C713" s="360" t="s">
        <v>104</v>
      </c>
      <c r="D713" s="360"/>
      <c r="E713" s="360"/>
      <c r="F713" s="360"/>
      <c r="G713" s="360"/>
      <c r="H713" s="360"/>
      <c r="I713" s="360"/>
      <c r="J713" s="360"/>
      <c r="K713" s="360"/>
      <c r="L713" s="360"/>
      <c r="M713" s="360"/>
      <c r="N713" s="360"/>
      <c r="O713" s="360"/>
      <c r="P713" s="360"/>
      <c r="Q713" s="360"/>
      <c r="R713" s="360"/>
      <c r="S713" s="360"/>
      <c r="T713" s="360"/>
      <c r="U713" s="360"/>
    </row>
    <row r="714" spans="1:21" ht="19.5" customHeight="1">
      <c r="A714" s="360" t="s">
        <v>105</v>
      </c>
      <c r="B714" s="362" t="s">
        <v>106</v>
      </c>
      <c r="C714" s="360" t="s">
        <v>107</v>
      </c>
      <c r="D714" s="360"/>
      <c r="E714" s="360"/>
      <c r="F714" s="360"/>
      <c r="G714" s="360"/>
      <c r="H714" s="360"/>
      <c r="I714" s="360"/>
      <c r="J714" s="360"/>
      <c r="K714" s="360"/>
      <c r="L714" s="360"/>
      <c r="M714" s="360"/>
      <c r="N714" s="360"/>
      <c r="O714" s="360"/>
      <c r="P714" s="360"/>
      <c r="Q714" s="360"/>
      <c r="R714" s="360"/>
      <c r="S714" s="360"/>
      <c r="T714" s="360">
        <f>'[1]Hiep Hoa'!BN57</f>
        <v>1.23</v>
      </c>
      <c r="U714" s="360"/>
    </row>
    <row r="715" spans="1:21" ht="19.5" customHeight="1">
      <c r="A715" s="360" t="s">
        <v>108</v>
      </c>
      <c r="B715" s="362" t="s">
        <v>109</v>
      </c>
      <c r="C715" s="360" t="s">
        <v>110</v>
      </c>
      <c r="D715" s="360"/>
      <c r="E715" s="360"/>
      <c r="F715" s="360"/>
      <c r="G715" s="360"/>
      <c r="H715" s="360"/>
      <c r="I715" s="360"/>
      <c r="J715" s="360"/>
      <c r="K715" s="360"/>
      <c r="L715" s="360"/>
      <c r="M715" s="360"/>
      <c r="N715" s="360"/>
      <c r="O715" s="360"/>
      <c r="P715" s="360"/>
      <c r="Q715" s="360"/>
      <c r="R715" s="360"/>
      <c r="S715" s="360"/>
      <c r="T715" s="360">
        <f>'[1]Hiep Hoa'!BN58</f>
        <v>0.35</v>
      </c>
      <c r="U715" s="360"/>
    </row>
    <row r="716" spans="1:21" ht="19.5" customHeight="1">
      <c r="A716" s="360" t="s">
        <v>111</v>
      </c>
      <c r="B716" s="362" t="s">
        <v>112</v>
      </c>
      <c r="C716" s="360" t="s">
        <v>113</v>
      </c>
      <c r="D716" s="360"/>
      <c r="E716" s="360"/>
      <c r="F716" s="360"/>
      <c r="G716" s="360"/>
      <c r="H716" s="360"/>
      <c r="I716" s="360"/>
      <c r="J716" s="360"/>
      <c r="K716" s="360"/>
      <c r="L716" s="360"/>
      <c r="M716" s="360"/>
      <c r="N716" s="360"/>
      <c r="O716" s="360"/>
      <c r="P716" s="360"/>
      <c r="Q716" s="360"/>
      <c r="R716" s="360"/>
      <c r="S716" s="360"/>
      <c r="T716" s="360">
        <f>'[1]Hiep Hoa'!BN59</f>
        <v>0.84</v>
      </c>
      <c r="U716" s="360"/>
    </row>
    <row r="717" spans="1:21" ht="19.5" customHeight="1">
      <c r="A717" s="360" t="s">
        <v>114</v>
      </c>
      <c r="B717" s="362" t="s">
        <v>115</v>
      </c>
      <c r="C717" s="360" t="s">
        <v>116</v>
      </c>
      <c r="D717" s="360"/>
      <c r="E717" s="360"/>
      <c r="F717" s="360"/>
      <c r="G717" s="360"/>
      <c r="H717" s="360"/>
      <c r="I717" s="360"/>
      <c r="J717" s="360"/>
      <c r="K717" s="360"/>
      <c r="L717" s="360"/>
      <c r="M717" s="360"/>
      <c r="N717" s="360"/>
      <c r="O717" s="360"/>
      <c r="P717" s="360"/>
      <c r="Q717" s="360"/>
      <c r="R717" s="360"/>
      <c r="S717" s="360"/>
      <c r="T717" s="360"/>
      <c r="U717" s="360"/>
    </row>
    <row r="718" spans="1:21" ht="19.5" customHeight="1">
      <c r="A718" s="360" t="s">
        <v>117</v>
      </c>
      <c r="B718" s="362" t="s">
        <v>118</v>
      </c>
      <c r="C718" s="360" t="s">
        <v>119</v>
      </c>
      <c r="D718" s="360"/>
      <c r="E718" s="360"/>
      <c r="F718" s="360"/>
      <c r="G718" s="360"/>
      <c r="H718" s="360"/>
      <c r="I718" s="360"/>
      <c r="J718" s="360"/>
      <c r="K718" s="360"/>
      <c r="L718" s="360"/>
      <c r="M718" s="360"/>
      <c r="N718" s="360"/>
      <c r="O718" s="360"/>
      <c r="P718" s="360"/>
      <c r="Q718" s="360"/>
      <c r="R718" s="360"/>
      <c r="S718" s="360"/>
      <c r="T718" s="360"/>
      <c r="U718" s="360"/>
    </row>
    <row r="719" spans="1:21" ht="19.5" customHeight="1">
      <c r="A719" s="360" t="s">
        <v>120</v>
      </c>
      <c r="B719" s="362" t="s">
        <v>121</v>
      </c>
      <c r="C719" s="360" t="s">
        <v>122</v>
      </c>
      <c r="D719" s="360"/>
      <c r="E719" s="360"/>
      <c r="F719" s="360"/>
      <c r="G719" s="360"/>
      <c r="H719" s="360"/>
      <c r="I719" s="360"/>
      <c r="J719" s="360"/>
      <c r="K719" s="360"/>
      <c r="L719" s="360"/>
      <c r="M719" s="360"/>
      <c r="N719" s="360"/>
      <c r="O719" s="360"/>
      <c r="P719" s="360"/>
      <c r="Q719" s="360"/>
      <c r="R719" s="360"/>
      <c r="S719" s="360"/>
      <c r="T719" s="360"/>
      <c r="U719" s="360"/>
    </row>
    <row r="720" spans="1:21" ht="19.5" customHeight="1">
      <c r="A720" s="360">
        <v>3</v>
      </c>
      <c r="B720" s="362" t="s">
        <v>123</v>
      </c>
      <c r="C720" s="360" t="s">
        <v>124</v>
      </c>
      <c r="D720" s="360"/>
      <c r="E720" s="360"/>
      <c r="F720" s="360"/>
      <c r="G720" s="360"/>
      <c r="H720" s="360"/>
      <c r="I720" s="360"/>
      <c r="J720" s="360"/>
      <c r="K720" s="360"/>
      <c r="L720" s="360"/>
      <c r="M720" s="360"/>
      <c r="N720" s="360"/>
      <c r="O720" s="360"/>
      <c r="P720" s="360"/>
      <c r="Q720" s="360"/>
      <c r="R720" s="360"/>
      <c r="S720" s="360"/>
      <c r="T720" s="360"/>
      <c r="U720" s="360"/>
    </row>
    <row r="721" spans="1:21" ht="19.5" customHeight="1">
      <c r="A721" s="1355" t="s">
        <v>361</v>
      </c>
      <c r="B721" s="1355"/>
      <c r="C721" s="375"/>
      <c r="D721" s="375"/>
      <c r="E721" s="375"/>
      <c r="F721" s="375"/>
      <c r="G721" s="375"/>
      <c r="H721" s="375"/>
      <c r="I721" s="375"/>
      <c r="J721" s="375"/>
      <c r="K721" s="375"/>
      <c r="L721" s="375"/>
      <c r="M721" s="375"/>
      <c r="N721" s="375"/>
      <c r="O721" s="375"/>
      <c r="P721" s="375"/>
      <c r="Q721" s="375"/>
      <c r="R721" s="375"/>
      <c r="S721" s="375"/>
      <c r="T721" s="375"/>
      <c r="U721" s="375"/>
    </row>
    <row r="722" spans="1:21" ht="19.5" customHeight="1">
      <c r="A722" s="1354" t="s">
        <v>185</v>
      </c>
      <c r="B722" s="1354"/>
      <c r="C722" s="1354"/>
      <c r="D722" s="1354"/>
      <c r="E722" s="1354"/>
      <c r="F722" s="1354"/>
      <c r="G722" s="1354"/>
      <c r="H722" s="1354"/>
      <c r="I722" s="1354"/>
      <c r="J722" s="1354"/>
      <c r="K722" s="1354"/>
      <c r="L722" s="1354"/>
      <c r="M722" s="1354"/>
      <c r="N722" s="1354"/>
      <c r="O722" s="1354"/>
      <c r="P722" s="1354"/>
      <c r="Q722" s="1354"/>
      <c r="R722" s="1354"/>
      <c r="S722" s="1354"/>
      <c r="T722" s="1354"/>
      <c r="U722" s="1354"/>
    </row>
    <row r="723" spans="1:21" ht="19.5" customHeight="1">
      <c r="A723" s="1354" t="s">
        <v>322</v>
      </c>
      <c r="B723" s="1354"/>
      <c r="C723" s="1354"/>
      <c r="D723" s="1354"/>
      <c r="E723" s="1354"/>
      <c r="F723" s="1354"/>
      <c r="G723" s="1354"/>
      <c r="H723" s="1354"/>
      <c r="I723" s="1354"/>
      <c r="J723" s="1354"/>
      <c r="K723" s="1354"/>
      <c r="L723" s="1354"/>
      <c r="M723" s="1354"/>
      <c r="N723" s="1354"/>
      <c r="O723" s="1354"/>
      <c r="P723" s="1354"/>
      <c r="Q723" s="1354"/>
      <c r="R723" s="1354"/>
      <c r="S723" s="1354"/>
      <c r="T723" s="1354"/>
      <c r="U723" s="1354"/>
    </row>
    <row r="724" spans="1:21" ht="19.5" customHeight="1"/>
    <row r="725" spans="1:21" ht="19.5" customHeight="1">
      <c r="A725" s="1356" t="s">
        <v>0</v>
      </c>
      <c r="B725" s="1356" t="s">
        <v>186</v>
      </c>
      <c r="C725" s="1356" t="s">
        <v>13</v>
      </c>
      <c r="D725" s="1356" t="s">
        <v>139</v>
      </c>
      <c r="E725" s="1356"/>
      <c r="F725" s="1356" t="s">
        <v>140</v>
      </c>
      <c r="G725" s="1356"/>
      <c r="H725" s="1356" t="s">
        <v>141</v>
      </c>
      <c r="I725" s="1356"/>
      <c r="J725" s="1356" t="s">
        <v>142</v>
      </c>
      <c r="K725" s="1356"/>
      <c r="L725" s="1356" t="s">
        <v>143</v>
      </c>
      <c r="M725" s="1356"/>
      <c r="N725" s="1356" t="s">
        <v>144</v>
      </c>
      <c r="O725" s="1356"/>
      <c r="P725" s="1356" t="s">
        <v>188</v>
      </c>
      <c r="Q725" s="1356"/>
      <c r="R725" s="1356" t="s">
        <v>145</v>
      </c>
      <c r="S725" s="1356"/>
      <c r="T725" s="1356" t="s">
        <v>146</v>
      </c>
      <c r="U725" s="1356"/>
    </row>
    <row r="726" spans="1:21" ht="51.75" customHeight="1">
      <c r="A726" s="1356"/>
      <c r="B726" s="1356"/>
      <c r="C726" s="1356"/>
      <c r="D726" s="360" t="s">
        <v>137</v>
      </c>
      <c r="E726" s="360" t="s">
        <v>187</v>
      </c>
      <c r="F726" s="360" t="s">
        <v>137</v>
      </c>
      <c r="G726" s="360" t="s">
        <v>187</v>
      </c>
      <c r="H726" s="360" t="s">
        <v>137</v>
      </c>
      <c r="I726" s="360" t="s">
        <v>187</v>
      </c>
      <c r="J726" s="360" t="s">
        <v>137</v>
      </c>
      <c r="K726" s="360" t="s">
        <v>187</v>
      </c>
      <c r="L726" s="360" t="s">
        <v>137</v>
      </c>
      <c r="M726" s="360" t="s">
        <v>187</v>
      </c>
      <c r="N726" s="360" t="s">
        <v>137</v>
      </c>
      <c r="O726" s="360" t="s">
        <v>187</v>
      </c>
      <c r="P726" s="360" t="s">
        <v>137</v>
      </c>
      <c r="Q726" s="360" t="s">
        <v>187</v>
      </c>
      <c r="R726" s="360" t="s">
        <v>137</v>
      </c>
      <c r="S726" s="360" t="s">
        <v>187</v>
      </c>
      <c r="T726" s="360" t="s">
        <v>137</v>
      </c>
      <c r="U726" s="360" t="s">
        <v>187</v>
      </c>
    </row>
    <row r="727" spans="1:21" ht="33.75" customHeight="1">
      <c r="A727" s="360">
        <v>1</v>
      </c>
      <c r="B727" s="362" t="s">
        <v>14</v>
      </c>
      <c r="C727" s="360" t="s">
        <v>15</v>
      </c>
      <c r="D727" s="360">
        <f>D728+D730+D731+D732+D733+D734+D735+D736+D737</f>
        <v>180</v>
      </c>
      <c r="E727" s="360">
        <f t="shared" ref="E727:U727" si="67">E728+E730+E731+E732+E733+E734+E735+E736+E737</f>
        <v>0</v>
      </c>
      <c r="F727" s="360">
        <f t="shared" si="67"/>
        <v>0</v>
      </c>
      <c r="G727" s="360">
        <f t="shared" si="67"/>
        <v>0</v>
      </c>
      <c r="H727" s="360">
        <f t="shared" si="67"/>
        <v>8</v>
      </c>
      <c r="I727" s="360">
        <f t="shared" si="67"/>
        <v>0</v>
      </c>
      <c r="J727" s="360">
        <f t="shared" si="67"/>
        <v>0</v>
      </c>
      <c r="K727" s="360">
        <f t="shared" si="67"/>
        <v>0</v>
      </c>
      <c r="L727" s="360">
        <f t="shared" si="67"/>
        <v>0</v>
      </c>
      <c r="M727" s="360">
        <f t="shared" si="67"/>
        <v>0</v>
      </c>
      <c r="N727" s="360">
        <f t="shared" si="67"/>
        <v>0</v>
      </c>
      <c r="O727" s="360">
        <f t="shared" si="67"/>
        <v>0</v>
      </c>
      <c r="P727" s="360">
        <f t="shared" si="67"/>
        <v>0</v>
      </c>
      <c r="Q727" s="360">
        <f t="shared" si="67"/>
        <v>0</v>
      </c>
      <c r="R727" s="360">
        <f t="shared" si="67"/>
        <v>0</v>
      </c>
      <c r="S727" s="360">
        <f t="shared" si="67"/>
        <v>0</v>
      </c>
      <c r="T727" s="360">
        <f t="shared" si="67"/>
        <v>0.8</v>
      </c>
      <c r="U727" s="360">
        <f t="shared" si="67"/>
        <v>0</v>
      </c>
    </row>
    <row r="728" spans="1:21" ht="19.5" customHeight="1">
      <c r="A728" s="360" t="s">
        <v>16</v>
      </c>
      <c r="B728" s="362" t="s">
        <v>17</v>
      </c>
      <c r="C728" s="360" t="s">
        <v>18</v>
      </c>
      <c r="D728" s="360">
        <f t="shared" ref="D728:U728" si="68">D729</f>
        <v>180</v>
      </c>
      <c r="E728" s="360">
        <f t="shared" si="68"/>
        <v>0</v>
      </c>
      <c r="F728" s="360">
        <f t="shared" si="68"/>
        <v>0</v>
      </c>
      <c r="G728" s="360">
        <f t="shared" si="68"/>
        <v>0</v>
      </c>
      <c r="H728" s="360">
        <f t="shared" si="68"/>
        <v>0</v>
      </c>
      <c r="I728" s="360">
        <f t="shared" si="68"/>
        <v>0</v>
      </c>
      <c r="J728" s="360">
        <f t="shared" si="68"/>
        <v>0</v>
      </c>
      <c r="K728" s="360">
        <f t="shared" si="68"/>
        <v>0</v>
      </c>
      <c r="L728" s="360">
        <f t="shared" si="68"/>
        <v>0</v>
      </c>
      <c r="M728" s="360">
        <f t="shared" si="68"/>
        <v>0</v>
      </c>
      <c r="N728" s="360">
        <f t="shared" si="68"/>
        <v>0</v>
      </c>
      <c r="O728" s="360">
        <f t="shared" si="68"/>
        <v>0</v>
      </c>
      <c r="P728" s="360">
        <f t="shared" si="68"/>
        <v>0</v>
      </c>
      <c r="Q728" s="360">
        <f t="shared" si="68"/>
        <v>0</v>
      </c>
      <c r="R728" s="360">
        <f t="shared" si="68"/>
        <v>0</v>
      </c>
      <c r="S728" s="360">
        <f t="shared" si="68"/>
        <v>0</v>
      </c>
      <c r="T728" s="360">
        <f t="shared" si="68"/>
        <v>0</v>
      </c>
      <c r="U728" s="360">
        <f t="shared" si="68"/>
        <v>0</v>
      </c>
    </row>
    <row r="729" spans="1:21" ht="19.5" customHeight="1">
      <c r="A729" s="360"/>
      <c r="B729" s="362" t="s">
        <v>19</v>
      </c>
      <c r="C729" s="360" t="s">
        <v>20</v>
      </c>
      <c r="D729" s="360">
        <v>180</v>
      </c>
      <c r="E729" s="360"/>
      <c r="F729" s="360"/>
      <c r="G729" s="360"/>
      <c r="H729" s="360"/>
      <c r="I729" s="360"/>
      <c r="J729" s="360"/>
      <c r="K729" s="360"/>
      <c r="L729" s="360"/>
      <c r="M729" s="360"/>
      <c r="N729" s="360"/>
      <c r="O729" s="360"/>
      <c r="P729" s="360"/>
      <c r="Q729" s="360"/>
      <c r="R729" s="360"/>
      <c r="S729" s="360"/>
      <c r="T729" s="360"/>
      <c r="U729" s="360"/>
    </row>
    <row r="730" spans="1:21" ht="19.5" customHeight="1">
      <c r="A730" s="360" t="s">
        <v>21</v>
      </c>
      <c r="B730" s="362" t="s">
        <v>22</v>
      </c>
      <c r="C730" s="360" t="s">
        <v>23</v>
      </c>
      <c r="D730" s="360"/>
      <c r="E730" s="360"/>
      <c r="F730" s="360"/>
      <c r="G730" s="360"/>
      <c r="H730" s="360"/>
      <c r="I730" s="360"/>
      <c r="J730" s="360"/>
      <c r="K730" s="360"/>
      <c r="L730" s="360"/>
      <c r="M730" s="360"/>
      <c r="N730" s="360"/>
      <c r="O730" s="360"/>
      <c r="P730" s="360"/>
      <c r="Q730" s="360"/>
      <c r="R730" s="360"/>
      <c r="S730" s="360"/>
      <c r="T730" s="360"/>
      <c r="U730" s="360"/>
    </row>
    <row r="731" spans="1:21" ht="19.5" customHeight="1">
      <c r="A731" s="360" t="s">
        <v>24</v>
      </c>
      <c r="B731" s="362" t="s">
        <v>25</v>
      </c>
      <c r="C731" s="360" t="s">
        <v>26</v>
      </c>
      <c r="D731" s="360"/>
      <c r="E731" s="360"/>
      <c r="F731" s="360"/>
      <c r="G731" s="360"/>
      <c r="H731" s="360"/>
      <c r="I731" s="360"/>
      <c r="J731" s="360"/>
      <c r="K731" s="360"/>
      <c r="L731" s="360"/>
      <c r="M731" s="360"/>
      <c r="N731" s="360"/>
      <c r="O731" s="360"/>
      <c r="P731" s="360"/>
      <c r="Q731" s="360"/>
      <c r="R731" s="360"/>
      <c r="S731" s="360"/>
      <c r="T731" s="360">
        <v>0.8</v>
      </c>
      <c r="U731" s="360"/>
    </row>
    <row r="732" spans="1:21" ht="19.5" customHeight="1">
      <c r="A732" s="360" t="s">
        <v>27</v>
      </c>
      <c r="B732" s="362" t="s">
        <v>28</v>
      </c>
      <c r="C732" s="360" t="s">
        <v>29</v>
      </c>
      <c r="D732" s="360"/>
      <c r="E732" s="360"/>
      <c r="F732" s="360"/>
      <c r="G732" s="360"/>
      <c r="H732" s="360">
        <v>8</v>
      </c>
      <c r="I732" s="360"/>
      <c r="J732" s="360"/>
      <c r="K732" s="360"/>
      <c r="L732" s="360"/>
      <c r="M732" s="360"/>
      <c r="N732" s="360"/>
      <c r="O732" s="360"/>
      <c r="P732" s="360"/>
      <c r="Q732" s="360"/>
      <c r="R732" s="360"/>
      <c r="S732" s="360"/>
      <c r="T732" s="360"/>
      <c r="U732" s="360"/>
    </row>
    <row r="733" spans="1:21" ht="19.5" customHeight="1">
      <c r="A733" s="360" t="s">
        <v>30</v>
      </c>
      <c r="B733" s="362" t="s">
        <v>31</v>
      </c>
      <c r="C733" s="360" t="s">
        <v>32</v>
      </c>
      <c r="D733" s="360"/>
      <c r="E733" s="360"/>
      <c r="F733" s="360"/>
      <c r="G733" s="360"/>
      <c r="H733" s="360"/>
      <c r="I733" s="360"/>
      <c r="J733" s="360"/>
      <c r="K733" s="360"/>
      <c r="L733" s="360"/>
      <c r="M733" s="360"/>
      <c r="N733" s="360"/>
      <c r="O733" s="360"/>
      <c r="P733" s="360"/>
      <c r="Q733" s="360"/>
      <c r="R733" s="360"/>
      <c r="S733" s="360"/>
      <c r="T733" s="360"/>
      <c r="U733" s="360"/>
    </row>
    <row r="734" spans="1:21" ht="19.5" customHeight="1">
      <c r="A734" s="360" t="s">
        <v>33</v>
      </c>
      <c r="B734" s="362" t="s">
        <v>34</v>
      </c>
      <c r="C734" s="360" t="s">
        <v>35</v>
      </c>
      <c r="D734" s="360"/>
      <c r="E734" s="360"/>
      <c r="F734" s="360"/>
      <c r="G734" s="360"/>
      <c r="H734" s="360"/>
      <c r="I734" s="360"/>
      <c r="J734" s="360"/>
      <c r="K734" s="360"/>
      <c r="L734" s="360"/>
      <c r="M734" s="360"/>
      <c r="N734" s="360"/>
      <c r="O734" s="360"/>
      <c r="P734" s="360"/>
      <c r="Q734" s="360"/>
      <c r="R734" s="360"/>
      <c r="S734" s="360"/>
      <c r="T734" s="360"/>
      <c r="U734" s="360"/>
    </row>
    <row r="735" spans="1:21" ht="19.5" customHeight="1">
      <c r="A735" s="360" t="s">
        <v>36</v>
      </c>
      <c r="B735" s="362" t="s">
        <v>37</v>
      </c>
      <c r="C735" s="360" t="s">
        <v>38</v>
      </c>
      <c r="D735" s="360"/>
      <c r="E735" s="360"/>
      <c r="F735" s="360"/>
      <c r="G735" s="360"/>
      <c r="H735" s="360"/>
      <c r="I735" s="360"/>
      <c r="J735" s="360"/>
      <c r="K735" s="360"/>
      <c r="L735" s="360"/>
      <c r="M735" s="360"/>
      <c r="N735" s="360"/>
      <c r="O735" s="360"/>
      <c r="P735" s="360"/>
      <c r="Q735" s="360"/>
      <c r="R735" s="360"/>
      <c r="S735" s="360"/>
      <c r="T735" s="360"/>
      <c r="U735" s="360"/>
    </row>
    <row r="736" spans="1:21" ht="19.5" customHeight="1">
      <c r="A736" s="360" t="s">
        <v>39</v>
      </c>
      <c r="B736" s="362" t="s">
        <v>40</v>
      </c>
      <c r="C736" s="360" t="s">
        <v>41</v>
      </c>
      <c r="D736" s="360"/>
      <c r="E736" s="360"/>
      <c r="F736" s="360"/>
      <c r="G736" s="360"/>
      <c r="H736" s="360"/>
      <c r="I736" s="360"/>
      <c r="J736" s="360"/>
      <c r="K736" s="360"/>
      <c r="L736" s="360"/>
      <c r="M736" s="360"/>
      <c r="N736" s="360"/>
      <c r="O736" s="360"/>
      <c r="P736" s="360"/>
      <c r="Q736" s="360"/>
      <c r="R736" s="360"/>
      <c r="S736" s="360"/>
      <c r="T736" s="360"/>
      <c r="U736" s="360"/>
    </row>
    <row r="737" spans="1:21" ht="19.5" customHeight="1">
      <c r="A737" s="360">
        <v>2</v>
      </c>
      <c r="B737" s="362" t="s">
        <v>43</v>
      </c>
      <c r="C737" s="360" t="s">
        <v>44</v>
      </c>
      <c r="D737" s="360"/>
      <c r="E737" s="360"/>
      <c r="F737" s="360"/>
      <c r="G737" s="360"/>
      <c r="H737" s="360"/>
      <c r="I737" s="360"/>
      <c r="J737" s="360"/>
      <c r="K737" s="360"/>
      <c r="L737" s="360"/>
      <c r="M737" s="360"/>
      <c r="N737" s="360"/>
      <c r="O737" s="360"/>
      <c r="P737" s="360"/>
      <c r="Q737" s="360"/>
      <c r="R737" s="360"/>
      <c r="S737" s="360"/>
      <c r="T737" s="360"/>
      <c r="U737" s="360"/>
    </row>
    <row r="738" spans="1:21" ht="19.5" customHeight="1">
      <c r="A738" s="360">
        <v>2</v>
      </c>
      <c r="B738" s="362" t="s">
        <v>45</v>
      </c>
      <c r="C738" s="360" t="s">
        <v>46</v>
      </c>
      <c r="D738" s="360">
        <f>SUM(D739:D764)</f>
        <v>7.5</v>
      </c>
      <c r="E738" s="360">
        <f t="shared" ref="E738:U738" si="69">SUM(E739:E764)</f>
        <v>0</v>
      </c>
      <c r="F738" s="360">
        <f t="shared" si="69"/>
        <v>0</v>
      </c>
      <c r="G738" s="360">
        <f t="shared" si="69"/>
        <v>0</v>
      </c>
      <c r="H738" s="360">
        <f t="shared" si="69"/>
        <v>0</v>
      </c>
      <c r="I738" s="360">
        <f t="shared" si="69"/>
        <v>0</v>
      </c>
      <c r="J738" s="360">
        <f t="shared" si="69"/>
        <v>0</v>
      </c>
      <c r="K738" s="360">
        <f t="shared" si="69"/>
        <v>0</v>
      </c>
      <c r="L738" s="360">
        <f t="shared" si="69"/>
        <v>0</v>
      </c>
      <c r="M738" s="360">
        <f t="shared" si="69"/>
        <v>0</v>
      </c>
      <c r="N738" s="360">
        <f t="shared" si="69"/>
        <v>0</v>
      </c>
      <c r="O738" s="360">
        <f t="shared" si="69"/>
        <v>0</v>
      </c>
      <c r="P738" s="360">
        <f t="shared" si="69"/>
        <v>0</v>
      </c>
      <c r="Q738" s="360">
        <f t="shared" si="69"/>
        <v>0</v>
      </c>
      <c r="R738" s="360">
        <f t="shared" si="69"/>
        <v>0</v>
      </c>
      <c r="S738" s="360">
        <f t="shared" si="69"/>
        <v>0</v>
      </c>
      <c r="T738" s="360">
        <f t="shared" si="69"/>
        <v>82.839999999999989</v>
      </c>
      <c r="U738" s="360">
        <f t="shared" si="69"/>
        <v>0</v>
      </c>
    </row>
    <row r="739" spans="1:21" ht="19.5" customHeight="1">
      <c r="A739" s="360" t="s">
        <v>47</v>
      </c>
      <c r="B739" s="362" t="s">
        <v>48</v>
      </c>
      <c r="C739" s="360" t="s">
        <v>49</v>
      </c>
      <c r="D739" s="360"/>
      <c r="E739" s="360"/>
      <c r="F739" s="360"/>
      <c r="G739" s="360"/>
      <c r="H739" s="360"/>
      <c r="I739" s="360"/>
      <c r="J739" s="360"/>
      <c r="K739" s="360"/>
      <c r="L739" s="360"/>
      <c r="M739" s="360"/>
      <c r="N739" s="360"/>
      <c r="O739" s="360"/>
      <c r="P739" s="360"/>
      <c r="Q739" s="360"/>
      <c r="R739" s="360"/>
      <c r="S739" s="360"/>
      <c r="T739" s="360"/>
      <c r="U739" s="360"/>
    </row>
    <row r="740" spans="1:21" ht="19.5" customHeight="1">
      <c r="A740" s="360" t="s">
        <v>50</v>
      </c>
      <c r="B740" s="362" t="s">
        <v>51</v>
      </c>
      <c r="C740" s="360" t="s">
        <v>52</v>
      </c>
      <c r="D740" s="360"/>
      <c r="E740" s="360"/>
      <c r="F740" s="360"/>
      <c r="G740" s="360"/>
      <c r="H740" s="360"/>
      <c r="I740" s="360"/>
      <c r="J740" s="360"/>
      <c r="K740" s="360"/>
      <c r="L740" s="360"/>
      <c r="M740" s="360"/>
      <c r="N740" s="360"/>
      <c r="O740" s="360"/>
      <c r="P740" s="360"/>
      <c r="Q740" s="360"/>
      <c r="R740" s="360"/>
      <c r="S740" s="360"/>
      <c r="T740" s="360"/>
      <c r="U740" s="360"/>
    </row>
    <row r="741" spans="1:21" ht="19.5" customHeight="1">
      <c r="A741" s="360" t="s">
        <v>53</v>
      </c>
      <c r="B741" s="362" t="s">
        <v>54</v>
      </c>
      <c r="C741" s="360" t="s">
        <v>55</v>
      </c>
      <c r="D741" s="360"/>
      <c r="E741" s="360"/>
      <c r="F741" s="360"/>
      <c r="G741" s="360"/>
      <c r="H741" s="360"/>
      <c r="I741" s="360"/>
      <c r="J741" s="360"/>
      <c r="K741" s="360"/>
      <c r="L741" s="360"/>
      <c r="M741" s="360"/>
      <c r="N741" s="360"/>
      <c r="O741" s="360"/>
      <c r="P741" s="360"/>
      <c r="Q741" s="360"/>
      <c r="R741" s="360"/>
      <c r="S741" s="360"/>
      <c r="T741" s="360"/>
      <c r="U741" s="360"/>
    </row>
    <row r="742" spans="1:21" ht="19.5" customHeight="1">
      <c r="A742" s="360" t="s">
        <v>56</v>
      </c>
      <c r="B742" s="362" t="s">
        <v>57</v>
      </c>
      <c r="C742" s="360" t="s">
        <v>58</v>
      </c>
      <c r="D742" s="360"/>
      <c r="E742" s="360"/>
      <c r="F742" s="360"/>
      <c r="G742" s="360"/>
      <c r="H742" s="360"/>
      <c r="I742" s="360"/>
      <c r="J742" s="360"/>
      <c r="K742" s="360"/>
      <c r="L742" s="360"/>
      <c r="M742" s="360"/>
      <c r="N742" s="360"/>
      <c r="O742" s="360"/>
      <c r="P742" s="360"/>
      <c r="Q742" s="360"/>
      <c r="R742" s="360"/>
      <c r="S742" s="360"/>
      <c r="T742" s="360"/>
      <c r="U742" s="360"/>
    </row>
    <row r="743" spans="1:21" ht="19.5" customHeight="1">
      <c r="A743" s="360" t="s">
        <v>59</v>
      </c>
      <c r="B743" s="362" t="s">
        <v>60</v>
      </c>
      <c r="C743" s="360" t="s">
        <v>61</v>
      </c>
      <c r="D743" s="360"/>
      <c r="E743" s="360"/>
      <c r="F743" s="360"/>
      <c r="G743" s="360"/>
      <c r="H743" s="360"/>
      <c r="I743" s="360"/>
      <c r="J743" s="360"/>
      <c r="K743" s="360"/>
      <c r="L743" s="360"/>
      <c r="M743" s="360"/>
      <c r="N743" s="360"/>
      <c r="O743" s="360"/>
      <c r="P743" s="360"/>
      <c r="Q743" s="360"/>
      <c r="R743" s="360"/>
      <c r="S743" s="360"/>
      <c r="T743" s="360"/>
      <c r="U743" s="360"/>
    </row>
    <row r="744" spans="1:21" ht="19.5" customHeight="1">
      <c r="A744" s="360" t="s">
        <v>62</v>
      </c>
      <c r="B744" s="362" t="s">
        <v>63</v>
      </c>
      <c r="C744" s="360" t="s">
        <v>64</v>
      </c>
      <c r="D744" s="360"/>
      <c r="E744" s="360"/>
      <c r="F744" s="360"/>
      <c r="G744" s="360"/>
      <c r="H744" s="360"/>
      <c r="I744" s="360"/>
      <c r="J744" s="360"/>
      <c r="K744" s="360"/>
      <c r="L744" s="360"/>
      <c r="M744" s="360"/>
      <c r="N744" s="360"/>
      <c r="O744" s="360"/>
      <c r="P744" s="360"/>
      <c r="Q744" s="360"/>
      <c r="R744" s="360"/>
      <c r="S744" s="360"/>
      <c r="T744" s="360"/>
      <c r="U744" s="360"/>
    </row>
    <row r="745" spans="1:21" ht="19.5" customHeight="1">
      <c r="A745" s="360" t="s">
        <v>65</v>
      </c>
      <c r="B745" s="362" t="s">
        <v>66</v>
      </c>
      <c r="C745" s="360" t="s">
        <v>67</v>
      </c>
      <c r="D745" s="360"/>
      <c r="E745" s="360"/>
      <c r="F745" s="360"/>
      <c r="G745" s="360"/>
      <c r="H745" s="360"/>
      <c r="I745" s="360"/>
      <c r="J745" s="360"/>
      <c r="K745" s="360"/>
      <c r="L745" s="360"/>
      <c r="M745" s="360"/>
      <c r="N745" s="360"/>
      <c r="O745" s="360"/>
      <c r="P745" s="360"/>
      <c r="Q745" s="360"/>
      <c r="R745" s="360"/>
      <c r="S745" s="360"/>
      <c r="T745" s="360">
        <f>'[1]Cam La'!BN32</f>
        <v>13.969999999999999</v>
      </c>
      <c r="U745" s="360"/>
    </row>
    <row r="746" spans="1:21" ht="19.5" customHeight="1">
      <c r="A746" s="360" t="s">
        <v>68</v>
      </c>
      <c r="B746" s="362" t="s">
        <v>69</v>
      </c>
      <c r="C746" s="360" t="s">
        <v>70</v>
      </c>
      <c r="D746" s="360"/>
      <c r="E746" s="360"/>
      <c r="F746" s="360"/>
      <c r="G746" s="360"/>
      <c r="H746" s="360"/>
      <c r="I746" s="360"/>
      <c r="J746" s="360"/>
      <c r="K746" s="360"/>
      <c r="L746" s="360"/>
      <c r="M746" s="360"/>
      <c r="N746" s="360"/>
      <c r="O746" s="360"/>
      <c r="P746" s="360"/>
      <c r="Q746" s="360"/>
      <c r="R746" s="360"/>
      <c r="S746" s="360"/>
      <c r="T746" s="360"/>
      <c r="U746" s="360"/>
    </row>
    <row r="747" spans="1:21" ht="19.5" customHeight="1">
      <c r="A747" s="360" t="s">
        <v>71</v>
      </c>
      <c r="B747" s="362" t="s">
        <v>135</v>
      </c>
      <c r="C747" s="360" t="s">
        <v>72</v>
      </c>
      <c r="D747" s="360">
        <v>7.5</v>
      </c>
      <c r="E747" s="360"/>
      <c r="F747" s="360"/>
      <c r="G747" s="360"/>
      <c r="H747" s="360"/>
      <c r="I747" s="360"/>
      <c r="J747" s="360"/>
      <c r="K747" s="360"/>
      <c r="L747" s="360"/>
      <c r="M747" s="360"/>
      <c r="N747" s="360"/>
      <c r="O747" s="360"/>
      <c r="P747" s="360"/>
      <c r="Q747" s="360"/>
      <c r="R747" s="360"/>
      <c r="S747" s="360"/>
      <c r="T747" s="360">
        <f>'[1]Cam La'!BN34-35.06</f>
        <v>33.809999999999988</v>
      </c>
      <c r="U747" s="360"/>
    </row>
    <row r="748" spans="1:21" ht="35.25" customHeight="1">
      <c r="A748" s="360" t="s">
        <v>73</v>
      </c>
      <c r="B748" s="362" t="s">
        <v>74</v>
      </c>
      <c r="C748" s="360" t="s">
        <v>75</v>
      </c>
      <c r="D748" s="360"/>
      <c r="E748" s="360"/>
      <c r="F748" s="360"/>
      <c r="G748" s="360"/>
      <c r="H748" s="360"/>
      <c r="I748" s="360"/>
      <c r="J748" s="360"/>
      <c r="K748" s="360"/>
      <c r="L748" s="360"/>
      <c r="M748" s="360"/>
      <c r="N748" s="360"/>
      <c r="O748" s="360"/>
      <c r="P748" s="360"/>
      <c r="Q748" s="360"/>
      <c r="R748" s="360"/>
      <c r="S748" s="360"/>
      <c r="T748" s="360">
        <f>'[1]Cam La'!BN46</f>
        <v>0</v>
      </c>
      <c r="U748" s="360"/>
    </row>
    <row r="749" spans="1:21" ht="19.5" customHeight="1">
      <c r="A749" s="360" t="s">
        <v>76</v>
      </c>
      <c r="B749" s="362" t="s">
        <v>77</v>
      </c>
      <c r="C749" s="360" t="s">
        <v>78</v>
      </c>
      <c r="D749" s="360"/>
      <c r="E749" s="360"/>
      <c r="F749" s="360"/>
      <c r="G749" s="360"/>
      <c r="H749" s="360"/>
      <c r="I749" s="360"/>
      <c r="J749" s="360"/>
      <c r="K749" s="360"/>
      <c r="L749" s="360"/>
      <c r="M749" s="360"/>
      <c r="N749" s="360"/>
      <c r="O749" s="360"/>
      <c r="P749" s="360"/>
      <c r="Q749" s="360"/>
      <c r="R749" s="360"/>
      <c r="S749" s="360"/>
      <c r="T749" s="360"/>
      <c r="U749" s="360"/>
    </row>
    <row r="750" spans="1:21" ht="19.5" customHeight="1">
      <c r="A750" s="360" t="s">
        <v>79</v>
      </c>
      <c r="B750" s="362" t="s">
        <v>80</v>
      </c>
      <c r="C750" s="360" t="s">
        <v>81</v>
      </c>
      <c r="D750" s="360"/>
      <c r="E750" s="360"/>
      <c r="F750" s="360"/>
      <c r="G750" s="360"/>
      <c r="H750" s="360"/>
      <c r="I750" s="360"/>
      <c r="J750" s="360"/>
      <c r="K750" s="360"/>
      <c r="L750" s="360"/>
      <c r="M750" s="360"/>
      <c r="N750" s="360"/>
      <c r="O750" s="360"/>
      <c r="P750" s="360"/>
      <c r="Q750" s="360"/>
      <c r="R750" s="360"/>
      <c r="S750" s="360"/>
      <c r="T750" s="360"/>
      <c r="U750" s="360"/>
    </row>
    <row r="751" spans="1:21" ht="19.5" customHeight="1">
      <c r="A751" s="360" t="s">
        <v>82</v>
      </c>
      <c r="B751" s="362" t="s">
        <v>83</v>
      </c>
      <c r="C751" s="360" t="s">
        <v>84</v>
      </c>
      <c r="D751" s="360"/>
      <c r="E751" s="360"/>
      <c r="F751" s="360"/>
      <c r="G751" s="360"/>
      <c r="H751" s="360"/>
      <c r="I751" s="360"/>
      <c r="J751" s="360"/>
      <c r="K751" s="360"/>
      <c r="L751" s="360"/>
      <c r="M751" s="360"/>
      <c r="N751" s="360"/>
      <c r="O751" s="360"/>
      <c r="P751" s="360"/>
      <c r="Q751" s="360"/>
      <c r="R751" s="360"/>
      <c r="S751" s="360"/>
      <c r="T751" s="360">
        <f>'[1]Cam La'!BN49</f>
        <v>32.549999999999997</v>
      </c>
      <c r="U751" s="360"/>
    </row>
    <row r="752" spans="1:21" ht="19.5" customHeight="1">
      <c r="A752" s="360" t="s">
        <v>85</v>
      </c>
      <c r="B752" s="362" t="s">
        <v>86</v>
      </c>
      <c r="C752" s="360" t="s">
        <v>87</v>
      </c>
      <c r="D752" s="360"/>
      <c r="E752" s="360"/>
      <c r="F752" s="360"/>
      <c r="G752" s="360"/>
      <c r="H752" s="360"/>
      <c r="I752" s="360"/>
      <c r="J752" s="360"/>
      <c r="K752" s="360"/>
      <c r="L752" s="360"/>
      <c r="M752" s="360"/>
      <c r="N752" s="360"/>
      <c r="O752" s="360"/>
      <c r="P752" s="360"/>
      <c r="Q752" s="360"/>
      <c r="R752" s="360"/>
      <c r="S752" s="360"/>
      <c r="T752" s="360"/>
      <c r="U752" s="360"/>
    </row>
    <row r="753" spans="1:21" ht="19.5" customHeight="1">
      <c r="A753" s="360" t="s">
        <v>88</v>
      </c>
      <c r="B753" s="362" t="s">
        <v>89</v>
      </c>
      <c r="C753" s="360" t="s">
        <v>90</v>
      </c>
      <c r="D753" s="360"/>
      <c r="E753" s="360"/>
      <c r="F753" s="360"/>
      <c r="G753" s="360"/>
      <c r="H753" s="360"/>
      <c r="I753" s="360"/>
      <c r="J753" s="360"/>
      <c r="K753" s="360"/>
      <c r="L753" s="360"/>
      <c r="M753" s="360"/>
      <c r="N753" s="360"/>
      <c r="O753" s="360"/>
      <c r="P753" s="360"/>
      <c r="Q753" s="360"/>
      <c r="R753" s="360"/>
      <c r="S753" s="360"/>
      <c r="T753" s="360">
        <f>'[1]Cam La'!BN51</f>
        <v>0.35</v>
      </c>
      <c r="U753" s="360"/>
    </row>
    <row r="754" spans="1:21" ht="19.5" customHeight="1">
      <c r="A754" s="360" t="s">
        <v>91</v>
      </c>
      <c r="B754" s="362" t="s">
        <v>92</v>
      </c>
      <c r="C754" s="360" t="s">
        <v>93</v>
      </c>
      <c r="D754" s="360"/>
      <c r="E754" s="360"/>
      <c r="F754" s="360"/>
      <c r="G754" s="360"/>
      <c r="H754" s="360"/>
      <c r="I754" s="360"/>
      <c r="J754" s="360"/>
      <c r="K754" s="360"/>
      <c r="L754" s="360"/>
      <c r="M754" s="360"/>
      <c r="N754" s="360"/>
      <c r="O754" s="360"/>
      <c r="P754" s="360"/>
      <c r="Q754" s="360"/>
      <c r="R754" s="360"/>
      <c r="S754" s="360"/>
      <c r="T754" s="360">
        <f>'[1]Cam La'!BN52</f>
        <v>0</v>
      </c>
      <c r="U754" s="360"/>
    </row>
    <row r="755" spans="1:21" ht="19.5" customHeight="1">
      <c r="A755" s="360" t="s">
        <v>94</v>
      </c>
      <c r="B755" s="362" t="s">
        <v>95</v>
      </c>
      <c r="C755" s="360" t="s">
        <v>96</v>
      </c>
      <c r="D755" s="360"/>
      <c r="E755" s="360"/>
      <c r="F755" s="360"/>
      <c r="G755" s="360"/>
      <c r="H755" s="360"/>
      <c r="I755" s="360"/>
      <c r="J755" s="360"/>
      <c r="K755" s="360"/>
      <c r="L755" s="360"/>
      <c r="M755" s="360"/>
      <c r="N755" s="360"/>
      <c r="O755" s="360"/>
      <c r="P755" s="360"/>
      <c r="Q755" s="360"/>
      <c r="R755" s="360"/>
      <c r="S755" s="360"/>
      <c r="T755" s="360">
        <f>'[1]Cam La'!BN53</f>
        <v>0</v>
      </c>
      <c r="U755" s="360"/>
    </row>
    <row r="756" spans="1:21" ht="19.5" customHeight="1">
      <c r="A756" s="360" t="s">
        <v>97</v>
      </c>
      <c r="B756" s="362" t="s">
        <v>98</v>
      </c>
      <c r="C756" s="360" t="s">
        <v>99</v>
      </c>
      <c r="D756" s="360"/>
      <c r="E756" s="360"/>
      <c r="F756" s="360"/>
      <c r="G756" s="360"/>
      <c r="H756" s="360"/>
      <c r="I756" s="360"/>
      <c r="J756" s="360"/>
      <c r="K756" s="360"/>
      <c r="L756" s="360"/>
      <c r="M756" s="360"/>
      <c r="N756" s="360"/>
      <c r="O756" s="360"/>
      <c r="P756" s="360"/>
      <c r="Q756" s="360"/>
      <c r="R756" s="360"/>
      <c r="S756" s="360"/>
      <c r="T756" s="360">
        <f>'[1]Cam La'!BN54</f>
        <v>0</v>
      </c>
      <c r="U756" s="360"/>
    </row>
    <row r="757" spans="1:21" ht="19.5" customHeight="1">
      <c r="A757" s="360" t="s">
        <v>100</v>
      </c>
      <c r="B757" s="362" t="s">
        <v>134</v>
      </c>
      <c r="C757" s="360" t="s">
        <v>101</v>
      </c>
      <c r="D757" s="360"/>
      <c r="E757" s="360"/>
      <c r="F757" s="360"/>
      <c r="G757" s="360"/>
      <c r="H757" s="360"/>
      <c r="I757" s="360"/>
      <c r="J757" s="360"/>
      <c r="K757" s="360"/>
      <c r="L757" s="360"/>
      <c r="M757" s="360"/>
      <c r="N757" s="360"/>
      <c r="O757" s="360"/>
      <c r="P757" s="360"/>
      <c r="Q757" s="360"/>
      <c r="R757" s="360"/>
      <c r="S757" s="360"/>
      <c r="T757" s="360"/>
      <c r="U757" s="360"/>
    </row>
    <row r="758" spans="1:21" ht="28.5" customHeight="1">
      <c r="A758" s="360" t="s">
        <v>102</v>
      </c>
      <c r="B758" s="362" t="s">
        <v>103</v>
      </c>
      <c r="C758" s="360" t="s">
        <v>104</v>
      </c>
      <c r="D758" s="360"/>
      <c r="E758" s="360"/>
      <c r="F758" s="360"/>
      <c r="G758" s="360"/>
      <c r="H758" s="360"/>
      <c r="I758" s="360"/>
      <c r="J758" s="360"/>
      <c r="K758" s="360"/>
      <c r="L758" s="360"/>
      <c r="M758" s="360"/>
      <c r="N758" s="360"/>
      <c r="O758" s="360"/>
      <c r="P758" s="360"/>
      <c r="Q758" s="360"/>
      <c r="R758" s="360"/>
      <c r="S758" s="360"/>
      <c r="T758" s="360"/>
      <c r="U758" s="360"/>
    </row>
    <row r="759" spans="1:21" ht="19.5" customHeight="1">
      <c r="A759" s="360" t="s">
        <v>105</v>
      </c>
      <c r="B759" s="362" t="s">
        <v>106</v>
      </c>
      <c r="C759" s="360" t="s">
        <v>107</v>
      </c>
      <c r="D759" s="360"/>
      <c r="E759" s="360"/>
      <c r="F759" s="360"/>
      <c r="G759" s="360"/>
      <c r="H759" s="360"/>
      <c r="I759" s="360"/>
      <c r="J759" s="360"/>
      <c r="K759" s="360"/>
      <c r="L759" s="360"/>
      <c r="M759" s="360"/>
      <c r="N759" s="360"/>
      <c r="O759" s="360"/>
      <c r="P759" s="360"/>
      <c r="Q759" s="360"/>
      <c r="R759" s="360"/>
      <c r="S759" s="360"/>
      <c r="T759" s="360">
        <f>'[1]Cam La'!BN57</f>
        <v>0.45</v>
      </c>
      <c r="U759" s="360"/>
    </row>
    <row r="760" spans="1:21" ht="19.5" customHeight="1">
      <c r="A760" s="360" t="s">
        <v>108</v>
      </c>
      <c r="B760" s="362" t="s">
        <v>109</v>
      </c>
      <c r="C760" s="360" t="s">
        <v>110</v>
      </c>
      <c r="D760" s="360"/>
      <c r="E760" s="360"/>
      <c r="F760" s="360"/>
      <c r="G760" s="360"/>
      <c r="H760" s="360"/>
      <c r="I760" s="360"/>
      <c r="J760" s="360"/>
      <c r="K760" s="360"/>
      <c r="L760" s="360"/>
      <c r="M760" s="360"/>
      <c r="N760" s="360"/>
      <c r="O760" s="360"/>
      <c r="P760" s="360"/>
      <c r="Q760" s="360"/>
      <c r="R760" s="360"/>
      <c r="S760" s="360"/>
      <c r="T760" s="360">
        <f>'[1]Cam La'!BN58</f>
        <v>0.06</v>
      </c>
      <c r="U760" s="360"/>
    </row>
    <row r="761" spans="1:21" ht="19.5" customHeight="1">
      <c r="A761" s="360" t="s">
        <v>111</v>
      </c>
      <c r="B761" s="362" t="s">
        <v>112</v>
      </c>
      <c r="C761" s="360" t="s">
        <v>113</v>
      </c>
      <c r="D761" s="360"/>
      <c r="E761" s="360"/>
      <c r="F761" s="360"/>
      <c r="G761" s="360"/>
      <c r="H761" s="360"/>
      <c r="I761" s="360"/>
      <c r="J761" s="360"/>
      <c r="K761" s="360"/>
      <c r="L761" s="360"/>
      <c r="M761" s="360"/>
      <c r="N761" s="360"/>
      <c r="O761" s="360"/>
      <c r="P761" s="360"/>
      <c r="Q761" s="360"/>
      <c r="R761" s="360"/>
      <c r="S761" s="360"/>
      <c r="T761" s="360">
        <f>'[1]Cam La'!BN59</f>
        <v>1.65</v>
      </c>
      <c r="U761" s="360"/>
    </row>
    <row r="762" spans="1:21" ht="19.5" customHeight="1">
      <c r="A762" s="360" t="s">
        <v>114</v>
      </c>
      <c r="B762" s="362" t="s">
        <v>115</v>
      </c>
      <c r="C762" s="360" t="s">
        <v>116</v>
      </c>
      <c r="D762" s="360"/>
      <c r="E762" s="360"/>
      <c r="F762" s="360"/>
      <c r="G762" s="360"/>
      <c r="H762" s="360"/>
      <c r="I762" s="360"/>
      <c r="J762" s="360"/>
      <c r="K762" s="360"/>
      <c r="L762" s="360"/>
      <c r="M762" s="360"/>
      <c r="N762" s="360"/>
      <c r="O762" s="360"/>
      <c r="P762" s="360"/>
      <c r="Q762" s="360"/>
      <c r="R762" s="360"/>
      <c r="S762" s="360"/>
      <c r="T762" s="360"/>
      <c r="U762" s="360"/>
    </row>
    <row r="763" spans="1:21" ht="19.5" customHeight="1">
      <c r="A763" s="360" t="s">
        <v>117</v>
      </c>
      <c r="B763" s="362" t="s">
        <v>118</v>
      </c>
      <c r="C763" s="360" t="s">
        <v>119</v>
      </c>
      <c r="D763" s="360"/>
      <c r="E763" s="360"/>
      <c r="F763" s="360"/>
      <c r="G763" s="360"/>
      <c r="H763" s="360"/>
      <c r="I763" s="360"/>
      <c r="J763" s="360"/>
      <c r="K763" s="360"/>
      <c r="L763" s="360"/>
      <c r="M763" s="360"/>
      <c r="N763" s="360"/>
      <c r="O763" s="360"/>
      <c r="P763" s="360"/>
      <c r="Q763" s="360"/>
      <c r="R763" s="360"/>
      <c r="S763" s="360"/>
      <c r="T763" s="360"/>
      <c r="U763" s="360"/>
    </row>
    <row r="764" spans="1:21" ht="19.5" customHeight="1">
      <c r="A764" s="360" t="s">
        <v>120</v>
      </c>
      <c r="B764" s="362" t="s">
        <v>121</v>
      </c>
      <c r="C764" s="360" t="s">
        <v>122</v>
      </c>
      <c r="D764" s="360"/>
      <c r="E764" s="360"/>
      <c r="F764" s="360"/>
      <c r="G764" s="360"/>
      <c r="H764" s="360"/>
      <c r="I764" s="360"/>
      <c r="J764" s="360"/>
      <c r="K764" s="360"/>
      <c r="L764" s="360"/>
      <c r="M764" s="360"/>
      <c r="N764" s="360"/>
      <c r="O764" s="360"/>
      <c r="P764" s="360"/>
      <c r="Q764" s="360"/>
      <c r="R764" s="360"/>
      <c r="S764" s="360"/>
      <c r="T764" s="360"/>
      <c r="U764" s="360"/>
    </row>
    <row r="765" spans="1:21" ht="19.5" customHeight="1">
      <c r="A765" s="360">
        <v>3</v>
      </c>
      <c r="B765" s="362" t="s">
        <v>123</v>
      </c>
      <c r="C765" s="360" t="s">
        <v>124</v>
      </c>
      <c r="D765" s="360"/>
      <c r="E765" s="360"/>
      <c r="F765" s="360"/>
      <c r="G765" s="360"/>
      <c r="H765" s="360"/>
      <c r="I765" s="360"/>
      <c r="J765" s="360"/>
      <c r="K765" s="360"/>
      <c r="L765" s="360"/>
      <c r="M765" s="360"/>
      <c r="N765" s="360"/>
      <c r="O765" s="360"/>
      <c r="P765" s="360"/>
      <c r="Q765" s="360"/>
      <c r="R765" s="360"/>
      <c r="S765" s="360"/>
      <c r="T765" s="360"/>
      <c r="U765" s="360"/>
    </row>
    <row r="766" spans="1:21" ht="19.5" customHeight="1">
      <c r="A766" s="1355" t="s">
        <v>362</v>
      </c>
      <c r="B766" s="1355"/>
      <c r="C766" s="375"/>
      <c r="D766" s="375"/>
      <c r="E766" s="375"/>
      <c r="F766" s="375"/>
      <c r="G766" s="375"/>
      <c r="H766" s="375"/>
      <c r="I766" s="375"/>
      <c r="J766" s="375"/>
      <c r="K766" s="375"/>
      <c r="L766" s="375"/>
      <c r="M766" s="375"/>
      <c r="N766" s="375"/>
      <c r="O766" s="375"/>
      <c r="P766" s="375"/>
      <c r="Q766" s="375"/>
      <c r="R766" s="375"/>
      <c r="S766" s="375"/>
      <c r="T766" s="375"/>
      <c r="U766" s="375"/>
    </row>
    <row r="767" spans="1:21" ht="19.5" customHeight="1">
      <c r="A767" s="1354" t="s">
        <v>185</v>
      </c>
      <c r="B767" s="1354"/>
      <c r="C767" s="1354"/>
      <c r="D767" s="1354"/>
      <c r="E767" s="1354"/>
      <c r="F767" s="1354"/>
      <c r="G767" s="1354"/>
      <c r="H767" s="1354"/>
      <c r="I767" s="1354"/>
      <c r="J767" s="1354"/>
      <c r="K767" s="1354"/>
      <c r="L767" s="1354"/>
      <c r="M767" s="1354"/>
      <c r="N767" s="1354"/>
      <c r="O767" s="1354"/>
      <c r="P767" s="1354"/>
      <c r="Q767" s="1354"/>
      <c r="R767" s="1354"/>
      <c r="S767" s="1354"/>
      <c r="T767" s="1354"/>
      <c r="U767" s="1354"/>
    </row>
    <row r="768" spans="1:21" ht="19.5" customHeight="1">
      <c r="A768" s="1354" t="s">
        <v>322</v>
      </c>
      <c r="B768" s="1354"/>
      <c r="C768" s="1354"/>
      <c r="D768" s="1354"/>
      <c r="E768" s="1354"/>
      <c r="F768" s="1354"/>
      <c r="G768" s="1354"/>
      <c r="H768" s="1354"/>
      <c r="I768" s="1354"/>
      <c r="J768" s="1354"/>
      <c r="K768" s="1354"/>
      <c r="L768" s="1354"/>
      <c r="M768" s="1354"/>
      <c r="N768" s="1354"/>
      <c r="O768" s="1354"/>
      <c r="P768" s="1354"/>
      <c r="Q768" s="1354"/>
      <c r="R768" s="1354"/>
      <c r="S768" s="1354"/>
      <c r="T768" s="1354"/>
      <c r="U768" s="1354"/>
    </row>
    <row r="769" spans="1:21" ht="19.5" customHeight="1"/>
    <row r="770" spans="1:21" ht="19.5" customHeight="1">
      <c r="A770" s="1356" t="s">
        <v>0</v>
      </c>
      <c r="B770" s="1356" t="s">
        <v>186</v>
      </c>
      <c r="C770" s="1356" t="s">
        <v>13</v>
      </c>
      <c r="D770" s="1356" t="s">
        <v>139</v>
      </c>
      <c r="E770" s="1356"/>
      <c r="F770" s="1356" t="s">
        <v>140</v>
      </c>
      <c r="G770" s="1356"/>
      <c r="H770" s="1356" t="s">
        <v>141</v>
      </c>
      <c r="I770" s="1356"/>
      <c r="J770" s="1356" t="s">
        <v>142</v>
      </c>
      <c r="K770" s="1356"/>
      <c r="L770" s="1356" t="s">
        <v>143</v>
      </c>
      <c r="M770" s="1356"/>
      <c r="N770" s="1356" t="s">
        <v>144</v>
      </c>
      <c r="O770" s="1356"/>
      <c r="P770" s="1356" t="s">
        <v>188</v>
      </c>
      <c r="Q770" s="1356"/>
      <c r="R770" s="1356" t="s">
        <v>145</v>
      </c>
      <c r="S770" s="1356"/>
      <c r="T770" s="1356" t="s">
        <v>146</v>
      </c>
      <c r="U770" s="1356"/>
    </row>
    <row r="771" spans="1:21" ht="51.75" customHeight="1">
      <c r="A771" s="1356"/>
      <c r="B771" s="1356"/>
      <c r="C771" s="1356"/>
      <c r="D771" s="360" t="s">
        <v>137</v>
      </c>
      <c r="E771" s="360" t="s">
        <v>187</v>
      </c>
      <c r="F771" s="360" t="s">
        <v>137</v>
      </c>
      <c r="G771" s="360" t="s">
        <v>187</v>
      </c>
      <c r="H771" s="360" t="s">
        <v>137</v>
      </c>
      <c r="I771" s="360" t="s">
        <v>187</v>
      </c>
      <c r="J771" s="360" t="s">
        <v>137</v>
      </c>
      <c r="K771" s="360" t="s">
        <v>187</v>
      </c>
      <c r="L771" s="360" t="s">
        <v>137</v>
      </c>
      <c r="M771" s="360" t="s">
        <v>187</v>
      </c>
      <c r="N771" s="360" t="s">
        <v>137</v>
      </c>
      <c r="O771" s="360" t="s">
        <v>187</v>
      </c>
      <c r="P771" s="360" t="s">
        <v>137</v>
      </c>
      <c r="Q771" s="360" t="s">
        <v>187</v>
      </c>
      <c r="R771" s="360" t="s">
        <v>137</v>
      </c>
      <c r="S771" s="360" t="s">
        <v>187</v>
      </c>
      <c r="T771" s="360" t="s">
        <v>137</v>
      </c>
      <c r="U771" s="360" t="s">
        <v>187</v>
      </c>
    </row>
    <row r="772" spans="1:21" ht="33.75" customHeight="1">
      <c r="A772" s="360">
        <v>1</v>
      </c>
      <c r="B772" s="362" t="s">
        <v>14</v>
      </c>
      <c r="C772" s="360" t="s">
        <v>15</v>
      </c>
      <c r="D772" s="360">
        <f>D773+D775+D776+D777+D778+D779+D780+D781+D782</f>
        <v>102.5</v>
      </c>
      <c r="E772" s="360">
        <f t="shared" ref="E772:U772" si="70">E773+E775+E776+E777+E778+E779+E780+E781+E782</f>
        <v>0</v>
      </c>
      <c r="F772" s="360">
        <f t="shared" si="70"/>
        <v>0</v>
      </c>
      <c r="G772" s="360">
        <f t="shared" si="70"/>
        <v>0</v>
      </c>
      <c r="H772" s="360">
        <f t="shared" si="70"/>
        <v>867</v>
      </c>
      <c r="I772" s="360">
        <f t="shared" si="70"/>
        <v>0</v>
      </c>
      <c r="J772" s="360">
        <f t="shared" si="70"/>
        <v>0</v>
      </c>
      <c r="K772" s="360">
        <f t="shared" si="70"/>
        <v>0</v>
      </c>
      <c r="L772" s="360">
        <f t="shared" si="70"/>
        <v>0</v>
      </c>
      <c r="M772" s="360">
        <f t="shared" si="70"/>
        <v>0</v>
      </c>
      <c r="N772" s="360">
        <f t="shared" si="70"/>
        <v>0</v>
      </c>
      <c r="O772" s="360">
        <f t="shared" si="70"/>
        <v>0</v>
      </c>
      <c r="P772" s="360">
        <f t="shared" si="70"/>
        <v>0</v>
      </c>
      <c r="Q772" s="360">
        <f t="shared" si="70"/>
        <v>0</v>
      </c>
      <c r="R772" s="360">
        <f t="shared" si="70"/>
        <v>0</v>
      </c>
      <c r="S772" s="360">
        <f t="shared" si="70"/>
        <v>0</v>
      </c>
      <c r="T772" s="360">
        <f t="shared" si="70"/>
        <v>1.2</v>
      </c>
      <c r="U772" s="360">
        <f t="shared" si="70"/>
        <v>0</v>
      </c>
    </row>
    <row r="773" spans="1:21" ht="19.5" customHeight="1">
      <c r="A773" s="360" t="s">
        <v>16</v>
      </c>
      <c r="B773" s="362" t="s">
        <v>17</v>
      </c>
      <c r="C773" s="360" t="s">
        <v>18</v>
      </c>
      <c r="D773" s="360">
        <f t="shared" ref="D773:U773" si="71">D774</f>
        <v>100</v>
      </c>
      <c r="E773" s="360">
        <f t="shared" si="71"/>
        <v>0</v>
      </c>
      <c r="F773" s="360">
        <f t="shared" si="71"/>
        <v>0</v>
      </c>
      <c r="G773" s="360">
        <f t="shared" si="71"/>
        <v>0</v>
      </c>
      <c r="H773" s="360">
        <f t="shared" si="71"/>
        <v>0</v>
      </c>
      <c r="I773" s="360">
        <f t="shared" si="71"/>
        <v>0</v>
      </c>
      <c r="J773" s="360">
        <f t="shared" si="71"/>
        <v>0</v>
      </c>
      <c r="K773" s="360">
        <f t="shared" si="71"/>
        <v>0</v>
      </c>
      <c r="L773" s="360">
        <f t="shared" si="71"/>
        <v>0</v>
      </c>
      <c r="M773" s="360">
        <f t="shared" si="71"/>
        <v>0</v>
      </c>
      <c r="N773" s="360">
        <f t="shared" si="71"/>
        <v>0</v>
      </c>
      <c r="O773" s="360">
        <f t="shared" si="71"/>
        <v>0</v>
      </c>
      <c r="P773" s="360">
        <f t="shared" si="71"/>
        <v>0</v>
      </c>
      <c r="Q773" s="360">
        <f t="shared" si="71"/>
        <v>0</v>
      </c>
      <c r="R773" s="360">
        <f t="shared" si="71"/>
        <v>0</v>
      </c>
      <c r="S773" s="360">
        <f t="shared" si="71"/>
        <v>0</v>
      </c>
      <c r="T773" s="360">
        <f t="shared" si="71"/>
        <v>0</v>
      </c>
      <c r="U773" s="360">
        <f t="shared" si="71"/>
        <v>0</v>
      </c>
    </row>
    <row r="774" spans="1:21" ht="19.5" customHeight="1">
      <c r="A774" s="360"/>
      <c r="B774" s="362" t="s">
        <v>19</v>
      </c>
      <c r="C774" s="360" t="s">
        <v>20</v>
      </c>
      <c r="D774" s="360">
        <v>100</v>
      </c>
      <c r="E774" s="360"/>
      <c r="F774" s="360"/>
      <c r="G774" s="360"/>
      <c r="H774" s="360"/>
      <c r="I774" s="360"/>
      <c r="J774" s="360"/>
      <c r="K774" s="360"/>
      <c r="L774" s="360"/>
      <c r="M774" s="360"/>
      <c r="N774" s="360"/>
      <c r="O774" s="360"/>
      <c r="P774" s="360"/>
      <c r="Q774" s="360"/>
      <c r="R774" s="360"/>
      <c r="S774" s="360"/>
      <c r="T774" s="360"/>
      <c r="U774" s="360"/>
    </row>
    <row r="775" spans="1:21" ht="19.5" customHeight="1">
      <c r="A775" s="360" t="s">
        <v>21</v>
      </c>
      <c r="B775" s="362" t="s">
        <v>22</v>
      </c>
      <c r="C775" s="360" t="s">
        <v>23</v>
      </c>
      <c r="D775" s="360"/>
      <c r="E775" s="360"/>
      <c r="F775" s="360"/>
      <c r="G775" s="360"/>
      <c r="H775" s="360"/>
      <c r="I775" s="360"/>
      <c r="J775" s="360"/>
      <c r="K775" s="360"/>
      <c r="L775" s="360"/>
      <c r="M775" s="360"/>
      <c r="N775" s="360"/>
      <c r="O775" s="360"/>
      <c r="P775" s="360"/>
      <c r="Q775" s="360"/>
      <c r="R775" s="360"/>
      <c r="S775" s="360"/>
      <c r="T775" s="360"/>
      <c r="U775" s="360"/>
    </row>
    <row r="776" spans="1:21" ht="19.5" customHeight="1">
      <c r="A776" s="360" t="s">
        <v>24</v>
      </c>
      <c r="B776" s="362" t="s">
        <v>25</v>
      </c>
      <c r="C776" s="360" t="s">
        <v>26</v>
      </c>
      <c r="D776" s="360"/>
      <c r="E776" s="360"/>
      <c r="F776" s="360"/>
      <c r="G776" s="360"/>
      <c r="H776" s="360"/>
      <c r="I776" s="360"/>
      <c r="J776" s="360"/>
      <c r="K776" s="360"/>
      <c r="L776" s="360"/>
      <c r="M776" s="360"/>
      <c r="N776" s="360"/>
      <c r="O776" s="360"/>
      <c r="P776" s="360"/>
      <c r="Q776" s="360"/>
      <c r="R776" s="360"/>
      <c r="S776" s="360"/>
      <c r="T776" s="360">
        <v>1.2</v>
      </c>
      <c r="U776" s="360"/>
    </row>
    <row r="777" spans="1:21" ht="19.5" customHeight="1">
      <c r="A777" s="360" t="s">
        <v>27</v>
      </c>
      <c r="B777" s="362" t="s">
        <v>28</v>
      </c>
      <c r="C777" s="360" t="s">
        <v>29</v>
      </c>
      <c r="D777" s="360"/>
      <c r="E777" s="360"/>
      <c r="F777" s="360"/>
      <c r="G777" s="360"/>
      <c r="H777" s="360">
        <v>867</v>
      </c>
      <c r="I777" s="360"/>
      <c r="J777" s="360"/>
      <c r="K777" s="360"/>
      <c r="L777" s="360"/>
      <c r="M777" s="360"/>
      <c r="N777" s="360"/>
      <c r="O777" s="360"/>
      <c r="P777" s="360"/>
      <c r="Q777" s="360"/>
      <c r="R777" s="360"/>
      <c r="S777" s="360"/>
      <c r="T777" s="360"/>
      <c r="U777" s="360"/>
    </row>
    <row r="778" spans="1:21" ht="19.5" customHeight="1">
      <c r="A778" s="360" t="s">
        <v>30</v>
      </c>
      <c r="B778" s="362" t="s">
        <v>31</v>
      </c>
      <c r="C778" s="360" t="s">
        <v>32</v>
      </c>
      <c r="D778" s="360"/>
      <c r="E778" s="360"/>
      <c r="F778" s="360"/>
      <c r="G778" s="360"/>
      <c r="H778" s="360"/>
      <c r="I778" s="360"/>
      <c r="J778" s="360"/>
      <c r="K778" s="360"/>
      <c r="L778" s="360"/>
      <c r="M778" s="360"/>
      <c r="N778" s="360"/>
      <c r="O778" s="360"/>
      <c r="P778" s="360"/>
      <c r="Q778" s="360"/>
      <c r="R778" s="360"/>
      <c r="S778" s="360"/>
      <c r="T778" s="360"/>
      <c r="U778" s="360"/>
    </row>
    <row r="779" spans="1:21" ht="19.5" customHeight="1">
      <c r="A779" s="360" t="s">
        <v>33</v>
      </c>
      <c r="B779" s="362" t="s">
        <v>34</v>
      </c>
      <c r="C779" s="360" t="s">
        <v>35</v>
      </c>
      <c r="D779" s="360"/>
      <c r="E779" s="360"/>
      <c r="F779" s="360"/>
      <c r="G779" s="360"/>
      <c r="H779" s="360"/>
      <c r="I779" s="360"/>
      <c r="J779" s="360"/>
      <c r="K779" s="360"/>
      <c r="L779" s="360"/>
      <c r="M779" s="360"/>
      <c r="N779" s="360"/>
      <c r="O779" s="360"/>
      <c r="P779" s="360"/>
      <c r="Q779" s="360"/>
      <c r="R779" s="360"/>
      <c r="S779" s="360"/>
      <c r="T779" s="360"/>
      <c r="U779" s="360"/>
    </row>
    <row r="780" spans="1:21" ht="19.5" customHeight="1">
      <c r="A780" s="360" t="s">
        <v>36</v>
      </c>
      <c r="B780" s="362" t="s">
        <v>37</v>
      </c>
      <c r="C780" s="360" t="s">
        <v>38</v>
      </c>
      <c r="D780" s="360">
        <v>2.5</v>
      </c>
      <c r="E780" s="360"/>
      <c r="F780" s="360"/>
      <c r="G780" s="360"/>
      <c r="H780" s="360"/>
      <c r="I780" s="360"/>
      <c r="J780" s="360"/>
      <c r="K780" s="360"/>
      <c r="L780" s="360"/>
      <c r="M780" s="360"/>
      <c r="N780" s="360"/>
      <c r="O780" s="360"/>
      <c r="P780" s="360"/>
      <c r="Q780" s="360"/>
      <c r="R780" s="360"/>
      <c r="S780" s="360"/>
      <c r="T780" s="360"/>
      <c r="U780" s="360"/>
    </row>
    <row r="781" spans="1:21" ht="19.5" customHeight="1">
      <c r="A781" s="360" t="s">
        <v>39</v>
      </c>
      <c r="B781" s="362" t="s">
        <v>40</v>
      </c>
      <c r="C781" s="360" t="s">
        <v>41</v>
      </c>
      <c r="D781" s="360"/>
      <c r="E781" s="360"/>
      <c r="F781" s="360"/>
      <c r="G781" s="360"/>
      <c r="H781" s="360"/>
      <c r="I781" s="360"/>
      <c r="J781" s="360"/>
      <c r="K781" s="360"/>
      <c r="L781" s="360"/>
      <c r="M781" s="360"/>
      <c r="N781" s="360"/>
      <c r="O781" s="360"/>
      <c r="P781" s="360"/>
      <c r="Q781" s="360"/>
      <c r="R781" s="360"/>
      <c r="S781" s="360"/>
      <c r="T781" s="360"/>
      <c r="U781" s="360"/>
    </row>
    <row r="782" spans="1:21" ht="19.5" customHeight="1">
      <c r="A782" s="360">
        <v>2</v>
      </c>
      <c r="B782" s="362" t="s">
        <v>43</v>
      </c>
      <c r="C782" s="360" t="s">
        <v>44</v>
      </c>
      <c r="D782" s="360"/>
      <c r="E782" s="360"/>
      <c r="F782" s="360"/>
      <c r="G782" s="360"/>
      <c r="H782" s="360"/>
      <c r="I782" s="360"/>
      <c r="J782" s="360"/>
      <c r="K782" s="360"/>
      <c r="L782" s="360"/>
      <c r="M782" s="360"/>
      <c r="N782" s="360"/>
      <c r="O782" s="360"/>
      <c r="P782" s="360"/>
      <c r="Q782" s="360"/>
      <c r="R782" s="360"/>
      <c r="S782" s="360"/>
      <c r="T782" s="360"/>
      <c r="U782" s="360"/>
    </row>
    <row r="783" spans="1:21" ht="19.5" customHeight="1">
      <c r="A783" s="360">
        <v>2</v>
      </c>
      <c r="B783" s="362" t="s">
        <v>45</v>
      </c>
      <c r="C783" s="360" t="s">
        <v>46</v>
      </c>
      <c r="D783" s="360">
        <f>SUM(D784:D809)</f>
        <v>5.6</v>
      </c>
      <c r="E783" s="360">
        <f t="shared" ref="E783:U783" si="72">SUM(E784:E809)</f>
        <v>0</v>
      </c>
      <c r="F783" s="360">
        <f t="shared" si="72"/>
        <v>0</v>
      </c>
      <c r="G783" s="360">
        <f t="shared" si="72"/>
        <v>0</v>
      </c>
      <c r="H783" s="360">
        <f t="shared" si="72"/>
        <v>0</v>
      </c>
      <c r="I783" s="360">
        <f t="shared" si="72"/>
        <v>0</v>
      </c>
      <c r="J783" s="360">
        <f t="shared" si="72"/>
        <v>0</v>
      </c>
      <c r="K783" s="360">
        <f t="shared" si="72"/>
        <v>0</v>
      </c>
      <c r="L783" s="360">
        <f t="shared" si="72"/>
        <v>0</v>
      </c>
      <c r="M783" s="360">
        <f t="shared" si="72"/>
        <v>0</v>
      </c>
      <c r="N783" s="360">
        <f t="shared" si="72"/>
        <v>0</v>
      </c>
      <c r="O783" s="360">
        <f t="shared" si="72"/>
        <v>0</v>
      </c>
      <c r="P783" s="360">
        <f t="shared" si="72"/>
        <v>137.28</v>
      </c>
      <c r="Q783" s="360">
        <f t="shared" si="72"/>
        <v>0</v>
      </c>
      <c r="R783" s="360">
        <f t="shared" si="72"/>
        <v>0</v>
      </c>
      <c r="S783" s="360">
        <f t="shared" si="72"/>
        <v>0</v>
      </c>
      <c r="T783" s="360">
        <f t="shared" si="72"/>
        <v>293.2</v>
      </c>
      <c r="U783" s="360">
        <f t="shared" si="72"/>
        <v>0</v>
      </c>
    </row>
    <row r="784" spans="1:21" ht="19.5" customHeight="1">
      <c r="A784" s="360" t="s">
        <v>47</v>
      </c>
      <c r="B784" s="362" t="s">
        <v>48</v>
      </c>
      <c r="C784" s="360" t="s">
        <v>49</v>
      </c>
      <c r="D784" s="360"/>
      <c r="E784" s="360"/>
      <c r="F784" s="360"/>
      <c r="G784" s="360"/>
      <c r="H784" s="360"/>
      <c r="I784" s="360"/>
      <c r="J784" s="360"/>
      <c r="K784" s="360"/>
      <c r="L784" s="360"/>
      <c r="M784" s="360"/>
      <c r="N784" s="360"/>
      <c r="O784" s="360"/>
      <c r="P784" s="360"/>
      <c r="Q784" s="360"/>
      <c r="R784" s="360"/>
      <c r="S784" s="360"/>
      <c r="T784" s="360"/>
      <c r="U784" s="360"/>
    </row>
    <row r="785" spans="1:21" ht="19.5" customHeight="1">
      <c r="A785" s="360" t="s">
        <v>50</v>
      </c>
      <c r="B785" s="362" t="s">
        <v>51</v>
      </c>
      <c r="C785" s="360" t="s">
        <v>52</v>
      </c>
      <c r="D785" s="360"/>
      <c r="E785" s="360"/>
      <c r="F785" s="360"/>
      <c r="G785" s="360"/>
      <c r="H785" s="360"/>
      <c r="I785" s="360"/>
      <c r="J785" s="360"/>
      <c r="K785" s="360"/>
      <c r="L785" s="360"/>
      <c r="M785" s="360"/>
      <c r="N785" s="360"/>
      <c r="O785" s="360"/>
      <c r="P785" s="360"/>
      <c r="Q785" s="360"/>
      <c r="R785" s="360"/>
      <c r="S785" s="360"/>
      <c r="T785" s="360"/>
      <c r="U785" s="360"/>
    </row>
    <row r="786" spans="1:21" ht="19.5" customHeight="1">
      <c r="A786" s="360" t="s">
        <v>53</v>
      </c>
      <c r="B786" s="362" t="s">
        <v>54</v>
      </c>
      <c r="C786" s="360" t="s">
        <v>55</v>
      </c>
      <c r="D786" s="360"/>
      <c r="E786" s="360"/>
      <c r="F786" s="360"/>
      <c r="G786" s="360"/>
      <c r="H786" s="360"/>
      <c r="I786" s="360"/>
      <c r="J786" s="360"/>
      <c r="K786" s="360"/>
      <c r="L786" s="360"/>
      <c r="M786" s="360"/>
      <c r="N786" s="360"/>
      <c r="O786" s="360"/>
      <c r="P786" s="360"/>
      <c r="Q786" s="360"/>
      <c r="R786" s="360"/>
      <c r="S786" s="360"/>
      <c r="T786" s="360"/>
      <c r="U786" s="360"/>
    </row>
    <row r="787" spans="1:21" ht="19.5" customHeight="1">
      <c r="A787" s="360" t="s">
        <v>56</v>
      </c>
      <c r="B787" s="362" t="s">
        <v>57</v>
      </c>
      <c r="C787" s="360" t="s">
        <v>58</v>
      </c>
      <c r="D787" s="360"/>
      <c r="E787" s="360"/>
      <c r="F787" s="360"/>
      <c r="G787" s="360"/>
      <c r="H787" s="360"/>
      <c r="I787" s="360"/>
      <c r="J787" s="360"/>
      <c r="K787" s="360"/>
      <c r="L787" s="360"/>
      <c r="M787" s="360"/>
      <c r="N787" s="360"/>
      <c r="O787" s="360"/>
      <c r="P787" s="360"/>
      <c r="Q787" s="360"/>
      <c r="R787" s="360"/>
      <c r="S787" s="360"/>
      <c r="T787" s="360"/>
      <c r="U787" s="360"/>
    </row>
    <row r="788" spans="1:21" ht="19.5" customHeight="1">
      <c r="A788" s="360" t="s">
        <v>59</v>
      </c>
      <c r="B788" s="362" t="s">
        <v>60</v>
      </c>
      <c r="C788" s="360" t="s">
        <v>61</v>
      </c>
      <c r="D788" s="360"/>
      <c r="E788" s="360"/>
      <c r="F788" s="360"/>
      <c r="G788" s="360"/>
      <c r="H788" s="360"/>
      <c r="I788" s="360"/>
      <c r="J788" s="360"/>
      <c r="K788" s="360"/>
      <c r="L788" s="360"/>
      <c r="M788" s="360"/>
      <c r="N788" s="360"/>
      <c r="O788" s="360"/>
      <c r="P788" s="360"/>
      <c r="Q788" s="360"/>
      <c r="R788" s="360"/>
      <c r="S788" s="360"/>
      <c r="T788" s="360"/>
      <c r="U788" s="360"/>
    </row>
    <row r="789" spans="1:21" ht="19.5" customHeight="1">
      <c r="A789" s="360" t="s">
        <v>62</v>
      </c>
      <c r="B789" s="362" t="s">
        <v>63</v>
      </c>
      <c r="C789" s="360" t="s">
        <v>64</v>
      </c>
      <c r="D789" s="360"/>
      <c r="E789" s="360"/>
      <c r="F789" s="360"/>
      <c r="G789" s="360"/>
      <c r="H789" s="360"/>
      <c r="I789" s="360"/>
      <c r="J789" s="360"/>
      <c r="K789" s="360"/>
      <c r="L789" s="360"/>
      <c r="M789" s="360"/>
      <c r="N789" s="360"/>
      <c r="O789" s="360"/>
      <c r="P789" s="360">
        <v>14.26</v>
      </c>
      <c r="Q789" s="360"/>
      <c r="R789" s="360"/>
      <c r="S789" s="360"/>
      <c r="T789" s="360"/>
      <c r="U789" s="360"/>
    </row>
    <row r="790" spans="1:21" ht="19.5" customHeight="1">
      <c r="A790" s="360" t="s">
        <v>65</v>
      </c>
      <c r="B790" s="362" t="s">
        <v>66</v>
      </c>
      <c r="C790" s="360" t="s">
        <v>67</v>
      </c>
      <c r="D790" s="360"/>
      <c r="E790" s="360"/>
      <c r="F790" s="360"/>
      <c r="G790" s="360"/>
      <c r="H790" s="360"/>
      <c r="I790" s="360"/>
      <c r="J790" s="360"/>
      <c r="K790" s="360"/>
      <c r="L790" s="360"/>
      <c r="M790" s="360"/>
      <c r="N790" s="360"/>
      <c r="O790" s="360"/>
      <c r="P790" s="360"/>
      <c r="Q790" s="360"/>
      <c r="R790" s="360"/>
      <c r="S790" s="360"/>
      <c r="T790" s="360">
        <f>'[1]Lien Hoa'!BN32</f>
        <v>184.25</v>
      </c>
      <c r="U790" s="360"/>
    </row>
    <row r="791" spans="1:21" ht="19.5" customHeight="1">
      <c r="A791" s="360" t="s">
        <v>68</v>
      </c>
      <c r="B791" s="362" t="s">
        <v>69</v>
      </c>
      <c r="C791" s="360" t="s">
        <v>70</v>
      </c>
      <c r="D791" s="360"/>
      <c r="E791" s="360"/>
      <c r="F791" s="360"/>
      <c r="G791" s="360"/>
      <c r="H791" s="360"/>
      <c r="I791" s="360"/>
      <c r="J791" s="360"/>
      <c r="K791" s="360"/>
      <c r="L791" s="360"/>
      <c r="M791" s="360"/>
      <c r="N791" s="360"/>
      <c r="O791" s="360"/>
      <c r="P791" s="360"/>
      <c r="Q791" s="360"/>
      <c r="R791" s="360"/>
      <c r="S791" s="360"/>
      <c r="T791" s="360"/>
      <c r="U791" s="360"/>
    </row>
    <row r="792" spans="1:21" ht="33" customHeight="1">
      <c r="A792" s="360" t="s">
        <v>71</v>
      </c>
      <c r="B792" s="362" t="s">
        <v>135</v>
      </c>
      <c r="C792" s="360" t="s">
        <v>72</v>
      </c>
      <c r="D792" s="360">
        <v>5.6</v>
      </c>
      <c r="E792" s="360"/>
      <c r="F792" s="360"/>
      <c r="G792" s="360"/>
      <c r="H792" s="360"/>
      <c r="I792" s="360"/>
      <c r="J792" s="360"/>
      <c r="K792" s="360"/>
      <c r="L792" s="360"/>
      <c r="M792" s="360"/>
      <c r="N792" s="360"/>
      <c r="O792" s="360"/>
      <c r="P792" s="360">
        <f>55.23+3.64</f>
        <v>58.87</v>
      </c>
      <c r="Q792" s="360"/>
      <c r="R792" s="360"/>
      <c r="S792" s="360"/>
      <c r="T792" s="360">
        <v>56.2</v>
      </c>
      <c r="U792" s="360"/>
    </row>
    <row r="793" spans="1:21" ht="35.25" customHeight="1">
      <c r="A793" s="360" t="s">
        <v>73</v>
      </c>
      <c r="B793" s="362" t="s">
        <v>74</v>
      </c>
      <c r="C793" s="360" t="s">
        <v>75</v>
      </c>
      <c r="D793" s="360"/>
      <c r="E793" s="360"/>
      <c r="F793" s="360"/>
      <c r="G793" s="360"/>
      <c r="H793" s="360"/>
      <c r="I793" s="360"/>
      <c r="J793" s="360"/>
      <c r="K793" s="360"/>
      <c r="L793" s="360"/>
      <c r="M793" s="360"/>
      <c r="N793" s="360"/>
      <c r="O793" s="360"/>
      <c r="P793" s="360"/>
      <c r="Q793" s="360"/>
      <c r="R793" s="360"/>
      <c r="S793" s="360"/>
      <c r="T793" s="360">
        <f>'[1]Lien Hoa'!BN46</f>
        <v>0</v>
      </c>
      <c r="U793" s="360"/>
    </row>
    <row r="794" spans="1:21" ht="19.5" customHeight="1">
      <c r="A794" s="360" t="s">
        <v>76</v>
      </c>
      <c r="B794" s="362" t="s">
        <v>77</v>
      </c>
      <c r="C794" s="360" t="s">
        <v>78</v>
      </c>
      <c r="D794" s="360"/>
      <c r="E794" s="360"/>
      <c r="F794" s="360"/>
      <c r="G794" s="360"/>
      <c r="H794" s="360"/>
      <c r="I794" s="360"/>
      <c r="J794" s="360"/>
      <c r="K794" s="360"/>
      <c r="L794" s="360"/>
      <c r="M794" s="360"/>
      <c r="N794" s="360"/>
      <c r="O794" s="360"/>
      <c r="P794" s="360"/>
      <c r="Q794" s="360"/>
      <c r="R794" s="360"/>
      <c r="S794" s="360"/>
      <c r="T794" s="360"/>
      <c r="U794" s="360"/>
    </row>
    <row r="795" spans="1:21" ht="19.5" customHeight="1">
      <c r="A795" s="360" t="s">
        <v>79</v>
      </c>
      <c r="B795" s="362" t="s">
        <v>80</v>
      </c>
      <c r="C795" s="360" t="s">
        <v>81</v>
      </c>
      <c r="D795" s="360"/>
      <c r="E795" s="360"/>
      <c r="F795" s="360"/>
      <c r="G795" s="360"/>
      <c r="H795" s="360"/>
      <c r="I795" s="360"/>
      <c r="J795" s="360"/>
      <c r="K795" s="360"/>
      <c r="L795" s="360"/>
      <c r="M795" s="360"/>
      <c r="N795" s="360"/>
      <c r="O795" s="360"/>
      <c r="P795" s="360"/>
      <c r="Q795" s="360"/>
      <c r="R795" s="360"/>
      <c r="S795" s="360"/>
      <c r="T795" s="360"/>
      <c r="U795" s="360"/>
    </row>
    <row r="796" spans="1:21" ht="19.5" customHeight="1">
      <c r="A796" s="360" t="s">
        <v>82</v>
      </c>
      <c r="B796" s="362" t="s">
        <v>83</v>
      </c>
      <c r="C796" s="360" t="s">
        <v>84</v>
      </c>
      <c r="D796" s="360"/>
      <c r="E796" s="360"/>
      <c r="F796" s="360"/>
      <c r="G796" s="360"/>
      <c r="H796" s="360"/>
      <c r="I796" s="360"/>
      <c r="J796" s="360"/>
      <c r="K796" s="360"/>
      <c r="L796" s="360"/>
      <c r="M796" s="360"/>
      <c r="N796" s="360"/>
      <c r="O796" s="360"/>
      <c r="P796" s="360">
        <v>44.65</v>
      </c>
      <c r="Q796" s="360"/>
      <c r="R796" s="360"/>
      <c r="S796" s="360"/>
      <c r="T796" s="360">
        <f>'[1]Lien Hoa'!BN49</f>
        <v>48.06</v>
      </c>
      <c r="U796" s="360"/>
    </row>
    <row r="797" spans="1:21" ht="19.5" customHeight="1">
      <c r="A797" s="360" t="s">
        <v>85</v>
      </c>
      <c r="B797" s="362" t="s">
        <v>86</v>
      </c>
      <c r="C797" s="360" t="s">
        <v>87</v>
      </c>
      <c r="D797" s="360"/>
      <c r="E797" s="360"/>
      <c r="F797" s="360"/>
      <c r="G797" s="360"/>
      <c r="H797" s="360"/>
      <c r="I797" s="360"/>
      <c r="J797" s="360"/>
      <c r="K797" s="360"/>
      <c r="L797" s="360"/>
      <c r="M797" s="360"/>
      <c r="N797" s="360"/>
      <c r="O797" s="360"/>
      <c r="P797" s="360"/>
      <c r="Q797" s="360"/>
      <c r="R797" s="360"/>
      <c r="S797" s="360"/>
      <c r="T797" s="360">
        <f>'[1]Lien Hoa'!BN50</f>
        <v>0</v>
      </c>
      <c r="U797" s="360"/>
    </row>
    <row r="798" spans="1:21" ht="19.5" customHeight="1">
      <c r="A798" s="360" t="s">
        <v>88</v>
      </c>
      <c r="B798" s="362" t="s">
        <v>89</v>
      </c>
      <c r="C798" s="360" t="s">
        <v>90</v>
      </c>
      <c r="D798" s="360"/>
      <c r="E798" s="360"/>
      <c r="F798" s="360"/>
      <c r="G798" s="360"/>
      <c r="H798" s="360"/>
      <c r="I798" s="360"/>
      <c r="J798" s="360"/>
      <c r="K798" s="360"/>
      <c r="L798" s="360"/>
      <c r="M798" s="360"/>
      <c r="N798" s="360"/>
      <c r="O798" s="360"/>
      <c r="P798" s="360"/>
      <c r="Q798" s="360"/>
      <c r="R798" s="360"/>
      <c r="S798" s="360"/>
      <c r="T798" s="360">
        <f>'[1]Lien Hoa'!BN51</f>
        <v>0.26</v>
      </c>
      <c r="U798" s="360"/>
    </row>
    <row r="799" spans="1:21" ht="19.5" customHeight="1">
      <c r="A799" s="360" t="s">
        <v>91</v>
      </c>
      <c r="B799" s="362" t="s">
        <v>92</v>
      </c>
      <c r="C799" s="360" t="s">
        <v>93</v>
      </c>
      <c r="D799" s="360"/>
      <c r="E799" s="360"/>
      <c r="F799" s="360"/>
      <c r="G799" s="360"/>
      <c r="H799" s="360"/>
      <c r="I799" s="360"/>
      <c r="J799" s="360"/>
      <c r="K799" s="360"/>
      <c r="L799" s="360"/>
      <c r="M799" s="360"/>
      <c r="N799" s="360"/>
      <c r="O799" s="360"/>
      <c r="P799" s="360"/>
      <c r="Q799" s="360"/>
      <c r="R799" s="360"/>
      <c r="S799" s="360"/>
      <c r="T799" s="360">
        <f>'[1]Lien Hoa'!BN52</f>
        <v>0</v>
      </c>
      <c r="U799" s="360"/>
    </row>
    <row r="800" spans="1:21" ht="19.5" customHeight="1">
      <c r="A800" s="360" t="s">
        <v>94</v>
      </c>
      <c r="B800" s="362" t="s">
        <v>95</v>
      </c>
      <c r="C800" s="360" t="s">
        <v>96</v>
      </c>
      <c r="D800" s="360"/>
      <c r="E800" s="360"/>
      <c r="F800" s="360"/>
      <c r="G800" s="360"/>
      <c r="H800" s="360"/>
      <c r="I800" s="360"/>
      <c r="J800" s="360"/>
      <c r="K800" s="360"/>
      <c r="L800" s="360"/>
      <c r="M800" s="360"/>
      <c r="N800" s="360"/>
      <c r="O800" s="360"/>
      <c r="P800" s="360"/>
      <c r="Q800" s="360"/>
      <c r="R800" s="360"/>
      <c r="S800" s="360"/>
      <c r="T800" s="360">
        <f>'[1]Lien Hoa'!BN53</f>
        <v>0</v>
      </c>
      <c r="U800" s="360"/>
    </row>
    <row r="801" spans="1:21" ht="19.5" customHeight="1">
      <c r="A801" s="360" t="s">
        <v>97</v>
      </c>
      <c r="B801" s="362" t="s">
        <v>98</v>
      </c>
      <c r="C801" s="360" t="s">
        <v>99</v>
      </c>
      <c r="D801" s="360"/>
      <c r="E801" s="360"/>
      <c r="F801" s="360"/>
      <c r="G801" s="360"/>
      <c r="H801" s="360"/>
      <c r="I801" s="360"/>
      <c r="J801" s="360"/>
      <c r="K801" s="360"/>
      <c r="L801" s="360"/>
      <c r="M801" s="360"/>
      <c r="N801" s="360"/>
      <c r="O801" s="360"/>
      <c r="P801" s="360"/>
      <c r="Q801" s="360"/>
      <c r="R801" s="360"/>
      <c r="S801" s="360"/>
      <c r="T801" s="360">
        <f>'[1]Lien Hoa'!BN54</f>
        <v>0.76</v>
      </c>
      <c r="U801" s="360"/>
    </row>
    <row r="802" spans="1:21" ht="19.5" customHeight="1">
      <c r="A802" s="360" t="s">
        <v>100</v>
      </c>
      <c r="B802" s="362" t="s">
        <v>134</v>
      </c>
      <c r="C802" s="360" t="s">
        <v>101</v>
      </c>
      <c r="D802" s="360"/>
      <c r="E802" s="360"/>
      <c r="F802" s="360"/>
      <c r="G802" s="360"/>
      <c r="H802" s="360"/>
      <c r="I802" s="360"/>
      <c r="J802" s="360"/>
      <c r="K802" s="360"/>
      <c r="L802" s="360"/>
      <c r="M802" s="360"/>
      <c r="N802" s="360"/>
      <c r="O802" s="360"/>
      <c r="P802" s="360"/>
      <c r="Q802" s="360"/>
      <c r="R802" s="360"/>
      <c r="S802" s="360"/>
      <c r="T802" s="360"/>
      <c r="U802" s="360"/>
    </row>
    <row r="803" spans="1:21" ht="28.5" customHeight="1">
      <c r="A803" s="360" t="s">
        <v>102</v>
      </c>
      <c r="B803" s="362" t="s">
        <v>103</v>
      </c>
      <c r="C803" s="360" t="s">
        <v>104</v>
      </c>
      <c r="D803" s="360"/>
      <c r="E803" s="360"/>
      <c r="F803" s="360"/>
      <c r="G803" s="360"/>
      <c r="H803" s="360"/>
      <c r="I803" s="360"/>
      <c r="J803" s="360"/>
      <c r="K803" s="360"/>
      <c r="L803" s="360"/>
      <c r="M803" s="360"/>
      <c r="N803" s="360"/>
      <c r="O803" s="360"/>
      <c r="P803" s="360"/>
      <c r="Q803" s="360"/>
      <c r="R803" s="360"/>
      <c r="S803" s="360"/>
      <c r="T803" s="360"/>
      <c r="U803" s="360"/>
    </row>
    <row r="804" spans="1:21" ht="19.5" customHeight="1">
      <c r="A804" s="360" t="s">
        <v>105</v>
      </c>
      <c r="B804" s="362" t="s">
        <v>106</v>
      </c>
      <c r="C804" s="360" t="s">
        <v>107</v>
      </c>
      <c r="D804" s="360"/>
      <c r="E804" s="360"/>
      <c r="F804" s="360"/>
      <c r="G804" s="360"/>
      <c r="H804" s="360"/>
      <c r="I804" s="360"/>
      <c r="J804" s="360"/>
      <c r="K804" s="360"/>
      <c r="L804" s="360"/>
      <c r="M804" s="360"/>
      <c r="N804" s="360"/>
      <c r="O804" s="360"/>
      <c r="P804" s="360"/>
      <c r="Q804" s="360"/>
      <c r="R804" s="360"/>
      <c r="S804" s="360"/>
      <c r="T804" s="360">
        <f>'[1]Lien Hoa'!BN57</f>
        <v>0.27</v>
      </c>
      <c r="U804" s="360"/>
    </row>
    <row r="805" spans="1:21" ht="19.5" customHeight="1">
      <c r="A805" s="360" t="s">
        <v>108</v>
      </c>
      <c r="B805" s="362" t="s">
        <v>109</v>
      </c>
      <c r="C805" s="360" t="s">
        <v>110</v>
      </c>
      <c r="D805" s="360"/>
      <c r="E805" s="360"/>
      <c r="F805" s="360"/>
      <c r="G805" s="360"/>
      <c r="H805" s="360"/>
      <c r="I805" s="360"/>
      <c r="J805" s="360"/>
      <c r="K805" s="360"/>
      <c r="L805" s="360"/>
      <c r="M805" s="360"/>
      <c r="N805" s="360"/>
      <c r="O805" s="360"/>
      <c r="P805" s="360">
        <f>7.7+11.8</f>
        <v>19.5</v>
      </c>
      <c r="Q805" s="360"/>
      <c r="R805" s="360"/>
      <c r="S805" s="360"/>
      <c r="T805" s="360">
        <f>'[1]Lien Hoa'!BN58</f>
        <v>0.61</v>
      </c>
      <c r="U805" s="360"/>
    </row>
    <row r="806" spans="1:21" ht="19.5" customHeight="1">
      <c r="A806" s="360" t="s">
        <v>111</v>
      </c>
      <c r="B806" s="362" t="s">
        <v>112</v>
      </c>
      <c r="C806" s="360" t="s">
        <v>113</v>
      </c>
      <c r="D806" s="360"/>
      <c r="E806" s="360"/>
      <c r="F806" s="360"/>
      <c r="G806" s="360"/>
      <c r="H806" s="360"/>
      <c r="I806" s="360"/>
      <c r="J806" s="360"/>
      <c r="K806" s="360"/>
      <c r="L806" s="360"/>
      <c r="M806" s="360"/>
      <c r="N806" s="360"/>
      <c r="O806" s="360"/>
      <c r="P806" s="360"/>
      <c r="Q806" s="360"/>
      <c r="R806" s="360"/>
      <c r="S806" s="360"/>
      <c r="T806" s="360">
        <f>'[1]Lien Hoa'!BN59</f>
        <v>2.79</v>
      </c>
      <c r="U806" s="360"/>
    </row>
    <row r="807" spans="1:21" ht="19.5" customHeight="1">
      <c r="A807" s="360" t="s">
        <v>114</v>
      </c>
      <c r="B807" s="362" t="s">
        <v>115</v>
      </c>
      <c r="C807" s="360" t="s">
        <v>116</v>
      </c>
      <c r="D807" s="360"/>
      <c r="E807" s="360"/>
      <c r="F807" s="360"/>
      <c r="G807" s="360"/>
      <c r="H807" s="360"/>
      <c r="I807" s="360"/>
      <c r="J807" s="360"/>
      <c r="K807" s="360"/>
      <c r="L807" s="360"/>
      <c r="M807" s="360"/>
      <c r="N807" s="360"/>
      <c r="O807" s="360"/>
      <c r="P807" s="360"/>
      <c r="Q807" s="360"/>
      <c r="R807" s="360"/>
      <c r="S807" s="360"/>
      <c r="T807" s="360"/>
      <c r="U807" s="360"/>
    </row>
    <row r="808" spans="1:21" ht="19.5" customHeight="1">
      <c r="A808" s="360" t="s">
        <v>117</v>
      </c>
      <c r="B808" s="362" t="s">
        <v>118</v>
      </c>
      <c r="C808" s="360" t="s">
        <v>119</v>
      </c>
      <c r="D808" s="360"/>
      <c r="E808" s="360"/>
      <c r="F808" s="360"/>
      <c r="G808" s="360"/>
      <c r="H808" s="360"/>
      <c r="I808" s="360"/>
      <c r="J808" s="360"/>
      <c r="K808" s="360"/>
      <c r="L808" s="360"/>
      <c r="M808" s="360"/>
      <c r="N808" s="360"/>
      <c r="O808" s="360"/>
      <c r="P808" s="360"/>
      <c r="Q808" s="360"/>
      <c r="R808" s="360"/>
      <c r="S808" s="360"/>
      <c r="T808" s="360"/>
      <c r="U808" s="360"/>
    </row>
    <row r="809" spans="1:21" ht="19.5" customHeight="1">
      <c r="A809" s="360" t="s">
        <v>120</v>
      </c>
      <c r="B809" s="362" t="s">
        <v>121</v>
      </c>
      <c r="C809" s="360" t="s">
        <v>122</v>
      </c>
      <c r="D809" s="360"/>
      <c r="E809" s="360"/>
      <c r="F809" s="360"/>
      <c r="G809" s="360"/>
      <c r="H809" s="360"/>
      <c r="I809" s="360"/>
      <c r="J809" s="360"/>
      <c r="K809" s="360"/>
      <c r="L809" s="360"/>
      <c r="M809" s="360"/>
      <c r="N809" s="360"/>
      <c r="O809" s="360"/>
      <c r="P809" s="360"/>
      <c r="Q809" s="360"/>
      <c r="R809" s="360"/>
      <c r="S809" s="360"/>
      <c r="T809" s="360"/>
      <c r="U809" s="360"/>
    </row>
    <row r="810" spans="1:21" ht="19.5" customHeight="1">
      <c r="A810" s="360">
        <v>3</v>
      </c>
      <c r="B810" s="362" t="s">
        <v>123</v>
      </c>
      <c r="C810" s="360" t="s">
        <v>124</v>
      </c>
      <c r="D810" s="360"/>
      <c r="E810" s="360"/>
      <c r="F810" s="360"/>
      <c r="G810" s="360"/>
      <c r="H810" s="360"/>
      <c r="I810" s="360"/>
      <c r="J810" s="360"/>
      <c r="K810" s="360"/>
      <c r="L810" s="360"/>
      <c r="M810" s="360"/>
      <c r="N810" s="360"/>
      <c r="O810" s="360"/>
      <c r="P810" s="360"/>
      <c r="Q810" s="360"/>
      <c r="R810" s="360"/>
      <c r="S810" s="360"/>
      <c r="T810" s="360"/>
      <c r="U810" s="360"/>
    </row>
    <row r="811" spans="1:21" ht="19.5" customHeight="1">
      <c r="A811" s="1355" t="s">
        <v>363</v>
      </c>
      <c r="B811" s="1355"/>
      <c r="C811" s="372"/>
      <c r="D811" s="372"/>
      <c r="E811" s="372"/>
      <c r="F811" s="372"/>
      <c r="G811" s="372"/>
      <c r="H811" s="372"/>
      <c r="I811" s="372"/>
      <c r="J811" s="372"/>
      <c r="K811" s="372"/>
      <c r="L811" s="372"/>
      <c r="M811" s="372"/>
      <c r="N811" s="372"/>
      <c r="O811" s="372"/>
      <c r="P811" s="372"/>
      <c r="Q811" s="372"/>
      <c r="R811" s="372"/>
      <c r="S811" s="372"/>
      <c r="T811" s="372"/>
      <c r="U811" s="372"/>
    </row>
    <row r="812" spans="1:21" ht="19.5" customHeight="1">
      <c r="A812" s="1354" t="s">
        <v>185</v>
      </c>
      <c r="B812" s="1354"/>
      <c r="C812" s="1354"/>
      <c r="D812" s="1354"/>
      <c r="E812" s="1354"/>
      <c r="F812" s="1354"/>
      <c r="G812" s="1354"/>
      <c r="H812" s="1354"/>
      <c r="I812" s="1354"/>
      <c r="J812" s="1354"/>
      <c r="K812" s="1354"/>
      <c r="L812" s="1354"/>
      <c r="M812" s="1354"/>
      <c r="N812" s="1354"/>
      <c r="O812" s="1354"/>
      <c r="P812" s="1354"/>
      <c r="Q812" s="1354"/>
      <c r="R812" s="1354"/>
      <c r="S812" s="1354"/>
      <c r="T812" s="1354"/>
      <c r="U812" s="1354"/>
    </row>
    <row r="813" spans="1:21" ht="19.5" customHeight="1">
      <c r="A813" s="1354" t="s">
        <v>322</v>
      </c>
      <c r="B813" s="1354"/>
      <c r="C813" s="1354"/>
      <c r="D813" s="1354"/>
      <c r="E813" s="1354"/>
      <c r="F813" s="1354"/>
      <c r="G813" s="1354"/>
      <c r="H813" s="1354"/>
      <c r="I813" s="1354"/>
      <c r="J813" s="1354"/>
      <c r="K813" s="1354"/>
      <c r="L813" s="1354"/>
      <c r="M813" s="1354"/>
      <c r="N813" s="1354"/>
      <c r="O813" s="1354"/>
      <c r="P813" s="1354"/>
      <c r="Q813" s="1354"/>
      <c r="R813" s="1354"/>
      <c r="S813" s="1354"/>
      <c r="T813" s="1354"/>
      <c r="U813" s="1354"/>
    </row>
    <row r="814" spans="1:21" ht="19.5" customHeight="1"/>
    <row r="815" spans="1:21" ht="19.5" customHeight="1">
      <c r="A815" s="1356" t="s">
        <v>0</v>
      </c>
      <c r="B815" s="1356" t="s">
        <v>186</v>
      </c>
      <c r="C815" s="1356" t="s">
        <v>13</v>
      </c>
      <c r="D815" s="1356" t="s">
        <v>139</v>
      </c>
      <c r="E815" s="1356"/>
      <c r="F815" s="1356" t="s">
        <v>140</v>
      </c>
      <c r="G815" s="1356"/>
      <c r="H815" s="1356" t="s">
        <v>141</v>
      </c>
      <c r="I815" s="1356"/>
      <c r="J815" s="1356" t="s">
        <v>142</v>
      </c>
      <c r="K815" s="1356"/>
      <c r="L815" s="1356" t="s">
        <v>143</v>
      </c>
      <c r="M815" s="1356"/>
      <c r="N815" s="1356" t="s">
        <v>144</v>
      </c>
      <c r="O815" s="1356"/>
      <c r="P815" s="1356" t="s">
        <v>188</v>
      </c>
      <c r="Q815" s="1356"/>
      <c r="R815" s="1356" t="s">
        <v>145</v>
      </c>
      <c r="S815" s="1356"/>
      <c r="T815" s="1356" t="s">
        <v>146</v>
      </c>
      <c r="U815" s="1356"/>
    </row>
    <row r="816" spans="1:21" ht="51.75" customHeight="1">
      <c r="A816" s="1356"/>
      <c r="B816" s="1356"/>
      <c r="C816" s="1356"/>
      <c r="D816" s="360" t="s">
        <v>137</v>
      </c>
      <c r="E816" s="360" t="s">
        <v>187</v>
      </c>
      <c r="F816" s="360" t="s">
        <v>137</v>
      </c>
      <c r="G816" s="360" t="s">
        <v>187</v>
      </c>
      <c r="H816" s="360" t="s">
        <v>137</v>
      </c>
      <c r="I816" s="360" t="s">
        <v>187</v>
      </c>
      <c r="J816" s="360" t="s">
        <v>137</v>
      </c>
      <c r="K816" s="360" t="s">
        <v>187</v>
      </c>
      <c r="L816" s="360" t="s">
        <v>137</v>
      </c>
      <c r="M816" s="360" t="s">
        <v>187</v>
      </c>
      <c r="N816" s="360" t="s">
        <v>137</v>
      </c>
      <c r="O816" s="360" t="s">
        <v>187</v>
      </c>
      <c r="P816" s="360" t="s">
        <v>137</v>
      </c>
      <c r="Q816" s="360" t="s">
        <v>187</v>
      </c>
      <c r="R816" s="360" t="s">
        <v>137</v>
      </c>
      <c r="S816" s="360" t="s">
        <v>187</v>
      </c>
      <c r="T816" s="360" t="s">
        <v>137</v>
      </c>
      <c r="U816" s="360" t="s">
        <v>187</v>
      </c>
    </row>
    <row r="817" spans="1:21" ht="33.75" customHeight="1">
      <c r="A817" s="360">
        <v>1</v>
      </c>
      <c r="B817" s="362" t="s">
        <v>14</v>
      </c>
      <c r="C817" s="360" t="s">
        <v>15</v>
      </c>
      <c r="D817" s="360">
        <f>D818+D820+D821+D822+D823+D824+D825+D826+D827</f>
        <v>355.6</v>
      </c>
      <c r="E817" s="360">
        <f t="shared" ref="E817:U817" si="73">E818+E820+E821+E822+E823+E824+E825+E826+E827</f>
        <v>0</v>
      </c>
      <c r="F817" s="360">
        <f t="shared" si="73"/>
        <v>0</v>
      </c>
      <c r="G817" s="360">
        <f t="shared" si="73"/>
        <v>0</v>
      </c>
      <c r="H817" s="360">
        <f t="shared" si="73"/>
        <v>0</v>
      </c>
      <c r="I817" s="360">
        <f t="shared" si="73"/>
        <v>0</v>
      </c>
      <c r="J817" s="360">
        <f t="shared" si="73"/>
        <v>0</v>
      </c>
      <c r="K817" s="360">
        <f t="shared" si="73"/>
        <v>0</v>
      </c>
      <c r="L817" s="360">
        <f t="shared" si="73"/>
        <v>0</v>
      </c>
      <c r="M817" s="360">
        <f t="shared" si="73"/>
        <v>0</v>
      </c>
      <c r="N817" s="360">
        <f t="shared" si="73"/>
        <v>0</v>
      </c>
      <c r="O817" s="360">
        <f t="shared" si="73"/>
        <v>0</v>
      </c>
      <c r="P817" s="360">
        <f t="shared" si="73"/>
        <v>0</v>
      </c>
      <c r="Q817" s="360">
        <f t="shared" si="73"/>
        <v>0</v>
      </c>
      <c r="R817" s="360">
        <f t="shared" si="73"/>
        <v>0</v>
      </c>
      <c r="S817" s="360">
        <f t="shared" si="73"/>
        <v>0</v>
      </c>
      <c r="T817" s="360">
        <f t="shared" si="73"/>
        <v>2.5</v>
      </c>
      <c r="U817" s="360">
        <f t="shared" si="73"/>
        <v>0</v>
      </c>
    </row>
    <row r="818" spans="1:21" ht="19.5" customHeight="1">
      <c r="A818" s="360" t="s">
        <v>16</v>
      </c>
      <c r="B818" s="362" t="s">
        <v>17</v>
      </c>
      <c r="C818" s="360" t="s">
        <v>18</v>
      </c>
      <c r="D818" s="360">
        <f t="shared" ref="D818:U818" si="74">D819</f>
        <v>350</v>
      </c>
      <c r="E818" s="360">
        <f t="shared" si="74"/>
        <v>0</v>
      </c>
      <c r="F818" s="360">
        <f t="shared" si="74"/>
        <v>0</v>
      </c>
      <c r="G818" s="360">
        <f t="shared" si="74"/>
        <v>0</v>
      </c>
      <c r="H818" s="360">
        <f t="shared" si="74"/>
        <v>0</v>
      </c>
      <c r="I818" s="360">
        <f t="shared" si="74"/>
        <v>0</v>
      </c>
      <c r="J818" s="360">
        <f t="shared" si="74"/>
        <v>0</v>
      </c>
      <c r="K818" s="360">
        <f t="shared" si="74"/>
        <v>0</v>
      </c>
      <c r="L818" s="360">
        <f t="shared" si="74"/>
        <v>0</v>
      </c>
      <c r="M818" s="360">
        <f t="shared" si="74"/>
        <v>0</v>
      </c>
      <c r="N818" s="360">
        <f t="shared" si="74"/>
        <v>0</v>
      </c>
      <c r="O818" s="360">
        <f t="shared" si="74"/>
        <v>0</v>
      </c>
      <c r="P818" s="360">
        <f t="shared" si="74"/>
        <v>0</v>
      </c>
      <c r="Q818" s="360">
        <f t="shared" si="74"/>
        <v>0</v>
      </c>
      <c r="R818" s="360">
        <f t="shared" si="74"/>
        <v>0</v>
      </c>
      <c r="S818" s="360">
        <f t="shared" si="74"/>
        <v>0</v>
      </c>
      <c r="T818" s="360">
        <f t="shared" si="74"/>
        <v>0</v>
      </c>
      <c r="U818" s="360">
        <f t="shared" si="74"/>
        <v>0</v>
      </c>
    </row>
    <row r="819" spans="1:21" ht="19.5" customHeight="1">
      <c r="A819" s="360"/>
      <c r="B819" s="362" t="s">
        <v>19</v>
      </c>
      <c r="C819" s="360" t="s">
        <v>20</v>
      </c>
      <c r="D819" s="360">
        <v>350</v>
      </c>
      <c r="E819" s="360"/>
      <c r="F819" s="360"/>
      <c r="G819" s="360"/>
      <c r="H819" s="360"/>
      <c r="I819" s="360"/>
      <c r="J819" s="360"/>
      <c r="K819" s="360"/>
      <c r="L819" s="360"/>
      <c r="M819" s="360"/>
      <c r="N819" s="360"/>
      <c r="O819" s="360"/>
      <c r="P819" s="360"/>
      <c r="Q819" s="360"/>
      <c r="R819" s="360"/>
      <c r="S819" s="360"/>
      <c r="T819" s="360"/>
      <c r="U819" s="360"/>
    </row>
    <row r="820" spans="1:21" ht="19.5" customHeight="1">
      <c r="A820" s="360" t="s">
        <v>21</v>
      </c>
      <c r="B820" s="362" t="s">
        <v>22</v>
      </c>
      <c r="C820" s="360" t="s">
        <v>23</v>
      </c>
      <c r="D820" s="360"/>
      <c r="E820" s="360"/>
      <c r="F820" s="360"/>
      <c r="G820" s="360"/>
      <c r="H820" s="360"/>
      <c r="I820" s="360"/>
      <c r="J820" s="360"/>
      <c r="K820" s="360"/>
      <c r="L820" s="360"/>
      <c r="M820" s="360"/>
      <c r="N820" s="360"/>
      <c r="O820" s="360"/>
      <c r="P820" s="360"/>
      <c r="Q820" s="360"/>
      <c r="R820" s="360"/>
      <c r="S820" s="360"/>
      <c r="T820" s="360"/>
      <c r="U820" s="360"/>
    </row>
    <row r="821" spans="1:21" ht="19.5" customHeight="1">
      <c r="A821" s="360" t="s">
        <v>24</v>
      </c>
      <c r="B821" s="362" t="s">
        <v>25</v>
      </c>
      <c r="C821" s="360" t="s">
        <v>26</v>
      </c>
      <c r="D821" s="360"/>
      <c r="E821" s="360"/>
      <c r="F821" s="360"/>
      <c r="G821" s="360"/>
      <c r="H821" s="360"/>
      <c r="I821" s="360"/>
      <c r="J821" s="360"/>
      <c r="K821" s="360"/>
      <c r="L821" s="360"/>
      <c r="M821" s="360"/>
      <c r="N821" s="360"/>
      <c r="O821" s="360"/>
      <c r="P821" s="360"/>
      <c r="Q821" s="360"/>
      <c r="R821" s="360"/>
      <c r="S821" s="360"/>
      <c r="T821" s="360">
        <v>2.5</v>
      </c>
      <c r="U821" s="360"/>
    </row>
    <row r="822" spans="1:21" ht="19.5" customHeight="1">
      <c r="A822" s="360" t="s">
        <v>27</v>
      </c>
      <c r="B822" s="362" t="s">
        <v>28</v>
      </c>
      <c r="C822" s="360" t="s">
        <v>29</v>
      </c>
      <c r="D822" s="360"/>
      <c r="E822" s="360"/>
      <c r="F822" s="360"/>
      <c r="G822" s="360"/>
      <c r="H822" s="360"/>
      <c r="I822" s="360"/>
      <c r="J822" s="360"/>
      <c r="K822" s="360"/>
      <c r="L822" s="360"/>
      <c r="M822" s="360"/>
      <c r="N822" s="360"/>
      <c r="O822" s="360"/>
      <c r="P822" s="360"/>
      <c r="Q822" s="360"/>
      <c r="R822" s="360"/>
      <c r="S822" s="360"/>
      <c r="T822" s="360"/>
      <c r="U822" s="360"/>
    </row>
    <row r="823" spans="1:21" ht="19.5" customHeight="1">
      <c r="A823" s="360" t="s">
        <v>30</v>
      </c>
      <c r="B823" s="362" t="s">
        <v>31</v>
      </c>
      <c r="C823" s="360" t="s">
        <v>32</v>
      </c>
      <c r="D823" s="360"/>
      <c r="E823" s="360"/>
      <c r="F823" s="360"/>
      <c r="G823" s="360"/>
      <c r="H823" s="360"/>
      <c r="I823" s="360"/>
      <c r="J823" s="360"/>
      <c r="K823" s="360"/>
      <c r="L823" s="360"/>
      <c r="M823" s="360"/>
      <c r="N823" s="360"/>
      <c r="O823" s="360"/>
      <c r="P823" s="360"/>
      <c r="Q823" s="360"/>
      <c r="R823" s="360"/>
      <c r="S823" s="360"/>
      <c r="T823" s="360"/>
      <c r="U823" s="360"/>
    </row>
    <row r="824" spans="1:21" ht="19.5" customHeight="1">
      <c r="A824" s="360" t="s">
        <v>33</v>
      </c>
      <c r="B824" s="362" t="s">
        <v>34</v>
      </c>
      <c r="C824" s="360" t="s">
        <v>35</v>
      </c>
      <c r="D824" s="360"/>
      <c r="E824" s="360"/>
      <c r="F824" s="360"/>
      <c r="G824" s="360"/>
      <c r="H824" s="360"/>
      <c r="I824" s="360"/>
      <c r="J824" s="360"/>
      <c r="K824" s="360"/>
      <c r="L824" s="360"/>
      <c r="M824" s="360"/>
      <c r="N824" s="360"/>
      <c r="O824" s="360"/>
      <c r="P824" s="360"/>
      <c r="Q824" s="360"/>
      <c r="R824" s="360"/>
      <c r="S824" s="360"/>
      <c r="T824" s="360"/>
      <c r="U824" s="360"/>
    </row>
    <row r="825" spans="1:21" ht="19.5" customHeight="1">
      <c r="A825" s="360" t="s">
        <v>36</v>
      </c>
      <c r="B825" s="362" t="s">
        <v>37</v>
      </c>
      <c r="C825" s="360" t="s">
        <v>38</v>
      </c>
      <c r="D825" s="360">
        <v>5.6</v>
      </c>
      <c r="E825" s="360"/>
      <c r="F825" s="360"/>
      <c r="G825" s="360"/>
      <c r="H825" s="360"/>
      <c r="I825" s="360"/>
      <c r="J825" s="360"/>
      <c r="K825" s="360"/>
      <c r="L825" s="360"/>
      <c r="M825" s="360"/>
      <c r="N825" s="360"/>
      <c r="O825" s="360"/>
      <c r="P825" s="360"/>
      <c r="Q825" s="360"/>
      <c r="R825" s="360"/>
      <c r="S825" s="360"/>
      <c r="T825" s="360"/>
      <c r="U825" s="360"/>
    </row>
    <row r="826" spans="1:21" ht="19.5" customHeight="1">
      <c r="A826" s="360" t="s">
        <v>39</v>
      </c>
      <c r="B826" s="362" t="s">
        <v>40</v>
      </c>
      <c r="C826" s="360" t="s">
        <v>41</v>
      </c>
      <c r="D826" s="360"/>
      <c r="E826" s="360"/>
      <c r="F826" s="360"/>
      <c r="G826" s="360"/>
      <c r="H826" s="360"/>
      <c r="I826" s="360"/>
      <c r="J826" s="360"/>
      <c r="K826" s="360"/>
      <c r="L826" s="360"/>
      <c r="M826" s="360"/>
      <c r="N826" s="360"/>
      <c r="O826" s="360"/>
      <c r="P826" s="360"/>
      <c r="Q826" s="360"/>
      <c r="R826" s="360"/>
      <c r="S826" s="360"/>
      <c r="T826" s="360"/>
      <c r="U826" s="360"/>
    </row>
    <row r="827" spans="1:21" ht="19.5" customHeight="1">
      <c r="A827" s="360">
        <v>2</v>
      </c>
      <c r="B827" s="362" t="s">
        <v>43</v>
      </c>
      <c r="C827" s="360" t="s">
        <v>44</v>
      </c>
      <c r="D827" s="360"/>
      <c r="E827" s="360"/>
      <c r="F827" s="360"/>
      <c r="G827" s="360"/>
      <c r="H827" s="360"/>
      <c r="I827" s="360"/>
      <c r="J827" s="360"/>
      <c r="K827" s="360"/>
      <c r="L827" s="360"/>
      <c r="M827" s="360"/>
      <c r="N827" s="360"/>
      <c r="O827" s="360"/>
      <c r="P827" s="360"/>
      <c r="Q827" s="360"/>
      <c r="R827" s="360"/>
      <c r="S827" s="360"/>
      <c r="T827" s="360"/>
      <c r="U827" s="360"/>
    </row>
    <row r="828" spans="1:21" ht="19.5" customHeight="1">
      <c r="A828" s="360">
        <v>2</v>
      </c>
      <c r="B828" s="362" t="s">
        <v>45</v>
      </c>
      <c r="C828" s="360" t="s">
        <v>46</v>
      </c>
      <c r="D828" s="360">
        <f>SUM(D829:D854)</f>
        <v>8.6999999999999993</v>
      </c>
      <c r="E828" s="360">
        <f t="shared" ref="E828:U828" si="75">SUM(E829:E854)</f>
        <v>0</v>
      </c>
      <c r="F828" s="360">
        <f t="shared" si="75"/>
        <v>0</v>
      </c>
      <c r="G828" s="360">
        <f t="shared" si="75"/>
        <v>0</v>
      </c>
      <c r="H828" s="360">
        <f t="shared" si="75"/>
        <v>0</v>
      </c>
      <c r="I828" s="360">
        <f t="shared" si="75"/>
        <v>0</v>
      </c>
      <c r="J828" s="360">
        <f t="shared" si="75"/>
        <v>0</v>
      </c>
      <c r="K828" s="360">
        <f t="shared" si="75"/>
        <v>0</v>
      </c>
      <c r="L828" s="360">
        <f t="shared" si="75"/>
        <v>0</v>
      </c>
      <c r="M828" s="360">
        <f t="shared" si="75"/>
        <v>0</v>
      </c>
      <c r="N828" s="360">
        <f t="shared" si="75"/>
        <v>1399.22</v>
      </c>
      <c r="O828" s="360">
        <f t="shared" si="75"/>
        <v>0</v>
      </c>
      <c r="P828" s="360">
        <f t="shared" si="75"/>
        <v>0</v>
      </c>
      <c r="Q828" s="360">
        <f t="shared" si="75"/>
        <v>0</v>
      </c>
      <c r="R828" s="360">
        <f t="shared" si="75"/>
        <v>0</v>
      </c>
      <c r="S828" s="360">
        <f t="shared" si="75"/>
        <v>0</v>
      </c>
      <c r="T828" s="360">
        <f t="shared" si="75"/>
        <v>136.34000000000003</v>
      </c>
      <c r="U828" s="360">
        <f t="shared" si="75"/>
        <v>0</v>
      </c>
    </row>
    <row r="829" spans="1:21" ht="19.5" customHeight="1">
      <c r="A829" s="360" t="s">
        <v>47</v>
      </c>
      <c r="B829" s="362" t="s">
        <v>48</v>
      </c>
      <c r="C829" s="360" t="s">
        <v>49</v>
      </c>
      <c r="D829" s="360"/>
      <c r="E829" s="360"/>
      <c r="F829" s="360"/>
      <c r="G829" s="360"/>
      <c r="H829" s="360"/>
      <c r="I829" s="360"/>
      <c r="J829" s="360"/>
      <c r="K829" s="360"/>
      <c r="L829" s="360"/>
      <c r="M829" s="360"/>
      <c r="N829" s="360"/>
      <c r="O829" s="360"/>
      <c r="P829" s="360"/>
      <c r="Q829" s="360"/>
      <c r="R829" s="360"/>
      <c r="S829" s="360"/>
      <c r="T829" s="360"/>
      <c r="U829" s="360"/>
    </row>
    <row r="830" spans="1:21" ht="19.5" customHeight="1">
      <c r="A830" s="360" t="s">
        <v>50</v>
      </c>
      <c r="B830" s="362" t="s">
        <v>51</v>
      </c>
      <c r="C830" s="360" t="s">
        <v>52</v>
      </c>
      <c r="D830" s="360"/>
      <c r="E830" s="360"/>
      <c r="F830" s="360"/>
      <c r="G830" s="360"/>
      <c r="H830" s="360"/>
      <c r="I830" s="360"/>
      <c r="J830" s="360"/>
      <c r="K830" s="360"/>
      <c r="L830" s="360"/>
      <c r="M830" s="360"/>
      <c r="N830" s="360"/>
      <c r="O830" s="360"/>
      <c r="P830" s="360"/>
      <c r="Q830" s="360"/>
      <c r="R830" s="360"/>
      <c r="S830" s="360"/>
      <c r="T830" s="360"/>
      <c r="U830" s="360"/>
    </row>
    <row r="831" spans="1:21" ht="19.5" customHeight="1">
      <c r="A831" s="360" t="s">
        <v>53</v>
      </c>
      <c r="B831" s="362" t="s">
        <v>54</v>
      </c>
      <c r="C831" s="360" t="s">
        <v>55</v>
      </c>
      <c r="D831" s="360"/>
      <c r="E831" s="360"/>
      <c r="F831" s="360"/>
      <c r="G831" s="360"/>
      <c r="H831" s="360"/>
      <c r="I831" s="360"/>
      <c r="J831" s="360"/>
      <c r="K831" s="360"/>
      <c r="L831" s="360"/>
      <c r="M831" s="360"/>
      <c r="N831" s="360">
        <f>'[1]Lien vị'!BN28</f>
        <v>1399.22</v>
      </c>
      <c r="O831" s="360"/>
      <c r="P831" s="360"/>
      <c r="Q831" s="360"/>
      <c r="R831" s="360"/>
      <c r="S831" s="360"/>
      <c r="T831" s="360"/>
      <c r="U831" s="360"/>
    </row>
    <row r="832" spans="1:21" ht="19.5" customHeight="1">
      <c r="A832" s="360" t="s">
        <v>56</v>
      </c>
      <c r="B832" s="362" t="s">
        <v>57</v>
      </c>
      <c r="C832" s="360" t="s">
        <v>58</v>
      </c>
      <c r="D832" s="360"/>
      <c r="E832" s="360"/>
      <c r="F832" s="360"/>
      <c r="G832" s="360"/>
      <c r="H832" s="360"/>
      <c r="I832" s="360"/>
      <c r="J832" s="360"/>
      <c r="K832" s="360"/>
      <c r="L832" s="360"/>
      <c r="M832" s="360"/>
      <c r="N832" s="360"/>
      <c r="O832" s="360"/>
      <c r="P832" s="360"/>
      <c r="Q832" s="360"/>
      <c r="R832" s="360"/>
      <c r="S832" s="360"/>
      <c r="T832" s="360"/>
      <c r="U832" s="360"/>
    </row>
    <row r="833" spans="1:21" ht="19.5" customHeight="1">
      <c r="A833" s="360" t="s">
        <v>59</v>
      </c>
      <c r="B833" s="362" t="s">
        <v>60</v>
      </c>
      <c r="C833" s="360" t="s">
        <v>61</v>
      </c>
      <c r="D833" s="360"/>
      <c r="E833" s="360"/>
      <c r="F833" s="360"/>
      <c r="G833" s="360"/>
      <c r="H833" s="360"/>
      <c r="I833" s="360"/>
      <c r="J833" s="360"/>
      <c r="K833" s="360"/>
      <c r="L833" s="360"/>
      <c r="M833" s="360"/>
      <c r="N833" s="360"/>
      <c r="O833" s="360"/>
      <c r="P833" s="360"/>
      <c r="Q833" s="360"/>
      <c r="R833" s="360"/>
      <c r="S833" s="360"/>
      <c r="T833" s="360"/>
      <c r="U833" s="360"/>
    </row>
    <row r="834" spans="1:21" ht="19.5" customHeight="1">
      <c r="A834" s="360" t="s">
        <v>62</v>
      </c>
      <c r="B834" s="362" t="s">
        <v>63</v>
      </c>
      <c r="C834" s="360" t="s">
        <v>64</v>
      </c>
      <c r="D834" s="360"/>
      <c r="E834" s="360"/>
      <c r="F834" s="360"/>
      <c r="G834" s="360"/>
      <c r="H834" s="360"/>
      <c r="I834" s="360"/>
      <c r="J834" s="360"/>
      <c r="K834" s="360"/>
      <c r="L834" s="360"/>
      <c r="M834" s="360"/>
      <c r="N834" s="360"/>
      <c r="O834" s="360"/>
      <c r="P834" s="360"/>
      <c r="Q834" s="360"/>
      <c r="R834" s="360"/>
      <c r="S834" s="360"/>
      <c r="T834" s="360"/>
      <c r="U834" s="360"/>
    </row>
    <row r="835" spans="1:21" ht="19.5" customHeight="1">
      <c r="A835" s="360" t="s">
        <v>65</v>
      </c>
      <c r="B835" s="362" t="s">
        <v>66</v>
      </c>
      <c r="C835" s="360" t="s">
        <v>67</v>
      </c>
      <c r="D835" s="360"/>
      <c r="E835" s="360"/>
      <c r="F835" s="360"/>
      <c r="G835" s="360"/>
      <c r="H835" s="360"/>
      <c r="I835" s="360"/>
      <c r="J835" s="360"/>
      <c r="K835" s="360"/>
      <c r="L835" s="360"/>
      <c r="M835" s="360"/>
      <c r="N835" s="360"/>
      <c r="O835" s="360"/>
      <c r="P835" s="360"/>
      <c r="Q835" s="360"/>
      <c r="R835" s="360"/>
      <c r="S835" s="360"/>
      <c r="T835" s="360">
        <f>'[1]Lien vị'!BN32</f>
        <v>17.25</v>
      </c>
      <c r="U835" s="360"/>
    </row>
    <row r="836" spans="1:21" ht="19.5" customHeight="1">
      <c r="A836" s="360" t="s">
        <v>68</v>
      </c>
      <c r="B836" s="362" t="s">
        <v>69</v>
      </c>
      <c r="C836" s="360" t="s">
        <v>70</v>
      </c>
      <c r="D836" s="360"/>
      <c r="E836" s="360"/>
      <c r="F836" s="360"/>
      <c r="G836" s="360"/>
      <c r="H836" s="360"/>
      <c r="I836" s="360"/>
      <c r="J836" s="360"/>
      <c r="K836" s="360"/>
      <c r="L836" s="360"/>
      <c r="M836" s="360"/>
      <c r="N836" s="360"/>
      <c r="O836" s="360"/>
      <c r="P836" s="360"/>
      <c r="Q836" s="360"/>
      <c r="R836" s="360"/>
      <c r="S836" s="360"/>
      <c r="T836" s="360"/>
      <c r="U836" s="360"/>
    </row>
    <row r="837" spans="1:21" ht="19.5" customHeight="1">
      <c r="A837" s="360" t="s">
        <v>71</v>
      </c>
      <c r="B837" s="362" t="s">
        <v>135</v>
      </c>
      <c r="C837" s="360" t="s">
        <v>72</v>
      </c>
      <c r="D837" s="360">
        <v>6.2</v>
      </c>
      <c r="E837" s="360"/>
      <c r="F837" s="360"/>
      <c r="G837" s="360"/>
      <c r="H837" s="360"/>
      <c r="I837" s="360"/>
      <c r="J837" s="360"/>
      <c r="K837" s="360"/>
      <c r="L837" s="360"/>
      <c r="M837" s="360"/>
      <c r="N837" s="360"/>
      <c r="O837" s="360"/>
      <c r="P837" s="360"/>
      <c r="Q837" s="360"/>
      <c r="R837" s="360"/>
      <c r="S837" s="360"/>
      <c r="T837" s="360">
        <f>'[1]Lien vị'!BN34-54.99</f>
        <v>44.459999999999987</v>
      </c>
      <c r="U837" s="360"/>
    </row>
    <row r="838" spans="1:21" ht="35.25" customHeight="1">
      <c r="A838" s="360" t="s">
        <v>73</v>
      </c>
      <c r="B838" s="362" t="s">
        <v>74</v>
      </c>
      <c r="C838" s="360" t="s">
        <v>75</v>
      </c>
      <c r="D838" s="360"/>
      <c r="E838" s="360"/>
      <c r="F838" s="360"/>
      <c r="G838" s="360"/>
      <c r="H838" s="360"/>
      <c r="I838" s="360"/>
      <c r="J838" s="360"/>
      <c r="K838" s="360"/>
      <c r="L838" s="360"/>
      <c r="M838" s="360"/>
      <c r="N838" s="360"/>
      <c r="O838" s="360"/>
      <c r="P838" s="360"/>
      <c r="Q838" s="360"/>
      <c r="R838" s="360"/>
      <c r="S838" s="360"/>
      <c r="T838" s="360">
        <f>'[1]Lien vị'!BN46</f>
        <v>0.5</v>
      </c>
      <c r="U838" s="360"/>
    </row>
    <row r="839" spans="1:21" ht="19.5" customHeight="1">
      <c r="A839" s="360" t="s">
        <v>76</v>
      </c>
      <c r="B839" s="362" t="s">
        <v>77</v>
      </c>
      <c r="C839" s="360" t="s">
        <v>78</v>
      </c>
      <c r="D839" s="360"/>
      <c r="E839" s="360"/>
      <c r="F839" s="360"/>
      <c r="G839" s="360"/>
      <c r="H839" s="360"/>
      <c r="I839" s="360"/>
      <c r="J839" s="360"/>
      <c r="K839" s="360"/>
      <c r="L839" s="360"/>
      <c r="M839" s="360"/>
      <c r="N839" s="360"/>
      <c r="O839" s="360"/>
      <c r="P839" s="360"/>
      <c r="Q839" s="360"/>
      <c r="R839" s="360"/>
      <c r="S839" s="360"/>
      <c r="T839" s="360"/>
      <c r="U839" s="360"/>
    </row>
    <row r="840" spans="1:21" ht="19.5" customHeight="1">
      <c r="A840" s="360" t="s">
        <v>79</v>
      </c>
      <c r="B840" s="362" t="s">
        <v>80</v>
      </c>
      <c r="C840" s="360" t="s">
        <v>81</v>
      </c>
      <c r="D840" s="360"/>
      <c r="E840" s="360"/>
      <c r="F840" s="360"/>
      <c r="G840" s="360"/>
      <c r="H840" s="360"/>
      <c r="I840" s="360"/>
      <c r="J840" s="360"/>
      <c r="K840" s="360"/>
      <c r="L840" s="360"/>
      <c r="M840" s="360"/>
      <c r="N840" s="360"/>
      <c r="O840" s="360"/>
      <c r="P840" s="360"/>
      <c r="Q840" s="360"/>
      <c r="R840" s="360"/>
      <c r="S840" s="360"/>
      <c r="T840" s="360"/>
      <c r="U840" s="360"/>
    </row>
    <row r="841" spans="1:21" ht="19.5" customHeight="1">
      <c r="A841" s="360" t="s">
        <v>82</v>
      </c>
      <c r="B841" s="362" t="s">
        <v>83</v>
      </c>
      <c r="C841" s="360" t="s">
        <v>84</v>
      </c>
      <c r="D841" s="360"/>
      <c r="E841" s="360"/>
      <c r="F841" s="360"/>
      <c r="G841" s="360"/>
      <c r="H841" s="360"/>
      <c r="I841" s="360"/>
      <c r="J841" s="360"/>
      <c r="K841" s="360"/>
      <c r="L841" s="360"/>
      <c r="M841" s="360"/>
      <c r="N841" s="360"/>
      <c r="O841" s="360"/>
      <c r="P841" s="360"/>
      <c r="Q841" s="360"/>
      <c r="R841" s="360"/>
      <c r="S841" s="360"/>
      <c r="T841" s="360">
        <f>'[1]Lien vị'!BN49</f>
        <v>70.92</v>
      </c>
      <c r="U841" s="360"/>
    </row>
    <row r="842" spans="1:21" ht="19.5" customHeight="1">
      <c r="A842" s="360" t="s">
        <v>85</v>
      </c>
      <c r="B842" s="362" t="s">
        <v>86</v>
      </c>
      <c r="C842" s="360" t="s">
        <v>87</v>
      </c>
      <c r="D842" s="360"/>
      <c r="E842" s="360"/>
      <c r="F842" s="360"/>
      <c r="G842" s="360"/>
      <c r="H842" s="360"/>
      <c r="I842" s="360"/>
      <c r="J842" s="360"/>
      <c r="K842" s="360"/>
      <c r="L842" s="360"/>
      <c r="M842" s="360"/>
      <c r="N842" s="360"/>
      <c r="O842" s="360"/>
      <c r="P842" s="360"/>
      <c r="Q842" s="360"/>
      <c r="R842" s="360"/>
      <c r="S842" s="360"/>
      <c r="T842" s="360"/>
      <c r="U842" s="360"/>
    </row>
    <row r="843" spans="1:21" ht="19.5" customHeight="1">
      <c r="A843" s="360" t="s">
        <v>88</v>
      </c>
      <c r="B843" s="362" t="s">
        <v>89</v>
      </c>
      <c r="C843" s="360" t="s">
        <v>90</v>
      </c>
      <c r="D843" s="360"/>
      <c r="E843" s="360"/>
      <c r="F843" s="360"/>
      <c r="G843" s="360"/>
      <c r="H843" s="360"/>
      <c r="I843" s="360"/>
      <c r="J843" s="360"/>
      <c r="K843" s="360"/>
      <c r="L843" s="360"/>
      <c r="M843" s="360"/>
      <c r="N843" s="360"/>
      <c r="O843" s="360"/>
      <c r="P843" s="360"/>
      <c r="Q843" s="360"/>
      <c r="R843" s="360"/>
      <c r="S843" s="360"/>
      <c r="T843" s="360">
        <f>'[1]Lien vị'!BN51</f>
        <v>0.61</v>
      </c>
      <c r="U843" s="360"/>
    </row>
    <row r="844" spans="1:21" ht="19.5" customHeight="1">
      <c r="A844" s="360" t="s">
        <v>91</v>
      </c>
      <c r="B844" s="362" t="s">
        <v>92</v>
      </c>
      <c r="C844" s="360" t="s">
        <v>93</v>
      </c>
      <c r="D844" s="360"/>
      <c r="E844" s="360"/>
      <c r="F844" s="360"/>
      <c r="G844" s="360"/>
      <c r="H844" s="360"/>
      <c r="I844" s="360"/>
      <c r="J844" s="360"/>
      <c r="K844" s="360"/>
      <c r="L844" s="360"/>
      <c r="M844" s="360"/>
      <c r="N844" s="360"/>
      <c r="O844" s="360"/>
      <c r="P844" s="360"/>
      <c r="Q844" s="360"/>
      <c r="R844" s="360"/>
      <c r="S844" s="360"/>
      <c r="T844" s="360">
        <f>'[1]Lien vị'!BN52</f>
        <v>0.12</v>
      </c>
      <c r="U844" s="360"/>
    </row>
    <row r="845" spans="1:21" ht="19.5" customHeight="1">
      <c r="A845" s="360" t="s">
        <v>94</v>
      </c>
      <c r="B845" s="362" t="s">
        <v>95</v>
      </c>
      <c r="C845" s="360" t="s">
        <v>96</v>
      </c>
      <c r="D845" s="360"/>
      <c r="E845" s="360"/>
      <c r="F845" s="360"/>
      <c r="G845" s="360"/>
      <c r="H845" s="360"/>
      <c r="I845" s="360"/>
      <c r="J845" s="360"/>
      <c r="K845" s="360"/>
      <c r="L845" s="360"/>
      <c r="M845" s="360"/>
      <c r="N845" s="360"/>
      <c r="O845" s="360"/>
      <c r="P845" s="360"/>
      <c r="Q845" s="360"/>
      <c r="R845" s="360"/>
      <c r="S845" s="360"/>
      <c r="T845" s="360">
        <f>'[1]Lien vị'!BN53</f>
        <v>0</v>
      </c>
      <c r="U845" s="360"/>
    </row>
    <row r="846" spans="1:21" ht="19.5" customHeight="1">
      <c r="A846" s="360" t="s">
        <v>97</v>
      </c>
      <c r="B846" s="362" t="s">
        <v>98</v>
      </c>
      <c r="C846" s="360" t="s">
        <v>99</v>
      </c>
      <c r="D846" s="360"/>
      <c r="E846" s="360"/>
      <c r="F846" s="360"/>
      <c r="G846" s="360"/>
      <c r="H846" s="360"/>
      <c r="I846" s="360"/>
      <c r="J846" s="360"/>
      <c r="K846" s="360"/>
      <c r="L846" s="360"/>
      <c r="M846" s="360"/>
      <c r="N846" s="360"/>
      <c r="O846" s="360"/>
      <c r="P846" s="360"/>
      <c r="Q846" s="360"/>
      <c r="R846" s="360"/>
      <c r="S846" s="360"/>
      <c r="T846" s="360">
        <f>'[1]Lien vị'!BN54</f>
        <v>0</v>
      </c>
      <c r="U846" s="360"/>
    </row>
    <row r="847" spans="1:21" ht="19.5" customHeight="1">
      <c r="A847" s="360" t="s">
        <v>100</v>
      </c>
      <c r="B847" s="362" t="s">
        <v>134</v>
      </c>
      <c r="C847" s="360" t="s">
        <v>101</v>
      </c>
      <c r="D847" s="360"/>
      <c r="E847" s="360"/>
      <c r="F847" s="360"/>
      <c r="G847" s="360"/>
      <c r="H847" s="360"/>
      <c r="I847" s="360"/>
      <c r="J847" s="360"/>
      <c r="K847" s="360"/>
      <c r="L847" s="360"/>
      <c r="M847" s="360"/>
      <c r="N847" s="360"/>
      <c r="O847" s="360"/>
      <c r="P847" s="360"/>
      <c r="Q847" s="360"/>
      <c r="R847" s="360"/>
      <c r="S847" s="360"/>
      <c r="T847" s="360"/>
      <c r="U847" s="360"/>
    </row>
    <row r="848" spans="1:21" ht="28.5" customHeight="1">
      <c r="A848" s="360" t="s">
        <v>102</v>
      </c>
      <c r="B848" s="362" t="s">
        <v>103</v>
      </c>
      <c r="C848" s="360" t="s">
        <v>104</v>
      </c>
      <c r="D848" s="360"/>
      <c r="E848" s="360"/>
      <c r="F848" s="360"/>
      <c r="G848" s="360"/>
      <c r="H848" s="360"/>
      <c r="I848" s="360"/>
      <c r="J848" s="360"/>
      <c r="K848" s="360"/>
      <c r="L848" s="360"/>
      <c r="M848" s="360"/>
      <c r="N848" s="360"/>
      <c r="O848" s="360"/>
      <c r="P848" s="360"/>
      <c r="Q848" s="360"/>
      <c r="R848" s="360"/>
      <c r="S848" s="360"/>
      <c r="T848" s="360"/>
      <c r="U848" s="360"/>
    </row>
    <row r="849" spans="1:21" ht="19.5" customHeight="1">
      <c r="A849" s="360" t="s">
        <v>105</v>
      </c>
      <c r="B849" s="362" t="s">
        <v>106</v>
      </c>
      <c r="C849" s="360" t="s">
        <v>107</v>
      </c>
      <c r="D849" s="360"/>
      <c r="E849" s="360"/>
      <c r="F849" s="360"/>
      <c r="G849" s="360"/>
      <c r="H849" s="360"/>
      <c r="I849" s="360"/>
      <c r="J849" s="360"/>
      <c r="K849" s="360"/>
      <c r="L849" s="360"/>
      <c r="M849" s="360"/>
      <c r="N849" s="360"/>
      <c r="O849" s="360"/>
      <c r="P849" s="360"/>
      <c r="Q849" s="360"/>
      <c r="R849" s="360"/>
      <c r="S849" s="360"/>
      <c r="T849" s="360">
        <f>'[1]Lien vị'!BN57</f>
        <v>0.4</v>
      </c>
      <c r="U849" s="360"/>
    </row>
    <row r="850" spans="1:21" ht="19.5" customHeight="1">
      <c r="A850" s="360" t="s">
        <v>108</v>
      </c>
      <c r="B850" s="362" t="s">
        <v>109</v>
      </c>
      <c r="C850" s="360" t="s">
        <v>110</v>
      </c>
      <c r="D850" s="360"/>
      <c r="E850" s="360"/>
      <c r="F850" s="360"/>
      <c r="G850" s="360"/>
      <c r="H850" s="360"/>
      <c r="I850" s="360"/>
      <c r="J850" s="360"/>
      <c r="K850" s="360"/>
      <c r="L850" s="360"/>
      <c r="M850" s="360"/>
      <c r="N850" s="360"/>
      <c r="O850" s="360"/>
      <c r="P850" s="360"/>
      <c r="Q850" s="360"/>
      <c r="R850" s="360"/>
      <c r="S850" s="360"/>
      <c r="T850" s="360">
        <f>'[1]Lien vị'!BN58</f>
        <v>0.31000000000000005</v>
      </c>
      <c r="U850" s="360"/>
    </row>
    <row r="851" spans="1:21" ht="19.5" customHeight="1">
      <c r="A851" s="360" t="s">
        <v>111</v>
      </c>
      <c r="B851" s="362" t="s">
        <v>112</v>
      </c>
      <c r="C851" s="360" t="s">
        <v>113</v>
      </c>
      <c r="D851" s="360"/>
      <c r="E851" s="360"/>
      <c r="F851" s="360"/>
      <c r="G851" s="360"/>
      <c r="H851" s="360"/>
      <c r="I851" s="360"/>
      <c r="J851" s="360"/>
      <c r="K851" s="360"/>
      <c r="L851" s="360"/>
      <c r="M851" s="360"/>
      <c r="N851" s="360"/>
      <c r="O851" s="360"/>
      <c r="P851" s="360"/>
      <c r="Q851" s="360"/>
      <c r="R851" s="360"/>
      <c r="S851" s="360"/>
      <c r="T851" s="360">
        <f>'[1]Lien vị'!BN59</f>
        <v>1.77</v>
      </c>
      <c r="U851" s="360"/>
    </row>
    <row r="852" spans="1:21" ht="19.5" customHeight="1">
      <c r="A852" s="360" t="s">
        <v>114</v>
      </c>
      <c r="B852" s="362" t="s">
        <v>115</v>
      </c>
      <c r="C852" s="360" t="s">
        <v>116</v>
      </c>
      <c r="D852" s="360">
        <v>2.5</v>
      </c>
      <c r="E852" s="360"/>
      <c r="F852" s="360"/>
      <c r="G852" s="360"/>
      <c r="H852" s="360"/>
      <c r="I852" s="360"/>
      <c r="J852" s="360"/>
      <c r="K852" s="360"/>
      <c r="L852" s="360"/>
      <c r="M852" s="360"/>
      <c r="N852" s="360"/>
      <c r="O852" s="360"/>
      <c r="P852" s="360"/>
      <c r="Q852" s="360"/>
      <c r="R852" s="360"/>
      <c r="S852" s="360"/>
      <c r="T852" s="360"/>
      <c r="U852" s="360"/>
    </row>
    <row r="853" spans="1:21" ht="19.5" customHeight="1">
      <c r="A853" s="360" t="s">
        <v>117</v>
      </c>
      <c r="B853" s="362" t="s">
        <v>118</v>
      </c>
      <c r="C853" s="360" t="s">
        <v>119</v>
      </c>
      <c r="D853" s="360"/>
      <c r="E853" s="360"/>
      <c r="F853" s="360"/>
      <c r="G853" s="360"/>
      <c r="H853" s="360"/>
      <c r="I853" s="360"/>
      <c r="J853" s="360"/>
      <c r="K853" s="360"/>
      <c r="L853" s="360"/>
      <c r="M853" s="360"/>
      <c r="N853" s="360"/>
      <c r="O853" s="360"/>
      <c r="P853" s="360"/>
      <c r="Q853" s="360"/>
      <c r="R853" s="360"/>
      <c r="S853" s="360"/>
      <c r="T853" s="360"/>
      <c r="U853" s="360"/>
    </row>
    <row r="854" spans="1:21" ht="19.5" customHeight="1">
      <c r="A854" s="360" t="s">
        <v>120</v>
      </c>
      <c r="B854" s="362" t="s">
        <v>121</v>
      </c>
      <c r="C854" s="360" t="s">
        <v>122</v>
      </c>
      <c r="D854" s="360"/>
      <c r="E854" s="360"/>
      <c r="F854" s="360"/>
      <c r="G854" s="360"/>
      <c r="H854" s="360"/>
      <c r="I854" s="360"/>
      <c r="J854" s="360"/>
      <c r="K854" s="360"/>
      <c r="L854" s="360"/>
      <c r="M854" s="360"/>
      <c r="N854" s="360"/>
      <c r="O854" s="360"/>
      <c r="P854" s="360"/>
      <c r="Q854" s="360"/>
      <c r="R854" s="360"/>
      <c r="S854" s="360"/>
      <c r="T854" s="360"/>
      <c r="U854" s="360"/>
    </row>
    <row r="855" spans="1:21" ht="19.5" customHeight="1">
      <c r="A855" s="360">
        <v>3</v>
      </c>
      <c r="B855" s="362" t="s">
        <v>123</v>
      </c>
      <c r="C855" s="360" t="s">
        <v>124</v>
      </c>
      <c r="D855" s="360"/>
      <c r="E855" s="360"/>
      <c r="F855" s="360"/>
      <c r="G855" s="360"/>
      <c r="H855" s="360"/>
      <c r="I855" s="360"/>
      <c r="J855" s="360"/>
      <c r="K855" s="360"/>
      <c r="L855" s="360"/>
      <c r="M855" s="360"/>
      <c r="N855" s="360"/>
      <c r="O855" s="360"/>
      <c r="P855" s="360"/>
      <c r="Q855" s="360"/>
      <c r="R855" s="360"/>
      <c r="S855" s="360"/>
      <c r="T855" s="360"/>
      <c r="U855" s="360"/>
    </row>
    <row r="856" spans="1:21" ht="19.5" customHeight="1">
      <c r="A856" s="1355" t="s">
        <v>364</v>
      </c>
      <c r="B856" s="1355"/>
      <c r="C856" s="372"/>
      <c r="D856" s="372"/>
      <c r="E856" s="372"/>
      <c r="F856" s="372"/>
      <c r="G856" s="372"/>
      <c r="H856" s="372"/>
      <c r="I856" s="372"/>
      <c r="J856" s="372"/>
      <c r="K856" s="372"/>
      <c r="L856" s="372"/>
      <c r="M856" s="372"/>
      <c r="N856" s="372"/>
      <c r="O856" s="372"/>
      <c r="P856" s="372"/>
      <c r="Q856" s="372"/>
      <c r="R856" s="372"/>
      <c r="S856" s="372"/>
      <c r="T856" s="372"/>
      <c r="U856" s="372"/>
    </row>
    <row r="857" spans="1:21" ht="19.5" customHeight="1">
      <c r="A857" s="1354" t="s">
        <v>185</v>
      </c>
      <c r="B857" s="1354"/>
      <c r="C857" s="1354"/>
      <c r="D857" s="1354"/>
      <c r="E857" s="1354"/>
      <c r="F857" s="1354"/>
      <c r="G857" s="1354"/>
      <c r="H857" s="1354"/>
      <c r="I857" s="1354"/>
      <c r="J857" s="1354"/>
      <c r="K857" s="1354"/>
      <c r="L857" s="1354"/>
      <c r="M857" s="1354"/>
      <c r="N857" s="1354"/>
      <c r="O857" s="1354"/>
      <c r="P857" s="1354"/>
      <c r="Q857" s="1354"/>
      <c r="R857" s="1354"/>
      <c r="S857" s="1354"/>
      <c r="T857" s="1354"/>
      <c r="U857" s="1354"/>
    </row>
    <row r="858" spans="1:21" ht="19.5" customHeight="1">
      <c r="A858" s="1354" t="s">
        <v>322</v>
      </c>
      <c r="B858" s="1354"/>
      <c r="C858" s="1354"/>
      <c r="D858" s="1354"/>
      <c r="E858" s="1354"/>
      <c r="F858" s="1354"/>
      <c r="G858" s="1354"/>
      <c r="H858" s="1354"/>
      <c r="I858" s="1354"/>
      <c r="J858" s="1354"/>
      <c r="K858" s="1354"/>
      <c r="L858" s="1354"/>
      <c r="M858" s="1354"/>
      <c r="N858" s="1354"/>
      <c r="O858" s="1354"/>
      <c r="P858" s="1354"/>
      <c r="Q858" s="1354"/>
      <c r="R858" s="1354"/>
      <c r="S858" s="1354"/>
      <c r="T858" s="1354"/>
      <c r="U858" s="1354"/>
    </row>
    <row r="859" spans="1:21" ht="19.5" customHeight="1"/>
    <row r="860" spans="1:21" ht="19.5" customHeight="1">
      <c r="A860" s="1356" t="s">
        <v>0</v>
      </c>
      <c r="B860" s="1356" t="s">
        <v>186</v>
      </c>
      <c r="C860" s="1356" t="s">
        <v>13</v>
      </c>
      <c r="D860" s="1356" t="s">
        <v>139</v>
      </c>
      <c r="E860" s="1356"/>
      <c r="F860" s="1356" t="s">
        <v>140</v>
      </c>
      <c r="G860" s="1356"/>
      <c r="H860" s="1356" t="s">
        <v>141</v>
      </c>
      <c r="I860" s="1356"/>
      <c r="J860" s="1356" t="s">
        <v>142</v>
      </c>
      <c r="K860" s="1356"/>
      <c r="L860" s="1356" t="s">
        <v>143</v>
      </c>
      <c r="M860" s="1356"/>
      <c r="N860" s="1356" t="s">
        <v>144</v>
      </c>
      <c r="O860" s="1356"/>
      <c r="P860" s="1356" t="s">
        <v>188</v>
      </c>
      <c r="Q860" s="1356"/>
      <c r="R860" s="1356" t="s">
        <v>145</v>
      </c>
      <c r="S860" s="1356"/>
      <c r="T860" s="1356" t="s">
        <v>146</v>
      </c>
      <c r="U860" s="1356"/>
    </row>
    <row r="861" spans="1:21" ht="51.75" customHeight="1">
      <c r="A861" s="1356"/>
      <c r="B861" s="1356"/>
      <c r="C861" s="1356"/>
      <c r="D861" s="360" t="s">
        <v>137</v>
      </c>
      <c r="E861" s="360" t="s">
        <v>187</v>
      </c>
      <c r="F861" s="360" t="s">
        <v>137</v>
      </c>
      <c r="G861" s="360" t="s">
        <v>187</v>
      </c>
      <c r="H861" s="360" t="s">
        <v>137</v>
      </c>
      <c r="I861" s="360" t="s">
        <v>187</v>
      </c>
      <c r="J861" s="360" t="s">
        <v>137</v>
      </c>
      <c r="K861" s="360" t="s">
        <v>187</v>
      </c>
      <c r="L861" s="360" t="s">
        <v>137</v>
      </c>
      <c r="M861" s="360" t="s">
        <v>187</v>
      </c>
      <c r="N861" s="360" t="s">
        <v>137</v>
      </c>
      <c r="O861" s="360" t="s">
        <v>187</v>
      </c>
      <c r="P861" s="360" t="s">
        <v>137</v>
      </c>
      <c r="Q861" s="360" t="s">
        <v>187</v>
      </c>
      <c r="R861" s="360" t="s">
        <v>137</v>
      </c>
      <c r="S861" s="360" t="s">
        <v>187</v>
      </c>
      <c r="T861" s="360" t="s">
        <v>137</v>
      </c>
      <c r="U861" s="360" t="s">
        <v>187</v>
      </c>
    </row>
    <row r="862" spans="1:21" ht="33.75" customHeight="1">
      <c r="A862" s="360">
        <v>1</v>
      </c>
      <c r="B862" s="362" t="s">
        <v>14</v>
      </c>
      <c r="C862" s="360" t="s">
        <v>15</v>
      </c>
      <c r="D862" s="360">
        <f>D863+D865+D866+D867+D868+D869+D870+D871+D872</f>
        <v>2.5</v>
      </c>
      <c r="E862" s="360">
        <f t="shared" ref="E862:U862" si="76">E863+E865+E866+E867+E868+E869+E870+E871+E872</f>
        <v>0</v>
      </c>
      <c r="F862" s="360">
        <f t="shared" si="76"/>
        <v>0</v>
      </c>
      <c r="G862" s="360">
        <f t="shared" si="76"/>
        <v>0</v>
      </c>
      <c r="H862" s="360">
        <f t="shared" si="76"/>
        <v>107</v>
      </c>
      <c r="I862" s="360">
        <f t="shared" si="76"/>
        <v>0</v>
      </c>
      <c r="J862" s="360">
        <f t="shared" si="76"/>
        <v>0</v>
      </c>
      <c r="K862" s="360">
        <f t="shared" si="76"/>
        <v>0</v>
      </c>
      <c r="L862" s="360">
        <f t="shared" si="76"/>
        <v>0</v>
      </c>
      <c r="M862" s="360">
        <f t="shared" si="76"/>
        <v>0</v>
      </c>
      <c r="N862" s="360">
        <f t="shared" si="76"/>
        <v>0</v>
      </c>
      <c r="O862" s="360">
        <f t="shared" si="76"/>
        <v>0</v>
      </c>
      <c r="P862" s="360">
        <f t="shared" si="76"/>
        <v>0</v>
      </c>
      <c r="Q862" s="360">
        <f t="shared" si="76"/>
        <v>0</v>
      </c>
      <c r="R862" s="360">
        <f t="shared" si="76"/>
        <v>0</v>
      </c>
      <c r="S862" s="360">
        <f t="shared" si="76"/>
        <v>0</v>
      </c>
      <c r="T862" s="360">
        <f t="shared" si="76"/>
        <v>1.2</v>
      </c>
      <c r="U862" s="360">
        <f t="shared" si="76"/>
        <v>0</v>
      </c>
    </row>
    <row r="863" spans="1:21" ht="19.5" customHeight="1">
      <c r="A863" s="360" t="s">
        <v>16</v>
      </c>
      <c r="B863" s="362" t="s">
        <v>17</v>
      </c>
      <c r="C863" s="360" t="s">
        <v>18</v>
      </c>
      <c r="D863" s="360">
        <f t="shared" ref="D863:U863" si="77">D864</f>
        <v>0</v>
      </c>
      <c r="E863" s="360">
        <f t="shared" si="77"/>
        <v>0</v>
      </c>
      <c r="F863" s="360">
        <f t="shared" si="77"/>
        <v>0</v>
      </c>
      <c r="G863" s="360">
        <f t="shared" si="77"/>
        <v>0</v>
      </c>
      <c r="H863" s="360">
        <f t="shared" si="77"/>
        <v>0</v>
      </c>
      <c r="I863" s="360">
        <f t="shared" si="77"/>
        <v>0</v>
      </c>
      <c r="J863" s="360">
        <f t="shared" si="77"/>
        <v>0</v>
      </c>
      <c r="K863" s="360">
        <f t="shared" si="77"/>
        <v>0</v>
      </c>
      <c r="L863" s="360">
        <f t="shared" si="77"/>
        <v>0</v>
      </c>
      <c r="M863" s="360">
        <f t="shared" si="77"/>
        <v>0</v>
      </c>
      <c r="N863" s="360">
        <f t="shared" si="77"/>
        <v>0</v>
      </c>
      <c r="O863" s="360">
        <f t="shared" si="77"/>
        <v>0</v>
      </c>
      <c r="P863" s="360">
        <f t="shared" si="77"/>
        <v>0</v>
      </c>
      <c r="Q863" s="360">
        <f t="shared" si="77"/>
        <v>0</v>
      </c>
      <c r="R863" s="360">
        <f t="shared" si="77"/>
        <v>0</v>
      </c>
      <c r="S863" s="360">
        <f t="shared" si="77"/>
        <v>0</v>
      </c>
      <c r="T863" s="360">
        <f t="shared" si="77"/>
        <v>0</v>
      </c>
      <c r="U863" s="360">
        <f t="shared" si="77"/>
        <v>0</v>
      </c>
    </row>
    <row r="864" spans="1:21" ht="19.5" customHeight="1">
      <c r="A864" s="360"/>
      <c r="B864" s="362" t="s">
        <v>19</v>
      </c>
      <c r="C864" s="360" t="s">
        <v>20</v>
      </c>
      <c r="D864" s="360"/>
      <c r="E864" s="360"/>
      <c r="F864" s="360"/>
      <c r="G864" s="360"/>
      <c r="H864" s="360"/>
      <c r="I864" s="360"/>
      <c r="J864" s="360"/>
      <c r="K864" s="360"/>
      <c r="L864" s="360"/>
      <c r="M864" s="360"/>
      <c r="N864" s="360"/>
      <c r="O864" s="360"/>
      <c r="P864" s="360"/>
      <c r="Q864" s="360"/>
      <c r="R864" s="360"/>
      <c r="S864" s="360"/>
      <c r="T864" s="360"/>
      <c r="U864" s="360"/>
    </row>
    <row r="865" spans="1:21" ht="19.5" customHeight="1">
      <c r="A865" s="360" t="s">
        <v>21</v>
      </c>
      <c r="B865" s="362" t="s">
        <v>22</v>
      </c>
      <c r="C865" s="360" t="s">
        <v>23</v>
      </c>
      <c r="D865" s="360"/>
      <c r="E865" s="360"/>
      <c r="F865" s="360"/>
      <c r="G865" s="360"/>
      <c r="H865" s="360"/>
      <c r="I865" s="360"/>
      <c r="J865" s="360"/>
      <c r="K865" s="360"/>
      <c r="L865" s="360"/>
      <c r="M865" s="360"/>
      <c r="N865" s="360"/>
      <c r="O865" s="360"/>
      <c r="P865" s="360"/>
      <c r="Q865" s="360"/>
      <c r="R865" s="360"/>
      <c r="S865" s="360"/>
      <c r="T865" s="360"/>
      <c r="U865" s="360"/>
    </row>
    <row r="866" spans="1:21" ht="19.5" customHeight="1">
      <c r="A866" s="360" t="s">
        <v>24</v>
      </c>
      <c r="B866" s="362" t="s">
        <v>25</v>
      </c>
      <c r="C866" s="360" t="s">
        <v>26</v>
      </c>
      <c r="D866" s="360"/>
      <c r="E866" s="360"/>
      <c r="F866" s="360"/>
      <c r="G866" s="360"/>
      <c r="H866" s="360"/>
      <c r="I866" s="360"/>
      <c r="J866" s="360"/>
      <c r="K866" s="360"/>
      <c r="L866" s="360"/>
      <c r="M866" s="360"/>
      <c r="N866" s="360"/>
      <c r="O866" s="360"/>
      <c r="P866" s="360"/>
      <c r="Q866" s="360"/>
      <c r="R866" s="360"/>
      <c r="S866" s="360"/>
      <c r="T866" s="360">
        <v>1.2</v>
      </c>
      <c r="U866" s="360"/>
    </row>
    <row r="867" spans="1:21" ht="19.5" customHeight="1">
      <c r="A867" s="360" t="s">
        <v>27</v>
      </c>
      <c r="B867" s="362" t="s">
        <v>28</v>
      </c>
      <c r="C867" s="360" t="s">
        <v>29</v>
      </c>
      <c r="D867" s="360"/>
      <c r="E867" s="360"/>
      <c r="F867" s="360"/>
      <c r="G867" s="360"/>
      <c r="H867" s="360">
        <v>107</v>
      </c>
      <c r="I867" s="360"/>
      <c r="J867" s="360"/>
      <c r="K867" s="360"/>
      <c r="L867" s="360"/>
      <c r="M867" s="360"/>
      <c r="N867" s="360"/>
      <c r="O867" s="360"/>
      <c r="P867" s="360"/>
      <c r="Q867" s="360"/>
      <c r="R867" s="360"/>
      <c r="S867" s="360"/>
      <c r="T867" s="360"/>
      <c r="U867" s="360"/>
    </row>
    <row r="868" spans="1:21" ht="19.5" customHeight="1">
      <c r="A868" s="360" t="s">
        <v>30</v>
      </c>
      <c r="B868" s="362" t="s">
        <v>31</v>
      </c>
      <c r="C868" s="360" t="s">
        <v>32</v>
      </c>
      <c r="D868" s="360"/>
      <c r="E868" s="360"/>
      <c r="F868" s="360"/>
      <c r="G868" s="360"/>
      <c r="H868" s="360"/>
      <c r="I868" s="360"/>
      <c r="J868" s="360"/>
      <c r="K868" s="360"/>
      <c r="L868" s="360"/>
      <c r="M868" s="360"/>
      <c r="N868" s="360"/>
      <c r="O868" s="360"/>
      <c r="P868" s="360"/>
      <c r="Q868" s="360"/>
      <c r="R868" s="360"/>
      <c r="S868" s="360"/>
      <c r="T868" s="360"/>
      <c r="U868" s="360"/>
    </row>
    <row r="869" spans="1:21" ht="19.5" customHeight="1">
      <c r="A869" s="360" t="s">
        <v>33</v>
      </c>
      <c r="B869" s="362" t="s">
        <v>34</v>
      </c>
      <c r="C869" s="360" t="s">
        <v>35</v>
      </c>
      <c r="D869" s="360"/>
      <c r="E869" s="360"/>
      <c r="F869" s="360"/>
      <c r="G869" s="360"/>
      <c r="H869" s="360"/>
      <c r="I869" s="360"/>
      <c r="J869" s="360"/>
      <c r="K869" s="360"/>
      <c r="L869" s="360"/>
      <c r="M869" s="360"/>
      <c r="N869" s="360"/>
      <c r="O869" s="360"/>
      <c r="P869" s="360"/>
      <c r="Q869" s="360"/>
      <c r="R869" s="360"/>
      <c r="S869" s="360"/>
      <c r="T869" s="360"/>
      <c r="U869" s="360"/>
    </row>
    <row r="870" spans="1:21" ht="19.5" customHeight="1">
      <c r="A870" s="360" t="s">
        <v>36</v>
      </c>
      <c r="B870" s="362" t="s">
        <v>37</v>
      </c>
      <c r="C870" s="360" t="s">
        <v>38</v>
      </c>
      <c r="D870" s="360">
        <v>2.5</v>
      </c>
      <c r="E870" s="360"/>
      <c r="F870" s="360"/>
      <c r="G870" s="360"/>
      <c r="H870" s="360"/>
      <c r="I870" s="360"/>
      <c r="J870" s="360"/>
      <c r="K870" s="360"/>
      <c r="L870" s="360"/>
      <c r="M870" s="360"/>
      <c r="N870" s="360"/>
      <c r="O870" s="360"/>
      <c r="P870" s="360"/>
      <c r="Q870" s="360"/>
      <c r="R870" s="360"/>
      <c r="S870" s="360"/>
      <c r="T870" s="360"/>
      <c r="U870" s="360"/>
    </row>
    <row r="871" spans="1:21" ht="19.5" customHeight="1">
      <c r="A871" s="360" t="s">
        <v>39</v>
      </c>
      <c r="B871" s="362" t="s">
        <v>40</v>
      </c>
      <c r="C871" s="360" t="s">
        <v>41</v>
      </c>
      <c r="D871" s="360"/>
      <c r="E871" s="360"/>
      <c r="F871" s="360"/>
      <c r="G871" s="360"/>
      <c r="H871" s="360"/>
      <c r="I871" s="360"/>
      <c r="J871" s="360"/>
      <c r="K871" s="360"/>
      <c r="L871" s="360"/>
      <c r="M871" s="360"/>
      <c r="N871" s="360"/>
      <c r="O871" s="360"/>
      <c r="P871" s="360"/>
      <c r="Q871" s="360"/>
      <c r="R871" s="360"/>
      <c r="S871" s="360"/>
      <c r="T871" s="360"/>
      <c r="U871" s="360"/>
    </row>
    <row r="872" spans="1:21" ht="19.5" customHeight="1">
      <c r="A872" s="360">
        <v>2</v>
      </c>
      <c r="B872" s="362" t="s">
        <v>43</v>
      </c>
      <c r="C872" s="360" t="s">
        <v>44</v>
      </c>
      <c r="D872" s="360"/>
      <c r="E872" s="360"/>
      <c r="F872" s="360"/>
      <c r="G872" s="360"/>
      <c r="H872" s="360"/>
      <c r="I872" s="360"/>
      <c r="J872" s="360"/>
      <c r="K872" s="360"/>
      <c r="L872" s="360"/>
      <c r="M872" s="360"/>
      <c r="N872" s="360"/>
      <c r="O872" s="360"/>
      <c r="P872" s="360"/>
      <c r="Q872" s="360"/>
      <c r="R872" s="360"/>
      <c r="S872" s="360"/>
      <c r="T872" s="360"/>
      <c r="U872" s="360"/>
    </row>
    <row r="873" spans="1:21" ht="19.5" customHeight="1">
      <c r="A873" s="360">
        <v>2</v>
      </c>
      <c r="B873" s="362" t="s">
        <v>45</v>
      </c>
      <c r="C873" s="360" t="s">
        <v>46</v>
      </c>
      <c r="D873" s="360">
        <f>SUM(D874:D899)</f>
        <v>2.2999999999999998</v>
      </c>
      <c r="E873" s="360">
        <f t="shared" ref="E873:U873" si="78">SUM(E874:E899)</f>
        <v>0</v>
      </c>
      <c r="F873" s="360">
        <f t="shared" si="78"/>
        <v>0</v>
      </c>
      <c r="G873" s="360">
        <f t="shared" si="78"/>
        <v>0</v>
      </c>
      <c r="H873" s="360">
        <f t="shared" si="78"/>
        <v>0</v>
      </c>
      <c r="I873" s="360">
        <f t="shared" si="78"/>
        <v>0</v>
      </c>
      <c r="J873" s="360">
        <f t="shared" si="78"/>
        <v>0</v>
      </c>
      <c r="K873" s="360">
        <f t="shared" si="78"/>
        <v>0</v>
      </c>
      <c r="L873" s="360">
        <f t="shared" si="78"/>
        <v>0</v>
      </c>
      <c r="M873" s="360">
        <f t="shared" si="78"/>
        <v>0</v>
      </c>
      <c r="N873" s="360">
        <f t="shared" si="78"/>
        <v>507.3</v>
      </c>
      <c r="O873" s="360">
        <f t="shared" si="78"/>
        <v>0</v>
      </c>
      <c r="P873" s="360">
        <f t="shared" si="78"/>
        <v>0</v>
      </c>
      <c r="Q873" s="360">
        <f t="shared" si="78"/>
        <v>0</v>
      </c>
      <c r="R873" s="360">
        <f t="shared" si="78"/>
        <v>0</v>
      </c>
      <c r="S873" s="360">
        <f t="shared" si="78"/>
        <v>0</v>
      </c>
      <c r="T873" s="360">
        <f t="shared" si="78"/>
        <v>144.02000000000004</v>
      </c>
      <c r="U873" s="360">
        <f t="shared" si="78"/>
        <v>0</v>
      </c>
    </row>
    <row r="874" spans="1:21" ht="19.5" customHeight="1">
      <c r="A874" s="360" t="s">
        <v>47</v>
      </c>
      <c r="B874" s="362" t="s">
        <v>48</v>
      </c>
      <c r="C874" s="360" t="s">
        <v>49</v>
      </c>
      <c r="D874" s="360"/>
      <c r="E874" s="360"/>
      <c r="F874" s="360"/>
      <c r="G874" s="360"/>
      <c r="H874" s="360"/>
      <c r="I874" s="360"/>
      <c r="J874" s="360"/>
      <c r="K874" s="360"/>
      <c r="L874" s="360"/>
      <c r="M874" s="360"/>
      <c r="N874" s="360"/>
      <c r="O874" s="360"/>
      <c r="P874" s="360"/>
      <c r="Q874" s="360"/>
      <c r="R874" s="360"/>
      <c r="S874" s="360"/>
      <c r="T874" s="360"/>
      <c r="U874" s="360"/>
    </row>
    <row r="875" spans="1:21" ht="19.5" customHeight="1">
      <c r="A875" s="360" t="s">
        <v>50</v>
      </c>
      <c r="B875" s="362" t="s">
        <v>51</v>
      </c>
      <c r="C875" s="360" t="s">
        <v>52</v>
      </c>
      <c r="D875" s="360"/>
      <c r="E875" s="360"/>
      <c r="F875" s="360"/>
      <c r="G875" s="360"/>
      <c r="H875" s="360"/>
      <c r="I875" s="360"/>
      <c r="J875" s="360"/>
      <c r="K875" s="360"/>
      <c r="L875" s="360"/>
      <c r="M875" s="360"/>
      <c r="N875" s="360"/>
      <c r="O875" s="360"/>
      <c r="P875" s="360"/>
      <c r="Q875" s="360"/>
      <c r="R875" s="360"/>
      <c r="S875" s="360"/>
      <c r="T875" s="360"/>
      <c r="U875" s="360"/>
    </row>
    <row r="876" spans="1:21" ht="19.5" customHeight="1">
      <c r="A876" s="360" t="s">
        <v>53</v>
      </c>
      <c r="B876" s="362" t="s">
        <v>54</v>
      </c>
      <c r="C876" s="360" t="s">
        <v>55</v>
      </c>
      <c r="D876" s="360"/>
      <c r="E876" s="360"/>
      <c r="F876" s="360"/>
      <c r="G876" s="360"/>
      <c r="H876" s="360"/>
      <c r="I876" s="360"/>
      <c r="J876" s="360"/>
      <c r="K876" s="360"/>
      <c r="L876" s="360"/>
      <c r="M876" s="360"/>
      <c r="N876" s="360">
        <f>'[1]Tien Phong'!BN28</f>
        <v>507.3</v>
      </c>
      <c r="O876" s="360"/>
      <c r="P876" s="360"/>
      <c r="Q876" s="360"/>
      <c r="R876" s="360"/>
      <c r="S876" s="360"/>
      <c r="T876" s="360"/>
      <c r="U876" s="360"/>
    </row>
    <row r="877" spans="1:21" ht="19.5" customHeight="1">
      <c r="A877" s="360" t="s">
        <v>56</v>
      </c>
      <c r="B877" s="362" t="s">
        <v>57</v>
      </c>
      <c r="C877" s="360" t="s">
        <v>58</v>
      </c>
      <c r="D877" s="360"/>
      <c r="E877" s="360"/>
      <c r="F877" s="360"/>
      <c r="G877" s="360"/>
      <c r="H877" s="360"/>
      <c r="I877" s="360"/>
      <c r="J877" s="360"/>
      <c r="K877" s="360"/>
      <c r="L877" s="360"/>
      <c r="M877" s="360"/>
      <c r="N877" s="360"/>
      <c r="O877" s="360"/>
      <c r="P877" s="360"/>
      <c r="Q877" s="360"/>
      <c r="R877" s="360"/>
      <c r="S877" s="360"/>
      <c r="T877" s="360"/>
      <c r="U877" s="360"/>
    </row>
    <row r="878" spans="1:21" ht="19.5" customHeight="1">
      <c r="A878" s="360" t="s">
        <v>59</v>
      </c>
      <c r="B878" s="362" t="s">
        <v>60</v>
      </c>
      <c r="C878" s="360" t="s">
        <v>61</v>
      </c>
      <c r="D878" s="360"/>
      <c r="E878" s="360"/>
      <c r="F878" s="360"/>
      <c r="G878" s="360"/>
      <c r="H878" s="360"/>
      <c r="I878" s="360"/>
      <c r="J878" s="360"/>
      <c r="K878" s="360"/>
      <c r="L878" s="360"/>
      <c r="M878" s="360"/>
      <c r="N878" s="360"/>
      <c r="O878" s="360"/>
      <c r="P878" s="360"/>
      <c r="Q878" s="360"/>
      <c r="R878" s="360"/>
      <c r="S878" s="360"/>
      <c r="T878" s="360"/>
      <c r="U878" s="360"/>
    </row>
    <row r="879" spans="1:21" ht="19.5" customHeight="1">
      <c r="A879" s="360" t="s">
        <v>62</v>
      </c>
      <c r="B879" s="362" t="s">
        <v>63</v>
      </c>
      <c r="C879" s="360" t="s">
        <v>64</v>
      </c>
      <c r="D879" s="360"/>
      <c r="E879" s="360"/>
      <c r="F879" s="360"/>
      <c r="G879" s="360"/>
      <c r="H879" s="360"/>
      <c r="I879" s="360"/>
      <c r="J879" s="360"/>
      <c r="K879" s="360"/>
      <c r="L879" s="360"/>
      <c r="M879" s="360"/>
      <c r="N879" s="360"/>
      <c r="O879" s="360"/>
      <c r="P879" s="360"/>
      <c r="Q879" s="360"/>
      <c r="R879" s="360"/>
      <c r="S879" s="360"/>
      <c r="T879" s="360">
        <f>'[1]Tien Phong'!BN31</f>
        <v>0.36</v>
      </c>
      <c r="U879" s="360"/>
    </row>
    <row r="880" spans="1:21" ht="19.5" customHeight="1">
      <c r="A880" s="360" t="s">
        <v>65</v>
      </c>
      <c r="B880" s="362" t="s">
        <v>66</v>
      </c>
      <c r="C880" s="360" t="s">
        <v>67</v>
      </c>
      <c r="D880" s="360"/>
      <c r="E880" s="360"/>
      <c r="F880" s="360"/>
      <c r="G880" s="360"/>
      <c r="H880" s="360"/>
      <c r="I880" s="360"/>
      <c r="J880" s="360"/>
      <c r="K880" s="360"/>
      <c r="L880" s="360"/>
      <c r="M880" s="360"/>
      <c r="N880" s="360"/>
      <c r="O880" s="360"/>
      <c r="P880" s="360"/>
      <c r="Q880" s="360"/>
      <c r="R880" s="360"/>
      <c r="S880" s="360"/>
      <c r="T880" s="360">
        <f>100-48.85</f>
        <v>51.15</v>
      </c>
      <c r="U880" s="360"/>
    </row>
    <row r="881" spans="1:21" ht="19.5" customHeight="1">
      <c r="A881" s="360" t="s">
        <v>68</v>
      </c>
      <c r="B881" s="362" t="s">
        <v>69</v>
      </c>
      <c r="C881" s="360" t="s">
        <v>70</v>
      </c>
      <c r="D881" s="360"/>
      <c r="E881" s="360"/>
      <c r="F881" s="360"/>
      <c r="G881" s="360"/>
      <c r="H881" s="360"/>
      <c r="I881" s="360"/>
      <c r="J881" s="360"/>
      <c r="K881" s="360"/>
      <c r="L881" s="360"/>
      <c r="M881" s="360"/>
      <c r="N881" s="360"/>
      <c r="O881" s="360"/>
      <c r="P881" s="360"/>
      <c r="Q881" s="360"/>
      <c r="R881" s="360"/>
      <c r="S881" s="360"/>
      <c r="T881" s="360"/>
      <c r="U881" s="360"/>
    </row>
    <row r="882" spans="1:21" ht="19.5" customHeight="1">
      <c r="A882" s="360" t="s">
        <v>71</v>
      </c>
      <c r="B882" s="362" t="s">
        <v>135</v>
      </c>
      <c r="C882" s="360" t="s">
        <v>72</v>
      </c>
      <c r="D882" s="360">
        <v>2.2999999999999998</v>
      </c>
      <c r="E882" s="360"/>
      <c r="F882" s="360"/>
      <c r="G882" s="360"/>
      <c r="H882" s="360"/>
      <c r="I882" s="360"/>
      <c r="J882" s="360"/>
      <c r="K882" s="360"/>
      <c r="L882" s="360"/>
      <c r="M882" s="360"/>
      <c r="N882" s="360"/>
      <c r="O882" s="360"/>
      <c r="P882" s="360"/>
      <c r="Q882" s="360"/>
      <c r="R882" s="360"/>
      <c r="S882" s="360"/>
      <c r="T882" s="360">
        <v>60.2</v>
      </c>
      <c r="U882" s="360"/>
    </row>
    <row r="883" spans="1:21" ht="35.25" customHeight="1">
      <c r="A883" s="360" t="s">
        <v>73</v>
      </c>
      <c r="B883" s="362" t="s">
        <v>74</v>
      </c>
      <c r="C883" s="360" t="s">
        <v>75</v>
      </c>
      <c r="D883" s="360"/>
      <c r="E883" s="360"/>
      <c r="F883" s="360"/>
      <c r="G883" s="360"/>
      <c r="H883" s="360"/>
      <c r="I883" s="360"/>
      <c r="J883" s="360"/>
      <c r="K883" s="360"/>
      <c r="L883" s="360"/>
      <c r="M883" s="360"/>
      <c r="N883" s="360"/>
      <c r="O883" s="360"/>
      <c r="P883" s="360"/>
      <c r="Q883" s="360"/>
      <c r="R883" s="360"/>
      <c r="S883" s="360"/>
      <c r="T883" s="360">
        <f>'[1]Tien Phong'!BN46</f>
        <v>0</v>
      </c>
      <c r="U883" s="360"/>
    </row>
    <row r="884" spans="1:21" ht="19.5" customHeight="1">
      <c r="A884" s="360" t="s">
        <v>76</v>
      </c>
      <c r="B884" s="362" t="s">
        <v>77</v>
      </c>
      <c r="C884" s="360" t="s">
        <v>78</v>
      </c>
      <c r="D884" s="360"/>
      <c r="E884" s="360"/>
      <c r="F884" s="360"/>
      <c r="G884" s="360"/>
      <c r="H884" s="360"/>
      <c r="I884" s="360"/>
      <c r="J884" s="360"/>
      <c r="K884" s="360"/>
      <c r="L884" s="360"/>
      <c r="M884" s="360"/>
      <c r="N884" s="360"/>
      <c r="O884" s="360"/>
      <c r="P884" s="360"/>
      <c r="Q884" s="360"/>
      <c r="R884" s="360"/>
      <c r="S884" s="360"/>
      <c r="T884" s="360">
        <f>'[1]Tien Phong'!BN47</f>
        <v>0</v>
      </c>
      <c r="U884" s="360"/>
    </row>
    <row r="885" spans="1:21" ht="19.5" customHeight="1">
      <c r="A885" s="360" t="s">
        <v>79</v>
      </c>
      <c r="B885" s="362" t="s">
        <v>80</v>
      </c>
      <c r="C885" s="360" t="s">
        <v>81</v>
      </c>
      <c r="D885" s="360"/>
      <c r="E885" s="360"/>
      <c r="F885" s="360"/>
      <c r="G885" s="360"/>
      <c r="H885" s="360"/>
      <c r="I885" s="360"/>
      <c r="J885" s="360"/>
      <c r="K885" s="360"/>
      <c r="L885" s="360"/>
      <c r="M885" s="360"/>
      <c r="N885" s="360"/>
      <c r="O885" s="360"/>
      <c r="P885" s="360"/>
      <c r="Q885" s="360"/>
      <c r="R885" s="360"/>
      <c r="S885" s="360"/>
      <c r="T885" s="360"/>
      <c r="U885" s="360"/>
    </row>
    <row r="886" spans="1:21" ht="19.5" customHeight="1">
      <c r="A886" s="360" t="s">
        <v>82</v>
      </c>
      <c r="B886" s="362" t="s">
        <v>83</v>
      </c>
      <c r="C886" s="360" t="s">
        <v>84</v>
      </c>
      <c r="D886" s="360"/>
      <c r="E886" s="360"/>
      <c r="F886" s="360"/>
      <c r="G886" s="360"/>
      <c r="H886" s="360"/>
      <c r="I886" s="360"/>
      <c r="J886" s="360"/>
      <c r="K886" s="360"/>
      <c r="L886" s="360"/>
      <c r="M886" s="360"/>
      <c r="N886" s="360"/>
      <c r="O886" s="360"/>
      <c r="P886" s="360"/>
      <c r="Q886" s="360"/>
      <c r="R886" s="360"/>
      <c r="S886" s="360"/>
      <c r="T886" s="360">
        <f>'[1]Tien Phong'!BN49</f>
        <v>29.919999999999998</v>
      </c>
      <c r="U886" s="360"/>
    </row>
    <row r="887" spans="1:21" ht="19.5" customHeight="1">
      <c r="A887" s="360" t="s">
        <v>85</v>
      </c>
      <c r="B887" s="362" t="s">
        <v>86</v>
      </c>
      <c r="C887" s="360" t="s">
        <v>87</v>
      </c>
      <c r="D887" s="360"/>
      <c r="E887" s="360"/>
      <c r="F887" s="360"/>
      <c r="G887" s="360"/>
      <c r="H887" s="360"/>
      <c r="I887" s="360"/>
      <c r="J887" s="360"/>
      <c r="K887" s="360"/>
      <c r="L887" s="360"/>
      <c r="M887" s="360"/>
      <c r="N887" s="360"/>
      <c r="O887" s="360"/>
      <c r="P887" s="360"/>
      <c r="Q887" s="360"/>
      <c r="R887" s="360"/>
      <c r="S887" s="360"/>
      <c r="T887" s="360">
        <f>'[1]Tien Phong'!BN50</f>
        <v>0</v>
      </c>
      <c r="U887" s="360"/>
    </row>
    <row r="888" spans="1:21" ht="19.5" customHeight="1">
      <c r="A888" s="360" t="s">
        <v>88</v>
      </c>
      <c r="B888" s="362" t="s">
        <v>89</v>
      </c>
      <c r="C888" s="360" t="s">
        <v>90</v>
      </c>
      <c r="D888" s="360"/>
      <c r="E888" s="360"/>
      <c r="F888" s="360"/>
      <c r="G888" s="360"/>
      <c r="H888" s="360"/>
      <c r="I888" s="360"/>
      <c r="J888" s="360"/>
      <c r="K888" s="360"/>
      <c r="L888" s="360"/>
      <c r="M888" s="360"/>
      <c r="N888" s="360"/>
      <c r="O888" s="360"/>
      <c r="P888" s="360"/>
      <c r="Q888" s="360"/>
      <c r="R888" s="360"/>
      <c r="S888" s="360"/>
      <c r="T888" s="360">
        <f>'[1]Tien Phong'!BN51</f>
        <v>0.86</v>
      </c>
      <c r="U888" s="360"/>
    </row>
    <row r="889" spans="1:21" ht="19.5" customHeight="1">
      <c r="A889" s="360" t="s">
        <v>91</v>
      </c>
      <c r="B889" s="362" t="s">
        <v>92</v>
      </c>
      <c r="C889" s="360" t="s">
        <v>93</v>
      </c>
      <c r="D889" s="360"/>
      <c r="E889" s="360"/>
      <c r="F889" s="360"/>
      <c r="G889" s="360"/>
      <c r="H889" s="360"/>
      <c r="I889" s="360"/>
      <c r="J889" s="360"/>
      <c r="K889" s="360"/>
      <c r="L889" s="360"/>
      <c r="M889" s="360"/>
      <c r="N889" s="360"/>
      <c r="O889" s="360"/>
      <c r="P889" s="360"/>
      <c r="Q889" s="360"/>
      <c r="R889" s="360"/>
      <c r="S889" s="360"/>
      <c r="T889" s="360">
        <f>'[1]Tien Phong'!BN52</f>
        <v>0</v>
      </c>
      <c r="U889" s="360"/>
    </row>
    <row r="890" spans="1:21" ht="19.5" customHeight="1">
      <c r="A890" s="360" t="s">
        <v>94</v>
      </c>
      <c r="B890" s="362" t="s">
        <v>95</v>
      </c>
      <c r="C890" s="360" t="s">
        <v>96</v>
      </c>
      <c r="D890" s="360"/>
      <c r="E890" s="360"/>
      <c r="F890" s="360"/>
      <c r="G890" s="360"/>
      <c r="H890" s="360"/>
      <c r="I890" s="360"/>
      <c r="J890" s="360"/>
      <c r="K890" s="360"/>
      <c r="L890" s="360"/>
      <c r="M890" s="360"/>
      <c r="N890" s="360"/>
      <c r="O890" s="360"/>
      <c r="P890" s="360"/>
      <c r="Q890" s="360"/>
      <c r="R890" s="360"/>
      <c r="S890" s="360"/>
      <c r="T890" s="360"/>
      <c r="U890" s="360"/>
    </row>
    <row r="891" spans="1:21" ht="19.5" customHeight="1">
      <c r="A891" s="360" t="s">
        <v>97</v>
      </c>
      <c r="B891" s="362" t="s">
        <v>98</v>
      </c>
      <c r="C891" s="360" t="s">
        <v>99</v>
      </c>
      <c r="D891" s="360"/>
      <c r="E891" s="360"/>
      <c r="F891" s="360"/>
      <c r="G891" s="360"/>
      <c r="H891" s="360"/>
      <c r="I891" s="360"/>
      <c r="J891" s="360"/>
      <c r="K891" s="360"/>
      <c r="L891" s="360"/>
      <c r="M891" s="360"/>
      <c r="N891" s="360"/>
      <c r="O891" s="360"/>
      <c r="P891" s="360"/>
      <c r="Q891" s="360"/>
      <c r="R891" s="360"/>
      <c r="S891" s="360"/>
      <c r="T891" s="360">
        <f>'[1]Tien Phong'!BN54</f>
        <v>0</v>
      </c>
      <c r="U891" s="360"/>
    </row>
    <row r="892" spans="1:21" ht="19.5" customHeight="1">
      <c r="A892" s="360" t="s">
        <v>100</v>
      </c>
      <c r="B892" s="362" t="s">
        <v>134</v>
      </c>
      <c r="C892" s="360" t="s">
        <v>101</v>
      </c>
      <c r="D892" s="360"/>
      <c r="E892" s="360"/>
      <c r="F892" s="360"/>
      <c r="G892" s="360"/>
      <c r="H892" s="360"/>
      <c r="I892" s="360"/>
      <c r="J892" s="360"/>
      <c r="K892" s="360"/>
      <c r="L892" s="360"/>
      <c r="M892" s="360"/>
      <c r="N892" s="360"/>
      <c r="O892" s="360"/>
      <c r="P892" s="360"/>
      <c r="Q892" s="360"/>
      <c r="R892" s="360"/>
      <c r="S892" s="360"/>
      <c r="T892" s="360"/>
      <c r="U892" s="360"/>
    </row>
    <row r="893" spans="1:21" ht="28.5" customHeight="1">
      <c r="A893" s="360" t="s">
        <v>102</v>
      </c>
      <c r="B893" s="362" t="s">
        <v>103</v>
      </c>
      <c r="C893" s="360" t="s">
        <v>104</v>
      </c>
      <c r="D893" s="360"/>
      <c r="E893" s="360"/>
      <c r="F893" s="360"/>
      <c r="G893" s="360"/>
      <c r="H893" s="360"/>
      <c r="I893" s="360"/>
      <c r="J893" s="360"/>
      <c r="K893" s="360"/>
      <c r="L893" s="360"/>
      <c r="M893" s="360"/>
      <c r="N893" s="360"/>
      <c r="O893" s="360"/>
      <c r="P893" s="360"/>
      <c r="Q893" s="360"/>
      <c r="R893" s="360"/>
      <c r="S893" s="360"/>
      <c r="T893" s="360"/>
      <c r="U893" s="360"/>
    </row>
    <row r="894" spans="1:21" ht="19.5" customHeight="1">
      <c r="A894" s="360" t="s">
        <v>105</v>
      </c>
      <c r="B894" s="362" t="s">
        <v>106</v>
      </c>
      <c r="C894" s="360" t="s">
        <v>107</v>
      </c>
      <c r="D894" s="360"/>
      <c r="E894" s="360"/>
      <c r="F894" s="360"/>
      <c r="G894" s="360"/>
      <c r="H894" s="360"/>
      <c r="I894" s="360"/>
      <c r="J894" s="360"/>
      <c r="K894" s="360"/>
      <c r="L894" s="360"/>
      <c r="M894" s="360"/>
      <c r="N894" s="360"/>
      <c r="O894" s="360"/>
      <c r="P894" s="360"/>
      <c r="Q894" s="360"/>
      <c r="R894" s="360"/>
      <c r="S894" s="360"/>
      <c r="T894" s="360">
        <f>'[1]Tien Phong'!BN57</f>
        <v>0.77</v>
      </c>
      <c r="U894" s="360"/>
    </row>
    <row r="895" spans="1:21" ht="19.5" customHeight="1">
      <c r="A895" s="360" t="s">
        <v>108</v>
      </c>
      <c r="B895" s="362" t="s">
        <v>109</v>
      </c>
      <c r="C895" s="360" t="s">
        <v>110</v>
      </c>
      <c r="D895" s="360"/>
      <c r="E895" s="360"/>
      <c r="F895" s="360"/>
      <c r="G895" s="360"/>
      <c r="H895" s="360"/>
      <c r="I895" s="360"/>
      <c r="J895" s="360"/>
      <c r="K895" s="360"/>
      <c r="L895" s="360"/>
      <c r="M895" s="360"/>
      <c r="N895" s="360"/>
      <c r="O895" s="360"/>
      <c r="P895" s="360"/>
      <c r="Q895" s="360"/>
      <c r="R895" s="360"/>
      <c r="S895" s="360"/>
      <c r="T895" s="360">
        <f>'[1]Tien Phong'!BN58</f>
        <v>0.7400000000000001</v>
      </c>
      <c r="U895" s="360"/>
    </row>
    <row r="896" spans="1:21" ht="19.5" customHeight="1">
      <c r="A896" s="360" t="s">
        <v>111</v>
      </c>
      <c r="B896" s="362" t="s">
        <v>112</v>
      </c>
      <c r="C896" s="360" t="s">
        <v>113</v>
      </c>
      <c r="D896" s="360"/>
      <c r="E896" s="360"/>
      <c r="F896" s="360"/>
      <c r="G896" s="360"/>
      <c r="H896" s="360"/>
      <c r="I896" s="360"/>
      <c r="J896" s="360"/>
      <c r="K896" s="360"/>
      <c r="L896" s="360"/>
      <c r="M896" s="360"/>
      <c r="N896" s="360"/>
      <c r="O896" s="360"/>
      <c r="P896" s="360"/>
      <c r="Q896" s="360"/>
      <c r="R896" s="360"/>
      <c r="S896" s="360"/>
      <c r="T896" s="360">
        <f>'[1]Tien Phong'!BN59</f>
        <v>0.02</v>
      </c>
      <c r="U896" s="360"/>
    </row>
    <row r="897" spans="1:21" ht="19.5" customHeight="1">
      <c r="A897" s="360" t="s">
        <v>114</v>
      </c>
      <c r="B897" s="362" t="s">
        <v>115</v>
      </c>
      <c r="C897" s="360" t="s">
        <v>116</v>
      </c>
      <c r="D897" s="360"/>
      <c r="E897" s="360"/>
      <c r="F897" s="360"/>
      <c r="G897" s="360"/>
      <c r="H897" s="360"/>
      <c r="I897" s="360"/>
      <c r="J897" s="360"/>
      <c r="K897" s="360"/>
      <c r="L897" s="360"/>
      <c r="M897" s="360"/>
      <c r="N897" s="360"/>
      <c r="O897" s="360"/>
      <c r="P897" s="360"/>
      <c r="Q897" s="360"/>
      <c r="R897" s="360"/>
      <c r="S897" s="360"/>
      <c r="T897" s="360"/>
      <c r="U897" s="360"/>
    </row>
    <row r="898" spans="1:21" ht="19.5" customHeight="1">
      <c r="A898" s="360" t="s">
        <v>117</v>
      </c>
      <c r="B898" s="362" t="s">
        <v>118</v>
      </c>
      <c r="C898" s="360" t="s">
        <v>119</v>
      </c>
      <c r="D898" s="360"/>
      <c r="E898" s="360"/>
      <c r="F898" s="360"/>
      <c r="G898" s="360"/>
      <c r="H898" s="360"/>
      <c r="I898" s="360"/>
      <c r="J898" s="360"/>
      <c r="K898" s="360"/>
      <c r="L898" s="360"/>
      <c r="M898" s="360"/>
      <c r="N898" s="360"/>
      <c r="O898" s="360"/>
      <c r="P898" s="360"/>
      <c r="Q898" s="360"/>
      <c r="R898" s="360"/>
      <c r="S898" s="360"/>
      <c r="T898" s="360"/>
      <c r="U898" s="360"/>
    </row>
    <row r="899" spans="1:21" ht="19.5" customHeight="1">
      <c r="A899" s="360" t="s">
        <v>120</v>
      </c>
      <c r="B899" s="362" t="s">
        <v>121</v>
      </c>
      <c r="C899" s="360" t="s">
        <v>122</v>
      </c>
      <c r="D899" s="360"/>
      <c r="E899" s="360"/>
      <c r="F899" s="360"/>
      <c r="G899" s="360"/>
      <c r="H899" s="360"/>
      <c r="I899" s="360"/>
      <c r="J899" s="360"/>
      <c r="K899" s="360"/>
      <c r="L899" s="360"/>
      <c r="M899" s="360"/>
      <c r="N899" s="360"/>
      <c r="O899" s="360"/>
      <c r="P899" s="360"/>
      <c r="Q899" s="360"/>
      <c r="R899" s="360"/>
      <c r="S899" s="360"/>
      <c r="T899" s="360"/>
      <c r="U899" s="360"/>
    </row>
    <row r="900" spans="1:21" ht="19.5" customHeight="1">
      <c r="A900" s="360">
        <v>3</v>
      </c>
      <c r="B900" s="362" t="s">
        <v>123</v>
      </c>
      <c r="C900" s="360" t="s">
        <v>124</v>
      </c>
      <c r="D900" s="360"/>
      <c r="E900" s="360"/>
      <c r="F900" s="360"/>
      <c r="G900" s="360"/>
      <c r="H900" s="360"/>
      <c r="I900" s="360"/>
      <c r="J900" s="360"/>
      <c r="K900" s="360"/>
      <c r="L900" s="360"/>
      <c r="M900" s="360"/>
      <c r="N900" s="360"/>
      <c r="O900" s="360"/>
      <c r="P900" s="360"/>
      <c r="Q900" s="360"/>
      <c r="R900" s="360"/>
      <c r="S900" s="360"/>
      <c r="T900" s="360"/>
      <c r="U900" s="360"/>
    </row>
    <row r="901" spans="1:21" ht="19.5" customHeight="1"/>
  </sheetData>
  <mergeCells count="299">
    <mergeCell ref="A811:B811"/>
    <mergeCell ref="A812:U812"/>
    <mergeCell ref="A815:A816"/>
    <mergeCell ref="B815:B816"/>
    <mergeCell ref="C815:C816"/>
    <mergeCell ref="D815:E815"/>
    <mergeCell ref="F815:G815"/>
    <mergeCell ref="H815:I815"/>
    <mergeCell ref="J815:K815"/>
    <mergeCell ref="L815:M815"/>
    <mergeCell ref="N815:O815"/>
    <mergeCell ref="P815:Q815"/>
    <mergeCell ref="R815:S815"/>
    <mergeCell ref="T815:U815"/>
    <mergeCell ref="A721:B721"/>
    <mergeCell ref="A722:U722"/>
    <mergeCell ref="A725:A726"/>
    <mergeCell ref="B725:B726"/>
    <mergeCell ref="C725:C726"/>
    <mergeCell ref="D725:E725"/>
    <mergeCell ref="F725:G725"/>
    <mergeCell ref="H725:I725"/>
    <mergeCell ref="J725:K725"/>
    <mergeCell ref="L725:M725"/>
    <mergeCell ref="N725:O725"/>
    <mergeCell ref="P725:Q725"/>
    <mergeCell ref="R725:S725"/>
    <mergeCell ref="T725:U725"/>
    <mergeCell ref="A632:U632"/>
    <mergeCell ref="A635:A636"/>
    <mergeCell ref="B635:B636"/>
    <mergeCell ref="C635:C636"/>
    <mergeCell ref="D635:E635"/>
    <mergeCell ref="F635:G635"/>
    <mergeCell ref="H635:I635"/>
    <mergeCell ref="J635:K635"/>
    <mergeCell ref="L635:M635"/>
    <mergeCell ref="N635:O635"/>
    <mergeCell ref="P635:Q635"/>
    <mergeCell ref="R635:S635"/>
    <mergeCell ref="T635:U635"/>
    <mergeCell ref="F590:G590"/>
    <mergeCell ref="H590:I590"/>
    <mergeCell ref="J590:K590"/>
    <mergeCell ref="L590:M590"/>
    <mergeCell ref="N590:O590"/>
    <mergeCell ref="P590:Q590"/>
    <mergeCell ref="R590:S590"/>
    <mergeCell ref="T590:U590"/>
    <mergeCell ref="A631:B631"/>
    <mergeCell ref="A541:B541"/>
    <mergeCell ref="A542:U542"/>
    <mergeCell ref="A545:A546"/>
    <mergeCell ref="B545:B546"/>
    <mergeCell ref="C545:C546"/>
    <mergeCell ref="D545:E545"/>
    <mergeCell ref="F545:G545"/>
    <mergeCell ref="H545:I545"/>
    <mergeCell ref="J545:K545"/>
    <mergeCell ref="L545:M545"/>
    <mergeCell ref="N545:O545"/>
    <mergeCell ref="P545:Q545"/>
    <mergeCell ref="R545:S545"/>
    <mergeCell ref="T545:U545"/>
    <mergeCell ref="A496:B496"/>
    <mergeCell ref="A497:U497"/>
    <mergeCell ref="A500:A501"/>
    <mergeCell ref="B500:B501"/>
    <mergeCell ref="C500:C501"/>
    <mergeCell ref="D500:E500"/>
    <mergeCell ref="F500:G500"/>
    <mergeCell ref="H500:I500"/>
    <mergeCell ref="J500:K500"/>
    <mergeCell ref="L500:M500"/>
    <mergeCell ref="N500:O500"/>
    <mergeCell ref="P500:Q500"/>
    <mergeCell ref="R500:S500"/>
    <mergeCell ref="T500:U500"/>
    <mergeCell ref="A498:U498"/>
    <mergeCell ref="A451:B451"/>
    <mergeCell ref="A452:U452"/>
    <mergeCell ref="A455:A456"/>
    <mergeCell ref="B455:B456"/>
    <mergeCell ref="C455:C456"/>
    <mergeCell ref="D455:E455"/>
    <mergeCell ref="F455:G455"/>
    <mergeCell ref="H455:I455"/>
    <mergeCell ref="J455:K455"/>
    <mergeCell ref="L455:M455"/>
    <mergeCell ref="N455:O455"/>
    <mergeCell ref="P455:Q455"/>
    <mergeCell ref="R455:S455"/>
    <mergeCell ref="T455:U455"/>
    <mergeCell ref="A453:U453"/>
    <mergeCell ref="A406:B406"/>
    <mergeCell ref="A407:U407"/>
    <mergeCell ref="A410:A411"/>
    <mergeCell ref="B410:B411"/>
    <mergeCell ref="C410:C411"/>
    <mergeCell ref="D410:E410"/>
    <mergeCell ref="F410:G410"/>
    <mergeCell ref="H410:I410"/>
    <mergeCell ref="J410:K410"/>
    <mergeCell ref="L410:M410"/>
    <mergeCell ref="N410:O410"/>
    <mergeCell ref="P410:Q410"/>
    <mergeCell ref="R410:S410"/>
    <mergeCell ref="T410:U410"/>
    <mergeCell ref="A408:U408"/>
    <mergeCell ref="A316:B316"/>
    <mergeCell ref="A317:U317"/>
    <mergeCell ref="A320:A321"/>
    <mergeCell ref="B320:B321"/>
    <mergeCell ref="C320:C321"/>
    <mergeCell ref="D320:E320"/>
    <mergeCell ref="F320:G320"/>
    <mergeCell ref="H320:I320"/>
    <mergeCell ref="J320:K320"/>
    <mergeCell ref="L320:M320"/>
    <mergeCell ref="N320:O320"/>
    <mergeCell ref="P320:Q320"/>
    <mergeCell ref="R320:S320"/>
    <mergeCell ref="T320:U320"/>
    <mergeCell ref="A136:B136"/>
    <mergeCell ref="A183:U183"/>
    <mergeCell ref="A181:B181"/>
    <mergeCell ref="A182:U182"/>
    <mergeCell ref="A185:A186"/>
    <mergeCell ref="B185:B186"/>
    <mergeCell ref="C185:C186"/>
    <mergeCell ref="R230:S230"/>
    <mergeCell ref="T230:U230"/>
    <mergeCell ref="B230:B231"/>
    <mergeCell ref="C230:C231"/>
    <mergeCell ref="D230:E230"/>
    <mergeCell ref="F230:G230"/>
    <mergeCell ref="H230:I230"/>
    <mergeCell ref="J230:K230"/>
    <mergeCell ref="L230:M230"/>
    <mergeCell ref="N230:O230"/>
    <mergeCell ref="P95:Q95"/>
    <mergeCell ref="R95:S95"/>
    <mergeCell ref="T95:U95"/>
    <mergeCell ref="B50:B51"/>
    <mergeCell ref="C50:C51"/>
    <mergeCell ref="D50:E50"/>
    <mergeCell ref="F50:G50"/>
    <mergeCell ref="H50:I50"/>
    <mergeCell ref="J50:K50"/>
    <mergeCell ref="L50:M50"/>
    <mergeCell ref="N50:O50"/>
    <mergeCell ref="A95:A96"/>
    <mergeCell ref="B95:B96"/>
    <mergeCell ref="C95:C96"/>
    <mergeCell ref="D95:E95"/>
    <mergeCell ref="F95:G95"/>
    <mergeCell ref="H95:I95"/>
    <mergeCell ref="J95:K95"/>
    <mergeCell ref="L95:M95"/>
    <mergeCell ref="N95:O95"/>
    <mergeCell ref="A273:U273"/>
    <mergeCell ref="A228:U228"/>
    <mergeCell ref="A271:B271"/>
    <mergeCell ref="A272:U272"/>
    <mergeCell ref="A137:U137"/>
    <mergeCell ref="A140:A141"/>
    <mergeCell ref="B140:B141"/>
    <mergeCell ref="C140:C141"/>
    <mergeCell ref="D140:E140"/>
    <mergeCell ref="F140:G140"/>
    <mergeCell ref="H140:I140"/>
    <mergeCell ref="J140:K140"/>
    <mergeCell ref="L140:M140"/>
    <mergeCell ref="N140:O140"/>
    <mergeCell ref="P140:Q140"/>
    <mergeCell ref="R140:S140"/>
    <mergeCell ref="T140:U140"/>
    <mergeCell ref="P230:Q230"/>
    <mergeCell ref="A588:U588"/>
    <mergeCell ref="A586:B586"/>
    <mergeCell ref="A587:U587"/>
    <mergeCell ref="A590:A591"/>
    <mergeCell ref="B590:B591"/>
    <mergeCell ref="C590:C591"/>
    <mergeCell ref="D590:E590"/>
    <mergeCell ref="A543:U543"/>
    <mergeCell ref="A138:U138"/>
    <mergeCell ref="A275:A276"/>
    <mergeCell ref="B275:B276"/>
    <mergeCell ref="C275:C276"/>
    <mergeCell ref="D185:E185"/>
    <mergeCell ref="F185:G185"/>
    <mergeCell ref="H185:I185"/>
    <mergeCell ref="J185:K185"/>
    <mergeCell ref="L185:M185"/>
    <mergeCell ref="N185:O185"/>
    <mergeCell ref="P185:Q185"/>
    <mergeCell ref="R185:S185"/>
    <mergeCell ref="T185:U185"/>
    <mergeCell ref="A226:B226"/>
    <mergeCell ref="A227:U227"/>
    <mergeCell ref="A230:A231"/>
    <mergeCell ref="A1:B1"/>
    <mergeCell ref="A2:U2"/>
    <mergeCell ref="A93:U93"/>
    <mergeCell ref="A48:U48"/>
    <mergeCell ref="A4:A5"/>
    <mergeCell ref="B4:B5"/>
    <mergeCell ref="C4:C5"/>
    <mergeCell ref="D4:E4"/>
    <mergeCell ref="F4:G4"/>
    <mergeCell ref="H4:I4"/>
    <mergeCell ref="J4:K4"/>
    <mergeCell ref="L4:M4"/>
    <mergeCell ref="N4:O4"/>
    <mergeCell ref="P4:Q4"/>
    <mergeCell ref="R4:S4"/>
    <mergeCell ref="T4:U4"/>
    <mergeCell ref="A46:B46"/>
    <mergeCell ref="A47:U47"/>
    <mergeCell ref="A50:A51"/>
    <mergeCell ref="P50:Q50"/>
    <mergeCell ref="R50:S50"/>
    <mergeCell ref="T50:U50"/>
    <mergeCell ref="A91:B91"/>
    <mergeCell ref="A92:U92"/>
    <mergeCell ref="D275:E275"/>
    <mergeCell ref="F275:G275"/>
    <mergeCell ref="H275:I275"/>
    <mergeCell ref="J275:K275"/>
    <mergeCell ref="L275:M275"/>
    <mergeCell ref="N275:O275"/>
    <mergeCell ref="P275:Q275"/>
    <mergeCell ref="R275:S275"/>
    <mergeCell ref="T275:U275"/>
    <mergeCell ref="A363:U363"/>
    <mergeCell ref="A318:U318"/>
    <mergeCell ref="A361:B361"/>
    <mergeCell ref="A362:U362"/>
    <mergeCell ref="A365:A366"/>
    <mergeCell ref="B365:B366"/>
    <mergeCell ref="C365:C366"/>
    <mergeCell ref="D365:E365"/>
    <mergeCell ref="F365:G365"/>
    <mergeCell ref="H365:I365"/>
    <mergeCell ref="J365:K365"/>
    <mergeCell ref="L365:M365"/>
    <mergeCell ref="N365:O365"/>
    <mergeCell ref="P365:Q365"/>
    <mergeCell ref="R365:S365"/>
    <mergeCell ref="T365:U365"/>
    <mergeCell ref="A678:U678"/>
    <mergeCell ref="A633:U633"/>
    <mergeCell ref="A676:B676"/>
    <mergeCell ref="A677:U677"/>
    <mergeCell ref="A680:A681"/>
    <mergeCell ref="B680:B681"/>
    <mergeCell ref="C680:C681"/>
    <mergeCell ref="D680:E680"/>
    <mergeCell ref="F680:G680"/>
    <mergeCell ref="H680:I680"/>
    <mergeCell ref="J680:K680"/>
    <mergeCell ref="L680:M680"/>
    <mergeCell ref="N680:O680"/>
    <mergeCell ref="P680:Q680"/>
    <mergeCell ref="R680:S680"/>
    <mergeCell ref="T680:U680"/>
    <mergeCell ref="A768:U768"/>
    <mergeCell ref="A723:U723"/>
    <mergeCell ref="A766:B766"/>
    <mergeCell ref="A767:U767"/>
    <mergeCell ref="A770:A771"/>
    <mergeCell ref="B770:B771"/>
    <mergeCell ref="C770:C771"/>
    <mergeCell ref="D770:E770"/>
    <mergeCell ref="F770:G770"/>
    <mergeCell ref="H770:I770"/>
    <mergeCell ref="J770:K770"/>
    <mergeCell ref="L770:M770"/>
    <mergeCell ref="N770:O770"/>
    <mergeCell ref="P770:Q770"/>
    <mergeCell ref="R770:S770"/>
    <mergeCell ref="T770:U770"/>
    <mergeCell ref="A858:U858"/>
    <mergeCell ref="A813:U813"/>
    <mergeCell ref="A856:B856"/>
    <mergeCell ref="A857:U857"/>
    <mergeCell ref="A860:A861"/>
    <mergeCell ref="B860:B861"/>
    <mergeCell ref="C860:C861"/>
    <mergeCell ref="D860:E860"/>
    <mergeCell ref="F860:G860"/>
    <mergeCell ref="H860:I860"/>
    <mergeCell ref="J860:K860"/>
    <mergeCell ref="L860:M860"/>
    <mergeCell ref="N860:O860"/>
    <mergeCell ref="P860:Q860"/>
    <mergeCell ref="R860:S860"/>
    <mergeCell ref="T860:U860"/>
  </mergeCells>
  <phoneticPr fontId="4" type="noConversion"/>
  <pageMargins left="0.5" right="0.5" top="0.3" bottom="0.6" header="0.5" footer="0.5"/>
  <pageSetup paperSize="9" scale="65"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U48"/>
  <sheetViews>
    <sheetView showZeros="0" topLeftCell="A4" zoomScale="75" workbookViewId="0">
      <pane xSplit="4" ySplit="2" topLeftCell="E6" activePane="bottomRight" state="frozen"/>
      <selection activeCell="A4" sqref="A4"/>
      <selection pane="topRight" activeCell="E4" sqref="E4"/>
      <selection pane="bottomLeft" activeCell="A6" sqref="A6"/>
      <selection pane="bottomRight" activeCell="K13" sqref="K13"/>
    </sheetView>
  </sheetViews>
  <sheetFormatPr defaultColWidth="9.140625" defaultRowHeight="24.95" customHeight="1"/>
  <cols>
    <col min="1" max="1" width="7.42578125" style="26" customWidth="1"/>
    <col min="2" max="2" width="43.85546875" style="26" customWidth="1"/>
    <col min="3" max="3" width="9.140625" style="29"/>
    <col min="4" max="4" width="14" style="26" customWidth="1"/>
    <col min="5" max="5" width="12.5703125" style="26" customWidth="1"/>
    <col min="6" max="6" width="11.7109375" style="26" customWidth="1"/>
    <col min="7" max="7" width="11.28515625" style="26" customWidth="1"/>
    <col min="8" max="8" width="9.85546875" style="26" bestFit="1" customWidth="1"/>
    <col min="9" max="9" width="11" style="26" customWidth="1"/>
    <col min="10" max="10" width="11.28515625" style="26" customWidth="1"/>
    <col min="11" max="11" width="8.85546875" style="26" customWidth="1"/>
    <col min="12" max="12" width="11.28515625" style="26" customWidth="1"/>
    <col min="13" max="13" width="10" style="26" customWidth="1"/>
    <col min="14" max="14" width="6.85546875" style="26" customWidth="1"/>
    <col min="15" max="15" width="9.42578125" style="26" customWidth="1"/>
    <col min="16" max="16" width="12.42578125" style="26" customWidth="1"/>
    <col min="17" max="18" width="9.85546875" style="26" customWidth="1"/>
    <col min="19" max="19" width="11" style="26" customWidth="1"/>
    <col min="20" max="20" width="6.5703125" style="26" customWidth="1"/>
    <col min="21" max="21" width="8.28515625" style="26" customWidth="1"/>
    <col min="22" max="22" width="10" style="26" customWidth="1"/>
    <col min="23" max="23" width="9.42578125" style="26" customWidth="1"/>
    <col min="24" max="24" width="7.85546875" style="26" customWidth="1"/>
    <col min="25" max="25" width="11.5703125" style="26" customWidth="1"/>
    <col min="26" max="26" width="9.42578125" style="26" customWidth="1"/>
    <col min="27" max="27" width="7.42578125" style="26" customWidth="1"/>
    <col min="28" max="28" width="8.7109375" style="26" customWidth="1"/>
    <col min="29" max="29" width="10.5703125" style="26" customWidth="1"/>
    <col min="30" max="30" width="11.85546875" style="26" customWidth="1"/>
    <col min="31" max="31" width="9.28515625" style="26" customWidth="1"/>
    <col min="32" max="32" width="8.28515625" style="26" customWidth="1"/>
    <col min="33" max="33" width="7.5703125" style="26" customWidth="1"/>
    <col min="34" max="34" width="9.28515625" style="26" customWidth="1"/>
    <col min="35" max="35" width="9.85546875" style="26" customWidth="1"/>
    <col min="36" max="36" width="9.85546875" style="26" bestFit="1" customWidth="1"/>
    <col min="37" max="37" width="8.42578125" style="26" customWidth="1"/>
    <col min="38" max="38" width="11" style="26" customWidth="1"/>
    <col min="39" max="39" width="9.140625" style="26" customWidth="1"/>
    <col min="40" max="40" width="10.42578125" style="26" customWidth="1"/>
    <col min="41" max="41" width="11.140625" style="26" customWidth="1"/>
    <col min="42" max="42" width="7.7109375" style="26" customWidth="1"/>
    <col min="43" max="43" width="10.42578125" style="26" customWidth="1"/>
    <col min="44" max="44" width="11.42578125" style="26" customWidth="1"/>
    <col min="45" max="45" width="14.140625" style="26" customWidth="1"/>
    <col min="46" max="46" width="12.85546875" style="26" customWidth="1"/>
    <col min="47" max="47" width="13.42578125" style="26" customWidth="1"/>
    <col min="48" max="48" width="11.5703125" style="26" customWidth="1"/>
    <col min="49" max="59" width="9" style="26" customWidth="1"/>
    <col min="60" max="60" width="10.140625" style="26" customWidth="1"/>
    <col min="61" max="62" width="9.85546875" style="26" customWidth="1"/>
    <col min="63" max="63" width="9.140625" style="26"/>
    <col min="64" max="64" width="10.5703125" style="26" customWidth="1"/>
    <col min="65" max="65" width="12.140625" style="26" customWidth="1"/>
    <col min="66" max="66" width="13" style="26" customWidth="1"/>
    <col min="67" max="16384" width="9.140625" style="26"/>
  </cols>
  <sheetData>
    <row r="1" spans="1:47" ht="20.25" customHeight="1">
      <c r="A1" s="1284" t="s">
        <v>1005</v>
      </c>
      <c r="B1" s="1358"/>
    </row>
    <row r="2" spans="1:47" ht="36.75" customHeight="1">
      <c r="A2" s="1282" t="s">
        <v>1007</v>
      </c>
      <c r="B2" s="1282"/>
      <c r="C2" s="1282"/>
      <c r="D2" s="1282"/>
      <c r="E2" s="1282"/>
      <c r="F2" s="1282"/>
      <c r="G2" s="1282"/>
      <c r="H2" s="1282"/>
      <c r="I2" s="1282"/>
      <c r="J2" s="1282"/>
      <c r="K2" s="1282"/>
      <c r="L2" s="1282"/>
      <c r="M2" s="1282"/>
      <c r="N2" s="1282"/>
      <c r="O2" s="1282"/>
      <c r="P2" s="1282"/>
      <c r="Q2" s="1282"/>
      <c r="R2" s="1282"/>
      <c r="S2" s="1282"/>
      <c r="T2" s="1282"/>
      <c r="U2" s="1282"/>
      <c r="V2" s="1282"/>
      <c r="W2" s="1282"/>
      <c r="X2" s="1282"/>
      <c r="Y2" s="1282"/>
      <c r="Z2" s="1282"/>
      <c r="AA2" s="1282"/>
      <c r="AB2" s="1282"/>
      <c r="AC2" s="1282"/>
      <c r="AD2" s="1282"/>
      <c r="AE2" s="1282"/>
      <c r="AF2" s="1282"/>
      <c r="AG2" s="1282"/>
      <c r="AH2" s="1282"/>
      <c r="AI2" s="1282"/>
      <c r="AJ2" s="1282"/>
      <c r="AK2" s="1282"/>
      <c r="AL2" s="1282"/>
      <c r="AM2" s="1282"/>
      <c r="AN2" s="1282"/>
      <c r="AO2" s="1282"/>
      <c r="AP2" s="1282"/>
      <c r="AQ2" s="1282"/>
      <c r="AR2" s="1282"/>
      <c r="AS2" s="1282"/>
    </row>
    <row r="3" spans="1:47" ht="21.75" customHeight="1">
      <c r="AR3" s="1359" t="s">
        <v>138</v>
      </c>
      <c r="AS3" s="1359"/>
    </row>
    <row r="4" spans="1:47" s="32" customFormat="1" ht="28.5" customHeight="1">
      <c r="A4" s="1360" t="s">
        <v>0</v>
      </c>
      <c r="B4" s="1360" t="s">
        <v>12</v>
      </c>
      <c r="C4" s="1360" t="s">
        <v>13</v>
      </c>
      <c r="D4" s="1360" t="s">
        <v>697</v>
      </c>
      <c r="E4" s="1362" t="s">
        <v>1006</v>
      </c>
      <c r="F4" s="1363"/>
      <c r="G4" s="1363"/>
      <c r="H4" s="1363"/>
      <c r="I4" s="1363"/>
      <c r="J4" s="1363"/>
      <c r="K4" s="1363"/>
      <c r="L4" s="1363"/>
      <c r="M4" s="1363"/>
      <c r="N4" s="1363"/>
      <c r="O4" s="1363"/>
      <c r="P4" s="1363"/>
      <c r="Q4" s="1363"/>
      <c r="R4" s="1363"/>
      <c r="S4" s="1363"/>
      <c r="T4" s="1363"/>
      <c r="U4" s="1363"/>
      <c r="V4" s="1363"/>
      <c r="W4" s="1363"/>
      <c r="X4" s="1363"/>
      <c r="Y4" s="1363"/>
      <c r="Z4" s="1363"/>
      <c r="AA4" s="1363"/>
      <c r="AB4" s="1363"/>
      <c r="AC4" s="1363"/>
      <c r="AD4" s="1363"/>
      <c r="AE4" s="1363"/>
      <c r="AF4" s="1363"/>
      <c r="AG4" s="1363"/>
      <c r="AH4" s="1363"/>
      <c r="AI4" s="1363"/>
      <c r="AJ4" s="1363"/>
      <c r="AK4" s="1363"/>
      <c r="AL4" s="1363"/>
      <c r="AM4" s="1363"/>
      <c r="AN4" s="1363"/>
      <c r="AO4" s="1363"/>
      <c r="AP4" s="1363"/>
      <c r="AQ4" s="1364"/>
      <c r="AR4" s="1360" t="s">
        <v>191</v>
      </c>
      <c r="AS4" s="1360" t="s">
        <v>1008</v>
      </c>
    </row>
    <row r="5" spans="1:47" s="32" customFormat="1" ht="26.25" customHeight="1">
      <c r="A5" s="1361"/>
      <c r="B5" s="1361"/>
      <c r="C5" s="1361"/>
      <c r="D5" s="1361"/>
      <c r="E5" s="28" t="s">
        <v>15</v>
      </c>
      <c r="F5" s="28" t="s">
        <v>18</v>
      </c>
      <c r="G5" s="28" t="s">
        <v>20</v>
      </c>
      <c r="H5" s="28" t="s">
        <v>23</v>
      </c>
      <c r="I5" s="28" t="s">
        <v>26</v>
      </c>
      <c r="J5" s="28" t="s">
        <v>29</v>
      </c>
      <c r="K5" s="28" t="s">
        <v>32</v>
      </c>
      <c r="L5" s="28" t="s">
        <v>35</v>
      </c>
      <c r="M5" s="28" t="s">
        <v>38</v>
      </c>
      <c r="N5" s="28" t="s">
        <v>41</v>
      </c>
      <c r="O5" s="28" t="s">
        <v>44</v>
      </c>
      <c r="P5" s="28" t="s">
        <v>46</v>
      </c>
      <c r="Q5" s="28" t="s">
        <v>49</v>
      </c>
      <c r="R5" s="28" t="s">
        <v>52</v>
      </c>
      <c r="S5" s="28" t="s">
        <v>55</v>
      </c>
      <c r="T5" s="28" t="s">
        <v>58</v>
      </c>
      <c r="U5" s="28" t="s">
        <v>61</v>
      </c>
      <c r="V5" s="28" t="s">
        <v>64</v>
      </c>
      <c r="W5" s="28" t="s">
        <v>67</v>
      </c>
      <c r="X5" s="28" t="s">
        <v>70</v>
      </c>
      <c r="Y5" s="28" t="s">
        <v>72</v>
      </c>
      <c r="Z5" s="28" t="s">
        <v>75</v>
      </c>
      <c r="AA5" s="28" t="s">
        <v>78</v>
      </c>
      <c r="AB5" s="28" t="s">
        <v>81</v>
      </c>
      <c r="AC5" s="28" t="s">
        <v>84</v>
      </c>
      <c r="AD5" s="28" t="s">
        <v>87</v>
      </c>
      <c r="AE5" s="28" t="s">
        <v>90</v>
      </c>
      <c r="AF5" s="28" t="s">
        <v>93</v>
      </c>
      <c r="AG5" s="28" t="s">
        <v>96</v>
      </c>
      <c r="AH5" s="28" t="s">
        <v>99</v>
      </c>
      <c r="AI5" s="28" t="s">
        <v>101</v>
      </c>
      <c r="AJ5" s="28" t="s">
        <v>104</v>
      </c>
      <c r="AK5" s="28" t="s">
        <v>107</v>
      </c>
      <c r="AL5" s="28" t="s">
        <v>110</v>
      </c>
      <c r="AM5" s="28" t="s">
        <v>113</v>
      </c>
      <c r="AN5" s="28" t="s">
        <v>116</v>
      </c>
      <c r="AO5" s="28" t="s">
        <v>119</v>
      </c>
      <c r="AP5" s="28" t="s">
        <v>122</v>
      </c>
      <c r="AQ5" s="28" t="s">
        <v>124</v>
      </c>
      <c r="AR5" s="1361"/>
      <c r="AS5" s="1361"/>
    </row>
    <row r="6" spans="1:47" s="32" customFormat="1" ht="24.75" customHeight="1">
      <c r="A6" s="36"/>
      <c r="B6" s="35" t="s">
        <v>189</v>
      </c>
      <c r="C6" s="36"/>
      <c r="D6" s="181">
        <f>'TONG TP'!D77</f>
        <v>51953.306899999996</v>
      </c>
      <c r="E6" s="182">
        <f>'TONG TP'!E77</f>
        <v>37640.322590000003</v>
      </c>
      <c r="F6" s="182">
        <f>'TONG TP'!F77</f>
        <v>3079.4102499999999</v>
      </c>
      <c r="G6" s="182">
        <f>'TONG TP'!G77</f>
        <v>1715.058</v>
      </c>
      <c r="H6" s="182">
        <f>'TONG TP'!H77</f>
        <v>977.34429999999986</v>
      </c>
      <c r="I6" s="182">
        <f>'TONG TP'!I77</f>
        <v>1737.3819399999998</v>
      </c>
      <c r="J6" s="182">
        <f>'TONG TP'!J77</f>
        <v>15106.250000000002</v>
      </c>
      <c r="K6" s="182">
        <f>'TONG TP'!K77</f>
        <v>0</v>
      </c>
      <c r="L6" s="182">
        <f>'TONG TP'!L77</f>
        <v>13167.936099999997</v>
      </c>
      <c r="M6" s="182">
        <f>'TONG TP'!M77</f>
        <v>3531.92</v>
      </c>
      <c r="N6" s="182">
        <f>'TONG TP'!N77</f>
        <v>0</v>
      </c>
      <c r="O6" s="182">
        <f>'TONG TP'!O77</f>
        <v>40.08</v>
      </c>
      <c r="P6" s="182">
        <f>'TONG TP'!P77</f>
        <v>8598.2126700000026</v>
      </c>
      <c r="Q6" s="182">
        <f>'TONG TP'!Q77</f>
        <v>287.20866999999998</v>
      </c>
      <c r="R6" s="182">
        <f>'TONG TP'!R77</f>
        <v>9.83</v>
      </c>
      <c r="S6" s="182">
        <f>'TONG TP'!S77</f>
        <v>117.81</v>
      </c>
      <c r="T6" s="182">
        <f>'TONG TP'!T77</f>
        <v>0</v>
      </c>
      <c r="U6" s="182">
        <f>'TONG TP'!U77</f>
        <v>199.79</v>
      </c>
      <c r="V6" s="182">
        <f>'TONG TP'!V77</f>
        <v>439.70716999999996</v>
      </c>
      <c r="W6" s="182">
        <f>'TONG TP'!W77</f>
        <v>230.09000000000003</v>
      </c>
      <c r="X6" s="182">
        <f>'TONG TP'!X77</f>
        <v>0</v>
      </c>
      <c r="Y6" s="182">
        <f>'TONG TP'!Y77</f>
        <v>2324.3825000000006</v>
      </c>
      <c r="Z6" s="182">
        <f>'TONG TP'!Z77</f>
        <v>0.24000000000000002</v>
      </c>
      <c r="AA6" s="182">
        <f>'TONG TP'!AA77</f>
        <v>0</v>
      </c>
      <c r="AB6" s="182">
        <f>'TONG TP'!AB77</f>
        <v>55.849999999999994</v>
      </c>
      <c r="AC6" s="182">
        <f>'TONG TP'!AC77</f>
        <v>324.78955000000002</v>
      </c>
      <c r="AD6" s="182">
        <f>'TONG TP'!AD77</f>
        <v>372.24450000000002</v>
      </c>
      <c r="AE6" s="182">
        <f>'TONG TP'!AE77</f>
        <v>55.850279999999998</v>
      </c>
      <c r="AF6" s="182">
        <f>'TONG TP'!AF77</f>
        <v>0.67</v>
      </c>
      <c r="AG6" s="182">
        <f>'TONG TP'!AG77</f>
        <v>0</v>
      </c>
      <c r="AH6" s="182">
        <f>'TONG TP'!AH77</f>
        <v>12.12</v>
      </c>
      <c r="AI6" s="182">
        <f>'TONG TP'!AI77</f>
        <v>237.46000000000004</v>
      </c>
      <c r="AJ6" s="182">
        <f>'TONG TP'!AJ77</f>
        <v>313.13040000000001</v>
      </c>
      <c r="AK6" s="182">
        <f>'TONG TP'!AK77</f>
        <v>12.339599999999999</v>
      </c>
      <c r="AL6" s="182">
        <f>'TONG TP'!AL77</f>
        <v>27.279999999999998</v>
      </c>
      <c r="AM6" s="182">
        <f>'TONG TP'!AM77</f>
        <v>10.440000000000003</v>
      </c>
      <c r="AN6" s="182">
        <f>'TONG TP'!AN77</f>
        <v>2479.7200000000003</v>
      </c>
      <c r="AO6" s="182">
        <f>'TONG TP'!AO77</f>
        <v>1085.1699999999998</v>
      </c>
      <c r="AP6" s="182">
        <f>'TONG TP'!AP77</f>
        <v>2.09</v>
      </c>
      <c r="AQ6" s="182">
        <f>'TONG TP'!AQ77</f>
        <v>5714.7716399999981</v>
      </c>
      <c r="AR6" s="182">
        <f>'TONG TP'!AR77</f>
        <v>0</v>
      </c>
      <c r="AS6" s="182">
        <f>'TONG TP'!AS77</f>
        <v>51994.126899999996</v>
      </c>
      <c r="AU6" s="632"/>
    </row>
    <row r="7" spans="1:47" s="32" customFormat="1" ht="20.25" customHeight="1">
      <c r="A7" s="34">
        <v>1</v>
      </c>
      <c r="B7" s="33" t="s">
        <v>14</v>
      </c>
      <c r="C7" s="34" t="s">
        <v>15</v>
      </c>
      <c r="D7" s="183">
        <f>'TONG TP'!D78</f>
        <v>38448.142589999996</v>
      </c>
      <c r="E7" s="184">
        <f>'TONG TP'!E78</f>
        <v>37524.102590000002</v>
      </c>
      <c r="F7" s="183">
        <f>'TONG TP'!F78</f>
        <v>3079.4102499999999</v>
      </c>
      <c r="G7" s="183">
        <f>'TONG TP'!G78</f>
        <v>1715.058</v>
      </c>
      <c r="H7" s="183">
        <f>'TONG TP'!H78</f>
        <v>977.34429999999986</v>
      </c>
      <c r="I7" s="183">
        <f>'TONG TP'!I78</f>
        <v>1737.3819399999998</v>
      </c>
      <c r="J7" s="183">
        <f>'TONG TP'!J78</f>
        <v>15106.250000000002</v>
      </c>
      <c r="K7" s="183">
        <f>'TONG TP'!K78</f>
        <v>0</v>
      </c>
      <c r="L7" s="183">
        <f>'TONG TP'!L78</f>
        <v>13167.936099999997</v>
      </c>
      <c r="M7" s="183">
        <f>'TONG TP'!M78</f>
        <v>3415.7000000000003</v>
      </c>
      <c r="N7" s="183">
        <f>'TONG TP'!N78</f>
        <v>0</v>
      </c>
      <c r="O7" s="183">
        <f>'TONG TP'!O78</f>
        <v>40.08</v>
      </c>
      <c r="P7" s="183">
        <f>'TONG TP'!P78</f>
        <v>924.04000000000008</v>
      </c>
      <c r="Q7" s="183">
        <f>'TONG TP'!Q78</f>
        <v>5.76</v>
      </c>
      <c r="R7" s="183">
        <f>'TONG TP'!R78</f>
        <v>0</v>
      </c>
      <c r="S7" s="183">
        <f>'TONG TP'!S78</f>
        <v>34.629999999999995</v>
      </c>
      <c r="T7" s="183">
        <f>'TONG TP'!T78</f>
        <v>0</v>
      </c>
      <c r="U7" s="183">
        <f>'TONG TP'!U78</f>
        <v>172.52</v>
      </c>
      <c r="V7" s="183">
        <f>'TONG TP'!V78</f>
        <v>77.25</v>
      </c>
      <c r="W7" s="183">
        <f>'TONG TP'!W78</f>
        <v>92.3</v>
      </c>
      <c r="X7" s="183">
        <f>'TONG TP'!X78</f>
        <v>0</v>
      </c>
      <c r="Y7" s="183">
        <f>'TONG TP'!Y78</f>
        <v>180.31</v>
      </c>
      <c r="Z7" s="183">
        <f>'TONG TP'!Z78</f>
        <v>0</v>
      </c>
      <c r="AA7" s="183">
        <f>'TONG TP'!AA78</f>
        <v>0</v>
      </c>
      <c r="AB7" s="183">
        <f>'TONG TP'!AB78</f>
        <v>8.57</v>
      </c>
      <c r="AC7" s="183">
        <f>'TONG TP'!AC78</f>
        <v>11.18</v>
      </c>
      <c r="AD7" s="183">
        <f>'TONG TP'!AD78</f>
        <v>30.05</v>
      </c>
      <c r="AE7" s="183">
        <f>'TONG TP'!AE78</f>
        <v>10.34</v>
      </c>
      <c r="AF7" s="183">
        <f>'TONG TP'!AF78</f>
        <v>0</v>
      </c>
      <c r="AG7" s="183">
        <f>'TONG TP'!AG78</f>
        <v>0</v>
      </c>
      <c r="AH7" s="183">
        <f>'TONG TP'!AH78</f>
        <v>1.34</v>
      </c>
      <c r="AI7" s="183">
        <f>'TONG TP'!AI78</f>
        <v>0</v>
      </c>
      <c r="AJ7" s="183">
        <f>'TONG TP'!AJ78</f>
        <v>289.2</v>
      </c>
      <c r="AK7" s="183">
        <f>'TONG TP'!AK78</f>
        <v>0</v>
      </c>
      <c r="AL7" s="183">
        <f>'TONG TP'!AL78</f>
        <v>10.28</v>
      </c>
      <c r="AM7" s="183">
        <f>'TONG TP'!AM78</f>
        <v>0</v>
      </c>
      <c r="AN7" s="183">
        <f>'TONG TP'!AN78</f>
        <v>0</v>
      </c>
      <c r="AO7" s="183">
        <f>'TONG TP'!AO78</f>
        <v>0.31</v>
      </c>
      <c r="AP7" s="183">
        <f>'TONG TP'!AP78</f>
        <v>0</v>
      </c>
      <c r="AQ7" s="183">
        <f>'TONG TP'!AQ78</f>
        <v>0</v>
      </c>
      <c r="AR7" s="183">
        <f>'TONG TP'!AR78</f>
        <v>924.04000000000008</v>
      </c>
      <c r="AS7" s="183">
        <f>'TONG TP'!AS78</f>
        <v>37640.322589999996</v>
      </c>
      <c r="AT7" s="632"/>
    </row>
    <row r="8" spans="1:47" s="27" customFormat="1" ht="20.25" customHeight="1">
      <c r="A8" s="30" t="s">
        <v>16</v>
      </c>
      <c r="B8" s="14" t="s">
        <v>17</v>
      </c>
      <c r="C8" s="30" t="s">
        <v>18</v>
      </c>
      <c r="D8" s="185">
        <f>'TONG TP'!D79</f>
        <v>3246.9302499999999</v>
      </c>
      <c r="E8" s="185">
        <f>'TONG TP'!E79</f>
        <v>3100.06025</v>
      </c>
      <c r="F8" s="186">
        <f>'TONG TP'!F79</f>
        <v>3079.4102499999999</v>
      </c>
      <c r="G8" s="185">
        <f>'TONG TP'!G79</f>
        <v>1715.058</v>
      </c>
      <c r="H8" s="185">
        <f>'TONG TP'!H79</f>
        <v>0</v>
      </c>
      <c r="I8" s="185">
        <f>'TONG TP'!I79</f>
        <v>0</v>
      </c>
      <c r="J8" s="185">
        <f>'TONG TP'!J79</f>
        <v>0</v>
      </c>
      <c r="K8" s="185">
        <f>'TONG TP'!K79</f>
        <v>0</v>
      </c>
      <c r="L8" s="185">
        <f>'TONG TP'!L79</f>
        <v>0</v>
      </c>
      <c r="M8" s="185">
        <f>'TONG TP'!M79</f>
        <v>20.65</v>
      </c>
      <c r="N8" s="185">
        <f>'TONG TP'!N79</f>
        <v>0</v>
      </c>
      <c r="O8" s="185">
        <f>'TONG TP'!O79</f>
        <v>0</v>
      </c>
      <c r="P8" s="185">
        <f>'TONG TP'!P79</f>
        <v>146.87</v>
      </c>
      <c r="Q8" s="185">
        <f>'TONG TP'!Q79</f>
        <v>0.23</v>
      </c>
      <c r="R8" s="185">
        <f>'TONG TP'!R79</f>
        <v>0</v>
      </c>
      <c r="S8" s="185">
        <f>'TONG TP'!S79</f>
        <v>11.71</v>
      </c>
      <c r="T8" s="185">
        <f>'TONG TP'!T79</f>
        <v>0</v>
      </c>
      <c r="U8" s="185">
        <f>'TONG TP'!U79</f>
        <v>15.57</v>
      </c>
      <c r="V8" s="185">
        <f>'TONG TP'!V79</f>
        <v>14.67</v>
      </c>
      <c r="W8" s="185">
        <f>'TONG TP'!W79</f>
        <v>5.51</v>
      </c>
      <c r="X8" s="185">
        <f>'TONG TP'!X79</f>
        <v>0</v>
      </c>
      <c r="Y8" s="185">
        <f>'TONG TP'!Y79</f>
        <v>58.4</v>
      </c>
      <c r="Z8" s="185">
        <f>'TONG TP'!Z79</f>
        <v>0</v>
      </c>
      <c r="AA8" s="185">
        <f>'TONG TP'!AA79</f>
        <v>0</v>
      </c>
      <c r="AB8" s="185">
        <f>'TONG TP'!AB79</f>
        <v>0.74</v>
      </c>
      <c r="AC8" s="185">
        <f>'TONG TP'!AC79</f>
        <v>3.23</v>
      </c>
      <c r="AD8" s="185">
        <f>'TONG TP'!AD79</f>
        <v>21.22</v>
      </c>
      <c r="AE8" s="185">
        <f>'TONG TP'!AE79</f>
        <v>6.28</v>
      </c>
      <c r="AF8" s="185">
        <f>'TONG TP'!AF79</f>
        <v>0</v>
      </c>
      <c r="AG8" s="185">
        <f>'TONG TP'!AG79</f>
        <v>0</v>
      </c>
      <c r="AH8" s="185">
        <f>'TONG TP'!AH79</f>
        <v>0</v>
      </c>
      <c r="AI8" s="185">
        <f>'TONG TP'!AI79</f>
        <v>0</v>
      </c>
      <c r="AJ8" s="185">
        <f>'TONG TP'!AJ79</f>
        <v>2.65</v>
      </c>
      <c r="AK8" s="185">
        <f>'TONG TP'!AK79</f>
        <v>0</v>
      </c>
      <c r="AL8" s="185">
        <f>'TONG TP'!AL79</f>
        <v>6.65</v>
      </c>
      <c r="AM8" s="185">
        <f>'TONG TP'!AM79</f>
        <v>0</v>
      </c>
      <c r="AN8" s="185">
        <f>'TONG TP'!AN79</f>
        <v>0</v>
      </c>
      <c r="AO8" s="185">
        <f>'TONG TP'!AO79</f>
        <v>0.01</v>
      </c>
      <c r="AP8" s="185">
        <f>'TONG TP'!AP79</f>
        <v>0</v>
      </c>
      <c r="AQ8" s="185">
        <f>'TONG TP'!AQ79</f>
        <v>0</v>
      </c>
      <c r="AR8" s="185">
        <f>'TONG TP'!AR79</f>
        <v>167.52</v>
      </c>
      <c r="AS8" s="185">
        <f>'TONG TP'!AS79</f>
        <v>3079.4102499999999</v>
      </c>
      <c r="AT8" s="633"/>
    </row>
    <row r="9" spans="1:47" s="27" customFormat="1" ht="20.25" customHeight="1">
      <c r="A9" s="30"/>
      <c r="B9" s="14" t="s">
        <v>19</v>
      </c>
      <c r="C9" s="30" t="s">
        <v>20</v>
      </c>
      <c r="D9" s="185">
        <f>'TONG TP'!D80</f>
        <v>1840.3679999999999</v>
      </c>
      <c r="E9" s="185">
        <f>'TONG TP'!E80</f>
        <v>4.9899999999999993</v>
      </c>
      <c r="F9" s="185">
        <f>'TONG TP'!F80</f>
        <v>0</v>
      </c>
      <c r="G9" s="186">
        <f>'TONG TP'!G80</f>
        <v>1715.058</v>
      </c>
      <c r="H9" s="185">
        <f>'TONG TP'!H80</f>
        <v>0</v>
      </c>
      <c r="I9" s="185">
        <f>'TONG TP'!I80</f>
        <v>0</v>
      </c>
      <c r="J9" s="185">
        <f>'TONG TP'!J80</f>
        <v>0</v>
      </c>
      <c r="K9" s="185">
        <f>'TONG TP'!K80</f>
        <v>0</v>
      </c>
      <c r="L9" s="185">
        <f>'TONG TP'!L80</f>
        <v>0</v>
      </c>
      <c r="M9" s="185">
        <f>'TONG TP'!M80</f>
        <v>4.9899999999999993</v>
      </c>
      <c r="N9" s="185">
        <f>'TONG TP'!N80</f>
        <v>0</v>
      </c>
      <c r="O9" s="185">
        <f>'TONG TP'!O80</f>
        <v>0</v>
      </c>
      <c r="P9" s="185">
        <f>'TONG TP'!P80</f>
        <v>120.32</v>
      </c>
      <c r="Q9" s="185">
        <f>'TONG TP'!Q80</f>
        <v>0.23</v>
      </c>
      <c r="R9" s="185">
        <f>'TONG TP'!R80</f>
        <v>0</v>
      </c>
      <c r="S9" s="185">
        <f>'TONG TP'!S80</f>
        <v>1.37</v>
      </c>
      <c r="T9" s="185">
        <f>'TONG TP'!T80</f>
        <v>0</v>
      </c>
      <c r="U9" s="185">
        <f>'TONG TP'!U80</f>
        <v>15.57</v>
      </c>
      <c r="V9" s="185">
        <f>'TONG TP'!V80</f>
        <v>13.19</v>
      </c>
      <c r="W9" s="185">
        <f>'TONG TP'!W80</f>
        <v>5.51</v>
      </c>
      <c r="X9" s="185">
        <f>'TONG TP'!X80</f>
        <v>0</v>
      </c>
      <c r="Y9" s="185">
        <f>'TONG TP'!Y80</f>
        <v>51.58</v>
      </c>
      <c r="Z9" s="185">
        <f>'TONG TP'!Z80</f>
        <v>0</v>
      </c>
      <c r="AA9" s="185">
        <f>'TONG TP'!AA80</f>
        <v>0</v>
      </c>
      <c r="AB9" s="185">
        <f>'TONG TP'!AB80</f>
        <v>0</v>
      </c>
      <c r="AC9" s="185">
        <f>'TONG TP'!AC80</f>
        <v>2.44</v>
      </c>
      <c r="AD9" s="185">
        <f>'TONG TP'!AD80</f>
        <v>17.809999999999999</v>
      </c>
      <c r="AE9" s="185">
        <f>'TONG TP'!AE80</f>
        <v>6.28</v>
      </c>
      <c r="AF9" s="185">
        <f>'TONG TP'!AF80</f>
        <v>0</v>
      </c>
      <c r="AG9" s="185">
        <f>'TONG TP'!AG80</f>
        <v>0</v>
      </c>
      <c r="AH9" s="185">
        <f>'TONG TP'!AH80</f>
        <v>0</v>
      </c>
      <c r="AI9" s="185">
        <f>'TONG TP'!AI80</f>
        <v>0</v>
      </c>
      <c r="AJ9" s="185">
        <f>'TONG TP'!AJ80</f>
        <v>0</v>
      </c>
      <c r="AK9" s="185">
        <f>'TONG TP'!AK80</f>
        <v>0</v>
      </c>
      <c r="AL9" s="185">
        <f>'TONG TP'!AL80</f>
        <v>6.33</v>
      </c>
      <c r="AM9" s="185">
        <f>'TONG TP'!AM80</f>
        <v>0</v>
      </c>
      <c r="AN9" s="185">
        <f>'TONG TP'!AN80</f>
        <v>0</v>
      </c>
      <c r="AO9" s="185">
        <f>'TONG TP'!AO80</f>
        <v>0.01</v>
      </c>
      <c r="AP9" s="185">
        <f>'TONG TP'!AP80</f>
        <v>0</v>
      </c>
      <c r="AQ9" s="185">
        <f>'TONG TP'!AQ80</f>
        <v>0</v>
      </c>
      <c r="AR9" s="185">
        <f>'TONG TP'!AR80</f>
        <v>125.30999999999999</v>
      </c>
      <c r="AS9" s="185">
        <f>'TONG TP'!AS80</f>
        <v>1715.058</v>
      </c>
      <c r="AT9" s="633"/>
    </row>
    <row r="10" spans="1:47" s="27" customFormat="1" ht="20.25" customHeight="1">
      <c r="A10" s="30" t="s">
        <v>21</v>
      </c>
      <c r="B10" s="14" t="s">
        <v>22</v>
      </c>
      <c r="C10" s="30" t="s">
        <v>23</v>
      </c>
      <c r="D10" s="185">
        <f>'TONG TP'!D81</f>
        <v>1015.3142999999999</v>
      </c>
      <c r="E10" s="185">
        <f>'TONG TP'!E81</f>
        <v>990.08429999999987</v>
      </c>
      <c r="F10" s="185">
        <f>'TONG TP'!F81</f>
        <v>0</v>
      </c>
      <c r="G10" s="185">
        <f>'TONG TP'!G81</f>
        <v>0</v>
      </c>
      <c r="H10" s="186">
        <f>'TONG TP'!H81</f>
        <v>977.34429999999986</v>
      </c>
      <c r="I10" s="185">
        <f>'TONG TP'!I81</f>
        <v>0</v>
      </c>
      <c r="J10" s="185">
        <f>'TONG TP'!J81</f>
        <v>0</v>
      </c>
      <c r="K10" s="185">
        <f>'TONG TP'!K81</f>
        <v>0</v>
      </c>
      <c r="L10" s="185">
        <f>'TONG TP'!L81</f>
        <v>0</v>
      </c>
      <c r="M10" s="185">
        <f>'TONG TP'!M81</f>
        <v>12.739999999999998</v>
      </c>
      <c r="N10" s="185">
        <f>'TONG TP'!N81</f>
        <v>0</v>
      </c>
      <c r="O10" s="185">
        <f>'TONG TP'!O81</f>
        <v>0</v>
      </c>
      <c r="P10" s="185">
        <f>'TONG TP'!P81</f>
        <v>25.229999999999997</v>
      </c>
      <c r="Q10" s="185">
        <f>'TONG TP'!Q81</f>
        <v>0</v>
      </c>
      <c r="R10" s="185">
        <f>'TONG TP'!R81</f>
        <v>0</v>
      </c>
      <c r="S10" s="185">
        <f>'TONG TP'!S81</f>
        <v>10.54</v>
      </c>
      <c r="T10" s="185">
        <f>'TONG TP'!T81</f>
        <v>0</v>
      </c>
      <c r="U10" s="185">
        <f>'TONG TP'!U81</f>
        <v>0.35</v>
      </c>
      <c r="V10" s="185">
        <f>'TONG TP'!V81</f>
        <v>0.87000000000000011</v>
      </c>
      <c r="W10" s="185">
        <f>'TONG TP'!W81</f>
        <v>0.61</v>
      </c>
      <c r="X10" s="185">
        <f>'TONG TP'!X81</f>
        <v>0</v>
      </c>
      <c r="Y10" s="185">
        <f>'TONG TP'!Y81</f>
        <v>7.7500000000000009</v>
      </c>
      <c r="Z10" s="185">
        <f>'TONG TP'!Z81</f>
        <v>0</v>
      </c>
      <c r="AA10" s="185">
        <f>'TONG TP'!AA81</f>
        <v>0</v>
      </c>
      <c r="AB10" s="185">
        <f>'TONG TP'!AB81</f>
        <v>0.53</v>
      </c>
      <c r="AC10" s="185">
        <f>'TONG TP'!AC81</f>
        <v>1.7000000000000002</v>
      </c>
      <c r="AD10" s="185">
        <f>'TONG TP'!AD81</f>
        <v>2.3200000000000003</v>
      </c>
      <c r="AE10" s="185">
        <f>'TONG TP'!AE81</f>
        <v>0.04</v>
      </c>
      <c r="AF10" s="185">
        <f>'TONG TP'!AF81</f>
        <v>0</v>
      </c>
      <c r="AG10" s="185">
        <f>'TONG TP'!AG81</f>
        <v>0</v>
      </c>
      <c r="AH10" s="185">
        <f>'TONG TP'!AH81</f>
        <v>0</v>
      </c>
      <c r="AI10" s="185">
        <f>'TONG TP'!AI81</f>
        <v>0</v>
      </c>
      <c r="AJ10" s="185">
        <f>'TONG TP'!AJ81</f>
        <v>0</v>
      </c>
      <c r="AK10" s="185">
        <f>'TONG TP'!AK81</f>
        <v>0</v>
      </c>
      <c r="AL10" s="185">
        <f>'TONG TP'!AL81</f>
        <v>0.52</v>
      </c>
      <c r="AM10" s="185">
        <f>'TONG TP'!AM81</f>
        <v>0</v>
      </c>
      <c r="AN10" s="185">
        <f>'TONG TP'!AN81</f>
        <v>0</v>
      </c>
      <c r="AO10" s="185">
        <f>'TONG TP'!AO81</f>
        <v>0</v>
      </c>
      <c r="AP10" s="185">
        <f>'TONG TP'!AP81</f>
        <v>0</v>
      </c>
      <c r="AQ10" s="185">
        <f>'TONG TP'!AQ81</f>
        <v>0</v>
      </c>
      <c r="AR10" s="185">
        <f>'TONG TP'!AR81</f>
        <v>37.97</v>
      </c>
      <c r="AS10" s="185">
        <f>'TONG TP'!AS81</f>
        <v>977.34429999999986</v>
      </c>
    </row>
    <row r="11" spans="1:47" s="27" customFormat="1" ht="20.25" customHeight="1">
      <c r="A11" s="30" t="s">
        <v>24</v>
      </c>
      <c r="B11" s="14" t="s">
        <v>25</v>
      </c>
      <c r="C11" s="30" t="s">
        <v>26</v>
      </c>
      <c r="D11" s="185">
        <f>'TONG TP'!D82</f>
        <v>1840.0419399999998</v>
      </c>
      <c r="E11" s="185">
        <f>'TONG TP'!E82</f>
        <v>1746.8319399999998</v>
      </c>
      <c r="F11" s="185">
        <f>'TONG TP'!F82</f>
        <v>0</v>
      </c>
      <c r="G11" s="185">
        <f>'TONG TP'!G82</f>
        <v>0</v>
      </c>
      <c r="H11" s="185">
        <f>'TONG TP'!H82</f>
        <v>0</v>
      </c>
      <c r="I11" s="186">
        <f>'TONG TP'!I82</f>
        <v>1737.3819399999998</v>
      </c>
      <c r="J11" s="185">
        <f>'TONG TP'!J82</f>
        <v>0</v>
      </c>
      <c r="K11" s="185">
        <f>'TONG TP'!K82</f>
        <v>0</v>
      </c>
      <c r="L11" s="185">
        <f>'TONG TP'!L82</f>
        <v>0</v>
      </c>
      <c r="M11" s="185">
        <f>'TONG TP'!M82</f>
        <v>9.4499999999999993</v>
      </c>
      <c r="N11" s="185">
        <f>'TONG TP'!N82</f>
        <v>0</v>
      </c>
      <c r="O11" s="185">
        <f>'TONG TP'!O82</f>
        <v>0</v>
      </c>
      <c r="P11" s="185">
        <f>'TONG TP'!P82</f>
        <v>93.210000000000008</v>
      </c>
      <c r="Q11" s="185">
        <f>'TONG TP'!Q82</f>
        <v>0.27</v>
      </c>
      <c r="R11" s="185">
        <f>'TONG TP'!R82</f>
        <v>0</v>
      </c>
      <c r="S11" s="185">
        <f>'TONG TP'!S82</f>
        <v>3.5</v>
      </c>
      <c r="T11" s="185">
        <f>'TONG TP'!T82</f>
        <v>0</v>
      </c>
      <c r="U11" s="185">
        <f>'TONG TP'!U82</f>
        <v>23.1</v>
      </c>
      <c r="V11" s="185">
        <f>'TONG TP'!V82</f>
        <v>10.01</v>
      </c>
      <c r="W11" s="185">
        <f>'TONG TP'!W82</f>
        <v>14.94</v>
      </c>
      <c r="X11" s="185">
        <f>'TONG TP'!X82</f>
        <v>0</v>
      </c>
      <c r="Y11" s="185">
        <f>'TONG TP'!Y82</f>
        <v>23.189999999999998</v>
      </c>
      <c r="Z11" s="185">
        <f>'TONG TP'!Z82</f>
        <v>0</v>
      </c>
      <c r="AA11" s="185">
        <f>'TONG TP'!AA82</f>
        <v>0</v>
      </c>
      <c r="AB11" s="185">
        <f>'TONG TP'!AB82</f>
        <v>0.54</v>
      </c>
      <c r="AC11" s="185">
        <f>'TONG TP'!AC82</f>
        <v>5.14</v>
      </c>
      <c r="AD11" s="185">
        <f>'TONG TP'!AD82</f>
        <v>5.56</v>
      </c>
      <c r="AE11" s="185">
        <f>'TONG TP'!AE82</f>
        <v>3.78</v>
      </c>
      <c r="AF11" s="185">
        <f>'TONG TP'!AF82</f>
        <v>0</v>
      </c>
      <c r="AG11" s="185">
        <f>'TONG TP'!AG82</f>
        <v>0</v>
      </c>
      <c r="AH11" s="185">
        <f>'TONG TP'!AH82</f>
        <v>0.36</v>
      </c>
      <c r="AI11" s="185">
        <f>'TONG TP'!AI82</f>
        <v>0</v>
      </c>
      <c r="AJ11" s="185">
        <f>'TONG TP'!AJ82</f>
        <v>0.13</v>
      </c>
      <c r="AK11" s="185">
        <f>'TONG TP'!AK82</f>
        <v>0</v>
      </c>
      <c r="AL11" s="185">
        <f>'TONG TP'!AL82</f>
        <v>2.5700000000000003</v>
      </c>
      <c r="AM11" s="185">
        <f>'TONG TP'!AM82</f>
        <v>0</v>
      </c>
      <c r="AN11" s="185">
        <f>'TONG TP'!AN82</f>
        <v>0</v>
      </c>
      <c r="AO11" s="185">
        <f>'TONG TP'!AO82</f>
        <v>0.12</v>
      </c>
      <c r="AP11" s="185">
        <f>'TONG TP'!AP82</f>
        <v>0</v>
      </c>
      <c r="AQ11" s="185">
        <f>'TONG TP'!AQ82</f>
        <v>0</v>
      </c>
      <c r="AR11" s="185">
        <f>'TONG TP'!AR82</f>
        <v>102.66000000000001</v>
      </c>
      <c r="AS11" s="185">
        <f>'TONG TP'!AS82</f>
        <v>1737.3819399999998</v>
      </c>
    </row>
    <row r="12" spans="1:47" s="27" customFormat="1" ht="20.25" customHeight="1">
      <c r="A12" s="30" t="s">
        <v>27</v>
      </c>
      <c r="B12" s="14" t="s">
        <v>28</v>
      </c>
      <c r="C12" s="30" t="s">
        <v>29</v>
      </c>
      <c r="D12" s="185">
        <f>'TONG TP'!D83</f>
        <v>15177.190000000002</v>
      </c>
      <c r="E12" s="185">
        <f>'TONG TP'!E83</f>
        <v>15106.250000000002</v>
      </c>
      <c r="F12" s="185">
        <f>'TONG TP'!F83</f>
        <v>0</v>
      </c>
      <c r="G12" s="185">
        <f>'TONG TP'!G83</f>
        <v>0</v>
      </c>
      <c r="H12" s="185">
        <f>'TONG TP'!H83</f>
        <v>0</v>
      </c>
      <c r="I12" s="185">
        <f>'TONG TP'!I83</f>
        <v>0</v>
      </c>
      <c r="J12" s="186">
        <f>'TONG TP'!J83</f>
        <v>15106.250000000002</v>
      </c>
      <c r="K12" s="185">
        <f>'TONG TP'!K83</f>
        <v>0</v>
      </c>
      <c r="L12" s="185">
        <f>'TONG TP'!L83</f>
        <v>0</v>
      </c>
      <c r="M12" s="185">
        <f>'TONG TP'!M83</f>
        <v>0</v>
      </c>
      <c r="N12" s="185">
        <f>'TONG TP'!N83</f>
        <v>0</v>
      </c>
      <c r="O12" s="185">
        <f>'TONG TP'!O83</f>
        <v>0</v>
      </c>
      <c r="P12" s="185">
        <f>'TONG TP'!P83</f>
        <v>70.94</v>
      </c>
      <c r="Q12" s="185">
        <f>'TONG TP'!Q83</f>
        <v>0.95</v>
      </c>
      <c r="R12" s="185">
        <f>'TONG TP'!R83</f>
        <v>0</v>
      </c>
      <c r="S12" s="185">
        <f>'TONG TP'!S83</f>
        <v>0</v>
      </c>
      <c r="T12" s="185">
        <f>'TONG TP'!T83</f>
        <v>0</v>
      </c>
      <c r="U12" s="185">
        <f>'TONG TP'!U83</f>
        <v>6.39</v>
      </c>
      <c r="V12" s="185">
        <f>'TONG TP'!V83</f>
        <v>0</v>
      </c>
      <c r="W12" s="185">
        <f>'TONG TP'!W83</f>
        <v>14.95</v>
      </c>
      <c r="X12" s="185">
        <f>'TONG TP'!X83</f>
        <v>0</v>
      </c>
      <c r="Y12" s="185">
        <f>'TONG TP'!Y83</f>
        <v>44.160000000000004</v>
      </c>
      <c r="Z12" s="185">
        <f>'TONG TP'!Z83</f>
        <v>0</v>
      </c>
      <c r="AA12" s="185">
        <f>'TONG TP'!AA83</f>
        <v>0</v>
      </c>
      <c r="AB12" s="185">
        <f>'TONG TP'!AB83</f>
        <v>4.49</v>
      </c>
      <c r="AC12" s="185">
        <f>'TONG TP'!AC83</f>
        <v>0</v>
      </c>
      <c r="AD12" s="185">
        <f>'TONG TP'!AD83</f>
        <v>0</v>
      </c>
      <c r="AE12" s="185">
        <f>'TONG TP'!AE83</f>
        <v>0</v>
      </c>
      <c r="AF12" s="185">
        <f>'TONG TP'!AF83</f>
        <v>0</v>
      </c>
      <c r="AG12" s="185">
        <f>'TONG TP'!AG83</f>
        <v>0</v>
      </c>
      <c r="AH12" s="185">
        <f>'TONG TP'!AH83</f>
        <v>0</v>
      </c>
      <c r="AI12" s="185">
        <f>'TONG TP'!AI83</f>
        <v>0</v>
      </c>
      <c r="AJ12" s="185">
        <f>'TONG TP'!AJ83</f>
        <v>0</v>
      </c>
      <c r="AK12" s="185">
        <f>'TONG TP'!AK83</f>
        <v>0</v>
      </c>
      <c r="AL12" s="185">
        <f>'TONG TP'!AL83</f>
        <v>0</v>
      </c>
      <c r="AM12" s="185">
        <f>'TONG TP'!AM83</f>
        <v>0</v>
      </c>
      <c r="AN12" s="185">
        <f>'TONG TP'!AN83</f>
        <v>0</v>
      </c>
      <c r="AO12" s="185">
        <f>'TONG TP'!AO83</f>
        <v>0</v>
      </c>
      <c r="AP12" s="185">
        <f>'TONG TP'!AP83</f>
        <v>0</v>
      </c>
      <c r="AQ12" s="185">
        <f>'TONG TP'!AQ83</f>
        <v>0</v>
      </c>
      <c r="AR12" s="185">
        <f>'TONG TP'!AR83</f>
        <v>70.94</v>
      </c>
      <c r="AS12" s="185">
        <f>'TONG TP'!AS83</f>
        <v>15106.250000000002</v>
      </c>
    </row>
    <row r="13" spans="1:47" s="27" customFormat="1" ht="20.25" customHeight="1">
      <c r="A13" s="30" t="s">
        <v>30</v>
      </c>
      <c r="B13" s="14" t="s">
        <v>31</v>
      </c>
      <c r="C13" s="30" t="s">
        <v>32</v>
      </c>
      <c r="D13" s="185">
        <f>'TONG TP'!D84</f>
        <v>0</v>
      </c>
      <c r="E13" s="185">
        <f>'TONG TP'!E84</f>
        <v>0</v>
      </c>
      <c r="F13" s="185">
        <f>'TONG TP'!F84</f>
        <v>0</v>
      </c>
      <c r="G13" s="185">
        <f>'TONG TP'!G84</f>
        <v>0</v>
      </c>
      <c r="H13" s="185">
        <f>'TONG TP'!H84</f>
        <v>0</v>
      </c>
      <c r="I13" s="185">
        <f>'TONG TP'!I84</f>
        <v>0</v>
      </c>
      <c r="J13" s="185">
        <f>'TONG TP'!J84</f>
        <v>0</v>
      </c>
      <c r="K13" s="186">
        <f>'TONG TP'!K84</f>
        <v>0</v>
      </c>
      <c r="L13" s="185">
        <f>'TONG TP'!L84</f>
        <v>0</v>
      </c>
      <c r="M13" s="185">
        <f>'TONG TP'!M84</f>
        <v>0</v>
      </c>
      <c r="N13" s="185">
        <f>'TONG TP'!N84</f>
        <v>0</v>
      </c>
      <c r="O13" s="185">
        <f>'TONG TP'!O84</f>
        <v>0</v>
      </c>
      <c r="P13" s="185">
        <f>'TONG TP'!P84</f>
        <v>0</v>
      </c>
      <c r="Q13" s="185">
        <f>'TONG TP'!Q84</f>
        <v>0</v>
      </c>
      <c r="R13" s="185">
        <f>'TONG TP'!R84</f>
        <v>0</v>
      </c>
      <c r="S13" s="185">
        <f>'TONG TP'!S84</f>
        <v>0</v>
      </c>
      <c r="T13" s="185">
        <f>'TONG TP'!T84</f>
        <v>0</v>
      </c>
      <c r="U13" s="185">
        <f>'TONG TP'!U84</f>
        <v>0</v>
      </c>
      <c r="V13" s="185">
        <f>'TONG TP'!V84</f>
        <v>0</v>
      </c>
      <c r="W13" s="185">
        <f>'TONG TP'!W84</f>
        <v>0</v>
      </c>
      <c r="X13" s="185">
        <f>'TONG TP'!X84</f>
        <v>0</v>
      </c>
      <c r="Y13" s="185">
        <f>'TONG TP'!Y84</f>
        <v>0</v>
      </c>
      <c r="Z13" s="185">
        <f>'TONG TP'!Z84</f>
        <v>0</v>
      </c>
      <c r="AA13" s="185">
        <f>'TONG TP'!AA84</f>
        <v>0</v>
      </c>
      <c r="AB13" s="185">
        <f>'TONG TP'!AB84</f>
        <v>0</v>
      </c>
      <c r="AC13" s="185">
        <f>'TONG TP'!AC84</f>
        <v>0</v>
      </c>
      <c r="AD13" s="185">
        <f>'TONG TP'!AD84</f>
        <v>0</v>
      </c>
      <c r="AE13" s="185">
        <f>'TONG TP'!AE84</f>
        <v>0</v>
      </c>
      <c r="AF13" s="185">
        <f>'TONG TP'!AF84</f>
        <v>0</v>
      </c>
      <c r="AG13" s="185">
        <f>'TONG TP'!AG84</f>
        <v>0</v>
      </c>
      <c r="AH13" s="185">
        <f>'TONG TP'!AH84</f>
        <v>0</v>
      </c>
      <c r="AI13" s="185">
        <f>'TONG TP'!AI84</f>
        <v>0</v>
      </c>
      <c r="AJ13" s="185">
        <f>'TONG TP'!AJ84</f>
        <v>0</v>
      </c>
      <c r="AK13" s="185">
        <f>'TONG TP'!AK84</f>
        <v>0</v>
      </c>
      <c r="AL13" s="185">
        <f>'TONG TP'!AL84</f>
        <v>0</v>
      </c>
      <c r="AM13" s="185">
        <f>'TONG TP'!AM84</f>
        <v>0</v>
      </c>
      <c r="AN13" s="185">
        <f>'TONG TP'!AN84</f>
        <v>0</v>
      </c>
      <c r="AO13" s="185">
        <f>'TONG TP'!AO84</f>
        <v>0</v>
      </c>
      <c r="AP13" s="185">
        <f>'TONG TP'!AP84</f>
        <v>0</v>
      </c>
      <c r="AQ13" s="185">
        <f>'TONG TP'!AQ84</f>
        <v>0</v>
      </c>
      <c r="AR13" s="185">
        <f>'TONG TP'!AR84</f>
        <v>0</v>
      </c>
      <c r="AS13" s="185">
        <f>'TONG TP'!AS84</f>
        <v>0</v>
      </c>
    </row>
    <row r="14" spans="1:47" s="27" customFormat="1" ht="20.25" customHeight="1">
      <c r="A14" s="30" t="s">
        <v>33</v>
      </c>
      <c r="B14" s="14" t="s">
        <v>34</v>
      </c>
      <c r="C14" s="30" t="s">
        <v>35</v>
      </c>
      <c r="D14" s="185">
        <f>'TONG TP'!D85</f>
        <v>13541.636099999998</v>
      </c>
      <c r="E14" s="185">
        <f>'TONG TP'!E85</f>
        <v>13168.926099999997</v>
      </c>
      <c r="F14" s="185">
        <f>'TONG TP'!F85</f>
        <v>0</v>
      </c>
      <c r="G14" s="185">
        <f>'TONG TP'!G85</f>
        <v>0</v>
      </c>
      <c r="H14" s="185">
        <f>'TONG TP'!H85</f>
        <v>0</v>
      </c>
      <c r="I14" s="185">
        <f>'TONG TP'!I85</f>
        <v>0</v>
      </c>
      <c r="J14" s="185">
        <f>'TONG TP'!J85</f>
        <v>0</v>
      </c>
      <c r="K14" s="185">
        <f>'TONG TP'!K85</f>
        <v>0</v>
      </c>
      <c r="L14" s="186">
        <f>'TONG TP'!L85</f>
        <v>13167.936099999997</v>
      </c>
      <c r="M14" s="185">
        <f>'TONG TP'!M85</f>
        <v>0.99</v>
      </c>
      <c r="N14" s="185">
        <f>'TONG TP'!N85</f>
        <v>0</v>
      </c>
      <c r="O14" s="185">
        <f>'TONG TP'!O85</f>
        <v>0</v>
      </c>
      <c r="P14" s="185">
        <f>'TONG TP'!P85</f>
        <v>372.71000000000004</v>
      </c>
      <c r="Q14" s="185">
        <f>'TONG TP'!Q85</f>
        <v>4.3099999999999996</v>
      </c>
      <c r="R14" s="185">
        <f>'TONG TP'!R85</f>
        <v>0</v>
      </c>
      <c r="S14" s="185">
        <f>'TONG TP'!S85</f>
        <v>5.33</v>
      </c>
      <c r="T14" s="185">
        <f>'TONG TP'!T85</f>
        <v>0</v>
      </c>
      <c r="U14" s="185">
        <f>'TONG TP'!U85</f>
        <v>0</v>
      </c>
      <c r="V14" s="185">
        <f>'TONG TP'!V85</f>
        <v>51.07</v>
      </c>
      <c r="W14" s="185">
        <f>'TONG TP'!W85</f>
        <v>8.94</v>
      </c>
      <c r="X14" s="185">
        <f>'TONG TP'!X85</f>
        <v>0</v>
      </c>
      <c r="Y14" s="185">
        <f>'TONG TP'!Y85</f>
        <v>17.66</v>
      </c>
      <c r="Z14" s="185">
        <f>'TONG TP'!Z85</f>
        <v>0</v>
      </c>
      <c r="AA14" s="185">
        <f>'TONG TP'!AA85</f>
        <v>0</v>
      </c>
      <c r="AB14" s="185">
        <f>'TONG TP'!AB85</f>
        <v>0.78</v>
      </c>
      <c r="AC14" s="185">
        <f>'TONG TP'!AC85</f>
        <v>0</v>
      </c>
      <c r="AD14" s="185">
        <f>'TONG TP'!AD85</f>
        <v>0.1</v>
      </c>
      <c r="AE14" s="185">
        <f>'TONG TP'!AE85</f>
        <v>0</v>
      </c>
      <c r="AF14" s="185">
        <f>'TONG TP'!AF85</f>
        <v>0</v>
      </c>
      <c r="AG14" s="185">
        <f>'TONG TP'!AG85</f>
        <v>0</v>
      </c>
      <c r="AH14" s="185">
        <f>'TONG TP'!AH85</f>
        <v>0.95</v>
      </c>
      <c r="AI14" s="185">
        <f>'TONG TP'!AI85</f>
        <v>0</v>
      </c>
      <c r="AJ14" s="185">
        <f>'TONG TP'!AJ85</f>
        <v>283.39000000000004</v>
      </c>
      <c r="AK14" s="185">
        <f>'TONG TP'!AK85</f>
        <v>0</v>
      </c>
      <c r="AL14" s="185">
        <f>'TONG TP'!AL85</f>
        <v>0.18</v>
      </c>
      <c r="AM14" s="185">
        <f>'TONG TP'!AM85</f>
        <v>0</v>
      </c>
      <c r="AN14" s="185">
        <f>'TONG TP'!AN85</f>
        <v>0</v>
      </c>
      <c r="AO14" s="185">
        <f>'TONG TP'!AO85</f>
        <v>0</v>
      </c>
      <c r="AP14" s="185">
        <f>'TONG TP'!AP85</f>
        <v>0</v>
      </c>
      <c r="AQ14" s="185">
        <f>'TONG TP'!AQ85</f>
        <v>0</v>
      </c>
      <c r="AR14" s="185">
        <f>'TONG TP'!AR85</f>
        <v>373.70000000000005</v>
      </c>
      <c r="AS14" s="185">
        <f>'TONG TP'!AS85</f>
        <v>13167.936099999997</v>
      </c>
    </row>
    <row r="15" spans="1:47" s="27" customFormat="1" ht="20.25" customHeight="1">
      <c r="A15" s="30" t="s">
        <v>36</v>
      </c>
      <c r="B15" s="14" t="s">
        <v>37</v>
      </c>
      <c r="C15" s="30" t="s">
        <v>38</v>
      </c>
      <c r="D15" s="185">
        <f>'TONG TP'!D86</f>
        <v>3586.9500000000003</v>
      </c>
      <c r="E15" s="185">
        <f>'TONG TP'!E86</f>
        <v>3371.8700000000003</v>
      </c>
      <c r="F15" s="185">
        <f>'TONG TP'!F86</f>
        <v>0</v>
      </c>
      <c r="G15" s="185">
        <f>'TONG TP'!G86</f>
        <v>0</v>
      </c>
      <c r="H15" s="185">
        <f>'TONG TP'!H86</f>
        <v>0</v>
      </c>
      <c r="I15" s="185">
        <f>'TONG TP'!I86</f>
        <v>0</v>
      </c>
      <c r="J15" s="185">
        <f>'TONG TP'!J86</f>
        <v>0</v>
      </c>
      <c r="K15" s="185">
        <f>'TONG TP'!K86</f>
        <v>0</v>
      </c>
      <c r="L15" s="185">
        <f>'TONG TP'!L86</f>
        <v>0</v>
      </c>
      <c r="M15" s="186">
        <f>'TONG TP'!M86</f>
        <v>3371.8700000000003</v>
      </c>
      <c r="N15" s="185">
        <f>'TONG TP'!N86</f>
        <v>0</v>
      </c>
      <c r="O15" s="185">
        <f>'TONG TP'!O86</f>
        <v>0</v>
      </c>
      <c r="P15" s="185">
        <f>'TONG TP'!P86</f>
        <v>215.08000000000004</v>
      </c>
      <c r="Q15" s="185">
        <f>'TONG TP'!Q86</f>
        <v>0</v>
      </c>
      <c r="R15" s="185">
        <f>'TONG TP'!R86</f>
        <v>0</v>
      </c>
      <c r="S15" s="185">
        <f>'TONG TP'!S86</f>
        <v>3.55</v>
      </c>
      <c r="T15" s="185">
        <f>'TONG TP'!T86</f>
        <v>0</v>
      </c>
      <c r="U15" s="185">
        <f>'TONG TP'!U86</f>
        <v>127.11</v>
      </c>
      <c r="V15" s="185">
        <f>'TONG TP'!V86</f>
        <v>0.63</v>
      </c>
      <c r="W15" s="185">
        <f>'TONG TP'!W86</f>
        <v>47.35</v>
      </c>
      <c r="X15" s="185">
        <f>'TONG TP'!X86</f>
        <v>0</v>
      </c>
      <c r="Y15" s="185">
        <f>'TONG TP'!Y86</f>
        <v>29.150000000000002</v>
      </c>
      <c r="Z15" s="185">
        <f>'TONG TP'!Z86</f>
        <v>0</v>
      </c>
      <c r="AA15" s="185">
        <f>'TONG TP'!AA86</f>
        <v>0</v>
      </c>
      <c r="AB15" s="185">
        <f>'TONG TP'!AB86</f>
        <v>1.49</v>
      </c>
      <c r="AC15" s="185">
        <f>'TONG TP'!AC86</f>
        <v>1.1099999999999999</v>
      </c>
      <c r="AD15" s="185">
        <f>'TONG TP'!AD86</f>
        <v>0.85000000000000009</v>
      </c>
      <c r="AE15" s="185">
        <f>'TONG TP'!AE86</f>
        <v>0.24</v>
      </c>
      <c r="AF15" s="185">
        <f>'TONG TP'!AF86</f>
        <v>0</v>
      </c>
      <c r="AG15" s="185">
        <f>'TONG TP'!AG86</f>
        <v>0</v>
      </c>
      <c r="AH15" s="185">
        <f>'TONG TP'!AH86</f>
        <v>0.03</v>
      </c>
      <c r="AI15" s="185">
        <f>'TONG TP'!AI86</f>
        <v>0</v>
      </c>
      <c r="AJ15" s="185">
        <f>'TONG TP'!AJ86</f>
        <v>3.0300000000000002</v>
      </c>
      <c r="AK15" s="185">
        <f>'TONG TP'!AK86</f>
        <v>0</v>
      </c>
      <c r="AL15" s="185">
        <f>'TONG TP'!AL86</f>
        <v>0.36</v>
      </c>
      <c r="AM15" s="185">
        <f>'TONG TP'!AM86</f>
        <v>0</v>
      </c>
      <c r="AN15" s="185">
        <f>'TONG TP'!AN86</f>
        <v>0</v>
      </c>
      <c r="AO15" s="185">
        <f>'TONG TP'!AO86</f>
        <v>0.18</v>
      </c>
      <c r="AP15" s="185">
        <f>'TONG TP'!AP86</f>
        <v>0</v>
      </c>
      <c r="AQ15" s="185">
        <f>'TONG TP'!AQ86</f>
        <v>0</v>
      </c>
      <c r="AR15" s="185">
        <f>'TONG TP'!AR86</f>
        <v>215.08000000000004</v>
      </c>
      <c r="AS15" s="185">
        <f>'TONG TP'!AS86</f>
        <v>3531.9200000000005</v>
      </c>
    </row>
    <row r="16" spans="1:47" s="27" customFormat="1" ht="20.25" customHeight="1">
      <c r="A16" s="30" t="s">
        <v>39</v>
      </c>
      <c r="B16" s="14" t="s">
        <v>40</v>
      </c>
      <c r="C16" s="30" t="s">
        <v>41</v>
      </c>
      <c r="D16" s="185">
        <f>'TONG TP'!D87</f>
        <v>0</v>
      </c>
      <c r="E16" s="185">
        <f>'TONG TP'!E87</f>
        <v>0</v>
      </c>
      <c r="F16" s="185">
        <f>'TONG TP'!F87</f>
        <v>0</v>
      </c>
      <c r="G16" s="185">
        <f>'TONG TP'!G87</f>
        <v>0</v>
      </c>
      <c r="H16" s="185">
        <f>'TONG TP'!H87</f>
        <v>0</v>
      </c>
      <c r="I16" s="185">
        <f>'TONG TP'!I87</f>
        <v>0</v>
      </c>
      <c r="J16" s="185">
        <f>'TONG TP'!J87</f>
        <v>0</v>
      </c>
      <c r="K16" s="185">
        <f>'TONG TP'!K87</f>
        <v>0</v>
      </c>
      <c r="L16" s="185">
        <f>'TONG TP'!L87</f>
        <v>0</v>
      </c>
      <c r="M16" s="185">
        <f>'TONG TP'!M87</f>
        <v>0</v>
      </c>
      <c r="N16" s="186">
        <f>'TONG TP'!N87</f>
        <v>0</v>
      </c>
      <c r="O16" s="185">
        <f>'TONG TP'!O87</f>
        <v>0</v>
      </c>
      <c r="P16" s="185">
        <f>'TONG TP'!P87</f>
        <v>0</v>
      </c>
      <c r="Q16" s="185">
        <f>'TONG TP'!Q87</f>
        <v>0</v>
      </c>
      <c r="R16" s="185">
        <f>'TONG TP'!R87</f>
        <v>0</v>
      </c>
      <c r="S16" s="185">
        <f>'TONG TP'!S87</f>
        <v>0</v>
      </c>
      <c r="T16" s="185">
        <f>'TONG TP'!T87</f>
        <v>0</v>
      </c>
      <c r="U16" s="185">
        <f>'TONG TP'!U87</f>
        <v>0</v>
      </c>
      <c r="V16" s="185">
        <f>'TONG TP'!V87</f>
        <v>0</v>
      </c>
      <c r="W16" s="185">
        <f>'TONG TP'!W87</f>
        <v>0</v>
      </c>
      <c r="X16" s="185">
        <f>'TONG TP'!X87</f>
        <v>0</v>
      </c>
      <c r="Y16" s="185">
        <f>'TONG TP'!Y87</f>
        <v>0</v>
      </c>
      <c r="Z16" s="185">
        <f>'TONG TP'!Z87</f>
        <v>0</v>
      </c>
      <c r="AA16" s="185">
        <f>'TONG TP'!AA87</f>
        <v>0</v>
      </c>
      <c r="AB16" s="185">
        <f>'TONG TP'!AB87</f>
        <v>0</v>
      </c>
      <c r="AC16" s="185">
        <f>'TONG TP'!AC87</f>
        <v>0</v>
      </c>
      <c r="AD16" s="185">
        <f>'TONG TP'!AD87</f>
        <v>0</v>
      </c>
      <c r="AE16" s="185">
        <f>'TONG TP'!AE87</f>
        <v>0</v>
      </c>
      <c r="AF16" s="185">
        <f>'TONG TP'!AF87</f>
        <v>0</v>
      </c>
      <c r="AG16" s="185">
        <f>'TONG TP'!AG87</f>
        <v>0</v>
      </c>
      <c r="AH16" s="185">
        <f>'TONG TP'!AH87</f>
        <v>0</v>
      </c>
      <c r="AI16" s="185">
        <f>'TONG TP'!AI87</f>
        <v>0</v>
      </c>
      <c r="AJ16" s="185">
        <f>'TONG TP'!AJ87</f>
        <v>0</v>
      </c>
      <c r="AK16" s="185">
        <f>'TONG TP'!AK87</f>
        <v>0</v>
      </c>
      <c r="AL16" s="185">
        <f>'TONG TP'!AL87</f>
        <v>0</v>
      </c>
      <c r="AM16" s="185">
        <f>'TONG TP'!AM87</f>
        <v>0</v>
      </c>
      <c r="AN16" s="185">
        <f>'TONG TP'!AN87</f>
        <v>0</v>
      </c>
      <c r="AO16" s="185">
        <f>'TONG TP'!AO87</f>
        <v>0</v>
      </c>
      <c r="AP16" s="185">
        <f>'TONG TP'!AP87</f>
        <v>0</v>
      </c>
      <c r="AQ16" s="185">
        <f>'TONG TP'!AQ87</f>
        <v>0</v>
      </c>
      <c r="AR16" s="185">
        <f>'TONG TP'!AR87</f>
        <v>0</v>
      </c>
      <c r="AS16" s="185">
        <f>'TONG TP'!AS87</f>
        <v>0</v>
      </c>
    </row>
    <row r="17" spans="1:47" s="27" customFormat="1" ht="20.25" customHeight="1">
      <c r="A17" s="30" t="s">
        <v>42</v>
      </c>
      <c r="B17" s="14" t="s">
        <v>43</v>
      </c>
      <c r="C17" s="30" t="s">
        <v>44</v>
      </c>
      <c r="D17" s="185">
        <f>'TONG TP'!D88</f>
        <v>40.08</v>
      </c>
      <c r="E17" s="185">
        <f>'TONG TP'!E88</f>
        <v>40.08</v>
      </c>
      <c r="F17" s="185">
        <f>'TONG TP'!F88</f>
        <v>0</v>
      </c>
      <c r="G17" s="185">
        <f>'TONG TP'!G88</f>
        <v>0</v>
      </c>
      <c r="H17" s="185">
        <f>'TONG TP'!H88</f>
        <v>0</v>
      </c>
      <c r="I17" s="185">
        <f>'TONG TP'!I88</f>
        <v>0</v>
      </c>
      <c r="J17" s="185">
        <f>'TONG TP'!J88</f>
        <v>0</v>
      </c>
      <c r="K17" s="185">
        <f>'TONG TP'!K88</f>
        <v>0</v>
      </c>
      <c r="L17" s="185">
        <f>'TONG TP'!L88</f>
        <v>0</v>
      </c>
      <c r="M17" s="185">
        <f>'TONG TP'!M88</f>
        <v>0</v>
      </c>
      <c r="N17" s="185">
        <f>'TONG TP'!N88</f>
        <v>0</v>
      </c>
      <c r="O17" s="186">
        <f>'TONG TP'!O88</f>
        <v>40.08</v>
      </c>
      <c r="P17" s="185">
        <f>'TONG TP'!P88</f>
        <v>0</v>
      </c>
      <c r="Q17" s="185">
        <f>'TONG TP'!Q88</f>
        <v>0</v>
      </c>
      <c r="R17" s="185">
        <f>'TONG TP'!R88</f>
        <v>0</v>
      </c>
      <c r="S17" s="185">
        <f>'TONG TP'!S88</f>
        <v>0</v>
      </c>
      <c r="T17" s="185">
        <f>'TONG TP'!T88</f>
        <v>0</v>
      </c>
      <c r="U17" s="185">
        <f>'TONG TP'!U88</f>
        <v>0</v>
      </c>
      <c r="V17" s="185">
        <f>'TONG TP'!V88</f>
        <v>0</v>
      </c>
      <c r="W17" s="185">
        <f>'TONG TP'!W88</f>
        <v>0</v>
      </c>
      <c r="X17" s="185">
        <f>'TONG TP'!X88</f>
        <v>0</v>
      </c>
      <c r="Y17" s="185">
        <f>'TONG TP'!Y88</f>
        <v>0</v>
      </c>
      <c r="Z17" s="185">
        <f>'TONG TP'!Z88</f>
        <v>0</v>
      </c>
      <c r="AA17" s="185">
        <f>'TONG TP'!AA88</f>
        <v>0</v>
      </c>
      <c r="AB17" s="185">
        <f>'TONG TP'!AB88</f>
        <v>0</v>
      </c>
      <c r="AC17" s="185">
        <f>'TONG TP'!AC88</f>
        <v>0</v>
      </c>
      <c r="AD17" s="185">
        <f>'TONG TP'!AD88</f>
        <v>0</v>
      </c>
      <c r="AE17" s="185">
        <f>'TONG TP'!AE88</f>
        <v>0</v>
      </c>
      <c r="AF17" s="185">
        <f>'TONG TP'!AF88</f>
        <v>0</v>
      </c>
      <c r="AG17" s="185">
        <f>'TONG TP'!AG88</f>
        <v>0</v>
      </c>
      <c r="AH17" s="185">
        <f>'TONG TP'!AH88</f>
        <v>0</v>
      </c>
      <c r="AI17" s="185">
        <f>'TONG TP'!AI88</f>
        <v>0</v>
      </c>
      <c r="AJ17" s="185">
        <f>'TONG TP'!AJ88</f>
        <v>0</v>
      </c>
      <c r="AK17" s="185">
        <f>'TONG TP'!AK88</f>
        <v>0</v>
      </c>
      <c r="AL17" s="185">
        <f>'TONG TP'!AL88</f>
        <v>0</v>
      </c>
      <c r="AM17" s="185">
        <f>'TONG TP'!AM88</f>
        <v>0</v>
      </c>
      <c r="AN17" s="185">
        <f>'TONG TP'!AN88</f>
        <v>0</v>
      </c>
      <c r="AO17" s="185">
        <f>'TONG TP'!AO88</f>
        <v>0</v>
      </c>
      <c r="AP17" s="185">
        <f>'TONG TP'!AP88</f>
        <v>0</v>
      </c>
      <c r="AQ17" s="185">
        <f>'TONG TP'!AQ88</f>
        <v>0</v>
      </c>
      <c r="AR17" s="185">
        <f>'TONG TP'!AR88</f>
        <v>0</v>
      </c>
      <c r="AS17" s="185">
        <f>'TONG TP'!AS88</f>
        <v>40.08</v>
      </c>
    </row>
    <row r="18" spans="1:47" s="32" customFormat="1" ht="20.25" customHeight="1">
      <c r="A18" s="34">
        <v>2</v>
      </c>
      <c r="B18" s="33" t="s">
        <v>45</v>
      </c>
      <c r="C18" s="34" t="s">
        <v>46</v>
      </c>
      <c r="D18" s="183">
        <f>'TONG TP'!D89</f>
        <v>7712.7726700000003</v>
      </c>
      <c r="E18" s="183">
        <f>'TONG TP'!E89</f>
        <v>101.79</v>
      </c>
      <c r="F18" s="183">
        <f>'TONG TP'!F89</f>
        <v>0</v>
      </c>
      <c r="G18" s="183">
        <f>'TONG TP'!G89</f>
        <v>0</v>
      </c>
      <c r="H18" s="183">
        <f>'TONG TP'!H89</f>
        <v>0</v>
      </c>
      <c r="I18" s="183">
        <f>'TONG TP'!I89</f>
        <v>0</v>
      </c>
      <c r="J18" s="183">
        <f>'TONG TP'!J89</f>
        <v>0</v>
      </c>
      <c r="K18" s="183">
        <f>'TONG TP'!K89</f>
        <v>0</v>
      </c>
      <c r="L18" s="183">
        <f>'TONG TP'!L89</f>
        <v>0</v>
      </c>
      <c r="M18" s="183">
        <f>'TONG TP'!M89</f>
        <v>101.79</v>
      </c>
      <c r="N18" s="183">
        <f>'TONG TP'!N89</f>
        <v>0</v>
      </c>
      <c r="O18" s="183">
        <f>'TONG TP'!O89</f>
        <v>0</v>
      </c>
      <c r="P18" s="184">
        <f>'TONG TP'!P89</f>
        <v>7610.9826700000012</v>
      </c>
      <c r="Q18" s="183">
        <f>'TONG TP'!Q89</f>
        <v>281.43867</v>
      </c>
      <c r="R18" s="183">
        <f>'TONG TP'!R89</f>
        <v>9.83</v>
      </c>
      <c r="S18" s="183">
        <f>'TONG TP'!S89</f>
        <v>82.7</v>
      </c>
      <c r="T18" s="183">
        <f>'TONG TP'!T89</f>
        <v>0</v>
      </c>
      <c r="U18" s="183">
        <f>'TONG TP'!U89</f>
        <v>21.76</v>
      </c>
      <c r="V18" s="183">
        <f>'TONG TP'!V89</f>
        <v>358.94716999999997</v>
      </c>
      <c r="W18" s="183">
        <f>'TONG TP'!W89</f>
        <v>135.05000000000004</v>
      </c>
      <c r="X18" s="183">
        <f>'TONG TP'!X89</f>
        <v>0</v>
      </c>
      <c r="Y18" s="183">
        <f>'TONG TP'!Y89</f>
        <v>2114.2525000000005</v>
      </c>
      <c r="Z18" s="183">
        <f>'TONG TP'!Z89</f>
        <v>0.24000000000000002</v>
      </c>
      <c r="AA18" s="183">
        <f>'TONG TP'!AA89</f>
        <v>0</v>
      </c>
      <c r="AB18" s="183">
        <f>'TONG TP'!AB89</f>
        <v>44.66</v>
      </c>
      <c r="AC18" s="183">
        <f>'TONG TP'!AC89</f>
        <v>312.60955000000001</v>
      </c>
      <c r="AD18" s="183">
        <f>'TONG TP'!AD89</f>
        <v>330.22450000000003</v>
      </c>
      <c r="AE18" s="183">
        <f>'TONG TP'!AE89</f>
        <v>45.450279999999992</v>
      </c>
      <c r="AF18" s="183">
        <f>'TONG TP'!AF89</f>
        <v>0.67</v>
      </c>
      <c r="AG18" s="183">
        <f>'TONG TP'!AG89</f>
        <v>0</v>
      </c>
      <c r="AH18" s="183">
        <f>'TONG TP'!AH89</f>
        <v>10.78</v>
      </c>
      <c r="AI18" s="183">
        <f>'TONG TP'!AI89</f>
        <v>237.46000000000004</v>
      </c>
      <c r="AJ18" s="183">
        <f>'TONG TP'!AJ89</f>
        <v>23.870399999999997</v>
      </c>
      <c r="AK18" s="183">
        <f>'TONG TP'!AK89</f>
        <v>12.339599999999999</v>
      </c>
      <c r="AL18" s="183">
        <f>'TONG TP'!AL89</f>
        <v>14.049999999999999</v>
      </c>
      <c r="AM18" s="183">
        <f>'TONG TP'!AM89</f>
        <v>10.440000000000003</v>
      </c>
      <c r="AN18" s="183">
        <f>'TONG TP'!AN89</f>
        <v>2479.7200000000003</v>
      </c>
      <c r="AO18" s="183">
        <f>'TONG TP'!AO89</f>
        <v>1082.3999999999999</v>
      </c>
      <c r="AP18" s="183">
        <f>'TONG TP'!AP89</f>
        <v>2.09</v>
      </c>
      <c r="AQ18" s="183">
        <f>'TONG TP'!AQ89</f>
        <v>0</v>
      </c>
      <c r="AR18" s="183">
        <f>'TONG TP'!AR89</f>
        <v>101.79</v>
      </c>
      <c r="AS18" s="183">
        <f>'TONG TP'!AS89</f>
        <v>8639.0326699999987</v>
      </c>
      <c r="AT18" s="632"/>
      <c r="AU18" s="632"/>
    </row>
    <row r="19" spans="1:47" s="27" customFormat="1" ht="20.25" customHeight="1">
      <c r="A19" s="30" t="s">
        <v>47</v>
      </c>
      <c r="B19" s="14" t="s">
        <v>48</v>
      </c>
      <c r="C19" s="30" t="s">
        <v>49</v>
      </c>
      <c r="D19" s="185">
        <f>'TONG TP'!D90</f>
        <v>285.92867000000001</v>
      </c>
      <c r="E19" s="185">
        <f>'TONG TP'!E90</f>
        <v>0</v>
      </c>
      <c r="F19" s="185">
        <f>'TONG TP'!F90</f>
        <v>0</v>
      </c>
      <c r="G19" s="185">
        <f>'TONG TP'!G90</f>
        <v>0</v>
      </c>
      <c r="H19" s="185">
        <f>'TONG TP'!H90</f>
        <v>0</v>
      </c>
      <c r="I19" s="185">
        <f>'TONG TP'!I90</f>
        <v>0</v>
      </c>
      <c r="J19" s="185">
        <f>'TONG TP'!J90</f>
        <v>0</v>
      </c>
      <c r="K19" s="185">
        <f>'TONG TP'!K90</f>
        <v>0</v>
      </c>
      <c r="L19" s="185">
        <f>'TONG TP'!L90</f>
        <v>0</v>
      </c>
      <c r="M19" s="185">
        <f>'TONG TP'!M90</f>
        <v>0</v>
      </c>
      <c r="N19" s="185">
        <f>'TONG TP'!N90</f>
        <v>0</v>
      </c>
      <c r="O19" s="185">
        <f>'TONG TP'!O90</f>
        <v>0</v>
      </c>
      <c r="P19" s="185">
        <f>'TONG TP'!P90</f>
        <v>285.92866999999995</v>
      </c>
      <c r="Q19" s="186">
        <f>'TONG TP'!Q90</f>
        <v>280.06867</v>
      </c>
      <c r="R19" s="185">
        <f>'TONG TP'!R90</f>
        <v>0</v>
      </c>
      <c r="S19" s="185">
        <f>'TONG TP'!S90</f>
        <v>0</v>
      </c>
      <c r="T19" s="185">
        <f>'TONG TP'!T90</f>
        <v>0</v>
      </c>
      <c r="U19" s="185">
        <f>'TONG TP'!U90</f>
        <v>0</v>
      </c>
      <c r="V19" s="185">
        <f>'TONG TP'!V90</f>
        <v>1.01</v>
      </c>
      <c r="W19" s="185">
        <f>'TONG TP'!W90</f>
        <v>0</v>
      </c>
      <c r="X19" s="185">
        <f>'TONG TP'!X90</f>
        <v>0</v>
      </c>
      <c r="Y19" s="185">
        <f>'TONG TP'!Y90</f>
        <v>1.58</v>
      </c>
      <c r="Z19" s="185">
        <f>'TONG TP'!Z90</f>
        <v>0</v>
      </c>
      <c r="AA19" s="185">
        <f>'TONG TP'!AA90</f>
        <v>0</v>
      </c>
      <c r="AB19" s="185">
        <f>'TONG TP'!AB90</f>
        <v>0</v>
      </c>
      <c r="AC19" s="185">
        <f>'TONG TP'!AC90</f>
        <v>0</v>
      </c>
      <c r="AD19" s="185">
        <f>'TONG TP'!AD90</f>
        <v>0</v>
      </c>
      <c r="AE19" s="185">
        <f>'TONG TP'!AE90</f>
        <v>3.2</v>
      </c>
      <c r="AF19" s="185">
        <f>'TONG TP'!AF90</f>
        <v>0</v>
      </c>
      <c r="AG19" s="185">
        <f>'TONG TP'!AG90</f>
        <v>0</v>
      </c>
      <c r="AH19" s="185">
        <f>'TONG TP'!AH90</f>
        <v>0</v>
      </c>
      <c r="AI19" s="185">
        <f>'TONG TP'!AI90</f>
        <v>0</v>
      </c>
      <c r="AJ19" s="185">
        <f>'TONG TP'!AJ90</f>
        <v>0</v>
      </c>
      <c r="AK19" s="185">
        <f>'TONG TP'!AK90</f>
        <v>0</v>
      </c>
      <c r="AL19" s="185">
        <f>'TONG TP'!AL90</f>
        <v>7.0000000000000007E-2</v>
      </c>
      <c r="AM19" s="185">
        <f>'TONG TP'!AM90</f>
        <v>0</v>
      </c>
      <c r="AN19" s="185">
        <f>'TONG TP'!AN90</f>
        <v>0</v>
      </c>
      <c r="AO19" s="185">
        <f>'TONG TP'!AO90</f>
        <v>0</v>
      </c>
      <c r="AP19" s="185">
        <f>'TONG TP'!AP90</f>
        <v>0</v>
      </c>
      <c r="AQ19" s="185">
        <f>'TONG TP'!AQ90</f>
        <v>0</v>
      </c>
      <c r="AR19" s="185">
        <f>'TONG TP'!AR90</f>
        <v>5.86</v>
      </c>
      <c r="AS19" s="185">
        <f>'TONG TP'!AS90</f>
        <v>287.20866999999998</v>
      </c>
    </row>
    <row r="20" spans="1:47" s="27" customFormat="1" ht="20.25" customHeight="1">
      <c r="A20" s="30" t="s">
        <v>50</v>
      </c>
      <c r="B20" s="14" t="s">
        <v>51</v>
      </c>
      <c r="C20" s="30" t="s">
        <v>52</v>
      </c>
      <c r="D20" s="185">
        <f>'TONG TP'!D91</f>
        <v>9.83</v>
      </c>
      <c r="E20" s="185">
        <f>'TONG TP'!E91</f>
        <v>0</v>
      </c>
      <c r="F20" s="185">
        <f>'TONG TP'!F91</f>
        <v>0</v>
      </c>
      <c r="G20" s="185">
        <f>'TONG TP'!G91</f>
        <v>0</v>
      </c>
      <c r="H20" s="185">
        <f>'TONG TP'!H91</f>
        <v>0</v>
      </c>
      <c r="I20" s="185">
        <f>'TONG TP'!I91</f>
        <v>0</v>
      </c>
      <c r="J20" s="185">
        <f>'TONG TP'!J91</f>
        <v>0</v>
      </c>
      <c r="K20" s="185">
        <f>'TONG TP'!K91</f>
        <v>0</v>
      </c>
      <c r="L20" s="185">
        <f>'TONG TP'!L91</f>
        <v>0</v>
      </c>
      <c r="M20" s="185">
        <f>'TONG TP'!M91</f>
        <v>0</v>
      </c>
      <c r="N20" s="185">
        <f>'TONG TP'!N91</f>
        <v>0</v>
      </c>
      <c r="O20" s="185">
        <f>'TONG TP'!O91</f>
        <v>0</v>
      </c>
      <c r="P20" s="185">
        <f>'TONG TP'!P91</f>
        <v>9.83</v>
      </c>
      <c r="Q20" s="185">
        <f>'TONG TP'!Q91</f>
        <v>0</v>
      </c>
      <c r="R20" s="186">
        <f>'TONG TP'!R91</f>
        <v>9.83</v>
      </c>
      <c r="S20" s="185">
        <f>'TONG TP'!S91</f>
        <v>0</v>
      </c>
      <c r="T20" s="185">
        <f>'TONG TP'!T91</f>
        <v>0</v>
      </c>
      <c r="U20" s="185">
        <f>'TONG TP'!U91</f>
        <v>0</v>
      </c>
      <c r="V20" s="185">
        <f>'TONG TP'!V91</f>
        <v>0</v>
      </c>
      <c r="W20" s="185">
        <f>'TONG TP'!W91</f>
        <v>0</v>
      </c>
      <c r="X20" s="185">
        <f>'TONG TP'!X91</f>
        <v>0</v>
      </c>
      <c r="Y20" s="185">
        <f>'TONG TP'!Y91</f>
        <v>0</v>
      </c>
      <c r="Z20" s="185">
        <f>'TONG TP'!Z91</f>
        <v>0</v>
      </c>
      <c r="AA20" s="185">
        <f>'TONG TP'!AA91</f>
        <v>0</v>
      </c>
      <c r="AB20" s="185">
        <f>'TONG TP'!AB91</f>
        <v>0</v>
      </c>
      <c r="AC20" s="185">
        <f>'TONG TP'!AC91</f>
        <v>0</v>
      </c>
      <c r="AD20" s="185">
        <f>'TONG TP'!AD91</f>
        <v>0</v>
      </c>
      <c r="AE20" s="185">
        <f>'TONG TP'!AE91</f>
        <v>0</v>
      </c>
      <c r="AF20" s="185">
        <f>'TONG TP'!AF91</f>
        <v>0</v>
      </c>
      <c r="AG20" s="185">
        <f>'TONG TP'!AG91</f>
        <v>0</v>
      </c>
      <c r="AH20" s="185">
        <f>'TONG TP'!AH91</f>
        <v>0</v>
      </c>
      <c r="AI20" s="185">
        <f>'TONG TP'!AI91</f>
        <v>0</v>
      </c>
      <c r="AJ20" s="185">
        <f>'TONG TP'!AJ91</f>
        <v>0</v>
      </c>
      <c r="AK20" s="185">
        <f>'TONG TP'!AK91</f>
        <v>0</v>
      </c>
      <c r="AL20" s="185">
        <f>'TONG TP'!AL91</f>
        <v>0</v>
      </c>
      <c r="AM20" s="185">
        <f>'TONG TP'!AM91</f>
        <v>0</v>
      </c>
      <c r="AN20" s="185">
        <f>'TONG TP'!AN91</f>
        <v>0</v>
      </c>
      <c r="AO20" s="185">
        <f>'TONG TP'!AO91</f>
        <v>0</v>
      </c>
      <c r="AP20" s="185">
        <f>'TONG TP'!AP91</f>
        <v>0</v>
      </c>
      <c r="AQ20" s="185">
        <f>'TONG TP'!AQ91</f>
        <v>0</v>
      </c>
      <c r="AR20" s="185">
        <f>'TONG TP'!AR91</f>
        <v>0</v>
      </c>
      <c r="AS20" s="185">
        <f>'TONG TP'!AS91</f>
        <v>9.83</v>
      </c>
    </row>
    <row r="21" spans="1:47" s="27" customFormat="1" ht="20.25" customHeight="1">
      <c r="A21" s="30" t="s">
        <v>53</v>
      </c>
      <c r="B21" s="14" t="s">
        <v>54</v>
      </c>
      <c r="C21" s="30" t="s">
        <v>55</v>
      </c>
      <c r="D21" s="185">
        <f>'TONG TP'!D92</f>
        <v>79.59</v>
      </c>
      <c r="E21" s="185">
        <f>'TONG TP'!E92</f>
        <v>0</v>
      </c>
      <c r="F21" s="185">
        <f>'TONG TP'!F92</f>
        <v>0</v>
      </c>
      <c r="G21" s="185">
        <f>'TONG TP'!G92</f>
        <v>0</v>
      </c>
      <c r="H21" s="185">
        <f>'TONG TP'!H92</f>
        <v>0</v>
      </c>
      <c r="I21" s="185">
        <f>'TONG TP'!I92</f>
        <v>0</v>
      </c>
      <c r="J21" s="185">
        <f>'TONG TP'!J92</f>
        <v>0</v>
      </c>
      <c r="K21" s="185">
        <f>'TONG TP'!K92</f>
        <v>0</v>
      </c>
      <c r="L21" s="185">
        <f>'TONG TP'!L92</f>
        <v>0</v>
      </c>
      <c r="M21" s="185">
        <f>'TONG TP'!M92</f>
        <v>0</v>
      </c>
      <c r="N21" s="185">
        <f>'TONG TP'!N92</f>
        <v>0</v>
      </c>
      <c r="O21" s="185">
        <f>'TONG TP'!O92</f>
        <v>0</v>
      </c>
      <c r="P21" s="185">
        <f>'TONG TP'!P92</f>
        <v>79.59</v>
      </c>
      <c r="Q21" s="185">
        <f>'TONG TP'!Q92</f>
        <v>0</v>
      </c>
      <c r="R21" s="185">
        <f>'TONG TP'!R92</f>
        <v>0</v>
      </c>
      <c r="S21" s="186">
        <f>'TONG TP'!S92</f>
        <v>79.59</v>
      </c>
      <c r="T21" s="185">
        <f>'TONG TP'!T92</f>
        <v>0</v>
      </c>
      <c r="U21" s="185">
        <f>'TONG TP'!U92</f>
        <v>0</v>
      </c>
      <c r="V21" s="185">
        <f>'TONG TP'!V92</f>
        <v>0</v>
      </c>
      <c r="W21" s="185">
        <f>'TONG TP'!W92</f>
        <v>0</v>
      </c>
      <c r="X21" s="185">
        <f>'TONG TP'!X92</f>
        <v>0</v>
      </c>
      <c r="Y21" s="185">
        <f>'TONG TP'!Y92</f>
        <v>0</v>
      </c>
      <c r="Z21" s="185">
        <f>'TONG TP'!Z92</f>
        <v>0</v>
      </c>
      <c r="AA21" s="185">
        <f>'TONG TP'!AA92</f>
        <v>0</v>
      </c>
      <c r="AB21" s="185">
        <f>'TONG TP'!AB92</f>
        <v>0</v>
      </c>
      <c r="AC21" s="185">
        <f>'TONG TP'!AC92</f>
        <v>0</v>
      </c>
      <c r="AD21" s="185">
        <f>'TONG TP'!AD92</f>
        <v>0</v>
      </c>
      <c r="AE21" s="185">
        <f>'TONG TP'!AE92</f>
        <v>0</v>
      </c>
      <c r="AF21" s="185">
        <f>'TONG TP'!AF92</f>
        <v>0</v>
      </c>
      <c r="AG21" s="185">
        <f>'TONG TP'!AG92</f>
        <v>0</v>
      </c>
      <c r="AH21" s="185">
        <f>'TONG TP'!AH92</f>
        <v>0</v>
      </c>
      <c r="AI21" s="185">
        <f>'TONG TP'!AI92</f>
        <v>0</v>
      </c>
      <c r="AJ21" s="185">
        <f>'TONG TP'!AJ92</f>
        <v>0</v>
      </c>
      <c r="AK21" s="185">
        <f>'TONG TP'!AK92</f>
        <v>0</v>
      </c>
      <c r="AL21" s="185">
        <f>'TONG TP'!AL92</f>
        <v>0</v>
      </c>
      <c r="AM21" s="185">
        <f>'TONG TP'!AM92</f>
        <v>0</v>
      </c>
      <c r="AN21" s="185">
        <f>'TONG TP'!AN92</f>
        <v>0</v>
      </c>
      <c r="AO21" s="185">
        <f>'TONG TP'!AO92</f>
        <v>0</v>
      </c>
      <c r="AP21" s="185">
        <f>'TONG TP'!AP92</f>
        <v>0</v>
      </c>
      <c r="AQ21" s="185">
        <f>'TONG TP'!AQ92</f>
        <v>0</v>
      </c>
      <c r="AR21" s="185">
        <f>'TONG TP'!AR92</f>
        <v>0</v>
      </c>
      <c r="AS21" s="185">
        <f>'TONG TP'!AS92</f>
        <v>150.85999999999999</v>
      </c>
    </row>
    <row r="22" spans="1:47" s="27" customFormat="1" ht="20.25" customHeight="1">
      <c r="A22" s="30" t="s">
        <v>56</v>
      </c>
      <c r="B22" s="14" t="s">
        <v>57</v>
      </c>
      <c r="C22" s="30" t="s">
        <v>58</v>
      </c>
      <c r="D22" s="185">
        <f>'TONG TP'!D93</f>
        <v>0</v>
      </c>
      <c r="E22" s="185">
        <f>'TONG TP'!E93</f>
        <v>0</v>
      </c>
      <c r="F22" s="185">
        <f>'TONG TP'!F93</f>
        <v>0</v>
      </c>
      <c r="G22" s="185">
        <f>'TONG TP'!G93</f>
        <v>0</v>
      </c>
      <c r="H22" s="185">
        <f>'TONG TP'!H93</f>
        <v>0</v>
      </c>
      <c r="I22" s="185">
        <f>'TONG TP'!I93</f>
        <v>0</v>
      </c>
      <c r="J22" s="185">
        <f>'TONG TP'!J93</f>
        <v>0</v>
      </c>
      <c r="K22" s="185">
        <f>'TONG TP'!K93</f>
        <v>0</v>
      </c>
      <c r="L22" s="185">
        <f>'TONG TP'!L93</f>
        <v>0</v>
      </c>
      <c r="M22" s="185">
        <f>'TONG TP'!M93</f>
        <v>0</v>
      </c>
      <c r="N22" s="185">
        <f>'TONG TP'!N93</f>
        <v>0</v>
      </c>
      <c r="O22" s="185">
        <f>'TONG TP'!O93</f>
        <v>0</v>
      </c>
      <c r="P22" s="185">
        <f>'TONG TP'!P93</f>
        <v>0</v>
      </c>
      <c r="Q22" s="185">
        <f>'TONG TP'!Q93</f>
        <v>0</v>
      </c>
      <c r="R22" s="185">
        <f>'TONG TP'!R93</f>
        <v>0</v>
      </c>
      <c r="S22" s="185">
        <f>'TONG TP'!S93</f>
        <v>0</v>
      </c>
      <c r="T22" s="186">
        <f>'TONG TP'!T93</f>
        <v>0</v>
      </c>
      <c r="U22" s="185">
        <f>'TONG TP'!U93</f>
        <v>0</v>
      </c>
      <c r="V22" s="185">
        <f>'TONG TP'!V93</f>
        <v>0</v>
      </c>
      <c r="W22" s="185">
        <f>'TONG TP'!W93</f>
        <v>0</v>
      </c>
      <c r="X22" s="185">
        <f>'TONG TP'!X93</f>
        <v>0</v>
      </c>
      <c r="Y22" s="185">
        <f>'TONG TP'!Y93</f>
        <v>0</v>
      </c>
      <c r="Z22" s="185">
        <f>'TONG TP'!Z93</f>
        <v>0</v>
      </c>
      <c r="AA22" s="185">
        <f>'TONG TP'!AA93</f>
        <v>0</v>
      </c>
      <c r="AB22" s="185">
        <f>'TONG TP'!AB93</f>
        <v>0</v>
      </c>
      <c r="AC22" s="185">
        <f>'TONG TP'!AC93</f>
        <v>0</v>
      </c>
      <c r="AD22" s="185">
        <f>'TONG TP'!AD93</f>
        <v>0</v>
      </c>
      <c r="AE22" s="185">
        <f>'TONG TP'!AE93</f>
        <v>0</v>
      </c>
      <c r="AF22" s="185">
        <f>'TONG TP'!AF93</f>
        <v>0</v>
      </c>
      <c r="AG22" s="185">
        <f>'TONG TP'!AG93</f>
        <v>0</v>
      </c>
      <c r="AH22" s="185">
        <f>'TONG TP'!AH93</f>
        <v>0</v>
      </c>
      <c r="AI22" s="185">
        <f>'TONG TP'!AI93</f>
        <v>0</v>
      </c>
      <c r="AJ22" s="185">
        <f>'TONG TP'!AJ93</f>
        <v>0</v>
      </c>
      <c r="AK22" s="185">
        <f>'TONG TP'!AK93</f>
        <v>0</v>
      </c>
      <c r="AL22" s="185">
        <f>'TONG TP'!AL93</f>
        <v>0</v>
      </c>
      <c r="AM22" s="185">
        <f>'TONG TP'!AM93</f>
        <v>0</v>
      </c>
      <c r="AN22" s="185">
        <f>'TONG TP'!AN93</f>
        <v>0</v>
      </c>
      <c r="AO22" s="185">
        <f>'TONG TP'!AO93</f>
        <v>0</v>
      </c>
      <c r="AP22" s="185">
        <f>'TONG TP'!AP93</f>
        <v>0</v>
      </c>
      <c r="AQ22" s="185">
        <f>'TONG TP'!AQ93</f>
        <v>0</v>
      </c>
      <c r="AR22" s="185">
        <f>'TONG TP'!AR93</f>
        <v>0</v>
      </c>
      <c r="AS22" s="185">
        <f>'TONG TP'!AS93</f>
        <v>0</v>
      </c>
    </row>
    <row r="23" spans="1:47" s="27" customFormat="1" ht="20.25" customHeight="1">
      <c r="A23" s="30" t="s">
        <v>59</v>
      </c>
      <c r="B23" s="14" t="s">
        <v>60</v>
      </c>
      <c r="C23" s="30" t="s">
        <v>61</v>
      </c>
      <c r="D23" s="185">
        <f>'TONG TP'!D94</f>
        <v>0</v>
      </c>
      <c r="E23" s="185">
        <f>'TONG TP'!E94</f>
        <v>0</v>
      </c>
      <c r="F23" s="185">
        <f>'TONG TP'!F94</f>
        <v>0</v>
      </c>
      <c r="G23" s="185">
        <f>'TONG TP'!G94</f>
        <v>0</v>
      </c>
      <c r="H23" s="185">
        <f>'TONG TP'!H94</f>
        <v>0</v>
      </c>
      <c r="I23" s="185">
        <f>'TONG TP'!I94</f>
        <v>0</v>
      </c>
      <c r="J23" s="185">
        <f>'TONG TP'!J94</f>
        <v>0</v>
      </c>
      <c r="K23" s="185">
        <f>'TONG TP'!K94</f>
        <v>0</v>
      </c>
      <c r="L23" s="185">
        <f>'TONG TP'!L94</f>
        <v>0</v>
      </c>
      <c r="M23" s="185">
        <f>'TONG TP'!M94</f>
        <v>0</v>
      </c>
      <c r="N23" s="185">
        <f>'TONG TP'!N94</f>
        <v>0</v>
      </c>
      <c r="O23" s="185">
        <f>'TONG TP'!O94</f>
        <v>0</v>
      </c>
      <c r="P23" s="185">
        <f>'TONG TP'!P94</f>
        <v>0</v>
      </c>
      <c r="Q23" s="185">
        <f>'TONG TP'!Q94</f>
        <v>0</v>
      </c>
      <c r="R23" s="185">
        <f>'TONG TP'!R94</f>
        <v>0</v>
      </c>
      <c r="S23" s="185">
        <f>'TONG TP'!S94</f>
        <v>0</v>
      </c>
      <c r="T23" s="185">
        <f>'TONG TP'!T94</f>
        <v>0</v>
      </c>
      <c r="U23" s="186">
        <f>'TONG TP'!U94</f>
        <v>0</v>
      </c>
      <c r="V23" s="185">
        <f>'TONG TP'!V94</f>
        <v>0</v>
      </c>
      <c r="W23" s="185">
        <f>'TONG TP'!W94</f>
        <v>0</v>
      </c>
      <c r="X23" s="185">
        <f>'TONG TP'!X94</f>
        <v>0</v>
      </c>
      <c r="Y23" s="185">
        <f>'TONG TP'!Y94</f>
        <v>0</v>
      </c>
      <c r="Z23" s="185">
        <f>'TONG TP'!Z94</f>
        <v>0</v>
      </c>
      <c r="AA23" s="185">
        <f>'TONG TP'!AA94</f>
        <v>0</v>
      </c>
      <c r="AB23" s="185">
        <f>'TONG TP'!AB94</f>
        <v>0</v>
      </c>
      <c r="AC23" s="185">
        <f>'TONG TP'!AC94</f>
        <v>0</v>
      </c>
      <c r="AD23" s="185">
        <f>'TONG TP'!AD94</f>
        <v>0</v>
      </c>
      <c r="AE23" s="185">
        <f>'TONG TP'!AE94</f>
        <v>0</v>
      </c>
      <c r="AF23" s="185">
        <f>'TONG TP'!AF94</f>
        <v>0</v>
      </c>
      <c r="AG23" s="185">
        <f>'TONG TP'!AG94</f>
        <v>0</v>
      </c>
      <c r="AH23" s="185">
        <f>'TONG TP'!AH94</f>
        <v>0</v>
      </c>
      <c r="AI23" s="185">
        <f>'TONG TP'!AI94</f>
        <v>0</v>
      </c>
      <c r="AJ23" s="185">
        <f>'TONG TP'!AJ94</f>
        <v>0</v>
      </c>
      <c r="AK23" s="185">
        <f>'TONG TP'!AK94</f>
        <v>0</v>
      </c>
      <c r="AL23" s="185">
        <f>'TONG TP'!AL94</f>
        <v>0</v>
      </c>
      <c r="AM23" s="185">
        <f>'TONG TP'!AM94</f>
        <v>0</v>
      </c>
      <c r="AN23" s="185">
        <f>'TONG TP'!AN94</f>
        <v>0</v>
      </c>
      <c r="AO23" s="185">
        <f>'TONG TP'!AO94</f>
        <v>0</v>
      </c>
      <c r="AP23" s="185">
        <f>'TONG TP'!AP94</f>
        <v>0</v>
      </c>
      <c r="AQ23" s="185">
        <f>'TONG TP'!AQ94</f>
        <v>0</v>
      </c>
      <c r="AR23" s="185">
        <f>'TONG TP'!AR94</f>
        <v>0</v>
      </c>
      <c r="AS23" s="185">
        <f>'TONG TP'!AS94</f>
        <v>199.79</v>
      </c>
    </row>
    <row r="24" spans="1:47" s="27" customFormat="1" ht="20.25" customHeight="1">
      <c r="A24" s="30" t="s">
        <v>62</v>
      </c>
      <c r="B24" s="14" t="s">
        <v>63</v>
      </c>
      <c r="C24" s="30" t="s">
        <v>64</v>
      </c>
      <c r="D24" s="185">
        <f>'TONG TP'!D95</f>
        <v>349.95717000000002</v>
      </c>
      <c r="E24" s="185">
        <f>'TONG TP'!E95</f>
        <v>0</v>
      </c>
      <c r="F24" s="185">
        <f>'TONG TP'!F95</f>
        <v>0</v>
      </c>
      <c r="G24" s="185">
        <f>'TONG TP'!G95</f>
        <v>0</v>
      </c>
      <c r="H24" s="185">
        <f>'TONG TP'!H95</f>
        <v>0</v>
      </c>
      <c r="I24" s="185">
        <f>'TONG TP'!I95</f>
        <v>0</v>
      </c>
      <c r="J24" s="185">
        <f>'TONG TP'!J95</f>
        <v>0</v>
      </c>
      <c r="K24" s="185">
        <f>'TONG TP'!K95</f>
        <v>0</v>
      </c>
      <c r="L24" s="185">
        <f>'TONG TP'!L95</f>
        <v>0</v>
      </c>
      <c r="M24" s="185">
        <f>'TONG TP'!M95</f>
        <v>0</v>
      </c>
      <c r="N24" s="185">
        <f>'TONG TP'!N95</f>
        <v>0</v>
      </c>
      <c r="O24" s="185">
        <f>'TONG TP'!O95</f>
        <v>0</v>
      </c>
      <c r="P24" s="185">
        <f>'TONG TP'!P95</f>
        <v>349.95716999999996</v>
      </c>
      <c r="Q24" s="185">
        <f>'TONG TP'!Q95</f>
        <v>1.07</v>
      </c>
      <c r="R24" s="185">
        <f>'TONG TP'!R95</f>
        <v>0</v>
      </c>
      <c r="S24" s="185">
        <f>'TONG TP'!S95</f>
        <v>0</v>
      </c>
      <c r="T24" s="185">
        <f>'TONG TP'!T95</f>
        <v>0</v>
      </c>
      <c r="U24" s="185">
        <f>'TONG TP'!U95</f>
        <v>7.0000000000000007E-2</v>
      </c>
      <c r="V24" s="186">
        <f>'TONG TP'!V95</f>
        <v>346.48716999999999</v>
      </c>
      <c r="W24" s="185">
        <f>'TONG TP'!W95</f>
        <v>0</v>
      </c>
      <c r="X24" s="185">
        <f>'TONG TP'!X95</f>
        <v>0</v>
      </c>
      <c r="Y24" s="185">
        <f>'TONG TP'!Y95</f>
        <v>2.33</v>
      </c>
      <c r="Z24" s="185">
        <f>'TONG TP'!Z95</f>
        <v>0</v>
      </c>
      <c r="AA24" s="185">
        <f>'TONG TP'!AA95</f>
        <v>0</v>
      </c>
      <c r="AB24" s="185">
        <f>'TONG TP'!AB95</f>
        <v>0</v>
      </c>
      <c r="AC24" s="185">
        <f>'TONG TP'!AC95</f>
        <v>0</v>
      </c>
      <c r="AD24" s="185">
        <f>'TONG TP'!AD95</f>
        <v>0</v>
      </c>
      <c r="AE24" s="185">
        <f>'TONG TP'!AE95</f>
        <v>0</v>
      </c>
      <c r="AF24" s="185">
        <f>'TONG TP'!AF95</f>
        <v>0</v>
      </c>
      <c r="AG24" s="185">
        <f>'TONG TP'!AG95</f>
        <v>0</v>
      </c>
      <c r="AH24" s="185">
        <f>'TONG TP'!AH95</f>
        <v>0</v>
      </c>
      <c r="AI24" s="185">
        <f>'TONG TP'!AI95</f>
        <v>0</v>
      </c>
      <c r="AJ24" s="185">
        <f>'TONG TP'!AJ95</f>
        <v>0</v>
      </c>
      <c r="AK24" s="185">
        <f>'TONG TP'!AK95</f>
        <v>0</v>
      </c>
      <c r="AL24" s="185">
        <f>'TONG TP'!AL95</f>
        <v>0</v>
      </c>
      <c r="AM24" s="185">
        <f>'TONG TP'!AM95</f>
        <v>0</v>
      </c>
      <c r="AN24" s="185">
        <f>'TONG TP'!AN95</f>
        <v>0</v>
      </c>
      <c r="AO24" s="185">
        <f>'TONG TP'!AO95</f>
        <v>0</v>
      </c>
      <c r="AP24" s="185">
        <f>'TONG TP'!AP95</f>
        <v>0</v>
      </c>
      <c r="AQ24" s="185">
        <f>'TONG TP'!AQ95</f>
        <v>0</v>
      </c>
      <c r="AR24" s="185">
        <f>'TONG TP'!AR95</f>
        <v>3.47</v>
      </c>
      <c r="AS24" s="185">
        <f>'TONG TP'!AS95</f>
        <v>442.29716999999999</v>
      </c>
    </row>
    <row r="25" spans="1:47" s="27" customFormat="1" ht="20.25" customHeight="1">
      <c r="A25" s="30" t="s">
        <v>65</v>
      </c>
      <c r="B25" s="14" t="s">
        <v>66</v>
      </c>
      <c r="C25" s="30" t="s">
        <v>67</v>
      </c>
      <c r="D25" s="185">
        <f>'TONG TP'!D96</f>
        <v>126.12</v>
      </c>
      <c r="E25" s="185">
        <f>'TONG TP'!E96</f>
        <v>0</v>
      </c>
      <c r="F25" s="185">
        <f>'TONG TP'!F96</f>
        <v>0</v>
      </c>
      <c r="G25" s="185">
        <f>'TONG TP'!G96</f>
        <v>0</v>
      </c>
      <c r="H25" s="185">
        <f>'TONG TP'!H96</f>
        <v>0</v>
      </c>
      <c r="I25" s="185">
        <f>'TONG TP'!I96</f>
        <v>0</v>
      </c>
      <c r="J25" s="185">
        <f>'TONG TP'!J96</f>
        <v>0</v>
      </c>
      <c r="K25" s="185">
        <f>'TONG TP'!K96</f>
        <v>0</v>
      </c>
      <c r="L25" s="185">
        <f>'TONG TP'!L96</f>
        <v>0</v>
      </c>
      <c r="M25" s="185">
        <f>'TONG TP'!M96</f>
        <v>0</v>
      </c>
      <c r="N25" s="185">
        <f>'TONG TP'!N96</f>
        <v>0</v>
      </c>
      <c r="O25" s="185">
        <f>'TONG TP'!O96</f>
        <v>0</v>
      </c>
      <c r="P25" s="185">
        <f>'TONG TP'!P96</f>
        <v>126.12</v>
      </c>
      <c r="Q25" s="185">
        <f>'TONG TP'!Q96</f>
        <v>0</v>
      </c>
      <c r="R25" s="185">
        <f>'TONG TP'!R96</f>
        <v>0</v>
      </c>
      <c r="S25" s="185">
        <f>'TONG TP'!S96</f>
        <v>0.95</v>
      </c>
      <c r="T25" s="185">
        <f>'TONG TP'!T96</f>
        <v>0</v>
      </c>
      <c r="U25" s="185">
        <f>'TONG TP'!U96</f>
        <v>0</v>
      </c>
      <c r="V25" s="185">
        <f>'TONG TP'!V96</f>
        <v>4.9400000000000004</v>
      </c>
      <c r="W25" s="186">
        <f>'TONG TP'!W96</f>
        <v>120.23</v>
      </c>
      <c r="X25" s="185">
        <f>'TONG TP'!X96</f>
        <v>0</v>
      </c>
      <c r="Y25" s="185">
        <f>'TONG TP'!Y96</f>
        <v>0</v>
      </c>
      <c r="Z25" s="185">
        <f>'TONG TP'!Z96</f>
        <v>0</v>
      </c>
      <c r="AA25" s="185">
        <f>'TONG TP'!AA96</f>
        <v>0</v>
      </c>
      <c r="AB25" s="185">
        <f>'TONG TP'!AB96</f>
        <v>0</v>
      </c>
      <c r="AC25" s="185">
        <f>'TONG TP'!AC96</f>
        <v>0</v>
      </c>
      <c r="AD25" s="185">
        <f>'TONG TP'!AD96</f>
        <v>0</v>
      </c>
      <c r="AE25" s="185">
        <f>'TONG TP'!AE96</f>
        <v>0</v>
      </c>
      <c r="AF25" s="185">
        <f>'TONG TP'!AF96</f>
        <v>0</v>
      </c>
      <c r="AG25" s="185">
        <f>'TONG TP'!AG96</f>
        <v>0</v>
      </c>
      <c r="AH25" s="185">
        <f>'TONG TP'!AH96</f>
        <v>0</v>
      </c>
      <c r="AI25" s="185">
        <f>'TONG TP'!AI96</f>
        <v>0</v>
      </c>
      <c r="AJ25" s="185">
        <f>'TONG TP'!AJ96</f>
        <v>0</v>
      </c>
      <c r="AK25" s="185">
        <f>'TONG TP'!AK96</f>
        <v>0</v>
      </c>
      <c r="AL25" s="185">
        <f>'TONG TP'!AL96</f>
        <v>0</v>
      </c>
      <c r="AM25" s="185">
        <f>'TONG TP'!AM96</f>
        <v>0</v>
      </c>
      <c r="AN25" s="185">
        <f>'TONG TP'!AN96</f>
        <v>0</v>
      </c>
      <c r="AO25" s="185">
        <f>'TONG TP'!AO96</f>
        <v>0</v>
      </c>
      <c r="AP25" s="185">
        <f>'TONG TP'!AP96</f>
        <v>0</v>
      </c>
      <c r="AQ25" s="185">
        <f>'TONG TP'!AQ96</f>
        <v>0</v>
      </c>
      <c r="AR25" s="185">
        <f>'TONG TP'!AR96</f>
        <v>5.8900000000000006</v>
      </c>
      <c r="AS25" s="185">
        <f>'TONG TP'!AS96</f>
        <v>230.08999999999997</v>
      </c>
    </row>
    <row r="26" spans="1:47" s="27" customFormat="1" ht="20.25" customHeight="1">
      <c r="A26" s="30" t="s">
        <v>68</v>
      </c>
      <c r="B26" s="14" t="s">
        <v>69</v>
      </c>
      <c r="C26" s="30" t="s">
        <v>70</v>
      </c>
      <c r="D26" s="185">
        <f>'TONG TP'!D97</f>
        <v>0</v>
      </c>
      <c r="E26" s="185">
        <f>'TONG TP'!E97</f>
        <v>0</v>
      </c>
      <c r="F26" s="185">
        <f>'TONG TP'!F97</f>
        <v>0</v>
      </c>
      <c r="G26" s="185">
        <f>'TONG TP'!G97</f>
        <v>0</v>
      </c>
      <c r="H26" s="185">
        <f>'TONG TP'!H97</f>
        <v>0</v>
      </c>
      <c r="I26" s="185">
        <f>'TONG TP'!I97</f>
        <v>0</v>
      </c>
      <c r="J26" s="185">
        <f>'TONG TP'!J97</f>
        <v>0</v>
      </c>
      <c r="K26" s="185">
        <f>'TONG TP'!K97</f>
        <v>0</v>
      </c>
      <c r="L26" s="185">
        <f>'TONG TP'!L97</f>
        <v>0</v>
      </c>
      <c r="M26" s="185">
        <f>'TONG TP'!M97</f>
        <v>0</v>
      </c>
      <c r="N26" s="185">
        <f>'TONG TP'!N97</f>
        <v>0</v>
      </c>
      <c r="O26" s="185">
        <f>'TONG TP'!O97</f>
        <v>0</v>
      </c>
      <c r="P26" s="185">
        <f>'TONG TP'!P97</f>
        <v>0</v>
      </c>
      <c r="Q26" s="185">
        <f>'TONG TP'!Q97</f>
        <v>0</v>
      </c>
      <c r="R26" s="185">
        <f>'TONG TP'!R97</f>
        <v>0</v>
      </c>
      <c r="S26" s="185">
        <f>'TONG TP'!S97</f>
        <v>0</v>
      </c>
      <c r="T26" s="185">
        <f>'TONG TP'!T97</f>
        <v>0</v>
      </c>
      <c r="U26" s="185">
        <f>'TONG TP'!U97</f>
        <v>0</v>
      </c>
      <c r="V26" s="185">
        <f>'TONG TP'!V97</f>
        <v>0</v>
      </c>
      <c r="W26" s="185">
        <f>'TONG TP'!W97</f>
        <v>0</v>
      </c>
      <c r="X26" s="186">
        <f>'TONG TP'!X97</f>
        <v>0</v>
      </c>
      <c r="Y26" s="185">
        <f>'TONG TP'!Y97</f>
        <v>0</v>
      </c>
      <c r="Z26" s="185">
        <f>'TONG TP'!Z97</f>
        <v>0</v>
      </c>
      <c r="AA26" s="185">
        <f>'TONG TP'!AA97</f>
        <v>0</v>
      </c>
      <c r="AB26" s="185">
        <f>'TONG TP'!AB97</f>
        <v>0</v>
      </c>
      <c r="AC26" s="185">
        <f>'TONG TP'!AC97</f>
        <v>0</v>
      </c>
      <c r="AD26" s="185">
        <f>'TONG TP'!AD97</f>
        <v>0</v>
      </c>
      <c r="AE26" s="185">
        <f>'TONG TP'!AE97</f>
        <v>0</v>
      </c>
      <c r="AF26" s="185">
        <f>'TONG TP'!AF97</f>
        <v>0</v>
      </c>
      <c r="AG26" s="185">
        <f>'TONG TP'!AG97</f>
        <v>0</v>
      </c>
      <c r="AH26" s="185">
        <f>'TONG TP'!AH97</f>
        <v>0</v>
      </c>
      <c r="AI26" s="185">
        <f>'TONG TP'!AI97</f>
        <v>0</v>
      </c>
      <c r="AJ26" s="185">
        <f>'TONG TP'!AJ97</f>
        <v>0</v>
      </c>
      <c r="AK26" s="185">
        <f>'TONG TP'!AK97</f>
        <v>0</v>
      </c>
      <c r="AL26" s="185">
        <f>'TONG TP'!AL97</f>
        <v>0</v>
      </c>
      <c r="AM26" s="185">
        <f>'TONG TP'!AM97</f>
        <v>0</v>
      </c>
      <c r="AN26" s="185">
        <f>'TONG TP'!AN97</f>
        <v>0</v>
      </c>
      <c r="AO26" s="185">
        <f>'TONG TP'!AO97</f>
        <v>0</v>
      </c>
      <c r="AP26" s="185">
        <f>'TONG TP'!AP97</f>
        <v>0</v>
      </c>
      <c r="AQ26" s="185">
        <f>'TONG TP'!AQ97</f>
        <v>0</v>
      </c>
      <c r="AR26" s="185">
        <f>'TONG TP'!AR97</f>
        <v>0</v>
      </c>
      <c r="AS26" s="185">
        <f>'TONG TP'!AS97</f>
        <v>0</v>
      </c>
    </row>
    <row r="27" spans="1:47" s="27" customFormat="1" ht="35.25" customHeight="1">
      <c r="A27" s="30" t="s">
        <v>71</v>
      </c>
      <c r="B27" s="14" t="s">
        <v>135</v>
      </c>
      <c r="C27" s="30" t="s">
        <v>72</v>
      </c>
      <c r="D27" s="185">
        <f>'TONG TP'!D98</f>
        <v>2144.3125000000005</v>
      </c>
      <c r="E27" s="185">
        <f>'TONG TP'!E98</f>
        <v>18.77</v>
      </c>
      <c r="F27" s="185">
        <f>'TONG TP'!F98</f>
        <v>0</v>
      </c>
      <c r="G27" s="185">
        <f>'TONG TP'!G98</f>
        <v>0</v>
      </c>
      <c r="H27" s="185">
        <f>'TONG TP'!H98</f>
        <v>0</v>
      </c>
      <c r="I27" s="185">
        <f>'TONG TP'!I98</f>
        <v>0</v>
      </c>
      <c r="J27" s="185">
        <f>'TONG TP'!J98</f>
        <v>0</v>
      </c>
      <c r="K27" s="185">
        <f>'TONG TP'!K98</f>
        <v>0</v>
      </c>
      <c r="L27" s="185">
        <f>'TONG TP'!L98</f>
        <v>0</v>
      </c>
      <c r="M27" s="185">
        <f>'TONG TP'!M98</f>
        <v>18.77</v>
      </c>
      <c r="N27" s="185">
        <f>'TONG TP'!N98</f>
        <v>0</v>
      </c>
      <c r="O27" s="185">
        <f>'TONG TP'!O98</f>
        <v>0</v>
      </c>
      <c r="P27" s="185">
        <f>'TONG TP'!P98</f>
        <v>2125.5425000000005</v>
      </c>
      <c r="Q27" s="185">
        <f>'TONG TP'!Q98</f>
        <v>0.2</v>
      </c>
      <c r="R27" s="185">
        <f>'TONG TP'!R98</f>
        <v>0</v>
      </c>
      <c r="S27" s="185">
        <f>'TONG TP'!S98</f>
        <v>1.1600000000000001</v>
      </c>
      <c r="T27" s="185">
        <f>'TONG TP'!T98</f>
        <v>0</v>
      </c>
      <c r="U27" s="185">
        <f>'TONG TP'!U98</f>
        <v>11.440000000000001</v>
      </c>
      <c r="V27" s="185">
        <f>'TONG TP'!V98</f>
        <v>2.12</v>
      </c>
      <c r="W27" s="185">
        <f>'TONG TP'!W98</f>
        <v>5.13</v>
      </c>
      <c r="X27" s="185">
        <f>'TONG TP'!X98</f>
        <v>0</v>
      </c>
      <c r="Y27" s="186">
        <f>'TONG TP'!Y98</f>
        <v>2092.5825000000004</v>
      </c>
      <c r="Z27" s="185">
        <f>'TONG TP'!Z98</f>
        <v>0</v>
      </c>
      <c r="AA27" s="185">
        <f>'TONG TP'!AA98</f>
        <v>0</v>
      </c>
      <c r="AB27" s="185">
        <f>'TONG TP'!AB98</f>
        <v>0.43</v>
      </c>
      <c r="AC27" s="185">
        <f>'TONG TP'!AC98</f>
        <v>2.09</v>
      </c>
      <c r="AD27" s="185">
        <f>'TONG TP'!AD98</f>
        <v>2.8000000000000003</v>
      </c>
      <c r="AE27" s="185">
        <f>'TONG TP'!AE98</f>
        <v>1.3900000000000001</v>
      </c>
      <c r="AF27" s="185">
        <f>'TONG TP'!AF98</f>
        <v>0</v>
      </c>
      <c r="AG27" s="185">
        <f>'TONG TP'!AG98</f>
        <v>0</v>
      </c>
      <c r="AH27" s="185">
        <f>'TONG TP'!AH98</f>
        <v>0.01</v>
      </c>
      <c r="AI27" s="185">
        <f>'TONG TP'!AI98</f>
        <v>0</v>
      </c>
      <c r="AJ27" s="185">
        <f>'TONG TP'!AJ98</f>
        <v>2.27</v>
      </c>
      <c r="AK27" s="185">
        <f>'TONG TP'!AK98</f>
        <v>0</v>
      </c>
      <c r="AL27" s="185">
        <f>'TONG TP'!AL98</f>
        <v>1.18</v>
      </c>
      <c r="AM27" s="185">
        <f>'TONG TP'!AM98</f>
        <v>0</v>
      </c>
      <c r="AN27" s="185">
        <f>'TONG TP'!AN98</f>
        <v>0</v>
      </c>
      <c r="AO27" s="185">
        <f>'TONG TP'!AO98</f>
        <v>2.7399999999999998</v>
      </c>
      <c r="AP27" s="185">
        <f>'TONG TP'!AP98</f>
        <v>0</v>
      </c>
      <c r="AQ27" s="185">
        <f>'TONG TP'!AQ98</f>
        <v>0</v>
      </c>
      <c r="AR27" s="185">
        <f>'TONG TP'!AR98</f>
        <v>51.730000000000004</v>
      </c>
      <c r="AS27" s="185">
        <f>'TONG TP'!AS98</f>
        <v>2324.3825000000006</v>
      </c>
    </row>
    <row r="28" spans="1:47" s="27" customFormat="1" ht="20.25" customHeight="1">
      <c r="A28" s="30" t="s">
        <v>73</v>
      </c>
      <c r="B28" s="14" t="s">
        <v>74</v>
      </c>
      <c r="C28" s="30" t="s">
        <v>75</v>
      </c>
      <c r="D28" s="185">
        <f>'TONG TP'!D99</f>
        <v>0.24000000000000002</v>
      </c>
      <c r="E28" s="185">
        <f>'TONG TP'!E99</f>
        <v>0</v>
      </c>
      <c r="F28" s="185">
        <f>'TONG TP'!F99</f>
        <v>0</v>
      </c>
      <c r="G28" s="185">
        <f>'TONG TP'!G99</f>
        <v>0</v>
      </c>
      <c r="H28" s="185">
        <f>'TONG TP'!H99</f>
        <v>0</v>
      </c>
      <c r="I28" s="185">
        <f>'TONG TP'!I99</f>
        <v>0</v>
      </c>
      <c r="J28" s="185">
        <f>'TONG TP'!J99</f>
        <v>0</v>
      </c>
      <c r="K28" s="185">
        <f>'TONG TP'!K99</f>
        <v>0</v>
      </c>
      <c r="L28" s="185">
        <f>'TONG TP'!L99</f>
        <v>0</v>
      </c>
      <c r="M28" s="185">
        <f>'TONG TP'!M99</f>
        <v>0</v>
      </c>
      <c r="N28" s="185">
        <f>'TONG TP'!N99</f>
        <v>0</v>
      </c>
      <c r="O28" s="185">
        <f>'TONG TP'!O99</f>
        <v>0</v>
      </c>
      <c r="P28" s="185">
        <f>'TONG TP'!P99</f>
        <v>0.24000000000000002</v>
      </c>
      <c r="Q28" s="185">
        <f>'TONG TP'!Q99</f>
        <v>0</v>
      </c>
      <c r="R28" s="185">
        <f>'TONG TP'!R99</f>
        <v>0</v>
      </c>
      <c r="S28" s="185">
        <f>'TONG TP'!S99</f>
        <v>0</v>
      </c>
      <c r="T28" s="185">
        <f>'TONG TP'!T99</f>
        <v>0</v>
      </c>
      <c r="U28" s="185">
        <f>'TONG TP'!U99</f>
        <v>0</v>
      </c>
      <c r="V28" s="185">
        <f>'TONG TP'!V99</f>
        <v>0</v>
      </c>
      <c r="W28" s="185">
        <f>'TONG TP'!W99</f>
        <v>0</v>
      </c>
      <c r="X28" s="185">
        <f>'TONG TP'!X99</f>
        <v>0</v>
      </c>
      <c r="Y28" s="185">
        <f>'TONG TP'!Y99</f>
        <v>0</v>
      </c>
      <c r="Z28" s="186">
        <f>'TONG TP'!Z99</f>
        <v>0.24000000000000002</v>
      </c>
      <c r="AA28" s="185">
        <f>'TONG TP'!AA99</f>
        <v>0</v>
      </c>
      <c r="AB28" s="185">
        <f>'TONG TP'!AB99</f>
        <v>0</v>
      </c>
      <c r="AC28" s="185">
        <f>'TONG TP'!AC99</f>
        <v>0</v>
      </c>
      <c r="AD28" s="185">
        <f>'TONG TP'!AD99</f>
        <v>0</v>
      </c>
      <c r="AE28" s="185">
        <f>'TONG TP'!AE99</f>
        <v>0</v>
      </c>
      <c r="AF28" s="185">
        <f>'TONG TP'!AF99</f>
        <v>0</v>
      </c>
      <c r="AG28" s="185">
        <f>'TONG TP'!AG99</f>
        <v>0</v>
      </c>
      <c r="AH28" s="185">
        <f>'TONG TP'!AH99</f>
        <v>0</v>
      </c>
      <c r="AI28" s="185">
        <f>'TONG TP'!AI99</f>
        <v>0</v>
      </c>
      <c r="AJ28" s="185">
        <f>'TONG TP'!AJ99</f>
        <v>0</v>
      </c>
      <c r="AK28" s="185">
        <f>'TONG TP'!AK99</f>
        <v>0</v>
      </c>
      <c r="AL28" s="185">
        <f>'TONG TP'!AL99</f>
        <v>0</v>
      </c>
      <c r="AM28" s="185">
        <f>'TONG TP'!AM99</f>
        <v>0</v>
      </c>
      <c r="AN28" s="185">
        <f>'TONG TP'!AN99</f>
        <v>0</v>
      </c>
      <c r="AO28" s="185">
        <f>'TONG TP'!AO99</f>
        <v>0</v>
      </c>
      <c r="AP28" s="185">
        <f>'TONG TP'!AP99</f>
        <v>0</v>
      </c>
      <c r="AQ28" s="185">
        <f>'TONG TP'!AQ99</f>
        <v>0</v>
      </c>
      <c r="AR28" s="185">
        <f>'TONG TP'!AR99</f>
        <v>0</v>
      </c>
      <c r="AS28" s="185">
        <f>'TONG TP'!AS99</f>
        <v>0.24000000000000002</v>
      </c>
    </row>
    <row r="29" spans="1:47" s="27" customFormat="1" ht="20.25" customHeight="1">
      <c r="A29" s="30" t="s">
        <v>76</v>
      </c>
      <c r="B29" s="14" t="s">
        <v>77</v>
      </c>
      <c r="C29" s="30" t="s">
        <v>78</v>
      </c>
      <c r="D29" s="185">
        <f>'TONG TP'!D100</f>
        <v>0</v>
      </c>
      <c r="E29" s="185">
        <f>'TONG TP'!E100</f>
        <v>0</v>
      </c>
      <c r="F29" s="185">
        <f>'TONG TP'!F100</f>
        <v>0</v>
      </c>
      <c r="G29" s="185">
        <f>'TONG TP'!G100</f>
        <v>0</v>
      </c>
      <c r="H29" s="185">
        <f>'TONG TP'!H100</f>
        <v>0</v>
      </c>
      <c r="I29" s="185">
        <f>'TONG TP'!I100</f>
        <v>0</v>
      </c>
      <c r="J29" s="185">
        <f>'TONG TP'!J100</f>
        <v>0</v>
      </c>
      <c r="K29" s="185">
        <f>'TONG TP'!K100</f>
        <v>0</v>
      </c>
      <c r="L29" s="185">
        <f>'TONG TP'!L100</f>
        <v>0</v>
      </c>
      <c r="M29" s="185">
        <f>'TONG TP'!M100</f>
        <v>0</v>
      </c>
      <c r="N29" s="185">
        <f>'TONG TP'!N100</f>
        <v>0</v>
      </c>
      <c r="O29" s="185">
        <f>'TONG TP'!O100</f>
        <v>0</v>
      </c>
      <c r="P29" s="185">
        <f>'TONG TP'!P100</f>
        <v>0</v>
      </c>
      <c r="Q29" s="185">
        <f>'TONG TP'!Q100</f>
        <v>0</v>
      </c>
      <c r="R29" s="185">
        <f>'TONG TP'!R100</f>
        <v>0</v>
      </c>
      <c r="S29" s="185">
        <f>'TONG TP'!S100</f>
        <v>0</v>
      </c>
      <c r="T29" s="185">
        <f>'TONG TP'!T100</f>
        <v>0</v>
      </c>
      <c r="U29" s="185">
        <f>'TONG TP'!U100</f>
        <v>0</v>
      </c>
      <c r="V29" s="185">
        <f>'TONG TP'!V100</f>
        <v>0</v>
      </c>
      <c r="W29" s="185">
        <f>'TONG TP'!W100</f>
        <v>0</v>
      </c>
      <c r="X29" s="185">
        <f>'TONG TP'!X100</f>
        <v>0</v>
      </c>
      <c r="Y29" s="185">
        <f>'TONG TP'!Y100</f>
        <v>0</v>
      </c>
      <c r="Z29" s="185">
        <f>'TONG TP'!Z100</f>
        <v>0</v>
      </c>
      <c r="AA29" s="186">
        <f>'TONG TP'!AA100</f>
        <v>0</v>
      </c>
      <c r="AB29" s="185">
        <f>'TONG TP'!AB100</f>
        <v>0</v>
      </c>
      <c r="AC29" s="185">
        <f>'TONG TP'!AC100</f>
        <v>0</v>
      </c>
      <c r="AD29" s="185">
        <f>'TONG TP'!AD100</f>
        <v>0</v>
      </c>
      <c r="AE29" s="185">
        <f>'TONG TP'!AE100</f>
        <v>0</v>
      </c>
      <c r="AF29" s="185">
        <f>'TONG TP'!AF100</f>
        <v>0</v>
      </c>
      <c r="AG29" s="185">
        <f>'TONG TP'!AG100</f>
        <v>0</v>
      </c>
      <c r="AH29" s="185">
        <f>'TONG TP'!AH100</f>
        <v>0</v>
      </c>
      <c r="AI29" s="185">
        <f>'TONG TP'!AI100</f>
        <v>0</v>
      </c>
      <c r="AJ29" s="185">
        <f>'TONG TP'!AJ100</f>
        <v>0</v>
      </c>
      <c r="AK29" s="185">
        <f>'TONG TP'!AK100</f>
        <v>0</v>
      </c>
      <c r="AL29" s="185">
        <f>'TONG TP'!AL100</f>
        <v>0</v>
      </c>
      <c r="AM29" s="185">
        <f>'TONG TP'!AM100</f>
        <v>0</v>
      </c>
      <c r="AN29" s="185">
        <f>'TONG TP'!AN100</f>
        <v>0</v>
      </c>
      <c r="AO29" s="185">
        <f>'TONG TP'!AO100</f>
        <v>0</v>
      </c>
      <c r="AP29" s="185">
        <f>'TONG TP'!AP100</f>
        <v>0</v>
      </c>
      <c r="AQ29" s="185">
        <f>'TONG TP'!AQ100</f>
        <v>0</v>
      </c>
      <c r="AR29" s="185">
        <f>'TONG TP'!AR100</f>
        <v>0</v>
      </c>
      <c r="AS29" s="185">
        <f>'TONG TP'!AS100</f>
        <v>0</v>
      </c>
    </row>
    <row r="30" spans="1:47" s="27" customFormat="1" ht="20.25" customHeight="1">
      <c r="A30" s="30" t="s">
        <v>79</v>
      </c>
      <c r="B30" s="14" t="s">
        <v>80</v>
      </c>
      <c r="C30" s="30" t="s">
        <v>81</v>
      </c>
      <c r="D30" s="185">
        <f>'TONG TP'!D101</f>
        <v>44.33</v>
      </c>
      <c r="E30" s="185">
        <f>'TONG TP'!E101</f>
        <v>0</v>
      </c>
      <c r="F30" s="185">
        <f>'TONG TP'!F101</f>
        <v>0</v>
      </c>
      <c r="G30" s="185">
        <f>'TONG TP'!G101</f>
        <v>0</v>
      </c>
      <c r="H30" s="185">
        <f>'TONG TP'!H101</f>
        <v>0</v>
      </c>
      <c r="I30" s="185">
        <f>'TONG TP'!I101</f>
        <v>0</v>
      </c>
      <c r="J30" s="185">
        <f>'TONG TP'!J101</f>
        <v>0</v>
      </c>
      <c r="K30" s="185">
        <f>'TONG TP'!K101</f>
        <v>0</v>
      </c>
      <c r="L30" s="185">
        <f>'TONG TP'!L101</f>
        <v>0</v>
      </c>
      <c r="M30" s="185">
        <f>'TONG TP'!M101</f>
        <v>0</v>
      </c>
      <c r="N30" s="185">
        <f>'TONG TP'!N101</f>
        <v>0</v>
      </c>
      <c r="O30" s="185">
        <f>'TONG TP'!O101</f>
        <v>0</v>
      </c>
      <c r="P30" s="185">
        <f>'TONG TP'!P101</f>
        <v>44.33</v>
      </c>
      <c r="Q30" s="185">
        <f>'TONG TP'!Q101</f>
        <v>0.1</v>
      </c>
      <c r="R30" s="185">
        <f>'TONG TP'!R101</f>
        <v>0</v>
      </c>
      <c r="S30" s="185">
        <f>'TONG TP'!S101</f>
        <v>0</v>
      </c>
      <c r="T30" s="185">
        <f>'TONG TP'!T101</f>
        <v>0</v>
      </c>
      <c r="U30" s="185">
        <f>'TONG TP'!U101</f>
        <v>0</v>
      </c>
      <c r="V30" s="185">
        <f>'TONG TP'!V101</f>
        <v>0</v>
      </c>
      <c r="W30" s="185">
        <f>'TONG TP'!W101</f>
        <v>0</v>
      </c>
      <c r="X30" s="185">
        <f>'TONG TP'!X101</f>
        <v>0</v>
      </c>
      <c r="Y30" s="185">
        <f>'TONG TP'!Y101</f>
        <v>0</v>
      </c>
      <c r="Z30" s="185">
        <f>'TONG TP'!Z101</f>
        <v>0</v>
      </c>
      <c r="AA30" s="185">
        <f>'TONG TP'!AA101</f>
        <v>0</v>
      </c>
      <c r="AB30" s="186">
        <f>'TONG TP'!AB101</f>
        <v>44.23</v>
      </c>
      <c r="AC30" s="185">
        <f>'TONG TP'!AC101</f>
        <v>0</v>
      </c>
      <c r="AD30" s="185">
        <f>'TONG TP'!AD101</f>
        <v>0</v>
      </c>
      <c r="AE30" s="185">
        <f>'TONG TP'!AE101</f>
        <v>0</v>
      </c>
      <c r="AF30" s="185">
        <f>'TONG TP'!AF101</f>
        <v>0</v>
      </c>
      <c r="AG30" s="185">
        <f>'TONG TP'!AG101</f>
        <v>0</v>
      </c>
      <c r="AH30" s="185">
        <f>'TONG TP'!AH101</f>
        <v>0</v>
      </c>
      <c r="AI30" s="185">
        <f>'TONG TP'!AI101</f>
        <v>0</v>
      </c>
      <c r="AJ30" s="185">
        <f>'TONG TP'!AJ101</f>
        <v>0</v>
      </c>
      <c r="AK30" s="185">
        <f>'TONG TP'!AK101</f>
        <v>0</v>
      </c>
      <c r="AL30" s="185">
        <f>'TONG TP'!AL101</f>
        <v>0</v>
      </c>
      <c r="AM30" s="185">
        <f>'TONG TP'!AM101</f>
        <v>0</v>
      </c>
      <c r="AN30" s="185">
        <f>'TONG TP'!AN101</f>
        <v>0</v>
      </c>
      <c r="AO30" s="185">
        <f>'TONG TP'!AO101</f>
        <v>0</v>
      </c>
      <c r="AP30" s="185">
        <f>'TONG TP'!AP101</f>
        <v>0</v>
      </c>
      <c r="AQ30" s="185">
        <f>'TONG TP'!AQ101</f>
        <v>0</v>
      </c>
      <c r="AR30" s="185">
        <f>'TONG TP'!AR101</f>
        <v>0.1</v>
      </c>
      <c r="AS30" s="185">
        <f>'TONG TP'!AS101</f>
        <v>55.85</v>
      </c>
    </row>
    <row r="31" spans="1:47" s="27" customFormat="1" ht="20.25" customHeight="1">
      <c r="A31" s="30" t="s">
        <v>82</v>
      </c>
      <c r="B31" s="14" t="s">
        <v>83</v>
      </c>
      <c r="C31" s="30" t="s">
        <v>84</v>
      </c>
      <c r="D31" s="185">
        <f>'TONG TP'!D102</f>
        <v>312.20955000000004</v>
      </c>
      <c r="E31" s="185">
        <f>'TONG TP'!E102</f>
        <v>0</v>
      </c>
      <c r="F31" s="185">
        <f>'TONG TP'!F102</f>
        <v>0</v>
      </c>
      <c r="G31" s="185">
        <f>'TONG TP'!G102</f>
        <v>0</v>
      </c>
      <c r="H31" s="185">
        <f>'TONG TP'!H102</f>
        <v>0</v>
      </c>
      <c r="I31" s="185">
        <f>'TONG TP'!I102</f>
        <v>0</v>
      </c>
      <c r="J31" s="185">
        <f>'TONG TP'!J102</f>
        <v>0</v>
      </c>
      <c r="K31" s="185">
        <f>'TONG TP'!K102</f>
        <v>0</v>
      </c>
      <c r="L31" s="185">
        <f>'TONG TP'!L102</f>
        <v>0</v>
      </c>
      <c r="M31" s="185">
        <f>'TONG TP'!M102</f>
        <v>0</v>
      </c>
      <c r="N31" s="185">
        <f>'TONG TP'!N102</f>
        <v>0</v>
      </c>
      <c r="O31" s="185">
        <f>'TONG TP'!O102</f>
        <v>0</v>
      </c>
      <c r="P31" s="185">
        <f>'TONG TP'!P102</f>
        <v>312.20955000000004</v>
      </c>
      <c r="Q31" s="185">
        <f>'TONG TP'!Q102</f>
        <v>0</v>
      </c>
      <c r="R31" s="185">
        <f>'TONG TP'!R102</f>
        <v>0</v>
      </c>
      <c r="S31" s="185">
        <f>'TONG TP'!S102</f>
        <v>0</v>
      </c>
      <c r="T31" s="185">
        <f>'TONG TP'!T102</f>
        <v>0</v>
      </c>
      <c r="U31" s="185">
        <f>'TONG TP'!U102</f>
        <v>0</v>
      </c>
      <c r="V31" s="185">
        <f>'TONG TP'!V102</f>
        <v>0</v>
      </c>
      <c r="W31" s="185">
        <f>'TONG TP'!W102</f>
        <v>0.09</v>
      </c>
      <c r="X31" s="185">
        <f>'TONG TP'!X102</f>
        <v>0</v>
      </c>
      <c r="Y31" s="185">
        <f>'TONG TP'!Y102</f>
        <v>1.6</v>
      </c>
      <c r="Z31" s="185">
        <f>'TONG TP'!Z102</f>
        <v>0</v>
      </c>
      <c r="AA31" s="185">
        <f>'TONG TP'!AA102</f>
        <v>0</v>
      </c>
      <c r="AB31" s="185">
        <f>'TONG TP'!AB102</f>
        <v>0</v>
      </c>
      <c r="AC31" s="186">
        <f>'TONG TP'!AC102</f>
        <v>310.51955000000004</v>
      </c>
      <c r="AD31" s="185">
        <f>'TONG TP'!AD102</f>
        <v>0</v>
      </c>
      <c r="AE31" s="185">
        <f>'TONG TP'!AE102</f>
        <v>0</v>
      </c>
      <c r="AF31" s="185">
        <f>'TONG TP'!AF102</f>
        <v>0</v>
      </c>
      <c r="AG31" s="185">
        <f>'TONG TP'!AG102</f>
        <v>0</v>
      </c>
      <c r="AH31" s="185">
        <f>'TONG TP'!AH102</f>
        <v>0</v>
      </c>
      <c r="AI31" s="185">
        <f>'TONG TP'!AI102</f>
        <v>0</v>
      </c>
      <c r="AJ31" s="185">
        <f>'TONG TP'!AJ102</f>
        <v>0</v>
      </c>
      <c r="AK31" s="185">
        <f>'TONG TP'!AK102</f>
        <v>0</v>
      </c>
      <c r="AL31" s="185">
        <f>'TONG TP'!AL102</f>
        <v>0</v>
      </c>
      <c r="AM31" s="185">
        <f>'TONG TP'!AM102</f>
        <v>0</v>
      </c>
      <c r="AN31" s="185">
        <f>'TONG TP'!AN102</f>
        <v>0</v>
      </c>
      <c r="AO31" s="185">
        <f>'TONG TP'!AO102</f>
        <v>0</v>
      </c>
      <c r="AP31" s="185">
        <f>'TONG TP'!AP102</f>
        <v>0</v>
      </c>
      <c r="AQ31" s="185">
        <f>'TONG TP'!AQ102</f>
        <v>0</v>
      </c>
      <c r="AR31" s="185">
        <f>'TONG TP'!AR102</f>
        <v>1.6900000000000002</v>
      </c>
      <c r="AS31" s="185">
        <f>'TONG TP'!AS102</f>
        <v>324.78955000000002</v>
      </c>
    </row>
    <row r="32" spans="1:47" s="27" customFormat="1" ht="20.25" customHeight="1">
      <c r="A32" s="30" t="s">
        <v>85</v>
      </c>
      <c r="B32" s="14" t="s">
        <v>86</v>
      </c>
      <c r="C32" s="30" t="s">
        <v>87</v>
      </c>
      <c r="D32" s="185">
        <f>'TONG TP'!D103</f>
        <v>360.37450000000001</v>
      </c>
      <c r="E32" s="185">
        <f>'TONG TP'!E103</f>
        <v>0</v>
      </c>
      <c r="F32" s="185">
        <f>'TONG TP'!F103</f>
        <v>0</v>
      </c>
      <c r="G32" s="185">
        <f>'TONG TP'!G103</f>
        <v>0</v>
      </c>
      <c r="H32" s="185">
        <f>'TONG TP'!H103</f>
        <v>0</v>
      </c>
      <c r="I32" s="185">
        <f>'TONG TP'!I103</f>
        <v>0</v>
      </c>
      <c r="J32" s="185">
        <f>'TONG TP'!J103</f>
        <v>0</v>
      </c>
      <c r="K32" s="185">
        <f>'TONG TP'!K103</f>
        <v>0</v>
      </c>
      <c r="L32" s="185">
        <f>'TONG TP'!L103</f>
        <v>0</v>
      </c>
      <c r="M32" s="185">
        <f>'TONG TP'!M103</f>
        <v>0</v>
      </c>
      <c r="N32" s="185">
        <f>'TONG TP'!N103</f>
        <v>0</v>
      </c>
      <c r="O32" s="185">
        <f>'TONG TP'!O103</f>
        <v>0</v>
      </c>
      <c r="P32" s="185">
        <f>'TONG TP'!P103</f>
        <v>360.37450000000001</v>
      </c>
      <c r="Q32" s="185">
        <f>'TONG TP'!Q103</f>
        <v>0</v>
      </c>
      <c r="R32" s="185">
        <f>'TONG TP'!R103</f>
        <v>0</v>
      </c>
      <c r="S32" s="185">
        <f>'TONG TP'!S103</f>
        <v>1</v>
      </c>
      <c r="T32" s="185">
        <f>'TONG TP'!T103</f>
        <v>0</v>
      </c>
      <c r="U32" s="185">
        <f>'TONG TP'!U103</f>
        <v>8.6</v>
      </c>
      <c r="V32" s="185">
        <f>'TONG TP'!V103</f>
        <v>4.12</v>
      </c>
      <c r="W32" s="185">
        <f>'TONG TP'!W103</f>
        <v>5.41</v>
      </c>
      <c r="X32" s="185">
        <f>'TONG TP'!X103</f>
        <v>0</v>
      </c>
      <c r="Y32" s="185">
        <f>'TONG TP'!Y103</f>
        <v>9.9699999999999989</v>
      </c>
      <c r="Z32" s="185">
        <f>'TONG TP'!Z103</f>
        <v>0</v>
      </c>
      <c r="AA32" s="185">
        <f>'TONG TP'!AA103</f>
        <v>0</v>
      </c>
      <c r="AB32" s="185">
        <f>'TONG TP'!AB103</f>
        <v>0</v>
      </c>
      <c r="AC32" s="185">
        <f>'TONG TP'!AC103</f>
        <v>0</v>
      </c>
      <c r="AD32" s="186">
        <f>'TONG TP'!AD103</f>
        <v>326.52449999999999</v>
      </c>
      <c r="AE32" s="185">
        <f>'TONG TP'!AE103</f>
        <v>4.2</v>
      </c>
      <c r="AF32" s="185">
        <f>'TONG TP'!AF103</f>
        <v>0</v>
      </c>
      <c r="AG32" s="185">
        <f>'TONG TP'!AG103</f>
        <v>0</v>
      </c>
      <c r="AH32" s="185">
        <f>'TONG TP'!AH103</f>
        <v>0</v>
      </c>
      <c r="AI32" s="185">
        <f>'TONG TP'!AI103</f>
        <v>0</v>
      </c>
      <c r="AJ32" s="185">
        <f>'TONG TP'!AJ103</f>
        <v>7.0000000000000007E-2</v>
      </c>
      <c r="AK32" s="185">
        <f>'TONG TP'!AK103</f>
        <v>0</v>
      </c>
      <c r="AL32" s="185">
        <f>'TONG TP'!AL103</f>
        <v>0.48000000000000004</v>
      </c>
      <c r="AM32" s="185">
        <f>'TONG TP'!AM103</f>
        <v>0</v>
      </c>
      <c r="AN32" s="185">
        <f>'TONG TP'!AN103</f>
        <v>0</v>
      </c>
      <c r="AO32" s="185">
        <f>'TONG TP'!AO103</f>
        <v>0</v>
      </c>
      <c r="AP32" s="185">
        <f>'TONG TP'!AP103</f>
        <v>0</v>
      </c>
      <c r="AQ32" s="185">
        <f>'TONG TP'!AQ103</f>
        <v>0</v>
      </c>
      <c r="AR32" s="185">
        <f>'TONG TP'!AR103</f>
        <v>33.849999999999994</v>
      </c>
      <c r="AS32" s="185">
        <f>'TONG TP'!AS103</f>
        <v>372.24450000000002</v>
      </c>
    </row>
    <row r="33" spans="1:45" s="27" customFormat="1" ht="20.25" customHeight="1">
      <c r="A33" s="30" t="s">
        <v>88</v>
      </c>
      <c r="B33" s="14" t="s">
        <v>89</v>
      </c>
      <c r="C33" s="30" t="s">
        <v>90</v>
      </c>
      <c r="D33" s="185">
        <f>'TONG TP'!D104</f>
        <v>36.990279999999998</v>
      </c>
      <c r="E33" s="185">
        <f>'TONG TP'!E104</f>
        <v>0</v>
      </c>
      <c r="F33" s="185">
        <f>'TONG TP'!F104</f>
        <v>0</v>
      </c>
      <c r="G33" s="185">
        <f>'TONG TP'!G104</f>
        <v>0</v>
      </c>
      <c r="H33" s="185">
        <f>'TONG TP'!H104</f>
        <v>0</v>
      </c>
      <c r="I33" s="185">
        <f>'TONG TP'!I104</f>
        <v>0</v>
      </c>
      <c r="J33" s="185">
        <f>'TONG TP'!J104</f>
        <v>0</v>
      </c>
      <c r="K33" s="185">
        <f>'TONG TP'!K104</f>
        <v>0</v>
      </c>
      <c r="L33" s="185">
        <f>'TONG TP'!L104</f>
        <v>0</v>
      </c>
      <c r="M33" s="185">
        <f>'TONG TP'!M104</f>
        <v>0</v>
      </c>
      <c r="N33" s="185">
        <f>'TONG TP'!N104</f>
        <v>0</v>
      </c>
      <c r="O33" s="185">
        <f>'TONG TP'!O104</f>
        <v>0</v>
      </c>
      <c r="P33" s="185">
        <f>'TONG TP'!P104</f>
        <v>36.990279999999998</v>
      </c>
      <c r="Q33" s="185">
        <f>'TONG TP'!Q104</f>
        <v>0</v>
      </c>
      <c r="R33" s="185">
        <f>'TONG TP'!R104</f>
        <v>0</v>
      </c>
      <c r="S33" s="185">
        <f>'TONG TP'!S104</f>
        <v>0</v>
      </c>
      <c r="T33" s="185">
        <f>'TONG TP'!T104</f>
        <v>0</v>
      </c>
      <c r="U33" s="185">
        <f>'TONG TP'!U104</f>
        <v>0</v>
      </c>
      <c r="V33" s="185">
        <f>'TONG TP'!V104</f>
        <v>0</v>
      </c>
      <c r="W33" s="185">
        <f>'TONG TP'!W104</f>
        <v>0</v>
      </c>
      <c r="X33" s="185">
        <f>'TONG TP'!X104</f>
        <v>0</v>
      </c>
      <c r="Y33" s="185">
        <f>'TONG TP'!Y104</f>
        <v>6.0000000000000005E-2</v>
      </c>
      <c r="Z33" s="185">
        <f>'TONG TP'!Z104</f>
        <v>0</v>
      </c>
      <c r="AA33" s="185">
        <f>'TONG TP'!AA104</f>
        <v>0</v>
      </c>
      <c r="AB33" s="185">
        <f>'TONG TP'!AB104</f>
        <v>0</v>
      </c>
      <c r="AC33" s="185">
        <f>'TONG TP'!AC104</f>
        <v>0</v>
      </c>
      <c r="AD33" s="185">
        <f>'TONG TP'!AD104</f>
        <v>0.47000000000000003</v>
      </c>
      <c r="AE33" s="186">
        <f>'TONG TP'!AE104</f>
        <v>36.460279999999997</v>
      </c>
      <c r="AF33" s="185">
        <f>'TONG TP'!AF104</f>
        <v>0</v>
      </c>
      <c r="AG33" s="185">
        <f>'TONG TP'!AG104</f>
        <v>0</v>
      </c>
      <c r="AH33" s="185">
        <f>'TONG TP'!AH104</f>
        <v>0</v>
      </c>
      <c r="AI33" s="185">
        <f>'TONG TP'!AI104</f>
        <v>0</v>
      </c>
      <c r="AJ33" s="185">
        <f>'TONG TP'!AJ104</f>
        <v>0</v>
      </c>
      <c r="AK33" s="185">
        <f>'TONG TP'!AK104</f>
        <v>0</v>
      </c>
      <c r="AL33" s="185">
        <f>'TONG TP'!AL104</f>
        <v>0</v>
      </c>
      <c r="AM33" s="185">
        <f>'TONG TP'!AM104</f>
        <v>0</v>
      </c>
      <c r="AN33" s="185">
        <f>'TONG TP'!AN104</f>
        <v>0</v>
      </c>
      <c r="AO33" s="185">
        <f>'TONG TP'!AO104</f>
        <v>0</v>
      </c>
      <c r="AP33" s="185">
        <f>'TONG TP'!AP104</f>
        <v>0</v>
      </c>
      <c r="AQ33" s="185">
        <f>'TONG TP'!AQ104</f>
        <v>0</v>
      </c>
      <c r="AR33" s="185">
        <f>'TONG TP'!AR104</f>
        <v>0.53</v>
      </c>
      <c r="AS33" s="185">
        <f>'TONG TP'!AS104</f>
        <v>58.440280000000001</v>
      </c>
    </row>
    <row r="34" spans="1:45" s="27" customFormat="1" ht="34.5" customHeight="1">
      <c r="A34" s="30" t="s">
        <v>91</v>
      </c>
      <c r="B34" s="14" t="s">
        <v>92</v>
      </c>
      <c r="C34" s="30" t="s">
        <v>93</v>
      </c>
      <c r="D34" s="185">
        <f>'TONG TP'!D105</f>
        <v>0.67</v>
      </c>
      <c r="E34" s="185">
        <f>'TONG TP'!E105</f>
        <v>0</v>
      </c>
      <c r="F34" s="185">
        <f>'TONG TP'!F105</f>
        <v>0</v>
      </c>
      <c r="G34" s="185">
        <f>'TONG TP'!G105</f>
        <v>0</v>
      </c>
      <c r="H34" s="185">
        <f>'TONG TP'!H105</f>
        <v>0</v>
      </c>
      <c r="I34" s="185">
        <f>'TONG TP'!I105</f>
        <v>0</v>
      </c>
      <c r="J34" s="185">
        <f>'TONG TP'!J105</f>
        <v>0</v>
      </c>
      <c r="K34" s="185">
        <f>'TONG TP'!K105</f>
        <v>0</v>
      </c>
      <c r="L34" s="185">
        <f>'TONG TP'!L105</f>
        <v>0</v>
      </c>
      <c r="M34" s="185">
        <f>'TONG TP'!M105</f>
        <v>0</v>
      </c>
      <c r="N34" s="185">
        <f>'TONG TP'!N105</f>
        <v>0</v>
      </c>
      <c r="O34" s="185">
        <f>'TONG TP'!O105</f>
        <v>0</v>
      </c>
      <c r="P34" s="185">
        <f>'TONG TP'!P105</f>
        <v>0.67</v>
      </c>
      <c r="Q34" s="185">
        <f>'TONG TP'!Q105</f>
        <v>0</v>
      </c>
      <c r="R34" s="185">
        <f>'TONG TP'!R105</f>
        <v>0</v>
      </c>
      <c r="S34" s="185">
        <f>'TONG TP'!S105</f>
        <v>0</v>
      </c>
      <c r="T34" s="185">
        <f>'TONG TP'!T105</f>
        <v>0</v>
      </c>
      <c r="U34" s="185">
        <f>'TONG TP'!U105</f>
        <v>0</v>
      </c>
      <c r="V34" s="185">
        <f>'TONG TP'!V105</f>
        <v>0</v>
      </c>
      <c r="W34" s="185">
        <f>'TONG TP'!W105</f>
        <v>0</v>
      </c>
      <c r="X34" s="185">
        <f>'TONG TP'!X105</f>
        <v>0</v>
      </c>
      <c r="Y34" s="185">
        <f>'TONG TP'!Y105</f>
        <v>0</v>
      </c>
      <c r="Z34" s="185">
        <f>'TONG TP'!Z105</f>
        <v>0</v>
      </c>
      <c r="AA34" s="185">
        <f>'TONG TP'!AA105</f>
        <v>0</v>
      </c>
      <c r="AB34" s="185">
        <f>'TONG TP'!AB105</f>
        <v>0</v>
      </c>
      <c r="AC34" s="185">
        <f>'TONG TP'!AC105</f>
        <v>0</v>
      </c>
      <c r="AD34" s="185">
        <f>'TONG TP'!AD105</f>
        <v>0</v>
      </c>
      <c r="AE34" s="185">
        <f>'TONG TP'!AE105</f>
        <v>0</v>
      </c>
      <c r="AF34" s="186">
        <f>'TONG TP'!AF105</f>
        <v>0.67</v>
      </c>
      <c r="AG34" s="185">
        <f>'TONG TP'!AG105</f>
        <v>0</v>
      </c>
      <c r="AH34" s="185">
        <f>'TONG TP'!AH105</f>
        <v>0</v>
      </c>
      <c r="AI34" s="185">
        <f>'TONG TP'!AI105</f>
        <v>0</v>
      </c>
      <c r="AJ34" s="185">
        <f>'TONG TP'!AJ105</f>
        <v>0</v>
      </c>
      <c r="AK34" s="185">
        <f>'TONG TP'!AK105</f>
        <v>0</v>
      </c>
      <c r="AL34" s="185">
        <f>'TONG TP'!AL105</f>
        <v>0</v>
      </c>
      <c r="AM34" s="185">
        <f>'TONG TP'!AM105</f>
        <v>0</v>
      </c>
      <c r="AN34" s="185">
        <f>'TONG TP'!AN105</f>
        <v>0</v>
      </c>
      <c r="AO34" s="185">
        <f>'TONG TP'!AO105</f>
        <v>0</v>
      </c>
      <c r="AP34" s="185">
        <f>'TONG TP'!AP105</f>
        <v>0</v>
      </c>
      <c r="AQ34" s="185">
        <f>'TONG TP'!AQ105</f>
        <v>0</v>
      </c>
      <c r="AR34" s="185">
        <f>'TONG TP'!AR105</f>
        <v>0</v>
      </c>
      <c r="AS34" s="185">
        <f>'TONG TP'!AS105</f>
        <v>0.67</v>
      </c>
    </row>
    <row r="35" spans="1:45" s="27" customFormat="1" ht="20.25" customHeight="1">
      <c r="A35" s="30" t="s">
        <v>94</v>
      </c>
      <c r="B35" s="14" t="s">
        <v>95</v>
      </c>
      <c r="C35" s="30" t="s">
        <v>96</v>
      </c>
      <c r="D35" s="185">
        <f>'TONG TP'!D106</f>
        <v>0</v>
      </c>
      <c r="E35" s="185">
        <f>'TONG TP'!E106</f>
        <v>0</v>
      </c>
      <c r="F35" s="185">
        <f>'TONG TP'!F106</f>
        <v>0</v>
      </c>
      <c r="G35" s="185">
        <f>'TONG TP'!G106</f>
        <v>0</v>
      </c>
      <c r="H35" s="185">
        <f>'TONG TP'!H106</f>
        <v>0</v>
      </c>
      <c r="I35" s="185">
        <f>'TONG TP'!I106</f>
        <v>0</v>
      </c>
      <c r="J35" s="185">
        <f>'TONG TP'!J106</f>
        <v>0</v>
      </c>
      <c r="K35" s="185">
        <f>'TONG TP'!K106</f>
        <v>0</v>
      </c>
      <c r="L35" s="185">
        <f>'TONG TP'!L106</f>
        <v>0</v>
      </c>
      <c r="M35" s="185">
        <f>'TONG TP'!M106</f>
        <v>0</v>
      </c>
      <c r="N35" s="185">
        <f>'TONG TP'!N106</f>
        <v>0</v>
      </c>
      <c r="O35" s="185">
        <f>'TONG TP'!O106</f>
        <v>0</v>
      </c>
      <c r="P35" s="185">
        <f>'TONG TP'!P106</f>
        <v>0</v>
      </c>
      <c r="Q35" s="185">
        <f>'TONG TP'!Q106</f>
        <v>0</v>
      </c>
      <c r="R35" s="185">
        <f>'TONG TP'!R106</f>
        <v>0</v>
      </c>
      <c r="S35" s="185">
        <f>'TONG TP'!S106</f>
        <v>0</v>
      </c>
      <c r="T35" s="185">
        <f>'TONG TP'!T106</f>
        <v>0</v>
      </c>
      <c r="U35" s="185">
        <f>'TONG TP'!U106</f>
        <v>0</v>
      </c>
      <c r="V35" s="185">
        <f>'TONG TP'!V106</f>
        <v>0</v>
      </c>
      <c r="W35" s="185">
        <f>'TONG TP'!W106</f>
        <v>0</v>
      </c>
      <c r="X35" s="185">
        <f>'TONG TP'!X106</f>
        <v>0</v>
      </c>
      <c r="Y35" s="185">
        <f>'TONG TP'!Y106</f>
        <v>0</v>
      </c>
      <c r="Z35" s="185">
        <f>'TONG TP'!Z106</f>
        <v>0</v>
      </c>
      <c r="AA35" s="185">
        <f>'TONG TP'!AA106</f>
        <v>0</v>
      </c>
      <c r="AB35" s="185">
        <f>'TONG TP'!AB106</f>
        <v>0</v>
      </c>
      <c r="AC35" s="185">
        <f>'TONG TP'!AC106</f>
        <v>0</v>
      </c>
      <c r="AD35" s="185">
        <f>'TONG TP'!AD106</f>
        <v>0</v>
      </c>
      <c r="AE35" s="185">
        <f>'TONG TP'!AE106</f>
        <v>0</v>
      </c>
      <c r="AF35" s="185">
        <f>'TONG TP'!AF106</f>
        <v>0</v>
      </c>
      <c r="AG35" s="186">
        <f>'TONG TP'!AG106</f>
        <v>0</v>
      </c>
      <c r="AH35" s="185">
        <f>'TONG TP'!AH106</f>
        <v>0</v>
      </c>
      <c r="AI35" s="185">
        <f>'TONG TP'!AI106</f>
        <v>0</v>
      </c>
      <c r="AJ35" s="185">
        <f>'TONG TP'!AJ106</f>
        <v>0</v>
      </c>
      <c r="AK35" s="185">
        <f>'TONG TP'!AK106</f>
        <v>0</v>
      </c>
      <c r="AL35" s="185">
        <f>'TONG TP'!AL106</f>
        <v>0</v>
      </c>
      <c r="AM35" s="185">
        <f>'TONG TP'!AM106</f>
        <v>0</v>
      </c>
      <c r="AN35" s="185">
        <f>'TONG TP'!AN106</f>
        <v>0</v>
      </c>
      <c r="AO35" s="185">
        <f>'TONG TP'!AO106</f>
        <v>0</v>
      </c>
      <c r="AP35" s="185">
        <f>'TONG TP'!AP106</f>
        <v>0</v>
      </c>
      <c r="AQ35" s="185">
        <f>'TONG TP'!AQ106</f>
        <v>0</v>
      </c>
      <c r="AR35" s="185">
        <f>'TONG TP'!AR106</f>
        <v>0</v>
      </c>
      <c r="AS35" s="185">
        <f>'TONG TP'!AS106</f>
        <v>0</v>
      </c>
    </row>
    <row r="36" spans="1:45" s="27" customFormat="1" ht="20.25" customHeight="1">
      <c r="A36" s="30" t="s">
        <v>97</v>
      </c>
      <c r="B36" s="14" t="s">
        <v>98</v>
      </c>
      <c r="C36" s="30" t="s">
        <v>99</v>
      </c>
      <c r="D36" s="185">
        <f>'TONG TP'!D107</f>
        <v>10.77</v>
      </c>
      <c r="E36" s="185">
        <f>'TONG TP'!E107</f>
        <v>0</v>
      </c>
      <c r="F36" s="185">
        <f>'TONG TP'!F107</f>
        <v>0</v>
      </c>
      <c r="G36" s="185">
        <f>'TONG TP'!G107</f>
        <v>0</v>
      </c>
      <c r="H36" s="185">
        <f>'TONG TP'!H107</f>
        <v>0</v>
      </c>
      <c r="I36" s="185">
        <f>'TONG TP'!I107</f>
        <v>0</v>
      </c>
      <c r="J36" s="185">
        <f>'TONG TP'!J107</f>
        <v>0</v>
      </c>
      <c r="K36" s="185">
        <f>'TONG TP'!K107</f>
        <v>0</v>
      </c>
      <c r="L36" s="185">
        <f>'TONG TP'!L107</f>
        <v>0</v>
      </c>
      <c r="M36" s="185">
        <f>'TONG TP'!M107</f>
        <v>0</v>
      </c>
      <c r="N36" s="185">
        <f>'TONG TP'!N107</f>
        <v>0</v>
      </c>
      <c r="O36" s="185">
        <f>'TONG TP'!O107</f>
        <v>0</v>
      </c>
      <c r="P36" s="185">
        <f>'TONG TP'!P107</f>
        <v>10.77</v>
      </c>
      <c r="Q36" s="185">
        <f>'TONG TP'!Q107</f>
        <v>0</v>
      </c>
      <c r="R36" s="185">
        <f>'TONG TP'!R107</f>
        <v>0</v>
      </c>
      <c r="S36" s="185">
        <f>'TONG TP'!S107</f>
        <v>0</v>
      </c>
      <c r="T36" s="185">
        <f>'TONG TP'!T107</f>
        <v>0</v>
      </c>
      <c r="U36" s="185">
        <f>'TONG TP'!U107</f>
        <v>0</v>
      </c>
      <c r="V36" s="185">
        <f>'TONG TP'!V107</f>
        <v>0</v>
      </c>
      <c r="W36" s="185">
        <f>'TONG TP'!W107</f>
        <v>0</v>
      </c>
      <c r="X36" s="185">
        <f>'TONG TP'!X107</f>
        <v>0</v>
      </c>
      <c r="Y36" s="185">
        <f>'TONG TP'!Y107</f>
        <v>0</v>
      </c>
      <c r="Z36" s="185">
        <f>'TONG TP'!Z107</f>
        <v>0</v>
      </c>
      <c r="AA36" s="185">
        <f>'TONG TP'!AA107</f>
        <v>0</v>
      </c>
      <c r="AB36" s="185">
        <f>'TONG TP'!AB107</f>
        <v>0</v>
      </c>
      <c r="AC36" s="185">
        <f>'TONG TP'!AC107</f>
        <v>0</v>
      </c>
      <c r="AD36" s="185">
        <f>'TONG TP'!AD107</f>
        <v>0</v>
      </c>
      <c r="AE36" s="185">
        <f>'TONG TP'!AE107</f>
        <v>0</v>
      </c>
      <c r="AF36" s="185">
        <f>'TONG TP'!AF107</f>
        <v>0</v>
      </c>
      <c r="AG36" s="185">
        <f>'TONG TP'!AG107</f>
        <v>0</v>
      </c>
      <c r="AH36" s="186">
        <f>'TONG TP'!AH107</f>
        <v>10.77</v>
      </c>
      <c r="AI36" s="185">
        <f>'TONG TP'!AI107</f>
        <v>0</v>
      </c>
      <c r="AJ36" s="185">
        <f>'TONG TP'!AJ107</f>
        <v>0</v>
      </c>
      <c r="AK36" s="185">
        <f>'TONG TP'!AK107</f>
        <v>0</v>
      </c>
      <c r="AL36" s="185">
        <f>'TONG TP'!AL107</f>
        <v>0</v>
      </c>
      <c r="AM36" s="185">
        <f>'TONG TP'!AM107</f>
        <v>0</v>
      </c>
      <c r="AN36" s="185">
        <f>'TONG TP'!AN107</f>
        <v>0</v>
      </c>
      <c r="AO36" s="185">
        <f>'TONG TP'!AO107</f>
        <v>0</v>
      </c>
      <c r="AP36" s="185">
        <f>'TONG TP'!AP107</f>
        <v>0</v>
      </c>
      <c r="AQ36" s="185">
        <f>'TONG TP'!AQ107</f>
        <v>0</v>
      </c>
      <c r="AR36" s="185">
        <f>'TONG TP'!AR107</f>
        <v>0</v>
      </c>
      <c r="AS36" s="185">
        <f>'TONG TP'!AS107</f>
        <v>12.12</v>
      </c>
    </row>
    <row r="37" spans="1:45" s="27" customFormat="1" ht="31.5" customHeight="1">
      <c r="A37" s="30" t="s">
        <v>100</v>
      </c>
      <c r="B37" s="14" t="s">
        <v>134</v>
      </c>
      <c r="C37" s="30" t="s">
        <v>101</v>
      </c>
      <c r="D37" s="185">
        <f>'TONG TP'!D108</f>
        <v>239.16000000000003</v>
      </c>
      <c r="E37" s="185">
        <f>'TONG TP'!E108</f>
        <v>0</v>
      </c>
      <c r="F37" s="185">
        <f>'TONG TP'!F108</f>
        <v>0</v>
      </c>
      <c r="G37" s="185">
        <f>'TONG TP'!G108</f>
        <v>0</v>
      </c>
      <c r="H37" s="185">
        <f>'TONG TP'!H108</f>
        <v>0</v>
      </c>
      <c r="I37" s="185">
        <f>'TONG TP'!I108</f>
        <v>0</v>
      </c>
      <c r="J37" s="185">
        <f>'TONG TP'!J108</f>
        <v>0</v>
      </c>
      <c r="K37" s="185">
        <f>'TONG TP'!K108</f>
        <v>0</v>
      </c>
      <c r="L37" s="185">
        <f>'TONG TP'!L108</f>
        <v>0</v>
      </c>
      <c r="M37" s="185">
        <f>'TONG TP'!M108</f>
        <v>0</v>
      </c>
      <c r="N37" s="185">
        <f>'TONG TP'!N108</f>
        <v>0</v>
      </c>
      <c r="O37" s="185">
        <f>'TONG TP'!O108</f>
        <v>0</v>
      </c>
      <c r="P37" s="185">
        <f>'TONG TP'!P108</f>
        <v>239.16000000000003</v>
      </c>
      <c r="Q37" s="185">
        <f>'TONG TP'!Q108</f>
        <v>0</v>
      </c>
      <c r="R37" s="185">
        <f>'TONG TP'!R108</f>
        <v>0</v>
      </c>
      <c r="S37" s="185">
        <f>'TONG TP'!S108</f>
        <v>0</v>
      </c>
      <c r="T37" s="185">
        <f>'TONG TP'!T108</f>
        <v>0</v>
      </c>
      <c r="U37" s="185">
        <f>'TONG TP'!U108</f>
        <v>0</v>
      </c>
      <c r="V37" s="185">
        <f>'TONG TP'!V108</f>
        <v>0</v>
      </c>
      <c r="W37" s="185">
        <f>'TONG TP'!W108</f>
        <v>0.31</v>
      </c>
      <c r="X37" s="185">
        <f>'TONG TP'!X108</f>
        <v>0</v>
      </c>
      <c r="Y37" s="185">
        <f>'TONG TP'!Y108</f>
        <v>0.98</v>
      </c>
      <c r="Z37" s="185">
        <f>'TONG TP'!Z108</f>
        <v>0</v>
      </c>
      <c r="AA37" s="185">
        <f>'TONG TP'!AA108</f>
        <v>0</v>
      </c>
      <c r="AB37" s="185">
        <f>'TONG TP'!AB108</f>
        <v>0</v>
      </c>
      <c r="AC37" s="185">
        <f>'TONG TP'!AC108</f>
        <v>0</v>
      </c>
      <c r="AD37" s="185">
        <f>'TONG TP'!AD108</f>
        <v>0.37</v>
      </c>
      <c r="AE37" s="185">
        <f>'TONG TP'!AE108</f>
        <v>0.01</v>
      </c>
      <c r="AF37" s="185">
        <f>'TONG TP'!AF108</f>
        <v>0</v>
      </c>
      <c r="AG37" s="185">
        <f>'TONG TP'!AG108</f>
        <v>0</v>
      </c>
      <c r="AH37" s="185">
        <f>'TONG TP'!AH108</f>
        <v>0</v>
      </c>
      <c r="AI37" s="186">
        <f>'TONG TP'!AI108</f>
        <v>237.46000000000004</v>
      </c>
      <c r="AJ37" s="185">
        <f>'TONG TP'!AJ108</f>
        <v>0</v>
      </c>
      <c r="AK37" s="185">
        <f>'TONG TP'!AK108</f>
        <v>0</v>
      </c>
      <c r="AL37" s="185">
        <f>'TONG TP'!AL108</f>
        <v>0.03</v>
      </c>
      <c r="AM37" s="185">
        <f>'TONG TP'!AM108</f>
        <v>0</v>
      </c>
      <c r="AN37" s="185">
        <f>'TONG TP'!AN108</f>
        <v>0</v>
      </c>
      <c r="AO37" s="185">
        <f>'TONG TP'!AO108</f>
        <v>0</v>
      </c>
      <c r="AP37" s="185">
        <f>'TONG TP'!AP108</f>
        <v>0</v>
      </c>
      <c r="AQ37" s="185">
        <f>'TONG TP'!AQ108</f>
        <v>0</v>
      </c>
      <c r="AR37" s="185">
        <f>'TONG TP'!AR108</f>
        <v>1.7000000000000002</v>
      </c>
      <c r="AS37" s="185">
        <f>'TONG TP'!AS108</f>
        <v>237.46000000000004</v>
      </c>
    </row>
    <row r="38" spans="1:45" s="27" customFormat="1" ht="36.75" customHeight="1">
      <c r="A38" s="30" t="s">
        <v>102</v>
      </c>
      <c r="B38" s="14" t="s">
        <v>103</v>
      </c>
      <c r="C38" s="30" t="s">
        <v>104</v>
      </c>
      <c r="D38" s="185">
        <f>'TONG TP'!D109</f>
        <v>18.010399999999997</v>
      </c>
      <c r="E38" s="185">
        <f>'TONG TP'!E109</f>
        <v>0</v>
      </c>
      <c r="F38" s="185">
        <f>'TONG TP'!F109</f>
        <v>0</v>
      </c>
      <c r="G38" s="185">
        <f>'TONG TP'!G109</f>
        <v>0</v>
      </c>
      <c r="H38" s="185">
        <f>'TONG TP'!H109</f>
        <v>0</v>
      </c>
      <c r="I38" s="185">
        <f>'TONG TP'!I109</f>
        <v>0</v>
      </c>
      <c r="J38" s="185">
        <f>'TONG TP'!J109</f>
        <v>0</v>
      </c>
      <c r="K38" s="185">
        <f>'TONG TP'!K109</f>
        <v>0</v>
      </c>
      <c r="L38" s="185">
        <f>'TONG TP'!L109</f>
        <v>0</v>
      </c>
      <c r="M38" s="185">
        <f>'TONG TP'!M109</f>
        <v>0</v>
      </c>
      <c r="N38" s="185">
        <f>'TONG TP'!N109</f>
        <v>0</v>
      </c>
      <c r="O38" s="185">
        <f>'TONG TP'!O109</f>
        <v>0</v>
      </c>
      <c r="P38" s="185">
        <f>'TONG TP'!P109</f>
        <v>18.010399999999997</v>
      </c>
      <c r="Q38" s="185">
        <f>'TONG TP'!Q109</f>
        <v>0</v>
      </c>
      <c r="R38" s="185">
        <f>'TONG TP'!R109</f>
        <v>0</v>
      </c>
      <c r="S38" s="185">
        <f>'TONG TP'!S109</f>
        <v>0</v>
      </c>
      <c r="T38" s="185">
        <f>'TONG TP'!T109</f>
        <v>0</v>
      </c>
      <c r="U38" s="185">
        <f>'TONG TP'!U109</f>
        <v>0</v>
      </c>
      <c r="V38" s="185">
        <f>'TONG TP'!V109</f>
        <v>0</v>
      </c>
      <c r="W38" s="185">
        <f>'TONG TP'!W109</f>
        <v>0</v>
      </c>
      <c r="X38" s="185">
        <f>'TONG TP'!X109</f>
        <v>0</v>
      </c>
      <c r="Y38" s="185">
        <f>'TONG TP'!Y109</f>
        <v>0.01</v>
      </c>
      <c r="Z38" s="185">
        <f>'TONG TP'!Z109</f>
        <v>0</v>
      </c>
      <c r="AA38" s="185">
        <f>'TONG TP'!AA109</f>
        <v>0</v>
      </c>
      <c r="AB38" s="185">
        <f>'TONG TP'!AB109</f>
        <v>0</v>
      </c>
      <c r="AC38" s="185">
        <f>'TONG TP'!AC109</f>
        <v>0</v>
      </c>
      <c r="AD38" s="185">
        <f>'TONG TP'!AD109</f>
        <v>0</v>
      </c>
      <c r="AE38" s="185">
        <f>'TONG TP'!AE109</f>
        <v>0</v>
      </c>
      <c r="AF38" s="185">
        <f>'TONG TP'!AF109</f>
        <v>0</v>
      </c>
      <c r="AG38" s="185">
        <f>'TONG TP'!AG109</f>
        <v>0</v>
      </c>
      <c r="AH38" s="185">
        <f>'TONG TP'!AH109</f>
        <v>0</v>
      </c>
      <c r="AI38" s="185">
        <f>'TONG TP'!AI109</f>
        <v>0</v>
      </c>
      <c r="AJ38" s="186">
        <f>'TONG TP'!AJ109</f>
        <v>18.000399999999996</v>
      </c>
      <c r="AK38" s="185">
        <f>'TONG TP'!AK109</f>
        <v>0</v>
      </c>
      <c r="AL38" s="185">
        <f>'TONG TP'!AL109</f>
        <v>0</v>
      </c>
      <c r="AM38" s="185">
        <f>'TONG TP'!AM109</f>
        <v>0</v>
      </c>
      <c r="AN38" s="185">
        <f>'TONG TP'!AN109</f>
        <v>0</v>
      </c>
      <c r="AO38" s="185">
        <f>'TONG TP'!AO109</f>
        <v>0</v>
      </c>
      <c r="AP38" s="185">
        <f>'TONG TP'!AP109</f>
        <v>0</v>
      </c>
      <c r="AQ38" s="185">
        <f>'TONG TP'!AQ109</f>
        <v>0</v>
      </c>
      <c r="AR38" s="185">
        <f>'TONG TP'!AR109</f>
        <v>0.01</v>
      </c>
      <c r="AS38" s="185">
        <f>'TONG TP'!AS109</f>
        <v>313.13039999999995</v>
      </c>
    </row>
    <row r="39" spans="1:45" s="27" customFormat="1" ht="20.25" customHeight="1">
      <c r="A39" s="30" t="s">
        <v>105</v>
      </c>
      <c r="B39" s="14" t="s">
        <v>106</v>
      </c>
      <c r="C39" s="30" t="s">
        <v>107</v>
      </c>
      <c r="D39" s="185">
        <f>'TONG TP'!D110</f>
        <v>12.949599999999998</v>
      </c>
      <c r="E39" s="185">
        <f>'TONG TP'!E110</f>
        <v>0</v>
      </c>
      <c r="F39" s="185">
        <f>'TONG TP'!F110</f>
        <v>0</v>
      </c>
      <c r="G39" s="185">
        <f>'TONG TP'!G110</f>
        <v>0</v>
      </c>
      <c r="H39" s="185">
        <f>'TONG TP'!H110</f>
        <v>0</v>
      </c>
      <c r="I39" s="185">
        <f>'TONG TP'!I110</f>
        <v>0</v>
      </c>
      <c r="J39" s="185">
        <f>'TONG TP'!J110</f>
        <v>0</v>
      </c>
      <c r="K39" s="185">
        <f>'TONG TP'!K110</f>
        <v>0</v>
      </c>
      <c r="L39" s="185">
        <f>'TONG TP'!L110</f>
        <v>0</v>
      </c>
      <c r="M39" s="185">
        <f>'TONG TP'!M110</f>
        <v>0</v>
      </c>
      <c r="N39" s="185">
        <f>'TONG TP'!N110</f>
        <v>0</v>
      </c>
      <c r="O39" s="185">
        <f>'TONG TP'!O110</f>
        <v>0</v>
      </c>
      <c r="P39" s="185">
        <f>'TONG TP'!P110</f>
        <v>12.949599999999998</v>
      </c>
      <c r="Q39" s="185">
        <f>'TONG TP'!Q110</f>
        <v>0</v>
      </c>
      <c r="R39" s="185">
        <f>'TONG TP'!R110</f>
        <v>0</v>
      </c>
      <c r="S39" s="185">
        <f>'TONG TP'!S110</f>
        <v>0</v>
      </c>
      <c r="T39" s="185">
        <f>'TONG TP'!T110</f>
        <v>0</v>
      </c>
      <c r="U39" s="185">
        <f>'TONG TP'!U110</f>
        <v>0.35</v>
      </c>
      <c r="V39" s="185">
        <f>'TONG TP'!V110</f>
        <v>0</v>
      </c>
      <c r="W39" s="185">
        <f>'TONG TP'!W110</f>
        <v>0</v>
      </c>
      <c r="X39" s="185">
        <f>'TONG TP'!X110</f>
        <v>0</v>
      </c>
      <c r="Y39" s="185">
        <f>'TONG TP'!Y110</f>
        <v>0.01</v>
      </c>
      <c r="Z39" s="185">
        <f>'TONG TP'!Z110</f>
        <v>0</v>
      </c>
      <c r="AA39" s="185">
        <f>'TONG TP'!AA110</f>
        <v>0</v>
      </c>
      <c r="AB39" s="185">
        <f>'TONG TP'!AB110</f>
        <v>0</v>
      </c>
      <c r="AC39" s="185">
        <f>'TONG TP'!AC110</f>
        <v>0</v>
      </c>
      <c r="AD39" s="185">
        <f>'TONG TP'!AD110</f>
        <v>0.06</v>
      </c>
      <c r="AE39" s="185">
        <f>'TONG TP'!AE110</f>
        <v>0.19</v>
      </c>
      <c r="AF39" s="185">
        <f>'TONG TP'!AF110</f>
        <v>0</v>
      </c>
      <c r="AG39" s="185">
        <f>'TONG TP'!AG110</f>
        <v>0</v>
      </c>
      <c r="AH39" s="185">
        <f>'TONG TP'!AH110</f>
        <v>0</v>
      </c>
      <c r="AI39" s="185">
        <f>'TONG TP'!AI110</f>
        <v>0</v>
      </c>
      <c r="AJ39" s="185">
        <f>'TONG TP'!AJ110</f>
        <v>0</v>
      </c>
      <c r="AK39" s="186">
        <f>'TONG TP'!AK110</f>
        <v>12.339599999999999</v>
      </c>
      <c r="AL39" s="185">
        <f>'TONG TP'!AL110</f>
        <v>0</v>
      </c>
      <c r="AM39" s="185">
        <f>'TONG TP'!AM110</f>
        <v>0</v>
      </c>
      <c r="AN39" s="185">
        <f>'TONG TP'!AN110</f>
        <v>0</v>
      </c>
      <c r="AO39" s="185">
        <f>'TONG TP'!AO110</f>
        <v>0</v>
      </c>
      <c r="AP39" s="185">
        <f>'TONG TP'!AP110</f>
        <v>0</v>
      </c>
      <c r="AQ39" s="185">
        <f>'TONG TP'!AQ110</f>
        <v>0</v>
      </c>
      <c r="AR39" s="185">
        <f>'TONG TP'!AR110</f>
        <v>0.61</v>
      </c>
      <c r="AS39" s="185">
        <f>'TONG TP'!AS110</f>
        <v>12.339599999999999</v>
      </c>
    </row>
    <row r="40" spans="1:45" s="27" customFormat="1" ht="20.25" customHeight="1">
      <c r="A40" s="30" t="s">
        <v>108</v>
      </c>
      <c r="B40" s="14" t="s">
        <v>109</v>
      </c>
      <c r="C40" s="30" t="s">
        <v>110</v>
      </c>
      <c r="D40" s="185">
        <f>'TONG TP'!D111</f>
        <v>12.29</v>
      </c>
      <c r="E40" s="185">
        <f>'TONG TP'!E111</f>
        <v>0</v>
      </c>
      <c r="F40" s="185">
        <f>'TONG TP'!F111</f>
        <v>0</v>
      </c>
      <c r="G40" s="185">
        <f>'TONG TP'!G111</f>
        <v>0</v>
      </c>
      <c r="H40" s="185">
        <f>'TONG TP'!H111</f>
        <v>0</v>
      </c>
      <c r="I40" s="185">
        <f>'TONG TP'!I111</f>
        <v>0</v>
      </c>
      <c r="J40" s="185">
        <f>'TONG TP'!J111</f>
        <v>0</v>
      </c>
      <c r="K40" s="185">
        <f>'TONG TP'!K111</f>
        <v>0</v>
      </c>
      <c r="L40" s="185">
        <f>'TONG TP'!L111</f>
        <v>0</v>
      </c>
      <c r="M40" s="185">
        <f>'TONG TP'!M111</f>
        <v>0</v>
      </c>
      <c r="N40" s="185">
        <f>'TONG TP'!N111</f>
        <v>0</v>
      </c>
      <c r="O40" s="185">
        <f>'TONG TP'!O111</f>
        <v>0</v>
      </c>
      <c r="P40" s="185">
        <f>'TONG TP'!P111</f>
        <v>12.29</v>
      </c>
      <c r="Q40" s="185">
        <f>'TONG TP'!Q111</f>
        <v>0</v>
      </c>
      <c r="R40" s="185">
        <f>'TONG TP'!R111</f>
        <v>0</v>
      </c>
      <c r="S40" s="185">
        <f>'TONG TP'!S111</f>
        <v>0</v>
      </c>
      <c r="T40" s="185">
        <f>'TONG TP'!T111</f>
        <v>0</v>
      </c>
      <c r="U40" s="185">
        <f>'TONG TP'!U111</f>
        <v>0</v>
      </c>
      <c r="V40" s="185">
        <f>'TONG TP'!V111</f>
        <v>0</v>
      </c>
      <c r="W40" s="185">
        <f>'TONG TP'!W111</f>
        <v>0</v>
      </c>
      <c r="X40" s="185">
        <f>'TONG TP'!X111</f>
        <v>0</v>
      </c>
      <c r="Y40" s="185">
        <f>'TONG TP'!Y111</f>
        <v>0</v>
      </c>
      <c r="Z40" s="185">
        <f>'TONG TP'!Z111</f>
        <v>0</v>
      </c>
      <c r="AA40" s="185">
        <f>'TONG TP'!AA111</f>
        <v>0</v>
      </c>
      <c r="AB40" s="185">
        <f>'TONG TP'!AB111</f>
        <v>0</v>
      </c>
      <c r="AC40" s="185">
        <f>'TONG TP'!AC111</f>
        <v>0</v>
      </c>
      <c r="AD40" s="185">
        <f>'TONG TP'!AD111</f>
        <v>0</v>
      </c>
      <c r="AE40" s="185">
        <f>'TONG TP'!AE111</f>
        <v>0</v>
      </c>
      <c r="AF40" s="185">
        <f>'TONG TP'!AF111</f>
        <v>0</v>
      </c>
      <c r="AG40" s="185">
        <f>'TONG TP'!AG111</f>
        <v>0</v>
      </c>
      <c r="AH40" s="185">
        <f>'TONG TP'!AH111</f>
        <v>0</v>
      </c>
      <c r="AI40" s="185">
        <f>'TONG TP'!AI111</f>
        <v>0</v>
      </c>
      <c r="AJ40" s="185">
        <f>'TONG TP'!AJ111</f>
        <v>0</v>
      </c>
      <c r="AK40" s="185">
        <f>'TONG TP'!AK111</f>
        <v>0</v>
      </c>
      <c r="AL40" s="186">
        <f>'TONG TP'!AL111</f>
        <v>12.29</v>
      </c>
      <c r="AM40" s="185">
        <f>'TONG TP'!AM111</f>
        <v>0</v>
      </c>
      <c r="AN40" s="185">
        <f>'TONG TP'!AN111</f>
        <v>0</v>
      </c>
      <c r="AO40" s="185">
        <f>'TONG TP'!AO111</f>
        <v>0</v>
      </c>
      <c r="AP40" s="185">
        <f>'TONG TP'!AP111</f>
        <v>0</v>
      </c>
      <c r="AQ40" s="185">
        <f>'TONG TP'!AQ111</f>
        <v>0</v>
      </c>
      <c r="AR40" s="185">
        <f>'TONG TP'!AR111</f>
        <v>0</v>
      </c>
      <c r="AS40" s="185">
        <f>'TONG TP'!AS111</f>
        <v>29.869999999999997</v>
      </c>
    </row>
    <row r="41" spans="1:45" s="27" customFormat="1" ht="20.25" customHeight="1">
      <c r="A41" s="30" t="s">
        <v>111</v>
      </c>
      <c r="B41" s="14" t="s">
        <v>112</v>
      </c>
      <c r="C41" s="30" t="s">
        <v>113</v>
      </c>
      <c r="D41" s="185">
        <f>'TONG TP'!D112</f>
        <v>10.530000000000003</v>
      </c>
      <c r="E41" s="185">
        <f>'TONG TP'!E112</f>
        <v>0</v>
      </c>
      <c r="F41" s="185">
        <f>'TONG TP'!F112</f>
        <v>0</v>
      </c>
      <c r="G41" s="185">
        <f>'TONG TP'!G112</f>
        <v>0</v>
      </c>
      <c r="H41" s="185">
        <f>'TONG TP'!H112</f>
        <v>0</v>
      </c>
      <c r="I41" s="185">
        <f>'TONG TP'!I112</f>
        <v>0</v>
      </c>
      <c r="J41" s="185">
        <f>'TONG TP'!J112</f>
        <v>0</v>
      </c>
      <c r="K41" s="185">
        <f>'TONG TP'!K112</f>
        <v>0</v>
      </c>
      <c r="L41" s="185">
        <f>'TONG TP'!L112</f>
        <v>0</v>
      </c>
      <c r="M41" s="185">
        <f>'TONG TP'!M112</f>
        <v>0</v>
      </c>
      <c r="N41" s="185">
        <f>'TONG TP'!N112</f>
        <v>0</v>
      </c>
      <c r="O41" s="185">
        <f>'TONG TP'!O112</f>
        <v>0</v>
      </c>
      <c r="P41" s="185">
        <f>'TONG TP'!P112</f>
        <v>10.530000000000003</v>
      </c>
      <c r="Q41" s="185">
        <f>'TONG TP'!Q112</f>
        <v>0</v>
      </c>
      <c r="R41" s="185">
        <f>'TONG TP'!R112</f>
        <v>0</v>
      </c>
      <c r="S41" s="185">
        <f>'TONG TP'!S112</f>
        <v>0</v>
      </c>
      <c r="T41" s="185">
        <f>'TONG TP'!T112</f>
        <v>0</v>
      </c>
      <c r="U41" s="185">
        <f>'TONG TP'!U112</f>
        <v>0.09</v>
      </c>
      <c r="V41" s="185">
        <f>'TONG TP'!V112</f>
        <v>0</v>
      </c>
      <c r="W41" s="185">
        <f>'TONG TP'!W112</f>
        <v>0</v>
      </c>
      <c r="X41" s="185">
        <f>'TONG TP'!X112</f>
        <v>0</v>
      </c>
      <c r="Y41" s="185">
        <f>'TONG TP'!Y112</f>
        <v>0</v>
      </c>
      <c r="Z41" s="185">
        <f>'TONG TP'!Z112</f>
        <v>0</v>
      </c>
      <c r="AA41" s="185">
        <f>'TONG TP'!AA112</f>
        <v>0</v>
      </c>
      <c r="AB41" s="185">
        <f>'TONG TP'!AB112</f>
        <v>0</v>
      </c>
      <c r="AC41" s="185">
        <f>'TONG TP'!AC112</f>
        <v>0</v>
      </c>
      <c r="AD41" s="185">
        <f>'TONG TP'!AD112</f>
        <v>0</v>
      </c>
      <c r="AE41" s="185">
        <f>'TONG TP'!AE112</f>
        <v>0</v>
      </c>
      <c r="AF41" s="185">
        <f>'TONG TP'!AF112</f>
        <v>0</v>
      </c>
      <c r="AG41" s="185">
        <f>'TONG TP'!AG112</f>
        <v>0</v>
      </c>
      <c r="AH41" s="185">
        <f>'TONG TP'!AH112</f>
        <v>0</v>
      </c>
      <c r="AI41" s="185">
        <f>'TONG TP'!AI112</f>
        <v>0</v>
      </c>
      <c r="AJ41" s="185">
        <f>'TONG TP'!AJ112</f>
        <v>0</v>
      </c>
      <c r="AK41" s="185">
        <f>'TONG TP'!AK112</f>
        <v>0</v>
      </c>
      <c r="AL41" s="185">
        <f>'TONG TP'!AL112</f>
        <v>0</v>
      </c>
      <c r="AM41" s="186">
        <f>'TONG TP'!AM112</f>
        <v>10.440000000000003</v>
      </c>
      <c r="AN41" s="185">
        <f>'TONG TP'!AN112</f>
        <v>0</v>
      </c>
      <c r="AO41" s="185">
        <f>'TONG TP'!AO112</f>
        <v>0</v>
      </c>
      <c r="AP41" s="185">
        <f>'TONG TP'!AP112</f>
        <v>0</v>
      </c>
      <c r="AQ41" s="185">
        <f>'TONG TP'!AQ112</f>
        <v>0</v>
      </c>
      <c r="AR41" s="185">
        <f>'TONG TP'!AR112</f>
        <v>0.09</v>
      </c>
      <c r="AS41" s="185">
        <f>'TONG TP'!AS112</f>
        <v>10.440000000000003</v>
      </c>
    </row>
    <row r="42" spans="1:45" s="27" customFormat="1" ht="20.25" customHeight="1">
      <c r="A42" s="30" t="s">
        <v>114</v>
      </c>
      <c r="B42" s="14" t="s">
        <v>115</v>
      </c>
      <c r="C42" s="30" t="s">
        <v>116</v>
      </c>
      <c r="D42" s="185">
        <f>'TONG TP'!D113</f>
        <v>2540.5800000000004</v>
      </c>
      <c r="E42" s="185">
        <f>'TONG TP'!E113</f>
        <v>49.35</v>
      </c>
      <c r="F42" s="185">
        <f>'TONG TP'!F113</f>
        <v>0</v>
      </c>
      <c r="G42" s="185">
        <f>'TONG TP'!G113</f>
        <v>0</v>
      </c>
      <c r="H42" s="185">
        <f>'TONG TP'!H113</f>
        <v>0</v>
      </c>
      <c r="I42" s="185">
        <f>'TONG TP'!I113</f>
        <v>0</v>
      </c>
      <c r="J42" s="185">
        <f>'TONG TP'!J113</f>
        <v>0</v>
      </c>
      <c r="K42" s="185">
        <f>'TONG TP'!K113</f>
        <v>0</v>
      </c>
      <c r="L42" s="185">
        <f>'TONG TP'!L113</f>
        <v>0</v>
      </c>
      <c r="M42" s="185">
        <f>'TONG TP'!M113</f>
        <v>49.35</v>
      </c>
      <c r="N42" s="185">
        <f>'TONG TP'!N113</f>
        <v>0</v>
      </c>
      <c r="O42" s="185">
        <f>'TONG TP'!O113</f>
        <v>0</v>
      </c>
      <c r="P42" s="185">
        <f>'TONG TP'!P113</f>
        <v>2491.2300000000005</v>
      </c>
      <c r="Q42" s="185">
        <f>'TONG TP'!Q113</f>
        <v>0</v>
      </c>
      <c r="R42" s="185">
        <f>'TONG TP'!R113</f>
        <v>0</v>
      </c>
      <c r="S42" s="185">
        <f>'TONG TP'!S113</f>
        <v>0</v>
      </c>
      <c r="T42" s="185">
        <f>'TONG TP'!T113</f>
        <v>0</v>
      </c>
      <c r="U42" s="185">
        <f>'TONG TP'!U113</f>
        <v>1.21</v>
      </c>
      <c r="V42" s="185">
        <f>'TONG TP'!V113</f>
        <v>0.27</v>
      </c>
      <c r="W42" s="185">
        <f>'TONG TP'!W113</f>
        <v>3.86</v>
      </c>
      <c r="X42" s="185">
        <f>'TONG TP'!X113</f>
        <v>0</v>
      </c>
      <c r="Y42" s="185">
        <f>'TONG TP'!Y113</f>
        <v>4.9600000000000009</v>
      </c>
      <c r="Z42" s="185">
        <f>'TONG TP'!Z113</f>
        <v>0</v>
      </c>
      <c r="AA42" s="185">
        <f>'TONG TP'!AA113</f>
        <v>0</v>
      </c>
      <c r="AB42" s="185">
        <f>'TONG TP'!AB113</f>
        <v>0</v>
      </c>
      <c r="AC42" s="185">
        <f>'TONG TP'!AC113</f>
        <v>0</v>
      </c>
      <c r="AD42" s="185">
        <f>'TONG TP'!AD113</f>
        <v>0</v>
      </c>
      <c r="AE42" s="185">
        <f>'TONG TP'!AE113</f>
        <v>0</v>
      </c>
      <c r="AF42" s="185">
        <f>'TONG TP'!AF113</f>
        <v>0</v>
      </c>
      <c r="AG42" s="185">
        <f>'TONG TP'!AG113</f>
        <v>0</v>
      </c>
      <c r="AH42" s="185">
        <f>'TONG TP'!AH113</f>
        <v>0</v>
      </c>
      <c r="AI42" s="185">
        <f>'TONG TP'!AI113</f>
        <v>0</v>
      </c>
      <c r="AJ42" s="185">
        <f>'TONG TP'!AJ113</f>
        <v>1.21</v>
      </c>
      <c r="AK42" s="185">
        <f>'TONG TP'!AK113</f>
        <v>0</v>
      </c>
      <c r="AL42" s="185">
        <f>'TONG TP'!AL113</f>
        <v>0</v>
      </c>
      <c r="AM42" s="185">
        <f>'TONG TP'!AM113</f>
        <v>0</v>
      </c>
      <c r="AN42" s="186">
        <f>'TONG TP'!AN113</f>
        <v>2479.7200000000003</v>
      </c>
      <c r="AO42" s="185">
        <f>'TONG TP'!AO113</f>
        <v>0</v>
      </c>
      <c r="AP42" s="185">
        <f>'TONG TP'!AP113</f>
        <v>0</v>
      </c>
      <c r="AQ42" s="185">
        <f>'TONG TP'!AQ113</f>
        <v>0</v>
      </c>
      <c r="AR42" s="185">
        <f>'TONG TP'!AR113</f>
        <v>60.860000000000007</v>
      </c>
      <c r="AS42" s="185">
        <f>'TONG TP'!AS113</f>
        <v>2479.7200000000003</v>
      </c>
    </row>
    <row r="43" spans="1:45" s="27" customFormat="1" ht="20.25" customHeight="1">
      <c r="A43" s="30" t="s">
        <v>117</v>
      </c>
      <c r="B43" s="14" t="s">
        <v>118</v>
      </c>
      <c r="C43" s="30" t="s">
        <v>119</v>
      </c>
      <c r="D43" s="185">
        <f>'TONG TP'!D114</f>
        <v>1115.8399999999999</v>
      </c>
      <c r="E43" s="185">
        <f>'TONG TP'!E114</f>
        <v>33.67</v>
      </c>
      <c r="F43" s="185">
        <f>'TONG TP'!F114</f>
        <v>0</v>
      </c>
      <c r="G43" s="185">
        <f>'TONG TP'!G114</f>
        <v>0</v>
      </c>
      <c r="H43" s="185">
        <f>'TONG TP'!H114</f>
        <v>0</v>
      </c>
      <c r="I43" s="185">
        <f>'TONG TP'!I114</f>
        <v>0</v>
      </c>
      <c r="J43" s="185">
        <f>'TONG TP'!J114</f>
        <v>0</v>
      </c>
      <c r="K43" s="185">
        <f>'TONG TP'!K114</f>
        <v>0</v>
      </c>
      <c r="L43" s="185">
        <f>'TONG TP'!L114</f>
        <v>0</v>
      </c>
      <c r="M43" s="185">
        <f>'TONG TP'!M114</f>
        <v>33.67</v>
      </c>
      <c r="N43" s="185">
        <f>'TONG TP'!N114</f>
        <v>0</v>
      </c>
      <c r="O43" s="185">
        <f>'TONG TP'!O114</f>
        <v>0</v>
      </c>
      <c r="P43" s="185">
        <f>'TONG TP'!P114</f>
        <v>1082.1699999999998</v>
      </c>
      <c r="Q43" s="185">
        <f>'TONG TP'!Q114</f>
        <v>0</v>
      </c>
      <c r="R43" s="185">
        <f>'TONG TP'!R114</f>
        <v>0</v>
      </c>
      <c r="S43" s="185">
        <f>'TONG TP'!S114</f>
        <v>0</v>
      </c>
      <c r="T43" s="185">
        <f>'TONG TP'!T114</f>
        <v>0</v>
      </c>
      <c r="U43" s="185">
        <f>'TONG TP'!U114</f>
        <v>0</v>
      </c>
      <c r="V43" s="185">
        <f>'TONG TP'!V114</f>
        <v>0</v>
      </c>
      <c r="W43" s="185">
        <f>'TONG TP'!W114</f>
        <v>0.02</v>
      </c>
      <c r="X43" s="185">
        <f>'TONG TP'!X114</f>
        <v>0</v>
      </c>
      <c r="Y43" s="185">
        <f>'TONG TP'!Y114</f>
        <v>0.17</v>
      </c>
      <c r="Z43" s="185">
        <f>'TONG TP'!Z114</f>
        <v>0</v>
      </c>
      <c r="AA43" s="185">
        <f>'TONG TP'!AA114</f>
        <v>0</v>
      </c>
      <c r="AB43" s="185">
        <f>'TONG TP'!AB114</f>
        <v>0</v>
      </c>
      <c r="AC43" s="185">
        <f>'TONG TP'!AC114</f>
        <v>0</v>
      </c>
      <c r="AD43" s="185">
        <f>'TONG TP'!AD114</f>
        <v>0</v>
      </c>
      <c r="AE43" s="185">
        <f>'TONG TP'!AE114</f>
        <v>0</v>
      </c>
      <c r="AF43" s="185">
        <f>'TONG TP'!AF114</f>
        <v>0</v>
      </c>
      <c r="AG43" s="185">
        <f>'TONG TP'!AG114</f>
        <v>0</v>
      </c>
      <c r="AH43" s="185">
        <f>'TONG TP'!AH114</f>
        <v>0</v>
      </c>
      <c r="AI43" s="185">
        <f>'TONG TP'!AI114</f>
        <v>0</v>
      </c>
      <c r="AJ43" s="185">
        <f>'TONG TP'!AJ114</f>
        <v>2.3199999999999998</v>
      </c>
      <c r="AK43" s="185">
        <f>'TONG TP'!AK114</f>
        <v>0</v>
      </c>
      <c r="AL43" s="185">
        <f>'TONG TP'!AL114</f>
        <v>0</v>
      </c>
      <c r="AM43" s="185">
        <f>'TONG TP'!AM114</f>
        <v>0</v>
      </c>
      <c r="AN43" s="185">
        <f>'TONG TP'!AN114</f>
        <v>0</v>
      </c>
      <c r="AO43" s="186">
        <f>'TONG TP'!AO114</f>
        <v>1079.6599999999999</v>
      </c>
      <c r="AP43" s="185">
        <f>'TONG TP'!AP114</f>
        <v>0</v>
      </c>
      <c r="AQ43" s="185">
        <f>'TONG TP'!AQ114</f>
        <v>0</v>
      </c>
      <c r="AR43" s="185">
        <f>'TONG TP'!AR114</f>
        <v>36.180000000000007</v>
      </c>
      <c r="AS43" s="185">
        <f>'TONG TP'!AS114</f>
        <v>1085.1699999999998</v>
      </c>
    </row>
    <row r="44" spans="1:45" s="27" customFormat="1" ht="20.25" customHeight="1">
      <c r="A44" s="30" t="s">
        <v>120</v>
      </c>
      <c r="B44" s="14" t="s">
        <v>121</v>
      </c>
      <c r="C44" s="30" t="s">
        <v>122</v>
      </c>
      <c r="D44" s="185">
        <f>'TONG TP'!D115</f>
        <v>2.09</v>
      </c>
      <c r="E44" s="185">
        <f>'TONG TP'!E115</f>
        <v>0</v>
      </c>
      <c r="F44" s="185">
        <f>'TONG TP'!F115</f>
        <v>0</v>
      </c>
      <c r="G44" s="185">
        <f>'TONG TP'!G115</f>
        <v>0</v>
      </c>
      <c r="H44" s="185">
        <f>'TONG TP'!H115</f>
        <v>0</v>
      </c>
      <c r="I44" s="185">
        <f>'TONG TP'!I115</f>
        <v>0</v>
      </c>
      <c r="J44" s="185">
        <f>'TONG TP'!J115</f>
        <v>0</v>
      </c>
      <c r="K44" s="185">
        <f>'TONG TP'!K115</f>
        <v>0</v>
      </c>
      <c r="L44" s="185">
        <f>'TONG TP'!L115</f>
        <v>0</v>
      </c>
      <c r="M44" s="185">
        <f>'TONG TP'!M115</f>
        <v>0</v>
      </c>
      <c r="N44" s="185">
        <f>'TONG TP'!N115</f>
        <v>0</v>
      </c>
      <c r="O44" s="185">
        <f>'TONG TP'!O115</f>
        <v>0</v>
      </c>
      <c r="P44" s="185">
        <f>'TONG TP'!P115</f>
        <v>2.09</v>
      </c>
      <c r="Q44" s="185">
        <f>'TONG TP'!Q115</f>
        <v>0</v>
      </c>
      <c r="R44" s="185">
        <f>'TONG TP'!R115</f>
        <v>0</v>
      </c>
      <c r="S44" s="185">
        <f>'TONG TP'!S115</f>
        <v>0</v>
      </c>
      <c r="T44" s="185">
        <f>'TONG TP'!T115</f>
        <v>0</v>
      </c>
      <c r="U44" s="185">
        <f>'TONG TP'!U115</f>
        <v>0</v>
      </c>
      <c r="V44" s="185">
        <f>'TONG TP'!V115</f>
        <v>0</v>
      </c>
      <c r="W44" s="185">
        <f>'TONG TP'!W115</f>
        <v>0</v>
      </c>
      <c r="X44" s="185">
        <f>'TONG TP'!X115</f>
        <v>0</v>
      </c>
      <c r="Y44" s="185">
        <f>'TONG TP'!Y115</f>
        <v>0</v>
      </c>
      <c r="Z44" s="185">
        <f>'TONG TP'!Z115</f>
        <v>0</v>
      </c>
      <c r="AA44" s="185">
        <f>'TONG TP'!AA115</f>
        <v>0</v>
      </c>
      <c r="AB44" s="185">
        <f>'TONG TP'!AB115</f>
        <v>0</v>
      </c>
      <c r="AC44" s="185">
        <f>'TONG TP'!AC115</f>
        <v>0</v>
      </c>
      <c r="AD44" s="185">
        <f>'TONG TP'!AD115</f>
        <v>0</v>
      </c>
      <c r="AE44" s="185">
        <f>'TONG TP'!AE115</f>
        <v>0</v>
      </c>
      <c r="AF44" s="185">
        <f>'TONG TP'!AF115</f>
        <v>0</v>
      </c>
      <c r="AG44" s="185">
        <f>'TONG TP'!AG115</f>
        <v>0</v>
      </c>
      <c r="AH44" s="185">
        <f>'TONG TP'!AH115</f>
        <v>0</v>
      </c>
      <c r="AI44" s="185">
        <f>'TONG TP'!AI115</f>
        <v>0</v>
      </c>
      <c r="AJ44" s="185">
        <f>'TONG TP'!AJ115</f>
        <v>0</v>
      </c>
      <c r="AK44" s="185">
        <f>'TONG TP'!AK115</f>
        <v>0</v>
      </c>
      <c r="AL44" s="185">
        <f>'TONG TP'!AL115</f>
        <v>0</v>
      </c>
      <c r="AM44" s="185">
        <f>'TONG TP'!AM115</f>
        <v>0</v>
      </c>
      <c r="AN44" s="185">
        <f>'TONG TP'!AN115</f>
        <v>0</v>
      </c>
      <c r="AO44" s="185">
        <f>'TONG TP'!AO115</f>
        <v>0</v>
      </c>
      <c r="AP44" s="186">
        <f>'TONG TP'!AP115</f>
        <v>2.09</v>
      </c>
      <c r="AQ44" s="185">
        <f>'TONG TP'!AQ115</f>
        <v>0</v>
      </c>
      <c r="AR44" s="185">
        <f>'TONG TP'!AR115</f>
        <v>0</v>
      </c>
      <c r="AS44" s="185">
        <f>'TONG TP'!AS115</f>
        <v>2.09</v>
      </c>
    </row>
    <row r="45" spans="1:45" s="32" customFormat="1" ht="20.25" customHeight="1">
      <c r="A45" s="84">
        <v>3</v>
      </c>
      <c r="B45" s="83" t="s">
        <v>123</v>
      </c>
      <c r="C45" s="84" t="s">
        <v>124</v>
      </c>
      <c r="D45" s="180">
        <f>'TONG TP'!D116</f>
        <v>5792.391639999998</v>
      </c>
      <c r="E45" s="180">
        <f>'TONG TP'!E116</f>
        <v>14.43</v>
      </c>
      <c r="F45" s="180">
        <f>'TONG TP'!F116</f>
        <v>0</v>
      </c>
      <c r="G45" s="180">
        <f>'TONG TP'!G116</f>
        <v>0</v>
      </c>
      <c r="H45" s="180">
        <f>'TONG TP'!H116</f>
        <v>0</v>
      </c>
      <c r="I45" s="180">
        <f>'TONG TP'!I116</f>
        <v>0</v>
      </c>
      <c r="J45" s="180">
        <f>'TONG TP'!J116</f>
        <v>0</v>
      </c>
      <c r="K45" s="180">
        <f>'TONG TP'!K116</f>
        <v>0</v>
      </c>
      <c r="L45" s="180">
        <f>'TONG TP'!L116</f>
        <v>0</v>
      </c>
      <c r="M45" s="180">
        <f>'TONG TP'!M116</f>
        <v>14.43</v>
      </c>
      <c r="N45" s="180">
        <f>'TONG TP'!N116</f>
        <v>0</v>
      </c>
      <c r="O45" s="180">
        <f>'TONG TP'!O116</f>
        <v>0</v>
      </c>
      <c r="P45" s="180">
        <f>'TONG TP'!P116</f>
        <v>63.190000000000005</v>
      </c>
      <c r="Q45" s="180">
        <f>'TONG TP'!Q116</f>
        <v>0.01</v>
      </c>
      <c r="R45" s="180">
        <f>'TONG TP'!R116</f>
        <v>0</v>
      </c>
      <c r="S45" s="180">
        <f>'TONG TP'!S116</f>
        <v>0.48</v>
      </c>
      <c r="T45" s="180">
        <f>'TONG TP'!T116</f>
        <v>0</v>
      </c>
      <c r="U45" s="180">
        <f>'TONG TP'!U116</f>
        <v>5.51</v>
      </c>
      <c r="V45" s="180">
        <f>'TONG TP'!V116</f>
        <v>3.51</v>
      </c>
      <c r="W45" s="180">
        <f>'TONG TP'!W116</f>
        <v>2.74</v>
      </c>
      <c r="X45" s="180">
        <f>'TONG TP'!X116</f>
        <v>0</v>
      </c>
      <c r="Y45" s="180">
        <f>'TONG TP'!Y116</f>
        <v>29.82</v>
      </c>
      <c r="Z45" s="180">
        <f>'TONG TP'!Z116</f>
        <v>0</v>
      </c>
      <c r="AA45" s="180">
        <f>'TONG TP'!AA116</f>
        <v>0</v>
      </c>
      <c r="AB45" s="180">
        <f>'TONG TP'!AB116</f>
        <v>2.62</v>
      </c>
      <c r="AC45" s="180">
        <f>'TONG TP'!AC116</f>
        <v>1</v>
      </c>
      <c r="AD45" s="180">
        <f>'TONG TP'!AD116</f>
        <v>11.969999999999999</v>
      </c>
      <c r="AE45" s="180">
        <f>'TONG TP'!AE116</f>
        <v>0.06</v>
      </c>
      <c r="AF45" s="180">
        <f>'TONG TP'!AF116</f>
        <v>0</v>
      </c>
      <c r="AG45" s="180">
        <f>'TONG TP'!AG116</f>
        <v>0</v>
      </c>
      <c r="AH45" s="180">
        <f>'TONG TP'!AH116</f>
        <v>0</v>
      </c>
      <c r="AI45" s="180">
        <f>'TONG TP'!AI116</f>
        <v>0</v>
      </c>
      <c r="AJ45" s="180">
        <f>'TONG TP'!AJ116</f>
        <v>0.06</v>
      </c>
      <c r="AK45" s="180">
        <f>'TONG TP'!AK116</f>
        <v>0</v>
      </c>
      <c r="AL45" s="180">
        <f>'TONG TP'!AL116</f>
        <v>2.95</v>
      </c>
      <c r="AM45" s="180">
        <f>'TONG TP'!AM116</f>
        <v>0</v>
      </c>
      <c r="AN45" s="180">
        <f>'TONG TP'!AN116</f>
        <v>0</v>
      </c>
      <c r="AO45" s="180">
        <f>'TONG TP'!AO116</f>
        <v>2.46</v>
      </c>
      <c r="AP45" s="180">
        <f>'TONG TP'!AP116</f>
        <v>0</v>
      </c>
      <c r="AQ45" s="187">
        <f>'TONG TP'!AQ116</f>
        <v>5714.7716399999981</v>
      </c>
      <c r="AR45" s="180">
        <f>'TONG TP'!AR116</f>
        <v>77.62</v>
      </c>
      <c r="AS45" s="180">
        <f>'TONG TP'!AS116</f>
        <v>5714.7716399999981</v>
      </c>
    </row>
    <row r="46" spans="1:45" s="32" customFormat="1" ht="20.25" customHeight="1">
      <c r="A46" s="914"/>
      <c r="B46" s="915"/>
      <c r="C46" s="914" t="s">
        <v>1079</v>
      </c>
      <c r="D46" s="916"/>
      <c r="E46" s="916">
        <f>+'TONG TP'!E67</f>
        <v>33.049999999999997</v>
      </c>
      <c r="F46" s="916">
        <f>+'TONG TP'!F67</f>
        <v>0</v>
      </c>
      <c r="G46" s="916">
        <f>+'TONG TP'!G67</f>
        <v>0</v>
      </c>
      <c r="H46" s="916">
        <f>+'TONG TP'!H67</f>
        <v>0</v>
      </c>
      <c r="I46" s="916">
        <f>+'TONG TP'!I67</f>
        <v>0</v>
      </c>
      <c r="J46" s="916">
        <f>+'TONG TP'!J67</f>
        <v>0</v>
      </c>
      <c r="K46" s="916">
        <f>+'TONG TP'!K67</f>
        <v>0</v>
      </c>
      <c r="L46" s="916">
        <f>+'TONG TP'!L67</f>
        <v>0</v>
      </c>
      <c r="M46" s="916">
        <f>+'TONG TP'!M67</f>
        <v>0</v>
      </c>
      <c r="N46" s="916">
        <f>+'TONG TP'!N67</f>
        <v>0</v>
      </c>
      <c r="O46" s="916">
        <f>+'TONG TP'!O67</f>
        <v>0</v>
      </c>
      <c r="P46" s="916">
        <f>+'TONG TP'!P67</f>
        <v>0</v>
      </c>
      <c r="Q46" s="916">
        <f>+'TONG TP'!Q67</f>
        <v>0</v>
      </c>
      <c r="R46" s="916">
        <f>+'TONG TP'!R67</f>
        <v>0</v>
      </c>
      <c r="S46" s="916">
        <f>+'TONG TP'!S67</f>
        <v>33.049999999999997</v>
      </c>
      <c r="T46" s="916">
        <f>+'TONG TP'!T67</f>
        <v>0</v>
      </c>
      <c r="U46" s="916">
        <f>+'TONG TP'!U67</f>
        <v>0</v>
      </c>
      <c r="V46" s="916">
        <f>+'TONG TP'!V67</f>
        <v>2.5900000000000003</v>
      </c>
      <c r="W46" s="916">
        <f>+'TONG TP'!W67</f>
        <v>0</v>
      </c>
      <c r="X46" s="916">
        <f>+'TONG TP'!X67</f>
        <v>0</v>
      </c>
      <c r="Y46" s="916">
        <f>+'TONG TP'!Y67</f>
        <v>0</v>
      </c>
      <c r="Z46" s="916">
        <f>+'TONG TP'!Z67</f>
        <v>0</v>
      </c>
      <c r="AA46" s="916">
        <f>+'TONG TP'!AA67</f>
        <v>0</v>
      </c>
      <c r="AB46" s="916">
        <f>+'TONG TP'!AB67</f>
        <v>0</v>
      </c>
      <c r="AC46" s="916">
        <f>+'TONG TP'!AC67</f>
        <v>0</v>
      </c>
      <c r="AD46" s="916">
        <f>+'TONG TP'!AD67</f>
        <v>0</v>
      </c>
      <c r="AE46" s="916">
        <f>+'TONG TP'!AE67</f>
        <v>2.5900000000000003</v>
      </c>
      <c r="AF46" s="916">
        <f>+'TONG TP'!AF67</f>
        <v>0</v>
      </c>
      <c r="AG46" s="916">
        <f>+'TONG TP'!AG67</f>
        <v>0</v>
      </c>
      <c r="AH46" s="916">
        <f>+'TONG TP'!AH67</f>
        <v>0</v>
      </c>
      <c r="AI46" s="916">
        <f>+'TONG TP'!AI67</f>
        <v>0</v>
      </c>
      <c r="AJ46" s="916">
        <f>+'TONG TP'!AJ67</f>
        <v>0</v>
      </c>
      <c r="AK46" s="916">
        <f>+'TONG TP'!AK67</f>
        <v>0</v>
      </c>
      <c r="AL46" s="916">
        <f>+'TONG TP'!AL67</f>
        <v>2.5900000000000003</v>
      </c>
      <c r="AM46" s="916">
        <f>+'TONG TP'!AM67</f>
        <v>0</v>
      </c>
      <c r="AN46" s="916">
        <f>+'TONG TP'!AN67</f>
        <v>0</v>
      </c>
      <c r="AO46" s="916">
        <f>+'TONG TP'!AO67</f>
        <v>0</v>
      </c>
      <c r="AP46" s="916">
        <f>+'TONG TP'!AP67</f>
        <v>0</v>
      </c>
      <c r="AQ46" s="916">
        <f>+'TONG TP'!AQ67</f>
        <v>0</v>
      </c>
      <c r="AR46" s="916"/>
      <c r="AS46" s="916"/>
    </row>
    <row r="47" spans="1:45" s="32" customFormat="1" ht="20.25" customHeight="1">
      <c r="A47" s="31"/>
      <c r="B47" s="31" t="s">
        <v>190</v>
      </c>
      <c r="C47" s="31"/>
      <c r="D47" s="188">
        <f>'TONG TP'!D118</f>
        <v>0</v>
      </c>
      <c r="E47" s="188">
        <f>'TONG TP'!E118</f>
        <v>149.26999999999998</v>
      </c>
      <c r="F47" s="188">
        <f>'TONG TP'!F118</f>
        <v>0</v>
      </c>
      <c r="G47" s="188">
        <f>'TONG TP'!G118</f>
        <v>0</v>
      </c>
      <c r="H47" s="188">
        <f>'TONG TP'!H118</f>
        <v>0</v>
      </c>
      <c r="I47" s="188">
        <f>'TONG TP'!I118</f>
        <v>0</v>
      </c>
      <c r="J47" s="188">
        <f>'TONG TP'!J118</f>
        <v>0</v>
      </c>
      <c r="K47" s="188">
        <f>'TONG TP'!K118</f>
        <v>0</v>
      </c>
      <c r="L47" s="188">
        <f>'TONG TP'!L118</f>
        <v>0</v>
      </c>
      <c r="M47" s="188">
        <f>'TONG TP'!M118</f>
        <v>160.05000000000001</v>
      </c>
      <c r="N47" s="188">
        <f>'TONG TP'!N118</f>
        <v>0</v>
      </c>
      <c r="O47" s="188">
        <f>'TONG TP'!O118</f>
        <v>0</v>
      </c>
      <c r="P47" s="188">
        <f>'TONG TP'!P118</f>
        <v>987.23000000000013</v>
      </c>
      <c r="Q47" s="188">
        <f>'TONG TP'!Q118</f>
        <v>7.14</v>
      </c>
      <c r="R47" s="188">
        <f>'TONG TP'!R118</f>
        <v>0</v>
      </c>
      <c r="S47" s="188">
        <f>'TONG TP'!S118</f>
        <v>71.269999999999982</v>
      </c>
      <c r="T47" s="188">
        <f>'TONG TP'!T118</f>
        <v>0</v>
      </c>
      <c r="U47" s="188">
        <f>'TONG TP'!U118</f>
        <v>199.79</v>
      </c>
      <c r="V47" s="188">
        <f>'TONG TP'!V118</f>
        <v>95.810000000000016</v>
      </c>
      <c r="W47" s="188">
        <f>'TONG TP'!W118</f>
        <v>109.85999999999999</v>
      </c>
      <c r="X47" s="188">
        <f>'TONG TP'!X118</f>
        <v>0</v>
      </c>
      <c r="Y47" s="188">
        <f>'TONG TP'!Y118</f>
        <v>231.79999999999998</v>
      </c>
      <c r="Z47" s="188">
        <f>'TONG TP'!Z118</f>
        <v>0</v>
      </c>
      <c r="AA47" s="188">
        <f>'TONG TP'!AA118</f>
        <v>0</v>
      </c>
      <c r="AB47" s="188">
        <f>'TONG TP'!AB118</f>
        <v>11.620000000000001</v>
      </c>
      <c r="AC47" s="188">
        <f>'TONG TP'!AC118</f>
        <v>14.27</v>
      </c>
      <c r="AD47" s="188">
        <f>'TONG TP'!AD118</f>
        <v>45.72</v>
      </c>
      <c r="AE47" s="188">
        <f>'TONG TP'!AE118</f>
        <v>21.98</v>
      </c>
      <c r="AF47" s="188">
        <f>'TONG TP'!AF118</f>
        <v>0</v>
      </c>
      <c r="AG47" s="188">
        <f>'TONG TP'!AG118</f>
        <v>0</v>
      </c>
      <c r="AH47" s="188">
        <f>'TONG TP'!AH118</f>
        <v>1.35</v>
      </c>
      <c r="AI47" s="188">
        <f>'TONG TP'!AI118</f>
        <v>0</v>
      </c>
      <c r="AJ47" s="188">
        <f>'TONG TP'!AJ118</f>
        <v>295.12999999999994</v>
      </c>
      <c r="AK47" s="188">
        <f>'TONG TP'!AK118</f>
        <v>0</v>
      </c>
      <c r="AL47" s="188">
        <f>'TONG TP'!AL118</f>
        <v>17.579999999999998</v>
      </c>
      <c r="AM47" s="188">
        <f>'TONG TP'!AM118</f>
        <v>0</v>
      </c>
      <c r="AN47" s="188">
        <f>'TONG TP'!AN118</f>
        <v>0</v>
      </c>
      <c r="AO47" s="188">
        <f>'TONG TP'!AO118</f>
        <v>5.51</v>
      </c>
      <c r="AP47" s="188">
        <f>'TONG TP'!AP118</f>
        <v>0</v>
      </c>
      <c r="AQ47" s="188">
        <f>'TONG TP'!AQ118</f>
        <v>0</v>
      </c>
      <c r="AR47" s="188">
        <f>'TONG TP'!AR118</f>
        <v>0</v>
      </c>
      <c r="AS47" s="188">
        <f>'TONG TP'!AS118</f>
        <v>0</v>
      </c>
    </row>
    <row r="48" spans="1:45" s="32" customFormat="1" ht="25.5" customHeight="1">
      <c r="A48" s="31"/>
      <c r="B48" s="31" t="s">
        <v>696</v>
      </c>
      <c r="C48" s="31"/>
      <c r="D48" s="188">
        <f>'TONG TP'!D119</f>
        <v>51994.126899999996</v>
      </c>
      <c r="E48" s="188">
        <f>'TONG TP'!E119</f>
        <v>37640.322589999996</v>
      </c>
      <c r="F48" s="188">
        <f>'TONG TP'!F119</f>
        <v>3079.4102499999999</v>
      </c>
      <c r="G48" s="188">
        <f>'TONG TP'!G119</f>
        <v>1715.058</v>
      </c>
      <c r="H48" s="188">
        <f>'TONG TP'!H119</f>
        <v>977.34429999999986</v>
      </c>
      <c r="I48" s="188">
        <f>'TONG TP'!I119</f>
        <v>1737.3819399999998</v>
      </c>
      <c r="J48" s="188">
        <f>'TONG TP'!J119</f>
        <v>15106.250000000002</v>
      </c>
      <c r="K48" s="188">
        <f>'TONG TP'!K119</f>
        <v>0</v>
      </c>
      <c r="L48" s="188">
        <f>'TONG TP'!L119</f>
        <v>13167.936099999997</v>
      </c>
      <c r="M48" s="188">
        <f>'TONG TP'!M119</f>
        <v>3531.9200000000005</v>
      </c>
      <c r="N48" s="188">
        <f>'TONG TP'!N119</f>
        <v>0</v>
      </c>
      <c r="O48" s="188">
        <f>'TONG TP'!O119</f>
        <v>40.08</v>
      </c>
      <c r="P48" s="188">
        <f>'TONG TP'!P119</f>
        <v>8639.0326699999987</v>
      </c>
      <c r="Q48" s="188">
        <f>'TONG TP'!Q119</f>
        <v>287.20866999999998</v>
      </c>
      <c r="R48" s="188">
        <f>'TONG TP'!R119</f>
        <v>9.83</v>
      </c>
      <c r="S48" s="188">
        <f>'TONG TP'!S119</f>
        <v>150.85999999999999</v>
      </c>
      <c r="T48" s="188">
        <f>'TONG TP'!T119</f>
        <v>0</v>
      </c>
      <c r="U48" s="188">
        <f>'TONG TP'!U119</f>
        <v>199.79</v>
      </c>
      <c r="V48" s="188">
        <f>'TONG TP'!V119</f>
        <v>442.29716999999999</v>
      </c>
      <c r="W48" s="188">
        <f>'TONG TP'!W119</f>
        <v>230.08999999999997</v>
      </c>
      <c r="X48" s="188">
        <f>'TONG TP'!X119</f>
        <v>0</v>
      </c>
      <c r="Y48" s="188">
        <f>'TONG TP'!Y119</f>
        <v>2324.3825000000006</v>
      </c>
      <c r="Z48" s="188">
        <f>'TONG TP'!Z119</f>
        <v>0.24000000000000002</v>
      </c>
      <c r="AA48" s="188">
        <f>'TONG TP'!AA119</f>
        <v>0</v>
      </c>
      <c r="AB48" s="188">
        <f>'TONG TP'!AB119</f>
        <v>55.85</v>
      </c>
      <c r="AC48" s="188">
        <f>'TONG TP'!AC119</f>
        <v>324.78955000000002</v>
      </c>
      <c r="AD48" s="188">
        <f>'TONG TP'!AD119</f>
        <v>372.24450000000002</v>
      </c>
      <c r="AE48" s="188">
        <f>'TONG TP'!AE119</f>
        <v>58.440280000000001</v>
      </c>
      <c r="AF48" s="188">
        <f>'TONG TP'!AF119</f>
        <v>0.67</v>
      </c>
      <c r="AG48" s="188">
        <f>'TONG TP'!AG119</f>
        <v>0</v>
      </c>
      <c r="AH48" s="188">
        <f>'TONG TP'!AH119</f>
        <v>12.12</v>
      </c>
      <c r="AI48" s="188">
        <f>'TONG TP'!AI119</f>
        <v>237.46000000000004</v>
      </c>
      <c r="AJ48" s="188">
        <f>'TONG TP'!AJ119</f>
        <v>313.13039999999995</v>
      </c>
      <c r="AK48" s="188">
        <f>'TONG TP'!AK119</f>
        <v>12.339599999999999</v>
      </c>
      <c r="AL48" s="188">
        <f>'TONG TP'!AL119</f>
        <v>29.869999999999997</v>
      </c>
      <c r="AM48" s="188">
        <f>'TONG TP'!AM119</f>
        <v>10.440000000000003</v>
      </c>
      <c r="AN48" s="188">
        <f>'TONG TP'!AN119</f>
        <v>2479.7200000000003</v>
      </c>
      <c r="AO48" s="188">
        <f>'TONG TP'!AO119</f>
        <v>1085.1699999999998</v>
      </c>
      <c r="AP48" s="188">
        <f>'TONG TP'!AP119</f>
        <v>2.09</v>
      </c>
      <c r="AQ48" s="188">
        <f>'TONG TP'!AQ119</f>
        <v>5714.7716399999981</v>
      </c>
      <c r="AR48" s="188">
        <f>'TONG TP'!AR119</f>
        <v>0</v>
      </c>
      <c r="AS48" s="188">
        <f>'TONG TP'!AS119</f>
        <v>0</v>
      </c>
    </row>
  </sheetData>
  <mergeCells count="10">
    <mergeCell ref="A1:B1"/>
    <mergeCell ref="A2:AS2"/>
    <mergeCell ref="AR3:AS3"/>
    <mergeCell ref="A4:A5"/>
    <mergeCell ref="B4:B5"/>
    <mergeCell ref="C4:C5"/>
    <mergeCell ref="D4:D5"/>
    <mergeCell ref="E4:AQ4"/>
    <mergeCell ref="AR4:AR5"/>
    <mergeCell ref="AS4:AS5"/>
  </mergeCells>
  <phoneticPr fontId="4" type="noConversion"/>
  <pageMargins left="1.1000000000000001" right="0.75" top="0.5" bottom="0.5" header="0.5" footer="0.5"/>
  <pageSetup paperSize="8" scale="75" orientation="landscape" r:id="rId1"/>
  <headerFooter alignWithMargins="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tabColor rgb="FFFF0000"/>
  </sheetPr>
  <dimension ref="A1:BW121"/>
  <sheetViews>
    <sheetView showZeros="0" view="pageBreakPreview" zoomScale="60" zoomScaleNormal="70" workbookViewId="0">
      <selection activeCell="Z17" sqref="Z17"/>
    </sheetView>
  </sheetViews>
  <sheetFormatPr defaultRowHeight="24.95" customHeight="1"/>
  <cols>
    <col min="1" max="1" width="7.85546875" customWidth="1"/>
    <col min="2" max="2" width="38.42578125" customWidth="1"/>
    <col min="3" max="3" width="8.42578125" style="1" customWidth="1"/>
    <col min="4" max="4" width="13.85546875" customWidth="1"/>
    <col min="5" max="5" width="11.28515625" customWidth="1"/>
    <col min="6" max="6" width="10.140625" hidden="1" customWidth="1"/>
    <col min="7" max="7" width="1.28515625" hidden="1" customWidth="1"/>
    <col min="8" max="8" width="11.140625" customWidth="1"/>
    <col min="9" max="9" width="10.85546875" customWidth="1"/>
    <col min="10" max="10" width="11.140625" hidden="1" customWidth="1"/>
    <col min="11" max="12" width="9.28515625" hidden="1" customWidth="1"/>
    <col min="13" max="13" width="9.28515625" customWidth="1"/>
    <col min="14" max="14" width="10.28515625" customWidth="1"/>
    <col min="15" max="15" width="0.140625" hidden="1" customWidth="1"/>
    <col min="16" max="16" width="11.28515625" customWidth="1"/>
    <col min="17" max="17" width="9.28515625" customWidth="1"/>
    <col min="18" max="18" width="11.5703125" customWidth="1"/>
    <col min="19" max="19" width="10.5703125" customWidth="1"/>
    <col min="20" max="20" width="9.28515625" hidden="1" customWidth="1"/>
    <col min="21" max="21" width="9.140625" customWidth="1"/>
    <col min="22" max="22" width="10.5703125" customWidth="1"/>
    <col min="23" max="26" width="9.140625" customWidth="1"/>
    <col min="27" max="29" width="9.7109375" customWidth="1"/>
    <col min="30" max="30" width="7.28515625" customWidth="1"/>
    <col min="31" max="31" width="9.5703125" customWidth="1"/>
    <col min="32" max="32" width="7.7109375" customWidth="1"/>
    <col min="33" max="33" width="9.28515625" customWidth="1"/>
    <col min="34" max="34" width="8.7109375" customWidth="1"/>
    <col min="35" max="35" width="8.140625" customWidth="1"/>
    <col min="36" max="36" width="6.7109375" customWidth="1"/>
    <col min="37" max="37" width="7.42578125" customWidth="1"/>
    <col min="38" max="38" width="9.5703125" customWidth="1"/>
    <col min="39" max="39" width="8" customWidth="1"/>
    <col min="40" max="40" width="7" customWidth="1"/>
    <col min="41" max="41" width="7.140625" customWidth="1"/>
    <col min="42" max="42" width="8" customWidth="1"/>
    <col min="43" max="43" width="7.140625" customWidth="1"/>
    <col min="44" max="44" width="6.5703125" customWidth="1"/>
    <col min="45" max="50" width="8.140625" customWidth="1"/>
    <col min="51" max="53" width="9.42578125" customWidth="1"/>
    <col min="54" max="56" width="8.140625" customWidth="1"/>
    <col min="57" max="58" width="10.5703125" customWidth="1"/>
    <col min="59" max="59" width="8.140625" customWidth="1"/>
    <col min="60" max="60" width="10.85546875" customWidth="1"/>
    <col min="61" max="61" width="9.28515625" hidden="1" customWidth="1"/>
    <col min="62" max="62" width="8.42578125" hidden="1" customWidth="1"/>
    <col min="63" max="63" width="1.85546875" hidden="1" customWidth="1"/>
    <col min="64" max="64" width="12" customWidth="1"/>
    <col min="65" max="65" width="13.85546875" customWidth="1"/>
    <col min="66" max="66" width="13.5703125" customWidth="1"/>
    <col min="67" max="67" width="15.42578125" customWidth="1"/>
    <col min="68" max="68" width="12.5703125" customWidth="1"/>
    <col min="69" max="70" width="12.5703125" style="415" customWidth="1"/>
    <col min="71" max="71" width="12.140625" customWidth="1"/>
    <col min="72" max="72" width="10.85546875" customWidth="1"/>
    <col min="73" max="73" width="15.42578125" bestFit="1" customWidth="1"/>
    <col min="74" max="74" width="16.7109375" customWidth="1"/>
    <col min="75" max="75" width="19" customWidth="1"/>
  </cols>
  <sheetData>
    <row r="1" spans="1:75" ht="39" customHeight="1">
      <c r="A1" s="1284" t="s">
        <v>11</v>
      </c>
      <c r="B1" s="1284"/>
    </row>
    <row r="2" spans="1:75" ht="36.75" customHeight="1">
      <c r="A2" s="1367" t="s">
        <v>1007</v>
      </c>
      <c r="B2" s="1367"/>
      <c r="C2" s="1367"/>
      <c r="D2" s="1367"/>
      <c r="E2" s="1367"/>
      <c r="F2" s="1367"/>
      <c r="G2" s="1367"/>
      <c r="H2" s="1367"/>
      <c r="I2" s="1367"/>
      <c r="J2" s="1367"/>
      <c r="K2" s="1367"/>
      <c r="L2" s="1367"/>
      <c r="M2" s="1367"/>
      <c r="N2" s="1367"/>
      <c r="O2" s="1367"/>
      <c r="P2" s="1367"/>
      <c r="Q2" s="1367"/>
      <c r="R2" s="1367"/>
      <c r="S2" s="1367"/>
      <c r="T2" s="1367"/>
      <c r="U2" s="1367"/>
      <c r="V2" s="1367"/>
      <c r="W2" s="1367"/>
      <c r="X2" s="1367"/>
      <c r="Y2" s="1367"/>
      <c r="Z2" s="1367"/>
      <c r="AA2" s="1367"/>
      <c r="AB2" s="1367"/>
      <c r="AC2" s="1367"/>
      <c r="AD2" s="1367"/>
      <c r="AE2" s="1367"/>
      <c r="AF2" s="1367"/>
      <c r="AG2" s="1367"/>
      <c r="AH2" s="1367"/>
      <c r="AI2" s="1367"/>
      <c r="AJ2" s="1367"/>
      <c r="AK2" s="1367"/>
      <c r="AL2" s="1367"/>
      <c r="AM2" s="1367"/>
      <c r="AN2" s="1367"/>
      <c r="AO2" s="1367"/>
      <c r="AP2" s="1367"/>
      <c r="AQ2" s="1367"/>
      <c r="AR2" s="1367"/>
      <c r="AS2" s="1367"/>
      <c r="AT2" s="1367"/>
      <c r="AU2" s="1367"/>
      <c r="AV2" s="1367"/>
      <c r="AW2" s="1367"/>
      <c r="AX2" s="1367"/>
      <c r="AY2" s="1367"/>
      <c r="AZ2" s="1367"/>
      <c r="BA2" s="1367"/>
      <c r="BB2" s="1367"/>
      <c r="BC2" s="1367"/>
      <c r="BD2" s="1367"/>
      <c r="BE2" s="1367"/>
      <c r="BF2" s="1367"/>
      <c r="BG2" s="1367"/>
      <c r="BH2" s="1367"/>
      <c r="BI2" s="1367"/>
      <c r="BJ2" s="1367"/>
      <c r="BK2" s="1367"/>
      <c r="BL2" s="1367"/>
      <c r="BM2" s="1367"/>
      <c r="BN2" s="1367"/>
    </row>
    <row r="3" spans="1:75" ht="26.25" customHeight="1"/>
    <row r="4" spans="1:75" s="956" customFormat="1" ht="38.25" customHeight="1">
      <c r="A4" s="1275" t="s">
        <v>136</v>
      </c>
      <c r="B4" s="1275" t="s">
        <v>469</v>
      </c>
      <c r="C4" s="1275" t="s">
        <v>13</v>
      </c>
      <c r="D4" s="1275" t="s">
        <v>697</v>
      </c>
      <c r="E4" s="1279" t="s">
        <v>1009</v>
      </c>
      <c r="F4" s="1279"/>
      <c r="G4" s="1279"/>
      <c r="H4" s="1279"/>
      <c r="I4" s="1279"/>
      <c r="J4" s="1279"/>
      <c r="K4" s="1279"/>
      <c r="L4" s="1279"/>
      <c r="M4" s="1279"/>
      <c r="N4" s="1279"/>
      <c r="O4" s="1279"/>
      <c r="P4" s="1279"/>
      <c r="Q4" s="1279"/>
      <c r="R4" s="1279"/>
      <c r="S4" s="1279"/>
      <c r="T4" s="1279"/>
      <c r="U4" s="1279"/>
      <c r="V4" s="1279"/>
      <c r="W4" s="1279"/>
      <c r="X4" s="1279"/>
      <c r="Y4" s="1279"/>
      <c r="Z4" s="1279"/>
      <c r="AA4" s="1279"/>
      <c r="AB4" s="1279"/>
      <c r="AC4" s="1279"/>
      <c r="AD4" s="1279"/>
      <c r="AE4" s="1279"/>
      <c r="AF4" s="1279"/>
      <c r="AG4" s="1279"/>
      <c r="AH4" s="1279"/>
      <c r="AI4" s="1279"/>
      <c r="AJ4" s="1279"/>
      <c r="AK4" s="1279"/>
      <c r="AL4" s="1279"/>
      <c r="AM4" s="1279"/>
      <c r="AN4" s="1279"/>
      <c r="AO4" s="1279"/>
      <c r="AP4" s="1279"/>
      <c r="AQ4" s="1279"/>
      <c r="AR4" s="1279"/>
      <c r="AS4" s="1279"/>
      <c r="AT4" s="1279"/>
      <c r="AU4" s="1279"/>
      <c r="AV4" s="1279"/>
      <c r="AW4" s="1279"/>
      <c r="AX4" s="1279"/>
      <c r="AY4" s="1279"/>
      <c r="AZ4" s="1279"/>
      <c r="BA4" s="1279"/>
      <c r="BB4" s="1279"/>
      <c r="BC4" s="1279"/>
      <c r="BD4" s="1279"/>
      <c r="BE4" s="1279"/>
      <c r="BF4" s="1279"/>
      <c r="BG4" s="1279"/>
      <c r="BH4" s="1279"/>
      <c r="BI4" s="1279"/>
      <c r="BJ4" s="1279"/>
      <c r="BK4" s="1279"/>
      <c r="BL4" s="1365" t="s">
        <v>191</v>
      </c>
      <c r="BM4" s="1365" t="s">
        <v>493</v>
      </c>
      <c r="BN4" s="1365" t="s">
        <v>1008</v>
      </c>
    </row>
    <row r="5" spans="1:75" s="956" customFormat="1" ht="37.5" customHeight="1">
      <c r="A5" s="1275"/>
      <c r="B5" s="1275"/>
      <c r="C5" s="1275"/>
      <c r="D5" s="1275"/>
      <c r="E5" s="933" t="s">
        <v>15</v>
      </c>
      <c r="F5" s="933" t="s">
        <v>193</v>
      </c>
      <c r="G5" s="933" t="s">
        <v>194</v>
      </c>
      <c r="H5" s="933" t="s">
        <v>18</v>
      </c>
      <c r="I5" s="933" t="s">
        <v>20</v>
      </c>
      <c r="J5" s="933" t="s">
        <v>195</v>
      </c>
      <c r="K5" s="933" t="s">
        <v>196</v>
      </c>
      <c r="L5" s="933" t="s">
        <v>197</v>
      </c>
      <c r="M5" s="933" t="s">
        <v>23</v>
      </c>
      <c r="N5" s="933" t="s">
        <v>26</v>
      </c>
      <c r="O5" s="933" t="s">
        <v>198</v>
      </c>
      <c r="P5" s="933" t="s">
        <v>29</v>
      </c>
      <c r="Q5" s="933" t="s">
        <v>32</v>
      </c>
      <c r="R5" s="933" t="s">
        <v>35</v>
      </c>
      <c r="S5" s="933" t="s">
        <v>38</v>
      </c>
      <c r="T5" s="933" t="s">
        <v>41</v>
      </c>
      <c r="U5" s="933" t="s">
        <v>44</v>
      </c>
      <c r="V5" s="933" t="s">
        <v>46</v>
      </c>
      <c r="W5" s="933" t="s">
        <v>49</v>
      </c>
      <c r="X5" s="933" t="s">
        <v>52</v>
      </c>
      <c r="Y5" s="933" t="s">
        <v>55</v>
      </c>
      <c r="Z5" s="933" t="s">
        <v>58</v>
      </c>
      <c r="AA5" s="933" t="s">
        <v>61</v>
      </c>
      <c r="AB5" s="933" t="s">
        <v>64</v>
      </c>
      <c r="AC5" s="933" t="s">
        <v>67</v>
      </c>
      <c r="AD5" s="933" t="s">
        <v>70</v>
      </c>
      <c r="AE5" s="933" t="s">
        <v>72</v>
      </c>
      <c r="AF5" s="933" t="s">
        <v>202</v>
      </c>
      <c r="AG5" s="933" t="s">
        <v>203</v>
      </c>
      <c r="AH5" s="933" t="s">
        <v>204</v>
      </c>
      <c r="AI5" s="933" t="s">
        <v>205</v>
      </c>
      <c r="AJ5" s="933" t="s">
        <v>206</v>
      </c>
      <c r="AK5" s="933" t="s">
        <v>207</v>
      </c>
      <c r="AL5" s="933" t="s">
        <v>199</v>
      </c>
      <c r="AM5" s="933" t="s">
        <v>200</v>
      </c>
      <c r="AN5" s="933" t="s">
        <v>223</v>
      </c>
      <c r="AO5" s="933" t="s">
        <v>201</v>
      </c>
      <c r="AP5" s="933" t="s">
        <v>208</v>
      </c>
      <c r="AQ5" s="933" t="s">
        <v>75</v>
      </c>
      <c r="AR5" s="933" t="s">
        <v>78</v>
      </c>
      <c r="AS5" s="933" t="s">
        <v>81</v>
      </c>
      <c r="AT5" s="933" t="s">
        <v>84</v>
      </c>
      <c r="AU5" s="933" t="s">
        <v>87</v>
      </c>
      <c r="AV5" s="933" t="s">
        <v>90</v>
      </c>
      <c r="AW5" s="933" t="s">
        <v>93</v>
      </c>
      <c r="AX5" s="933" t="s">
        <v>96</v>
      </c>
      <c r="AY5" s="933" t="s">
        <v>99</v>
      </c>
      <c r="AZ5" s="933" t="s">
        <v>101</v>
      </c>
      <c r="BA5" s="933" t="s">
        <v>104</v>
      </c>
      <c r="BB5" s="933" t="s">
        <v>107</v>
      </c>
      <c r="BC5" s="933" t="s">
        <v>110</v>
      </c>
      <c r="BD5" s="933" t="s">
        <v>113</v>
      </c>
      <c r="BE5" s="933" t="s">
        <v>116</v>
      </c>
      <c r="BF5" s="933" t="s">
        <v>119</v>
      </c>
      <c r="BG5" s="933" t="s">
        <v>122</v>
      </c>
      <c r="BH5" s="933" t="s">
        <v>124</v>
      </c>
      <c r="BI5" s="933" t="s">
        <v>209</v>
      </c>
      <c r="BJ5" s="933" t="s">
        <v>210</v>
      </c>
      <c r="BK5" s="933" t="s">
        <v>211</v>
      </c>
      <c r="BL5" s="1366"/>
      <c r="BM5" s="1366"/>
      <c r="BN5" s="1366"/>
    </row>
    <row r="6" spans="1:75" s="956" customFormat="1" ht="32.25" customHeight="1">
      <c r="A6" s="933" t="s">
        <v>235</v>
      </c>
      <c r="B6" s="933" t="s">
        <v>236</v>
      </c>
      <c r="C6" s="933" t="s">
        <v>237</v>
      </c>
      <c r="D6" s="933" t="s">
        <v>238</v>
      </c>
      <c r="E6" s="933" t="s">
        <v>239</v>
      </c>
      <c r="F6" s="933" t="s">
        <v>240</v>
      </c>
      <c r="G6" s="933" t="s">
        <v>241</v>
      </c>
      <c r="H6" s="933" t="s">
        <v>242</v>
      </c>
      <c r="I6" s="933" t="s">
        <v>243</v>
      </c>
      <c r="J6" s="933" t="s">
        <v>244</v>
      </c>
      <c r="K6" s="933" t="s">
        <v>245</v>
      </c>
      <c r="L6" s="933" t="s">
        <v>246</v>
      </c>
      <c r="M6" s="933" t="s">
        <v>247</v>
      </c>
      <c r="N6" s="933" t="s">
        <v>248</v>
      </c>
      <c r="O6" s="933" t="s">
        <v>249</v>
      </c>
      <c r="P6" s="933" t="s">
        <v>250</v>
      </c>
      <c r="Q6" s="933" t="s">
        <v>251</v>
      </c>
      <c r="R6" s="933" t="s">
        <v>252</v>
      </c>
      <c r="S6" s="933" t="s">
        <v>253</v>
      </c>
      <c r="T6" s="933" t="s">
        <v>254</v>
      </c>
      <c r="U6" s="933" t="s">
        <v>255</v>
      </c>
      <c r="V6" s="933" t="s">
        <v>256</v>
      </c>
      <c r="W6" s="933" t="s">
        <v>257</v>
      </c>
      <c r="X6" s="933" t="s">
        <v>258</v>
      </c>
      <c r="Y6" s="933" t="s">
        <v>259</v>
      </c>
      <c r="Z6" s="933" t="s">
        <v>260</v>
      </c>
      <c r="AA6" s="933" t="s">
        <v>261</v>
      </c>
      <c r="AB6" s="933" t="s">
        <v>262</v>
      </c>
      <c r="AC6" s="933" t="s">
        <v>263</v>
      </c>
      <c r="AD6" s="933" t="s">
        <v>264</v>
      </c>
      <c r="AE6" s="933" t="s">
        <v>265</v>
      </c>
      <c r="AF6" s="933" t="s">
        <v>266</v>
      </c>
      <c r="AG6" s="933" t="s">
        <v>267</v>
      </c>
      <c r="AH6" s="933" t="s">
        <v>268</v>
      </c>
      <c r="AI6" s="933" t="s">
        <v>269</v>
      </c>
      <c r="AJ6" s="933" t="s">
        <v>270</v>
      </c>
      <c r="AK6" s="933" t="s">
        <v>271</v>
      </c>
      <c r="AL6" s="933" t="s">
        <v>272</v>
      </c>
      <c r="AM6" s="933" t="s">
        <v>273</v>
      </c>
      <c r="AN6" s="933" t="s">
        <v>274</v>
      </c>
      <c r="AO6" s="933" t="s">
        <v>275</v>
      </c>
      <c r="AP6" s="933" t="s">
        <v>276</v>
      </c>
      <c r="AQ6" s="933" t="s">
        <v>277</v>
      </c>
      <c r="AR6" s="933" t="s">
        <v>278</v>
      </c>
      <c r="AS6" s="933" t="s">
        <v>279</v>
      </c>
      <c r="AT6" s="933" t="s">
        <v>280</v>
      </c>
      <c r="AU6" s="933" t="s">
        <v>281</v>
      </c>
      <c r="AV6" s="933" t="s">
        <v>282</v>
      </c>
      <c r="AW6" s="933" t="s">
        <v>283</v>
      </c>
      <c r="AX6" s="933" t="s">
        <v>284</v>
      </c>
      <c r="AY6" s="933" t="s">
        <v>285</v>
      </c>
      <c r="AZ6" s="933" t="s">
        <v>286</v>
      </c>
      <c r="BA6" s="933" t="s">
        <v>287</v>
      </c>
      <c r="BB6" s="933" t="s">
        <v>288</v>
      </c>
      <c r="BC6" s="933" t="s">
        <v>289</v>
      </c>
      <c r="BD6" s="933" t="s">
        <v>290</v>
      </c>
      <c r="BE6" s="933" t="s">
        <v>291</v>
      </c>
      <c r="BF6" s="933" t="s">
        <v>292</v>
      </c>
      <c r="BG6" s="933" t="s">
        <v>293</v>
      </c>
      <c r="BH6" s="933" t="s">
        <v>294</v>
      </c>
      <c r="BI6" s="933" t="s">
        <v>295</v>
      </c>
      <c r="BJ6" s="933" t="s">
        <v>296</v>
      </c>
      <c r="BK6" s="933" t="s">
        <v>297</v>
      </c>
      <c r="BL6" s="933" t="s">
        <v>298</v>
      </c>
      <c r="BM6" s="933" t="s">
        <v>299</v>
      </c>
      <c r="BN6" s="933" t="s">
        <v>300</v>
      </c>
      <c r="BQ6" s="4"/>
      <c r="BR6" s="4"/>
      <c r="BS6" s="957"/>
    </row>
    <row r="7" spans="1:75" s="4" customFormat="1" ht="39.75" customHeight="1">
      <c r="A7" s="958"/>
      <c r="B7" s="152" t="s">
        <v>470</v>
      </c>
      <c r="C7" s="3"/>
      <c r="D7" s="483">
        <v>51953.306899999996</v>
      </c>
      <c r="E7" s="174">
        <v>37640.322589999996</v>
      </c>
      <c r="F7" s="174">
        <v>5794.136489999999</v>
      </c>
      <c r="G7" s="174">
        <v>4056.7545499999997</v>
      </c>
      <c r="H7" s="174">
        <v>3079.4102499999999</v>
      </c>
      <c r="I7" s="174">
        <v>1715.058</v>
      </c>
      <c r="J7" s="174">
        <v>1364.3522499999999</v>
      </c>
      <c r="K7" s="174">
        <v>0</v>
      </c>
      <c r="L7" s="174">
        <v>0</v>
      </c>
      <c r="M7" s="174">
        <v>977.34429999999986</v>
      </c>
      <c r="N7" s="174">
        <v>1737.3819399999998</v>
      </c>
      <c r="O7" s="174">
        <v>28264.056100000002</v>
      </c>
      <c r="P7" s="174">
        <v>15105.260000000002</v>
      </c>
      <c r="Q7" s="174">
        <v>0</v>
      </c>
      <c r="R7" s="174">
        <v>13158.796099999998</v>
      </c>
      <c r="S7" s="174">
        <v>3542.05</v>
      </c>
      <c r="T7" s="174">
        <v>0</v>
      </c>
      <c r="U7" s="174">
        <v>40.08</v>
      </c>
      <c r="V7" s="174">
        <v>8598.2126700000008</v>
      </c>
      <c r="W7" s="174">
        <v>287.20866999999998</v>
      </c>
      <c r="X7" s="174">
        <v>9.83</v>
      </c>
      <c r="Y7" s="174">
        <v>117.81</v>
      </c>
      <c r="Z7" s="174">
        <v>0</v>
      </c>
      <c r="AA7" s="174">
        <v>199.79</v>
      </c>
      <c r="AB7" s="174">
        <v>439.70716999999996</v>
      </c>
      <c r="AC7" s="174">
        <v>230.09000000000006</v>
      </c>
      <c r="AD7" s="174">
        <v>0</v>
      </c>
      <c r="AE7" s="174">
        <v>2324.3825000000006</v>
      </c>
      <c r="AF7" s="174">
        <v>17.930000000000007</v>
      </c>
      <c r="AG7" s="174">
        <v>7.9336999999999991</v>
      </c>
      <c r="AH7" s="174">
        <v>76.456209999999999</v>
      </c>
      <c r="AI7" s="174">
        <v>113.89800000000001</v>
      </c>
      <c r="AJ7" s="174">
        <v>0</v>
      </c>
      <c r="AK7" s="174">
        <v>0.04</v>
      </c>
      <c r="AL7" s="174">
        <v>1605.5825899999995</v>
      </c>
      <c r="AM7" s="174">
        <v>482.66782999999998</v>
      </c>
      <c r="AN7" s="174">
        <v>2.4999999999999996</v>
      </c>
      <c r="AO7" s="174">
        <v>1.49255</v>
      </c>
      <c r="AP7" s="174">
        <v>15.88162</v>
      </c>
      <c r="AQ7" s="174">
        <v>0.24000000000000002</v>
      </c>
      <c r="AR7" s="174">
        <v>0</v>
      </c>
      <c r="AS7" s="174">
        <v>55.849999999999994</v>
      </c>
      <c r="AT7" s="174">
        <v>324.78955000000002</v>
      </c>
      <c r="AU7" s="174">
        <v>372.24450000000002</v>
      </c>
      <c r="AV7" s="174">
        <v>55.850279999999998</v>
      </c>
      <c r="AW7" s="174">
        <v>0.67</v>
      </c>
      <c r="AX7" s="174">
        <v>0</v>
      </c>
      <c r="AY7" s="174">
        <v>12.12</v>
      </c>
      <c r="AZ7" s="174">
        <v>237.46000000000004</v>
      </c>
      <c r="BA7" s="174">
        <v>313.13040000000001</v>
      </c>
      <c r="BB7" s="174">
        <v>12.339599999999999</v>
      </c>
      <c r="BC7" s="174">
        <v>27.279999999999998</v>
      </c>
      <c r="BD7" s="174">
        <v>10.440000000000003</v>
      </c>
      <c r="BE7" s="174">
        <v>2479.7200000000003</v>
      </c>
      <c r="BF7" s="174">
        <v>1085.1699999999998</v>
      </c>
      <c r="BG7" s="174">
        <v>2.09</v>
      </c>
      <c r="BH7" s="174">
        <v>5714.7716399999981</v>
      </c>
      <c r="BI7" s="174">
        <v>5456.351639999998</v>
      </c>
      <c r="BJ7" s="174">
        <v>258.42</v>
      </c>
      <c r="BK7" s="174">
        <v>0</v>
      </c>
      <c r="BL7" s="174"/>
      <c r="BM7" s="174">
        <v>35.640000000000114</v>
      </c>
      <c r="BN7" s="174">
        <v>51988.946900000003</v>
      </c>
      <c r="BO7" s="298">
        <v>51988.946900000003</v>
      </c>
      <c r="BQ7" s="298"/>
      <c r="BS7" s="298"/>
      <c r="BT7" s="298"/>
    </row>
    <row r="8" spans="1:75" s="950" customFormat="1" ht="39" customHeight="1">
      <c r="A8" s="952">
        <v>1</v>
      </c>
      <c r="B8" s="959" t="s">
        <v>14</v>
      </c>
      <c r="C8" s="952" t="s">
        <v>15</v>
      </c>
      <c r="D8" s="953">
        <v>38448.142589999996</v>
      </c>
      <c r="E8" s="954">
        <v>37524.102589999995</v>
      </c>
      <c r="F8" s="953">
        <v>5794.136489999999</v>
      </c>
      <c r="G8" s="953">
        <v>4056.7545499999997</v>
      </c>
      <c r="H8" s="953">
        <v>3079.4102499999999</v>
      </c>
      <c r="I8" s="953">
        <v>1715.058</v>
      </c>
      <c r="J8" s="953">
        <v>1364.3522499999999</v>
      </c>
      <c r="K8" s="953">
        <v>0</v>
      </c>
      <c r="L8" s="953">
        <v>0</v>
      </c>
      <c r="M8" s="953">
        <v>977.34429999999986</v>
      </c>
      <c r="N8" s="953">
        <v>1737.3819399999998</v>
      </c>
      <c r="O8" s="953">
        <v>28264.056100000002</v>
      </c>
      <c r="P8" s="953">
        <v>15105.260000000002</v>
      </c>
      <c r="Q8" s="953">
        <v>0</v>
      </c>
      <c r="R8" s="953">
        <v>13158.796099999998</v>
      </c>
      <c r="S8" s="953">
        <v>3425.8300000000004</v>
      </c>
      <c r="T8" s="953">
        <v>0</v>
      </c>
      <c r="U8" s="953">
        <v>40.08</v>
      </c>
      <c r="V8" s="953">
        <v>924.04</v>
      </c>
      <c r="W8" s="953">
        <v>5.76</v>
      </c>
      <c r="X8" s="953">
        <v>0</v>
      </c>
      <c r="Y8" s="953">
        <v>34.629999999999995</v>
      </c>
      <c r="Z8" s="953">
        <v>0</v>
      </c>
      <c r="AA8" s="953">
        <v>172.52</v>
      </c>
      <c r="AB8" s="953">
        <v>77.25</v>
      </c>
      <c r="AC8" s="953">
        <v>92.300000000000011</v>
      </c>
      <c r="AD8" s="953">
        <v>0</v>
      </c>
      <c r="AE8" s="953">
        <v>180.31000000000003</v>
      </c>
      <c r="AF8" s="953">
        <v>1.4900000000000002</v>
      </c>
      <c r="AG8" s="953">
        <v>0</v>
      </c>
      <c r="AH8" s="953">
        <v>2.83</v>
      </c>
      <c r="AI8" s="953">
        <v>0.12000000000000001</v>
      </c>
      <c r="AJ8" s="953">
        <v>0</v>
      </c>
      <c r="AK8" s="953">
        <v>0</v>
      </c>
      <c r="AL8" s="953">
        <v>172.93</v>
      </c>
      <c r="AM8" s="953">
        <v>1.94</v>
      </c>
      <c r="AN8" s="953">
        <v>0</v>
      </c>
      <c r="AO8" s="953">
        <v>0</v>
      </c>
      <c r="AP8" s="953">
        <v>1</v>
      </c>
      <c r="AQ8" s="953">
        <v>0</v>
      </c>
      <c r="AR8" s="953">
        <v>0</v>
      </c>
      <c r="AS8" s="953">
        <v>8.57</v>
      </c>
      <c r="AT8" s="953">
        <v>11.18</v>
      </c>
      <c r="AU8" s="953">
        <v>30.05</v>
      </c>
      <c r="AV8" s="953">
        <v>10.34</v>
      </c>
      <c r="AW8" s="953">
        <v>0</v>
      </c>
      <c r="AX8" s="953">
        <v>0</v>
      </c>
      <c r="AY8" s="953">
        <v>1.34</v>
      </c>
      <c r="AZ8" s="953">
        <v>0</v>
      </c>
      <c r="BA8" s="953">
        <v>289.2</v>
      </c>
      <c r="BB8" s="953">
        <v>0</v>
      </c>
      <c r="BC8" s="953">
        <v>10.28</v>
      </c>
      <c r="BD8" s="953">
        <v>0</v>
      </c>
      <c r="BE8" s="953">
        <v>0</v>
      </c>
      <c r="BF8" s="953">
        <v>0.31</v>
      </c>
      <c r="BG8" s="953">
        <v>0</v>
      </c>
      <c r="BH8" s="953">
        <v>0</v>
      </c>
      <c r="BI8" s="953">
        <v>0</v>
      </c>
      <c r="BJ8" s="953">
        <v>0</v>
      </c>
      <c r="BK8" s="953">
        <v>0</v>
      </c>
      <c r="BL8" s="953">
        <v>924.04</v>
      </c>
      <c r="BM8" s="953">
        <v>-774.77</v>
      </c>
      <c r="BN8" s="953">
        <v>37673.372589999999</v>
      </c>
      <c r="BO8" s="973">
        <v>72.464196404024477</v>
      </c>
      <c r="BP8" s="951">
        <v>37673.372589999999</v>
      </c>
      <c r="BS8" s="951"/>
      <c r="BT8" s="951"/>
      <c r="BU8" s="955"/>
      <c r="BV8" s="960"/>
      <c r="BW8" s="960"/>
    </row>
    <row r="9" spans="1:75" s="962" customFormat="1" ht="26.25" hidden="1" customHeight="1">
      <c r="A9" s="228" t="s">
        <v>16</v>
      </c>
      <c r="B9" s="961" t="s">
        <v>471</v>
      </c>
      <c r="C9" s="228" t="s">
        <v>193</v>
      </c>
      <c r="D9" s="948">
        <v>6102.2864899999995</v>
      </c>
      <c r="E9" s="948">
        <v>6145.1264899999996</v>
      </c>
      <c r="F9" s="949">
        <v>6102.2864899999995</v>
      </c>
      <c r="G9" s="948">
        <v>4056.7545499999997</v>
      </c>
      <c r="H9" s="948">
        <v>3079.4102499999999</v>
      </c>
      <c r="I9" s="948">
        <v>1715.058</v>
      </c>
      <c r="J9" s="948">
        <v>1364.3522499999999</v>
      </c>
      <c r="K9" s="948">
        <v>0</v>
      </c>
      <c r="L9" s="948">
        <v>0</v>
      </c>
      <c r="M9" s="948">
        <v>977.34429999999986</v>
      </c>
      <c r="N9" s="948">
        <v>1737.3819399999998</v>
      </c>
      <c r="O9" s="948">
        <v>0</v>
      </c>
      <c r="P9" s="948">
        <v>0</v>
      </c>
      <c r="Q9" s="948">
        <v>0</v>
      </c>
      <c r="R9" s="948">
        <v>0</v>
      </c>
      <c r="S9" s="948">
        <v>42.84</v>
      </c>
      <c r="T9" s="948">
        <v>0</v>
      </c>
      <c r="U9" s="948">
        <v>0</v>
      </c>
      <c r="V9" s="948">
        <v>265.31</v>
      </c>
      <c r="W9" s="948">
        <v>0.5</v>
      </c>
      <c r="X9" s="948">
        <v>0</v>
      </c>
      <c r="Y9" s="948">
        <v>25.75</v>
      </c>
      <c r="Z9" s="948">
        <v>0</v>
      </c>
      <c r="AA9" s="948">
        <v>39.020000000000003</v>
      </c>
      <c r="AB9" s="948">
        <v>25.549999999999997</v>
      </c>
      <c r="AC9" s="948">
        <v>21.06</v>
      </c>
      <c r="AD9" s="948">
        <v>0</v>
      </c>
      <c r="AE9" s="948">
        <v>89.34</v>
      </c>
      <c r="AF9" s="948">
        <v>1.4900000000000002</v>
      </c>
      <c r="AG9" s="948">
        <v>0</v>
      </c>
      <c r="AH9" s="948">
        <v>2.4700000000000002</v>
      </c>
      <c r="AI9" s="948">
        <v>7.0000000000000007E-2</v>
      </c>
      <c r="AJ9" s="948">
        <v>0</v>
      </c>
      <c r="AK9" s="948">
        <v>0</v>
      </c>
      <c r="AL9" s="948">
        <v>83.679999999999993</v>
      </c>
      <c r="AM9" s="948">
        <v>1.63</v>
      </c>
      <c r="AN9" s="948">
        <v>0</v>
      </c>
      <c r="AO9" s="948">
        <v>0</v>
      </c>
      <c r="AP9" s="948">
        <v>0</v>
      </c>
      <c r="AQ9" s="948">
        <v>0</v>
      </c>
      <c r="AR9" s="948">
        <v>0</v>
      </c>
      <c r="AS9" s="948">
        <v>1.81</v>
      </c>
      <c r="AT9" s="948">
        <v>10.07</v>
      </c>
      <c r="AU9" s="948">
        <v>29.099999999999998</v>
      </c>
      <c r="AV9" s="948">
        <v>10.1</v>
      </c>
      <c r="AW9" s="948">
        <v>0</v>
      </c>
      <c r="AX9" s="948">
        <v>0</v>
      </c>
      <c r="AY9" s="948">
        <v>0.36</v>
      </c>
      <c r="AZ9" s="948">
        <v>0</v>
      </c>
      <c r="BA9" s="948">
        <v>2.78</v>
      </c>
      <c r="BB9" s="948">
        <v>0</v>
      </c>
      <c r="BC9" s="948">
        <v>9.74</v>
      </c>
      <c r="BD9" s="948">
        <v>0</v>
      </c>
      <c r="BE9" s="948">
        <v>0</v>
      </c>
      <c r="BF9" s="948">
        <v>0.13</v>
      </c>
      <c r="BG9" s="948">
        <v>0</v>
      </c>
      <c r="BH9" s="948">
        <v>0</v>
      </c>
      <c r="BI9" s="948">
        <v>0</v>
      </c>
      <c r="BJ9" s="948">
        <v>0</v>
      </c>
      <c r="BK9" s="948">
        <v>0</v>
      </c>
      <c r="BL9" s="948">
        <v>308.14999999999998</v>
      </c>
      <c r="BM9" s="948">
        <v>-308.15000000000003</v>
      </c>
      <c r="BN9" s="948">
        <v>5794.1364899999999</v>
      </c>
      <c r="BR9" s="950"/>
      <c r="BS9" s="951"/>
      <c r="BT9" s="951"/>
      <c r="BV9" s="960"/>
      <c r="BW9" s="960"/>
    </row>
    <row r="10" spans="1:75" s="962" customFormat="1" ht="26.25" hidden="1" customHeight="1">
      <c r="A10" s="228" t="s">
        <v>212</v>
      </c>
      <c r="B10" s="961" t="s">
        <v>472</v>
      </c>
      <c r="C10" s="228" t="s">
        <v>194</v>
      </c>
      <c r="D10" s="948">
        <v>4262.2445499999994</v>
      </c>
      <c r="E10" s="948">
        <v>4090.1445499999995</v>
      </c>
      <c r="F10" s="948">
        <v>4056.7545499999997</v>
      </c>
      <c r="G10" s="949">
        <v>4056.7545499999997</v>
      </c>
      <c r="H10" s="948">
        <v>3079.4102499999999</v>
      </c>
      <c r="I10" s="948">
        <v>1715.058</v>
      </c>
      <c r="J10" s="948">
        <v>1364.3522499999999</v>
      </c>
      <c r="K10" s="948">
        <v>0</v>
      </c>
      <c r="L10" s="948">
        <v>0</v>
      </c>
      <c r="M10" s="948">
        <v>977.34429999999986</v>
      </c>
      <c r="N10" s="948">
        <v>0</v>
      </c>
      <c r="O10" s="948">
        <v>0</v>
      </c>
      <c r="P10" s="948">
        <v>0</v>
      </c>
      <c r="Q10" s="948">
        <v>0</v>
      </c>
      <c r="R10" s="948">
        <v>0</v>
      </c>
      <c r="S10" s="948">
        <v>33.39</v>
      </c>
      <c r="T10" s="948">
        <v>0</v>
      </c>
      <c r="U10" s="948">
        <v>0</v>
      </c>
      <c r="V10" s="948">
        <v>172.1</v>
      </c>
      <c r="W10" s="948">
        <v>0.23</v>
      </c>
      <c r="X10" s="948">
        <v>0</v>
      </c>
      <c r="Y10" s="948">
        <v>22.25</v>
      </c>
      <c r="Z10" s="948">
        <v>0</v>
      </c>
      <c r="AA10" s="948">
        <v>15.92</v>
      </c>
      <c r="AB10" s="948">
        <v>15.54</v>
      </c>
      <c r="AC10" s="948">
        <v>6.12</v>
      </c>
      <c r="AD10" s="948">
        <v>0</v>
      </c>
      <c r="AE10" s="948">
        <v>66.150000000000006</v>
      </c>
      <c r="AF10" s="948">
        <v>0.82000000000000006</v>
      </c>
      <c r="AG10" s="948">
        <v>0</v>
      </c>
      <c r="AH10" s="948">
        <v>0.85000000000000009</v>
      </c>
      <c r="AI10" s="948">
        <v>7.0000000000000007E-2</v>
      </c>
      <c r="AJ10" s="948">
        <v>0</v>
      </c>
      <c r="AK10" s="948">
        <v>0</v>
      </c>
      <c r="AL10" s="948">
        <v>63.739999999999995</v>
      </c>
      <c r="AM10" s="948">
        <v>0.66999999999999993</v>
      </c>
      <c r="AN10" s="948">
        <v>0</v>
      </c>
      <c r="AO10" s="948">
        <v>0</v>
      </c>
      <c r="AP10" s="948">
        <v>0</v>
      </c>
      <c r="AQ10" s="948">
        <v>0</v>
      </c>
      <c r="AR10" s="948">
        <v>0</v>
      </c>
      <c r="AS10" s="948">
        <v>1.27</v>
      </c>
      <c r="AT10" s="948">
        <v>4.93</v>
      </c>
      <c r="AU10" s="948">
        <v>23.54</v>
      </c>
      <c r="AV10" s="948">
        <v>6.32</v>
      </c>
      <c r="AW10" s="948">
        <v>0</v>
      </c>
      <c r="AX10" s="948">
        <v>0</v>
      </c>
      <c r="AY10" s="948">
        <v>0</v>
      </c>
      <c r="AZ10" s="948">
        <v>0</v>
      </c>
      <c r="BA10" s="948">
        <v>2.65</v>
      </c>
      <c r="BB10" s="948">
        <v>0</v>
      </c>
      <c r="BC10" s="948">
        <v>7.17</v>
      </c>
      <c r="BD10" s="948">
        <v>0</v>
      </c>
      <c r="BE10" s="948">
        <v>0</v>
      </c>
      <c r="BF10" s="948">
        <v>0.01</v>
      </c>
      <c r="BG10" s="948">
        <v>0</v>
      </c>
      <c r="BH10" s="948">
        <v>0</v>
      </c>
      <c r="BI10" s="948">
        <v>0</v>
      </c>
      <c r="BJ10" s="948">
        <v>0</v>
      </c>
      <c r="BK10" s="948">
        <v>0</v>
      </c>
      <c r="BL10" s="948">
        <v>205.49</v>
      </c>
      <c r="BM10" s="948">
        <v>-205.49</v>
      </c>
      <c r="BN10" s="948">
        <v>4056.7545499999997</v>
      </c>
      <c r="BR10" s="950"/>
      <c r="BS10" s="951"/>
      <c r="BT10" s="951"/>
      <c r="BV10" s="960"/>
      <c r="BW10" s="960"/>
    </row>
    <row r="11" spans="1:75" s="963" customFormat="1" ht="38.25" customHeight="1">
      <c r="A11" s="228" t="s">
        <v>16</v>
      </c>
      <c r="B11" s="961" t="s">
        <v>17</v>
      </c>
      <c r="C11" s="228" t="s">
        <v>18</v>
      </c>
      <c r="D11" s="948">
        <v>3246.9302499999999</v>
      </c>
      <c r="E11" s="948">
        <v>3100.06025</v>
      </c>
      <c r="F11" s="948">
        <v>3079.4102499999999</v>
      </c>
      <c r="G11" s="948">
        <v>3079.4102499999999</v>
      </c>
      <c r="H11" s="949">
        <v>3079.4102499999999</v>
      </c>
      <c r="I11" s="948">
        <v>1715.058</v>
      </c>
      <c r="J11" s="948">
        <v>1364.3522499999999</v>
      </c>
      <c r="K11" s="948">
        <v>0</v>
      </c>
      <c r="L11" s="948">
        <v>0</v>
      </c>
      <c r="M11" s="948">
        <v>0</v>
      </c>
      <c r="N11" s="948">
        <v>0</v>
      </c>
      <c r="O11" s="948">
        <v>0</v>
      </c>
      <c r="P11" s="948">
        <v>0</v>
      </c>
      <c r="Q11" s="948">
        <v>0</v>
      </c>
      <c r="R11" s="948">
        <v>0</v>
      </c>
      <c r="S11" s="948">
        <v>20.65</v>
      </c>
      <c r="T11" s="948">
        <v>0</v>
      </c>
      <c r="U11" s="948">
        <v>0</v>
      </c>
      <c r="V11" s="948">
        <v>146.87</v>
      </c>
      <c r="W11" s="948">
        <v>0.23</v>
      </c>
      <c r="X11" s="948">
        <v>0</v>
      </c>
      <c r="Y11" s="948">
        <v>11.71</v>
      </c>
      <c r="Z11" s="948">
        <v>0</v>
      </c>
      <c r="AA11" s="948">
        <v>15.57</v>
      </c>
      <c r="AB11" s="948">
        <v>14.67</v>
      </c>
      <c r="AC11" s="948">
        <v>5.51</v>
      </c>
      <c r="AD11" s="948">
        <v>0</v>
      </c>
      <c r="AE11" s="948">
        <v>58.4</v>
      </c>
      <c r="AF11" s="948">
        <v>0.75</v>
      </c>
      <c r="AG11" s="948">
        <v>0</v>
      </c>
      <c r="AH11" s="948">
        <v>0.60000000000000009</v>
      </c>
      <c r="AI11" s="948">
        <v>0.05</v>
      </c>
      <c r="AJ11" s="948">
        <v>0</v>
      </c>
      <c r="AK11" s="948">
        <v>0</v>
      </c>
      <c r="AL11" s="948">
        <v>56.41</v>
      </c>
      <c r="AM11" s="948">
        <v>0.59</v>
      </c>
      <c r="AN11" s="948">
        <v>0</v>
      </c>
      <c r="AO11" s="948">
        <v>0</v>
      </c>
      <c r="AP11" s="948">
        <v>0</v>
      </c>
      <c r="AQ11" s="948">
        <v>0</v>
      </c>
      <c r="AR11" s="948">
        <v>0</v>
      </c>
      <c r="AS11" s="948">
        <v>0.74</v>
      </c>
      <c r="AT11" s="948">
        <v>3.23</v>
      </c>
      <c r="AU11" s="948">
        <v>21.22</v>
      </c>
      <c r="AV11" s="948">
        <v>6.28</v>
      </c>
      <c r="AW11" s="948">
        <v>0</v>
      </c>
      <c r="AX11" s="948">
        <v>0</v>
      </c>
      <c r="AY11" s="948">
        <v>0</v>
      </c>
      <c r="AZ11" s="948">
        <v>0</v>
      </c>
      <c r="BA11" s="948">
        <v>2.65</v>
      </c>
      <c r="BB11" s="948">
        <v>0</v>
      </c>
      <c r="BC11" s="948">
        <v>6.65</v>
      </c>
      <c r="BD11" s="948">
        <v>0</v>
      </c>
      <c r="BE11" s="948">
        <v>0</v>
      </c>
      <c r="BF11" s="948">
        <v>0.01</v>
      </c>
      <c r="BG11" s="948">
        <v>0</v>
      </c>
      <c r="BH11" s="948">
        <v>0</v>
      </c>
      <c r="BI11" s="948">
        <v>0</v>
      </c>
      <c r="BJ11" s="948">
        <v>0</v>
      </c>
      <c r="BK11" s="948">
        <v>0</v>
      </c>
      <c r="BL11" s="948">
        <v>167.52</v>
      </c>
      <c r="BM11" s="948">
        <v>-167.52</v>
      </c>
      <c r="BN11" s="948">
        <v>3079.4102499999999</v>
      </c>
      <c r="BR11" s="950"/>
      <c r="BS11" s="951"/>
      <c r="BT11" s="951"/>
      <c r="BV11" s="960"/>
      <c r="BW11" s="960"/>
    </row>
    <row r="12" spans="1:75" s="963" customFormat="1" ht="36.75" customHeight="1">
      <c r="A12" s="228"/>
      <c r="B12" s="964" t="s">
        <v>473</v>
      </c>
      <c r="C12" s="228" t="s">
        <v>20</v>
      </c>
      <c r="D12" s="948">
        <v>1840.3679999999999</v>
      </c>
      <c r="E12" s="948">
        <v>1720.048</v>
      </c>
      <c r="F12" s="948">
        <v>1715.058</v>
      </c>
      <c r="G12" s="948">
        <v>1715.058</v>
      </c>
      <c r="H12" s="948">
        <v>1715.058</v>
      </c>
      <c r="I12" s="949">
        <v>1715.058</v>
      </c>
      <c r="J12" s="948">
        <v>0</v>
      </c>
      <c r="K12" s="948">
        <v>0</v>
      </c>
      <c r="L12" s="948">
        <v>0</v>
      </c>
      <c r="M12" s="948">
        <v>0</v>
      </c>
      <c r="N12" s="948">
        <v>0</v>
      </c>
      <c r="O12" s="948">
        <v>0</v>
      </c>
      <c r="P12" s="948">
        <v>0</v>
      </c>
      <c r="Q12" s="948">
        <v>0</v>
      </c>
      <c r="R12" s="948">
        <v>0</v>
      </c>
      <c r="S12" s="948">
        <v>4.9899999999999993</v>
      </c>
      <c r="T12" s="948">
        <v>0</v>
      </c>
      <c r="U12" s="948">
        <v>0</v>
      </c>
      <c r="V12" s="948">
        <v>120.32</v>
      </c>
      <c r="W12" s="948">
        <v>0.23</v>
      </c>
      <c r="X12" s="948">
        <v>0</v>
      </c>
      <c r="Y12" s="948">
        <v>1.37</v>
      </c>
      <c r="Z12" s="948">
        <v>0</v>
      </c>
      <c r="AA12" s="948">
        <v>15.57</v>
      </c>
      <c r="AB12" s="948">
        <v>13.19</v>
      </c>
      <c r="AC12" s="948">
        <v>5.51</v>
      </c>
      <c r="AD12" s="948">
        <v>0</v>
      </c>
      <c r="AE12" s="948">
        <v>51.58</v>
      </c>
      <c r="AF12" s="948">
        <v>0.4</v>
      </c>
      <c r="AG12" s="948">
        <v>0</v>
      </c>
      <c r="AH12" s="948">
        <v>0.32</v>
      </c>
      <c r="AI12" s="948">
        <v>0</v>
      </c>
      <c r="AJ12" s="948">
        <v>0</v>
      </c>
      <c r="AK12" s="948">
        <v>0</v>
      </c>
      <c r="AL12" s="948">
        <v>50.5</v>
      </c>
      <c r="AM12" s="948">
        <v>0.36</v>
      </c>
      <c r="AN12" s="948">
        <v>0</v>
      </c>
      <c r="AO12" s="948">
        <v>0</v>
      </c>
      <c r="AP12" s="948">
        <v>0</v>
      </c>
      <c r="AQ12" s="948">
        <v>0</v>
      </c>
      <c r="AR12" s="948">
        <v>0</v>
      </c>
      <c r="AS12" s="948">
        <v>0</v>
      </c>
      <c r="AT12" s="948">
        <v>2.44</v>
      </c>
      <c r="AU12" s="948">
        <v>17.809999999999999</v>
      </c>
      <c r="AV12" s="948">
        <v>6.28</v>
      </c>
      <c r="AW12" s="948">
        <v>0</v>
      </c>
      <c r="AX12" s="948">
        <v>0</v>
      </c>
      <c r="AY12" s="948">
        <v>0</v>
      </c>
      <c r="AZ12" s="948">
        <v>0</v>
      </c>
      <c r="BA12" s="948">
        <v>0</v>
      </c>
      <c r="BB12" s="948">
        <v>0</v>
      </c>
      <c r="BC12" s="948">
        <v>6.33</v>
      </c>
      <c r="BD12" s="948">
        <v>0</v>
      </c>
      <c r="BE12" s="948">
        <v>0</v>
      </c>
      <c r="BF12" s="948">
        <v>0.01</v>
      </c>
      <c r="BG12" s="948">
        <v>0</v>
      </c>
      <c r="BH12" s="948">
        <v>0</v>
      </c>
      <c r="BI12" s="948">
        <v>0</v>
      </c>
      <c r="BJ12" s="948">
        <v>0</v>
      </c>
      <c r="BK12" s="948">
        <v>0</v>
      </c>
      <c r="BL12" s="948">
        <v>125.30999999999999</v>
      </c>
      <c r="BM12" s="948">
        <v>-125.30999999999999</v>
      </c>
      <c r="BN12" s="948">
        <v>1715.058</v>
      </c>
      <c r="BR12" s="950"/>
      <c r="BS12" s="951"/>
      <c r="BT12" s="951"/>
      <c r="BV12" s="965"/>
      <c r="BW12" s="965"/>
    </row>
    <row r="13" spans="1:75" s="962" customFormat="1" ht="26.25" hidden="1" customHeight="1">
      <c r="A13" s="228" t="s">
        <v>215</v>
      </c>
      <c r="B13" s="961" t="s">
        <v>474</v>
      </c>
      <c r="C13" s="228" t="s">
        <v>195</v>
      </c>
      <c r="D13" s="948">
        <v>1406.5622499999999</v>
      </c>
      <c r="E13" s="948">
        <v>1380.01225</v>
      </c>
      <c r="F13" s="948">
        <v>1364.3522499999999</v>
      </c>
      <c r="G13" s="948">
        <v>1364.3522499999999</v>
      </c>
      <c r="H13" s="948">
        <v>1364.3522499999999</v>
      </c>
      <c r="I13" s="948">
        <v>0</v>
      </c>
      <c r="J13" s="949">
        <v>1364.3522499999999</v>
      </c>
      <c r="K13" s="948">
        <v>0</v>
      </c>
      <c r="L13" s="948">
        <v>0</v>
      </c>
      <c r="M13" s="948">
        <v>0</v>
      </c>
      <c r="N13" s="948">
        <v>0</v>
      </c>
      <c r="O13" s="948">
        <v>0</v>
      </c>
      <c r="P13" s="948">
        <v>0</v>
      </c>
      <c r="Q13" s="948">
        <v>0</v>
      </c>
      <c r="R13" s="948">
        <v>0</v>
      </c>
      <c r="S13" s="948">
        <v>15.659999999999998</v>
      </c>
      <c r="T13" s="948">
        <v>0</v>
      </c>
      <c r="U13" s="948">
        <v>0</v>
      </c>
      <c r="V13" s="948">
        <v>26.549999999999997</v>
      </c>
      <c r="W13" s="948">
        <v>0</v>
      </c>
      <c r="X13" s="948">
        <v>0</v>
      </c>
      <c r="Y13" s="948">
        <v>10.34</v>
      </c>
      <c r="Z13" s="948">
        <v>0</v>
      </c>
      <c r="AA13" s="948">
        <v>0</v>
      </c>
      <c r="AB13" s="948">
        <v>1.48</v>
      </c>
      <c r="AC13" s="948">
        <v>0</v>
      </c>
      <c r="AD13" s="948">
        <v>0</v>
      </c>
      <c r="AE13" s="948">
        <v>6.82</v>
      </c>
      <c r="AF13" s="948">
        <v>0.35</v>
      </c>
      <c r="AG13" s="948">
        <v>0</v>
      </c>
      <c r="AH13" s="948">
        <v>0.28000000000000003</v>
      </c>
      <c r="AI13" s="948">
        <v>0.05</v>
      </c>
      <c r="AJ13" s="948">
        <v>0</v>
      </c>
      <c r="AK13" s="948">
        <v>0</v>
      </c>
      <c r="AL13" s="948">
        <v>5.91</v>
      </c>
      <c r="AM13" s="948">
        <v>0.23</v>
      </c>
      <c r="AN13" s="948">
        <v>0</v>
      </c>
      <c r="AO13" s="948">
        <v>0</v>
      </c>
      <c r="AP13" s="948">
        <v>0</v>
      </c>
      <c r="AQ13" s="948">
        <v>0</v>
      </c>
      <c r="AR13" s="948">
        <v>0</v>
      </c>
      <c r="AS13" s="948">
        <v>0.74</v>
      </c>
      <c r="AT13" s="948">
        <v>0.79</v>
      </c>
      <c r="AU13" s="948">
        <v>3.41</v>
      </c>
      <c r="AV13" s="948">
        <v>0</v>
      </c>
      <c r="AW13" s="948">
        <v>0</v>
      </c>
      <c r="AX13" s="948">
        <v>0</v>
      </c>
      <c r="AY13" s="948">
        <v>0</v>
      </c>
      <c r="AZ13" s="948">
        <v>0</v>
      </c>
      <c r="BA13" s="948">
        <v>2.65</v>
      </c>
      <c r="BB13" s="948">
        <v>0</v>
      </c>
      <c r="BC13" s="948">
        <v>0.32</v>
      </c>
      <c r="BD13" s="948">
        <v>0</v>
      </c>
      <c r="BE13" s="948">
        <v>0</v>
      </c>
      <c r="BF13" s="948">
        <v>0</v>
      </c>
      <c r="BG13" s="948">
        <v>0</v>
      </c>
      <c r="BH13" s="948">
        <v>0</v>
      </c>
      <c r="BI13" s="948">
        <v>0</v>
      </c>
      <c r="BJ13" s="948">
        <v>0</v>
      </c>
      <c r="BK13" s="948">
        <v>0</v>
      </c>
      <c r="BL13" s="948">
        <v>42.209999999999994</v>
      </c>
      <c r="BM13" s="948">
        <v>-42.209999999999994</v>
      </c>
      <c r="BN13" s="948">
        <v>1364.3522499999999</v>
      </c>
      <c r="BR13" s="950"/>
      <c r="BS13" s="951"/>
      <c r="BT13" s="951"/>
    </row>
    <row r="14" spans="1:75" s="962" customFormat="1" ht="26.25" hidden="1" customHeight="1">
      <c r="A14" s="228" t="s">
        <v>216</v>
      </c>
      <c r="B14" s="961" t="s">
        <v>475</v>
      </c>
      <c r="C14" s="228" t="s">
        <v>196</v>
      </c>
      <c r="D14" s="948">
        <v>0</v>
      </c>
      <c r="E14" s="948">
        <v>0</v>
      </c>
      <c r="F14" s="948">
        <v>0</v>
      </c>
      <c r="G14" s="948">
        <v>0</v>
      </c>
      <c r="H14" s="948">
        <v>0</v>
      </c>
      <c r="I14" s="948">
        <v>0</v>
      </c>
      <c r="J14" s="948">
        <v>0</v>
      </c>
      <c r="K14" s="949">
        <v>0</v>
      </c>
      <c r="L14" s="948">
        <v>0</v>
      </c>
      <c r="M14" s="948">
        <v>0</v>
      </c>
      <c r="N14" s="948">
        <v>0</v>
      </c>
      <c r="O14" s="948">
        <v>0</v>
      </c>
      <c r="P14" s="948">
        <v>0</v>
      </c>
      <c r="Q14" s="948">
        <v>0</v>
      </c>
      <c r="R14" s="948">
        <v>0</v>
      </c>
      <c r="S14" s="948">
        <v>0</v>
      </c>
      <c r="T14" s="948">
        <v>0</v>
      </c>
      <c r="U14" s="948">
        <v>0</v>
      </c>
      <c r="V14" s="948">
        <v>0</v>
      </c>
      <c r="W14" s="948">
        <v>0</v>
      </c>
      <c r="X14" s="948">
        <v>0</v>
      </c>
      <c r="Y14" s="948">
        <v>0</v>
      </c>
      <c r="Z14" s="948">
        <v>0</v>
      </c>
      <c r="AA14" s="948">
        <v>0</v>
      </c>
      <c r="AB14" s="948">
        <v>0</v>
      </c>
      <c r="AC14" s="948">
        <v>0</v>
      </c>
      <c r="AD14" s="948">
        <v>0</v>
      </c>
      <c r="AE14" s="948">
        <v>0</v>
      </c>
      <c r="AF14" s="948">
        <v>0</v>
      </c>
      <c r="AG14" s="948">
        <v>0</v>
      </c>
      <c r="AH14" s="948">
        <v>0</v>
      </c>
      <c r="AI14" s="948">
        <v>0</v>
      </c>
      <c r="AJ14" s="948">
        <v>0</v>
      </c>
      <c r="AK14" s="948">
        <v>0</v>
      </c>
      <c r="AL14" s="948">
        <v>0</v>
      </c>
      <c r="AM14" s="948">
        <v>0</v>
      </c>
      <c r="AN14" s="948">
        <v>0</v>
      </c>
      <c r="AO14" s="948">
        <v>0</v>
      </c>
      <c r="AP14" s="948">
        <v>0</v>
      </c>
      <c r="AQ14" s="948">
        <v>0</v>
      </c>
      <c r="AR14" s="948">
        <v>0</v>
      </c>
      <c r="AS14" s="948">
        <v>0</v>
      </c>
      <c r="AT14" s="948">
        <v>0</v>
      </c>
      <c r="AU14" s="948">
        <v>0</v>
      </c>
      <c r="AV14" s="948">
        <v>0</v>
      </c>
      <c r="AW14" s="948">
        <v>0</v>
      </c>
      <c r="AX14" s="948">
        <v>0</v>
      </c>
      <c r="AY14" s="948">
        <v>0</v>
      </c>
      <c r="AZ14" s="948">
        <v>0</v>
      </c>
      <c r="BA14" s="948">
        <v>0</v>
      </c>
      <c r="BB14" s="948">
        <v>0</v>
      </c>
      <c r="BC14" s="948">
        <v>0</v>
      </c>
      <c r="BD14" s="948">
        <v>0</v>
      </c>
      <c r="BE14" s="948">
        <v>0</v>
      </c>
      <c r="BF14" s="948">
        <v>0</v>
      </c>
      <c r="BG14" s="948">
        <v>0</v>
      </c>
      <c r="BH14" s="948">
        <v>0</v>
      </c>
      <c r="BI14" s="948">
        <v>0</v>
      </c>
      <c r="BJ14" s="948">
        <v>0</v>
      </c>
      <c r="BK14" s="948">
        <v>0</v>
      </c>
      <c r="BL14" s="948">
        <v>0</v>
      </c>
      <c r="BM14" s="948">
        <v>0</v>
      </c>
      <c r="BN14" s="948">
        <v>0</v>
      </c>
      <c r="BR14" s="950"/>
      <c r="BS14" s="951"/>
      <c r="BT14" s="951"/>
    </row>
    <row r="15" spans="1:75" s="962" customFormat="1" ht="26.25" hidden="1" customHeight="1">
      <c r="A15" s="228" t="s">
        <v>217</v>
      </c>
      <c r="B15" s="961" t="s">
        <v>476</v>
      </c>
      <c r="C15" s="228" t="s">
        <v>197</v>
      </c>
      <c r="D15" s="948">
        <v>0</v>
      </c>
      <c r="E15" s="948">
        <v>0</v>
      </c>
      <c r="F15" s="948">
        <v>0</v>
      </c>
      <c r="G15" s="948">
        <v>0</v>
      </c>
      <c r="H15" s="948">
        <v>0</v>
      </c>
      <c r="I15" s="948">
        <v>0</v>
      </c>
      <c r="J15" s="948">
        <v>0</v>
      </c>
      <c r="K15" s="948">
        <v>0</v>
      </c>
      <c r="L15" s="949">
        <v>0</v>
      </c>
      <c r="M15" s="948">
        <v>0</v>
      </c>
      <c r="N15" s="948">
        <v>0</v>
      </c>
      <c r="O15" s="948">
        <v>0</v>
      </c>
      <c r="P15" s="948">
        <v>0</v>
      </c>
      <c r="Q15" s="948">
        <v>0</v>
      </c>
      <c r="R15" s="948">
        <v>0</v>
      </c>
      <c r="S15" s="948">
        <v>0</v>
      </c>
      <c r="T15" s="948">
        <v>0</v>
      </c>
      <c r="U15" s="948">
        <v>0</v>
      </c>
      <c r="V15" s="948">
        <v>0</v>
      </c>
      <c r="W15" s="948">
        <v>0</v>
      </c>
      <c r="X15" s="948">
        <v>0</v>
      </c>
      <c r="Y15" s="948">
        <v>0</v>
      </c>
      <c r="Z15" s="948">
        <v>0</v>
      </c>
      <c r="AA15" s="948">
        <v>0</v>
      </c>
      <c r="AB15" s="948">
        <v>0</v>
      </c>
      <c r="AC15" s="948">
        <v>0</v>
      </c>
      <c r="AD15" s="948">
        <v>0</v>
      </c>
      <c r="AE15" s="948">
        <v>0</v>
      </c>
      <c r="AF15" s="948">
        <v>0</v>
      </c>
      <c r="AG15" s="948">
        <v>0</v>
      </c>
      <c r="AH15" s="948">
        <v>0</v>
      </c>
      <c r="AI15" s="948">
        <v>0</v>
      </c>
      <c r="AJ15" s="948">
        <v>0</v>
      </c>
      <c r="AK15" s="948">
        <v>0</v>
      </c>
      <c r="AL15" s="948">
        <v>0</v>
      </c>
      <c r="AM15" s="948">
        <v>0</v>
      </c>
      <c r="AN15" s="948">
        <v>0</v>
      </c>
      <c r="AO15" s="948">
        <v>0</v>
      </c>
      <c r="AP15" s="948">
        <v>0</v>
      </c>
      <c r="AQ15" s="948">
        <v>0</v>
      </c>
      <c r="AR15" s="948">
        <v>0</v>
      </c>
      <c r="AS15" s="948">
        <v>0</v>
      </c>
      <c r="AT15" s="948">
        <v>0</v>
      </c>
      <c r="AU15" s="948">
        <v>0</v>
      </c>
      <c r="AV15" s="948">
        <v>0</v>
      </c>
      <c r="AW15" s="948">
        <v>0</v>
      </c>
      <c r="AX15" s="948">
        <v>0</v>
      </c>
      <c r="AY15" s="948">
        <v>0</v>
      </c>
      <c r="AZ15" s="948">
        <v>0</v>
      </c>
      <c r="BA15" s="948">
        <v>0</v>
      </c>
      <c r="BB15" s="948">
        <v>0</v>
      </c>
      <c r="BC15" s="948">
        <v>0</v>
      </c>
      <c r="BD15" s="948">
        <v>0</v>
      </c>
      <c r="BE15" s="948">
        <v>0</v>
      </c>
      <c r="BF15" s="948">
        <v>0</v>
      </c>
      <c r="BG15" s="948">
        <v>0</v>
      </c>
      <c r="BH15" s="948">
        <v>0</v>
      </c>
      <c r="BI15" s="948">
        <v>0</v>
      </c>
      <c r="BJ15" s="948">
        <v>0</v>
      </c>
      <c r="BK15" s="948">
        <v>0</v>
      </c>
      <c r="BL15" s="948">
        <v>0</v>
      </c>
      <c r="BM15" s="948">
        <v>0</v>
      </c>
      <c r="BN15" s="948">
        <v>0</v>
      </c>
      <c r="BR15" s="950"/>
      <c r="BS15" s="951"/>
      <c r="BT15" s="951"/>
    </row>
    <row r="16" spans="1:75" s="963" customFormat="1" ht="39.75" customHeight="1">
      <c r="A16" s="228" t="s">
        <v>21</v>
      </c>
      <c r="B16" s="961" t="s">
        <v>22</v>
      </c>
      <c r="C16" s="228" t="s">
        <v>23</v>
      </c>
      <c r="D16" s="948">
        <v>1015.3142999999999</v>
      </c>
      <c r="E16" s="948">
        <v>990.08429999999987</v>
      </c>
      <c r="F16" s="948">
        <v>977.34429999999986</v>
      </c>
      <c r="G16" s="948">
        <v>977.34429999999986</v>
      </c>
      <c r="H16" s="948">
        <v>0</v>
      </c>
      <c r="I16" s="948">
        <v>0</v>
      </c>
      <c r="J16" s="948">
        <v>0</v>
      </c>
      <c r="K16" s="948">
        <v>0</v>
      </c>
      <c r="L16" s="948">
        <v>0</v>
      </c>
      <c r="M16" s="949">
        <v>977.34429999999986</v>
      </c>
      <c r="N16" s="948">
        <v>0</v>
      </c>
      <c r="O16" s="948">
        <v>0</v>
      </c>
      <c r="P16" s="948">
        <v>0</v>
      </c>
      <c r="Q16" s="948">
        <v>0</v>
      </c>
      <c r="R16" s="948">
        <v>0</v>
      </c>
      <c r="S16" s="948">
        <v>12.739999999999998</v>
      </c>
      <c r="T16" s="948">
        <v>0</v>
      </c>
      <c r="U16" s="948">
        <v>0</v>
      </c>
      <c r="V16" s="948">
        <v>25.229999999999997</v>
      </c>
      <c r="W16" s="948">
        <v>0</v>
      </c>
      <c r="X16" s="948">
        <v>0</v>
      </c>
      <c r="Y16" s="948">
        <v>10.54</v>
      </c>
      <c r="Z16" s="948">
        <v>0</v>
      </c>
      <c r="AA16" s="948">
        <v>0.35</v>
      </c>
      <c r="AB16" s="948">
        <v>0.87000000000000011</v>
      </c>
      <c r="AC16" s="948">
        <v>0.61</v>
      </c>
      <c r="AD16" s="948">
        <v>0</v>
      </c>
      <c r="AE16" s="948">
        <v>7.7500000000000009</v>
      </c>
      <c r="AF16" s="948">
        <v>7.0000000000000007E-2</v>
      </c>
      <c r="AG16" s="948">
        <v>0</v>
      </c>
      <c r="AH16" s="948">
        <v>0.25</v>
      </c>
      <c r="AI16" s="948">
        <v>0.02</v>
      </c>
      <c r="AJ16" s="948">
        <v>0</v>
      </c>
      <c r="AK16" s="948">
        <v>0</v>
      </c>
      <c r="AL16" s="948">
        <v>7.330000000000001</v>
      </c>
      <c r="AM16" s="948">
        <v>0.08</v>
      </c>
      <c r="AN16" s="948">
        <v>0</v>
      </c>
      <c r="AO16" s="948">
        <v>0</v>
      </c>
      <c r="AP16" s="948">
        <v>0</v>
      </c>
      <c r="AQ16" s="948">
        <v>0</v>
      </c>
      <c r="AR16" s="948">
        <v>0</v>
      </c>
      <c r="AS16" s="948">
        <v>0.53</v>
      </c>
      <c r="AT16" s="948">
        <v>1.7000000000000002</v>
      </c>
      <c r="AU16" s="948">
        <v>2.3200000000000003</v>
      </c>
      <c r="AV16" s="948">
        <v>0.04</v>
      </c>
      <c r="AW16" s="948">
        <v>0</v>
      </c>
      <c r="AX16" s="948">
        <v>0</v>
      </c>
      <c r="AY16" s="948">
        <v>0</v>
      </c>
      <c r="AZ16" s="948">
        <v>0</v>
      </c>
      <c r="BA16" s="948">
        <v>0</v>
      </c>
      <c r="BB16" s="948">
        <v>0</v>
      </c>
      <c r="BC16" s="948">
        <v>0.52</v>
      </c>
      <c r="BD16" s="948">
        <v>0</v>
      </c>
      <c r="BE16" s="948">
        <v>0</v>
      </c>
      <c r="BF16" s="948">
        <v>0</v>
      </c>
      <c r="BG16" s="948">
        <v>0</v>
      </c>
      <c r="BH16" s="948">
        <v>0</v>
      </c>
      <c r="BI16" s="948">
        <v>0</v>
      </c>
      <c r="BJ16" s="948">
        <v>0</v>
      </c>
      <c r="BK16" s="948">
        <v>0</v>
      </c>
      <c r="BL16" s="948">
        <v>37.97</v>
      </c>
      <c r="BM16" s="948">
        <v>-37.97</v>
      </c>
      <c r="BN16" s="948">
        <v>977.34429999999986</v>
      </c>
      <c r="BR16" s="950"/>
      <c r="BS16" s="951"/>
      <c r="BT16" s="951"/>
    </row>
    <row r="17" spans="1:73" s="963" customFormat="1" ht="42" customHeight="1">
      <c r="A17" s="228" t="s">
        <v>24</v>
      </c>
      <c r="B17" s="961" t="s">
        <v>25</v>
      </c>
      <c r="C17" s="228" t="s">
        <v>26</v>
      </c>
      <c r="D17" s="948">
        <v>1840.0419399999998</v>
      </c>
      <c r="E17" s="948">
        <v>1746.8319399999998</v>
      </c>
      <c r="F17" s="948">
        <v>1737.3819399999998</v>
      </c>
      <c r="G17" s="948">
        <v>0</v>
      </c>
      <c r="H17" s="948">
        <v>0</v>
      </c>
      <c r="I17" s="948">
        <v>0</v>
      </c>
      <c r="J17" s="948">
        <v>0</v>
      </c>
      <c r="K17" s="948">
        <v>0</v>
      </c>
      <c r="L17" s="948">
        <v>0</v>
      </c>
      <c r="M17" s="948">
        <v>0</v>
      </c>
      <c r="N17" s="949">
        <v>1737.3819399999998</v>
      </c>
      <c r="O17" s="948">
        <v>0</v>
      </c>
      <c r="P17" s="948">
        <v>0</v>
      </c>
      <c r="Q17" s="948">
        <v>0</v>
      </c>
      <c r="R17" s="948">
        <v>0</v>
      </c>
      <c r="S17" s="948">
        <v>9.4499999999999993</v>
      </c>
      <c r="T17" s="948">
        <v>0</v>
      </c>
      <c r="U17" s="948">
        <v>0</v>
      </c>
      <c r="V17" s="948">
        <v>93.210000000000008</v>
      </c>
      <c r="W17" s="948">
        <v>0.27</v>
      </c>
      <c r="X17" s="948">
        <v>0</v>
      </c>
      <c r="Y17" s="948">
        <v>3.5</v>
      </c>
      <c r="Z17" s="948">
        <v>0</v>
      </c>
      <c r="AA17" s="948">
        <v>23.1</v>
      </c>
      <c r="AB17" s="948">
        <v>10.01</v>
      </c>
      <c r="AC17" s="948">
        <v>14.94</v>
      </c>
      <c r="AD17" s="948">
        <v>0</v>
      </c>
      <c r="AE17" s="948">
        <v>23.189999999999998</v>
      </c>
      <c r="AF17" s="948">
        <v>0.67</v>
      </c>
      <c r="AG17" s="948">
        <v>0</v>
      </c>
      <c r="AH17" s="948">
        <v>1.62</v>
      </c>
      <c r="AI17" s="948">
        <v>0</v>
      </c>
      <c r="AJ17" s="948">
        <v>0</v>
      </c>
      <c r="AK17" s="948">
        <v>0</v>
      </c>
      <c r="AL17" s="948">
        <v>19.939999999999998</v>
      </c>
      <c r="AM17" s="948">
        <v>0.96</v>
      </c>
      <c r="AN17" s="948">
        <v>0</v>
      </c>
      <c r="AO17" s="948">
        <v>0</v>
      </c>
      <c r="AP17" s="948">
        <v>0</v>
      </c>
      <c r="AQ17" s="948">
        <v>0</v>
      </c>
      <c r="AR17" s="948">
        <v>0</v>
      </c>
      <c r="AS17" s="948">
        <v>0.54</v>
      </c>
      <c r="AT17" s="948">
        <v>5.14</v>
      </c>
      <c r="AU17" s="948">
        <v>5.56</v>
      </c>
      <c r="AV17" s="948">
        <v>3.78</v>
      </c>
      <c r="AW17" s="948">
        <v>0</v>
      </c>
      <c r="AX17" s="948">
        <v>0</v>
      </c>
      <c r="AY17" s="948">
        <v>0.36</v>
      </c>
      <c r="AZ17" s="948">
        <v>0</v>
      </c>
      <c r="BA17" s="948">
        <v>0.13</v>
      </c>
      <c r="BB17" s="948">
        <v>0</v>
      </c>
      <c r="BC17" s="948">
        <v>2.5700000000000003</v>
      </c>
      <c r="BD17" s="948">
        <v>0</v>
      </c>
      <c r="BE17" s="948">
        <v>0</v>
      </c>
      <c r="BF17" s="948">
        <v>0.12</v>
      </c>
      <c r="BG17" s="948">
        <v>0</v>
      </c>
      <c r="BH17" s="948">
        <v>0</v>
      </c>
      <c r="BI17" s="948">
        <v>0</v>
      </c>
      <c r="BJ17" s="948">
        <v>0</v>
      </c>
      <c r="BK17" s="948">
        <v>0</v>
      </c>
      <c r="BL17" s="948">
        <v>102.66000000000001</v>
      </c>
      <c r="BM17" s="948">
        <v>-102.66000000000001</v>
      </c>
      <c r="BN17" s="948">
        <v>1737.3819399999998</v>
      </c>
      <c r="BR17" s="950"/>
      <c r="BS17" s="951"/>
      <c r="BT17" s="951"/>
    </row>
    <row r="18" spans="1:73" s="962" customFormat="1" ht="26.25" hidden="1" customHeight="1">
      <c r="A18" s="228" t="s">
        <v>21</v>
      </c>
      <c r="B18" s="961" t="s">
        <v>477</v>
      </c>
      <c r="C18" s="228" t="s">
        <v>198</v>
      </c>
      <c r="D18" s="948">
        <v>28718.826099999998</v>
      </c>
      <c r="E18" s="948">
        <v>28275.176099999997</v>
      </c>
      <c r="F18" s="948">
        <v>0</v>
      </c>
      <c r="G18" s="948">
        <v>0</v>
      </c>
      <c r="H18" s="948">
        <v>0</v>
      </c>
      <c r="I18" s="948">
        <v>0</v>
      </c>
      <c r="J18" s="948">
        <v>0</v>
      </c>
      <c r="K18" s="948">
        <v>0</v>
      </c>
      <c r="L18" s="948">
        <v>0</v>
      </c>
      <c r="M18" s="948">
        <v>0</v>
      </c>
      <c r="N18" s="948">
        <v>0</v>
      </c>
      <c r="O18" s="949">
        <v>28264.056099999998</v>
      </c>
      <c r="P18" s="948">
        <v>15105.260000000002</v>
      </c>
      <c r="Q18" s="948">
        <v>0</v>
      </c>
      <c r="R18" s="948">
        <v>13158.796099999998</v>
      </c>
      <c r="S18" s="948">
        <v>11.120000000000001</v>
      </c>
      <c r="T18" s="948">
        <v>0</v>
      </c>
      <c r="U18" s="948">
        <v>0</v>
      </c>
      <c r="V18" s="948">
        <v>443.65000000000003</v>
      </c>
      <c r="W18" s="948">
        <v>5.26</v>
      </c>
      <c r="X18" s="948">
        <v>0</v>
      </c>
      <c r="Y18" s="948">
        <v>5.33</v>
      </c>
      <c r="Z18" s="948">
        <v>0</v>
      </c>
      <c r="AA18" s="948">
        <v>6.39</v>
      </c>
      <c r="AB18" s="948">
        <v>51.07</v>
      </c>
      <c r="AC18" s="948">
        <v>23.89</v>
      </c>
      <c r="AD18" s="948">
        <v>0</v>
      </c>
      <c r="AE18" s="948">
        <v>61.820000000000007</v>
      </c>
      <c r="AF18" s="948">
        <v>0</v>
      </c>
      <c r="AG18" s="948">
        <v>0</v>
      </c>
      <c r="AH18" s="948">
        <v>0</v>
      </c>
      <c r="AI18" s="948">
        <v>0.05</v>
      </c>
      <c r="AJ18" s="948">
        <v>0</v>
      </c>
      <c r="AK18" s="948">
        <v>0</v>
      </c>
      <c r="AL18" s="948">
        <v>60.730000000000004</v>
      </c>
      <c r="AM18" s="948">
        <v>0.04</v>
      </c>
      <c r="AN18" s="948">
        <v>0</v>
      </c>
      <c r="AO18" s="948">
        <v>0</v>
      </c>
      <c r="AP18" s="948">
        <v>1</v>
      </c>
      <c r="AQ18" s="948">
        <v>0</v>
      </c>
      <c r="AR18" s="948">
        <v>0</v>
      </c>
      <c r="AS18" s="948">
        <v>5.2700000000000005</v>
      </c>
      <c r="AT18" s="948">
        <v>0</v>
      </c>
      <c r="AU18" s="948">
        <v>0.1</v>
      </c>
      <c r="AV18" s="948">
        <v>0</v>
      </c>
      <c r="AW18" s="948">
        <v>0</v>
      </c>
      <c r="AX18" s="948">
        <v>0</v>
      </c>
      <c r="AY18" s="948">
        <v>0.95</v>
      </c>
      <c r="AZ18" s="948">
        <v>0</v>
      </c>
      <c r="BA18" s="948">
        <v>283.39000000000004</v>
      </c>
      <c r="BB18" s="948">
        <v>0</v>
      </c>
      <c r="BC18" s="948">
        <v>0.18</v>
      </c>
      <c r="BD18" s="948">
        <v>0</v>
      </c>
      <c r="BE18" s="948">
        <v>0</v>
      </c>
      <c r="BF18" s="948">
        <v>0</v>
      </c>
      <c r="BG18" s="948">
        <v>0</v>
      </c>
      <c r="BH18" s="948">
        <v>0</v>
      </c>
      <c r="BI18" s="948">
        <v>0</v>
      </c>
      <c r="BJ18" s="948">
        <v>0</v>
      </c>
      <c r="BK18" s="948">
        <v>0</v>
      </c>
      <c r="BL18" s="948">
        <v>454.77000000000004</v>
      </c>
      <c r="BM18" s="948">
        <v>-454.77000000000004</v>
      </c>
      <c r="BN18" s="948">
        <v>28264.056100000002</v>
      </c>
      <c r="BR18" s="950"/>
      <c r="BS18" s="951"/>
      <c r="BT18" s="951"/>
    </row>
    <row r="19" spans="1:73" s="963" customFormat="1" ht="34.5" customHeight="1">
      <c r="A19" s="228" t="s">
        <v>27</v>
      </c>
      <c r="B19" s="961" t="s">
        <v>28</v>
      </c>
      <c r="C19" s="228" t="s">
        <v>29</v>
      </c>
      <c r="D19" s="948">
        <v>15177.190000000002</v>
      </c>
      <c r="E19" s="948">
        <v>15106.250000000002</v>
      </c>
      <c r="F19" s="948">
        <v>0</v>
      </c>
      <c r="G19" s="948">
        <v>0</v>
      </c>
      <c r="H19" s="948">
        <v>0</v>
      </c>
      <c r="I19" s="948">
        <v>0</v>
      </c>
      <c r="J19" s="948">
        <v>0</v>
      </c>
      <c r="K19" s="948">
        <v>0</v>
      </c>
      <c r="L19" s="948">
        <v>0</v>
      </c>
      <c r="M19" s="948">
        <v>0</v>
      </c>
      <c r="N19" s="948">
        <v>0</v>
      </c>
      <c r="O19" s="948">
        <v>15105.260000000002</v>
      </c>
      <c r="P19" s="949">
        <v>15105.260000000002</v>
      </c>
      <c r="Q19" s="948">
        <v>0</v>
      </c>
      <c r="R19" s="948">
        <v>0</v>
      </c>
      <c r="S19" s="948">
        <v>0.99</v>
      </c>
      <c r="T19" s="948">
        <v>0</v>
      </c>
      <c r="U19" s="948">
        <v>0</v>
      </c>
      <c r="V19" s="948">
        <v>70.94</v>
      </c>
      <c r="W19" s="948">
        <v>0.95</v>
      </c>
      <c r="X19" s="948">
        <v>0</v>
      </c>
      <c r="Y19" s="948">
        <v>0</v>
      </c>
      <c r="Z19" s="948">
        <v>0</v>
      </c>
      <c r="AA19" s="948">
        <v>6.39</v>
      </c>
      <c r="AB19" s="948">
        <v>0</v>
      </c>
      <c r="AC19" s="948">
        <v>14.95</v>
      </c>
      <c r="AD19" s="948">
        <v>0</v>
      </c>
      <c r="AE19" s="948">
        <v>44.160000000000004</v>
      </c>
      <c r="AF19" s="948">
        <v>0</v>
      </c>
      <c r="AG19" s="948">
        <v>0</v>
      </c>
      <c r="AH19" s="948">
        <v>0</v>
      </c>
      <c r="AI19" s="948">
        <v>0</v>
      </c>
      <c r="AJ19" s="948">
        <v>0</v>
      </c>
      <c r="AK19" s="948">
        <v>0</v>
      </c>
      <c r="AL19" s="948">
        <v>44.160000000000004</v>
      </c>
      <c r="AM19" s="948">
        <v>0</v>
      </c>
      <c r="AN19" s="948">
        <v>0</v>
      </c>
      <c r="AO19" s="948">
        <v>0</v>
      </c>
      <c r="AP19" s="948">
        <v>0</v>
      </c>
      <c r="AQ19" s="948">
        <v>0</v>
      </c>
      <c r="AR19" s="948">
        <v>0</v>
      </c>
      <c r="AS19" s="948">
        <v>4.49</v>
      </c>
      <c r="AT19" s="948">
        <v>0</v>
      </c>
      <c r="AU19" s="948">
        <v>0</v>
      </c>
      <c r="AV19" s="948">
        <v>0</v>
      </c>
      <c r="AW19" s="948">
        <v>0</v>
      </c>
      <c r="AX19" s="948">
        <v>0</v>
      </c>
      <c r="AY19" s="948">
        <v>0</v>
      </c>
      <c r="AZ19" s="948">
        <v>0</v>
      </c>
      <c r="BA19" s="948">
        <v>0</v>
      </c>
      <c r="BB19" s="948">
        <v>0</v>
      </c>
      <c r="BC19" s="948">
        <v>0</v>
      </c>
      <c r="BD19" s="948">
        <v>0</v>
      </c>
      <c r="BE19" s="948">
        <v>0</v>
      </c>
      <c r="BF19" s="948">
        <v>0</v>
      </c>
      <c r="BG19" s="948">
        <v>0</v>
      </c>
      <c r="BH19" s="948">
        <v>0</v>
      </c>
      <c r="BI19" s="948">
        <v>0</v>
      </c>
      <c r="BJ19" s="948">
        <v>0</v>
      </c>
      <c r="BK19" s="948">
        <v>0</v>
      </c>
      <c r="BL19" s="948">
        <v>71.929999999999993</v>
      </c>
      <c r="BM19" s="948">
        <v>-71.929999999999993</v>
      </c>
      <c r="BN19" s="948">
        <v>15105.260000000002</v>
      </c>
      <c r="BR19" s="950"/>
      <c r="BS19" s="951"/>
      <c r="BT19" s="951"/>
    </row>
    <row r="20" spans="1:73" s="962" customFormat="1" ht="34.5" customHeight="1">
      <c r="A20" s="228" t="s">
        <v>30</v>
      </c>
      <c r="B20" s="961" t="s">
        <v>31</v>
      </c>
      <c r="C20" s="228" t="s">
        <v>32</v>
      </c>
      <c r="D20" s="948">
        <v>0</v>
      </c>
      <c r="E20" s="948">
        <v>0</v>
      </c>
      <c r="F20" s="948">
        <v>0</v>
      </c>
      <c r="G20" s="948">
        <v>0</v>
      </c>
      <c r="H20" s="948">
        <v>0</v>
      </c>
      <c r="I20" s="948">
        <v>0</v>
      </c>
      <c r="J20" s="948">
        <v>0</v>
      </c>
      <c r="K20" s="948">
        <v>0</v>
      </c>
      <c r="L20" s="948">
        <v>0</v>
      </c>
      <c r="M20" s="948">
        <v>0</v>
      </c>
      <c r="N20" s="948">
        <v>0</v>
      </c>
      <c r="O20" s="948">
        <v>0</v>
      </c>
      <c r="P20" s="948">
        <v>0</v>
      </c>
      <c r="Q20" s="949">
        <v>0</v>
      </c>
      <c r="R20" s="948">
        <v>0</v>
      </c>
      <c r="S20" s="948">
        <v>0</v>
      </c>
      <c r="T20" s="948">
        <v>0</v>
      </c>
      <c r="U20" s="948">
        <v>0</v>
      </c>
      <c r="V20" s="948">
        <v>0</v>
      </c>
      <c r="W20" s="948">
        <v>0</v>
      </c>
      <c r="X20" s="948">
        <v>0</v>
      </c>
      <c r="Y20" s="948">
        <v>0</v>
      </c>
      <c r="Z20" s="948">
        <v>0</v>
      </c>
      <c r="AA20" s="948">
        <v>0</v>
      </c>
      <c r="AB20" s="948">
        <v>0</v>
      </c>
      <c r="AC20" s="948">
        <v>0</v>
      </c>
      <c r="AD20" s="948">
        <v>0</v>
      </c>
      <c r="AE20" s="948">
        <v>0</v>
      </c>
      <c r="AF20" s="948">
        <v>0</v>
      </c>
      <c r="AG20" s="948">
        <v>0</v>
      </c>
      <c r="AH20" s="948">
        <v>0</v>
      </c>
      <c r="AI20" s="948">
        <v>0</v>
      </c>
      <c r="AJ20" s="948">
        <v>0</v>
      </c>
      <c r="AK20" s="948">
        <v>0</v>
      </c>
      <c r="AL20" s="948">
        <v>0</v>
      </c>
      <c r="AM20" s="948">
        <v>0</v>
      </c>
      <c r="AN20" s="948">
        <v>0</v>
      </c>
      <c r="AO20" s="948">
        <v>0</v>
      </c>
      <c r="AP20" s="948">
        <v>0</v>
      </c>
      <c r="AQ20" s="948">
        <v>0</v>
      </c>
      <c r="AR20" s="948">
        <v>0</v>
      </c>
      <c r="AS20" s="948">
        <v>0</v>
      </c>
      <c r="AT20" s="948">
        <v>0</v>
      </c>
      <c r="AU20" s="948">
        <v>0</v>
      </c>
      <c r="AV20" s="948">
        <v>0</v>
      </c>
      <c r="AW20" s="948">
        <v>0</v>
      </c>
      <c r="AX20" s="948">
        <v>0</v>
      </c>
      <c r="AY20" s="948">
        <v>0</v>
      </c>
      <c r="AZ20" s="948">
        <v>0</v>
      </c>
      <c r="BA20" s="948">
        <v>0</v>
      </c>
      <c r="BB20" s="948">
        <v>0</v>
      </c>
      <c r="BC20" s="948">
        <v>0</v>
      </c>
      <c r="BD20" s="948">
        <v>0</v>
      </c>
      <c r="BE20" s="948">
        <v>0</v>
      </c>
      <c r="BF20" s="948">
        <v>0</v>
      </c>
      <c r="BG20" s="948">
        <v>0</v>
      </c>
      <c r="BH20" s="948">
        <v>0</v>
      </c>
      <c r="BI20" s="948">
        <v>0</v>
      </c>
      <c r="BJ20" s="948">
        <v>0</v>
      </c>
      <c r="BK20" s="948">
        <v>0</v>
      </c>
      <c r="BL20" s="948">
        <v>0</v>
      </c>
      <c r="BM20" s="948">
        <v>0</v>
      </c>
      <c r="BN20" s="948">
        <v>0</v>
      </c>
      <c r="BR20" s="950"/>
      <c r="BS20" s="951"/>
      <c r="BT20" s="951"/>
    </row>
    <row r="21" spans="1:73" s="963" customFormat="1" ht="33" customHeight="1">
      <c r="A21" s="228" t="s">
        <v>33</v>
      </c>
      <c r="B21" s="961" t="s">
        <v>34</v>
      </c>
      <c r="C21" s="228" t="s">
        <v>35</v>
      </c>
      <c r="D21" s="948">
        <v>13541.636099999998</v>
      </c>
      <c r="E21" s="948">
        <v>13168.926099999997</v>
      </c>
      <c r="F21" s="948">
        <v>0</v>
      </c>
      <c r="G21" s="948">
        <v>0</v>
      </c>
      <c r="H21" s="948">
        <v>0</v>
      </c>
      <c r="I21" s="948">
        <v>0</v>
      </c>
      <c r="J21" s="948">
        <v>0</v>
      </c>
      <c r="K21" s="948">
        <v>0</v>
      </c>
      <c r="L21" s="948">
        <v>0</v>
      </c>
      <c r="M21" s="948">
        <v>0</v>
      </c>
      <c r="N21" s="948">
        <v>0</v>
      </c>
      <c r="O21" s="948">
        <v>13158.796099999998</v>
      </c>
      <c r="P21" s="948">
        <v>0</v>
      </c>
      <c r="Q21" s="948">
        <v>0</v>
      </c>
      <c r="R21" s="949">
        <v>13158.796099999998</v>
      </c>
      <c r="S21" s="948">
        <v>10.130000000000001</v>
      </c>
      <c r="T21" s="948">
        <v>0</v>
      </c>
      <c r="U21" s="948">
        <v>0</v>
      </c>
      <c r="V21" s="948">
        <v>372.71000000000004</v>
      </c>
      <c r="W21" s="948">
        <v>4.3099999999999996</v>
      </c>
      <c r="X21" s="948">
        <v>0</v>
      </c>
      <c r="Y21" s="948">
        <v>5.33</v>
      </c>
      <c r="Z21" s="948">
        <v>0</v>
      </c>
      <c r="AA21" s="948">
        <v>0</v>
      </c>
      <c r="AB21" s="948">
        <v>51.07</v>
      </c>
      <c r="AC21" s="948">
        <v>8.94</v>
      </c>
      <c r="AD21" s="948">
        <v>0</v>
      </c>
      <c r="AE21" s="948">
        <v>17.66</v>
      </c>
      <c r="AF21" s="948">
        <v>0</v>
      </c>
      <c r="AG21" s="948">
        <v>0</v>
      </c>
      <c r="AH21" s="948">
        <v>0</v>
      </c>
      <c r="AI21" s="948">
        <v>0.05</v>
      </c>
      <c r="AJ21" s="948">
        <v>0</v>
      </c>
      <c r="AK21" s="948">
        <v>0</v>
      </c>
      <c r="AL21" s="948">
        <v>16.57</v>
      </c>
      <c r="AM21" s="948">
        <v>0.04</v>
      </c>
      <c r="AN21" s="948">
        <v>0</v>
      </c>
      <c r="AO21" s="948">
        <v>0</v>
      </c>
      <c r="AP21" s="948">
        <v>1</v>
      </c>
      <c r="AQ21" s="948">
        <v>0</v>
      </c>
      <c r="AR21" s="948">
        <v>0</v>
      </c>
      <c r="AS21" s="948">
        <v>0.78</v>
      </c>
      <c r="AT21" s="948">
        <v>0</v>
      </c>
      <c r="AU21" s="948">
        <v>0.1</v>
      </c>
      <c r="AV21" s="948">
        <v>0</v>
      </c>
      <c r="AW21" s="948">
        <v>0</v>
      </c>
      <c r="AX21" s="948">
        <v>0</v>
      </c>
      <c r="AY21" s="948">
        <v>0.95</v>
      </c>
      <c r="AZ21" s="948">
        <v>0</v>
      </c>
      <c r="BA21" s="948">
        <v>283.39000000000004</v>
      </c>
      <c r="BB21" s="948">
        <v>0</v>
      </c>
      <c r="BC21" s="948">
        <v>0.18</v>
      </c>
      <c r="BD21" s="948">
        <v>0</v>
      </c>
      <c r="BE21" s="948">
        <v>0</v>
      </c>
      <c r="BF21" s="948">
        <v>0</v>
      </c>
      <c r="BG21" s="948">
        <v>0</v>
      </c>
      <c r="BH21" s="948">
        <v>0</v>
      </c>
      <c r="BI21" s="948">
        <v>0</v>
      </c>
      <c r="BJ21" s="948">
        <v>0</v>
      </c>
      <c r="BK21" s="948">
        <v>0</v>
      </c>
      <c r="BL21" s="948">
        <v>382.84000000000003</v>
      </c>
      <c r="BM21" s="948">
        <v>-382.84000000000003</v>
      </c>
      <c r="BN21" s="948">
        <v>13158.796099999998</v>
      </c>
      <c r="BR21" s="950"/>
      <c r="BS21" s="951"/>
      <c r="BT21" s="951"/>
    </row>
    <row r="22" spans="1:73" s="963" customFormat="1" ht="33" customHeight="1">
      <c r="A22" s="228" t="s">
        <v>36</v>
      </c>
      <c r="B22" s="961" t="s">
        <v>37</v>
      </c>
      <c r="C22" s="228" t="s">
        <v>38</v>
      </c>
      <c r="D22" s="948">
        <v>3586.9500000000003</v>
      </c>
      <c r="E22" s="948">
        <v>3371.8700000000003</v>
      </c>
      <c r="F22" s="948">
        <v>0</v>
      </c>
      <c r="G22" s="948">
        <v>0</v>
      </c>
      <c r="H22" s="948">
        <v>0</v>
      </c>
      <c r="I22" s="948">
        <v>0</v>
      </c>
      <c r="J22" s="948">
        <v>0</v>
      </c>
      <c r="K22" s="948">
        <v>0</v>
      </c>
      <c r="L22" s="948">
        <v>0</v>
      </c>
      <c r="M22" s="948">
        <v>0</v>
      </c>
      <c r="N22" s="948">
        <v>0</v>
      </c>
      <c r="O22" s="948">
        <v>0</v>
      </c>
      <c r="P22" s="948">
        <v>0</v>
      </c>
      <c r="Q22" s="948">
        <v>0</v>
      </c>
      <c r="R22" s="948">
        <v>0</v>
      </c>
      <c r="S22" s="949">
        <v>3371.8700000000003</v>
      </c>
      <c r="T22" s="948">
        <v>0</v>
      </c>
      <c r="U22" s="948">
        <v>0</v>
      </c>
      <c r="V22" s="948">
        <v>215.07999999999998</v>
      </c>
      <c r="W22" s="948">
        <v>0</v>
      </c>
      <c r="X22" s="948">
        <v>0</v>
      </c>
      <c r="Y22" s="948">
        <v>3.55</v>
      </c>
      <c r="Z22" s="948">
        <v>0</v>
      </c>
      <c r="AA22" s="948">
        <v>127.11</v>
      </c>
      <c r="AB22" s="948">
        <v>0.63</v>
      </c>
      <c r="AC22" s="948">
        <v>47.35</v>
      </c>
      <c r="AD22" s="948">
        <v>0</v>
      </c>
      <c r="AE22" s="948">
        <v>29.150000000000002</v>
      </c>
      <c r="AF22" s="948">
        <v>0</v>
      </c>
      <c r="AG22" s="948">
        <v>0</v>
      </c>
      <c r="AH22" s="948">
        <v>0.36</v>
      </c>
      <c r="AI22" s="948">
        <v>0</v>
      </c>
      <c r="AJ22" s="948">
        <v>0</v>
      </c>
      <c r="AK22" s="948">
        <v>0</v>
      </c>
      <c r="AL22" s="948">
        <v>28.520000000000003</v>
      </c>
      <c r="AM22" s="948">
        <v>0.27</v>
      </c>
      <c r="AN22" s="948">
        <v>0</v>
      </c>
      <c r="AO22" s="948">
        <v>0</v>
      </c>
      <c r="AP22" s="948">
        <v>0</v>
      </c>
      <c r="AQ22" s="948">
        <v>0</v>
      </c>
      <c r="AR22" s="948">
        <v>0</v>
      </c>
      <c r="AS22" s="948">
        <v>1.49</v>
      </c>
      <c r="AT22" s="948">
        <v>1.1099999999999999</v>
      </c>
      <c r="AU22" s="948">
        <v>0.85000000000000009</v>
      </c>
      <c r="AV22" s="948">
        <v>0.24</v>
      </c>
      <c r="AW22" s="948">
        <v>0</v>
      </c>
      <c r="AX22" s="948">
        <v>0</v>
      </c>
      <c r="AY22" s="948">
        <v>0.03</v>
      </c>
      <c r="AZ22" s="948">
        <v>0</v>
      </c>
      <c r="BA22" s="948">
        <v>3.0300000000000002</v>
      </c>
      <c r="BB22" s="948">
        <v>0</v>
      </c>
      <c r="BC22" s="948">
        <v>0.36</v>
      </c>
      <c r="BD22" s="948">
        <v>0</v>
      </c>
      <c r="BE22" s="948">
        <v>0</v>
      </c>
      <c r="BF22" s="948">
        <v>0.18</v>
      </c>
      <c r="BG22" s="948">
        <v>0</v>
      </c>
      <c r="BH22" s="948">
        <v>0</v>
      </c>
      <c r="BI22" s="948">
        <v>0</v>
      </c>
      <c r="BJ22" s="948">
        <v>0</v>
      </c>
      <c r="BK22" s="948">
        <v>0</v>
      </c>
      <c r="BL22" s="948">
        <v>215.07999999999998</v>
      </c>
      <c r="BM22" s="948">
        <v>-11.849999999999966</v>
      </c>
      <c r="BN22" s="948">
        <v>3575.1000000000004</v>
      </c>
      <c r="BO22" s="966">
        <v>85.94</v>
      </c>
      <c r="BR22" s="950"/>
      <c r="BS22" s="951"/>
      <c r="BT22" s="951"/>
    </row>
    <row r="23" spans="1:73" s="962" customFormat="1" ht="26.25" hidden="1" customHeight="1">
      <c r="A23" s="228" t="s">
        <v>27</v>
      </c>
      <c r="B23" s="961" t="s">
        <v>40</v>
      </c>
      <c r="C23" s="228" t="s">
        <v>41</v>
      </c>
      <c r="D23" s="948">
        <v>0</v>
      </c>
      <c r="E23" s="948">
        <v>0</v>
      </c>
      <c r="F23" s="948">
        <v>0</v>
      </c>
      <c r="G23" s="948">
        <v>0</v>
      </c>
      <c r="H23" s="948">
        <v>0</v>
      </c>
      <c r="I23" s="948">
        <v>0</v>
      </c>
      <c r="J23" s="948">
        <v>0</v>
      </c>
      <c r="K23" s="948">
        <v>0</v>
      </c>
      <c r="L23" s="948">
        <v>0</v>
      </c>
      <c r="M23" s="948">
        <v>0</v>
      </c>
      <c r="N23" s="948">
        <v>0</v>
      </c>
      <c r="O23" s="948">
        <v>0</v>
      </c>
      <c r="P23" s="948">
        <v>0</v>
      </c>
      <c r="Q23" s="948">
        <v>0</v>
      </c>
      <c r="R23" s="948">
        <v>0</v>
      </c>
      <c r="S23" s="948">
        <v>0</v>
      </c>
      <c r="T23" s="949">
        <v>0</v>
      </c>
      <c r="U23" s="948">
        <v>0</v>
      </c>
      <c r="V23" s="948">
        <v>0</v>
      </c>
      <c r="W23" s="948">
        <v>0</v>
      </c>
      <c r="X23" s="948">
        <v>0</v>
      </c>
      <c r="Y23" s="948">
        <v>0</v>
      </c>
      <c r="Z23" s="948">
        <v>0</v>
      </c>
      <c r="AA23" s="948">
        <v>0</v>
      </c>
      <c r="AB23" s="948">
        <v>0</v>
      </c>
      <c r="AC23" s="948">
        <v>0</v>
      </c>
      <c r="AD23" s="948">
        <v>0</v>
      </c>
      <c r="AE23" s="948">
        <v>0</v>
      </c>
      <c r="AF23" s="948">
        <v>0</v>
      </c>
      <c r="AG23" s="948">
        <v>0</v>
      </c>
      <c r="AH23" s="948">
        <v>0</v>
      </c>
      <c r="AI23" s="948">
        <v>0</v>
      </c>
      <c r="AJ23" s="948">
        <v>0</v>
      </c>
      <c r="AK23" s="948">
        <v>0</v>
      </c>
      <c r="AL23" s="948">
        <v>0</v>
      </c>
      <c r="AM23" s="948">
        <v>0</v>
      </c>
      <c r="AN23" s="948">
        <v>0</v>
      </c>
      <c r="AO23" s="948">
        <v>0</v>
      </c>
      <c r="AP23" s="948">
        <v>0</v>
      </c>
      <c r="AQ23" s="948">
        <v>0</v>
      </c>
      <c r="AR23" s="948">
        <v>0</v>
      </c>
      <c r="AS23" s="948">
        <v>0</v>
      </c>
      <c r="AT23" s="948">
        <v>0</v>
      </c>
      <c r="AU23" s="948">
        <v>0</v>
      </c>
      <c r="AV23" s="948">
        <v>0</v>
      </c>
      <c r="AW23" s="948">
        <v>0</v>
      </c>
      <c r="AX23" s="948">
        <v>0</v>
      </c>
      <c r="AY23" s="948">
        <v>0</v>
      </c>
      <c r="AZ23" s="948">
        <v>0</v>
      </c>
      <c r="BA23" s="948">
        <v>0</v>
      </c>
      <c r="BB23" s="948">
        <v>0</v>
      </c>
      <c r="BC23" s="948">
        <v>0</v>
      </c>
      <c r="BD23" s="948">
        <v>0</v>
      </c>
      <c r="BE23" s="948">
        <v>0</v>
      </c>
      <c r="BF23" s="948">
        <v>0</v>
      </c>
      <c r="BG23" s="948">
        <v>0</v>
      </c>
      <c r="BH23" s="948">
        <v>0</v>
      </c>
      <c r="BI23" s="948">
        <v>0</v>
      </c>
      <c r="BJ23" s="948">
        <v>0</v>
      </c>
      <c r="BK23" s="948">
        <v>0</v>
      </c>
      <c r="BL23" s="948">
        <v>0</v>
      </c>
      <c r="BM23" s="948">
        <v>0</v>
      </c>
      <c r="BN23" s="948">
        <v>0</v>
      </c>
      <c r="BR23" s="950"/>
      <c r="BS23" s="951"/>
      <c r="BT23" s="951"/>
    </row>
    <row r="24" spans="1:73" s="963" customFormat="1" ht="34.5" customHeight="1">
      <c r="A24" s="228" t="s">
        <v>39</v>
      </c>
      <c r="B24" s="961" t="s">
        <v>43</v>
      </c>
      <c r="C24" s="228" t="s">
        <v>44</v>
      </c>
      <c r="D24" s="948">
        <v>40.08</v>
      </c>
      <c r="E24" s="948">
        <v>40.08</v>
      </c>
      <c r="F24" s="948">
        <v>0</v>
      </c>
      <c r="G24" s="948">
        <v>0</v>
      </c>
      <c r="H24" s="948">
        <v>0</v>
      </c>
      <c r="I24" s="948">
        <v>0</v>
      </c>
      <c r="J24" s="948">
        <v>0</v>
      </c>
      <c r="K24" s="948">
        <v>0</v>
      </c>
      <c r="L24" s="948">
        <v>0</v>
      </c>
      <c r="M24" s="948">
        <v>0</v>
      </c>
      <c r="N24" s="948">
        <v>0</v>
      </c>
      <c r="O24" s="948">
        <v>0</v>
      </c>
      <c r="P24" s="948">
        <v>0</v>
      </c>
      <c r="Q24" s="948">
        <v>0</v>
      </c>
      <c r="R24" s="948">
        <v>0</v>
      </c>
      <c r="S24" s="948">
        <v>0</v>
      </c>
      <c r="T24" s="948">
        <v>0</v>
      </c>
      <c r="U24" s="949">
        <v>40.08</v>
      </c>
      <c r="V24" s="948">
        <v>0</v>
      </c>
      <c r="W24" s="948">
        <v>0</v>
      </c>
      <c r="X24" s="948">
        <v>0</v>
      </c>
      <c r="Y24" s="948">
        <v>0</v>
      </c>
      <c r="Z24" s="948">
        <v>0</v>
      </c>
      <c r="AA24" s="948">
        <v>0</v>
      </c>
      <c r="AB24" s="948">
        <v>0</v>
      </c>
      <c r="AC24" s="948">
        <v>0</v>
      </c>
      <c r="AD24" s="948">
        <v>0</v>
      </c>
      <c r="AE24" s="948">
        <v>0</v>
      </c>
      <c r="AF24" s="948">
        <v>0</v>
      </c>
      <c r="AG24" s="948">
        <v>0</v>
      </c>
      <c r="AH24" s="948">
        <v>0</v>
      </c>
      <c r="AI24" s="948">
        <v>0</v>
      </c>
      <c r="AJ24" s="948">
        <v>0</v>
      </c>
      <c r="AK24" s="948">
        <v>0</v>
      </c>
      <c r="AL24" s="948">
        <v>0</v>
      </c>
      <c r="AM24" s="948">
        <v>0</v>
      </c>
      <c r="AN24" s="948">
        <v>0</v>
      </c>
      <c r="AO24" s="948">
        <v>0</v>
      </c>
      <c r="AP24" s="948">
        <v>0</v>
      </c>
      <c r="AQ24" s="948">
        <v>0</v>
      </c>
      <c r="AR24" s="948">
        <v>0</v>
      </c>
      <c r="AS24" s="948">
        <v>0</v>
      </c>
      <c r="AT24" s="948">
        <v>0</v>
      </c>
      <c r="AU24" s="948">
        <v>0</v>
      </c>
      <c r="AV24" s="948">
        <v>0</v>
      </c>
      <c r="AW24" s="948">
        <v>0</v>
      </c>
      <c r="AX24" s="948">
        <v>0</v>
      </c>
      <c r="AY24" s="948">
        <v>0</v>
      </c>
      <c r="AZ24" s="948">
        <v>0</v>
      </c>
      <c r="BA24" s="948">
        <v>0</v>
      </c>
      <c r="BB24" s="948">
        <v>0</v>
      </c>
      <c r="BC24" s="948">
        <v>0</v>
      </c>
      <c r="BD24" s="948">
        <v>0</v>
      </c>
      <c r="BE24" s="948">
        <v>0</v>
      </c>
      <c r="BF24" s="948">
        <v>0</v>
      </c>
      <c r="BG24" s="948">
        <v>0</v>
      </c>
      <c r="BH24" s="948">
        <v>0</v>
      </c>
      <c r="BI24" s="948">
        <v>0</v>
      </c>
      <c r="BJ24" s="948">
        <v>0</v>
      </c>
      <c r="BK24" s="948">
        <v>0</v>
      </c>
      <c r="BL24" s="948">
        <v>0</v>
      </c>
      <c r="BM24" s="948">
        <v>0</v>
      </c>
      <c r="BN24" s="948">
        <v>40.08</v>
      </c>
      <c r="BR24" s="950"/>
      <c r="BS24" s="951"/>
      <c r="BT24" s="951"/>
    </row>
    <row r="25" spans="1:73" s="950" customFormat="1" ht="34.5" customHeight="1">
      <c r="A25" s="952">
        <v>2</v>
      </c>
      <c r="B25" s="959" t="s">
        <v>45</v>
      </c>
      <c r="C25" s="952" t="s">
        <v>46</v>
      </c>
      <c r="D25" s="953">
        <v>7712.7726700000003</v>
      </c>
      <c r="E25" s="953">
        <v>101.79</v>
      </c>
      <c r="F25" s="953">
        <v>0</v>
      </c>
      <c r="G25" s="953">
        <v>0</v>
      </c>
      <c r="H25" s="953">
        <v>0</v>
      </c>
      <c r="I25" s="953">
        <v>0</v>
      </c>
      <c r="J25" s="953">
        <v>0</v>
      </c>
      <c r="K25" s="953">
        <v>0</v>
      </c>
      <c r="L25" s="953">
        <v>0</v>
      </c>
      <c r="M25" s="953">
        <v>0</v>
      </c>
      <c r="N25" s="953">
        <v>0</v>
      </c>
      <c r="O25" s="953">
        <v>0</v>
      </c>
      <c r="P25" s="953">
        <v>0</v>
      </c>
      <c r="Q25" s="953">
        <v>0</v>
      </c>
      <c r="R25" s="953">
        <v>0</v>
      </c>
      <c r="S25" s="953">
        <v>101.79</v>
      </c>
      <c r="T25" s="953">
        <v>0</v>
      </c>
      <c r="U25" s="953">
        <v>0</v>
      </c>
      <c r="V25" s="954">
        <v>7610.9826700000003</v>
      </c>
      <c r="W25" s="953">
        <v>281.43867</v>
      </c>
      <c r="X25" s="953">
        <v>9.83</v>
      </c>
      <c r="Y25" s="953">
        <v>82.7</v>
      </c>
      <c r="Z25" s="953">
        <v>0</v>
      </c>
      <c r="AA25" s="953">
        <v>21.76</v>
      </c>
      <c r="AB25" s="953">
        <v>358.94716999999997</v>
      </c>
      <c r="AC25" s="953">
        <v>135.05000000000004</v>
      </c>
      <c r="AD25" s="953">
        <v>0</v>
      </c>
      <c r="AE25" s="953">
        <v>2114.2525000000005</v>
      </c>
      <c r="AF25" s="953">
        <v>16.270000000000007</v>
      </c>
      <c r="AG25" s="953">
        <v>7.9336999999999991</v>
      </c>
      <c r="AH25" s="953">
        <v>70.226209999999995</v>
      </c>
      <c r="AI25" s="953">
        <v>113.77800000000001</v>
      </c>
      <c r="AJ25" s="953">
        <v>0</v>
      </c>
      <c r="AK25" s="953">
        <v>0.04</v>
      </c>
      <c r="AL25" s="953">
        <v>1409.4025899999995</v>
      </c>
      <c r="AM25" s="953">
        <v>480.62782999999996</v>
      </c>
      <c r="AN25" s="953">
        <v>2.4999999999999996</v>
      </c>
      <c r="AO25" s="953">
        <v>1.49255</v>
      </c>
      <c r="AP25" s="953">
        <v>11.981619999999999</v>
      </c>
      <c r="AQ25" s="953">
        <v>0.24000000000000002</v>
      </c>
      <c r="AR25" s="953">
        <v>0</v>
      </c>
      <c r="AS25" s="953">
        <v>44.66</v>
      </c>
      <c r="AT25" s="953">
        <v>312.60955000000001</v>
      </c>
      <c r="AU25" s="953">
        <v>330.22450000000003</v>
      </c>
      <c r="AV25" s="953">
        <v>45.450279999999992</v>
      </c>
      <c r="AW25" s="953">
        <v>0.67</v>
      </c>
      <c r="AX25" s="953">
        <v>0</v>
      </c>
      <c r="AY25" s="953">
        <v>10.78</v>
      </c>
      <c r="AZ25" s="953">
        <v>237.46000000000004</v>
      </c>
      <c r="BA25" s="953">
        <v>23.870399999999997</v>
      </c>
      <c r="BB25" s="953">
        <v>12.339599999999999</v>
      </c>
      <c r="BC25" s="953">
        <v>14.049999999999999</v>
      </c>
      <c r="BD25" s="953">
        <v>10.440000000000003</v>
      </c>
      <c r="BE25" s="953">
        <v>2479.7200000000003</v>
      </c>
      <c r="BF25" s="953">
        <v>1082.3999999999999</v>
      </c>
      <c r="BG25" s="953">
        <v>2.09</v>
      </c>
      <c r="BH25" s="953">
        <v>0</v>
      </c>
      <c r="BI25" s="953">
        <v>0</v>
      </c>
      <c r="BJ25" s="953">
        <v>0</v>
      </c>
      <c r="BK25" s="953">
        <v>0</v>
      </c>
      <c r="BL25" s="953">
        <v>101.79</v>
      </c>
      <c r="BM25" s="953">
        <v>888.03000000000009</v>
      </c>
      <c r="BN25" s="953">
        <v>8600.8026700000009</v>
      </c>
      <c r="BO25" s="951">
        <v>8600.8026699999991</v>
      </c>
      <c r="BP25" s="973">
        <v>16.543521619207873</v>
      </c>
      <c r="BQ25" s="951">
        <v>8600.8026699999991</v>
      </c>
      <c r="BR25" s="951"/>
      <c r="BS25" s="951"/>
      <c r="BT25" s="951"/>
      <c r="BU25" s="955"/>
    </row>
    <row r="26" spans="1:73" s="223" customFormat="1" ht="34.5" customHeight="1">
      <c r="A26" s="5" t="s">
        <v>47</v>
      </c>
      <c r="B26" s="81" t="s">
        <v>48</v>
      </c>
      <c r="C26" s="5" t="s">
        <v>49</v>
      </c>
      <c r="D26" s="100">
        <v>285.92867000000001</v>
      </c>
      <c r="E26" s="100">
        <v>0</v>
      </c>
      <c r="F26" s="100">
        <v>0</v>
      </c>
      <c r="G26" s="100">
        <v>0</v>
      </c>
      <c r="H26" s="100">
        <v>0</v>
      </c>
      <c r="I26" s="100">
        <v>0</v>
      </c>
      <c r="J26" s="100">
        <v>0</v>
      </c>
      <c r="K26" s="100">
        <v>0</v>
      </c>
      <c r="L26" s="100">
        <v>0</v>
      </c>
      <c r="M26" s="100">
        <v>0</v>
      </c>
      <c r="N26" s="100">
        <v>0</v>
      </c>
      <c r="O26" s="100">
        <v>0</v>
      </c>
      <c r="P26" s="100">
        <v>0</v>
      </c>
      <c r="Q26" s="100">
        <v>0</v>
      </c>
      <c r="R26" s="100">
        <v>0</v>
      </c>
      <c r="S26" s="100">
        <v>0</v>
      </c>
      <c r="T26" s="100">
        <v>0</v>
      </c>
      <c r="U26" s="100">
        <v>0</v>
      </c>
      <c r="V26" s="100">
        <v>285.92866999999995</v>
      </c>
      <c r="W26" s="516">
        <v>280.06867</v>
      </c>
      <c r="X26" s="100">
        <v>0</v>
      </c>
      <c r="Y26" s="100">
        <v>0</v>
      </c>
      <c r="Z26" s="100">
        <v>0</v>
      </c>
      <c r="AA26" s="100">
        <v>0</v>
      </c>
      <c r="AB26" s="100">
        <v>1.01</v>
      </c>
      <c r="AC26" s="100">
        <v>0</v>
      </c>
      <c r="AD26" s="100">
        <v>0</v>
      </c>
      <c r="AE26" s="100">
        <v>1.58</v>
      </c>
      <c r="AF26" s="100">
        <v>0</v>
      </c>
      <c r="AG26" s="100">
        <v>0</v>
      </c>
      <c r="AH26" s="100">
        <v>0</v>
      </c>
      <c r="AI26" s="100">
        <v>0</v>
      </c>
      <c r="AJ26" s="100">
        <v>0</v>
      </c>
      <c r="AK26" s="100">
        <v>0</v>
      </c>
      <c r="AL26" s="100">
        <v>1.58</v>
      </c>
      <c r="AM26" s="100">
        <v>0</v>
      </c>
      <c r="AN26" s="100">
        <v>0</v>
      </c>
      <c r="AO26" s="100">
        <v>0</v>
      </c>
      <c r="AP26" s="100">
        <v>0</v>
      </c>
      <c r="AQ26" s="100">
        <v>0</v>
      </c>
      <c r="AR26" s="100">
        <v>0</v>
      </c>
      <c r="AS26" s="100">
        <v>0</v>
      </c>
      <c r="AT26" s="100">
        <v>0</v>
      </c>
      <c r="AU26" s="100">
        <v>0</v>
      </c>
      <c r="AV26" s="100">
        <v>3.2</v>
      </c>
      <c r="AW26" s="100">
        <v>0</v>
      </c>
      <c r="AX26" s="100">
        <v>0</v>
      </c>
      <c r="AY26" s="100">
        <v>0</v>
      </c>
      <c r="AZ26" s="100">
        <v>0</v>
      </c>
      <c r="BA26" s="100">
        <v>0</v>
      </c>
      <c r="BB26" s="100">
        <v>0</v>
      </c>
      <c r="BC26" s="100">
        <v>7.0000000000000007E-2</v>
      </c>
      <c r="BD26" s="100">
        <v>0</v>
      </c>
      <c r="BE26" s="100">
        <v>0</v>
      </c>
      <c r="BF26" s="100">
        <v>0</v>
      </c>
      <c r="BG26" s="100">
        <v>0</v>
      </c>
      <c r="BH26" s="100">
        <v>0</v>
      </c>
      <c r="BI26" s="100">
        <v>0</v>
      </c>
      <c r="BJ26" s="100">
        <v>0</v>
      </c>
      <c r="BK26" s="100">
        <v>0</v>
      </c>
      <c r="BL26" s="100">
        <v>5.86</v>
      </c>
      <c r="BM26" s="100">
        <v>1.2799999999999994</v>
      </c>
      <c r="BN26" s="100">
        <v>287.20866999999998</v>
      </c>
      <c r="BO26" s="224">
        <v>1284.4358399999999</v>
      </c>
      <c r="BP26" s="224"/>
      <c r="BR26" s="222"/>
      <c r="BS26" s="659"/>
      <c r="BT26" s="659"/>
    </row>
    <row r="27" spans="1:73" s="223" customFormat="1" ht="34.5" customHeight="1">
      <c r="A27" s="5" t="s">
        <v>50</v>
      </c>
      <c r="B27" s="81" t="s">
        <v>51</v>
      </c>
      <c r="C27" s="5" t="s">
        <v>52</v>
      </c>
      <c r="D27" s="100">
        <v>9.83</v>
      </c>
      <c r="E27" s="100">
        <v>0</v>
      </c>
      <c r="F27" s="100">
        <v>0</v>
      </c>
      <c r="G27" s="100">
        <v>0</v>
      </c>
      <c r="H27" s="100">
        <v>0</v>
      </c>
      <c r="I27" s="100">
        <v>0</v>
      </c>
      <c r="J27" s="100">
        <v>0</v>
      </c>
      <c r="K27" s="100">
        <v>0</v>
      </c>
      <c r="L27" s="100">
        <v>0</v>
      </c>
      <c r="M27" s="100">
        <v>0</v>
      </c>
      <c r="N27" s="100">
        <v>0</v>
      </c>
      <c r="O27" s="100">
        <v>0</v>
      </c>
      <c r="P27" s="100">
        <v>0</v>
      </c>
      <c r="Q27" s="100">
        <v>0</v>
      </c>
      <c r="R27" s="100">
        <v>0</v>
      </c>
      <c r="S27" s="100">
        <v>0</v>
      </c>
      <c r="T27" s="100">
        <v>0</v>
      </c>
      <c r="U27" s="100">
        <v>0</v>
      </c>
      <c r="V27" s="100">
        <v>9.83</v>
      </c>
      <c r="W27" s="100">
        <v>0</v>
      </c>
      <c r="X27" s="516">
        <v>9.83</v>
      </c>
      <c r="Y27" s="100">
        <v>0</v>
      </c>
      <c r="Z27" s="100">
        <v>0</v>
      </c>
      <c r="AA27" s="100">
        <v>0</v>
      </c>
      <c r="AB27" s="100">
        <v>0</v>
      </c>
      <c r="AC27" s="100">
        <v>0</v>
      </c>
      <c r="AD27" s="100">
        <v>0</v>
      </c>
      <c r="AE27" s="100">
        <v>0</v>
      </c>
      <c r="AF27" s="100">
        <v>0</v>
      </c>
      <c r="AG27" s="100">
        <v>0</v>
      </c>
      <c r="AH27" s="100">
        <v>0</v>
      </c>
      <c r="AI27" s="100">
        <v>0</v>
      </c>
      <c r="AJ27" s="100">
        <v>0</v>
      </c>
      <c r="AK27" s="100">
        <v>0</v>
      </c>
      <c r="AL27" s="100">
        <v>0</v>
      </c>
      <c r="AM27" s="100">
        <v>0</v>
      </c>
      <c r="AN27" s="100">
        <v>0</v>
      </c>
      <c r="AO27" s="100">
        <v>0</v>
      </c>
      <c r="AP27" s="100">
        <v>0</v>
      </c>
      <c r="AQ27" s="100">
        <v>0</v>
      </c>
      <c r="AR27" s="100">
        <v>0</v>
      </c>
      <c r="AS27" s="100">
        <v>0</v>
      </c>
      <c r="AT27" s="100">
        <v>0</v>
      </c>
      <c r="AU27" s="100">
        <v>0</v>
      </c>
      <c r="AV27" s="100">
        <v>0</v>
      </c>
      <c r="AW27" s="100">
        <v>0</v>
      </c>
      <c r="AX27" s="100">
        <v>0</v>
      </c>
      <c r="AY27" s="100">
        <v>0</v>
      </c>
      <c r="AZ27" s="100">
        <v>0</v>
      </c>
      <c r="BA27" s="100">
        <v>0</v>
      </c>
      <c r="BB27" s="100">
        <v>0</v>
      </c>
      <c r="BC27" s="100">
        <v>0</v>
      </c>
      <c r="BD27" s="100">
        <v>0</v>
      </c>
      <c r="BE27" s="100">
        <v>0</v>
      </c>
      <c r="BF27" s="100">
        <v>0</v>
      </c>
      <c r="BG27" s="100">
        <v>0</v>
      </c>
      <c r="BH27" s="100">
        <v>0</v>
      </c>
      <c r="BI27" s="100">
        <v>0</v>
      </c>
      <c r="BJ27" s="100">
        <v>0</v>
      </c>
      <c r="BK27" s="100">
        <v>0</v>
      </c>
      <c r="BL27" s="100">
        <v>0</v>
      </c>
      <c r="BM27" s="100">
        <v>0</v>
      </c>
      <c r="BN27" s="100">
        <v>9.83</v>
      </c>
      <c r="BO27" s="224"/>
      <c r="BP27" s="224"/>
      <c r="BR27" s="222"/>
      <c r="BS27" s="659"/>
      <c r="BT27" s="659"/>
    </row>
    <row r="28" spans="1:73" s="223" customFormat="1" ht="34.5" customHeight="1">
      <c r="A28" s="5" t="s">
        <v>53</v>
      </c>
      <c r="B28" s="81" t="s">
        <v>54</v>
      </c>
      <c r="C28" s="5" t="s">
        <v>55</v>
      </c>
      <c r="D28" s="100">
        <v>79.59</v>
      </c>
      <c r="E28" s="100">
        <v>0</v>
      </c>
      <c r="F28" s="100">
        <v>0</v>
      </c>
      <c r="G28" s="100">
        <v>0</v>
      </c>
      <c r="H28" s="100">
        <v>0</v>
      </c>
      <c r="I28" s="100">
        <v>0</v>
      </c>
      <c r="J28" s="100">
        <v>0</v>
      </c>
      <c r="K28" s="100">
        <v>0</v>
      </c>
      <c r="L28" s="100">
        <v>0</v>
      </c>
      <c r="M28" s="100">
        <v>0</v>
      </c>
      <c r="N28" s="100">
        <v>0</v>
      </c>
      <c r="O28" s="100">
        <v>0</v>
      </c>
      <c r="P28" s="100">
        <v>0</v>
      </c>
      <c r="Q28" s="100">
        <v>0</v>
      </c>
      <c r="R28" s="100">
        <v>0</v>
      </c>
      <c r="S28" s="100">
        <v>0</v>
      </c>
      <c r="T28" s="100">
        <v>0</v>
      </c>
      <c r="U28" s="100">
        <v>0</v>
      </c>
      <c r="V28" s="100">
        <v>79.59</v>
      </c>
      <c r="W28" s="100">
        <v>0</v>
      </c>
      <c r="X28" s="100">
        <v>0</v>
      </c>
      <c r="Y28" s="516">
        <v>79.59</v>
      </c>
      <c r="Z28" s="100">
        <v>0</v>
      </c>
      <c r="AA28" s="100">
        <v>0</v>
      </c>
      <c r="AB28" s="100">
        <v>0</v>
      </c>
      <c r="AC28" s="100">
        <v>0</v>
      </c>
      <c r="AD28" s="100">
        <v>0</v>
      </c>
      <c r="AE28" s="100">
        <v>0</v>
      </c>
      <c r="AF28" s="100">
        <v>0</v>
      </c>
      <c r="AG28" s="100">
        <v>0</v>
      </c>
      <c r="AH28" s="100">
        <v>0</v>
      </c>
      <c r="AI28" s="100">
        <v>0</v>
      </c>
      <c r="AJ28" s="100">
        <v>0</v>
      </c>
      <c r="AK28" s="100">
        <v>0</v>
      </c>
      <c r="AL28" s="100">
        <v>0</v>
      </c>
      <c r="AM28" s="100">
        <v>0</v>
      </c>
      <c r="AN28" s="100">
        <v>0</v>
      </c>
      <c r="AO28" s="100">
        <v>0</v>
      </c>
      <c r="AP28" s="100">
        <v>0</v>
      </c>
      <c r="AQ28" s="100">
        <v>0</v>
      </c>
      <c r="AR28" s="100">
        <v>0</v>
      </c>
      <c r="AS28" s="100">
        <v>0</v>
      </c>
      <c r="AT28" s="100">
        <v>0</v>
      </c>
      <c r="AU28" s="100">
        <v>0</v>
      </c>
      <c r="AV28" s="100">
        <v>0</v>
      </c>
      <c r="AW28" s="100">
        <v>0</v>
      </c>
      <c r="AX28" s="100">
        <v>0</v>
      </c>
      <c r="AY28" s="100">
        <v>0</v>
      </c>
      <c r="AZ28" s="100">
        <v>0</v>
      </c>
      <c r="BA28" s="100">
        <v>0</v>
      </c>
      <c r="BB28" s="100">
        <v>0</v>
      </c>
      <c r="BC28" s="100">
        <v>0</v>
      </c>
      <c r="BD28" s="100">
        <v>0</v>
      </c>
      <c r="BE28" s="100">
        <v>0</v>
      </c>
      <c r="BF28" s="100">
        <v>0</v>
      </c>
      <c r="BG28" s="100">
        <v>0</v>
      </c>
      <c r="BH28" s="100">
        <v>0</v>
      </c>
      <c r="BI28" s="100">
        <v>0</v>
      </c>
      <c r="BJ28" s="100">
        <v>0</v>
      </c>
      <c r="BK28" s="100">
        <v>0</v>
      </c>
      <c r="BL28" s="100">
        <v>0</v>
      </c>
      <c r="BM28" s="100">
        <v>38.219999999999992</v>
      </c>
      <c r="BN28" s="100">
        <v>117.81</v>
      </c>
      <c r="BO28" s="224"/>
      <c r="BP28" s="224"/>
      <c r="BR28" s="222"/>
      <c r="BS28" s="659"/>
      <c r="BT28" s="659"/>
    </row>
    <row r="29" spans="1:73" s="223" customFormat="1" ht="34.5" customHeight="1">
      <c r="A29" s="5" t="s">
        <v>56</v>
      </c>
      <c r="B29" s="81" t="s">
        <v>57</v>
      </c>
      <c r="C29" s="5" t="s">
        <v>58</v>
      </c>
      <c r="D29" s="100">
        <v>0</v>
      </c>
      <c r="E29" s="100">
        <v>0</v>
      </c>
      <c r="F29" s="100">
        <v>0</v>
      </c>
      <c r="G29" s="100">
        <v>0</v>
      </c>
      <c r="H29" s="100">
        <v>0</v>
      </c>
      <c r="I29" s="100">
        <v>0</v>
      </c>
      <c r="J29" s="100">
        <v>0</v>
      </c>
      <c r="K29" s="100">
        <v>0</v>
      </c>
      <c r="L29" s="100">
        <v>0</v>
      </c>
      <c r="M29" s="100">
        <v>0</v>
      </c>
      <c r="N29" s="100">
        <v>0</v>
      </c>
      <c r="O29" s="100">
        <v>0</v>
      </c>
      <c r="P29" s="100">
        <v>0</v>
      </c>
      <c r="Q29" s="100">
        <v>0</v>
      </c>
      <c r="R29" s="100">
        <v>0</v>
      </c>
      <c r="S29" s="100">
        <v>0</v>
      </c>
      <c r="T29" s="100">
        <v>0</v>
      </c>
      <c r="U29" s="100">
        <v>0</v>
      </c>
      <c r="V29" s="100">
        <v>0</v>
      </c>
      <c r="W29" s="100">
        <v>0</v>
      </c>
      <c r="X29" s="100">
        <v>0</v>
      </c>
      <c r="Y29" s="100">
        <v>0</v>
      </c>
      <c r="Z29" s="516">
        <v>0</v>
      </c>
      <c r="AA29" s="100">
        <v>0</v>
      </c>
      <c r="AB29" s="100">
        <v>0</v>
      </c>
      <c r="AC29" s="100">
        <v>0</v>
      </c>
      <c r="AD29" s="100">
        <v>0</v>
      </c>
      <c r="AE29" s="100">
        <v>0</v>
      </c>
      <c r="AF29" s="100">
        <v>0</v>
      </c>
      <c r="AG29" s="100">
        <v>0</v>
      </c>
      <c r="AH29" s="100">
        <v>0</v>
      </c>
      <c r="AI29" s="100">
        <v>0</v>
      </c>
      <c r="AJ29" s="100">
        <v>0</v>
      </c>
      <c r="AK29" s="100">
        <v>0</v>
      </c>
      <c r="AL29" s="100">
        <v>0</v>
      </c>
      <c r="AM29" s="100">
        <v>0</v>
      </c>
      <c r="AN29" s="100">
        <v>0</v>
      </c>
      <c r="AO29" s="100">
        <v>0</v>
      </c>
      <c r="AP29" s="100">
        <v>0</v>
      </c>
      <c r="AQ29" s="100">
        <v>0</v>
      </c>
      <c r="AR29" s="100">
        <v>0</v>
      </c>
      <c r="AS29" s="100">
        <v>0</v>
      </c>
      <c r="AT29" s="100">
        <v>0</v>
      </c>
      <c r="AU29" s="100">
        <v>0</v>
      </c>
      <c r="AV29" s="100">
        <v>0</v>
      </c>
      <c r="AW29" s="100">
        <v>0</v>
      </c>
      <c r="AX29" s="100">
        <v>0</v>
      </c>
      <c r="AY29" s="100">
        <v>0</v>
      </c>
      <c r="AZ29" s="100">
        <v>0</v>
      </c>
      <c r="BA29" s="100">
        <v>0</v>
      </c>
      <c r="BB29" s="100">
        <v>0</v>
      </c>
      <c r="BC29" s="100">
        <v>0</v>
      </c>
      <c r="BD29" s="100">
        <v>0</v>
      </c>
      <c r="BE29" s="100">
        <v>0</v>
      </c>
      <c r="BF29" s="100">
        <v>0</v>
      </c>
      <c r="BG29" s="100">
        <v>0</v>
      </c>
      <c r="BH29" s="100">
        <v>0</v>
      </c>
      <c r="BI29" s="100">
        <v>0</v>
      </c>
      <c r="BJ29" s="100">
        <v>0</v>
      </c>
      <c r="BK29" s="100">
        <v>0</v>
      </c>
      <c r="BL29" s="100">
        <v>0</v>
      </c>
      <c r="BM29" s="100">
        <v>0</v>
      </c>
      <c r="BN29" s="100">
        <v>0</v>
      </c>
      <c r="BR29" s="222"/>
      <c r="BS29" s="659"/>
      <c r="BT29" s="659"/>
    </row>
    <row r="30" spans="1:73" s="223" customFormat="1" ht="34.5" customHeight="1">
      <c r="A30" s="5" t="s">
        <v>59</v>
      </c>
      <c r="B30" s="81" t="s">
        <v>60</v>
      </c>
      <c r="C30" s="5" t="s">
        <v>61</v>
      </c>
      <c r="D30" s="100">
        <v>0</v>
      </c>
      <c r="E30" s="100">
        <v>0</v>
      </c>
      <c r="F30" s="100">
        <v>0</v>
      </c>
      <c r="G30" s="100">
        <v>0</v>
      </c>
      <c r="H30" s="100">
        <v>0</v>
      </c>
      <c r="I30" s="100">
        <v>0</v>
      </c>
      <c r="J30" s="100">
        <v>0</v>
      </c>
      <c r="K30" s="100">
        <v>0</v>
      </c>
      <c r="L30" s="100">
        <v>0</v>
      </c>
      <c r="M30" s="100">
        <v>0</v>
      </c>
      <c r="N30" s="100">
        <v>0</v>
      </c>
      <c r="O30" s="100">
        <v>0</v>
      </c>
      <c r="P30" s="100">
        <v>0</v>
      </c>
      <c r="Q30" s="100">
        <v>0</v>
      </c>
      <c r="R30" s="100">
        <v>0</v>
      </c>
      <c r="S30" s="100">
        <v>0</v>
      </c>
      <c r="T30" s="100">
        <v>0</v>
      </c>
      <c r="U30" s="100">
        <v>0</v>
      </c>
      <c r="V30" s="100">
        <v>0</v>
      </c>
      <c r="W30" s="100">
        <v>0</v>
      </c>
      <c r="X30" s="100">
        <v>0</v>
      </c>
      <c r="Y30" s="100">
        <v>0</v>
      </c>
      <c r="Z30" s="100">
        <v>0</v>
      </c>
      <c r="AA30" s="516">
        <v>0</v>
      </c>
      <c r="AB30" s="100">
        <v>0</v>
      </c>
      <c r="AC30" s="100">
        <v>0</v>
      </c>
      <c r="AD30" s="100">
        <v>0</v>
      </c>
      <c r="AE30" s="100">
        <v>0</v>
      </c>
      <c r="AF30" s="100">
        <v>0</v>
      </c>
      <c r="AG30" s="100">
        <v>0</v>
      </c>
      <c r="AH30" s="100">
        <v>0</v>
      </c>
      <c r="AI30" s="100">
        <v>0</v>
      </c>
      <c r="AJ30" s="100">
        <v>0</v>
      </c>
      <c r="AK30" s="100">
        <v>0</v>
      </c>
      <c r="AL30" s="100">
        <v>0</v>
      </c>
      <c r="AM30" s="100">
        <v>0</v>
      </c>
      <c r="AN30" s="100">
        <v>0</v>
      </c>
      <c r="AO30" s="100">
        <v>0</v>
      </c>
      <c r="AP30" s="100">
        <v>0</v>
      </c>
      <c r="AQ30" s="100">
        <v>0</v>
      </c>
      <c r="AR30" s="100">
        <v>0</v>
      </c>
      <c r="AS30" s="100">
        <v>0</v>
      </c>
      <c r="AT30" s="100">
        <v>0</v>
      </c>
      <c r="AU30" s="100">
        <v>0</v>
      </c>
      <c r="AV30" s="100">
        <v>0</v>
      </c>
      <c r="AW30" s="100">
        <v>0</v>
      </c>
      <c r="AX30" s="100">
        <v>0</v>
      </c>
      <c r="AY30" s="100">
        <v>0</v>
      </c>
      <c r="AZ30" s="100">
        <v>0</v>
      </c>
      <c r="BA30" s="100">
        <v>0</v>
      </c>
      <c r="BB30" s="100">
        <v>0</v>
      </c>
      <c r="BC30" s="100">
        <v>0</v>
      </c>
      <c r="BD30" s="100">
        <v>0</v>
      </c>
      <c r="BE30" s="100">
        <v>0</v>
      </c>
      <c r="BF30" s="100">
        <v>0</v>
      </c>
      <c r="BG30" s="100">
        <v>0</v>
      </c>
      <c r="BH30" s="100">
        <v>0</v>
      </c>
      <c r="BI30" s="100">
        <v>0</v>
      </c>
      <c r="BJ30" s="100">
        <v>0</v>
      </c>
      <c r="BK30" s="100">
        <v>0</v>
      </c>
      <c r="BL30" s="100">
        <v>0</v>
      </c>
      <c r="BM30" s="100">
        <v>199.79</v>
      </c>
      <c r="BN30" s="100">
        <v>199.79</v>
      </c>
      <c r="BR30" s="222"/>
      <c r="BS30" s="659"/>
      <c r="BT30" s="659"/>
    </row>
    <row r="31" spans="1:73" s="223" customFormat="1" ht="34.5" customHeight="1">
      <c r="A31" s="5" t="s">
        <v>62</v>
      </c>
      <c r="B31" s="81" t="s">
        <v>63</v>
      </c>
      <c r="C31" s="5" t="s">
        <v>64</v>
      </c>
      <c r="D31" s="100">
        <v>349.95717000000002</v>
      </c>
      <c r="E31" s="100">
        <v>0</v>
      </c>
      <c r="F31" s="100">
        <v>0</v>
      </c>
      <c r="G31" s="100">
        <v>0</v>
      </c>
      <c r="H31" s="100">
        <v>0</v>
      </c>
      <c r="I31" s="100">
        <v>0</v>
      </c>
      <c r="J31" s="100">
        <v>0</v>
      </c>
      <c r="K31" s="100">
        <v>0</v>
      </c>
      <c r="L31" s="100">
        <v>0</v>
      </c>
      <c r="M31" s="100">
        <v>0</v>
      </c>
      <c r="N31" s="100">
        <v>0</v>
      </c>
      <c r="O31" s="100">
        <v>0</v>
      </c>
      <c r="P31" s="100">
        <v>0</v>
      </c>
      <c r="Q31" s="100">
        <v>0</v>
      </c>
      <c r="R31" s="100">
        <v>0</v>
      </c>
      <c r="S31" s="100">
        <v>0</v>
      </c>
      <c r="T31" s="100">
        <v>0</v>
      </c>
      <c r="U31" s="100">
        <v>0</v>
      </c>
      <c r="V31" s="100">
        <v>349.95716999999996</v>
      </c>
      <c r="W31" s="100">
        <v>1.07</v>
      </c>
      <c r="X31" s="100">
        <v>0</v>
      </c>
      <c r="Y31" s="100">
        <v>0</v>
      </c>
      <c r="Z31" s="100">
        <v>0</v>
      </c>
      <c r="AA31" s="100">
        <v>7.0000000000000007E-2</v>
      </c>
      <c r="AB31" s="516">
        <v>346.48716999999999</v>
      </c>
      <c r="AC31" s="100">
        <v>0</v>
      </c>
      <c r="AD31" s="100">
        <v>0</v>
      </c>
      <c r="AE31" s="100">
        <v>2.33</v>
      </c>
      <c r="AF31" s="100">
        <v>0</v>
      </c>
      <c r="AG31" s="100">
        <v>0</v>
      </c>
      <c r="AH31" s="100">
        <v>0</v>
      </c>
      <c r="AI31" s="100">
        <v>0</v>
      </c>
      <c r="AJ31" s="100">
        <v>0</v>
      </c>
      <c r="AK31" s="100">
        <v>0</v>
      </c>
      <c r="AL31" s="100">
        <v>2.33</v>
      </c>
      <c r="AM31" s="100">
        <v>0</v>
      </c>
      <c r="AN31" s="100">
        <v>0</v>
      </c>
      <c r="AO31" s="100">
        <v>0</v>
      </c>
      <c r="AP31" s="100">
        <v>0</v>
      </c>
      <c r="AQ31" s="100">
        <v>0</v>
      </c>
      <c r="AR31" s="100">
        <v>0</v>
      </c>
      <c r="AS31" s="100">
        <v>0</v>
      </c>
      <c r="AT31" s="100">
        <v>0</v>
      </c>
      <c r="AU31" s="100">
        <v>0</v>
      </c>
      <c r="AV31" s="100">
        <v>0</v>
      </c>
      <c r="AW31" s="100">
        <v>0</v>
      </c>
      <c r="AX31" s="100">
        <v>0</v>
      </c>
      <c r="AY31" s="100">
        <v>0</v>
      </c>
      <c r="AZ31" s="100">
        <v>0</v>
      </c>
      <c r="BA31" s="100">
        <v>0</v>
      </c>
      <c r="BB31" s="100">
        <v>0</v>
      </c>
      <c r="BC31" s="100">
        <v>0</v>
      </c>
      <c r="BD31" s="100">
        <v>0</v>
      </c>
      <c r="BE31" s="100">
        <v>0</v>
      </c>
      <c r="BF31" s="100">
        <v>0</v>
      </c>
      <c r="BG31" s="100">
        <v>0</v>
      </c>
      <c r="BH31" s="100">
        <v>0</v>
      </c>
      <c r="BI31" s="100">
        <v>0</v>
      </c>
      <c r="BJ31" s="100">
        <v>0</v>
      </c>
      <c r="BK31" s="100">
        <v>0</v>
      </c>
      <c r="BL31" s="100">
        <v>3.47</v>
      </c>
      <c r="BM31" s="100">
        <v>89.750000000000014</v>
      </c>
      <c r="BN31" s="100">
        <v>439.70717000000002</v>
      </c>
      <c r="BO31" s="224"/>
      <c r="BR31" s="222"/>
      <c r="BS31" s="659"/>
      <c r="BT31" s="659"/>
    </row>
    <row r="32" spans="1:73" s="223" customFormat="1" ht="36" customHeight="1">
      <c r="A32" s="5" t="s">
        <v>65</v>
      </c>
      <c r="B32" s="81" t="s">
        <v>66</v>
      </c>
      <c r="C32" s="5" t="s">
        <v>67</v>
      </c>
      <c r="D32" s="100">
        <v>126.12</v>
      </c>
      <c r="E32" s="100">
        <v>0</v>
      </c>
      <c r="F32" s="100">
        <v>0</v>
      </c>
      <c r="G32" s="100">
        <v>0</v>
      </c>
      <c r="H32" s="100">
        <v>0</v>
      </c>
      <c r="I32" s="100">
        <v>0</v>
      </c>
      <c r="J32" s="100">
        <v>0</v>
      </c>
      <c r="K32" s="100">
        <v>0</v>
      </c>
      <c r="L32" s="100">
        <v>0</v>
      </c>
      <c r="M32" s="100">
        <v>0</v>
      </c>
      <c r="N32" s="100">
        <v>0</v>
      </c>
      <c r="O32" s="100">
        <v>0</v>
      </c>
      <c r="P32" s="100">
        <v>0</v>
      </c>
      <c r="Q32" s="100">
        <v>0</v>
      </c>
      <c r="R32" s="100">
        <v>0</v>
      </c>
      <c r="S32" s="100">
        <v>0</v>
      </c>
      <c r="T32" s="100">
        <v>0</v>
      </c>
      <c r="U32" s="100">
        <v>0</v>
      </c>
      <c r="V32" s="100">
        <v>126.12</v>
      </c>
      <c r="W32" s="100">
        <v>0</v>
      </c>
      <c r="X32" s="100">
        <v>0</v>
      </c>
      <c r="Y32" s="100">
        <v>0.95</v>
      </c>
      <c r="Z32" s="100">
        <v>0</v>
      </c>
      <c r="AA32" s="100">
        <v>0</v>
      </c>
      <c r="AB32" s="100">
        <v>4.9400000000000004</v>
      </c>
      <c r="AC32" s="516">
        <v>120.23</v>
      </c>
      <c r="AD32" s="100">
        <v>0</v>
      </c>
      <c r="AE32" s="100">
        <v>0</v>
      </c>
      <c r="AF32" s="100">
        <v>0</v>
      </c>
      <c r="AG32" s="100">
        <v>0</v>
      </c>
      <c r="AH32" s="100">
        <v>0</v>
      </c>
      <c r="AI32" s="100">
        <v>0</v>
      </c>
      <c r="AJ32" s="100">
        <v>0</v>
      </c>
      <c r="AK32" s="100">
        <v>0</v>
      </c>
      <c r="AL32" s="100">
        <v>0</v>
      </c>
      <c r="AM32" s="100">
        <v>0</v>
      </c>
      <c r="AN32" s="100">
        <v>0</v>
      </c>
      <c r="AO32" s="100">
        <v>0</v>
      </c>
      <c r="AP32" s="100">
        <v>0</v>
      </c>
      <c r="AQ32" s="100">
        <v>0</v>
      </c>
      <c r="AR32" s="100">
        <v>0</v>
      </c>
      <c r="AS32" s="100">
        <v>0</v>
      </c>
      <c r="AT32" s="100">
        <v>0</v>
      </c>
      <c r="AU32" s="100">
        <v>0</v>
      </c>
      <c r="AV32" s="100">
        <v>0</v>
      </c>
      <c r="AW32" s="100">
        <v>0</v>
      </c>
      <c r="AX32" s="100">
        <v>0</v>
      </c>
      <c r="AY32" s="100">
        <v>0</v>
      </c>
      <c r="AZ32" s="100">
        <v>0</v>
      </c>
      <c r="BA32" s="100">
        <v>0</v>
      </c>
      <c r="BB32" s="100">
        <v>0</v>
      </c>
      <c r="BC32" s="100">
        <v>0</v>
      </c>
      <c r="BD32" s="100">
        <v>0</v>
      </c>
      <c r="BE32" s="100">
        <v>0</v>
      </c>
      <c r="BF32" s="100">
        <v>0</v>
      </c>
      <c r="BG32" s="100">
        <v>0</v>
      </c>
      <c r="BH32" s="100">
        <v>0</v>
      </c>
      <c r="BI32" s="100">
        <v>0</v>
      </c>
      <c r="BJ32" s="100">
        <v>0</v>
      </c>
      <c r="BK32" s="100">
        <v>0</v>
      </c>
      <c r="BL32" s="100">
        <v>5.8900000000000006</v>
      </c>
      <c r="BM32" s="100">
        <v>103.97</v>
      </c>
      <c r="BN32" s="100">
        <v>230.09</v>
      </c>
      <c r="BR32" s="222"/>
      <c r="BS32" s="659"/>
      <c r="BT32" s="659"/>
    </row>
    <row r="33" spans="1:72" s="223" customFormat="1" ht="42.75" customHeight="1">
      <c r="A33" s="5" t="s">
        <v>68</v>
      </c>
      <c r="B33" s="81" t="s">
        <v>69</v>
      </c>
      <c r="C33" s="5" t="s">
        <v>70</v>
      </c>
      <c r="D33" s="100">
        <v>0</v>
      </c>
      <c r="E33" s="100">
        <v>0</v>
      </c>
      <c r="F33" s="100">
        <v>0</v>
      </c>
      <c r="G33" s="100">
        <v>0</v>
      </c>
      <c r="H33" s="100">
        <v>0</v>
      </c>
      <c r="I33" s="100">
        <v>0</v>
      </c>
      <c r="J33" s="100">
        <v>0</v>
      </c>
      <c r="K33" s="100">
        <v>0</v>
      </c>
      <c r="L33" s="100">
        <v>0</v>
      </c>
      <c r="M33" s="100">
        <v>0</v>
      </c>
      <c r="N33" s="100">
        <v>0</v>
      </c>
      <c r="O33" s="100">
        <v>0</v>
      </c>
      <c r="P33" s="100">
        <v>0</v>
      </c>
      <c r="Q33" s="100">
        <v>0</v>
      </c>
      <c r="R33" s="100">
        <v>0</v>
      </c>
      <c r="S33" s="100">
        <v>0</v>
      </c>
      <c r="T33" s="100">
        <v>0</v>
      </c>
      <c r="U33" s="100">
        <v>0</v>
      </c>
      <c r="V33" s="100">
        <v>0</v>
      </c>
      <c r="W33" s="100">
        <v>0</v>
      </c>
      <c r="X33" s="100">
        <v>0</v>
      </c>
      <c r="Y33" s="100">
        <v>0</v>
      </c>
      <c r="Z33" s="100">
        <v>0</v>
      </c>
      <c r="AA33" s="100">
        <v>0</v>
      </c>
      <c r="AB33" s="100">
        <v>0</v>
      </c>
      <c r="AC33" s="100">
        <v>0</v>
      </c>
      <c r="AD33" s="516">
        <v>0</v>
      </c>
      <c r="AE33" s="100">
        <v>0</v>
      </c>
      <c r="AF33" s="100">
        <v>0</v>
      </c>
      <c r="AG33" s="100">
        <v>0</v>
      </c>
      <c r="AH33" s="100">
        <v>0</v>
      </c>
      <c r="AI33" s="100">
        <v>0</v>
      </c>
      <c r="AJ33" s="100">
        <v>0</v>
      </c>
      <c r="AK33" s="100">
        <v>0</v>
      </c>
      <c r="AL33" s="100">
        <v>0</v>
      </c>
      <c r="AM33" s="100">
        <v>0</v>
      </c>
      <c r="AN33" s="100">
        <v>0</v>
      </c>
      <c r="AO33" s="100">
        <v>0</v>
      </c>
      <c r="AP33" s="100">
        <v>0</v>
      </c>
      <c r="AQ33" s="100">
        <v>0</v>
      </c>
      <c r="AR33" s="100">
        <v>0</v>
      </c>
      <c r="AS33" s="100">
        <v>0</v>
      </c>
      <c r="AT33" s="100">
        <v>0</v>
      </c>
      <c r="AU33" s="100">
        <v>0</v>
      </c>
      <c r="AV33" s="100">
        <v>0</v>
      </c>
      <c r="AW33" s="100">
        <v>0</v>
      </c>
      <c r="AX33" s="100">
        <v>0</v>
      </c>
      <c r="AY33" s="100">
        <v>0</v>
      </c>
      <c r="AZ33" s="100">
        <v>0</v>
      </c>
      <c r="BA33" s="100">
        <v>0</v>
      </c>
      <c r="BB33" s="100">
        <v>0</v>
      </c>
      <c r="BC33" s="100">
        <v>0</v>
      </c>
      <c r="BD33" s="100">
        <v>0</v>
      </c>
      <c r="BE33" s="100">
        <v>0</v>
      </c>
      <c r="BF33" s="100">
        <v>0</v>
      </c>
      <c r="BG33" s="100">
        <v>0</v>
      </c>
      <c r="BH33" s="100">
        <v>0</v>
      </c>
      <c r="BI33" s="100">
        <v>0</v>
      </c>
      <c r="BJ33" s="100">
        <v>0</v>
      </c>
      <c r="BK33" s="100">
        <v>0</v>
      </c>
      <c r="BL33" s="100">
        <v>0</v>
      </c>
      <c r="BM33" s="100">
        <v>0</v>
      </c>
      <c r="BN33" s="100">
        <v>0</v>
      </c>
      <c r="BR33" s="222"/>
      <c r="BS33" s="659"/>
      <c r="BT33" s="659"/>
    </row>
    <row r="34" spans="1:72" s="963" customFormat="1" ht="50.25" customHeight="1">
      <c r="A34" s="228" t="s">
        <v>71</v>
      </c>
      <c r="B34" s="961" t="s">
        <v>135</v>
      </c>
      <c r="C34" s="228" t="s">
        <v>72</v>
      </c>
      <c r="D34" s="948">
        <v>2144.3125000000005</v>
      </c>
      <c r="E34" s="948">
        <v>18.77</v>
      </c>
      <c r="F34" s="948">
        <v>0</v>
      </c>
      <c r="G34" s="948">
        <v>0</v>
      </c>
      <c r="H34" s="948">
        <v>0</v>
      </c>
      <c r="I34" s="948">
        <v>0</v>
      </c>
      <c r="J34" s="948">
        <v>0</v>
      </c>
      <c r="K34" s="948">
        <v>0</v>
      </c>
      <c r="L34" s="948">
        <v>0</v>
      </c>
      <c r="M34" s="948">
        <v>0</v>
      </c>
      <c r="N34" s="948">
        <v>0</v>
      </c>
      <c r="O34" s="948">
        <v>0</v>
      </c>
      <c r="P34" s="948">
        <v>0</v>
      </c>
      <c r="Q34" s="948">
        <v>0</v>
      </c>
      <c r="R34" s="948">
        <v>0</v>
      </c>
      <c r="S34" s="948">
        <v>18.77</v>
      </c>
      <c r="T34" s="948">
        <v>0</v>
      </c>
      <c r="U34" s="948">
        <v>0</v>
      </c>
      <c r="V34" s="948">
        <v>2125.5424999999991</v>
      </c>
      <c r="W34" s="948">
        <v>0.2</v>
      </c>
      <c r="X34" s="948">
        <v>0</v>
      </c>
      <c r="Y34" s="948">
        <v>1.1600000000000001</v>
      </c>
      <c r="Z34" s="948">
        <v>0</v>
      </c>
      <c r="AA34" s="948">
        <v>11.440000000000001</v>
      </c>
      <c r="AB34" s="948">
        <v>2.12</v>
      </c>
      <c r="AC34" s="948">
        <v>5.13</v>
      </c>
      <c r="AD34" s="948">
        <v>0</v>
      </c>
      <c r="AE34" s="949">
        <v>2092.5825000000004</v>
      </c>
      <c r="AF34" s="948">
        <v>16.260000000000005</v>
      </c>
      <c r="AG34" s="948">
        <v>7.9336999999999991</v>
      </c>
      <c r="AH34" s="948">
        <v>70.046210000000002</v>
      </c>
      <c r="AI34" s="948">
        <v>113.77800000000001</v>
      </c>
      <c r="AJ34" s="948">
        <v>0</v>
      </c>
      <c r="AK34" s="948">
        <v>0.04</v>
      </c>
      <c r="AL34" s="948">
        <v>1389.2325899999994</v>
      </c>
      <c r="AM34" s="948">
        <v>479.31782999999996</v>
      </c>
      <c r="AN34" s="948">
        <v>2.4999999999999996</v>
      </c>
      <c r="AO34" s="948">
        <v>1.49255</v>
      </c>
      <c r="AP34" s="948">
        <v>11.981619999999999</v>
      </c>
      <c r="AQ34" s="948">
        <v>0</v>
      </c>
      <c r="AR34" s="948">
        <v>0</v>
      </c>
      <c r="AS34" s="948">
        <v>0.43</v>
      </c>
      <c r="AT34" s="948">
        <v>2.09</v>
      </c>
      <c r="AU34" s="948">
        <v>2.8000000000000003</v>
      </c>
      <c r="AV34" s="948">
        <v>1.3900000000000001</v>
      </c>
      <c r="AW34" s="948">
        <v>0</v>
      </c>
      <c r="AX34" s="948">
        <v>0</v>
      </c>
      <c r="AY34" s="948">
        <v>0.01</v>
      </c>
      <c r="AZ34" s="948">
        <v>0</v>
      </c>
      <c r="BA34" s="948">
        <v>2.27</v>
      </c>
      <c r="BB34" s="948">
        <v>0</v>
      </c>
      <c r="BC34" s="948">
        <v>1.18</v>
      </c>
      <c r="BD34" s="948">
        <v>0</v>
      </c>
      <c r="BE34" s="948">
        <v>0</v>
      </c>
      <c r="BF34" s="948">
        <v>2.7399999999999998</v>
      </c>
      <c r="BG34" s="948">
        <v>0</v>
      </c>
      <c r="BH34" s="948">
        <v>0</v>
      </c>
      <c r="BI34" s="948">
        <v>0</v>
      </c>
      <c r="BJ34" s="948">
        <v>0</v>
      </c>
      <c r="BK34" s="948">
        <v>0</v>
      </c>
      <c r="BL34" s="948">
        <v>51.730000000000004</v>
      </c>
      <c r="BM34" s="948">
        <v>182.66000000000003</v>
      </c>
      <c r="BN34" s="948">
        <v>2326.9724999999994</v>
      </c>
      <c r="BO34" s="966">
        <v>2326.9724999999994</v>
      </c>
      <c r="BP34" s="966"/>
      <c r="BQ34" s="966"/>
      <c r="BR34" s="950"/>
      <c r="BS34" s="951"/>
      <c r="BT34" s="951"/>
    </row>
    <row r="35" spans="1:72" s="963" customFormat="1" ht="36" customHeight="1">
      <c r="A35" s="228" t="s">
        <v>224</v>
      </c>
      <c r="B35" s="961" t="s">
        <v>478</v>
      </c>
      <c r="C35" s="228" t="s">
        <v>202</v>
      </c>
      <c r="D35" s="948">
        <v>16.430000000000003</v>
      </c>
      <c r="E35" s="948">
        <v>0</v>
      </c>
      <c r="F35" s="948">
        <v>0</v>
      </c>
      <c r="G35" s="948">
        <v>0</v>
      </c>
      <c r="H35" s="948">
        <v>0</v>
      </c>
      <c r="I35" s="948">
        <v>0</v>
      </c>
      <c r="J35" s="948">
        <v>0</v>
      </c>
      <c r="K35" s="948">
        <v>0</v>
      </c>
      <c r="L35" s="948">
        <v>0</v>
      </c>
      <c r="M35" s="948">
        <v>0</v>
      </c>
      <c r="N35" s="948">
        <v>0</v>
      </c>
      <c r="O35" s="948">
        <v>0</v>
      </c>
      <c r="P35" s="948">
        <v>0</v>
      </c>
      <c r="Q35" s="948">
        <v>0</v>
      </c>
      <c r="R35" s="948">
        <v>0</v>
      </c>
      <c r="S35" s="948">
        <v>0</v>
      </c>
      <c r="T35" s="948">
        <v>0</v>
      </c>
      <c r="U35" s="948">
        <v>0</v>
      </c>
      <c r="V35" s="948">
        <v>16.430000000000003</v>
      </c>
      <c r="W35" s="948">
        <v>0.16</v>
      </c>
      <c r="X35" s="948">
        <v>0</v>
      </c>
      <c r="Y35" s="948">
        <v>0</v>
      </c>
      <c r="Z35" s="948">
        <v>0</v>
      </c>
      <c r="AA35" s="948">
        <v>0</v>
      </c>
      <c r="AB35" s="948">
        <v>0</v>
      </c>
      <c r="AC35" s="948">
        <v>0</v>
      </c>
      <c r="AD35" s="948">
        <v>0</v>
      </c>
      <c r="AE35" s="948">
        <v>16.270000000000003</v>
      </c>
      <c r="AF35" s="949">
        <v>16.220000000000002</v>
      </c>
      <c r="AG35" s="948">
        <v>0</v>
      </c>
      <c r="AH35" s="948">
        <v>0.04</v>
      </c>
      <c r="AI35" s="948">
        <v>0</v>
      </c>
      <c r="AJ35" s="948">
        <v>0</v>
      </c>
      <c r="AK35" s="948">
        <v>0</v>
      </c>
      <c r="AL35" s="948">
        <v>0.01</v>
      </c>
      <c r="AM35" s="948">
        <v>0</v>
      </c>
      <c r="AN35" s="948">
        <v>0</v>
      </c>
      <c r="AO35" s="948">
        <v>0</v>
      </c>
      <c r="AP35" s="948">
        <v>0</v>
      </c>
      <c r="AQ35" s="948">
        <v>0</v>
      </c>
      <c r="AR35" s="948">
        <v>0</v>
      </c>
      <c r="AS35" s="948">
        <v>0</v>
      </c>
      <c r="AT35" s="948">
        <v>0</v>
      </c>
      <c r="AU35" s="948">
        <v>0</v>
      </c>
      <c r="AV35" s="948">
        <v>0</v>
      </c>
      <c r="AW35" s="948">
        <v>0</v>
      </c>
      <c r="AX35" s="948">
        <v>0</v>
      </c>
      <c r="AY35" s="948">
        <v>0</v>
      </c>
      <c r="AZ35" s="948">
        <v>0</v>
      </c>
      <c r="BA35" s="948">
        <v>0</v>
      </c>
      <c r="BB35" s="948">
        <v>0</v>
      </c>
      <c r="BC35" s="948">
        <v>0</v>
      </c>
      <c r="BD35" s="948">
        <v>0</v>
      </c>
      <c r="BE35" s="948">
        <v>0</v>
      </c>
      <c r="BF35" s="948">
        <v>0</v>
      </c>
      <c r="BG35" s="948">
        <v>0</v>
      </c>
      <c r="BH35" s="948">
        <v>0</v>
      </c>
      <c r="BI35" s="948">
        <v>0</v>
      </c>
      <c r="BJ35" s="948">
        <v>0</v>
      </c>
      <c r="BK35" s="948">
        <v>0</v>
      </c>
      <c r="BL35" s="948">
        <v>0.21000000000000002</v>
      </c>
      <c r="BM35" s="948">
        <v>1.5000000000000002</v>
      </c>
      <c r="BN35" s="948">
        <v>17.930000000000003</v>
      </c>
      <c r="BO35" s="966"/>
      <c r="BR35" s="950"/>
      <c r="BS35" s="951"/>
      <c r="BT35" s="951"/>
    </row>
    <row r="36" spans="1:72" s="963" customFormat="1" ht="36" customHeight="1">
      <c r="A36" s="228" t="s">
        <v>225</v>
      </c>
      <c r="B36" s="961" t="s">
        <v>479</v>
      </c>
      <c r="C36" s="228" t="s">
        <v>203</v>
      </c>
      <c r="D36" s="948">
        <v>7.9336999999999991</v>
      </c>
      <c r="E36" s="948">
        <v>0</v>
      </c>
      <c r="F36" s="948">
        <v>0</v>
      </c>
      <c r="G36" s="948">
        <v>0</v>
      </c>
      <c r="H36" s="948">
        <v>0</v>
      </c>
      <c r="I36" s="948">
        <v>0</v>
      </c>
      <c r="J36" s="948">
        <v>0</v>
      </c>
      <c r="K36" s="948">
        <v>0</v>
      </c>
      <c r="L36" s="948">
        <v>0</v>
      </c>
      <c r="M36" s="948">
        <v>0</v>
      </c>
      <c r="N36" s="948">
        <v>0</v>
      </c>
      <c r="O36" s="948">
        <v>0</v>
      </c>
      <c r="P36" s="948">
        <v>0</v>
      </c>
      <c r="Q36" s="948">
        <v>0</v>
      </c>
      <c r="R36" s="948">
        <v>0</v>
      </c>
      <c r="S36" s="948">
        <v>0</v>
      </c>
      <c r="T36" s="948">
        <v>0</v>
      </c>
      <c r="U36" s="948">
        <v>0</v>
      </c>
      <c r="V36" s="948">
        <v>7.9336999999999991</v>
      </c>
      <c r="W36" s="948">
        <v>0</v>
      </c>
      <c r="X36" s="948">
        <v>0</v>
      </c>
      <c r="Y36" s="948">
        <v>0</v>
      </c>
      <c r="Z36" s="948">
        <v>0</v>
      </c>
      <c r="AA36" s="948">
        <v>0</v>
      </c>
      <c r="AB36" s="948">
        <v>0</v>
      </c>
      <c r="AC36" s="948">
        <v>0</v>
      </c>
      <c r="AD36" s="948">
        <v>0</v>
      </c>
      <c r="AE36" s="948">
        <v>7.9336999999999991</v>
      </c>
      <c r="AF36" s="948">
        <v>0</v>
      </c>
      <c r="AG36" s="949">
        <v>7.9336999999999991</v>
      </c>
      <c r="AH36" s="948">
        <v>0</v>
      </c>
      <c r="AI36" s="948">
        <v>0</v>
      </c>
      <c r="AJ36" s="948">
        <v>0</v>
      </c>
      <c r="AK36" s="948">
        <v>0</v>
      </c>
      <c r="AL36" s="948">
        <v>0</v>
      </c>
      <c r="AM36" s="948">
        <v>0</v>
      </c>
      <c r="AN36" s="948">
        <v>0</v>
      </c>
      <c r="AO36" s="948">
        <v>0</v>
      </c>
      <c r="AP36" s="948">
        <v>0</v>
      </c>
      <c r="AQ36" s="948">
        <v>0</v>
      </c>
      <c r="AR36" s="948">
        <v>0</v>
      </c>
      <c r="AS36" s="948">
        <v>0</v>
      </c>
      <c r="AT36" s="948">
        <v>0</v>
      </c>
      <c r="AU36" s="948">
        <v>0</v>
      </c>
      <c r="AV36" s="948">
        <v>0</v>
      </c>
      <c r="AW36" s="948">
        <v>0</v>
      </c>
      <c r="AX36" s="948">
        <v>0</v>
      </c>
      <c r="AY36" s="948">
        <v>0</v>
      </c>
      <c r="AZ36" s="948">
        <v>0</v>
      </c>
      <c r="BA36" s="948">
        <v>0</v>
      </c>
      <c r="BB36" s="948">
        <v>0</v>
      </c>
      <c r="BC36" s="948">
        <v>0</v>
      </c>
      <c r="BD36" s="948">
        <v>0</v>
      </c>
      <c r="BE36" s="948">
        <v>0</v>
      </c>
      <c r="BF36" s="948">
        <v>0</v>
      </c>
      <c r="BG36" s="948">
        <v>0</v>
      </c>
      <c r="BH36" s="948">
        <v>0</v>
      </c>
      <c r="BI36" s="948">
        <v>0</v>
      </c>
      <c r="BJ36" s="948">
        <v>0</v>
      </c>
      <c r="BK36" s="948">
        <v>0</v>
      </c>
      <c r="BL36" s="948">
        <v>0</v>
      </c>
      <c r="BM36" s="948">
        <v>0</v>
      </c>
      <c r="BN36" s="948">
        <v>7.9336999999999991</v>
      </c>
      <c r="BR36" s="950"/>
      <c r="BS36" s="951"/>
      <c r="BT36" s="951"/>
    </row>
    <row r="37" spans="1:72" s="963" customFormat="1" ht="36" customHeight="1">
      <c r="A37" s="228" t="s">
        <v>226</v>
      </c>
      <c r="B37" s="961" t="s">
        <v>480</v>
      </c>
      <c r="C37" s="228" t="s">
        <v>204</v>
      </c>
      <c r="D37" s="948">
        <v>71.976210000000009</v>
      </c>
      <c r="E37" s="948">
        <v>0</v>
      </c>
      <c r="F37" s="948">
        <v>0</v>
      </c>
      <c r="G37" s="948">
        <v>0</v>
      </c>
      <c r="H37" s="948">
        <v>0</v>
      </c>
      <c r="I37" s="948">
        <v>0</v>
      </c>
      <c r="J37" s="948">
        <v>0</v>
      </c>
      <c r="K37" s="948">
        <v>0</v>
      </c>
      <c r="L37" s="948">
        <v>0</v>
      </c>
      <c r="M37" s="948">
        <v>0</v>
      </c>
      <c r="N37" s="948">
        <v>0</v>
      </c>
      <c r="O37" s="948">
        <v>0</v>
      </c>
      <c r="P37" s="948">
        <v>0</v>
      </c>
      <c r="Q37" s="948">
        <v>0</v>
      </c>
      <c r="R37" s="948">
        <v>0</v>
      </c>
      <c r="S37" s="948">
        <v>0</v>
      </c>
      <c r="T37" s="948">
        <v>0</v>
      </c>
      <c r="U37" s="948">
        <v>0</v>
      </c>
      <c r="V37" s="948">
        <v>71.976210000000009</v>
      </c>
      <c r="W37" s="948">
        <v>0</v>
      </c>
      <c r="X37" s="948">
        <v>0</v>
      </c>
      <c r="Y37" s="948">
        <v>0</v>
      </c>
      <c r="Z37" s="948">
        <v>0</v>
      </c>
      <c r="AA37" s="948">
        <v>0</v>
      </c>
      <c r="AB37" s="948">
        <v>0</v>
      </c>
      <c r="AC37" s="948">
        <v>0</v>
      </c>
      <c r="AD37" s="948">
        <v>0</v>
      </c>
      <c r="AE37" s="948">
        <v>69.796210000000002</v>
      </c>
      <c r="AF37" s="948">
        <v>0</v>
      </c>
      <c r="AG37" s="948">
        <v>0</v>
      </c>
      <c r="AH37" s="949">
        <v>69.796210000000002</v>
      </c>
      <c r="AI37" s="948">
        <v>0</v>
      </c>
      <c r="AJ37" s="948">
        <v>0</v>
      </c>
      <c r="AK37" s="948">
        <v>0</v>
      </c>
      <c r="AL37" s="948">
        <v>0</v>
      </c>
      <c r="AM37" s="948">
        <v>0</v>
      </c>
      <c r="AN37" s="948">
        <v>0</v>
      </c>
      <c r="AO37" s="948">
        <v>0</v>
      </c>
      <c r="AP37" s="948">
        <v>0</v>
      </c>
      <c r="AQ37" s="948">
        <v>0</v>
      </c>
      <c r="AR37" s="948">
        <v>0</v>
      </c>
      <c r="AS37" s="948">
        <v>0</v>
      </c>
      <c r="AT37" s="948">
        <v>1.3900000000000001</v>
      </c>
      <c r="AU37" s="948">
        <v>0.79</v>
      </c>
      <c r="AV37" s="948">
        <v>0</v>
      </c>
      <c r="AW37" s="948">
        <v>0</v>
      </c>
      <c r="AX37" s="948">
        <v>0</v>
      </c>
      <c r="AY37" s="948">
        <v>0</v>
      </c>
      <c r="AZ37" s="948">
        <v>0</v>
      </c>
      <c r="BA37" s="948">
        <v>0</v>
      </c>
      <c r="BB37" s="948">
        <v>0</v>
      </c>
      <c r="BC37" s="948">
        <v>0</v>
      </c>
      <c r="BD37" s="948">
        <v>0</v>
      </c>
      <c r="BE37" s="948">
        <v>0</v>
      </c>
      <c r="BF37" s="948">
        <v>0</v>
      </c>
      <c r="BG37" s="948">
        <v>0</v>
      </c>
      <c r="BH37" s="948">
        <v>0</v>
      </c>
      <c r="BI37" s="948">
        <v>0</v>
      </c>
      <c r="BJ37" s="948">
        <v>0</v>
      </c>
      <c r="BK37" s="948">
        <v>0</v>
      </c>
      <c r="BL37" s="948">
        <v>2.1800000000000002</v>
      </c>
      <c r="BM37" s="948">
        <v>4.4800000000000004</v>
      </c>
      <c r="BN37" s="948">
        <v>76.456210000000013</v>
      </c>
      <c r="BR37" s="950"/>
      <c r="BS37" s="951"/>
      <c r="BT37" s="951"/>
    </row>
    <row r="38" spans="1:72" s="963" customFormat="1" ht="36" customHeight="1">
      <c r="A38" s="228" t="s">
        <v>227</v>
      </c>
      <c r="B38" s="961" t="s">
        <v>481</v>
      </c>
      <c r="C38" s="228" t="s">
        <v>205</v>
      </c>
      <c r="D38" s="948">
        <v>113.738</v>
      </c>
      <c r="E38" s="948">
        <v>0</v>
      </c>
      <c r="F38" s="948">
        <v>0</v>
      </c>
      <c r="G38" s="948">
        <v>0</v>
      </c>
      <c r="H38" s="948">
        <v>0</v>
      </c>
      <c r="I38" s="948">
        <v>0</v>
      </c>
      <c r="J38" s="948">
        <v>0</v>
      </c>
      <c r="K38" s="948">
        <v>0</v>
      </c>
      <c r="L38" s="948">
        <v>0</v>
      </c>
      <c r="M38" s="948">
        <v>0</v>
      </c>
      <c r="N38" s="948">
        <v>0</v>
      </c>
      <c r="O38" s="948">
        <v>0</v>
      </c>
      <c r="P38" s="948">
        <v>0</v>
      </c>
      <c r="Q38" s="948">
        <v>0</v>
      </c>
      <c r="R38" s="948">
        <v>0</v>
      </c>
      <c r="S38" s="948">
        <v>0</v>
      </c>
      <c r="T38" s="948">
        <v>0</v>
      </c>
      <c r="U38" s="948">
        <v>0</v>
      </c>
      <c r="V38" s="948">
        <v>113.738</v>
      </c>
      <c r="W38" s="948">
        <v>0</v>
      </c>
      <c r="X38" s="948">
        <v>0</v>
      </c>
      <c r="Y38" s="948">
        <v>0</v>
      </c>
      <c r="Z38" s="948">
        <v>0</v>
      </c>
      <c r="AA38" s="948">
        <v>0</v>
      </c>
      <c r="AB38" s="948">
        <v>0</v>
      </c>
      <c r="AC38" s="948">
        <v>0</v>
      </c>
      <c r="AD38" s="948">
        <v>0</v>
      </c>
      <c r="AE38" s="948">
        <v>113.738</v>
      </c>
      <c r="AF38" s="948">
        <v>0</v>
      </c>
      <c r="AG38" s="948">
        <v>0</v>
      </c>
      <c r="AH38" s="948">
        <v>0</v>
      </c>
      <c r="AI38" s="949">
        <v>113.66800000000001</v>
      </c>
      <c r="AJ38" s="948">
        <v>0</v>
      </c>
      <c r="AK38" s="948">
        <v>0</v>
      </c>
      <c r="AL38" s="948">
        <v>7.0000000000000007E-2</v>
      </c>
      <c r="AM38" s="948">
        <v>0</v>
      </c>
      <c r="AN38" s="948">
        <v>0</v>
      </c>
      <c r="AO38" s="948">
        <v>0</v>
      </c>
      <c r="AP38" s="948">
        <v>0</v>
      </c>
      <c r="AQ38" s="948">
        <v>0</v>
      </c>
      <c r="AR38" s="948">
        <v>0</v>
      </c>
      <c r="AS38" s="948">
        <v>0</v>
      </c>
      <c r="AT38" s="948">
        <v>0</v>
      </c>
      <c r="AU38" s="948">
        <v>0</v>
      </c>
      <c r="AV38" s="948">
        <v>0</v>
      </c>
      <c r="AW38" s="948">
        <v>0</v>
      </c>
      <c r="AX38" s="948">
        <v>0</v>
      </c>
      <c r="AY38" s="948">
        <v>0</v>
      </c>
      <c r="AZ38" s="948">
        <v>0</v>
      </c>
      <c r="BA38" s="948">
        <v>0</v>
      </c>
      <c r="BB38" s="948">
        <v>0</v>
      </c>
      <c r="BC38" s="948">
        <v>0</v>
      </c>
      <c r="BD38" s="948">
        <v>0</v>
      </c>
      <c r="BE38" s="948">
        <v>0</v>
      </c>
      <c r="BF38" s="948">
        <v>0</v>
      </c>
      <c r="BG38" s="948">
        <v>0</v>
      </c>
      <c r="BH38" s="948">
        <v>0</v>
      </c>
      <c r="BI38" s="948">
        <v>0</v>
      </c>
      <c r="BJ38" s="948">
        <v>0</v>
      </c>
      <c r="BK38" s="948">
        <v>0</v>
      </c>
      <c r="BL38" s="948">
        <v>7.0000000000000007E-2</v>
      </c>
      <c r="BM38" s="948">
        <v>0.16</v>
      </c>
      <c r="BN38" s="948">
        <v>113.898</v>
      </c>
      <c r="BR38" s="950"/>
      <c r="BS38" s="951"/>
      <c r="BT38" s="951"/>
    </row>
    <row r="39" spans="1:72" s="963" customFormat="1" ht="48.75" customHeight="1">
      <c r="A39" s="228" t="s">
        <v>228</v>
      </c>
      <c r="B39" s="961" t="s">
        <v>482</v>
      </c>
      <c r="C39" s="228" t="s">
        <v>206</v>
      </c>
      <c r="D39" s="948">
        <v>0</v>
      </c>
      <c r="E39" s="948">
        <v>0</v>
      </c>
      <c r="F39" s="948">
        <v>0</v>
      </c>
      <c r="G39" s="948">
        <v>0</v>
      </c>
      <c r="H39" s="948">
        <v>0</v>
      </c>
      <c r="I39" s="948">
        <v>0</v>
      </c>
      <c r="J39" s="948">
        <v>0</v>
      </c>
      <c r="K39" s="948">
        <v>0</v>
      </c>
      <c r="L39" s="948">
        <v>0</v>
      </c>
      <c r="M39" s="948">
        <v>0</v>
      </c>
      <c r="N39" s="948">
        <v>0</v>
      </c>
      <c r="O39" s="948">
        <v>0</v>
      </c>
      <c r="P39" s="948">
        <v>0</v>
      </c>
      <c r="Q39" s="948">
        <v>0</v>
      </c>
      <c r="R39" s="948">
        <v>0</v>
      </c>
      <c r="S39" s="948">
        <v>0</v>
      </c>
      <c r="T39" s="948">
        <v>0</v>
      </c>
      <c r="U39" s="948">
        <v>0</v>
      </c>
      <c r="V39" s="948">
        <v>0</v>
      </c>
      <c r="W39" s="948">
        <v>0</v>
      </c>
      <c r="X39" s="948">
        <v>0</v>
      </c>
      <c r="Y39" s="948">
        <v>0</v>
      </c>
      <c r="Z39" s="948">
        <v>0</v>
      </c>
      <c r="AA39" s="948">
        <v>0</v>
      </c>
      <c r="AB39" s="948">
        <v>0</v>
      </c>
      <c r="AC39" s="948">
        <v>0</v>
      </c>
      <c r="AD39" s="948">
        <v>0</v>
      </c>
      <c r="AE39" s="948">
        <v>0</v>
      </c>
      <c r="AF39" s="948">
        <v>0</v>
      </c>
      <c r="AG39" s="948">
        <v>0</v>
      </c>
      <c r="AH39" s="948">
        <v>0</v>
      </c>
      <c r="AI39" s="948">
        <v>0</v>
      </c>
      <c r="AJ39" s="949">
        <v>0</v>
      </c>
      <c r="AK39" s="948">
        <v>0</v>
      </c>
      <c r="AL39" s="948">
        <v>0</v>
      </c>
      <c r="AM39" s="948">
        <v>0</v>
      </c>
      <c r="AN39" s="948">
        <v>0</v>
      </c>
      <c r="AO39" s="948">
        <v>0</v>
      </c>
      <c r="AP39" s="948">
        <v>0</v>
      </c>
      <c r="AQ39" s="948">
        <v>0</v>
      </c>
      <c r="AR39" s="948">
        <v>0</v>
      </c>
      <c r="AS39" s="948">
        <v>0</v>
      </c>
      <c r="AT39" s="948">
        <v>0</v>
      </c>
      <c r="AU39" s="948">
        <v>0</v>
      </c>
      <c r="AV39" s="948">
        <v>0</v>
      </c>
      <c r="AW39" s="948">
        <v>0</v>
      </c>
      <c r="AX39" s="948">
        <v>0</v>
      </c>
      <c r="AY39" s="948">
        <v>0</v>
      </c>
      <c r="AZ39" s="948">
        <v>0</v>
      </c>
      <c r="BA39" s="948">
        <v>0</v>
      </c>
      <c r="BB39" s="948">
        <v>0</v>
      </c>
      <c r="BC39" s="948">
        <v>0</v>
      </c>
      <c r="BD39" s="948">
        <v>0</v>
      </c>
      <c r="BE39" s="948">
        <v>0</v>
      </c>
      <c r="BF39" s="948">
        <v>0</v>
      </c>
      <c r="BG39" s="948">
        <v>0</v>
      </c>
      <c r="BH39" s="948">
        <v>0</v>
      </c>
      <c r="BI39" s="948">
        <v>0</v>
      </c>
      <c r="BJ39" s="948">
        <v>0</v>
      </c>
      <c r="BK39" s="948">
        <v>0</v>
      </c>
      <c r="BL39" s="948">
        <v>0</v>
      </c>
      <c r="BM39" s="948">
        <v>0</v>
      </c>
      <c r="BN39" s="948">
        <v>0</v>
      </c>
      <c r="BR39" s="950"/>
      <c r="BS39" s="951"/>
      <c r="BT39" s="951"/>
    </row>
    <row r="40" spans="1:72" s="963" customFormat="1" ht="36" customHeight="1">
      <c r="A40" s="228" t="s">
        <v>229</v>
      </c>
      <c r="B40" s="961" t="s">
        <v>483</v>
      </c>
      <c r="C40" s="228" t="s">
        <v>207</v>
      </c>
      <c r="D40" s="948">
        <v>0.04</v>
      </c>
      <c r="E40" s="948">
        <v>0</v>
      </c>
      <c r="F40" s="948">
        <v>0</v>
      </c>
      <c r="G40" s="948">
        <v>0</v>
      </c>
      <c r="H40" s="948">
        <v>0</v>
      </c>
      <c r="I40" s="948">
        <v>0</v>
      </c>
      <c r="J40" s="948">
        <v>0</v>
      </c>
      <c r="K40" s="948">
        <v>0</v>
      </c>
      <c r="L40" s="948">
        <v>0</v>
      </c>
      <c r="M40" s="948">
        <v>0</v>
      </c>
      <c r="N40" s="948">
        <v>0</v>
      </c>
      <c r="O40" s="948">
        <v>0</v>
      </c>
      <c r="P40" s="948">
        <v>0</v>
      </c>
      <c r="Q40" s="948">
        <v>0</v>
      </c>
      <c r="R40" s="948">
        <v>0</v>
      </c>
      <c r="S40" s="948">
        <v>0</v>
      </c>
      <c r="T40" s="948">
        <v>0</v>
      </c>
      <c r="U40" s="948">
        <v>0</v>
      </c>
      <c r="V40" s="948">
        <v>0.04</v>
      </c>
      <c r="W40" s="948">
        <v>0</v>
      </c>
      <c r="X40" s="948">
        <v>0</v>
      </c>
      <c r="Y40" s="948">
        <v>0</v>
      </c>
      <c r="Z40" s="948">
        <v>0</v>
      </c>
      <c r="AA40" s="948">
        <v>0</v>
      </c>
      <c r="AB40" s="948">
        <v>0</v>
      </c>
      <c r="AC40" s="948">
        <v>0</v>
      </c>
      <c r="AD40" s="948">
        <v>0</v>
      </c>
      <c r="AE40" s="948">
        <v>0.04</v>
      </c>
      <c r="AF40" s="948">
        <v>0</v>
      </c>
      <c r="AG40" s="948">
        <v>0</v>
      </c>
      <c r="AH40" s="948">
        <v>0</v>
      </c>
      <c r="AI40" s="948">
        <v>0</v>
      </c>
      <c r="AJ40" s="948">
        <v>0</v>
      </c>
      <c r="AK40" s="949">
        <v>0.04</v>
      </c>
      <c r="AL40" s="948">
        <v>0</v>
      </c>
      <c r="AM40" s="948">
        <v>0</v>
      </c>
      <c r="AN40" s="948">
        <v>0</v>
      </c>
      <c r="AO40" s="948">
        <v>0</v>
      </c>
      <c r="AP40" s="948">
        <v>0</v>
      </c>
      <c r="AQ40" s="948">
        <v>0</v>
      </c>
      <c r="AR40" s="948">
        <v>0</v>
      </c>
      <c r="AS40" s="948">
        <v>0</v>
      </c>
      <c r="AT40" s="948">
        <v>0</v>
      </c>
      <c r="AU40" s="948">
        <v>0</v>
      </c>
      <c r="AV40" s="948">
        <v>0</v>
      </c>
      <c r="AW40" s="948">
        <v>0</v>
      </c>
      <c r="AX40" s="948">
        <v>0</v>
      </c>
      <c r="AY40" s="948">
        <v>0</v>
      </c>
      <c r="AZ40" s="948">
        <v>0</v>
      </c>
      <c r="BA40" s="948">
        <v>0</v>
      </c>
      <c r="BB40" s="948">
        <v>0</v>
      </c>
      <c r="BC40" s="948">
        <v>0</v>
      </c>
      <c r="BD40" s="948">
        <v>0</v>
      </c>
      <c r="BE40" s="948">
        <v>0</v>
      </c>
      <c r="BF40" s="948">
        <v>0</v>
      </c>
      <c r="BG40" s="948">
        <v>0</v>
      </c>
      <c r="BH40" s="948">
        <v>0</v>
      </c>
      <c r="BI40" s="948">
        <v>0</v>
      </c>
      <c r="BJ40" s="948">
        <v>0</v>
      </c>
      <c r="BK40" s="948">
        <v>0</v>
      </c>
      <c r="BL40" s="948">
        <v>0</v>
      </c>
      <c r="BM40" s="948">
        <v>0</v>
      </c>
      <c r="BN40" s="948">
        <v>0.04</v>
      </c>
      <c r="BR40" s="950"/>
      <c r="BS40" s="951"/>
      <c r="BT40" s="951"/>
    </row>
    <row r="41" spans="1:72" s="963" customFormat="1" ht="39" customHeight="1">
      <c r="A41" s="228" t="s">
        <v>230</v>
      </c>
      <c r="B41" s="961" t="s">
        <v>484</v>
      </c>
      <c r="C41" s="228" t="s">
        <v>199</v>
      </c>
      <c r="D41" s="948">
        <v>1403.6425899999995</v>
      </c>
      <c r="E41" s="948">
        <v>0.75</v>
      </c>
      <c r="F41" s="948">
        <v>0</v>
      </c>
      <c r="G41" s="948">
        <v>0</v>
      </c>
      <c r="H41" s="948">
        <v>0</v>
      </c>
      <c r="I41" s="948">
        <v>0</v>
      </c>
      <c r="J41" s="948">
        <v>0</v>
      </c>
      <c r="K41" s="948">
        <v>0</v>
      </c>
      <c r="L41" s="948">
        <v>0</v>
      </c>
      <c r="M41" s="948">
        <v>0</v>
      </c>
      <c r="N41" s="948">
        <v>0</v>
      </c>
      <c r="O41" s="948">
        <v>0</v>
      </c>
      <c r="P41" s="948">
        <v>0</v>
      </c>
      <c r="Q41" s="948">
        <v>0</v>
      </c>
      <c r="R41" s="948">
        <v>0</v>
      </c>
      <c r="S41" s="948">
        <v>0.75</v>
      </c>
      <c r="T41" s="948">
        <v>0</v>
      </c>
      <c r="U41" s="948">
        <v>0</v>
      </c>
      <c r="V41" s="948">
        <v>1402.8925899999992</v>
      </c>
      <c r="W41" s="948">
        <v>0</v>
      </c>
      <c r="X41" s="948">
        <v>0</v>
      </c>
      <c r="Y41" s="948">
        <v>0.27</v>
      </c>
      <c r="Z41" s="948">
        <v>0</v>
      </c>
      <c r="AA41" s="948">
        <v>2.46</v>
      </c>
      <c r="AB41" s="948">
        <v>1.9</v>
      </c>
      <c r="AC41" s="948">
        <v>2.5</v>
      </c>
      <c r="AD41" s="948">
        <v>0</v>
      </c>
      <c r="AE41" s="948">
        <v>1386.1825899999992</v>
      </c>
      <c r="AF41" s="948">
        <v>0.03</v>
      </c>
      <c r="AG41" s="948">
        <v>0</v>
      </c>
      <c r="AH41" s="948">
        <v>0.21</v>
      </c>
      <c r="AI41" s="948">
        <v>0.11</v>
      </c>
      <c r="AJ41" s="948">
        <v>0</v>
      </c>
      <c r="AK41" s="948">
        <v>0</v>
      </c>
      <c r="AL41" s="949">
        <v>1385.7225899999994</v>
      </c>
      <c r="AM41" s="948">
        <v>0.11</v>
      </c>
      <c r="AN41" s="948">
        <v>0</v>
      </c>
      <c r="AO41" s="948">
        <v>0</v>
      </c>
      <c r="AP41" s="948">
        <v>0</v>
      </c>
      <c r="AQ41" s="948">
        <v>0</v>
      </c>
      <c r="AR41" s="948">
        <v>0</v>
      </c>
      <c r="AS41" s="948">
        <v>0</v>
      </c>
      <c r="AT41" s="948">
        <v>0.69</v>
      </c>
      <c r="AU41" s="948">
        <v>1.7400000000000002</v>
      </c>
      <c r="AV41" s="948">
        <v>1.26</v>
      </c>
      <c r="AW41" s="948">
        <v>0</v>
      </c>
      <c r="AX41" s="948">
        <v>0</v>
      </c>
      <c r="AY41" s="948">
        <v>0.01</v>
      </c>
      <c r="AZ41" s="948">
        <v>0</v>
      </c>
      <c r="BA41" s="948">
        <v>2.12</v>
      </c>
      <c r="BB41" s="948">
        <v>0</v>
      </c>
      <c r="BC41" s="948">
        <v>1.03</v>
      </c>
      <c r="BD41" s="948">
        <v>0</v>
      </c>
      <c r="BE41" s="948">
        <v>0</v>
      </c>
      <c r="BF41" s="948">
        <v>2.73</v>
      </c>
      <c r="BG41" s="948">
        <v>0</v>
      </c>
      <c r="BH41" s="948">
        <v>0</v>
      </c>
      <c r="BI41" s="948">
        <v>0</v>
      </c>
      <c r="BJ41" s="948">
        <v>0</v>
      </c>
      <c r="BK41" s="948">
        <v>0</v>
      </c>
      <c r="BL41" s="948">
        <v>17.919999999999998</v>
      </c>
      <c r="BM41" s="948">
        <v>204.53</v>
      </c>
      <c r="BN41" s="948">
        <v>1608.1725899999994</v>
      </c>
      <c r="BR41" s="950"/>
      <c r="BS41" s="951"/>
      <c r="BT41" s="951"/>
    </row>
    <row r="42" spans="1:72" s="963" customFormat="1" ht="36.75" customHeight="1">
      <c r="A42" s="228" t="s">
        <v>231</v>
      </c>
      <c r="B42" s="961" t="s">
        <v>485</v>
      </c>
      <c r="C42" s="228" t="s">
        <v>200</v>
      </c>
      <c r="D42" s="948">
        <v>514.57782999999995</v>
      </c>
      <c r="E42" s="948">
        <v>18.02</v>
      </c>
      <c r="F42" s="948">
        <v>0</v>
      </c>
      <c r="G42" s="948">
        <v>0</v>
      </c>
      <c r="H42" s="948">
        <v>0</v>
      </c>
      <c r="I42" s="948">
        <v>0</v>
      </c>
      <c r="J42" s="948">
        <v>0</v>
      </c>
      <c r="K42" s="948">
        <v>0</v>
      </c>
      <c r="L42" s="948">
        <v>0</v>
      </c>
      <c r="M42" s="948">
        <v>0</v>
      </c>
      <c r="N42" s="948">
        <v>0</v>
      </c>
      <c r="O42" s="948">
        <v>0</v>
      </c>
      <c r="P42" s="948">
        <v>0</v>
      </c>
      <c r="Q42" s="948">
        <v>0</v>
      </c>
      <c r="R42" s="948">
        <v>0</v>
      </c>
      <c r="S42" s="948">
        <v>18.02</v>
      </c>
      <c r="T42" s="948">
        <v>0</v>
      </c>
      <c r="U42" s="948">
        <v>0</v>
      </c>
      <c r="V42" s="948">
        <v>496.55782999999985</v>
      </c>
      <c r="W42" s="948">
        <v>0.04</v>
      </c>
      <c r="X42" s="948">
        <v>0</v>
      </c>
      <c r="Y42" s="948">
        <v>0.89</v>
      </c>
      <c r="Z42" s="948">
        <v>0</v>
      </c>
      <c r="AA42" s="948">
        <v>8.98</v>
      </c>
      <c r="AB42" s="948">
        <v>0.22</v>
      </c>
      <c r="AC42" s="948">
        <v>2.63</v>
      </c>
      <c r="AD42" s="948">
        <v>0</v>
      </c>
      <c r="AE42" s="948">
        <v>482.64782999999994</v>
      </c>
      <c r="AF42" s="948">
        <v>0.01</v>
      </c>
      <c r="AG42" s="948">
        <v>0</v>
      </c>
      <c r="AH42" s="948">
        <v>0</v>
      </c>
      <c r="AI42" s="948">
        <v>0</v>
      </c>
      <c r="AJ42" s="948">
        <v>0</v>
      </c>
      <c r="AK42" s="948">
        <v>0</v>
      </c>
      <c r="AL42" s="948">
        <v>3.43</v>
      </c>
      <c r="AM42" s="949">
        <v>479.20782999999994</v>
      </c>
      <c r="AN42" s="948">
        <v>0</v>
      </c>
      <c r="AO42" s="948">
        <v>0</v>
      </c>
      <c r="AP42" s="948">
        <v>0</v>
      </c>
      <c r="AQ42" s="948">
        <v>0</v>
      </c>
      <c r="AR42" s="948">
        <v>0</v>
      </c>
      <c r="AS42" s="948">
        <v>0.43</v>
      </c>
      <c r="AT42" s="948">
        <v>0.01</v>
      </c>
      <c r="AU42" s="948">
        <v>0.27</v>
      </c>
      <c r="AV42" s="948">
        <v>0.13</v>
      </c>
      <c r="AW42" s="948">
        <v>0</v>
      </c>
      <c r="AX42" s="948">
        <v>0</v>
      </c>
      <c r="AY42" s="948">
        <v>0</v>
      </c>
      <c r="AZ42" s="948">
        <v>0</v>
      </c>
      <c r="BA42" s="948">
        <v>0.15</v>
      </c>
      <c r="BB42" s="948">
        <v>0</v>
      </c>
      <c r="BC42" s="948">
        <v>0.15</v>
      </c>
      <c r="BD42" s="948">
        <v>0</v>
      </c>
      <c r="BE42" s="948">
        <v>0</v>
      </c>
      <c r="BF42" s="948">
        <v>0.01</v>
      </c>
      <c r="BG42" s="948">
        <v>0</v>
      </c>
      <c r="BH42" s="948">
        <v>0</v>
      </c>
      <c r="BI42" s="948">
        <v>0</v>
      </c>
      <c r="BJ42" s="948">
        <v>0</v>
      </c>
      <c r="BK42" s="948">
        <v>0</v>
      </c>
      <c r="BL42" s="948">
        <v>35.369999999999997</v>
      </c>
      <c r="BM42" s="948">
        <v>-31.909999999999997</v>
      </c>
      <c r="BN42" s="948">
        <v>482.66782999999998</v>
      </c>
      <c r="BR42" s="950"/>
      <c r="BS42" s="951"/>
      <c r="BT42" s="951"/>
    </row>
    <row r="43" spans="1:72" s="963" customFormat="1" ht="36.75" customHeight="1">
      <c r="A43" s="228" t="s">
        <v>232</v>
      </c>
      <c r="B43" s="961" t="s">
        <v>486</v>
      </c>
      <c r="C43" s="228" t="s">
        <v>223</v>
      </c>
      <c r="D43" s="948">
        <v>2.4999999999999996</v>
      </c>
      <c r="E43" s="948">
        <v>0</v>
      </c>
      <c r="F43" s="948">
        <v>0</v>
      </c>
      <c r="G43" s="948">
        <v>0</v>
      </c>
      <c r="H43" s="948">
        <v>0</v>
      </c>
      <c r="I43" s="948">
        <v>0</v>
      </c>
      <c r="J43" s="948">
        <v>0</v>
      </c>
      <c r="K43" s="948">
        <v>0</v>
      </c>
      <c r="L43" s="948">
        <v>0</v>
      </c>
      <c r="M43" s="948">
        <v>0</v>
      </c>
      <c r="N43" s="948">
        <v>0</v>
      </c>
      <c r="O43" s="948">
        <v>0</v>
      </c>
      <c r="P43" s="948">
        <v>0</v>
      </c>
      <c r="Q43" s="948">
        <v>0</v>
      </c>
      <c r="R43" s="948">
        <v>0</v>
      </c>
      <c r="S43" s="948">
        <v>0</v>
      </c>
      <c r="T43" s="948">
        <v>0</v>
      </c>
      <c r="U43" s="948">
        <v>0</v>
      </c>
      <c r="V43" s="948">
        <v>2.4999999999999996</v>
      </c>
      <c r="W43" s="948">
        <v>0</v>
      </c>
      <c r="X43" s="948">
        <v>0</v>
      </c>
      <c r="Y43" s="948">
        <v>0</v>
      </c>
      <c r="Z43" s="948">
        <v>0</v>
      </c>
      <c r="AA43" s="948">
        <v>0</v>
      </c>
      <c r="AB43" s="948">
        <v>0</v>
      </c>
      <c r="AC43" s="948">
        <v>0</v>
      </c>
      <c r="AD43" s="948">
        <v>0</v>
      </c>
      <c r="AE43" s="948">
        <v>2.4999999999999996</v>
      </c>
      <c r="AF43" s="948">
        <v>0</v>
      </c>
      <c r="AG43" s="948">
        <v>0</v>
      </c>
      <c r="AH43" s="948">
        <v>0</v>
      </c>
      <c r="AI43" s="948">
        <v>0</v>
      </c>
      <c r="AJ43" s="948">
        <v>0</v>
      </c>
      <c r="AK43" s="948">
        <v>0</v>
      </c>
      <c r="AL43" s="948">
        <v>0</v>
      </c>
      <c r="AM43" s="948">
        <v>0</v>
      </c>
      <c r="AN43" s="949">
        <v>2.4999999999999996</v>
      </c>
      <c r="AO43" s="948">
        <v>0</v>
      </c>
      <c r="AP43" s="948">
        <v>0</v>
      </c>
      <c r="AQ43" s="948">
        <v>0</v>
      </c>
      <c r="AR43" s="948">
        <v>0</v>
      </c>
      <c r="AS43" s="948">
        <v>0</v>
      </c>
      <c r="AT43" s="948">
        <v>0</v>
      </c>
      <c r="AU43" s="948">
        <v>0</v>
      </c>
      <c r="AV43" s="948">
        <v>0</v>
      </c>
      <c r="AW43" s="948">
        <v>0</v>
      </c>
      <c r="AX43" s="948">
        <v>0</v>
      </c>
      <c r="AY43" s="948">
        <v>0</v>
      </c>
      <c r="AZ43" s="948">
        <v>0</v>
      </c>
      <c r="BA43" s="948">
        <v>0</v>
      </c>
      <c r="BB43" s="948">
        <v>0</v>
      </c>
      <c r="BC43" s="948">
        <v>0</v>
      </c>
      <c r="BD43" s="948">
        <v>0</v>
      </c>
      <c r="BE43" s="948">
        <v>0</v>
      </c>
      <c r="BF43" s="948">
        <v>0</v>
      </c>
      <c r="BG43" s="948">
        <v>0</v>
      </c>
      <c r="BH43" s="948">
        <v>0</v>
      </c>
      <c r="BI43" s="948">
        <v>0</v>
      </c>
      <c r="BJ43" s="948">
        <v>0</v>
      </c>
      <c r="BK43" s="948">
        <v>0</v>
      </c>
      <c r="BL43" s="948">
        <v>0</v>
      </c>
      <c r="BM43" s="948">
        <v>0</v>
      </c>
      <c r="BN43" s="948">
        <v>2.4999999999999996</v>
      </c>
      <c r="BR43" s="950"/>
      <c r="BS43" s="951"/>
      <c r="BT43" s="951"/>
    </row>
    <row r="44" spans="1:72" s="963" customFormat="1" ht="36.75" customHeight="1">
      <c r="A44" s="228" t="s">
        <v>233</v>
      </c>
      <c r="B44" s="961" t="s">
        <v>487</v>
      </c>
      <c r="C44" s="228" t="s">
        <v>201</v>
      </c>
      <c r="D44" s="948">
        <v>1.49255</v>
      </c>
      <c r="E44" s="948">
        <v>0</v>
      </c>
      <c r="F44" s="948">
        <v>0</v>
      </c>
      <c r="G44" s="948">
        <v>0</v>
      </c>
      <c r="H44" s="948">
        <v>0</v>
      </c>
      <c r="I44" s="948">
        <v>0</v>
      </c>
      <c r="J44" s="948">
        <v>0</v>
      </c>
      <c r="K44" s="948">
        <v>0</v>
      </c>
      <c r="L44" s="948">
        <v>0</v>
      </c>
      <c r="M44" s="948">
        <v>0</v>
      </c>
      <c r="N44" s="948">
        <v>0</v>
      </c>
      <c r="O44" s="948">
        <v>0</v>
      </c>
      <c r="P44" s="948">
        <v>0</v>
      </c>
      <c r="Q44" s="948">
        <v>0</v>
      </c>
      <c r="R44" s="948">
        <v>0</v>
      </c>
      <c r="S44" s="948">
        <v>0</v>
      </c>
      <c r="T44" s="948">
        <v>0</v>
      </c>
      <c r="U44" s="948">
        <v>0</v>
      </c>
      <c r="V44" s="948">
        <v>1.49255</v>
      </c>
      <c r="W44" s="948">
        <v>0</v>
      </c>
      <c r="X44" s="948">
        <v>0</v>
      </c>
      <c r="Y44" s="948">
        <v>0</v>
      </c>
      <c r="Z44" s="948">
        <v>0</v>
      </c>
      <c r="AA44" s="948">
        <v>0</v>
      </c>
      <c r="AB44" s="948">
        <v>0</v>
      </c>
      <c r="AC44" s="948">
        <v>0</v>
      </c>
      <c r="AD44" s="948">
        <v>0</v>
      </c>
      <c r="AE44" s="948">
        <v>1.49255</v>
      </c>
      <c r="AF44" s="948">
        <v>0</v>
      </c>
      <c r="AG44" s="948">
        <v>0</v>
      </c>
      <c r="AH44" s="948">
        <v>0</v>
      </c>
      <c r="AI44" s="948">
        <v>0</v>
      </c>
      <c r="AJ44" s="948">
        <v>0</v>
      </c>
      <c r="AK44" s="948">
        <v>0</v>
      </c>
      <c r="AL44" s="948">
        <v>0</v>
      </c>
      <c r="AM44" s="948">
        <v>0</v>
      </c>
      <c r="AN44" s="948">
        <v>0</v>
      </c>
      <c r="AO44" s="949">
        <v>1.49255</v>
      </c>
      <c r="AP44" s="948">
        <v>0</v>
      </c>
      <c r="AQ44" s="948">
        <v>0</v>
      </c>
      <c r="AR44" s="948">
        <v>0</v>
      </c>
      <c r="AS44" s="948">
        <v>0</v>
      </c>
      <c r="AT44" s="948">
        <v>0</v>
      </c>
      <c r="AU44" s="948">
        <v>0</v>
      </c>
      <c r="AV44" s="948">
        <v>0</v>
      </c>
      <c r="AW44" s="948">
        <v>0</v>
      </c>
      <c r="AX44" s="948">
        <v>0</v>
      </c>
      <c r="AY44" s="948">
        <v>0</v>
      </c>
      <c r="AZ44" s="948">
        <v>0</v>
      </c>
      <c r="BA44" s="948">
        <v>0</v>
      </c>
      <c r="BB44" s="948">
        <v>0</v>
      </c>
      <c r="BC44" s="948">
        <v>0</v>
      </c>
      <c r="BD44" s="948">
        <v>0</v>
      </c>
      <c r="BE44" s="948">
        <v>0</v>
      </c>
      <c r="BF44" s="948">
        <v>0</v>
      </c>
      <c r="BG44" s="948">
        <v>0</v>
      </c>
      <c r="BH44" s="948">
        <v>0</v>
      </c>
      <c r="BI44" s="948">
        <v>0</v>
      </c>
      <c r="BJ44" s="948">
        <v>0</v>
      </c>
      <c r="BK44" s="948">
        <v>0</v>
      </c>
      <c r="BL44" s="948">
        <v>0</v>
      </c>
      <c r="BM44" s="948">
        <v>0</v>
      </c>
      <c r="BN44" s="948">
        <v>1.49255</v>
      </c>
      <c r="BR44" s="950"/>
      <c r="BS44" s="951"/>
      <c r="BT44" s="951"/>
    </row>
    <row r="45" spans="1:72" s="963" customFormat="1" ht="36.75" customHeight="1">
      <c r="A45" s="228" t="s">
        <v>234</v>
      </c>
      <c r="B45" s="961" t="s">
        <v>488</v>
      </c>
      <c r="C45" s="228" t="s">
        <v>208</v>
      </c>
      <c r="D45" s="948">
        <v>11.981619999999999</v>
      </c>
      <c r="E45" s="948">
        <v>0</v>
      </c>
      <c r="F45" s="948">
        <v>0</v>
      </c>
      <c r="G45" s="948">
        <v>0</v>
      </c>
      <c r="H45" s="948">
        <v>0</v>
      </c>
      <c r="I45" s="948">
        <v>0</v>
      </c>
      <c r="J45" s="948">
        <v>0</v>
      </c>
      <c r="K45" s="948">
        <v>0</v>
      </c>
      <c r="L45" s="948">
        <v>0</v>
      </c>
      <c r="M45" s="948">
        <v>0</v>
      </c>
      <c r="N45" s="948">
        <v>0</v>
      </c>
      <c r="O45" s="948">
        <v>0</v>
      </c>
      <c r="P45" s="948">
        <v>0</v>
      </c>
      <c r="Q45" s="948">
        <v>0</v>
      </c>
      <c r="R45" s="948">
        <v>0</v>
      </c>
      <c r="S45" s="948">
        <v>0</v>
      </c>
      <c r="T45" s="948">
        <v>0</v>
      </c>
      <c r="U45" s="948">
        <v>0</v>
      </c>
      <c r="V45" s="948">
        <v>11.981619999999999</v>
      </c>
      <c r="W45" s="948">
        <v>0</v>
      </c>
      <c r="X45" s="948">
        <v>0</v>
      </c>
      <c r="Y45" s="948">
        <v>0</v>
      </c>
      <c r="Z45" s="948">
        <v>0</v>
      </c>
      <c r="AA45" s="948">
        <v>0</v>
      </c>
      <c r="AB45" s="948">
        <v>0</v>
      </c>
      <c r="AC45" s="948">
        <v>0</v>
      </c>
      <c r="AD45" s="948">
        <v>0</v>
      </c>
      <c r="AE45" s="948">
        <v>11.981619999999999</v>
      </c>
      <c r="AF45" s="948">
        <v>0</v>
      </c>
      <c r="AG45" s="948">
        <v>0</v>
      </c>
      <c r="AH45" s="948">
        <v>0</v>
      </c>
      <c r="AI45" s="948">
        <v>0</v>
      </c>
      <c r="AJ45" s="948">
        <v>0</v>
      </c>
      <c r="AK45" s="948">
        <v>0</v>
      </c>
      <c r="AL45" s="948">
        <v>0</v>
      </c>
      <c r="AM45" s="948">
        <v>0</v>
      </c>
      <c r="AN45" s="948">
        <v>0</v>
      </c>
      <c r="AO45" s="948">
        <v>0</v>
      </c>
      <c r="AP45" s="949">
        <v>11.981619999999999</v>
      </c>
      <c r="AQ45" s="948">
        <v>0</v>
      </c>
      <c r="AR45" s="948">
        <v>0</v>
      </c>
      <c r="AS45" s="948">
        <v>0</v>
      </c>
      <c r="AT45" s="948">
        <v>0</v>
      </c>
      <c r="AU45" s="948">
        <v>0</v>
      </c>
      <c r="AV45" s="948">
        <v>0</v>
      </c>
      <c r="AW45" s="948">
        <v>0</v>
      </c>
      <c r="AX45" s="948">
        <v>0</v>
      </c>
      <c r="AY45" s="948">
        <v>0</v>
      </c>
      <c r="AZ45" s="948">
        <v>0</v>
      </c>
      <c r="BA45" s="948">
        <v>0</v>
      </c>
      <c r="BB45" s="948">
        <v>0</v>
      </c>
      <c r="BC45" s="948">
        <v>0</v>
      </c>
      <c r="BD45" s="948">
        <v>0</v>
      </c>
      <c r="BE45" s="948">
        <v>0</v>
      </c>
      <c r="BF45" s="948">
        <v>0</v>
      </c>
      <c r="BG45" s="948">
        <v>0</v>
      </c>
      <c r="BH45" s="948">
        <v>0</v>
      </c>
      <c r="BI45" s="948">
        <v>0</v>
      </c>
      <c r="BJ45" s="948">
        <v>0</v>
      </c>
      <c r="BK45" s="948">
        <v>0</v>
      </c>
      <c r="BL45" s="948">
        <v>0</v>
      </c>
      <c r="BM45" s="948">
        <v>3.9</v>
      </c>
      <c r="BN45" s="948">
        <v>15.88162</v>
      </c>
      <c r="BR45" s="950"/>
      <c r="BS45" s="951"/>
      <c r="BT45" s="951"/>
    </row>
    <row r="46" spans="1:72" s="223" customFormat="1" ht="36.75" customHeight="1">
      <c r="A46" s="5" t="s">
        <v>73</v>
      </c>
      <c r="B46" s="81" t="s">
        <v>74</v>
      </c>
      <c r="C46" s="5" t="s">
        <v>75</v>
      </c>
      <c r="D46" s="100">
        <v>0.24000000000000002</v>
      </c>
      <c r="E46" s="100">
        <v>0</v>
      </c>
      <c r="F46" s="100">
        <v>0</v>
      </c>
      <c r="G46" s="100">
        <v>0</v>
      </c>
      <c r="H46" s="100">
        <v>0</v>
      </c>
      <c r="I46" s="100">
        <v>0</v>
      </c>
      <c r="J46" s="100">
        <v>0</v>
      </c>
      <c r="K46" s="100">
        <v>0</v>
      </c>
      <c r="L46" s="100">
        <v>0</v>
      </c>
      <c r="M46" s="100">
        <v>0</v>
      </c>
      <c r="N46" s="100">
        <v>0</v>
      </c>
      <c r="O46" s="100">
        <v>0</v>
      </c>
      <c r="P46" s="100">
        <v>0</v>
      </c>
      <c r="Q46" s="100">
        <v>0</v>
      </c>
      <c r="R46" s="100">
        <v>0</v>
      </c>
      <c r="S46" s="100">
        <v>0</v>
      </c>
      <c r="T46" s="100">
        <v>0</v>
      </c>
      <c r="U46" s="100">
        <v>0</v>
      </c>
      <c r="V46" s="100">
        <v>0.24000000000000002</v>
      </c>
      <c r="W46" s="100">
        <v>0</v>
      </c>
      <c r="X46" s="100">
        <v>0</v>
      </c>
      <c r="Y46" s="100">
        <v>0</v>
      </c>
      <c r="Z46" s="100">
        <v>0</v>
      </c>
      <c r="AA46" s="100">
        <v>0</v>
      </c>
      <c r="AB46" s="100">
        <v>0</v>
      </c>
      <c r="AC46" s="100">
        <v>0</v>
      </c>
      <c r="AD46" s="100">
        <v>0</v>
      </c>
      <c r="AE46" s="100">
        <v>0</v>
      </c>
      <c r="AF46" s="100">
        <v>0</v>
      </c>
      <c r="AG46" s="100">
        <v>0</v>
      </c>
      <c r="AH46" s="100">
        <v>0</v>
      </c>
      <c r="AI46" s="100">
        <v>0</v>
      </c>
      <c r="AJ46" s="100">
        <v>0</v>
      </c>
      <c r="AK46" s="100">
        <v>0</v>
      </c>
      <c r="AL46" s="100">
        <v>0</v>
      </c>
      <c r="AM46" s="100">
        <v>0</v>
      </c>
      <c r="AN46" s="100">
        <v>0</v>
      </c>
      <c r="AO46" s="100">
        <v>0</v>
      </c>
      <c r="AP46" s="100">
        <v>0</v>
      </c>
      <c r="AQ46" s="516">
        <v>0.24000000000000002</v>
      </c>
      <c r="AR46" s="100">
        <v>0</v>
      </c>
      <c r="AS46" s="100">
        <v>0</v>
      </c>
      <c r="AT46" s="100">
        <v>0</v>
      </c>
      <c r="AU46" s="100">
        <v>0</v>
      </c>
      <c r="AV46" s="100">
        <v>0</v>
      </c>
      <c r="AW46" s="100">
        <v>0</v>
      </c>
      <c r="AX46" s="100">
        <v>0</v>
      </c>
      <c r="AY46" s="100">
        <v>0</v>
      </c>
      <c r="AZ46" s="100">
        <v>0</v>
      </c>
      <c r="BA46" s="100">
        <v>0</v>
      </c>
      <c r="BB46" s="100">
        <v>0</v>
      </c>
      <c r="BC46" s="100">
        <v>0</v>
      </c>
      <c r="BD46" s="100">
        <v>0</v>
      </c>
      <c r="BE46" s="100">
        <v>0</v>
      </c>
      <c r="BF46" s="100">
        <v>0</v>
      </c>
      <c r="BG46" s="100">
        <v>0</v>
      </c>
      <c r="BH46" s="100">
        <v>0</v>
      </c>
      <c r="BI46" s="100">
        <v>0</v>
      </c>
      <c r="BJ46" s="100">
        <v>0</v>
      </c>
      <c r="BK46" s="100">
        <v>0</v>
      </c>
      <c r="BL46" s="100">
        <v>0</v>
      </c>
      <c r="BM46" s="100">
        <v>0</v>
      </c>
      <c r="BN46" s="100">
        <v>0.24000000000000002</v>
      </c>
      <c r="BO46" s="224">
        <v>4989.3943300000001</v>
      </c>
      <c r="BR46" s="222"/>
      <c r="BS46" s="659"/>
      <c r="BT46" s="659"/>
    </row>
    <row r="47" spans="1:72" s="223" customFormat="1" ht="36.75" customHeight="1">
      <c r="A47" s="5" t="s">
        <v>76</v>
      </c>
      <c r="B47" s="81" t="s">
        <v>77</v>
      </c>
      <c r="C47" s="5" t="s">
        <v>78</v>
      </c>
      <c r="D47" s="100">
        <v>0</v>
      </c>
      <c r="E47" s="100">
        <v>0</v>
      </c>
      <c r="F47" s="100">
        <v>0</v>
      </c>
      <c r="G47" s="100">
        <v>0</v>
      </c>
      <c r="H47" s="100">
        <v>0</v>
      </c>
      <c r="I47" s="100">
        <v>0</v>
      </c>
      <c r="J47" s="100">
        <v>0</v>
      </c>
      <c r="K47" s="100">
        <v>0</v>
      </c>
      <c r="L47" s="100">
        <v>0</v>
      </c>
      <c r="M47" s="100">
        <v>0</v>
      </c>
      <c r="N47" s="100">
        <v>0</v>
      </c>
      <c r="O47" s="100">
        <v>0</v>
      </c>
      <c r="P47" s="100">
        <v>0</v>
      </c>
      <c r="Q47" s="100">
        <v>0</v>
      </c>
      <c r="R47" s="100">
        <v>0</v>
      </c>
      <c r="S47" s="100">
        <v>0</v>
      </c>
      <c r="T47" s="100">
        <v>0</v>
      </c>
      <c r="U47" s="100">
        <v>0</v>
      </c>
      <c r="V47" s="100">
        <v>0</v>
      </c>
      <c r="W47" s="100">
        <v>0</v>
      </c>
      <c r="X47" s="100">
        <v>0</v>
      </c>
      <c r="Y47" s="100">
        <v>0</v>
      </c>
      <c r="Z47" s="100">
        <v>0</v>
      </c>
      <c r="AA47" s="100">
        <v>0</v>
      </c>
      <c r="AB47" s="100">
        <v>0</v>
      </c>
      <c r="AC47" s="100">
        <v>0</v>
      </c>
      <c r="AD47" s="100">
        <v>0</v>
      </c>
      <c r="AE47" s="100">
        <v>0</v>
      </c>
      <c r="AF47" s="100">
        <v>0</v>
      </c>
      <c r="AG47" s="100">
        <v>0</v>
      </c>
      <c r="AH47" s="100">
        <v>0</v>
      </c>
      <c r="AI47" s="100">
        <v>0</v>
      </c>
      <c r="AJ47" s="100">
        <v>0</v>
      </c>
      <c r="AK47" s="100">
        <v>0</v>
      </c>
      <c r="AL47" s="100">
        <v>0</v>
      </c>
      <c r="AM47" s="100">
        <v>0</v>
      </c>
      <c r="AN47" s="100">
        <v>0</v>
      </c>
      <c r="AO47" s="100">
        <v>0</v>
      </c>
      <c r="AP47" s="100">
        <v>0</v>
      </c>
      <c r="AQ47" s="100">
        <v>0</v>
      </c>
      <c r="AR47" s="516">
        <v>0</v>
      </c>
      <c r="AS47" s="100">
        <v>0</v>
      </c>
      <c r="AT47" s="100">
        <v>0</v>
      </c>
      <c r="AU47" s="100">
        <v>0</v>
      </c>
      <c r="AV47" s="100">
        <v>0</v>
      </c>
      <c r="AW47" s="100">
        <v>0</v>
      </c>
      <c r="AX47" s="100">
        <v>0</v>
      </c>
      <c r="AY47" s="100">
        <v>0</v>
      </c>
      <c r="AZ47" s="100">
        <v>0</v>
      </c>
      <c r="BA47" s="100">
        <v>0</v>
      </c>
      <c r="BB47" s="100">
        <v>0</v>
      </c>
      <c r="BC47" s="100">
        <v>0</v>
      </c>
      <c r="BD47" s="100">
        <v>0</v>
      </c>
      <c r="BE47" s="100">
        <v>0</v>
      </c>
      <c r="BF47" s="100">
        <v>0</v>
      </c>
      <c r="BG47" s="100">
        <v>0</v>
      </c>
      <c r="BH47" s="100">
        <v>0</v>
      </c>
      <c r="BI47" s="100">
        <v>0</v>
      </c>
      <c r="BJ47" s="100">
        <v>0</v>
      </c>
      <c r="BK47" s="100">
        <v>0</v>
      </c>
      <c r="BL47" s="100">
        <v>0</v>
      </c>
      <c r="BM47" s="100">
        <v>0</v>
      </c>
      <c r="BN47" s="100">
        <v>0</v>
      </c>
      <c r="BR47" s="222"/>
      <c r="BS47" s="659"/>
      <c r="BT47" s="659"/>
    </row>
    <row r="48" spans="1:72" s="223" customFormat="1" ht="36.75" customHeight="1">
      <c r="A48" s="5" t="s">
        <v>79</v>
      </c>
      <c r="B48" s="81" t="s">
        <v>80</v>
      </c>
      <c r="C48" s="5" t="s">
        <v>81</v>
      </c>
      <c r="D48" s="100">
        <v>44.33</v>
      </c>
      <c r="E48" s="100">
        <v>0</v>
      </c>
      <c r="F48" s="100">
        <v>0</v>
      </c>
      <c r="G48" s="100">
        <v>0</v>
      </c>
      <c r="H48" s="100">
        <v>0</v>
      </c>
      <c r="I48" s="100">
        <v>0</v>
      </c>
      <c r="J48" s="100">
        <v>0</v>
      </c>
      <c r="K48" s="100">
        <v>0</v>
      </c>
      <c r="L48" s="100">
        <v>0</v>
      </c>
      <c r="M48" s="100">
        <v>0</v>
      </c>
      <c r="N48" s="100">
        <v>0</v>
      </c>
      <c r="O48" s="100">
        <v>0</v>
      </c>
      <c r="P48" s="100">
        <v>0</v>
      </c>
      <c r="Q48" s="100">
        <v>0</v>
      </c>
      <c r="R48" s="100">
        <v>0</v>
      </c>
      <c r="S48" s="100">
        <v>0</v>
      </c>
      <c r="T48" s="100">
        <v>0</v>
      </c>
      <c r="U48" s="100">
        <v>0</v>
      </c>
      <c r="V48" s="100">
        <v>44.33</v>
      </c>
      <c r="W48" s="100">
        <v>0.1</v>
      </c>
      <c r="X48" s="100">
        <v>0</v>
      </c>
      <c r="Y48" s="100">
        <v>0</v>
      </c>
      <c r="Z48" s="100">
        <v>0</v>
      </c>
      <c r="AA48" s="100">
        <v>0</v>
      </c>
      <c r="AB48" s="100">
        <v>0</v>
      </c>
      <c r="AC48" s="100">
        <v>0</v>
      </c>
      <c r="AD48" s="100">
        <v>0</v>
      </c>
      <c r="AE48" s="100">
        <v>0</v>
      </c>
      <c r="AF48" s="100">
        <v>0</v>
      </c>
      <c r="AG48" s="100">
        <v>0</v>
      </c>
      <c r="AH48" s="100">
        <v>0</v>
      </c>
      <c r="AI48" s="100">
        <v>0</v>
      </c>
      <c r="AJ48" s="100">
        <v>0</v>
      </c>
      <c r="AK48" s="100">
        <v>0</v>
      </c>
      <c r="AL48" s="100">
        <v>0</v>
      </c>
      <c r="AM48" s="100">
        <v>0</v>
      </c>
      <c r="AN48" s="100">
        <v>0</v>
      </c>
      <c r="AO48" s="100">
        <v>0</v>
      </c>
      <c r="AP48" s="100">
        <v>0</v>
      </c>
      <c r="AQ48" s="100">
        <v>0</v>
      </c>
      <c r="AR48" s="100">
        <v>0</v>
      </c>
      <c r="AS48" s="516">
        <v>44.23</v>
      </c>
      <c r="AT48" s="100">
        <v>0</v>
      </c>
      <c r="AU48" s="100">
        <v>0</v>
      </c>
      <c r="AV48" s="100">
        <v>0</v>
      </c>
      <c r="AW48" s="100">
        <v>0</v>
      </c>
      <c r="AX48" s="100">
        <v>0</v>
      </c>
      <c r="AY48" s="100">
        <v>0</v>
      </c>
      <c r="AZ48" s="100">
        <v>0</v>
      </c>
      <c r="BA48" s="100">
        <v>0</v>
      </c>
      <c r="BB48" s="100">
        <v>0</v>
      </c>
      <c r="BC48" s="100">
        <v>0</v>
      </c>
      <c r="BD48" s="100">
        <v>0</v>
      </c>
      <c r="BE48" s="100">
        <v>0</v>
      </c>
      <c r="BF48" s="100">
        <v>0</v>
      </c>
      <c r="BG48" s="100">
        <v>0</v>
      </c>
      <c r="BH48" s="100">
        <v>0</v>
      </c>
      <c r="BI48" s="100">
        <v>0</v>
      </c>
      <c r="BJ48" s="100">
        <v>0</v>
      </c>
      <c r="BK48" s="100">
        <v>0</v>
      </c>
      <c r="BL48" s="100">
        <v>0.1</v>
      </c>
      <c r="BM48" s="100">
        <v>11.520000000000001</v>
      </c>
      <c r="BN48" s="100">
        <v>55.85</v>
      </c>
      <c r="BR48" s="222"/>
      <c r="BS48" s="659"/>
      <c r="BT48" s="659"/>
    </row>
    <row r="49" spans="1:73" s="223" customFormat="1" ht="36.75" customHeight="1">
      <c r="A49" s="5" t="s">
        <v>82</v>
      </c>
      <c r="B49" s="81" t="s">
        <v>83</v>
      </c>
      <c r="C49" s="5" t="s">
        <v>84</v>
      </c>
      <c r="D49" s="100">
        <v>312.20955000000004</v>
      </c>
      <c r="E49" s="100">
        <v>0</v>
      </c>
      <c r="F49" s="100">
        <v>0</v>
      </c>
      <c r="G49" s="100">
        <v>0</v>
      </c>
      <c r="H49" s="100">
        <v>0</v>
      </c>
      <c r="I49" s="100">
        <v>0</v>
      </c>
      <c r="J49" s="100">
        <v>0</v>
      </c>
      <c r="K49" s="100">
        <v>0</v>
      </c>
      <c r="L49" s="100">
        <v>0</v>
      </c>
      <c r="M49" s="100">
        <v>0</v>
      </c>
      <c r="N49" s="100">
        <v>0</v>
      </c>
      <c r="O49" s="100">
        <v>0</v>
      </c>
      <c r="P49" s="100">
        <v>0</v>
      </c>
      <c r="Q49" s="100">
        <v>0</v>
      </c>
      <c r="R49" s="100">
        <v>0</v>
      </c>
      <c r="S49" s="100">
        <v>0</v>
      </c>
      <c r="T49" s="100">
        <v>0</v>
      </c>
      <c r="U49" s="100">
        <v>0</v>
      </c>
      <c r="V49" s="100">
        <v>312.20955000000004</v>
      </c>
      <c r="W49" s="100">
        <v>0</v>
      </c>
      <c r="X49" s="100">
        <v>0</v>
      </c>
      <c r="Y49" s="100">
        <v>0</v>
      </c>
      <c r="Z49" s="100">
        <v>0</v>
      </c>
      <c r="AA49" s="100">
        <v>0</v>
      </c>
      <c r="AB49" s="100">
        <v>0</v>
      </c>
      <c r="AC49" s="100">
        <v>0.09</v>
      </c>
      <c r="AD49" s="100">
        <v>0</v>
      </c>
      <c r="AE49" s="100">
        <v>1.6</v>
      </c>
      <c r="AF49" s="100">
        <v>0</v>
      </c>
      <c r="AG49" s="100">
        <v>0</v>
      </c>
      <c r="AH49" s="100">
        <v>0</v>
      </c>
      <c r="AI49" s="100">
        <v>0</v>
      </c>
      <c r="AJ49" s="100">
        <v>0</v>
      </c>
      <c r="AK49" s="100">
        <v>0</v>
      </c>
      <c r="AL49" s="100">
        <v>1.55</v>
      </c>
      <c r="AM49" s="100">
        <v>0.05</v>
      </c>
      <c r="AN49" s="100">
        <v>0</v>
      </c>
      <c r="AO49" s="100">
        <v>0</v>
      </c>
      <c r="AP49" s="100">
        <v>0</v>
      </c>
      <c r="AQ49" s="100">
        <v>0</v>
      </c>
      <c r="AR49" s="100">
        <v>0</v>
      </c>
      <c r="AS49" s="100">
        <v>0</v>
      </c>
      <c r="AT49" s="516">
        <v>310.51955000000004</v>
      </c>
      <c r="AU49" s="100">
        <v>0</v>
      </c>
      <c r="AV49" s="100">
        <v>0</v>
      </c>
      <c r="AW49" s="100">
        <v>0</v>
      </c>
      <c r="AX49" s="100">
        <v>0</v>
      </c>
      <c r="AY49" s="100">
        <v>0</v>
      </c>
      <c r="AZ49" s="100">
        <v>0</v>
      </c>
      <c r="BA49" s="100">
        <v>0</v>
      </c>
      <c r="BB49" s="100">
        <v>0</v>
      </c>
      <c r="BC49" s="100">
        <v>0</v>
      </c>
      <c r="BD49" s="100">
        <v>0</v>
      </c>
      <c r="BE49" s="100">
        <v>0</v>
      </c>
      <c r="BF49" s="100">
        <v>0</v>
      </c>
      <c r="BG49" s="100">
        <v>0</v>
      </c>
      <c r="BH49" s="100">
        <v>0</v>
      </c>
      <c r="BI49" s="100">
        <v>0</v>
      </c>
      <c r="BJ49" s="100">
        <v>0</v>
      </c>
      <c r="BK49" s="100">
        <v>0</v>
      </c>
      <c r="BL49" s="100">
        <v>1.6900000000000002</v>
      </c>
      <c r="BM49" s="100">
        <v>12.58</v>
      </c>
      <c r="BN49" s="100">
        <v>324.78955000000002</v>
      </c>
      <c r="BO49" s="223">
        <v>12.58</v>
      </c>
      <c r="BR49" s="222"/>
      <c r="BS49" s="659"/>
      <c r="BT49" s="659"/>
    </row>
    <row r="50" spans="1:73" s="223" customFormat="1" ht="36.75" customHeight="1">
      <c r="A50" s="5" t="s">
        <v>85</v>
      </c>
      <c r="B50" s="81" t="s">
        <v>86</v>
      </c>
      <c r="C50" s="5" t="s">
        <v>87</v>
      </c>
      <c r="D50" s="100">
        <v>360.37450000000001</v>
      </c>
      <c r="E50" s="100">
        <v>0</v>
      </c>
      <c r="F50" s="100">
        <v>0</v>
      </c>
      <c r="G50" s="100">
        <v>0</v>
      </c>
      <c r="H50" s="100">
        <v>0</v>
      </c>
      <c r="I50" s="100">
        <v>0</v>
      </c>
      <c r="J50" s="100">
        <v>0</v>
      </c>
      <c r="K50" s="100">
        <v>0</v>
      </c>
      <c r="L50" s="100">
        <v>0</v>
      </c>
      <c r="M50" s="100">
        <v>0</v>
      </c>
      <c r="N50" s="100">
        <v>0</v>
      </c>
      <c r="O50" s="100">
        <v>0</v>
      </c>
      <c r="P50" s="100">
        <v>0</v>
      </c>
      <c r="Q50" s="100">
        <v>0</v>
      </c>
      <c r="R50" s="100">
        <v>0</v>
      </c>
      <c r="S50" s="100">
        <v>0</v>
      </c>
      <c r="T50" s="100">
        <v>0</v>
      </c>
      <c r="U50" s="100">
        <v>0</v>
      </c>
      <c r="V50" s="100">
        <v>360.37450000000001</v>
      </c>
      <c r="W50" s="100">
        <v>0</v>
      </c>
      <c r="X50" s="100">
        <v>0</v>
      </c>
      <c r="Y50" s="100">
        <v>1</v>
      </c>
      <c r="Z50" s="100">
        <v>0</v>
      </c>
      <c r="AA50" s="100">
        <v>8.6</v>
      </c>
      <c r="AB50" s="100">
        <v>4.12</v>
      </c>
      <c r="AC50" s="100">
        <v>5.41</v>
      </c>
      <c r="AD50" s="100">
        <v>0</v>
      </c>
      <c r="AE50" s="100">
        <v>9.9699999999999989</v>
      </c>
      <c r="AF50" s="100">
        <v>0</v>
      </c>
      <c r="AG50" s="100">
        <v>0</v>
      </c>
      <c r="AH50" s="100">
        <v>0.1</v>
      </c>
      <c r="AI50" s="100">
        <v>0</v>
      </c>
      <c r="AJ50" s="100">
        <v>0</v>
      </c>
      <c r="AK50" s="100">
        <v>0</v>
      </c>
      <c r="AL50" s="100">
        <v>9.8699999999999992</v>
      </c>
      <c r="AM50" s="100">
        <v>0</v>
      </c>
      <c r="AN50" s="100">
        <v>0</v>
      </c>
      <c r="AO50" s="100">
        <v>0</v>
      </c>
      <c r="AP50" s="100">
        <v>0</v>
      </c>
      <c r="AQ50" s="100">
        <v>0</v>
      </c>
      <c r="AR50" s="100">
        <v>0</v>
      </c>
      <c r="AS50" s="100">
        <v>0</v>
      </c>
      <c r="AT50" s="100">
        <v>0</v>
      </c>
      <c r="AU50" s="516">
        <v>326.52449999999999</v>
      </c>
      <c r="AV50" s="100">
        <v>4.2</v>
      </c>
      <c r="AW50" s="100">
        <v>0</v>
      </c>
      <c r="AX50" s="100">
        <v>0</v>
      </c>
      <c r="AY50" s="100">
        <v>0</v>
      </c>
      <c r="AZ50" s="100">
        <v>0</v>
      </c>
      <c r="BA50" s="100">
        <v>7.0000000000000007E-2</v>
      </c>
      <c r="BB50" s="100">
        <v>0</v>
      </c>
      <c r="BC50" s="100">
        <v>0.48000000000000004</v>
      </c>
      <c r="BD50" s="100">
        <v>0</v>
      </c>
      <c r="BE50" s="100">
        <v>0</v>
      </c>
      <c r="BF50" s="100">
        <v>0</v>
      </c>
      <c r="BG50" s="100">
        <v>0</v>
      </c>
      <c r="BH50" s="100">
        <v>0</v>
      </c>
      <c r="BI50" s="100">
        <v>0</v>
      </c>
      <c r="BJ50" s="100">
        <v>0</v>
      </c>
      <c r="BK50" s="100">
        <v>0</v>
      </c>
      <c r="BL50" s="100">
        <v>33.849999999999994</v>
      </c>
      <c r="BM50" s="100">
        <v>11.870000000000005</v>
      </c>
      <c r="BN50" s="100">
        <v>372.24450000000002</v>
      </c>
      <c r="BO50" s="223">
        <v>11.870000000000005</v>
      </c>
      <c r="BR50" s="222"/>
      <c r="BS50" s="659"/>
      <c r="BT50" s="659"/>
    </row>
    <row r="51" spans="1:73" s="223" customFormat="1" ht="36.75" customHeight="1">
      <c r="A51" s="5" t="s">
        <v>88</v>
      </c>
      <c r="B51" s="81" t="s">
        <v>89</v>
      </c>
      <c r="C51" s="5" t="s">
        <v>90</v>
      </c>
      <c r="D51" s="100">
        <v>36.990279999999998</v>
      </c>
      <c r="E51" s="100">
        <v>0</v>
      </c>
      <c r="F51" s="100">
        <v>0</v>
      </c>
      <c r="G51" s="100">
        <v>0</v>
      </c>
      <c r="H51" s="100">
        <v>0</v>
      </c>
      <c r="I51" s="100">
        <v>0</v>
      </c>
      <c r="J51" s="100">
        <v>0</v>
      </c>
      <c r="K51" s="100">
        <v>0</v>
      </c>
      <c r="L51" s="100">
        <v>0</v>
      </c>
      <c r="M51" s="100">
        <v>0</v>
      </c>
      <c r="N51" s="100">
        <v>0</v>
      </c>
      <c r="O51" s="100">
        <v>0</v>
      </c>
      <c r="P51" s="100">
        <v>0</v>
      </c>
      <c r="Q51" s="100">
        <v>0</v>
      </c>
      <c r="R51" s="100">
        <v>0</v>
      </c>
      <c r="S51" s="100">
        <v>0</v>
      </c>
      <c r="T51" s="100">
        <v>0</v>
      </c>
      <c r="U51" s="100">
        <v>0</v>
      </c>
      <c r="V51" s="100">
        <v>36.990279999999998</v>
      </c>
      <c r="W51" s="100">
        <v>0</v>
      </c>
      <c r="X51" s="100">
        <v>0</v>
      </c>
      <c r="Y51" s="100">
        <v>0</v>
      </c>
      <c r="Z51" s="100">
        <v>0</v>
      </c>
      <c r="AA51" s="100">
        <v>0</v>
      </c>
      <c r="AB51" s="100">
        <v>0</v>
      </c>
      <c r="AC51" s="100">
        <v>0</v>
      </c>
      <c r="AD51" s="100">
        <v>0</v>
      </c>
      <c r="AE51" s="100">
        <v>6.0000000000000005E-2</v>
      </c>
      <c r="AF51" s="100">
        <v>0</v>
      </c>
      <c r="AG51" s="100">
        <v>0</v>
      </c>
      <c r="AH51" s="100">
        <v>0.05</v>
      </c>
      <c r="AI51" s="100">
        <v>0</v>
      </c>
      <c r="AJ51" s="100">
        <v>0</v>
      </c>
      <c r="AK51" s="100">
        <v>0</v>
      </c>
      <c r="AL51" s="100">
        <v>0.01</v>
      </c>
      <c r="AM51" s="100">
        <v>0</v>
      </c>
      <c r="AN51" s="100">
        <v>0</v>
      </c>
      <c r="AO51" s="100">
        <v>0</v>
      </c>
      <c r="AP51" s="100">
        <v>0</v>
      </c>
      <c r="AQ51" s="100">
        <v>0</v>
      </c>
      <c r="AR51" s="100">
        <v>0</v>
      </c>
      <c r="AS51" s="100">
        <v>0</v>
      </c>
      <c r="AT51" s="100">
        <v>0</v>
      </c>
      <c r="AU51" s="100">
        <v>0.47000000000000003</v>
      </c>
      <c r="AV51" s="516">
        <v>36.460279999999997</v>
      </c>
      <c r="AW51" s="100">
        <v>0</v>
      </c>
      <c r="AX51" s="100">
        <v>0</v>
      </c>
      <c r="AY51" s="100">
        <v>0</v>
      </c>
      <c r="AZ51" s="100">
        <v>0</v>
      </c>
      <c r="BA51" s="100">
        <v>0</v>
      </c>
      <c r="BB51" s="100">
        <v>0</v>
      </c>
      <c r="BC51" s="100">
        <v>0</v>
      </c>
      <c r="BD51" s="100">
        <v>0</v>
      </c>
      <c r="BE51" s="100">
        <v>0</v>
      </c>
      <c r="BF51" s="100">
        <v>0</v>
      </c>
      <c r="BG51" s="100">
        <v>0</v>
      </c>
      <c r="BH51" s="100">
        <v>0</v>
      </c>
      <c r="BI51" s="100">
        <v>0</v>
      </c>
      <c r="BJ51" s="100">
        <v>0</v>
      </c>
      <c r="BK51" s="100">
        <v>0</v>
      </c>
      <c r="BL51" s="100">
        <v>0.53</v>
      </c>
      <c r="BM51" s="100">
        <v>18.86</v>
      </c>
      <c r="BN51" s="100">
        <v>55.850279999999998</v>
      </c>
      <c r="BO51" s="223">
        <v>18.86</v>
      </c>
      <c r="BR51" s="222"/>
      <c r="BS51" s="659"/>
      <c r="BT51" s="659"/>
    </row>
    <row r="52" spans="1:73" s="223" customFormat="1" ht="44.25" customHeight="1">
      <c r="A52" s="5" t="s">
        <v>91</v>
      </c>
      <c r="B52" s="81" t="s">
        <v>489</v>
      </c>
      <c r="C52" s="5" t="s">
        <v>93</v>
      </c>
      <c r="D52" s="100">
        <v>0.67</v>
      </c>
      <c r="E52" s="100">
        <v>0</v>
      </c>
      <c r="F52" s="100">
        <v>0</v>
      </c>
      <c r="G52" s="100">
        <v>0</v>
      </c>
      <c r="H52" s="100">
        <v>0</v>
      </c>
      <c r="I52" s="100">
        <v>0</v>
      </c>
      <c r="J52" s="100">
        <v>0</v>
      </c>
      <c r="K52" s="100">
        <v>0</v>
      </c>
      <c r="L52" s="100">
        <v>0</v>
      </c>
      <c r="M52" s="100">
        <v>0</v>
      </c>
      <c r="N52" s="100">
        <v>0</v>
      </c>
      <c r="O52" s="100">
        <v>0</v>
      </c>
      <c r="P52" s="100">
        <v>0</v>
      </c>
      <c r="Q52" s="100">
        <v>0</v>
      </c>
      <c r="R52" s="100">
        <v>0</v>
      </c>
      <c r="S52" s="100">
        <v>0</v>
      </c>
      <c r="T52" s="100">
        <v>0</v>
      </c>
      <c r="U52" s="100">
        <v>0</v>
      </c>
      <c r="V52" s="100">
        <v>0.67</v>
      </c>
      <c r="W52" s="100">
        <v>0</v>
      </c>
      <c r="X52" s="100">
        <v>0</v>
      </c>
      <c r="Y52" s="100">
        <v>0</v>
      </c>
      <c r="Z52" s="100">
        <v>0</v>
      </c>
      <c r="AA52" s="100">
        <v>0</v>
      </c>
      <c r="AB52" s="100">
        <v>0</v>
      </c>
      <c r="AC52" s="100">
        <v>0</v>
      </c>
      <c r="AD52" s="100">
        <v>0</v>
      </c>
      <c r="AE52" s="100">
        <v>0</v>
      </c>
      <c r="AF52" s="100">
        <v>0</v>
      </c>
      <c r="AG52" s="100">
        <v>0</v>
      </c>
      <c r="AH52" s="100">
        <v>0</v>
      </c>
      <c r="AI52" s="100">
        <v>0</v>
      </c>
      <c r="AJ52" s="100">
        <v>0</v>
      </c>
      <c r="AK52" s="100">
        <v>0</v>
      </c>
      <c r="AL52" s="100">
        <v>0</v>
      </c>
      <c r="AM52" s="100">
        <v>0</v>
      </c>
      <c r="AN52" s="100">
        <v>0</v>
      </c>
      <c r="AO52" s="100">
        <v>0</v>
      </c>
      <c r="AP52" s="100">
        <v>0</v>
      </c>
      <c r="AQ52" s="100">
        <v>0</v>
      </c>
      <c r="AR52" s="100">
        <v>0</v>
      </c>
      <c r="AS52" s="100">
        <v>0</v>
      </c>
      <c r="AT52" s="100">
        <v>0</v>
      </c>
      <c r="AU52" s="100">
        <v>0</v>
      </c>
      <c r="AV52" s="100">
        <v>0</v>
      </c>
      <c r="AW52" s="516">
        <v>0.67</v>
      </c>
      <c r="AX52" s="100">
        <v>0</v>
      </c>
      <c r="AY52" s="100">
        <v>0</v>
      </c>
      <c r="AZ52" s="100">
        <v>0</v>
      </c>
      <c r="BA52" s="100">
        <v>0</v>
      </c>
      <c r="BB52" s="100">
        <v>0</v>
      </c>
      <c r="BC52" s="100">
        <v>0</v>
      </c>
      <c r="BD52" s="100">
        <v>0</v>
      </c>
      <c r="BE52" s="100">
        <v>0</v>
      </c>
      <c r="BF52" s="100">
        <v>0</v>
      </c>
      <c r="BG52" s="100">
        <v>0</v>
      </c>
      <c r="BH52" s="100">
        <v>0</v>
      </c>
      <c r="BI52" s="100">
        <v>0</v>
      </c>
      <c r="BJ52" s="100">
        <v>0</v>
      </c>
      <c r="BK52" s="100">
        <v>0</v>
      </c>
      <c r="BL52" s="100">
        <v>0</v>
      </c>
      <c r="BM52" s="100">
        <v>0</v>
      </c>
      <c r="BN52" s="100">
        <v>0.67</v>
      </c>
      <c r="BR52" s="222"/>
      <c r="BS52" s="659"/>
      <c r="BT52" s="659"/>
    </row>
    <row r="53" spans="1:73" s="223" customFormat="1" ht="36.75" customHeight="1">
      <c r="A53" s="5" t="s">
        <v>94</v>
      </c>
      <c r="B53" s="81" t="s">
        <v>95</v>
      </c>
      <c r="C53" s="5" t="s">
        <v>96</v>
      </c>
      <c r="D53" s="100">
        <v>0</v>
      </c>
      <c r="E53" s="100">
        <v>0</v>
      </c>
      <c r="F53" s="100">
        <v>0</v>
      </c>
      <c r="G53" s="100">
        <v>0</v>
      </c>
      <c r="H53" s="100">
        <v>0</v>
      </c>
      <c r="I53" s="100">
        <v>0</v>
      </c>
      <c r="J53" s="100">
        <v>0</v>
      </c>
      <c r="K53" s="100">
        <v>0</v>
      </c>
      <c r="L53" s="100">
        <v>0</v>
      </c>
      <c r="M53" s="100">
        <v>0</v>
      </c>
      <c r="N53" s="100">
        <v>0</v>
      </c>
      <c r="O53" s="100">
        <v>0</v>
      </c>
      <c r="P53" s="100">
        <v>0</v>
      </c>
      <c r="Q53" s="100">
        <v>0</v>
      </c>
      <c r="R53" s="100">
        <v>0</v>
      </c>
      <c r="S53" s="100">
        <v>0</v>
      </c>
      <c r="T53" s="100">
        <v>0</v>
      </c>
      <c r="U53" s="100">
        <v>0</v>
      </c>
      <c r="V53" s="100">
        <v>0</v>
      </c>
      <c r="W53" s="100">
        <v>0</v>
      </c>
      <c r="X53" s="100">
        <v>0</v>
      </c>
      <c r="Y53" s="100">
        <v>0</v>
      </c>
      <c r="Z53" s="100">
        <v>0</v>
      </c>
      <c r="AA53" s="100">
        <v>0</v>
      </c>
      <c r="AB53" s="100">
        <v>0</v>
      </c>
      <c r="AC53" s="100">
        <v>0</v>
      </c>
      <c r="AD53" s="100">
        <v>0</v>
      </c>
      <c r="AE53" s="100">
        <v>0</v>
      </c>
      <c r="AF53" s="100">
        <v>0</v>
      </c>
      <c r="AG53" s="100">
        <v>0</v>
      </c>
      <c r="AH53" s="100">
        <v>0</v>
      </c>
      <c r="AI53" s="100">
        <v>0</v>
      </c>
      <c r="AJ53" s="100">
        <v>0</v>
      </c>
      <c r="AK53" s="100">
        <v>0</v>
      </c>
      <c r="AL53" s="100">
        <v>0</v>
      </c>
      <c r="AM53" s="100">
        <v>0</v>
      </c>
      <c r="AN53" s="100">
        <v>0</v>
      </c>
      <c r="AO53" s="100">
        <v>0</v>
      </c>
      <c r="AP53" s="100">
        <v>0</v>
      </c>
      <c r="AQ53" s="100">
        <v>0</v>
      </c>
      <c r="AR53" s="100">
        <v>0</v>
      </c>
      <c r="AS53" s="100">
        <v>0</v>
      </c>
      <c r="AT53" s="100">
        <v>0</v>
      </c>
      <c r="AU53" s="100">
        <v>0</v>
      </c>
      <c r="AV53" s="100">
        <v>0</v>
      </c>
      <c r="AW53" s="100">
        <v>0</v>
      </c>
      <c r="AX53" s="516">
        <v>0</v>
      </c>
      <c r="AY53" s="100">
        <v>0</v>
      </c>
      <c r="AZ53" s="100">
        <v>0</v>
      </c>
      <c r="BA53" s="100">
        <v>0</v>
      </c>
      <c r="BB53" s="100">
        <v>0</v>
      </c>
      <c r="BC53" s="100">
        <v>0</v>
      </c>
      <c r="BD53" s="100">
        <v>0</v>
      </c>
      <c r="BE53" s="100">
        <v>0</v>
      </c>
      <c r="BF53" s="100">
        <v>0</v>
      </c>
      <c r="BG53" s="100">
        <v>0</v>
      </c>
      <c r="BH53" s="100">
        <v>0</v>
      </c>
      <c r="BI53" s="100">
        <v>0</v>
      </c>
      <c r="BJ53" s="100">
        <v>0</v>
      </c>
      <c r="BK53" s="100">
        <v>0</v>
      </c>
      <c r="BL53" s="100">
        <v>0</v>
      </c>
      <c r="BM53" s="100">
        <v>0</v>
      </c>
      <c r="BN53" s="100">
        <v>0</v>
      </c>
      <c r="BR53" s="222"/>
      <c r="BS53" s="659"/>
      <c r="BT53" s="659"/>
    </row>
    <row r="54" spans="1:73" s="223" customFormat="1" ht="36.75" customHeight="1">
      <c r="A54" s="5" t="s">
        <v>97</v>
      </c>
      <c r="B54" s="81" t="s">
        <v>98</v>
      </c>
      <c r="C54" s="5" t="s">
        <v>99</v>
      </c>
      <c r="D54" s="100">
        <v>10.77</v>
      </c>
      <c r="E54" s="100">
        <v>0</v>
      </c>
      <c r="F54" s="100">
        <v>0</v>
      </c>
      <c r="G54" s="100">
        <v>0</v>
      </c>
      <c r="H54" s="100">
        <v>0</v>
      </c>
      <c r="I54" s="100">
        <v>0</v>
      </c>
      <c r="J54" s="100">
        <v>0</v>
      </c>
      <c r="K54" s="100">
        <v>0</v>
      </c>
      <c r="L54" s="100">
        <v>0</v>
      </c>
      <c r="M54" s="100">
        <v>0</v>
      </c>
      <c r="N54" s="100">
        <v>0</v>
      </c>
      <c r="O54" s="100">
        <v>0</v>
      </c>
      <c r="P54" s="100">
        <v>0</v>
      </c>
      <c r="Q54" s="100">
        <v>0</v>
      </c>
      <c r="R54" s="100">
        <v>0</v>
      </c>
      <c r="S54" s="100">
        <v>0</v>
      </c>
      <c r="T54" s="100">
        <v>0</v>
      </c>
      <c r="U54" s="100">
        <v>0</v>
      </c>
      <c r="V54" s="100">
        <v>10.77</v>
      </c>
      <c r="W54" s="100">
        <v>0</v>
      </c>
      <c r="X54" s="100">
        <v>0</v>
      </c>
      <c r="Y54" s="100">
        <v>0</v>
      </c>
      <c r="Z54" s="100">
        <v>0</v>
      </c>
      <c r="AA54" s="100">
        <v>0</v>
      </c>
      <c r="AB54" s="100">
        <v>0</v>
      </c>
      <c r="AC54" s="100">
        <v>0</v>
      </c>
      <c r="AD54" s="100">
        <v>0</v>
      </c>
      <c r="AE54" s="100">
        <v>0</v>
      </c>
      <c r="AF54" s="100">
        <v>0</v>
      </c>
      <c r="AG54" s="100">
        <v>0</v>
      </c>
      <c r="AH54" s="100">
        <v>0</v>
      </c>
      <c r="AI54" s="100">
        <v>0</v>
      </c>
      <c r="AJ54" s="100">
        <v>0</v>
      </c>
      <c r="AK54" s="100">
        <v>0</v>
      </c>
      <c r="AL54" s="100">
        <v>0</v>
      </c>
      <c r="AM54" s="100">
        <v>0</v>
      </c>
      <c r="AN54" s="100">
        <v>0</v>
      </c>
      <c r="AO54" s="100">
        <v>0</v>
      </c>
      <c r="AP54" s="100">
        <v>0</v>
      </c>
      <c r="AQ54" s="100">
        <v>0</v>
      </c>
      <c r="AR54" s="100">
        <v>0</v>
      </c>
      <c r="AS54" s="100">
        <v>0</v>
      </c>
      <c r="AT54" s="100">
        <v>0</v>
      </c>
      <c r="AU54" s="100">
        <v>0</v>
      </c>
      <c r="AV54" s="100">
        <v>0</v>
      </c>
      <c r="AW54" s="100">
        <v>0</v>
      </c>
      <c r="AX54" s="100">
        <v>0</v>
      </c>
      <c r="AY54" s="516">
        <v>10.77</v>
      </c>
      <c r="AZ54" s="100">
        <v>0</v>
      </c>
      <c r="BA54" s="100">
        <v>0</v>
      </c>
      <c r="BB54" s="100">
        <v>0</v>
      </c>
      <c r="BC54" s="100">
        <v>0</v>
      </c>
      <c r="BD54" s="100">
        <v>0</v>
      </c>
      <c r="BE54" s="100">
        <v>0</v>
      </c>
      <c r="BF54" s="100">
        <v>0</v>
      </c>
      <c r="BG54" s="100">
        <v>0</v>
      </c>
      <c r="BH54" s="100">
        <v>0</v>
      </c>
      <c r="BI54" s="100">
        <v>0</v>
      </c>
      <c r="BJ54" s="100">
        <v>0</v>
      </c>
      <c r="BK54" s="100">
        <v>0</v>
      </c>
      <c r="BL54" s="100">
        <v>0</v>
      </c>
      <c r="BM54" s="100">
        <v>1.35</v>
      </c>
      <c r="BN54" s="100">
        <v>12.12</v>
      </c>
      <c r="BO54" s="224">
        <v>12.12</v>
      </c>
      <c r="BR54" s="222"/>
      <c r="BS54" s="659"/>
      <c r="BT54" s="659"/>
    </row>
    <row r="55" spans="1:73" s="223" customFormat="1" ht="46.5" customHeight="1">
      <c r="A55" s="5" t="s">
        <v>100</v>
      </c>
      <c r="B55" s="81" t="s">
        <v>490</v>
      </c>
      <c r="C55" s="5" t="s">
        <v>101</v>
      </c>
      <c r="D55" s="100">
        <v>239.16000000000003</v>
      </c>
      <c r="E55" s="100">
        <v>0</v>
      </c>
      <c r="F55" s="100">
        <v>0</v>
      </c>
      <c r="G55" s="100">
        <v>0</v>
      </c>
      <c r="H55" s="100">
        <v>0</v>
      </c>
      <c r="I55" s="100">
        <v>0</v>
      </c>
      <c r="J55" s="100">
        <v>0</v>
      </c>
      <c r="K55" s="100">
        <v>0</v>
      </c>
      <c r="L55" s="100">
        <v>0</v>
      </c>
      <c r="M55" s="100">
        <v>0</v>
      </c>
      <c r="N55" s="100">
        <v>0</v>
      </c>
      <c r="O55" s="100">
        <v>0</v>
      </c>
      <c r="P55" s="100">
        <v>0</v>
      </c>
      <c r="Q55" s="100">
        <v>0</v>
      </c>
      <c r="R55" s="100">
        <v>0</v>
      </c>
      <c r="S55" s="100">
        <v>0</v>
      </c>
      <c r="T55" s="100">
        <v>0</v>
      </c>
      <c r="U55" s="100">
        <v>0</v>
      </c>
      <c r="V55" s="100">
        <v>239.16000000000003</v>
      </c>
      <c r="W55" s="100">
        <v>0</v>
      </c>
      <c r="X55" s="100">
        <v>0</v>
      </c>
      <c r="Y55" s="100">
        <v>0</v>
      </c>
      <c r="Z55" s="100">
        <v>0</v>
      </c>
      <c r="AA55" s="100">
        <v>0</v>
      </c>
      <c r="AB55" s="100">
        <v>0</v>
      </c>
      <c r="AC55" s="100">
        <v>0.31</v>
      </c>
      <c r="AD55" s="100">
        <v>0</v>
      </c>
      <c r="AE55" s="100">
        <v>0.98</v>
      </c>
      <c r="AF55" s="100">
        <v>0.01</v>
      </c>
      <c r="AG55" s="100">
        <v>0</v>
      </c>
      <c r="AH55" s="100">
        <v>0.03</v>
      </c>
      <c r="AI55" s="100">
        <v>0</v>
      </c>
      <c r="AJ55" s="100">
        <v>0</v>
      </c>
      <c r="AK55" s="100">
        <v>0</v>
      </c>
      <c r="AL55" s="100">
        <v>0.94</v>
      </c>
      <c r="AM55" s="100">
        <v>0</v>
      </c>
      <c r="AN55" s="100">
        <v>0</v>
      </c>
      <c r="AO55" s="100">
        <v>0</v>
      </c>
      <c r="AP55" s="100">
        <v>0</v>
      </c>
      <c r="AQ55" s="100">
        <v>0</v>
      </c>
      <c r="AR55" s="100">
        <v>0</v>
      </c>
      <c r="AS55" s="100">
        <v>0</v>
      </c>
      <c r="AT55" s="100">
        <v>0</v>
      </c>
      <c r="AU55" s="100">
        <v>0.37</v>
      </c>
      <c r="AV55" s="100">
        <v>0.01</v>
      </c>
      <c r="AW55" s="100">
        <v>0</v>
      </c>
      <c r="AX55" s="100">
        <v>0</v>
      </c>
      <c r="AY55" s="100">
        <v>0</v>
      </c>
      <c r="AZ55" s="516">
        <v>237.46000000000004</v>
      </c>
      <c r="BA55" s="100">
        <v>0</v>
      </c>
      <c r="BB55" s="100">
        <v>0</v>
      </c>
      <c r="BC55" s="100">
        <v>0.03</v>
      </c>
      <c r="BD55" s="100">
        <v>0</v>
      </c>
      <c r="BE55" s="100">
        <v>0</v>
      </c>
      <c r="BF55" s="100">
        <v>0</v>
      </c>
      <c r="BG55" s="100">
        <v>0</v>
      </c>
      <c r="BH55" s="100">
        <v>0</v>
      </c>
      <c r="BI55" s="100">
        <v>0</v>
      </c>
      <c r="BJ55" s="100">
        <v>0</v>
      </c>
      <c r="BK55" s="100">
        <v>0</v>
      </c>
      <c r="BL55" s="100">
        <v>1.7000000000000002</v>
      </c>
      <c r="BM55" s="100">
        <v>-1.7000000000000002</v>
      </c>
      <c r="BN55" s="100">
        <v>237.46000000000004</v>
      </c>
      <c r="BO55" s="223">
        <v>-1.7000000000000002</v>
      </c>
      <c r="BR55" s="222"/>
      <c r="BS55" s="659"/>
      <c r="BT55" s="659"/>
    </row>
    <row r="56" spans="1:73" s="223" customFormat="1" ht="46.5" customHeight="1">
      <c r="A56" s="5" t="s">
        <v>102</v>
      </c>
      <c r="B56" s="81" t="s">
        <v>103</v>
      </c>
      <c r="C56" s="5" t="s">
        <v>104</v>
      </c>
      <c r="D56" s="100">
        <v>18.010399999999997</v>
      </c>
      <c r="E56" s="100">
        <v>0</v>
      </c>
      <c r="F56" s="100">
        <v>0</v>
      </c>
      <c r="G56" s="100">
        <v>0</v>
      </c>
      <c r="H56" s="100">
        <v>0</v>
      </c>
      <c r="I56" s="100">
        <v>0</v>
      </c>
      <c r="J56" s="100">
        <v>0</v>
      </c>
      <c r="K56" s="100">
        <v>0</v>
      </c>
      <c r="L56" s="100">
        <v>0</v>
      </c>
      <c r="M56" s="100">
        <v>0</v>
      </c>
      <c r="N56" s="100">
        <v>0</v>
      </c>
      <c r="O56" s="100">
        <v>0</v>
      </c>
      <c r="P56" s="100">
        <v>0</v>
      </c>
      <c r="Q56" s="100">
        <v>0</v>
      </c>
      <c r="R56" s="100">
        <v>0</v>
      </c>
      <c r="S56" s="100">
        <v>0</v>
      </c>
      <c r="T56" s="100">
        <v>0</v>
      </c>
      <c r="U56" s="100">
        <v>0</v>
      </c>
      <c r="V56" s="100">
        <v>18.010399999999997</v>
      </c>
      <c r="W56" s="100">
        <v>0</v>
      </c>
      <c r="X56" s="100">
        <v>0</v>
      </c>
      <c r="Y56" s="100">
        <v>0</v>
      </c>
      <c r="Z56" s="100">
        <v>0</v>
      </c>
      <c r="AA56" s="100">
        <v>0</v>
      </c>
      <c r="AB56" s="100">
        <v>0</v>
      </c>
      <c r="AC56" s="100">
        <v>0</v>
      </c>
      <c r="AD56" s="100">
        <v>0</v>
      </c>
      <c r="AE56" s="100">
        <v>0.01</v>
      </c>
      <c r="AF56" s="100">
        <v>0</v>
      </c>
      <c r="AG56" s="100">
        <v>0</v>
      </c>
      <c r="AH56" s="100">
        <v>0</v>
      </c>
      <c r="AI56" s="100">
        <v>0</v>
      </c>
      <c r="AJ56" s="100">
        <v>0</v>
      </c>
      <c r="AK56" s="100">
        <v>0</v>
      </c>
      <c r="AL56" s="100">
        <v>0.01</v>
      </c>
      <c r="AM56" s="100">
        <v>0</v>
      </c>
      <c r="AN56" s="100">
        <v>0</v>
      </c>
      <c r="AO56" s="100">
        <v>0</v>
      </c>
      <c r="AP56" s="100">
        <v>0</v>
      </c>
      <c r="AQ56" s="100">
        <v>0</v>
      </c>
      <c r="AR56" s="100">
        <v>0</v>
      </c>
      <c r="AS56" s="100">
        <v>0</v>
      </c>
      <c r="AT56" s="100">
        <v>0</v>
      </c>
      <c r="AU56" s="100">
        <v>0</v>
      </c>
      <c r="AV56" s="100">
        <v>0</v>
      </c>
      <c r="AW56" s="100">
        <v>0</v>
      </c>
      <c r="AX56" s="100">
        <v>0</v>
      </c>
      <c r="AY56" s="100">
        <v>0</v>
      </c>
      <c r="AZ56" s="100">
        <v>0</v>
      </c>
      <c r="BA56" s="516">
        <v>18.000399999999996</v>
      </c>
      <c r="BB56" s="100">
        <v>0</v>
      </c>
      <c r="BC56" s="100">
        <v>0</v>
      </c>
      <c r="BD56" s="100">
        <v>0</v>
      </c>
      <c r="BE56" s="100">
        <v>0</v>
      </c>
      <c r="BF56" s="100">
        <v>0</v>
      </c>
      <c r="BG56" s="100">
        <v>0</v>
      </c>
      <c r="BH56" s="100">
        <v>0</v>
      </c>
      <c r="BI56" s="100">
        <v>0</v>
      </c>
      <c r="BJ56" s="100">
        <v>0</v>
      </c>
      <c r="BK56" s="100">
        <v>0</v>
      </c>
      <c r="BL56" s="100">
        <v>0.01</v>
      </c>
      <c r="BM56" s="100">
        <v>295.11999999999995</v>
      </c>
      <c r="BN56" s="100">
        <v>313.13039999999995</v>
      </c>
      <c r="BO56" s="223">
        <v>295.11999999999995</v>
      </c>
      <c r="BR56" s="222"/>
      <c r="BS56" s="659"/>
      <c r="BT56" s="659"/>
    </row>
    <row r="57" spans="1:73" s="223" customFormat="1" ht="36.75" customHeight="1">
      <c r="A57" s="5" t="s">
        <v>105</v>
      </c>
      <c r="B57" s="81" t="s">
        <v>106</v>
      </c>
      <c r="C57" s="5" t="s">
        <v>107</v>
      </c>
      <c r="D57" s="100">
        <v>12.949599999999998</v>
      </c>
      <c r="E57" s="100">
        <v>0</v>
      </c>
      <c r="F57" s="100">
        <v>0</v>
      </c>
      <c r="G57" s="100">
        <v>0</v>
      </c>
      <c r="H57" s="100">
        <v>0</v>
      </c>
      <c r="I57" s="100">
        <v>0</v>
      </c>
      <c r="J57" s="100">
        <v>0</v>
      </c>
      <c r="K57" s="100">
        <v>0</v>
      </c>
      <c r="L57" s="100">
        <v>0</v>
      </c>
      <c r="M57" s="100">
        <v>0</v>
      </c>
      <c r="N57" s="100">
        <v>0</v>
      </c>
      <c r="O57" s="100">
        <v>0</v>
      </c>
      <c r="P57" s="100">
        <v>0</v>
      </c>
      <c r="Q57" s="100">
        <v>0</v>
      </c>
      <c r="R57" s="100">
        <v>0</v>
      </c>
      <c r="S57" s="100">
        <v>0</v>
      </c>
      <c r="T57" s="100">
        <v>0</v>
      </c>
      <c r="U57" s="100">
        <v>0</v>
      </c>
      <c r="V57" s="100">
        <v>12.949599999999998</v>
      </c>
      <c r="W57" s="100">
        <v>0</v>
      </c>
      <c r="X57" s="100">
        <v>0</v>
      </c>
      <c r="Y57" s="100">
        <v>0</v>
      </c>
      <c r="Z57" s="100">
        <v>0</v>
      </c>
      <c r="AA57" s="100">
        <v>0.35</v>
      </c>
      <c r="AB57" s="100">
        <v>0</v>
      </c>
      <c r="AC57" s="100">
        <v>0</v>
      </c>
      <c r="AD57" s="100">
        <v>0</v>
      </c>
      <c r="AE57" s="100">
        <v>0.01</v>
      </c>
      <c r="AF57" s="100">
        <v>0</v>
      </c>
      <c r="AG57" s="100">
        <v>0</v>
      </c>
      <c r="AH57" s="100">
        <v>0</v>
      </c>
      <c r="AI57" s="100">
        <v>0</v>
      </c>
      <c r="AJ57" s="100">
        <v>0</v>
      </c>
      <c r="AK57" s="100">
        <v>0</v>
      </c>
      <c r="AL57" s="100">
        <v>0.01</v>
      </c>
      <c r="AM57" s="100">
        <v>0</v>
      </c>
      <c r="AN57" s="100">
        <v>0</v>
      </c>
      <c r="AO57" s="100">
        <v>0</v>
      </c>
      <c r="AP57" s="100">
        <v>0</v>
      </c>
      <c r="AQ57" s="100">
        <v>0</v>
      </c>
      <c r="AR57" s="100">
        <v>0</v>
      </c>
      <c r="AS57" s="100">
        <v>0</v>
      </c>
      <c r="AT57" s="100">
        <v>0</v>
      </c>
      <c r="AU57" s="100">
        <v>0.06</v>
      </c>
      <c r="AV57" s="100">
        <v>0.19</v>
      </c>
      <c r="AW57" s="100">
        <v>0</v>
      </c>
      <c r="AX57" s="100">
        <v>0</v>
      </c>
      <c r="AY57" s="100">
        <v>0</v>
      </c>
      <c r="AZ57" s="100">
        <v>0</v>
      </c>
      <c r="BA57" s="100">
        <v>0</v>
      </c>
      <c r="BB57" s="516">
        <v>12.339599999999999</v>
      </c>
      <c r="BC57" s="100">
        <v>0</v>
      </c>
      <c r="BD57" s="100">
        <v>0</v>
      </c>
      <c r="BE57" s="100">
        <v>0</v>
      </c>
      <c r="BF57" s="100">
        <v>0</v>
      </c>
      <c r="BG57" s="100">
        <v>0</v>
      </c>
      <c r="BH57" s="100">
        <v>0</v>
      </c>
      <c r="BI57" s="100">
        <v>0</v>
      </c>
      <c r="BJ57" s="100">
        <v>0</v>
      </c>
      <c r="BK57" s="100">
        <v>0</v>
      </c>
      <c r="BL57" s="100">
        <v>0.61</v>
      </c>
      <c r="BM57" s="100">
        <v>-0.61</v>
      </c>
      <c r="BN57" s="100">
        <v>12.339599999999999</v>
      </c>
      <c r="BO57" s="224">
        <v>12.339599999999999</v>
      </c>
      <c r="BR57" s="222"/>
      <c r="BS57" s="659"/>
      <c r="BT57" s="659"/>
    </row>
    <row r="58" spans="1:73" s="223" customFormat="1" ht="36.75" customHeight="1">
      <c r="A58" s="5" t="s">
        <v>108</v>
      </c>
      <c r="B58" s="81" t="s">
        <v>491</v>
      </c>
      <c r="C58" s="5" t="s">
        <v>110</v>
      </c>
      <c r="D58" s="100">
        <v>12.29</v>
      </c>
      <c r="E58" s="100">
        <v>0</v>
      </c>
      <c r="F58" s="100">
        <v>0</v>
      </c>
      <c r="G58" s="100">
        <v>0</v>
      </c>
      <c r="H58" s="100">
        <v>0</v>
      </c>
      <c r="I58" s="100">
        <v>0</v>
      </c>
      <c r="J58" s="100">
        <v>0</v>
      </c>
      <c r="K58" s="100">
        <v>0</v>
      </c>
      <c r="L58" s="100">
        <v>0</v>
      </c>
      <c r="M58" s="100">
        <v>0</v>
      </c>
      <c r="N58" s="100">
        <v>0</v>
      </c>
      <c r="O58" s="100">
        <v>0</v>
      </c>
      <c r="P58" s="100">
        <v>0</v>
      </c>
      <c r="Q58" s="100">
        <v>0</v>
      </c>
      <c r="R58" s="100">
        <v>0</v>
      </c>
      <c r="S58" s="100">
        <v>0</v>
      </c>
      <c r="T58" s="100">
        <v>0</v>
      </c>
      <c r="U58" s="100">
        <v>0</v>
      </c>
      <c r="V58" s="100">
        <v>12.29</v>
      </c>
      <c r="W58" s="100">
        <v>0</v>
      </c>
      <c r="X58" s="100">
        <v>0</v>
      </c>
      <c r="Y58" s="100">
        <v>0</v>
      </c>
      <c r="Z58" s="100">
        <v>0</v>
      </c>
      <c r="AA58" s="100">
        <v>0</v>
      </c>
      <c r="AB58" s="100">
        <v>0</v>
      </c>
      <c r="AC58" s="100">
        <v>0</v>
      </c>
      <c r="AD58" s="100">
        <v>0</v>
      </c>
      <c r="AE58" s="100">
        <v>0</v>
      </c>
      <c r="AF58" s="100">
        <v>0</v>
      </c>
      <c r="AG58" s="100">
        <v>0</v>
      </c>
      <c r="AH58" s="100">
        <v>0</v>
      </c>
      <c r="AI58" s="100">
        <v>0</v>
      </c>
      <c r="AJ58" s="100">
        <v>0</v>
      </c>
      <c r="AK58" s="100">
        <v>0</v>
      </c>
      <c r="AL58" s="100">
        <v>0</v>
      </c>
      <c r="AM58" s="100">
        <v>0</v>
      </c>
      <c r="AN58" s="100">
        <v>0</v>
      </c>
      <c r="AO58" s="100">
        <v>0</v>
      </c>
      <c r="AP58" s="100">
        <v>0</v>
      </c>
      <c r="AQ58" s="100">
        <v>0</v>
      </c>
      <c r="AR58" s="100">
        <v>0</v>
      </c>
      <c r="AS58" s="100">
        <v>0</v>
      </c>
      <c r="AT58" s="100">
        <v>0</v>
      </c>
      <c r="AU58" s="100">
        <v>0</v>
      </c>
      <c r="AV58" s="100">
        <v>0</v>
      </c>
      <c r="AW58" s="100">
        <v>0</v>
      </c>
      <c r="AX58" s="100">
        <v>0</v>
      </c>
      <c r="AY58" s="100">
        <v>0</v>
      </c>
      <c r="AZ58" s="100">
        <v>0</v>
      </c>
      <c r="BA58" s="100">
        <v>0</v>
      </c>
      <c r="BB58" s="100">
        <v>0</v>
      </c>
      <c r="BC58" s="516">
        <v>12.29</v>
      </c>
      <c r="BD58" s="100">
        <v>0</v>
      </c>
      <c r="BE58" s="100">
        <v>0</v>
      </c>
      <c r="BF58" s="100">
        <v>0</v>
      </c>
      <c r="BG58" s="100">
        <v>0</v>
      </c>
      <c r="BH58" s="100">
        <v>0</v>
      </c>
      <c r="BI58" s="100">
        <v>0</v>
      </c>
      <c r="BJ58" s="100">
        <v>0</v>
      </c>
      <c r="BK58" s="100">
        <v>0</v>
      </c>
      <c r="BL58" s="100">
        <v>0</v>
      </c>
      <c r="BM58" s="100">
        <v>14.989999999999998</v>
      </c>
      <c r="BN58" s="100">
        <v>27.279999999999998</v>
      </c>
      <c r="BO58" s="223">
        <v>14.989999999999998</v>
      </c>
      <c r="BR58" s="222"/>
      <c r="BS58" s="659"/>
      <c r="BT58" s="659"/>
    </row>
    <row r="59" spans="1:73" s="223" customFormat="1" ht="36.75" customHeight="1">
      <c r="A59" s="5" t="s">
        <v>111</v>
      </c>
      <c r="B59" s="81" t="s">
        <v>112</v>
      </c>
      <c r="C59" s="5" t="s">
        <v>113</v>
      </c>
      <c r="D59" s="100">
        <v>10.530000000000003</v>
      </c>
      <c r="E59" s="100">
        <v>0</v>
      </c>
      <c r="F59" s="100">
        <v>0</v>
      </c>
      <c r="G59" s="100">
        <v>0</v>
      </c>
      <c r="H59" s="100">
        <v>0</v>
      </c>
      <c r="I59" s="100">
        <v>0</v>
      </c>
      <c r="J59" s="100">
        <v>0</v>
      </c>
      <c r="K59" s="100">
        <v>0</v>
      </c>
      <c r="L59" s="100">
        <v>0</v>
      </c>
      <c r="M59" s="100">
        <v>0</v>
      </c>
      <c r="N59" s="100">
        <v>0</v>
      </c>
      <c r="O59" s="100">
        <v>0</v>
      </c>
      <c r="P59" s="100">
        <v>0</v>
      </c>
      <c r="Q59" s="100">
        <v>0</v>
      </c>
      <c r="R59" s="100">
        <v>0</v>
      </c>
      <c r="S59" s="100">
        <v>0</v>
      </c>
      <c r="T59" s="100">
        <v>0</v>
      </c>
      <c r="U59" s="100">
        <v>0</v>
      </c>
      <c r="V59" s="100">
        <v>10.530000000000003</v>
      </c>
      <c r="W59" s="100">
        <v>0</v>
      </c>
      <c r="X59" s="100">
        <v>0</v>
      </c>
      <c r="Y59" s="100">
        <v>0</v>
      </c>
      <c r="Z59" s="100">
        <v>0</v>
      </c>
      <c r="AA59" s="100">
        <v>0.09</v>
      </c>
      <c r="AB59" s="100">
        <v>0</v>
      </c>
      <c r="AC59" s="100">
        <v>0</v>
      </c>
      <c r="AD59" s="100">
        <v>0</v>
      </c>
      <c r="AE59" s="100">
        <v>0</v>
      </c>
      <c r="AF59" s="100">
        <v>0</v>
      </c>
      <c r="AG59" s="100">
        <v>0</v>
      </c>
      <c r="AH59" s="100">
        <v>0</v>
      </c>
      <c r="AI59" s="100">
        <v>0</v>
      </c>
      <c r="AJ59" s="100">
        <v>0</v>
      </c>
      <c r="AK59" s="100">
        <v>0</v>
      </c>
      <c r="AL59" s="100">
        <v>0</v>
      </c>
      <c r="AM59" s="100">
        <v>0</v>
      </c>
      <c r="AN59" s="100">
        <v>0</v>
      </c>
      <c r="AO59" s="100">
        <v>0</v>
      </c>
      <c r="AP59" s="100">
        <v>0</v>
      </c>
      <c r="AQ59" s="100">
        <v>0</v>
      </c>
      <c r="AR59" s="100">
        <v>0</v>
      </c>
      <c r="AS59" s="100">
        <v>0</v>
      </c>
      <c r="AT59" s="100">
        <v>0</v>
      </c>
      <c r="AU59" s="100">
        <v>0</v>
      </c>
      <c r="AV59" s="100">
        <v>0</v>
      </c>
      <c r="AW59" s="100">
        <v>0</v>
      </c>
      <c r="AX59" s="100">
        <v>0</v>
      </c>
      <c r="AY59" s="100">
        <v>0</v>
      </c>
      <c r="AZ59" s="100">
        <v>0</v>
      </c>
      <c r="BA59" s="100">
        <v>0</v>
      </c>
      <c r="BB59" s="100">
        <v>0</v>
      </c>
      <c r="BC59" s="100">
        <v>0</v>
      </c>
      <c r="BD59" s="516">
        <v>10.440000000000003</v>
      </c>
      <c r="BE59" s="100">
        <v>0</v>
      </c>
      <c r="BF59" s="100">
        <v>0</v>
      </c>
      <c r="BG59" s="100">
        <v>0</v>
      </c>
      <c r="BH59" s="100">
        <v>0</v>
      </c>
      <c r="BI59" s="100">
        <v>0</v>
      </c>
      <c r="BJ59" s="100">
        <v>0</v>
      </c>
      <c r="BK59" s="100">
        <v>0</v>
      </c>
      <c r="BL59" s="100">
        <v>0.09</v>
      </c>
      <c r="BM59" s="100">
        <v>-0.09</v>
      </c>
      <c r="BN59" s="100">
        <v>10.440000000000003</v>
      </c>
      <c r="BO59" s="224">
        <v>10.440000000000003</v>
      </c>
      <c r="BR59" s="222"/>
      <c r="BS59" s="659"/>
      <c r="BT59" s="659"/>
    </row>
    <row r="60" spans="1:73" s="963" customFormat="1" ht="36.75" customHeight="1">
      <c r="A60" s="228" t="s">
        <v>114</v>
      </c>
      <c r="B60" s="961" t="s">
        <v>115</v>
      </c>
      <c r="C60" s="228" t="s">
        <v>116</v>
      </c>
      <c r="D60" s="948">
        <v>2540.5800000000004</v>
      </c>
      <c r="E60" s="948">
        <v>49.35</v>
      </c>
      <c r="F60" s="948">
        <v>0</v>
      </c>
      <c r="G60" s="948">
        <v>0</v>
      </c>
      <c r="H60" s="948">
        <v>0</v>
      </c>
      <c r="I60" s="948">
        <v>0</v>
      </c>
      <c r="J60" s="948">
        <v>0</v>
      </c>
      <c r="K60" s="948">
        <v>0</v>
      </c>
      <c r="L60" s="948">
        <v>0</v>
      </c>
      <c r="M60" s="948">
        <v>0</v>
      </c>
      <c r="N60" s="948">
        <v>0</v>
      </c>
      <c r="O60" s="948">
        <v>0</v>
      </c>
      <c r="P60" s="948">
        <v>0</v>
      </c>
      <c r="Q60" s="948">
        <v>0</v>
      </c>
      <c r="R60" s="948">
        <v>0</v>
      </c>
      <c r="S60" s="948">
        <v>49.35</v>
      </c>
      <c r="T60" s="948">
        <v>0</v>
      </c>
      <c r="U60" s="948">
        <v>0</v>
      </c>
      <c r="V60" s="948">
        <v>2491.2300000000005</v>
      </c>
      <c r="W60" s="948">
        <v>0</v>
      </c>
      <c r="X60" s="948">
        <v>0</v>
      </c>
      <c r="Y60" s="948">
        <v>0</v>
      </c>
      <c r="Z60" s="948">
        <v>0</v>
      </c>
      <c r="AA60" s="948">
        <v>1.21</v>
      </c>
      <c r="AB60" s="948">
        <v>0.27</v>
      </c>
      <c r="AC60" s="948">
        <v>3.86</v>
      </c>
      <c r="AD60" s="948">
        <v>0</v>
      </c>
      <c r="AE60" s="948">
        <v>4.9600000000000009</v>
      </c>
      <c r="AF60" s="948">
        <v>0</v>
      </c>
      <c r="AG60" s="948">
        <v>0</v>
      </c>
      <c r="AH60" s="948">
        <v>0</v>
      </c>
      <c r="AI60" s="948">
        <v>0</v>
      </c>
      <c r="AJ60" s="948">
        <v>0</v>
      </c>
      <c r="AK60" s="948">
        <v>0</v>
      </c>
      <c r="AL60" s="948">
        <v>3.7000000000000006</v>
      </c>
      <c r="AM60" s="948">
        <v>1.26</v>
      </c>
      <c r="AN60" s="948">
        <v>0</v>
      </c>
      <c r="AO60" s="948">
        <v>0</v>
      </c>
      <c r="AP60" s="948">
        <v>0</v>
      </c>
      <c r="AQ60" s="948">
        <v>0</v>
      </c>
      <c r="AR60" s="948">
        <v>0</v>
      </c>
      <c r="AS60" s="948">
        <v>0</v>
      </c>
      <c r="AT60" s="948">
        <v>0</v>
      </c>
      <c r="AU60" s="948">
        <v>0</v>
      </c>
      <c r="AV60" s="948">
        <v>0</v>
      </c>
      <c r="AW60" s="948">
        <v>0</v>
      </c>
      <c r="AX60" s="948">
        <v>0</v>
      </c>
      <c r="AY60" s="948">
        <v>0</v>
      </c>
      <c r="AZ60" s="948">
        <v>0</v>
      </c>
      <c r="BA60" s="948">
        <v>1.21</v>
      </c>
      <c r="BB60" s="948">
        <v>0</v>
      </c>
      <c r="BC60" s="948">
        <v>0</v>
      </c>
      <c r="BD60" s="948">
        <v>0</v>
      </c>
      <c r="BE60" s="949">
        <v>2479.7200000000003</v>
      </c>
      <c r="BF60" s="948">
        <v>0</v>
      </c>
      <c r="BG60" s="948">
        <v>0</v>
      </c>
      <c r="BH60" s="948">
        <v>0</v>
      </c>
      <c r="BI60" s="948">
        <v>0</v>
      </c>
      <c r="BJ60" s="948">
        <v>0</v>
      </c>
      <c r="BK60" s="948">
        <v>0</v>
      </c>
      <c r="BL60" s="948">
        <v>60.860000000000007</v>
      </c>
      <c r="BM60" s="948">
        <v>-60.860000000000007</v>
      </c>
      <c r="BN60" s="948">
        <v>2479.7200000000003</v>
      </c>
      <c r="BO60" s="966">
        <v>2479.7200000000003</v>
      </c>
      <c r="BR60" s="950"/>
      <c r="BS60" s="951"/>
      <c r="BT60" s="951"/>
    </row>
    <row r="61" spans="1:73" s="223" customFormat="1" ht="36.75" customHeight="1">
      <c r="A61" s="5" t="s">
        <v>117</v>
      </c>
      <c r="B61" s="81" t="s">
        <v>118</v>
      </c>
      <c r="C61" s="5" t="s">
        <v>119</v>
      </c>
      <c r="D61" s="100">
        <v>1115.8399999999999</v>
      </c>
      <c r="E61" s="100">
        <v>33.67</v>
      </c>
      <c r="F61" s="100">
        <v>0</v>
      </c>
      <c r="G61" s="100">
        <v>0</v>
      </c>
      <c r="H61" s="100">
        <v>0</v>
      </c>
      <c r="I61" s="100">
        <v>0</v>
      </c>
      <c r="J61" s="100">
        <v>0</v>
      </c>
      <c r="K61" s="100">
        <v>0</v>
      </c>
      <c r="L61" s="100">
        <v>0</v>
      </c>
      <c r="M61" s="100">
        <v>0</v>
      </c>
      <c r="N61" s="100">
        <v>0</v>
      </c>
      <c r="O61" s="100">
        <v>0</v>
      </c>
      <c r="P61" s="100">
        <v>0</v>
      </c>
      <c r="Q61" s="100">
        <v>0</v>
      </c>
      <c r="R61" s="100">
        <v>0</v>
      </c>
      <c r="S61" s="100">
        <v>33.67</v>
      </c>
      <c r="T61" s="100">
        <v>0</v>
      </c>
      <c r="U61" s="100">
        <v>0</v>
      </c>
      <c r="V61" s="100">
        <v>1082.1699999999998</v>
      </c>
      <c r="W61" s="100">
        <v>0</v>
      </c>
      <c r="X61" s="100">
        <v>0</v>
      </c>
      <c r="Y61" s="100">
        <v>0</v>
      </c>
      <c r="Z61" s="100">
        <v>0</v>
      </c>
      <c r="AA61" s="100">
        <v>0</v>
      </c>
      <c r="AB61" s="100">
        <v>0</v>
      </c>
      <c r="AC61" s="100">
        <v>0.02</v>
      </c>
      <c r="AD61" s="100">
        <v>0</v>
      </c>
      <c r="AE61" s="100">
        <v>0.17</v>
      </c>
      <c r="AF61" s="100">
        <v>0</v>
      </c>
      <c r="AG61" s="100">
        <v>0</v>
      </c>
      <c r="AH61" s="100">
        <v>0</v>
      </c>
      <c r="AI61" s="100">
        <v>0</v>
      </c>
      <c r="AJ61" s="100">
        <v>0</v>
      </c>
      <c r="AK61" s="100">
        <v>0</v>
      </c>
      <c r="AL61" s="100">
        <v>0.17</v>
      </c>
      <c r="AM61" s="100">
        <v>0</v>
      </c>
      <c r="AN61" s="100">
        <v>0</v>
      </c>
      <c r="AO61" s="100">
        <v>0</v>
      </c>
      <c r="AP61" s="100">
        <v>0</v>
      </c>
      <c r="AQ61" s="100">
        <v>0</v>
      </c>
      <c r="AR61" s="100">
        <v>0</v>
      </c>
      <c r="AS61" s="100">
        <v>0</v>
      </c>
      <c r="AT61" s="100">
        <v>0</v>
      </c>
      <c r="AU61" s="100">
        <v>0</v>
      </c>
      <c r="AV61" s="100">
        <v>0</v>
      </c>
      <c r="AW61" s="100">
        <v>0</v>
      </c>
      <c r="AX61" s="100">
        <v>0</v>
      </c>
      <c r="AY61" s="100">
        <v>0</v>
      </c>
      <c r="AZ61" s="100">
        <v>0</v>
      </c>
      <c r="BA61" s="100">
        <v>2.3199999999999998</v>
      </c>
      <c r="BB61" s="100">
        <v>0</v>
      </c>
      <c r="BC61" s="100">
        <v>0</v>
      </c>
      <c r="BD61" s="100">
        <v>0</v>
      </c>
      <c r="BE61" s="100">
        <v>0</v>
      </c>
      <c r="BF61" s="516">
        <v>1079.6599999999999</v>
      </c>
      <c r="BG61" s="100">
        <v>0</v>
      </c>
      <c r="BH61" s="100">
        <v>0</v>
      </c>
      <c r="BI61" s="100">
        <v>0</v>
      </c>
      <c r="BJ61" s="100">
        <v>0</v>
      </c>
      <c r="BK61" s="100">
        <v>0</v>
      </c>
      <c r="BL61" s="100">
        <v>36.180000000000007</v>
      </c>
      <c r="BM61" s="100">
        <v>-30.670000000000009</v>
      </c>
      <c r="BN61" s="100">
        <v>1085.1699999999998</v>
      </c>
      <c r="BO61" s="223">
        <v>-30.670000000000009</v>
      </c>
      <c r="BP61" s="224">
        <v>1085.1699999999998</v>
      </c>
      <c r="BR61" s="222"/>
      <c r="BS61" s="659"/>
      <c r="BT61" s="659"/>
    </row>
    <row r="62" spans="1:73" s="223" customFormat="1" ht="36.75" customHeight="1">
      <c r="A62" s="5" t="s">
        <v>120</v>
      </c>
      <c r="B62" s="81" t="s">
        <v>121</v>
      </c>
      <c r="C62" s="5" t="s">
        <v>122</v>
      </c>
      <c r="D62" s="100">
        <v>2.09</v>
      </c>
      <c r="E62" s="100">
        <v>0</v>
      </c>
      <c r="F62" s="100">
        <v>0</v>
      </c>
      <c r="G62" s="100">
        <v>0</v>
      </c>
      <c r="H62" s="100">
        <v>0</v>
      </c>
      <c r="I62" s="100">
        <v>0</v>
      </c>
      <c r="J62" s="100">
        <v>0</v>
      </c>
      <c r="K62" s="100">
        <v>0</v>
      </c>
      <c r="L62" s="100">
        <v>0</v>
      </c>
      <c r="M62" s="100">
        <v>0</v>
      </c>
      <c r="N62" s="100">
        <v>0</v>
      </c>
      <c r="O62" s="100">
        <v>0</v>
      </c>
      <c r="P62" s="100">
        <v>0</v>
      </c>
      <c r="Q62" s="100">
        <v>0</v>
      </c>
      <c r="R62" s="100">
        <v>0</v>
      </c>
      <c r="S62" s="100">
        <v>0</v>
      </c>
      <c r="T62" s="100">
        <v>0</v>
      </c>
      <c r="U62" s="100">
        <v>0</v>
      </c>
      <c r="V62" s="100">
        <v>2.09</v>
      </c>
      <c r="W62" s="100">
        <v>0</v>
      </c>
      <c r="X62" s="100">
        <v>0</v>
      </c>
      <c r="Y62" s="100">
        <v>0</v>
      </c>
      <c r="Z62" s="100">
        <v>0</v>
      </c>
      <c r="AA62" s="100">
        <v>0</v>
      </c>
      <c r="AB62" s="100">
        <v>0</v>
      </c>
      <c r="AC62" s="100">
        <v>0</v>
      </c>
      <c r="AD62" s="100">
        <v>0</v>
      </c>
      <c r="AE62" s="100">
        <v>0</v>
      </c>
      <c r="AF62" s="100">
        <v>0</v>
      </c>
      <c r="AG62" s="100">
        <v>0</v>
      </c>
      <c r="AH62" s="100">
        <v>0</v>
      </c>
      <c r="AI62" s="100">
        <v>0</v>
      </c>
      <c r="AJ62" s="100">
        <v>0</v>
      </c>
      <c r="AK62" s="100">
        <v>0</v>
      </c>
      <c r="AL62" s="100">
        <v>0</v>
      </c>
      <c r="AM62" s="100">
        <v>0</v>
      </c>
      <c r="AN62" s="100">
        <v>0</v>
      </c>
      <c r="AO62" s="100">
        <v>0</v>
      </c>
      <c r="AP62" s="100">
        <v>0</v>
      </c>
      <c r="AQ62" s="100">
        <v>0</v>
      </c>
      <c r="AR62" s="100">
        <v>0</v>
      </c>
      <c r="AS62" s="100">
        <v>0</v>
      </c>
      <c r="AT62" s="100">
        <v>0</v>
      </c>
      <c r="AU62" s="100">
        <v>0</v>
      </c>
      <c r="AV62" s="100">
        <v>0</v>
      </c>
      <c r="AW62" s="100">
        <v>0</v>
      </c>
      <c r="AX62" s="100">
        <v>0</v>
      </c>
      <c r="AY62" s="100">
        <v>0</v>
      </c>
      <c r="AZ62" s="100">
        <v>0</v>
      </c>
      <c r="BA62" s="100">
        <v>0</v>
      </c>
      <c r="BB62" s="100">
        <v>0</v>
      </c>
      <c r="BC62" s="100">
        <v>0</v>
      </c>
      <c r="BD62" s="100">
        <v>0</v>
      </c>
      <c r="BE62" s="100">
        <v>0</v>
      </c>
      <c r="BF62" s="100">
        <v>0</v>
      </c>
      <c r="BG62" s="516">
        <v>2.09</v>
      </c>
      <c r="BH62" s="100">
        <v>0</v>
      </c>
      <c r="BI62" s="100">
        <v>0</v>
      </c>
      <c r="BJ62" s="100">
        <v>0</v>
      </c>
      <c r="BK62" s="100">
        <v>0</v>
      </c>
      <c r="BL62" s="100">
        <v>0</v>
      </c>
      <c r="BM62" s="100">
        <v>0</v>
      </c>
      <c r="BN62" s="100">
        <v>2.09</v>
      </c>
      <c r="BR62" s="222"/>
      <c r="BS62" s="659"/>
      <c r="BT62" s="659"/>
    </row>
    <row r="63" spans="1:73" s="22" customFormat="1" ht="36.75" customHeight="1">
      <c r="A63" s="6">
        <v>3</v>
      </c>
      <c r="B63" s="967" t="s">
        <v>123</v>
      </c>
      <c r="C63" s="6" t="s">
        <v>124</v>
      </c>
      <c r="D63" s="175">
        <v>5792.391639999998</v>
      </c>
      <c r="E63" s="175">
        <v>14.43</v>
      </c>
      <c r="F63" s="175">
        <v>0</v>
      </c>
      <c r="G63" s="175">
        <v>0</v>
      </c>
      <c r="H63" s="175">
        <v>0</v>
      </c>
      <c r="I63" s="175">
        <v>0</v>
      </c>
      <c r="J63" s="175">
        <v>0</v>
      </c>
      <c r="K63" s="175">
        <v>0</v>
      </c>
      <c r="L63" s="175">
        <v>0</v>
      </c>
      <c r="M63" s="175">
        <v>0</v>
      </c>
      <c r="N63" s="175">
        <v>0</v>
      </c>
      <c r="O63" s="175">
        <v>0</v>
      </c>
      <c r="P63" s="175">
        <v>0</v>
      </c>
      <c r="Q63" s="175">
        <v>0</v>
      </c>
      <c r="R63" s="175">
        <v>0</v>
      </c>
      <c r="S63" s="175">
        <v>14.43</v>
      </c>
      <c r="T63" s="175">
        <v>0</v>
      </c>
      <c r="U63" s="175">
        <v>0</v>
      </c>
      <c r="V63" s="175">
        <v>63.190000000000005</v>
      </c>
      <c r="W63" s="175">
        <v>0.01</v>
      </c>
      <c r="X63" s="175">
        <v>0</v>
      </c>
      <c r="Y63" s="175">
        <v>0.48</v>
      </c>
      <c r="Z63" s="175">
        <v>0</v>
      </c>
      <c r="AA63" s="175">
        <v>5.51</v>
      </c>
      <c r="AB63" s="175">
        <v>3.51</v>
      </c>
      <c r="AC63" s="175">
        <v>2.74</v>
      </c>
      <c r="AD63" s="175">
        <v>0</v>
      </c>
      <c r="AE63" s="175">
        <v>29.82</v>
      </c>
      <c r="AF63" s="175">
        <v>0.17</v>
      </c>
      <c r="AG63" s="175">
        <v>0</v>
      </c>
      <c r="AH63" s="175">
        <v>3.4000000000000004</v>
      </c>
      <c r="AI63" s="175">
        <v>0</v>
      </c>
      <c r="AJ63" s="175">
        <v>0</v>
      </c>
      <c r="AK63" s="175">
        <v>0</v>
      </c>
      <c r="AL63" s="175">
        <v>23.25</v>
      </c>
      <c r="AM63" s="175">
        <v>0.1</v>
      </c>
      <c r="AN63" s="175">
        <v>0</v>
      </c>
      <c r="AO63" s="175">
        <v>0</v>
      </c>
      <c r="AP63" s="175">
        <v>2.9</v>
      </c>
      <c r="AQ63" s="175">
        <v>0</v>
      </c>
      <c r="AR63" s="175">
        <v>0</v>
      </c>
      <c r="AS63" s="175">
        <v>2.62</v>
      </c>
      <c r="AT63" s="175">
        <v>1</v>
      </c>
      <c r="AU63" s="175">
        <v>11.969999999999999</v>
      </c>
      <c r="AV63" s="175">
        <v>0.06</v>
      </c>
      <c r="AW63" s="175">
        <v>0</v>
      </c>
      <c r="AX63" s="175">
        <v>0</v>
      </c>
      <c r="AY63" s="175">
        <v>0</v>
      </c>
      <c r="AZ63" s="175">
        <v>0</v>
      </c>
      <c r="BA63" s="175">
        <v>0.06</v>
      </c>
      <c r="BB63" s="175">
        <v>0</v>
      </c>
      <c r="BC63" s="175">
        <v>2.95</v>
      </c>
      <c r="BD63" s="175">
        <v>0</v>
      </c>
      <c r="BE63" s="175">
        <v>0</v>
      </c>
      <c r="BF63" s="175">
        <v>2.46</v>
      </c>
      <c r="BG63" s="175">
        <v>0</v>
      </c>
      <c r="BH63" s="515">
        <v>5714.7716399999981</v>
      </c>
      <c r="BI63" s="175">
        <v>5456.351639999998</v>
      </c>
      <c r="BJ63" s="175">
        <v>258.42</v>
      </c>
      <c r="BK63" s="175">
        <v>0</v>
      </c>
      <c r="BL63" s="175">
        <v>77.61999999999999</v>
      </c>
      <c r="BM63" s="175">
        <v>-77.61999999999999</v>
      </c>
      <c r="BN63" s="175">
        <v>5714.7716399999981</v>
      </c>
      <c r="BO63" s="514">
        <v>5714.7716399999981</v>
      </c>
      <c r="BP63" s="514">
        <v>10.992281976767639</v>
      </c>
      <c r="BR63" s="4"/>
      <c r="BS63" s="298"/>
      <c r="BT63" s="298"/>
      <c r="BU63" s="439"/>
    </row>
    <row r="64" spans="1:73" s="956" customFormat="1" ht="36.75" customHeight="1">
      <c r="A64" s="5" t="s">
        <v>220</v>
      </c>
      <c r="B64" s="81" t="s">
        <v>461</v>
      </c>
      <c r="C64" s="5" t="s">
        <v>209</v>
      </c>
      <c r="D64" s="100">
        <v>5532.4016399999982</v>
      </c>
      <c r="E64" s="100">
        <v>13.81</v>
      </c>
      <c r="F64" s="100">
        <v>0</v>
      </c>
      <c r="G64" s="100">
        <v>0</v>
      </c>
      <c r="H64" s="100">
        <v>0</v>
      </c>
      <c r="I64" s="100">
        <v>0</v>
      </c>
      <c r="J64" s="100">
        <v>0</v>
      </c>
      <c r="K64" s="100">
        <v>0</v>
      </c>
      <c r="L64" s="100">
        <v>0</v>
      </c>
      <c r="M64" s="100">
        <v>0</v>
      </c>
      <c r="N64" s="100">
        <v>0</v>
      </c>
      <c r="O64" s="100">
        <v>0</v>
      </c>
      <c r="P64" s="100">
        <v>0</v>
      </c>
      <c r="Q64" s="100">
        <v>0</v>
      </c>
      <c r="R64" s="100">
        <v>0</v>
      </c>
      <c r="S64" s="100">
        <v>13.81</v>
      </c>
      <c r="T64" s="100">
        <v>0</v>
      </c>
      <c r="U64" s="100">
        <v>0</v>
      </c>
      <c r="V64" s="100">
        <v>62.24</v>
      </c>
      <c r="W64" s="100">
        <v>0.01</v>
      </c>
      <c r="X64" s="100">
        <v>0</v>
      </c>
      <c r="Y64" s="100">
        <v>0.48</v>
      </c>
      <c r="Z64" s="100">
        <v>0</v>
      </c>
      <c r="AA64" s="100">
        <v>5.51</v>
      </c>
      <c r="AB64" s="100">
        <v>3.51</v>
      </c>
      <c r="AC64" s="100">
        <v>2.74</v>
      </c>
      <c r="AD64" s="100">
        <v>0</v>
      </c>
      <c r="AE64" s="100">
        <v>29.05</v>
      </c>
      <c r="AF64" s="100">
        <v>0.17</v>
      </c>
      <c r="AG64" s="100">
        <v>0</v>
      </c>
      <c r="AH64" s="100">
        <v>3.4000000000000004</v>
      </c>
      <c r="AI64" s="100">
        <v>0</v>
      </c>
      <c r="AJ64" s="100">
        <v>0</v>
      </c>
      <c r="AK64" s="100">
        <v>0</v>
      </c>
      <c r="AL64" s="100">
        <v>22.48</v>
      </c>
      <c r="AM64" s="100">
        <v>0.1</v>
      </c>
      <c r="AN64" s="100">
        <v>0</v>
      </c>
      <c r="AO64" s="100">
        <v>0</v>
      </c>
      <c r="AP64" s="100">
        <v>2.9</v>
      </c>
      <c r="AQ64" s="100">
        <v>0</v>
      </c>
      <c r="AR64" s="100">
        <v>0</v>
      </c>
      <c r="AS64" s="100">
        <v>2.62</v>
      </c>
      <c r="AT64" s="100">
        <v>1</v>
      </c>
      <c r="AU64" s="100">
        <v>11.969999999999999</v>
      </c>
      <c r="AV64" s="100">
        <v>0.06</v>
      </c>
      <c r="AW64" s="100">
        <v>0</v>
      </c>
      <c r="AX64" s="100">
        <v>0</v>
      </c>
      <c r="AY64" s="100">
        <v>0</v>
      </c>
      <c r="AZ64" s="100">
        <v>0</v>
      </c>
      <c r="BA64" s="100">
        <v>0.06</v>
      </c>
      <c r="BB64" s="100">
        <v>0</v>
      </c>
      <c r="BC64" s="100">
        <v>2.77</v>
      </c>
      <c r="BD64" s="100">
        <v>0</v>
      </c>
      <c r="BE64" s="100">
        <v>0</v>
      </c>
      <c r="BF64" s="100">
        <v>2.46</v>
      </c>
      <c r="BG64" s="100">
        <v>0</v>
      </c>
      <c r="BH64" s="100">
        <v>5456.351639999998</v>
      </c>
      <c r="BI64" s="516">
        <v>5456.351639999998</v>
      </c>
      <c r="BJ64" s="100">
        <v>0</v>
      </c>
      <c r="BK64" s="100">
        <v>0</v>
      </c>
      <c r="BL64" s="100">
        <v>76.05</v>
      </c>
      <c r="BM64" s="100">
        <v>-76.05</v>
      </c>
      <c r="BN64" s="100">
        <v>5456.351639999998</v>
      </c>
      <c r="BR64" s="4"/>
      <c r="BS64" s="298"/>
      <c r="BT64" s="298"/>
    </row>
    <row r="65" spans="1:72" s="956" customFormat="1" ht="36.75" customHeight="1">
      <c r="A65" s="5" t="s">
        <v>221</v>
      </c>
      <c r="B65" s="81" t="s">
        <v>462</v>
      </c>
      <c r="C65" s="5" t="s">
        <v>210</v>
      </c>
      <c r="D65" s="100">
        <v>259.99</v>
      </c>
      <c r="E65" s="100">
        <v>0.62</v>
      </c>
      <c r="F65" s="100">
        <v>0</v>
      </c>
      <c r="G65" s="100">
        <v>0</v>
      </c>
      <c r="H65" s="100">
        <v>0</v>
      </c>
      <c r="I65" s="100">
        <v>0</v>
      </c>
      <c r="J65" s="100">
        <v>0</v>
      </c>
      <c r="K65" s="100">
        <v>0</v>
      </c>
      <c r="L65" s="100">
        <v>0</v>
      </c>
      <c r="M65" s="100">
        <v>0</v>
      </c>
      <c r="N65" s="100">
        <v>0</v>
      </c>
      <c r="O65" s="100">
        <v>0</v>
      </c>
      <c r="P65" s="100">
        <v>0</v>
      </c>
      <c r="Q65" s="100">
        <v>0</v>
      </c>
      <c r="R65" s="100">
        <v>0</v>
      </c>
      <c r="S65" s="100">
        <v>0.62</v>
      </c>
      <c r="T65" s="100">
        <v>0</v>
      </c>
      <c r="U65" s="100">
        <v>0</v>
      </c>
      <c r="V65" s="100">
        <v>0.95</v>
      </c>
      <c r="W65" s="100">
        <v>0</v>
      </c>
      <c r="X65" s="100">
        <v>0</v>
      </c>
      <c r="Y65" s="100">
        <v>0</v>
      </c>
      <c r="Z65" s="100">
        <v>0</v>
      </c>
      <c r="AA65" s="100">
        <v>0</v>
      </c>
      <c r="AB65" s="100">
        <v>0</v>
      </c>
      <c r="AC65" s="100">
        <v>0</v>
      </c>
      <c r="AD65" s="100">
        <v>0</v>
      </c>
      <c r="AE65" s="100">
        <v>0.77</v>
      </c>
      <c r="AF65" s="100">
        <v>0</v>
      </c>
      <c r="AG65" s="100">
        <v>0</v>
      </c>
      <c r="AH65" s="100">
        <v>0</v>
      </c>
      <c r="AI65" s="100">
        <v>0</v>
      </c>
      <c r="AJ65" s="100">
        <v>0</v>
      </c>
      <c r="AK65" s="100">
        <v>0</v>
      </c>
      <c r="AL65" s="100">
        <v>0.77</v>
      </c>
      <c r="AM65" s="100">
        <v>0</v>
      </c>
      <c r="AN65" s="100">
        <v>0</v>
      </c>
      <c r="AO65" s="100">
        <v>0</v>
      </c>
      <c r="AP65" s="100">
        <v>0</v>
      </c>
      <c r="AQ65" s="100">
        <v>0</v>
      </c>
      <c r="AR65" s="100">
        <v>0</v>
      </c>
      <c r="AS65" s="100">
        <v>0</v>
      </c>
      <c r="AT65" s="100">
        <v>0</v>
      </c>
      <c r="AU65" s="100">
        <v>0</v>
      </c>
      <c r="AV65" s="100">
        <v>0</v>
      </c>
      <c r="AW65" s="100">
        <v>0</v>
      </c>
      <c r="AX65" s="100">
        <v>0</v>
      </c>
      <c r="AY65" s="100">
        <v>0</v>
      </c>
      <c r="AZ65" s="100">
        <v>0</v>
      </c>
      <c r="BA65" s="100">
        <v>0</v>
      </c>
      <c r="BB65" s="100">
        <v>0</v>
      </c>
      <c r="BC65" s="100">
        <v>0.18</v>
      </c>
      <c r="BD65" s="100">
        <v>0</v>
      </c>
      <c r="BE65" s="100">
        <v>0</v>
      </c>
      <c r="BF65" s="100">
        <v>0</v>
      </c>
      <c r="BG65" s="100">
        <v>0</v>
      </c>
      <c r="BH65" s="100">
        <v>258.42</v>
      </c>
      <c r="BI65" s="100">
        <v>0</v>
      </c>
      <c r="BJ65" s="516">
        <v>258.42</v>
      </c>
      <c r="BK65" s="100">
        <v>0</v>
      </c>
      <c r="BL65" s="100">
        <v>1.5699999999999998</v>
      </c>
      <c r="BM65" s="100">
        <v>-1.5699999999999998</v>
      </c>
      <c r="BN65" s="100">
        <v>258.42</v>
      </c>
      <c r="BR65" s="4"/>
      <c r="BS65" s="298"/>
      <c r="BT65" s="298"/>
    </row>
    <row r="66" spans="1:72" s="956" customFormat="1" ht="36.75" customHeight="1">
      <c r="A66" s="9" t="s">
        <v>222</v>
      </c>
      <c r="B66" s="82" t="s">
        <v>492</v>
      </c>
      <c r="C66" s="9" t="s">
        <v>211</v>
      </c>
      <c r="D66" s="509">
        <v>0</v>
      </c>
      <c r="E66" s="280">
        <v>0</v>
      </c>
      <c r="F66" s="280">
        <v>0</v>
      </c>
      <c r="G66" s="280">
        <v>0</v>
      </c>
      <c r="H66" s="280">
        <v>0</v>
      </c>
      <c r="I66" s="280">
        <v>0</v>
      </c>
      <c r="J66" s="280">
        <v>0</v>
      </c>
      <c r="K66" s="280">
        <v>0</v>
      </c>
      <c r="L66" s="280">
        <v>0</v>
      </c>
      <c r="M66" s="280">
        <v>0</v>
      </c>
      <c r="N66" s="280"/>
      <c r="O66" s="280">
        <v>0</v>
      </c>
      <c r="P66" s="280">
        <v>0</v>
      </c>
      <c r="Q66" s="280">
        <v>0</v>
      </c>
      <c r="R66" s="280">
        <v>0</v>
      </c>
      <c r="S66" s="280">
        <v>0</v>
      </c>
      <c r="T66" s="280">
        <v>0</v>
      </c>
      <c r="U66" s="280">
        <v>0</v>
      </c>
      <c r="V66" s="280">
        <v>0</v>
      </c>
      <c r="W66" s="280">
        <v>0</v>
      </c>
      <c r="X66" s="280">
        <v>0</v>
      </c>
      <c r="Y66" s="280">
        <v>0</v>
      </c>
      <c r="Z66" s="280">
        <v>0</v>
      </c>
      <c r="AA66" s="280">
        <v>0</v>
      </c>
      <c r="AB66" s="280">
        <v>0</v>
      </c>
      <c r="AC66" s="280">
        <v>0</v>
      </c>
      <c r="AD66" s="280">
        <v>0</v>
      </c>
      <c r="AE66" s="280">
        <v>0</v>
      </c>
      <c r="AF66" s="280">
        <v>0</v>
      </c>
      <c r="AG66" s="280">
        <v>0</v>
      </c>
      <c r="AH66" s="280">
        <v>0</v>
      </c>
      <c r="AI66" s="280">
        <v>0</v>
      </c>
      <c r="AJ66" s="280">
        <v>0</v>
      </c>
      <c r="AK66" s="280">
        <v>0</v>
      </c>
      <c r="AL66" s="280">
        <v>0</v>
      </c>
      <c r="AM66" s="280">
        <v>0</v>
      </c>
      <c r="AN66" s="280">
        <v>0</v>
      </c>
      <c r="AO66" s="280">
        <v>0</v>
      </c>
      <c r="AP66" s="280">
        <v>0</v>
      </c>
      <c r="AQ66" s="280">
        <v>0</v>
      </c>
      <c r="AR66" s="280">
        <v>0</v>
      </c>
      <c r="AS66" s="280">
        <v>0</v>
      </c>
      <c r="AT66" s="280">
        <v>0</v>
      </c>
      <c r="AU66" s="280">
        <v>0</v>
      </c>
      <c r="AV66" s="280">
        <v>0</v>
      </c>
      <c r="AW66" s="280">
        <v>0</v>
      </c>
      <c r="AX66" s="280">
        <v>0</v>
      </c>
      <c r="AY66" s="280">
        <v>0</v>
      </c>
      <c r="AZ66" s="280">
        <v>0</v>
      </c>
      <c r="BA66" s="280">
        <v>0</v>
      </c>
      <c r="BB66" s="280">
        <v>0</v>
      </c>
      <c r="BC66" s="280">
        <v>0</v>
      </c>
      <c r="BD66" s="280">
        <v>0</v>
      </c>
      <c r="BE66" s="280">
        <v>0</v>
      </c>
      <c r="BF66" s="280">
        <v>0</v>
      </c>
      <c r="BG66" s="280">
        <v>0</v>
      </c>
      <c r="BH66" s="280">
        <v>0</v>
      </c>
      <c r="BI66" s="280">
        <v>0</v>
      </c>
      <c r="BJ66" s="280">
        <v>0</v>
      </c>
      <c r="BK66" s="517">
        <v>0</v>
      </c>
      <c r="BL66" s="280">
        <v>0</v>
      </c>
      <c r="BM66" s="280">
        <v>0</v>
      </c>
      <c r="BN66" s="280">
        <v>0</v>
      </c>
      <c r="BO66" s="956">
        <v>5656.9</v>
      </c>
      <c r="BR66" s="4"/>
      <c r="BS66" s="298"/>
      <c r="BT66" s="298"/>
    </row>
    <row r="67" spans="1:72" s="956" customFormat="1" ht="44.25" customHeight="1">
      <c r="A67" s="893"/>
      <c r="B67" s="968" t="s">
        <v>1080</v>
      </c>
      <c r="C67" s="893" t="s">
        <v>1079</v>
      </c>
      <c r="D67" s="901"/>
      <c r="E67" s="894">
        <v>33.049999999999997</v>
      </c>
      <c r="F67" s="894">
        <v>0</v>
      </c>
      <c r="G67" s="894">
        <v>0</v>
      </c>
      <c r="H67" s="894">
        <v>0</v>
      </c>
      <c r="I67" s="894">
        <v>0</v>
      </c>
      <c r="J67" s="894">
        <v>0</v>
      </c>
      <c r="K67" s="894">
        <v>0</v>
      </c>
      <c r="L67" s="894">
        <v>0</v>
      </c>
      <c r="M67" s="894">
        <v>0</v>
      </c>
      <c r="N67" s="894">
        <v>0</v>
      </c>
      <c r="O67" s="894">
        <v>0</v>
      </c>
      <c r="P67" s="894">
        <v>0</v>
      </c>
      <c r="Q67" s="894">
        <v>0</v>
      </c>
      <c r="R67" s="894">
        <v>0</v>
      </c>
      <c r="S67" s="894">
        <v>33.049999999999997</v>
      </c>
      <c r="T67" s="894">
        <v>0</v>
      </c>
      <c r="U67" s="894">
        <v>0</v>
      </c>
      <c r="V67" s="894">
        <v>2.5900000000000003</v>
      </c>
      <c r="W67" s="894">
        <v>0</v>
      </c>
      <c r="X67" s="894">
        <v>0</v>
      </c>
      <c r="Y67" s="894">
        <v>0</v>
      </c>
      <c r="Z67" s="894">
        <v>0</v>
      </c>
      <c r="AA67" s="894">
        <v>0</v>
      </c>
      <c r="AB67" s="894">
        <v>0</v>
      </c>
      <c r="AC67" s="894">
        <v>0</v>
      </c>
      <c r="AD67" s="894">
        <v>0</v>
      </c>
      <c r="AE67" s="894">
        <v>2.5900000000000003</v>
      </c>
      <c r="AF67" s="894">
        <v>0</v>
      </c>
      <c r="AG67" s="894">
        <v>0</v>
      </c>
      <c r="AH67" s="894">
        <v>0</v>
      </c>
      <c r="AI67" s="894">
        <v>0</v>
      </c>
      <c r="AJ67" s="894">
        <v>0</v>
      </c>
      <c r="AK67" s="894">
        <v>0</v>
      </c>
      <c r="AL67" s="894">
        <v>2.5900000000000003</v>
      </c>
      <c r="AM67" s="894">
        <v>0</v>
      </c>
      <c r="AN67" s="894">
        <v>0</v>
      </c>
      <c r="AO67" s="894">
        <v>0</v>
      </c>
      <c r="AP67" s="894">
        <v>0</v>
      </c>
      <c r="AQ67" s="894">
        <v>0</v>
      </c>
      <c r="AR67" s="894">
        <v>0</v>
      </c>
      <c r="AS67" s="894">
        <v>0</v>
      </c>
      <c r="AT67" s="894">
        <v>0</v>
      </c>
      <c r="AU67" s="894">
        <v>0</v>
      </c>
      <c r="AV67" s="894">
        <v>0</v>
      </c>
      <c r="AW67" s="894">
        <v>0</v>
      </c>
      <c r="AX67" s="894">
        <v>0</v>
      </c>
      <c r="AY67" s="894">
        <v>0</v>
      </c>
      <c r="AZ67" s="894">
        <v>0</v>
      </c>
      <c r="BA67" s="894">
        <v>0</v>
      </c>
      <c r="BB67" s="894">
        <v>0</v>
      </c>
      <c r="BC67" s="894">
        <v>0</v>
      </c>
      <c r="BD67" s="894">
        <v>0</v>
      </c>
      <c r="BE67" s="894">
        <v>0</v>
      </c>
      <c r="BF67" s="894">
        <v>0</v>
      </c>
      <c r="BG67" s="894">
        <v>0</v>
      </c>
      <c r="BH67" s="894">
        <v>0</v>
      </c>
      <c r="BI67" s="894">
        <v>0</v>
      </c>
      <c r="BJ67" s="894">
        <v>0</v>
      </c>
      <c r="BK67" s="894">
        <v>0</v>
      </c>
      <c r="BL67" s="894"/>
      <c r="BM67" s="894"/>
      <c r="BN67" s="894"/>
      <c r="BR67" s="4"/>
      <c r="BS67" s="298"/>
      <c r="BT67" s="298"/>
    </row>
    <row r="68" spans="1:72" s="439" customFormat="1" ht="36.75" customHeight="1">
      <c r="A68" s="11"/>
      <c r="B68" s="11" t="s">
        <v>190</v>
      </c>
      <c r="C68" s="11"/>
      <c r="D68" s="189"/>
      <c r="E68" s="189">
        <v>149.26999999999998</v>
      </c>
      <c r="F68" s="189">
        <v>0</v>
      </c>
      <c r="G68" s="189">
        <v>0</v>
      </c>
      <c r="H68" s="189">
        <v>0</v>
      </c>
      <c r="I68" s="189">
        <v>0</v>
      </c>
      <c r="J68" s="189">
        <v>0</v>
      </c>
      <c r="K68" s="189">
        <v>0</v>
      </c>
      <c r="L68" s="189">
        <v>0</v>
      </c>
      <c r="M68" s="189">
        <v>0</v>
      </c>
      <c r="N68" s="189">
        <v>0</v>
      </c>
      <c r="O68" s="189">
        <v>0</v>
      </c>
      <c r="P68" s="189">
        <v>0</v>
      </c>
      <c r="Q68" s="189">
        <v>0</v>
      </c>
      <c r="R68" s="189">
        <v>0</v>
      </c>
      <c r="S68" s="189">
        <v>203.23000000000002</v>
      </c>
      <c r="T68" s="189">
        <v>0</v>
      </c>
      <c r="U68" s="189">
        <v>0</v>
      </c>
      <c r="V68" s="189">
        <v>989.82</v>
      </c>
      <c r="W68" s="189">
        <v>7.14</v>
      </c>
      <c r="X68" s="189">
        <v>0</v>
      </c>
      <c r="Y68" s="189">
        <v>38.219999999999992</v>
      </c>
      <c r="Z68" s="189">
        <v>0</v>
      </c>
      <c r="AA68" s="189">
        <v>199.79</v>
      </c>
      <c r="AB68" s="189">
        <v>93.220000000000013</v>
      </c>
      <c r="AC68" s="189">
        <v>109.86</v>
      </c>
      <c r="AD68" s="189">
        <v>0</v>
      </c>
      <c r="AE68" s="189">
        <v>234.39000000000001</v>
      </c>
      <c r="AF68" s="189">
        <v>1.7100000000000002</v>
      </c>
      <c r="AG68" s="189">
        <v>0</v>
      </c>
      <c r="AH68" s="189">
        <v>6.66</v>
      </c>
      <c r="AI68" s="189">
        <v>0.23</v>
      </c>
      <c r="AJ68" s="189">
        <v>0</v>
      </c>
      <c r="AK68" s="189">
        <v>0</v>
      </c>
      <c r="AL68" s="189">
        <v>222.45</v>
      </c>
      <c r="AM68" s="189">
        <v>3.4599999999999995</v>
      </c>
      <c r="AN68" s="189">
        <v>0</v>
      </c>
      <c r="AO68" s="189">
        <v>0</v>
      </c>
      <c r="AP68" s="189">
        <v>3.9</v>
      </c>
      <c r="AQ68" s="189">
        <v>0</v>
      </c>
      <c r="AR68" s="189">
        <v>0</v>
      </c>
      <c r="AS68" s="189">
        <v>11.620000000000001</v>
      </c>
      <c r="AT68" s="189">
        <v>14.27</v>
      </c>
      <c r="AU68" s="189">
        <v>45.72</v>
      </c>
      <c r="AV68" s="189">
        <v>19.39</v>
      </c>
      <c r="AW68" s="189">
        <v>0</v>
      </c>
      <c r="AX68" s="189">
        <v>0</v>
      </c>
      <c r="AY68" s="189">
        <v>1.35</v>
      </c>
      <c r="AZ68" s="189">
        <v>0</v>
      </c>
      <c r="BA68" s="189">
        <v>295.12999999999994</v>
      </c>
      <c r="BB68" s="189">
        <v>0</v>
      </c>
      <c r="BC68" s="189">
        <v>14.989999999999998</v>
      </c>
      <c r="BD68" s="189">
        <v>0</v>
      </c>
      <c r="BE68" s="189">
        <v>0</v>
      </c>
      <c r="BF68" s="189">
        <v>5.51</v>
      </c>
      <c r="BG68" s="189">
        <v>0</v>
      </c>
      <c r="BH68" s="189">
        <v>0</v>
      </c>
      <c r="BI68" s="189">
        <v>0</v>
      </c>
      <c r="BJ68" s="189">
        <v>0</v>
      </c>
      <c r="BK68" s="189">
        <v>0</v>
      </c>
      <c r="BL68" s="189"/>
      <c r="BM68" s="189"/>
      <c r="BN68" s="189"/>
      <c r="BO68" s="969">
        <v>57.871639999998479</v>
      </c>
      <c r="BR68" s="4"/>
      <c r="BS68" s="298"/>
      <c r="BT68" s="298"/>
    </row>
    <row r="69" spans="1:72" s="8" customFormat="1" ht="42" customHeight="1">
      <c r="A69" s="157"/>
      <c r="B69" s="18" t="s">
        <v>695</v>
      </c>
      <c r="C69" s="10"/>
      <c r="D69" s="458">
        <v>51988.946900000003</v>
      </c>
      <c r="E69" s="458">
        <v>37673.372589999999</v>
      </c>
      <c r="F69" s="458">
        <v>5794.1364899999999</v>
      </c>
      <c r="G69" s="458">
        <v>4056.7545499999997</v>
      </c>
      <c r="H69" s="458">
        <v>3079.4102499999999</v>
      </c>
      <c r="I69" s="458">
        <v>1715.058</v>
      </c>
      <c r="J69" s="458">
        <v>1364.3522499999999</v>
      </c>
      <c r="K69" s="458">
        <v>0</v>
      </c>
      <c r="L69" s="458">
        <v>0</v>
      </c>
      <c r="M69" s="458">
        <v>977.34429999999986</v>
      </c>
      <c r="N69" s="458">
        <v>1737.3819399999998</v>
      </c>
      <c r="O69" s="458">
        <v>28264.056100000002</v>
      </c>
      <c r="P69" s="458">
        <v>15105.260000000002</v>
      </c>
      <c r="Q69" s="458">
        <v>0</v>
      </c>
      <c r="R69" s="458">
        <v>13158.796099999998</v>
      </c>
      <c r="S69" s="458">
        <v>3575.1000000000004</v>
      </c>
      <c r="T69" s="458">
        <v>0</v>
      </c>
      <c r="U69" s="458">
        <v>40.08</v>
      </c>
      <c r="V69" s="458">
        <v>8600.8026700000009</v>
      </c>
      <c r="W69" s="458">
        <v>287.20866999999998</v>
      </c>
      <c r="X69" s="458">
        <v>9.83</v>
      </c>
      <c r="Y69" s="458">
        <v>117.81</v>
      </c>
      <c r="Z69" s="458">
        <v>0</v>
      </c>
      <c r="AA69" s="458">
        <v>199.79</v>
      </c>
      <c r="AB69" s="458">
        <v>439.70717000000002</v>
      </c>
      <c r="AC69" s="458">
        <v>230.09</v>
      </c>
      <c r="AD69" s="458">
        <v>0</v>
      </c>
      <c r="AE69" s="458">
        <v>2326.9724999999994</v>
      </c>
      <c r="AF69" s="458">
        <v>17.930000000000003</v>
      </c>
      <c r="AG69" s="458">
        <v>7.9336999999999991</v>
      </c>
      <c r="AH69" s="458">
        <v>76.456210000000013</v>
      </c>
      <c r="AI69" s="458">
        <v>113.898</v>
      </c>
      <c r="AJ69" s="458">
        <v>0</v>
      </c>
      <c r="AK69" s="458">
        <v>0.04</v>
      </c>
      <c r="AL69" s="458">
        <v>1608.1725899999994</v>
      </c>
      <c r="AM69" s="458">
        <v>482.66782999999998</v>
      </c>
      <c r="AN69" s="458">
        <v>2.4999999999999996</v>
      </c>
      <c r="AO69" s="458">
        <v>1.49255</v>
      </c>
      <c r="AP69" s="458">
        <v>15.88162</v>
      </c>
      <c r="AQ69" s="458">
        <v>0.24000000000000002</v>
      </c>
      <c r="AR69" s="458">
        <v>0</v>
      </c>
      <c r="AS69" s="458">
        <v>55.85</v>
      </c>
      <c r="AT69" s="458">
        <v>324.78955000000002</v>
      </c>
      <c r="AU69" s="458">
        <v>372.24450000000002</v>
      </c>
      <c r="AV69" s="458">
        <v>55.850279999999998</v>
      </c>
      <c r="AW69" s="458">
        <v>0.67</v>
      </c>
      <c r="AX69" s="458">
        <v>0</v>
      </c>
      <c r="AY69" s="458">
        <v>12.12</v>
      </c>
      <c r="AZ69" s="458">
        <v>237.46000000000004</v>
      </c>
      <c r="BA69" s="458">
        <v>313.13039999999995</v>
      </c>
      <c r="BB69" s="458">
        <v>12.339599999999999</v>
      </c>
      <c r="BC69" s="458">
        <v>27.279999999999998</v>
      </c>
      <c r="BD69" s="458">
        <v>10.440000000000003</v>
      </c>
      <c r="BE69" s="458">
        <v>2479.7200000000003</v>
      </c>
      <c r="BF69" s="458">
        <v>1085.1699999999998</v>
      </c>
      <c r="BG69" s="458">
        <v>2.09</v>
      </c>
      <c r="BH69" s="458">
        <v>5714.7716399999981</v>
      </c>
      <c r="BI69" s="458">
        <v>5456.351639999998</v>
      </c>
      <c r="BJ69" s="458">
        <v>258.42</v>
      </c>
      <c r="BK69" s="458">
        <v>0</v>
      </c>
      <c r="BL69" s="458"/>
      <c r="BM69" s="458"/>
      <c r="BN69" s="458"/>
      <c r="BR69" s="4"/>
      <c r="BS69" s="298"/>
      <c r="BT69" s="298"/>
    </row>
    <row r="70" spans="1:72" ht="24.95" customHeight="1">
      <c r="BD70" s="425"/>
    </row>
    <row r="71" spans="1:72" ht="18" customHeight="1">
      <c r="A71" s="1300" t="s">
        <v>10</v>
      </c>
      <c r="B71" s="1300"/>
      <c r="D71" s="177"/>
      <c r="V71" s="177">
        <v>987.23</v>
      </c>
      <c r="BF71" s="177">
        <v>5.5099999999999989</v>
      </c>
      <c r="BN71" s="177"/>
      <c r="BO71" s="177"/>
    </row>
    <row r="72" spans="1:72" ht="28.5" customHeight="1">
      <c r="A72" s="1300" t="s">
        <v>321</v>
      </c>
      <c r="B72" s="1300"/>
      <c r="C72" s="1300"/>
      <c r="D72" s="1300"/>
      <c r="E72" s="1300"/>
      <c r="F72" s="1300"/>
      <c r="G72" s="1300"/>
      <c r="H72" s="1300"/>
      <c r="I72" s="1300"/>
      <c r="J72" s="1300"/>
      <c r="K72" s="1300"/>
      <c r="L72" s="1300"/>
      <c r="M72" s="1300"/>
      <c r="N72" s="1300"/>
      <c r="O72" s="1300"/>
      <c r="P72" s="1300"/>
      <c r="Q72" s="1300"/>
      <c r="R72" s="1300"/>
      <c r="S72" s="1300"/>
      <c r="T72" s="1300"/>
      <c r="U72" s="1300"/>
      <c r="V72" s="1300"/>
      <c r="W72" s="1300"/>
      <c r="X72" s="1300"/>
      <c r="Y72" s="1300"/>
      <c r="Z72" s="1300"/>
      <c r="AA72" s="1300"/>
      <c r="AB72" s="1300"/>
      <c r="AC72" s="1300"/>
      <c r="AD72" s="1300"/>
      <c r="AE72" s="1300"/>
      <c r="AF72" s="1300"/>
      <c r="AG72" s="1300"/>
      <c r="AH72" s="1300"/>
      <c r="AI72" s="1300"/>
      <c r="AJ72" s="1300"/>
      <c r="AK72" s="1300"/>
      <c r="AL72" s="1300"/>
      <c r="AM72" s="1300"/>
      <c r="AN72" s="1300"/>
      <c r="AO72" s="1300"/>
      <c r="AP72" s="1300"/>
      <c r="AQ72" s="1300"/>
      <c r="AR72" s="1300"/>
      <c r="AS72" s="1300"/>
      <c r="AY72">
        <v>0.02</v>
      </c>
      <c r="BF72" s="177">
        <v>5.51</v>
      </c>
    </row>
    <row r="73" spans="1:72" ht="24.75" customHeight="1">
      <c r="A73" s="1300" t="s">
        <v>322</v>
      </c>
      <c r="B73" s="1300"/>
      <c r="C73" s="1300"/>
      <c r="D73" s="1300"/>
      <c r="E73" s="1300"/>
      <c r="F73" s="1300"/>
      <c r="G73" s="1300"/>
      <c r="H73" s="1300"/>
      <c r="I73" s="1300"/>
      <c r="J73" s="1300"/>
      <c r="K73" s="1300"/>
      <c r="L73" s="1300"/>
      <c r="M73" s="1300"/>
      <c r="N73" s="1300"/>
      <c r="O73" s="1300"/>
      <c r="P73" s="1300"/>
      <c r="Q73" s="1300"/>
      <c r="R73" s="1300"/>
      <c r="S73" s="1300"/>
      <c r="T73" s="1300"/>
      <c r="U73" s="1300"/>
      <c r="V73" s="1300"/>
      <c r="W73" s="1300"/>
      <c r="X73" s="1300"/>
      <c r="Y73" s="1300"/>
      <c r="Z73" s="1300"/>
      <c r="AA73" s="1300"/>
      <c r="AB73" s="1300"/>
      <c r="AC73" s="1300"/>
      <c r="AD73" s="1300"/>
      <c r="AE73" s="1300"/>
      <c r="AF73" s="1300"/>
      <c r="AG73" s="1300"/>
      <c r="AH73" s="1300"/>
      <c r="AI73" s="1300"/>
      <c r="AJ73" s="1300"/>
      <c r="AK73" s="1300"/>
      <c r="AL73" s="1300"/>
      <c r="AM73" s="1300"/>
      <c r="AN73" s="1300"/>
      <c r="AO73" s="1300"/>
      <c r="AP73" s="1300"/>
      <c r="AQ73" s="1300"/>
      <c r="AR73" s="1300"/>
      <c r="AS73" s="1300"/>
      <c r="AY73">
        <v>0.52</v>
      </c>
    </row>
    <row r="74" spans="1:72" ht="21.75" customHeight="1">
      <c r="AR74" s="1300" t="s">
        <v>138</v>
      </c>
      <c r="AS74" s="1300"/>
      <c r="AY74">
        <v>25.17</v>
      </c>
    </row>
    <row r="75" spans="1:72" ht="31.5" customHeight="1">
      <c r="A75" s="1300" t="s">
        <v>0</v>
      </c>
      <c r="B75" s="1300" t="s">
        <v>12</v>
      </c>
      <c r="C75" s="1302" t="s">
        <v>13</v>
      </c>
      <c r="D75" s="1300" t="s">
        <v>367</v>
      </c>
      <c r="E75" s="1300" t="s">
        <v>326</v>
      </c>
      <c r="F75" s="1300"/>
      <c r="G75" s="1300"/>
      <c r="H75" s="1300"/>
      <c r="I75" s="1300"/>
      <c r="J75" s="1300"/>
      <c r="K75" s="1300"/>
      <c r="L75" s="1300"/>
      <c r="M75" s="1300"/>
      <c r="N75" s="1300"/>
      <c r="O75" s="1300"/>
      <c r="P75" s="1300"/>
      <c r="Q75" s="1300"/>
      <c r="R75" s="1300"/>
      <c r="S75" s="1300"/>
      <c r="T75" s="1300"/>
      <c r="U75" s="1300"/>
      <c r="V75" s="1300"/>
      <c r="W75" s="1300"/>
      <c r="X75" s="1300"/>
      <c r="Y75" s="1300"/>
      <c r="Z75" s="1300"/>
      <c r="AA75" s="1300"/>
      <c r="AB75" s="1300"/>
      <c r="AC75" s="1300"/>
      <c r="AD75" s="1300"/>
      <c r="AE75" s="1300"/>
      <c r="AF75" s="1300"/>
      <c r="AG75" s="1300"/>
      <c r="AH75" s="1300"/>
      <c r="AI75" s="1300"/>
      <c r="AJ75" s="1300"/>
      <c r="AK75" s="1300"/>
      <c r="AL75" s="1300"/>
      <c r="AM75" s="1300"/>
      <c r="AN75" s="1300"/>
      <c r="AO75" s="1300"/>
      <c r="AP75" s="1300"/>
      <c r="AQ75" s="1300"/>
      <c r="AR75" s="1300" t="s">
        <v>191</v>
      </c>
      <c r="AS75" s="1300" t="s">
        <v>366</v>
      </c>
      <c r="AY75">
        <v>1.63</v>
      </c>
    </row>
    <row r="76" spans="1:72" ht="30" customHeight="1">
      <c r="A76" s="1300"/>
      <c r="B76" s="1300"/>
      <c r="C76" s="1302"/>
      <c r="D76" s="1300"/>
      <c r="E76" t="s">
        <v>15</v>
      </c>
      <c r="F76" t="s">
        <v>18</v>
      </c>
      <c r="G76" t="s">
        <v>20</v>
      </c>
      <c r="H76" t="s">
        <v>23</v>
      </c>
      <c r="I76" t="s">
        <v>26</v>
      </c>
      <c r="J76" t="s">
        <v>29</v>
      </c>
      <c r="K76" t="s">
        <v>32</v>
      </c>
      <c r="L76" t="s">
        <v>35</v>
      </c>
      <c r="M76" t="s">
        <v>38</v>
      </c>
      <c r="N76" t="s">
        <v>41</v>
      </c>
      <c r="O76" t="s">
        <v>44</v>
      </c>
      <c r="P76" t="s">
        <v>46</v>
      </c>
      <c r="Q76" t="s">
        <v>49</v>
      </c>
      <c r="R76" t="s">
        <v>52</v>
      </c>
      <c r="S76" t="s">
        <v>55</v>
      </c>
      <c r="T76" t="s">
        <v>58</v>
      </c>
      <c r="U76" t="s">
        <v>61</v>
      </c>
      <c r="V76" t="s">
        <v>64</v>
      </c>
      <c r="W76" t="s">
        <v>67</v>
      </c>
      <c r="X76" t="s">
        <v>70</v>
      </c>
      <c r="Y76" t="s">
        <v>72</v>
      </c>
      <c r="Z76" t="s">
        <v>75</v>
      </c>
      <c r="AA76" t="s">
        <v>78</v>
      </c>
      <c r="AB76" t="s">
        <v>81</v>
      </c>
      <c r="AC76" t="s">
        <v>84</v>
      </c>
      <c r="AD76" t="s">
        <v>87</v>
      </c>
      <c r="AE76" t="s">
        <v>90</v>
      </c>
      <c r="AF76" t="s">
        <v>93</v>
      </c>
      <c r="AG76" t="s">
        <v>96</v>
      </c>
      <c r="AH76" t="s">
        <v>99</v>
      </c>
      <c r="AI76" t="s">
        <v>101</v>
      </c>
      <c r="AJ76" t="s">
        <v>104</v>
      </c>
      <c r="AK76" t="s">
        <v>107</v>
      </c>
      <c r="AL76" t="s">
        <v>110</v>
      </c>
      <c r="AM76" t="s">
        <v>113</v>
      </c>
      <c r="AN76" t="s">
        <v>116</v>
      </c>
      <c r="AO76" t="s">
        <v>119</v>
      </c>
      <c r="AP76" t="s">
        <v>122</v>
      </c>
      <c r="AQ76" t="s">
        <v>124</v>
      </c>
      <c r="AR76" s="1300"/>
      <c r="AS76" s="1300"/>
      <c r="AY76">
        <v>0.59</v>
      </c>
    </row>
    <row r="77" spans="1:72" ht="27.75" customHeight="1">
      <c r="B77" t="s">
        <v>189</v>
      </c>
      <c r="D77">
        <v>51953.306899999996</v>
      </c>
      <c r="E77">
        <v>37640.322590000003</v>
      </c>
      <c r="F77">
        <v>3079.4102499999999</v>
      </c>
      <c r="G77">
        <v>1715.058</v>
      </c>
      <c r="H77">
        <v>977.34429999999986</v>
      </c>
      <c r="I77">
        <v>1737.3819399999998</v>
      </c>
      <c r="J77">
        <v>15106.250000000002</v>
      </c>
      <c r="K77">
        <v>0</v>
      </c>
      <c r="L77">
        <v>13167.936099999997</v>
      </c>
      <c r="M77">
        <v>3531.92</v>
      </c>
      <c r="N77">
        <v>0</v>
      </c>
      <c r="O77">
        <v>40.08</v>
      </c>
      <c r="P77">
        <v>8598.2126700000026</v>
      </c>
      <c r="Q77">
        <v>287.20866999999998</v>
      </c>
      <c r="R77">
        <v>9.83</v>
      </c>
      <c r="S77">
        <v>117.81</v>
      </c>
      <c r="T77">
        <v>0</v>
      </c>
      <c r="U77">
        <v>199.79</v>
      </c>
      <c r="V77">
        <v>439.70716999999996</v>
      </c>
      <c r="W77">
        <v>230.09000000000003</v>
      </c>
      <c r="X77">
        <v>0</v>
      </c>
      <c r="Y77">
        <v>2324.3825000000006</v>
      </c>
      <c r="Z77">
        <v>0.24000000000000002</v>
      </c>
      <c r="AA77">
        <v>0</v>
      </c>
      <c r="AB77">
        <v>55.849999999999994</v>
      </c>
      <c r="AC77">
        <v>324.78955000000002</v>
      </c>
      <c r="AD77">
        <v>372.24450000000002</v>
      </c>
      <c r="AE77">
        <v>55.850279999999998</v>
      </c>
      <c r="AF77">
        <v>0.67</v>
      </c>
      <c r="AG77">
        <v>0</v>
      </c>
      <c r="AH77">
        <v>12.12</v>
      </c>
      <c r="AI77">
        <v>237.46000000000004</v>
      </c>
      <c r="AJ77">
        <v>313.13040000000001</v>
      </c>
      <c r="AK77">
        <v>12.339599999999999</v>
      </c>
      <c r="AL77">
        <v>27.279999999999998</v>
      </c>
      <c r="AM77">
        <v>10.440000000000003</v>
      </c>
      <c r="AN77">
        <v>2479.7200000000003</v>
      </c>
      <c r="AO77">
        <v>1085.1699999999998</v>
      </c>
      <c r="AP77">
        <v>2.09</v>
      </c>
      <c r="AQ77">
        <v>5714.7716399999981</v>
      </c>
      <c r="AS77">
        <v>51994.126899999996</v>
      </c>
      <c r="AT77">
        <v>172.25239449591433</v>
      </c>
      <c r="AY77">
        <v>0.72</v>
      </c>
    </row>
    <row r="78" spans="1:72" ht="20.25" customHeight="1">
      <c r="A78">
        <v>1</v>
      </c>
      <c r="B78" t="s">
        <v>14</v>
      </c>
      <c r="C78" s="1" t="s">
        <v>15</v>
      </c>
      <c r="D78">
        <v>38448.142589999996</v>
      </c>
      <c r="E78">
        <v>37524.102590000002</v>
      </c>
      <c r="F78">
        <v>3079.4102499999999</v>
      </c>
      <c r="G78">
        <v>1715.058</v>
      </c>
      <c r="H78">
        <v>977.34429999999986</v>
      </c>
      <c r="I78">
        <v>1737.3819399999998</v>
      </c>
      <c r="J78">
        <v>15106.250000000002</v>
      </c>
      <c r="K78">
        <v>0</v>
      </c>
      <c r="L78">
        <v>13167.936099999997</v>
      </c>
      <c r="M78">
        <v>3415.7000000000003</v>
      </c>
      <c r="N78">
        <v>0</v>
      </c>
      <c r="O78">
        <v>40.08</v>
      </c>
      <c r="P78">
        <v>924.04000000000008</v>
      </c>
      <c r="Q78">
        <v>5.76</v>
      </c>
      <c r="R78">
        <v>0</v>
      </c>
      <c r="S78">
        <v>34.629999999999995</v>
      </c>
      <c r="T78">
        <v>0</v>
      </c>
      <c r="U78">
        <v>172.52</v>
      </c>
      <c r="V78">
        <v>77.25</v>
      </c>
      <c r="W78">
        <v>92.3</v>
      </c>
      <c r="X78">
        <v>0</v>
      </c>
      <c r="Y78">
        <v>180.31</v>
      </c>
      <c r="Z78">
        <v>0</v>
      </c>
      <c r="AA78">
        <v>0</v>
      </c>
      <c r="AB78">
        <v>8.57</v>
      </c>
      <c r="AC78">
        <v>11.18</v>
      </c>
      <c r="AD78">
        <v>30.05</v>
      </c>
      <c r="AE78">
        <v>10.34</v>
      </c>
      <c r="AF78">
        <v>0</v>
      </c>
      <c r="AG78">
        <v>0</v>
      </c>
      <c r="AH78">
        <v>1.34</v>
      </c>
      <c r="AI78">
        <v>0</v>
      </c>
      <c r="AJ78">
        <v>289.2</v>
      </c>
      <c r="AK78">
        <v>0</v>
      </c>
      <c r="AL78">
        <v>10.28</v>
      </c>
      <c r="AM78">
        <v>0</v>
      </c>
      <c r="AN78">
        <v>0</v>
      </c>
      <c r="AO78">
        <v>0.31</v>
      </c>
      <c r="AP78">
        <v>0</v>
      </c>
      <c r="AQ78">
        <v>0</v>
      </c>
      <c r="AR78">
        <v>924.04000000000008</v>
      </c>
      <c r="AS78">
        <v>37640.322589999996</v>
      </c>
      <c r="AT78">
        <v>37673.372589999999</v>
      </c>
      <c r="AU78">
        <v>33.05000000000291</v>
      </c>
      <c r="AY78">
        <v>1.54</v>
      </c>
    </row>
    <row r="79" spans="1:72" ht="20.25" customHeight="1">
      <c r="A79" t="s">
        <v>16</v>
      </c>
      <c r="B79" t="s">
        <v>17</v>
      </c>
      <c r="C79" s="1" t="s">
        <v>18</v>
      </c>
      <c r="D79">
        <v>3246.9302499999999</v>
      </c>
      <c r="E79">
        <v>3100.06025</v>
      </c>
      <c r="F79">
        <v>3079.4102499999999</v>
      </c>
      <c r="G79">
        <v>1715.058</v>
      </c>
      <c r="H79">
        <v>0</v>
      </c>
      <c r="I79">
        <v>0</v>
      </c>
      <c r="J79">
        <v>0</v>
      </c>
      <c r="K79">
        <v>0</v>
      </c>
      <c r="L79">
        <v>0</v>
      </c>
      <c r="M79">
        <v>20.65</v>
      </c>
      <c r="N79">
        <v>0</v>
      </c>
      <c r="O79">
        <v>0</v>
      </c>
      <c r="P79">
        <v>146.87</v>
      </c>
      <c r="Q79">
        <v>0.23</v>
      </c>
      <c r="R79">
        <v>0</v>
      </c>
      <c r="S79">
        <v>11.71</v>
      </c>
      <c r="T79">
        <v>0</v>
      </c>
      <c r="U79">
        <v>15.57</v>
      </c>
      <c r="V79">
        <v>14.67</v>
      </c>
      <c r="W79">
        <v>5.51</v>
      </c>
      <c r="X79">
        <v>0</v>
      </c>
      <c r="Y79">
        <v>58.4</v>
      </c>
      <c r="Z79">
        <v>0</v>
      </c>
      <c r="AA79">
        <v>0</v>
      </c>
      <c r="AB79">
        <v>0.74</v>
      </c>
      <c r="AC79">
        <v>3.23</v>
      </c>
      <c r="AD79">
        <v>21.22</v>
      </c>
      <c r="AE79">
        <v>6.28</v>
      </c>
      <c r="AF79">
        <v>0</v>
      </c>
      <c r="AG79">
        <v>0</v>
      </c>
      <c r="AH79">
        <v>0</v>
      </c>
      <c r="AI79">
        <v>0</v>
      </c>
      <c r="AJ79">
        <v>2.65</v>
      </c>
      <c r="AK79">
        <v>0</v>
      </c>
      <c r="AL79">
        <v>6.65</v>
      </c>
      <c r="AM79">
        <v>0</v>
      </c>
      <c r="AN79">
        <v>0</v>
      </c>
      <c r="AO79">
        <v>0.01</v>
      </c>
      <c r="AP79">
        <v>0</v>
      </c>
      <c r="AQ79">
        <v>0</v>
      </c>
      <c r="AR79">
        <v>167.52</v>
      </c>
      <c r="AS79">
        <v>3079.4102499999999</v>
      </c>
      <c r="AT79">
        <v>3079.4102499999999</v>
      </c>
      <c r="AU79">
        <v>0</v>
      </c>
      <c r="AY79">
        <v>15.6</v>
      </c>
    </row>
    <row r="80" spans="1:72" ht="20.25" customHeight="1">
      <c r="B80" t="s">
        <v>19</v>
      </c>
      <c r="C80" s="1" t="s">
        <v>20</v>
      </c>
      <c r="D80">
        <v>1840.3679999999999</v>
      </c>
      <c r="E80">
        <v>4.9899999999999993</v>
      </c>
      <c r="G80">
        <v>1715.058</v>
      </c>
      <c r="H80">
        <v>0</v>
      </c>
      <c r="I80">
        <v>0</v>
      </c>
      <c r="J80">
        <v>0</v>
      </c>
      <c r="K80">
        <v>0</v>
      </c>
      <c r="L80">
        <v>0</v>
      </c>
      <c r="M80">
        <v>4.9899999999999993</v>
      </c>
      <c r="N80">
        <v>0</v>
      </c>
      <c r="O80">
        <v>0</v>
      </c>
      <c r="P80">
        <v>120.32</v>
      </c>
      <c r="Q80">
        <v>0.23</v>
      </c>
      <c r="R80">
        <v>0</v>
      </c>
      <c r="S80">
        <v>1.37</v>
      </c>
      <c r="T80">
        <v>0</v>
      </c>
      <c r="U80">
        <v>15.57</v>
      </c>
      <c r="V80">
        <v>13.19</v>
      </c>
      <c r="W80">
        <v>5.51</v>
      </c>
      <c r="X80">
        <v>0</v>
      </c>
      <c r="Y80">
        <v>51.58</v>
      </c>
      <c r="Z80">
        <v>0</v>
      </c>
      <c r="AA80">
        <v>0</v>
      </c>
      <c r="AB80">
        <v>0</v>
      </c>
      <c r="AC80">
        <v>2.44</v>
      </c>
      <c r="AD80">
        <v>17.809999999999999</v>
      </c>
      <c r="AE80">
        <v>6.28</v>
      </c>
      <c r="AF80">
        <v>0</v>
      </c>
      <c r="AG80">
        <v>0</v>
      </c>
      <c r="AH80">
        <v>0</v>
      </c>
      <c r="AI80">
        <v>0</v>
      </c>
      <c r="AJ80">
        <v>0</v>
      </c>
      <c r="AK80">
        <v>0</v>
      </c>
      <c r="AL80">
        <v>6.33</v>
      </c>
      <c r="AM80">
        <v>0</v>
      </c>
      <c r="AN80">
        <v>0</v>
      </c>
      <c r="AO80">
        <v>0.01</v>
      </c>
      <c r="AP80">
        <v>0</v>
      </c>
      <c r="AQ80">
        <v>0</v>
      </c>
      <c r="AR80">
        <v>125.30999999999999</v>
      </c>
      <c r="AS80">
        <v>1715.058</v>
      </c>
      <c r="AT80">
        <v>1715.058</v>
      </c>
      <c r="AU80">
        <v>0</v>
      </c>
      <c r="AY80">
        <v>0.8</v>
      </c>
    </row>
    <row r="81" spans="1:51" ht="20.25" customHeight="1">
      <c r="A81" t="s">
        <v>21</v>
      </c>
      <c r="B81" t="s">
        <v>22</v>
      </c>
      <c r="C81" s="1" t="s">
        <v>23</v>
      </c>
      <c r="D81">
        <v>1015.3142999999999</v>
      </c>
      <c r="E81">
        <v>990.08429999999987</v>
      </c>
      <c r="F81">
        <v>0</v>
      </c>
      <c r="G81">
        <v>0</v>
      </c>
      <c r="H81">
        <v>977.34429999999986</v>
      </c>
      <c r="I81">
        <v>0</v>
      </c>
      <c r="J81">
        <v>0</v>
      </c>
      <c r="K81">
        <v>0</v>
      </c>
      <c r="L81">
        <v>0</v>
      </c>
      <c r="M81">
        <v>12.739999999999998</v>
      </c>
      <c r="N81">
        <v>0</v>
      </c>
      <c r="O81">
        <v>0</v>
      </c>
      <c r="P81">
        <v>25.229999999999997</v>
      </c>
      <c r="Q81">
        <v>0</v>
      </c>
      <c r="R81">
        <v>0</v>
      </c>
      <c r="S81">
        <v>10.54</v>
      </c>
      <c r="T81">
        <v>0</v>
      </c>
      <c r="U81">
        <v>0.35</v>
      </c>
      <c r="V81">
        <v>0.87000000000000011</v>
      </c>
      <c r="W81">
        <v>0.61</v>
      </c>
      <c r="X81">
        <v>0</v>
      </c>
      <c r="Y81">
        <v>7.7500000000000009</v>
      </c>
      <c r="Z81">
        <v>0</v>
      </c>
      <c r="AA81">
        <v>0</v>
      </c>
      <c r="AB81">
        <v>0.53</v>
      </c>
      <c r="AC81">
        <v>1.7000000000000002</v>
      </c>
      <c r="AD81">
        <v>2.3200000000000003</v>
      </c>
      <c r="AE81">
        <v>0.04</v>
      </c>
      <c r="AF81">
        <v>0</v>
      </c>
      <c r="AG81">
        <v>0</v>
      </c>
      <c r="AH81">
        <v>0</v>
      </c>
      <c r="AI81">
        <v>0</v>
      </c>
      <c r="AJ81">
        <v>0</v>
      </c>
      <c r="AK81">
        <v>0</v>
      </c>
      <c r="AL81">
        <v>0.52</v>
      </c>
      <c r="AM81">
        <v>0</v>
      </c>
      <c r="AN81">
        <v>0</v>
      </c>
      <c r="AO81">
        <v>0</v>
      </c>
      <c r="AP81">
        <v>0</v>
      </c>
      <c r="AQ81">
        <v>0</v>
      </c>
      <c r="AR81">
        <v>37.97</v>
      </c>
      <c r="AS81">
        <v>977.34429999999986</v>
      </c>
      <c r="AT81">
        <v>977.34429999999986</v>
      </c>
      <c r="AU81">
        <v>0</v>
      </c>
      <c r="AY81" s="103">
        <v>46.589999999999996</v>
      </c>
    </row>
    <row r="82" spans="1:51" ht="20.25" customHeight="1">
      <c r="A82" t="s">
        <v>24</v>
      </c>
      <c r="B82" t="s">
        <v>25</v>
      </c>
      <c r="C82" s="1" t="s">
        <v>26</v>
      </c>
      <c r="D82">
        <v>1840.0419399999998</v>
      </c>
      <c r="E82">
        <v>1746.8319399999998</v>
      </c>
      <c r="F82">
        <v>0</v>
      </c>
      <c r="G82">
        <v>0</v>
      </c>
      <c r="H82">
        <v>0</v>
      </c>
      <c r="I82">
        <v>1737.3819399999998</v>
      </c>
      <c r="J82">
        <v>0</v>
      </c>
      <c r="K82">
        <v>0</v>
      </c>
      <c r="L82">
        <v>0</v>
      </c>
      <c r="M82">
        <v>9.4499999999999993</v>
      </c>
      <c r="N82">
        <v>0</v>
      </c>
      <c r="O82">
        <v>0</v>
      </c>
      <c r="P82">
        <v>93.210000000000008</v>
      </c>
      <c r="Q82">
        <v>0.27</v>
      </c>
      <c r="R82">
        <v>0</v>
      </c>
      <c r="S82">
        <v>3.5</v>
      </c>
      <c r="T82">
        <v>0</v>
      </c>
      <c r="U82">
        <v>23.1</v>
      </c>
      <c r="V82">
        <v>10.01</v>
      </c>
      <c r="W82">
        <v>14.94</v>
      </c>
      <c r="X82">
        <v>0</v>
      </c>
      <c r="Y82">
        <v>23.189999999999998</v>
      </c>
      <c r="Z82">
        <v>0</v>
      </c>
      <c r="AA82">
        <v>0</v>
      </c>
      <c r="AB82">
        <v>0.54</v>
      </c>
      <c r="AC82">
        <v>5.14</v>
      </c>
      <c r="AD82">
        <v>5.56</v>
      </c>
      <c r="AE82">
        <v>3.78</v>
      </c>
      <c r="AF82">
        <v>0</v>
      </c>
      <c r="AG82">
        <v>0</v>
      </c>
      <c r="AH82">
        <v>0.36</v>
      </c>
      <c r="AI82">
        <v>0</v>
      </c>
      <c r="AJ82">
        <v>0.13</v>
      </c>
      <c r="AK82">
        <v>0</v>
      </c>
      <c r="AL82">
        <v>2.5700000000000003</v>
      </c>
      <c r="AM82">
        <v>0</v>
      </c>
      <c r="AN82">
        <v>0</v>
      </c>
      <c r="AO82">
        <v>0.12</v>
      </c>
      <c r="AP82">
        <v>0</v>
      </c>
      <c r="AQ82">
        <v>0</v>
      </c>
      <c r="AR82">
        <v>102.66000000000001</v>
      </c>
      <c r="AS82">
        <v>1737.3819399999998</v>
      </c>
      <c r="AT82">
        <v>1737.3819399999998</v>
      </c>
      <c r="AU82">
        <v>0</v>
      </c>
    </row>
    <row r="83" spans="1:51" ht="20.25" customHeight="1">
      <c r="A83" t="s">
        <v>27</v>
      </c>
      <c r="B83" t="s">
        <v>28</v>
      </c>
      <c r="C83" s="1" t="s">
        <v>29</v>
      </c>
      <c r="D83">
        <v>15177.190000000002</v>
      </c>
      <c r="E83">
        <v>15106.250000000002</v>
      </c>
      <c r="F83">
        <v>0</v>
      </c>
      <c r="G83">
        <v>0</v>
      </c>
      <c r="H83">
        <v>0</v>
      </c>
      <c r="I83">
        <v>0</v>
      </c>
      <c r="J83">
        <v>15106.250000000002</v>
      </c>
      <c r="K83">
        <v>0</v>
      </c>
      <c r="L83">
        <v>0</v>
      </c>
      <c r="M83">
        <v>0</v>
      </c>
      <c r="N83">
        <v>0</v>
      </c>
      <c r="O83">
        <v>0</v>
      </c>
      <c r="P83">
        <v>70.94</v>
      </c>
      <c r="Q83">
        <v>0.95</v>
      </c>
      <c r="R83">
        <v>0</v>
      </c>
      <c r="S83">
        <v>0</v>
      </c>
      <c r="T83">
        <v>0</v>
      </c>
      <c r="U83">
        <v>6.39</v>
      </c>
      <c r="V83">
        <v>0</v>
      </c>
      <c r="W83">
        <v>14.95</v>
      </c>
      <c r="X83">
        <v>0</v>
      </c>
      <c r="Y83">
        <v>44.160000000000004</v>
      </c>
      <c r="Z83">
        <v>0</v>
      </c>
      <c r="AA83">
        <v>0</v>
      </c>
      <c r="AB83">
        <v>4.49</v>
      </c>
      <c r="AC83">
        <v>0</v>
      </c>
      <c r="AD83">
        <v>0</v>
      </c>
      <c r="AE83">
        <v>0</v>
      </c>
      <c r="AF83">
        <v>0</v>
      </c>
      <c r="AG83">
        <v>0</v>
      </c>
      <c r="AH83">
        <v>0</v>
      </c>
      <c r="AI83">
        <v>0</v>
      </c>
      <c r="AJ83">
        <v>0</v>
      </c>
      <c r="AK83">
        <v>0</v>
      </c>
      <c r="AL83">
        <v>0</v>
      </c>
      <c r="AM83">
        <v>0</v>
      </c>
      <c r="AN83">
        <v>0</v>
      </c>
      <c r="AO83">
        <v>0</v>
      </c>
      <c r="AP83">
        <v>0</v>
      </c>
      <c r="AQ83">
        <v>0</v>
      </c>
      <c r="AR83">
        <v>70.94</v>
      </c>
      <c r="AS83">
        <v>15106.250000000002</v>
      </c>
      <c r="AT83">
        <v>15105.260000000002</v>
      </c>
      <c r="AU83">
        <v>-0.98999999999978172</v>
      </c>
    </row>
    <row r="84" spans="1:51" ht="20.25" customHeight="1">
      <c r="A84" t="s">
        <v>30</v>
      </c>
      <c r="B84" t="s">
        <v>31</v>
      </c>
      <c r="C84" s="1" t="s">
        <v>32</v>
      </c>
      <c r="D84">
        <v>0</v>
      </c>
      <c r="E84">
        <v>0</v>
      </c>
      <c r="F84">
        <v>0</v>
      </c>
      <c r="G84">
        <v>0</v>
      </c>
      <c r="H84">
        <v>0</v>
      </c>
      <c r="I84">
        <v>0</v>
      </c>
      <c r="J84">
        <v>0</v>
      </c>
      <c r="K84">
        <v>0</v>
      </c>
      <c r="L84">
        <v>0</v>
      </c>
      <c r="M84" s="177">
        <v>0</v>
      </c>
      <c r="N84">
        <v>0</v>
      </c>
      <c r="O84">
        <v>0</v>
      </c>
      <c r="P84">
        <v>0</v>
      </c>
      <c r="Q84">
        <v>0</v>
      </c>
      <c r="R84">
        <v>0</v>
      </c>
      <c r="S84">
        <v>0</v>
      </c>
      <c r="T84">
        <v>0</v>
      </c>
      <c r="U84">
        <v>0</v>
      </c>
      <c r="V84">
        <v>0</v>
      </c>
      <c r="W84">
        <v>0</v>
      </c>
      <c r="X84">
        <v>0</v>
      </c>
      <c r="Y84">
        <v>0</v>
      </c>
      <c r="Z84">
        <v>0</v>
      </c>
      <c r="AA84">
        <v>0</v>
      </c>
      <c r="AB84">
        <v>0</v>
      </c>
      <c r="AC84">
        <v>0</v>
      </c>
      <c r="AD84">
        <v>0</v>
      </c>
      <c r="AE84">
        <v>0</v>
      </c>
      <c r="AF84">
        <v>0</v>
      </c>
      <c r="AG84">
        <v>0</v>
      </c>
      <c r="AH84">
        <v>0</v>
      </c>
      <c r="AI84">
        <v>0</v>
      </c>
      <c r="AJ84">
        <v>0</v>
      </c>
      <c r="AK84">
        <v>0</v>
      </c>
      <c r="AL84">
        <v>0</v>
      </c>
      <c r="AM84">
        <v>0</v>
      </c>
      <c r="AN84">
        <v>0</v>
      </c>
      <c r="AO84">
        <v>0</v>
      </c>
      <c r="AP84">
        <v>0</v>
      </c>
      <c r="AQ84">
        <v>0</v>
      </c>
      <c r="AR84">
        <v>0</v>
      </c>
      <c r="AS84">
        <v>0</v>
      </c>
      <c r="AT84">
        <v>0</v>
      </c>
      <c r="AU84">
        <v>0</v>
      </c>
    </row>
    <row r="85" spans="1:51" ht="20.25" customHeight="1">
      <c r="A85" t="s">
        <v>33</v>
      </c>
      <c r="B85" t="s">
        <v>34</v>
      </c>
      <c r="C85" s="1" t="s">
        <v>35</v>
      </c>
      <c r="D85">
        <v>13541.636099999998</v>
      </c>
      <c r="E85">
        <v>13168.926099999997</v>
      </c>
      <c r="F85">
        <v>0</v>
      </c>
      <c r="G85">
        <v>0</v>
      </c>
      <c r="H85">
        <v>0</v>
      </c>
      <c r="I85">
        <v>0</v>
      </c>
      <c r="J85">
        <v>0</v>
      </c>
      <c r="K85">
        <v>0</v>
      </c>
      <c r="L85">
        <v>13167.936099999997</v>
      </c>
      <c r="M85">
        <v>0.99</v>
      </c>
      <c r="N85">
        <v>0</v>
      </c>
      <c r="O85">
        <v>0</v>
      </c>
      <c r="P85">
        <v>372.71000000000004</v>
      </c>
      <c r="Q85">
        <v>4.3099999999999996</v>
      </c>
      <c r="R85">
        <v>0</v>
      </c>
      <c r="S85">
        <v>5.33</v>
      </c>
      <c r="T85">
        <v>0</v>
      </c>
      <c r="U85">
        <v>0</v>
      </c>
      <c r="V85">
        <v>51.07</v>
      </c>
      <c r="W85">
        <v>8.94</v>
      </c>
      <c r="X85">
        <v>0</v>
      </c>
      <c r="Y85">
        <v>17.66</v>
      </c>
      <c r="Z85">
        <v>0</v>
      </c>
      <c r="AA85">
        <v>0</v>
      </c>
      <c r="AB85">
        <v>0.78</v>
      </c>
      <c r="AC85">
        <v>0</v>
      </c>
      <c r="AD85">
        <v>0.1</v>
      </c>
      <c r="AE85">
        <v>0</v>
      </c>
      <c r="AF85">
        <v>0</v>
      </c>
      <c r="AG85">
        <v>0</v>
      </c>
      <c r="AH85">
        <v>0.95</v>
      </c>
      <c r="AI85">
        <v>0</v>
      </c>
      <c r="AJ85">
        <v>283.39000000000004</v>
      </c>
      <c r="AK85">
        <v>0</v>
      </c>
      <c r="AL85">
        <v>0.18</v>
      </c>
      <c r="AM85">
        <v>0</v>
      </c>
      <c r="AN85">
        <v>0</v>
      </c>
      <c r="AO85">
        <v>0</v>
      </c>
      <c r="AP85">
        <v>0</v>
      </c>
      <c r="AQ85">
        <v>0</v>
      </c>
      <c r="AR85">
        <v>373.70000000000005</v>
      </c>
      <c r="AS85">
        <v>13167.936099999997</v>
      </c>
      <c r="AT85">
        <v>13158.796099999998</v>
      </c>
      <c r="AU85">
        <v>-9.1399999999994179</v>
      </c>
    </row>
    <row r="86" spans="1:51" ht="20.25" customHeight="1">
      <c r="A86" t="s">
        <v>36</v>
      </c>
      <c r="B86" t="s">
        <v>37</v>
      </c>
      <c r="C86" s="1" t="s">
        <v>38</v>
      </c>
      <c r="D86">
        <v>3586.9500000000003</v>
      </c>
      <c r="E86">
        <v>3371.8700000000003</v>
      </c>
      <c r="F86">
        <v>0</v>
      </c>
      <c r="G86">
        <v>0</v>
      </c>
      <c r="H86">
        <v>0</v>
      </c>
      <c r="I86">
        <v>0</v>
      </c>
      <c r="J86">
        <v>0</v>
      </c>
      <c r="K86">
        <v>0</v>
      </c>
      <c r="L86">
        <v>0</v>
      </c>
      <c r="M86">
        <v>3371.8700000000003</v>
      </c>
      <c r="N86">
        <v>0</v>
      </c>
      <c r="O86">
        <v>0</v>
      </c>
      <c r="P86">
        <v>215.08000000000004</v>
      </c>
      <c r="Q86">
        <v>0</v>
      </c>
      <c r="R86">
        <v>0</v>
      </c>
      <c r="S86">
        <v>3.55</v>
      </c>
      <c r="T86">
        <v>0</v>
      </c>
      <c r="U86">
        <v>127.11</v>
      </c>
      <c r="V86">
        <v>0.63</v>
      </c>
      <c r="W86">
        <v>47.35</v>
      </c>
      <c r="X86">
        <v>0</v>
      </c>
      <c r="Y86">
        <v>29.150000000000002</v>
      </c>
      <c r="Z86">
        <v>0</v>
      </c>
      <c r="AA86">
        <v>0</v>
      </c>
      <c r="AB86">
        <v>1.49</v>
      </c>
      <c r="AC86">
        <v>1.1099999999999999</v>
      </c>
      <c r="AD86">
        <v>0.85000000000000009</v>
      </c>
      <c r="AE86">
        <v>0.24</v>
      </c>
      <c r="AF86">
        <v>0</v>
      </c>
      <c r="AG86">
        <v>0</v>
      </c>
      <c r="AH86">
        <v>0.03</v>
      </c>
      <c r="AI86">
        <v>0</v>
      </c>
      <c r="AJ86">
        <v>3.0300000000000002</v>
      </c>
      <c r="AK86">
        <v>0</v>
      </c>
      <c r="AL86">
        <v>0.36</v>
      </c>
      <c r="AM86">
        <v>0</v>
      </c>
      <c r="AN86">
        <v>0</v>
      </c>
      <c r="AO86">
        <v>0.18</v>
      </c>
      <c r="AP86">
        <v>0</v>
      </c>
      <c r="AQ86">
        <v>0</v>
      </c>
      <c r="AR86">
        <v>215.08000000000004</v>
      </c>
      <c r="AS86">
        <v>3531.9200000000005</v>
      </c>
      <c r="AT86">
        <v>3575.1000000000004</v>
      </c>
      <c r="AU86">
        <v>43.179999999999836</v>
      </c>
    </row>
    <row r="87" spans="1:51" ht="20.25" customHeight="1">
      <c r="A87" t="s">
        <v>39</v>
      </c>
      <c r="B87" t="s">
        <v>40</v>
      </c>
      <c r="C87" s="1" t="s">
        <v>41</v>
      </c>
      <c r="D87">
        <v>0</v>
      </c>
      <c r="E87">
        <v>0</v>
      </c>
      <c r="F87">
        <v>0</v>
      </c>
      <c r="G87">
        <v>0</v>
      </c>
      <c r="H87">
        <v>0</v>
      </c>
      <c r="I87">
        <v>0</v>
      </c>
      <c r="J87">
        <v>0</v>
      </c>
      <c r="K87">
        <v>0</v>
      </c>
      <c r="L87">
        <v>0</v>
      </c>
      <c r="M87">
        <v>0</v>
      </c>
      <c r="N87">
        <v>0</v>
      </c>
      <c r="O87">
        <v>0</v>
      </c>
      <c r="P87">
        <v>0</v>
      </c>
      <c r="Q87">
        <v>0</v>
      </c>
      <c r="R87">
        <v>0</v>
      </c>
      <c r="S87">
        <v>0</v>
      </c>
      <c r="T87">
        <v>0</v>
      </c>
      <c r="U87">
        <v>0</v>
      </c>
      <c r="V87">
        <v>0</v>
      </c>
      <c r="W87">
        <v>0</v>
      </c>
      <c r="X87">
        <v>0</v>
      </c>
      <c r="Y87">
        <v>0</v>
      </c>
      <c r="Z87">
        <v>0</v>
      </c>
      <c r="AA87">
        <v>0</v>
      </c>
      <c r="AB87">
        <v>0</v>
      </c>
      <c r="AC87">
        <v>0</v>
      </c>
      <c r="AD87">
        <v>0</v>
      </c>
      <c r="AE87">
        <v>0</v>
      </c>
      <c r="AF87">
        <v>0</v>
      </c>
      <c r="AG87">
        <v>0</v>
      </c>
      <c r="AH87">
        <v>0</v>
      </c>
      <c r="AI87">
        <v>0</v>
      </c>
      <c r="AJ87">
        <v>0</v>
      </c>
      <c r="AK87">
        <v>0</v>
      </c>
      <c r="AL87">
        <v>0</v>
      </c>
      <c r="AM87">
        <v>0</v>
      </c>
      <c r="AN87">
        <v>0</v>
      </c>
      <c r="AO87">
        <v>0</v>
      </c>
      <c r="AP87">
        <v>0</v>
      </c>
      <c r="AQ87">
        <v>0</v>
      </c>
      <c r="AR87">
        <v>0</v>
      </c>
      <c r="AS87">
        <v>0</v>
      </c>
      <c r="AU87">
        <v>0</v>
      </c>
    </row>
    <row r="88" spans="1:51" ht="20.25" customHeight="1">
      <c r="A88">
        <v>2</v>
      </c>
      <c r="B88" t="s">
        <v>43</v>
      </c>
      <c r="C88" s="1" t="s">
        <v>44</v>
      </c>
      <c r="D88">
        <v>40.08</v>
      </c>
      <c r="E88">
        <v>40.08</v>
      </c>
      <c r="F88">
        <v>0</v>
      </c>
      <c r="G88">
        <v>0</v>
      </c>
      <c r="H88">
        <v>0</v>
      </c>
      <c r="I88">
        <v>0</v>
      </c>
      <c r="J88">
        <v>0</v>
      </c>
      <c r="K88">
        <v>0</v>
      </c>
      <c r="L88">
        <v>0</v>
      </c>
      <c r="M88">
        <v>0</v>
      </c>
      <c r="N88">
        <v>0</v>
      </c>
      <c r="O88">
        <v>40.08</v>
      </c>
      <c r="P88">
        <v>0</v>
      </c>
      <c r="Q88">
        <v>0</v>
      </c>
      <c r="R88">
        <v>0</v>
      </c>
      <c r="S88">
        <v>0</v>
      </c>
      <c r="T88">
        <v>0</v>
      </c>
      <c r="U88">
        <v>0</v>
      </c>
      <c r="V88">
        <v>0</v>
      </c>
      <c r="W88">
        <v>0</v>
      </c>
      <c r="X88">
        <v>0</v>
      </c>
      <c r="Y88">
        <v>0</v>
      </c>
      <c r="Z88">
        <v>0</v>
      </c>
      <c r="AA88">
        <v>0</v>
      </c>
      <c r="AB88">
        <v>0</v>
      </c>
      <c r="AC88">
        <v>0</v>
      </c>
      <c r="AD88">
        <v>0</v>
      </c>
      <c r="AE88">
        <v>0</v>
      </c>
      <c r="AF88">
        <v>0</v>
      </c>
      <c r="AG88">
        <v>0</v>
      </c>
      <c r="AH88">
        <v>0</v>
      </c>
      <c r="AI88">
        <v>0</v>
      </c>
      <c r="AJ88">
        <v>0</v>
      </c>
      <c r="AK88">
        <v>0</v>
      </c>
      <c r="AL88">
        <v>0</v>
      </c>
      <c r="AM88">
        <v>0</v>
      </c>
      <c r="AN88">
        <v>0</v>
      </c>
      <c r="AO88">
        <v>0</v>
      </c>
      <c r="AP88">
        <v>0</v>
      </c>
      <c r="AQ88">
        <v>0</v>
      </c>
      <c r="AR88">
        <v>0</v>
      </c>
      <c r="AS88">
        <v>40.08</v>
      </c>
      <c r="AT88">
        <v>40.08</v>
      </c>
      <c r="AU88">
        <v>0</v>
      </c>
    </row>
    <row r="89" spans="1:51" ht="20.25" customHeight="1">
      <c r="A89">
        <v>2</v>
      </c>
      <c r="B89" t="s">
        <v>45</v>
      </c>
      <c r="C89" s="1" t="s">
        <v>46</v>
      </c>
      <c r="D89">
        <v>7712.7726700000003</v>
      </c>
      <c r="E89">
        <v>101.79</v>
      </c>
      <c r="F89">
        <v>0</v>
      </c>
      <c r="G89">
        <v>0</v>
      </c>
      <c r="H89">
        <v>0</v>
      </c>
      <c r="I89">
        <v>0</v>
      </c>
      <c r="J89">
        <v>0</v>
      </c>
      <c r="K89">
        <v>0</v>
      </c>
      <c r="L89">
        <v>0</v>
      </c>
      <c r="M89">
        <v>101.79</v>
      </c>
      <c r="N89">
        <v>0</v>
      </c>
      <c r="O89">
        <v>0</v>
      </c>
      <c r="P89">
        <v>7610.9826700000012</v>
      </c>
      <c r="Q89">
        <v>281.43867</v>
      </c>
      <c r="R89">
        <v>9.83</v>
      </c>
      <c r="S89">
        <v>82.7</v>
      </c>
      <c r="T89">
        <v>0</v>
      </c>
      <c r="U89">
        <v>21.76</v>
      </c>
      <c r="V89">
        <v>358.94716999999997</v>
      </c>
      <c r="W89">
        <v>135.05000000000004</v>
      </c>
      <c r="X89">
        <v>0</v>
      </c>
      <c r="Y89">
        <v>2114.2525000000005</v>
      </c>
      <c r="Z89">
        <v>0.24000000000000002</v>
      </c>
      <c r="AA89">
        <v>0</v>
      </c>
      <c r="AB89">
        <v>44.66</v>
      </c>
      <c r="AC89">
        <v>312.60955000000001</v>
      </c>
      <c r="AD89">
        <v>330.22450000000003</v>
      </c>
      <c r="AE89">
        <v>45.450279999999992</v>
      </c>
      <c r="AF89">
        <v>0.67</v>
      </c>
      <c r="AG89">
        <v>0</v>
      </c>
      <c r="AH89">
        <v>10.78</v>
      </c>
      <c r="AI89">
        <v>237.46000000000004</v>
      </c>
      <c r="AJ89">
        <v>23.870399999999997</v>
      </c>
      <c r="AK89">
        <v>12.339599999999999</v>
      </c>
      <c r="AL89">
        <v>14.049999999999999</v>
      </c>
      <c r="AM89">
        <v>10.440000000000003</v>
      </c>
      <c r="AN89">
        <v>2479.7200000000003</v>
      </c>
      <c r="AO89">
        <v>1082.3999999999999</v>
      </c>
      <c r="AP89">
        <v>2.09</v>
      </c>
      <c r="AQ89">
        <v>0</v>
      </c>
      <c r="AR89">
        <v>101.79</v>
      </c>
      <c r="AS89">
        <v>8639.0326699999987</v>
      </c>
      <c r="AT89">
        <v>8600.8026700000009</v>
      </c>
      <c r="AU89">
        <v>-38.229999999997744</v>
      </c>
    </row>
    <row r="90" spans="1:51" ht="20.25" customHeight="1">
      <c r="A90" t="s">
        <v>47</v>
      </c>
      <c r="B90" t="s">
        <v>48</v>
      </c>
      <c r="C90" s="1" t="s">
        <v>49</v>
      </c>
      <c r="D90">
        <v>285.92867000000001</v>
      </c>
      <c r="E90">
        <v>0</v>
      </c>
      <c r="F90">
        <v>0</v>
      </c>
      <c r="G90">
        <v>0</v>
      </c>
      <c r="H90">
        <v>0</v>
      </c>
      <c r="I90">
        <v>0</v>
      </c>
      <c r="J90">
        <v>0</v>
      </c>
      <c r="K90">
        <v>0</v>
      </c>
      <c r="L90">
        <v>0</v>
      </c>
      <c r="M90">
        <v>0</v>
      </c>
      <c r="N90">
        <v>0</v>
      </c>
      <c r="O90">
        <v>0</v>
      </c>
      <c r="P90">
        <v>285.92866999999995</v>
      </c>
      <c r="Q90">
        <v>280.06867</v>
      </c>
      <c r="R90">
        <v>0</v>
      </c>
      <c r="S90">
        <v>0</v>
      </c>
      <c r="T90">
        <v>0</v>
      </c>
      <c r="U90">
        <v>0</v>
      </c>
      <c r="V90">
        <v>1.01</v>
      </c>
      <c r="W90">
        <v>0</v>
      </c>
      <c r="X90">
        <v>0</v>
      </c>
      <c r="Y90">
        <v>1.58</v>
      </c>
      <c r="Z90">
        <v>0</v>
      </c>
      <c r="AA90">
        <v>0</v>
      </c>
      <c r="AB90">
        <v>0</v>
      </c>
      <c r="AC90">
        <v>0</v>
      </c>
      <c r="AD90">
        <v>0</v>
      </c>
      <c r="AE90">
        <v>3.2</v>
      </c>
      <c r="AF90">
        <v>0</v>
      </c>
      <c r="AG90">
        <v>0</v>
      </c>
      <c r="AH90">
        <v>0</v>
      </c>
      <c r="AI90">
        <v>0</v>
      </c>
      <c r="AJ90">
        <v>0</v>
      </c>
      <c r="AK90">
        <v>0</v>
      </c>
      <c r="AL90">
        <v>7.0000000000000007E-2</v>
      </c>
      <c r="AM90">
        <v>0</v>
      </c>
      <c r="AN90">
        <v>0</v>
      </c>
      <c r="AO90">
        <v>0</v>
      </c>
      <c r="AP90">
        <v>0</v>
      </c>
      <c r="AQ90">
        <v>0</v>
      </c>
      <c r="AR90">
        <v>5.86</v>
      </c>
      <c r="AS90">
        <v>287.20866999999998</v>
      </c>
      <c r="AT90">
        <v>287.20866999999998</v>
      </c>
      <c r="AU90">
        <v>0</v>
      </c>
    </row>
    <row r="91" spans="1:51" ht="20.25" customHeight="1">
      <c r="A91" t="s">
        <v>50</v>
      </c>
      <c r="B91" t="s">
        <v>51</v>
      </c>
      <c r="C91" s="1" t="s">
        <v>52</v>
      </c>
      <c r="D91">
        <v>9.83</v>
      </c>
      <c r="E91">
        <v>0</v>
      </c>
      <c r="F91">
        <v>0</v>
      </c>
      <c r="G91">
        <v>0</v>
      </c>
      <c r="H91">
        <v>0</v>
      </c>
      <c r="I91">
        <v>0</v>
      </c>
      <c r="J91">
        <v>0</v>
      </c>
      <c r="K91">
        <v>0</v>
      </c>
      <c r="L91">
        <v>0</v>
      </c>
      <c r="M91">
        <v>0</v>
      </c>
      <c r="N91">
        <v>0</v>
      </c>
      <c r="O91">
        <v>0</v>
      </c>
      <c r="P91">
        <v>9.83</v>
      </c>
      <c r="Q91">
        <v>0</v>
      </c>
      <c r="R91">
        <v>9.83</v>
      </c>
      <c r="S91">
        <v>0</v>
      </c>
      <c r="T91">
        <v>0</v>
      </c>
      <c r="U91">
        <v>0</v>
      </c>
      <c r="V91">
        <v>0</v>
      </c>
      <c r="W91">
        <v>0</v>
      </c>
      <c r="X91">
        <v>0</v>
      </c>
      <c r="Y91">
        <v>0</v>
      </c>
      <c r="Z91">
        <v>0</v>
      </c>
      <c r="AA91">
        <v>0</v>
      </c>
      <c r="AB91">
        <v>0</v>
      </c>
      <c r="AC91">
        <v>0</v>
      </c>
      <c r="AD91">
        <v>0</v>
      </c>
      <c r="AE91">
        <v>0</v>
      </c>
      <c r="AF91">
        <v>0</v>
      </c>
      <c r="AG91">
        <v>0</v>
      </c>
      <c r="AH91">
        <v>0</v>
      </c>
      <c r="AI91">
        <v>0</v>
      </c>
      <c r="AJ91">
        <v>0</v>
      </c>
      <c r="AK91">
        <v>0</v>
      </c>
      <c r="AL91">
        <v>0</v>
      </c>
      <c r="AM91">
        <v>0</v>
      </c>
      <c r="AN91">
        <v>0</v>
      </c>
      <c r="AO91">
        <v>0</v>
      </c>
      <c r="AP91">
        <v>0</v>
      </c>
      <c r="AQ91">
        <v>0</v>
      </c>
      <c r="AR91">
        <v>0</v>
      </c>
      <c r="AS91">
        <v>9.83</v>
      </c>
      <c r="AT91">
        <v>9.83</v>
      </c>
      <c r="AU91">
        <v>0</v>
      </c>
    </row>
    <row r="92" spans="1:51" ht="20.25" customHeight="1">
      <c r="A92" t="s">
        <v>53</v>
      </c>
      <c r="B92" t="s">
        <v>54</v>
      </c>
      <c r="C92" s="1" t="s">
        <v>55</v>
      </c>
      <c r="D92">
        <v>79.59</v>
      </c>
      <c r="E92">
        <v>0</v>
      </c>
      <c r="F92">
        <v>0</v>
      </c>
      <c r="G92">
        <v>0</v>
      </c>
      <c r="H92">
        <v>0</v>
      </c>
      <c r="I92">
        <v>0</v>
      </c>
      <c r="J92">
        <v>0</v>
      </c>
      <c r="K92">
        <v>0</v>
      </c>
      <c r="L92">
        <v>0</v>
      </c>
      <c r="M92">
        <v>0</v>
      </c>
      <c r="N92">
        <v>0</v>
      </c>
      <c r="O92">
        <v>0</v>
      </c>
      <c r="P92">
        <v>79.59</v>
      </c>
      <c r="Q92">
        <v>0</v>
      </c>
      <c r="R92">
        <v>0</v>
      </c>
      <c r="S92">
        <v>79.59</v>
      </c>
      <c r="T92">
        <v>0</v>
      </c>
      <c r="U92">
        <v>0</v>
      </c>
      <c r="V92">
        <v>0</v>
      </c>
      <c r="W92">
        <v>0</v>
      </c>
      <c r="X92">
        <v>0</v>
      </c>
      <c r="Y92">
        <v>0</v>
      </c>
      <c r="Z92">
        <v>0</v>
      </c>
      <c r="AA92">
        <v>0</v>
      </c>
      <c r="AB92">
        <v>0</v>
      </c>
      <c r="AC92">
        <v>0</v>
      </c>
      <c r="AD92">
        <v>0</v>
      </c>
      <c r="AE92">
        <v>0</v>
      </c>
      <c r="AF92">
        <v>0</v>
      </c>
      <c r="AG92">
        <v>0</v>
      </c>
      <c r="AH92">
        <v>0</v>
      </c>
      <c r="AI92">
        <v>0</v>
      </c>
      <c r="AJ92">
        <v>0</v>
      </c>
      <c r="AK92">
        <v>0</v>
      </c>
      <c r="AL92">
        <v>0</v>
      </c>
      <c r="AM92">
        <v>0</v>
      </c>
      <c r="AN92">
        <v>0</v>
      </c>
      <c r="AO92">
        <v>0</v>
      </c>
      <c r="AP92">
        <v>0</v>
      </c>
      <c r="AQ92">
        <v>0</v>
      </c>
      <c r="AR92">
        <v>0</v>
      </c>
      <c r="AS92">
        <v>150.85999999999999</v>
      </c>
      <c r="AT92">
        <v>117.81</v>
      </c>
      <c r="AU92">
        <v>-33.049999999999983</v>
      </c>
    </row>
    <row r="93" spans="1:51" ht="20.25" customHeight="1">
      <c r="A93" t="s">
        <v>56</v>
      </c>
      <c r="B93" t="s">
        <v>57</v>
      </c>
      <c r="C93" s="1" t="s">
        <v>58</v>
      </c>
      <c r="D93">
        <v>0</v>
      </c>
      <c r="E93">
        <v>0</v>
      </c>
      <c r="F93">
        <v>0</v>
      </c>
      <c r="G93">
        <v>0</v>
      </c>
      <c r="H93">
        <v>0</v>
      </c>
      <c r="I93">
        <v>0</v>
      </c>
      <c r="J93">
        <v>0</v>
      </c>
      <c r="K93">
        <v>0</v>
      </c>
      <c r="L93">
        <v>0</v>
      </c>
      <c r="M93">
        <v>0</v>
      </c>
      <c r="N93">
        <v>0</v>
      </c>
      <c r="O93">
        <v>0</v>
      </c>
      <c r="P93">
        <v>0</v>
      </c>
      <c r="Q93">
        <v>0</v>
      </c>
      <c r="R93">
        <v>0</v>
      </c>
      <c r="S93">
        <v>0</v>
      </c>
      <c r="T93">
        <v>0</v>
      </c>
      <c r="U93">
        <v>0</v>
      </c>
      <c r="V93">
        <v>0</v>
      </c>
      <c r="W93">
        <v>0</v>
      </c>
      <c r="X93">
        <v>0</v>
      </c>
      <c r="Y93">
        <v>0</v>
      </c>
      <c r="Z93">
        <v>0</v>
      </c>
      <c r="AA93">
        <v>0</v>
      </c>
      <c r="AB93">
        <v>0</v>
      </c>
      <c r="AC93">
        <v>0</v>
      </c>
      <c r="AD93">
        <v>0</v>
      </c>
      <c r="AE93">
        <v>0</v>
      </c>
      <c r="AF93">
        <v>0</v>
      </c>
      <c r="AG93">
        <v>0</v>
      </c>
      <c r="AH93">
        <v>0</v>
      </c>
      <c r="AI93">
        <v>0</v>
      </c>
      <c r="AJ93">
        <v>0</v>
      </c>
      <c r="AK93">
        <v>0</v>
      </c>
      <c r="AL93">
        <v>0</v>
      </c>
      <c r="AM93">
        <v>0</v>
      </c>
      <c r="AN93">
        <v>0</v>
      </c>
      <c r="AO93">
        <v>0</v>
      </c>
      <c r="AP93">
        <v>0</v>
      </c>
      <c r="AQ93">
        <v>0</v>
      </c>
      <c r="AR93">
        <v>0</v>
      </c>
      <c r="AS93">
        <v>0</v>
      </c>
      <c r="AT93">
        <v>0</v>
      </c>
      <c r="AU93">
        <v>0</v>
      </c>
    </row>
    <row r="94" spans="1:51" ht="20.25" customHeight="1">
      <c r="A94" t="s">
        <v>59</v>
      </c>
      <c r="B94" t="s">
        <v>60</v>
      </c>
      <c r="C94" s="1" t="s">
        <v>61</v>
      </c>
      <c r="D94">
        <v>0</v>
      </c>
      <c r="E94">
        <v>0</v>
      </c>
      <c r="F94">
        <v>0</v>
      </c>
      <c r="G94">
        <v>0</v>
      </c>
      <c r="H94">
        <v>0</v>
      </c>
      <c r="I94">
        <v>0</v>
      </c>
      <c r="J94">
        <v>0</v>
      </c>
      <c r="K94">
        <v>0</v>
      </c>
      <c r="L94">
        <v>0</v>
      </c>
      <c r="M94">
        <v>0</v>
      </c>
      <c r="N94">
        <v>0</v>
      </c>
      <c r="O94">
        <v>0</v>
      </c>
      <c r="P94">
        <v>0</v>
      </c>
      <c r="Q94">
        <v>0</v>
      </c>
      <c r="R94">
        <v>0</v>
      </c>
      <c r="S94">
        <v>0</v>
      </c>
      <c r="T94">
        <v>0</v>
      </c>
      <c r="U94">
        <v>0</v>
      </c>
      <c r="V94">
        <v>0</v>
      </c>
      <c r="W94">
        <v>0</v>
      </c>
      <c r="X94">
        <v>0</v>
      </c>
      <c r="Y94">
        <v>0</v>
      </c>
      <c r="Z94">
        <v>0</v>
      </c>
      <c r="AA94">
        <v>0</v>
      </c>
      <c r="AB94">
        <v>0</v>
      </c>
      <c r="AC94">
        <v>0</v>
      </c>
      <c r="AD94">
        <v>0</v>
      </c>
      <c r="AE94">
        <v>0</v>
      </c>
      <c r="AF94">
        <v>0</v>
      </c>
      <c r="AG94">
        <v>0</v>
      </c>
      <c r="AH94">
        <v>0</v>
      </c>
      <c r="AI94">
        <v>0</v>
      </c>
      <c r="AJ94">
        <v>0</v>
      </c>
      <c r="AK94">
        <v>0</v>
      </c>
      <c r="AL94">
        <v>0</v>
      </c>
      <c r="AM94">
        <v>0</v>
      </c>
      <c r="AN94">
        <v>0</v>
      </c>
      <c r="AO94">
        <v>0</v>
      </c>
      <c r="AP94">
        <v>0</v>
      </c>
      <c r="AQ94">
        <v>0</v>
      </c>
      <c r="AR94">
        <v>0</v>
      </c>
      <c r="AS94">
        <v>199.79</v>
      </c>
      <c r="AT94">
        <v>199.79</v>
      </c>
      <c r="AU94">
        <v>0</v>
      </c>
    </row>
    <row r="95" spans="1:51" ht="20.25" customHeight="1">
      <c r="A95" t="s">
        <v>62</v>
      </c>
      <c r="B95" t="s">
        <v>63</v>
      </c>
      <c r="C95" s="1" t="s">
        <v>64</v>
      </c>
      <c r="D95">
        <v>349.95717000000002</v>
      </c>
      <c r="E95">
        <v>0</v>
      </c>
      <c r="F95">
        <v>0</v>
      </c>
      <c r="G95">
        <v>0</v>
      </c>
      <c r="H95">
        <v>0</v>
      </c>
      <c r="I95">
        <v>0</v>
      </c>
      <c r="J95">
        <v>0</v>
      </c>
      <c r="K95">
        <v>0</v>
      </c>
      <c r="L95">
        <v>0</v>
      </c>
      <c r="M95">
        <v>0</v>
      </c>
      <c r="N95">
        <v>0</v>
      </c>
      <c r="O95">
        <v>0</v>
      </c>
      <c r="P95">
        <v>349.95716999999996</v>
      </c>
      <c r="Q95">
        <v>1.07</v>
      </c>
      <c r="R95">
        <v>0</v>
      </c>
      <c r="S95">
        <v>0</v>
      </c>
      <c r="T95">
        <v>0</v>
      </c>
      <c r="U95">
        <v>7.0000000000000007E-2</v>
      </c>
      <c r="V95">
        <v>346.48716999999999</v>
      </c>
      <c r="W95">
        <v>0</v>
      </c>
      <c r="X95">
        <v>0</v>
      </c>
      <c r="Y95">
        <v>2.33</v>
      </c>
      <c r="Z95">
        <v>0</v>
      </c>
      <c r="AA95">
        <v>0</v>
      </c>
      <c r="AB95">
        <v>0</v>
      </c>
      <c r="AC95">
        <v>0</v>
      </c>
      <c r="AD95">
        <v>0</v>
      </c>
      <c r="AE95">
        <v>0</v>
      </c>
      <c r="AF95">
        <v>0</v>
      </c>
      <c r="AG95">
        <v>0</v>
      </c>
      <c r="AH95">
        <v>0</v>
      </c>
      <c r="AI95">
        <v>0</v>
      </c>
      <c r="AJ95">
        <v>0</v>
      </c>
      <c r="AK95">
        <v>0</v>
      </c>
      <c r="AL95">
        <v>0</v>
      </c>
      <c r="AM95">
        <v>0</v>
      </c>
      <c r="AN95">
        <v>0</v>
      </c>
      <c r="AO95">
        <v>0</v>
      </c>
      <c r="AP95">
        <v>0</v>
      </c>
      <c r="AQ95">
        <v>0</v>
      </c>
      <c r="AR95">
        <v>3.47</v>
      </c>
      <c r="AS95">
        <v>442.29716999999999</v>
      </c>
      <c r="AT95">
        <v>439.70717000000002</v>
      </c>
      <c r="AU95">
        <v>-2.589999999999975</v>
      </c>
    </row>
    <row r="96" spans="1:51" ht="20.25" customHeight="1">
      <c r="A96" t="s">
        <v>65</v>
      </c>
      <c r="B96" t="s">
        <v>66</v>
      </c>
      <c r="C96" s="1" t="s">
        <v>67</v>
      </c>
      <c r="D96">
        <v>126.12</v>
      </c>
      <c r="E96">
        <v>0</v>
      </c>
      <c r="F96">
        <v>0</v>
      </c>
      <c r="G96">
        <v>0</v>
      </c>
      <c r="H96">
        <v>0</v>
      </c>
      <c r="I96">
        <v>0</v>
      </c>
      <c r="J96">
        <v>0</v>
      </c>
      <c r="K96">
        <v>0</v>
      </c>
      <c r="L96">
        <v>0</v>
      </c>
      <c r="M96">
        <v>0</v>
      </c>
      <c r="N96">
        <v>0</v>
      </c>
      <c r="O96">
        <v>0</v>
      </c>
      <c r="P96">
        <v>126.12</v>
      </c>
      <c r="Q96">
        <v>0</v>
      </c>
      <c r="R96">
        <v>0</v>
      </c>
      <c r="S96">
        <v>0.95</v>
      </c>
      <c r="T96">
        <v>0</v>
      </c>
      <c r="U96">
        <v>0</v>
      </c>
      <c r="V96">
        <v>4.9400000000000004</v>
      </c>
      <c r="W96">
        <v>120.23</v>
      </c>
      <c r="X96">
        <v>0</v>
      </c>
      <c r="Y96">
        <v>0</v>
      </c>
      <c r="Z96">
        <v>0</v>
      </c>
      <c r="AA96">
        <v>0</v>
      </c>
      <c r="AB96">
        <v>0</v>
      </c>
      <c r="AC96">
        <v>0</v>
      </c>
      <c r="AD96">
        <v>0</v>
      </c>
      <c r="AE96">
        <v>0</v>
      </c>
      <c r="AF96">
        <v>0</v>
      </c>
      <c r="AG96">
        <v>0</v>
      </c>
      <c r="AH96">
        <v>0</v>
      </c>
      <c r="AI96">
        <v>0</v>
      </c>
      <c r="AJ96">
        <v>0</v>
      </c>
      <c r="AK96">
        <v>0</v>
      </c>
      <c r="AL96">
        <v>0</v>
      </c>
      <c r="AM96">
        <v>0</v>
      </c>
      <c r="AN96">
        <v>0</v>
      </c>
      <c r="AO96">
        <v>0</v>
      </c>
      <c r="AP96">
        <v>0</v>
      </c>
      <c r="AQ96">
        <v>0</v>
      </c>
      <c r="AR96">
        <v>5.8900000000000006</v>
      </c>
      <c r="AS96">
        <v>230.08999999999997</v>
      </c>
      <c r="AT96">
        <v>230.09</v>
      </c>
      <c r="AU96">
        <v>0</v>
      </c>
    </row>
    <row r="97" spans="1:47" ht="20.25" customHeight="1">
      <c r="A97" t="s">
        <v>68</v>
      </c>
      <c r="B97" t="s">
        <v>69</v>
      </c>
      <c r="C97" s="1" t="s">
        <v>70</v>
      </c>
      <c r="D97">
        <v>0</v>
      </c>
      <c r="E97">
        <v>0</v>
      </c>
      <c r="F97">
        <v>0</v>
      </c>
      <c r="G97">
        <v>0</v>
      </c>
      <c r="H97">
        <v>0</v>
      </c>
      <c r="I97">
        <v>0</v>
      </c>
      <c r="J97">
        <v>0</v>
      </c>
      <c r="K97">
        <v>0</v>
      </c>
      <c r="L97">
        <v>0</v>
      </c>
      <c r="M97">
        <v>0</v>
      </c>
      <c r="N97">
        <v>0</v>
      </c>
      <c r="O97">
        <v>0</v>
      </c>
      <c r="P97">
        <v>0</v>
      </c>
      <c r="Q97">
        <v>0</v>
      </c>
      <c r="R97">
        <v>0</v>
      </c>
      <c r="S97">
        <v>0</v>
      </c>
      <c r="T97">
        <v>0</v>
      </c>
      <c r="U97">
        <v>0</v>
      </c>
      <c r="V97">
        <v>0</v>
      </c>
      <c r="W97">
        <v>0</v>
      </c>
      <c r="X97">
        <v>0</v>
      </c>
      <c r="Y97">
        <v>0</v>
      </c>
      <c r="Z97">
        <v>0</v>
      </c>
      <c r="AA97">
        <v>0</v>
      </c>
      <c r="AB97">
        <v>0</v>
      </c>
      <c r="AC97">
        <v>0</v>
      </c>
      <c r="AD97">
        <v>0</v>
      </c>
      <c r="AE97">
        <v>0</v>
      </c>
      <c r="AF97">
        <v>0</v>
      </c>
      <c r="AG97">
        <v>0</v>
      </c>
      <c r="AH97">
        <v>0</v>
      </c>
      <c r="AI97">
        <v>0</v>
      </c>
      <c r="AJ97">
        <v>0</v>
      </c>
      <c r="AK97">
        <v>0</v>
      </c>
      <c r="AL97">
        <v>0</v>
      </c>
      <c r="AM97">
        <v>0</v>
      </c>
      <c r="AN97">
        <v>0</v>
      </c>
      <c r="AO97">
        <v>0</v>
      </c>
      <c r="AP97">
        <v>0</v>
      </c>
      <c r="AQ97">
        <v>0</v>
      </c>
      <c r="AR97">
        <v>0</v>
      </c>
      <c r="AS97">
        <v>0</v>
      </c>
      <c r="AT97">
        <v>0</v>
      </c>
      <c r="AU97">
        <v>0</v>
      </c>
    </row>
    <row r="98" spans="1:47" ht="35.25" customHeight="1">
      <c r="A98" t="s">
        <v>71</v>
      </c>
      <c r="B98" t="s">
        <v>135</v>
      </c>
      <c r="C98" s="1" t="s">
        <v>72</v>
      </c>
      <c r="D98">
        <v>2144.3125000000005</v>
      </c>
      <c r="E98">
        <v>18.77</v>
      </c>
      <c r="F98">
        <v>0</v>
      </c>
      <c r="G98">
        <v>0</v>
      </c>
      <c r="H98">
        <v>0</v>
      </c>
      <c r="I98">
        <v>0</v>
      </c>
      <c r="J98">
        <v>0</v>
      </c>
      <c r="K98">
        <v>0</v>
      </c>
      <c r="L98">
        <v>0</v>
      </c>
      <c r="M98">
        <v>18.77</v>
      </c>
      <c r="N98">
        <v>0</v>
      </c>
      <c r="O98">
        <v>0</v>
      </c>
      <c r="P98">
        <v>2125.5425000000005</v>
      </c>
      <c r="Q98">
        <v>0.2</v>
      </c>
      <c r="R98">
        <v>0</v>
      </c>
      <c r="S98">
        <v>1.1600000000000001</v>
      </c>
      <c r="T98">
        <v>0</v>
      </c>
      <c r="U98">
        <v>11.440000000000001</v>
      </c>
      <c r="V98">
        <v>2.12</v>
      </c>
      <c r="W98">
        <v>5.13</v>
      </c>
      <c r="X98">
        <v>0</v>
      </c>
      <c r="Y98">
        <v>2092.5825000000004</v>
      </c>
      <c r="Z98">
        <v>0</v>
      </c>
      <c r="AA98">
        <v>0</v>
      </c>
      <c r="AB98">
        <v>0.43</v>
      </c>
      <c r="AC98">
        <v>2.09</v>
      </c>
      <c r="AD98">
        <v>2.8000000000000003</v>
      </c>
      <c r="AE98">
        <v>1.3900000000000001</v>
      </c>
      <c r="AF98">
        <v>0</v>
      </c>
      <c r="AG98">
        <v>0</v>
      </c>
      <c r="AH98">
        <v>0.01</v>
      </c>
      <c r="AI98">
        <v>0</v>
      </c>
      <c r="AJ98">
        <v>2.27</v>
      </c>
      <c r="AK98">
        <v>0</v>
      </c>
      <c r="AL98">
        <v>1.18</v>
      </c>
      <c r="AM98">
        <v>0</v>
      </c>
      <c r="AN98">
        <v>0</v>
      </c>
      <c r="AO98">
        <v>2.7399999999999998</v>
      </c>
      <c r="AP98">
        <v>0</v>
      </c>
      <c r="AQ98">
        <v>0</v>
      </c>
      <c r="AR98">
        <v>51.730000000000004</v>
      </c>
      <c r="AS98">
        <v>2324.3825000000006</v>
      </c>
      <c r="AT98">
        <v>2326.9724999999994</v>
      </c>
      <c r="AU98">
        <v>2.5899999999987813</v>
      </c>
    </row>
    <row r="99" spans="1:47" ht="20.25" customHeight="1">
      <c r="A99" t="s">
        <v>73</v>
      </c>
      <c r="B99" t="s">
        <v>74</v>
      </c>
      <c r="C99" s="1" t="s">
        <v>75</v>
      </c>
      <c r="D99">
        <v>0.24000000000000002</v>
      </c>
      <c r="E99">
        <v>0</v>
      </c>
      <c r="F99">
        <v>0</v>
      </c>
      <c r="G99">
        <v>0</v>
      </c>
      <c r="H99">
        <v>0</v>
      </c>
      <c r="I99">
        <v>0</v>
      </c>
      <c r="J99">
        <v>0</v>
      </c>
      <c r="K99">
        <v>0</v>
      </c>
      <c r="L99">
        <v>0</v>
      </c>
      <c r="M99">
        <v>0</v>
      </c>
      <c r="N99">
        <v>0</v>
      </c>
      <c r="O99">
        <v>0</v>
      </c>
      <c r="P99">
        <v>0.24000000000000002</v>
      </c>
      <c r="Q99">
        <v>0</v>
      </c>
      <c r="R99">
        <v>0</v>
      </c>
      <c r="S99">
        <v>0</v>
      </c>
      <c r="T99">
        <v>0</v>
      </c>
      <c r="U99">
        <v>0</v>
      </c>
      <c r="V99">
        <v>0</v>
      </c>
      <c r="W99">
        <v>0</v>
      </c>
      <c r="X99">
        <v>0</v>
      </c>
      <c r="Y99">
        <v>0</v>
      </c>
      <c r="Z99">
        <v>0.24000000000000002</v>
      </c>
      <c r="AA99">
        <v>0</v>
      </c>
      <c r="AB99">
        <v>0</v>
      </c>
      <c r="AC99">
        <v>0</v>
      </c>
      <c r="AD99">
        <v>0</v>
      </c>
      <c r="AE99">
        <v>0</v>
      </c>
      <c r="AF99">
        <v>0</v>
      </c>
      <c r="AG99">
        <v>0</v>
      </c>
      <c r="AH99">
        <v>0</v>
      </c>
      <c r="AI99">
        <v>0</v>
      </c>
      <c r="AJ99">
        <v>0</v>
      </c>
      <c r="AK99">
        <v>0</v>
      </c>
      <c r="AL99">
        <v>0</v>
      </c>
      <c r="AM99">
        <v>0</v>
      </c>
      <c r="AN99">
        <v>0</v>
      </c>
      <c r="AO99">
        <v>0</v>
      </c>
      <c r="AP99">
        <v>0</v>
      </c>
      <c r="AQ99">
        <v>0</v>
      </c>
      <c r="AR99">
        <v>0</v>
      </c>
      <c r="AS99">
        <v>0.24000000000000002</v>
      </c>
      <c r="AT99">
        <v>0.24000000000000002</v>
      </c>
      <c r="AU99">
        <v>0</v>
      </c>
    </row>
    <row r="100" spans="1:47" ht="20.25" customHeight="1">
      <c r="A100" t="s">
        <v>76</v>
      </c>
      <c r="B100" t="s">
        <v>77</v>
      </c>
      <c r="C100" s="1" t="s">
        <v>78</v>
      </c>
      <c r="D100">
        <v>0</v>
      </c>
      <c r="E100">
        <v>0</v>
      </c>
      <c r="F100">
        <v>0</v>
      </c>
      <c r="G100">
        <v>0</v>
      </c>
      <c r="H100">
        <v>0</v>
      </c>
      <c r="I100">
        <v>0</v>
      </c>
      <c r="J100">
        <v>0</v>
      </c>
      <c r="K100">
        <v>0</v>
      </c>
      <c r="L100">
        <v>0</v>
      </c>
      <c r="M100">
        <v>0</v>
      </c>
      <c r="N100">
        <v>0</v>
      </c>
      <c r="O100">
        <v>0</v>
      </c>
      <c r="P100">
        <v>0</v>
      </c>
      <c r="Q100">
        <v>0</v>
      </c>
      <c r="R100">
        <v>0</v>
      </c>
      <c r="S100">
        <v>0</v>
      </c>
      <c r="T100">
        <v>0</v>
      </c>
      <c r="U100">
        <v>0</v>
      </c>
      <c r="V100">
        <v>0</v>
      </c>
      <c r="W100">
        <v>0</v>
      </c>
      <c r="X100">
        <v>0</v>
      </c>
      <c r="Y100">
        <v>0</v>
      </c>
      <c r="Z100">
        <v>0</v>
      </c>
      <c r="AA100">
        <v>0</v>
      </c>
      <c r="AB100">
        <v>0</v>
      </c>
      <c r="AC100">
        <v>0</v>
      </c>
      <c r="AD100">
        <v>0</v>
      </c>
      <c r="AE100">
        <v>0</v>
      </c>
      <c r="AF100">
        <v>0</v>
      </c>
      <c r="AG100">
        <v>0</v>
      </c>
      <c r="AH100">
        <v>0</v>
      </c>
      <c r="AI100">
        <v>0</v>
      </c>
      <c r="AJ100">
        <v>0</v>
      </c>
      <c r="AK100">
        <v>0</v>
      </c>
      <c r="AL100">
        <v>0</v>
      </c>
      <c r="AM100">
        <v>0</v>
      </c>
      <c r="AN100">
        <v>0</v>
      </c>
      <c r="AO100">
        <v>0</v>
      </c>
      <c r="AP100">
        <v>0</v>
      </c>
      <c r="AQ100">
        <v>0</v>
      </c>
      <c r="AR100">
        <v>0</v>
      </c>
      <c r="AS100">
        <v>0</v>
      </c>
      <c r="AT100">
        <v>0</v>
      </c>
      <c r="AU100">
        <v>0</v>
      </c>
    </row>
    <row r="101" spans="1:47" ht="20.25" customHeight="1">
      <c r="A101" t="s">
        <v>79</v>
      </c>
      <c r="B101" t="s">
        <v>80</v>
      </c>
      <c r="C101" s="1" t="s">
        <v>81</v>
      </c>
      <c r="D101">
        <v>44.33</v>
      </c>
      <c r="E101">
        <v>0</v>
      </c>
      <c r="F101">
        <v>0</v>
      </c>
      <c r="G101">
        <v>0</v>
      </c>
      <c r="H101">
        <v>0</v>
      </c>
      <c r="I101">
        <v>0</v>
      </c>
      <c r="J101">
        <v>0</v>
      </c>
      <c r="K101">
        <v>0</v>
      </c>
      <c r="L101">
        <v>0</v>
      </c>
      <c r="M101">
        <v>0</v>
      </c>
      <c r="N101">
        <v>0</v>
      </c>
      <c r="O101">
        <v>0</v>
      </c>
      <c r="P101">
        <v>44.33</v>
      </c>
      <c r="Q101">
        <v>0.1</v>
      </c>
      <c r="R101">
        <v>0</v>
      </c>
      <c r="S101">
        <v>0</v>
      </c>
      <c r="T101">
        <v>0</v>
      </c>
      <c r="U101">
        <v>0</v>
      </c>
      <c r="V101">
        <v>0</v>
      </c>
      <c r="W101">
        <v>0</v>
      </c>
      <c r="X101">
        <v>0</v>
      </c>
      <c r="Y101">
        <v>0</v>
      </c>
      <c r="Z101">
        <v>0</v>
      </c>
      <c r="AA101">
        <v>0</v>
      </c>
      <c r="AB101">
        <v>44.23</v>
      </c>
      <c r="AC101">
        <v>0</v>
      </c>
      <c r="AD101">
        <v>0</v>
      </c>
      <c r="AE101">
        <v>0</v>
      </c>
      <c r="AF101">
        <v>0</v>
      </c>
      <c r="AG101">
        <v>0</v>
      </c>
      <c r="AH101">
        <v>0</v>
      </c>
      <c r="AI101">
        <v>0</v>
      </c>
      <c r="AJ101">
        <v>0</v>
      </c>
      <c r="AK101">
        <v>0</v>
      </c>
      <c r="AL101">
        <v>0</v>
      </c>
      <c r="AM101">
        <v>0</v>
      </c>
      <c r="AN101">
        <v>0</v>
      </c>
      <c r="AO101">
        <v>0</v>
      </c>
      <c r="AP101">
        <v>0</v>
      </c>
      <c r="AQ101">
        <v>0</v>
      </c>
      <c r="AR101">
        <v>0.1</v>
      </c>
      <c r="AS101">
        <v>55.85</v>
      </c>
      <c r="AT101">
        <v>55.85</v>
      </c>
      <c r="AU101">
        <v>0</v>
      </c>
    </row>
    <row r="102" spans="1:47" ht="20.25" customHeight="1">
      <c r="A102" t="s">
        <v>82</v>
      </c>
      <c r="B102" t="s">
        <v>83</v>
      </c>
      <c r="C102" s="1" t="s">
        <v>84</v>
      </c>
      <c r="D102">
        <v>312.20955000000004</v>
      </c>
      <c r="E102">
        <v>0</v>
      </c>
      <c r="F102">
        <v>0</v>
      </c>
      <c r="G102">
        <v>0</v>
      </c>
      <c r="H102">
        <v>0</v>
      </c>
      <c r="I102">
        <v>0</v>
      </c>
      <c r="J102">
        <v>0</v>
      </c>
      <c r="K102">
        <v>0</v>
      </c>
      <c r="L102">
        <v>0</v>
      </c>
      <c r="M102">
        <v>0</v>
      </c>
      <c r="N102">
        <v>0</v>
      </c>
      <c r="O102">
        <v>0</v>
      </c>
      <c r="P102">
        <v>312.20955000000004</v>
      </c>
      <c r="Q102">
        <v>0</v>
      </c>
      <c r="R102">
        <v>0</v>
      </c>
      <c r="S102">
        <v>0</v>
      </c>
      <c r="T102">
        <v>0</v>
      </c>
      <c r="U102">
        <v>0</v>
      </c>
      <c r="V102">
        <v>0</v>
      </c>
      <c r="W102">
        <v>0.09</v>
      </c>
      <c r="X102">
        <v>0</v>
      </c>
      <c r="Y102">
        <v>1.6</v>
      </c>
      <c r="Z102">
        <v>0</v>
      </c>
      <c r="AA102">
        <v>0</v>
      </c>
      <c r="AB102">
        <v>0</v>
      </c>
      <c r="AC102">
        <v>310.51955000000004</v>
      </c>
      <c r="AD102">
        <v>0</v>
      </c>
      <c r="AE102">
        <v>0</v>
      </c>
      <c r="AF102">
        <v>0</v>
      </c>
      <c r="AG102">
        <v>0</v>
      </c>
      <c r="AH102">
        <v>0</v>
      </c>
      <c r="AI102">
        <v>0</v>
      </c>
      <c r="AJ102">
        <v>0</v>
      </c>
      <c r="AK102">
        <v>0</v>
      </c>
      <c r="AL102">
        <v>0</v>
      </c>
      <c r="AM102">
        <v>0</v>
      </c>
      <c r="AN102">
        <v>0</v>
      </c>
      <c r="AO102">
        <v>0</v>
      </c>
      <c r="AP102">
        <v>0</v>
      </c>
      <c r="AQ102">
        <v>0</v>
      </c>
      <c r="AR102">
        <v>1.6900000000000002</v>
      </c>
      <c r="AS102">
        <v>324.78955000000002</v>
      </c>
      <c r="AT102">
        <v>324.78955000000002</v>
      </c>
      <c r="AU102">
        <v>0</v>
      </c>
    </row>
    <row r="103" spans="1:47" ht="20.25" customHeight="1">
      <c r="A103" t="s">
        <v>85</v>
      </c>
      <c r="B103" t="s">
        <v>86</v>
      </c>
      <c r="C103" s="1" t="s">
        <v>87</v>
      </c>
      <c r="D103">
        <v>360.37450000000001</v>
      </c>
      <c r="E103">
        <v>0</v>
      </c>
      <c r="F103">
        <v>0</v>
      </c>
      <c r="G103">
        <v>0</v>
      </c>
      <c r="H103">
        <v>0</v>
      </c>
      <c r="I103">
        <v>0</v>
      </c>
      <c r="J103">
        <v>0</v>
      </c>
      <c r="K103">
        <v>0</v>
      </c>
      <c r="L103">
        <v>0</v>
      </c>
      <c r="M103">
        <v>0</v>
      </c>
      <c r="N103">
        <v>0</v>
      </c>
      <c r="O103">
        <v>0</v>
      </c>
      <c r="P103">
        <v>360.37450000000001</v>
      </c>
      <c r="Q103">
        <v>0</v>
      </c>
      <c r="R103">
        <v>0</v>
      </c>
      <c r="S103">
        <v>1</v>
      </c>
      <c r="T103">
        <v>0</v>
      </c>
      <c r="U103">
        <v>8.6</v>
      </c>
      <c r="V103">
        <v>4.12</v>
      </c>
      <c r="W103">
        <v>5.41</v>
      </c>
      <c r="X103">
        <v>0</v>
      </c>
      <c r="Y103">
        <v>9.9699999999999989</v>
      </c>
      <c r="Z103">
        <v>0</v>
      </c>
      <c r="AA103">
        <v>0</v>
      </c>
      <c r="AB103">
        <v>0</v>
      </c>
      <c r="AC103">
        <v>0</v>
      </c>
      <c r="AD103">
        <v>326.52449999999999</v>
      </c>
      <c r="AE103">
        <v>4.2</v>
      </c>
      <c r="AF103">
        <v>0</v>
      </c>
      <c r="AG103">
        <v>0</v>
      </c>
      <c r="AH103">
        <v>0</v>
      </c>
      <c r="AI103">
        <v>0</v>
      </c>
      <c r="AJ103">
        <v>7.0000000000000007E-2</v>
      </c>
      <c r="AK103">
        <v>0</v>
      </c>
      <c r="AL103">
        <v>0.48000000000000004</v>
      </c>
      <c r="AM103">
        <v>0</v>
      </c>
      <c r="AN103">
        <v>0</v>
      </c>
      <c r="AO103">
        <v>0</v>
      </c>
      <c r="AP103">
        <v>0</v>
      </c>
      <c r="AQ103">
        <v>0</v>
      </c>
      <c r="AR103">
        <v>33.849999999999994</v>
      </c>
      <c r="AS103">
        <v>372.24450000000002</v>
      </c>
      <c r="AT103">
        <v>372.24450000000002</v>
      </c>
      <c r="AU103">
        <v>0</v>
      </c>
    </row>
    <row r="104" spans="1:47" ht="20.25" customHeight="1">
      <c r="A104" t="s">
        <v>88</v>
      </c>
      <c r="B104" t="s">
        <v>89</v>
      </c>
      <c r="C104" s="1" t="s">
        <v>90</v>
      </c>
      <c r="D104">
        <v>36.990279999999998</v>
      </c>
      <c r="E104">
        <v>0</v>
      </c>
      <c r="F104">
        <v>0</v>
      </c>
      <c r="G104">
        <v>0</v>
      </c>
      <c r="H104">
        <v>0</v>
      </c>
      <c r="I104">
        <v>0</v>
      </c>
      <c r="J104">
        <v>0</v>
      </c>
      <c r="K104">
        <v>0</v>
      </c>
      <c r="L104">
        <v>0</v>
      </c>
      <c r="M104">
        <v>0</v>
      </c>
      <c r="N104">
        <v>0</v>
      </c>
      <c r="O104">
        <v>0</v>
      </c>
      <c r="P104">
        <v>36.990279999999998</v>
      </c>
      <c r="Q104">
        <v>0</v>
      </c>
      <c r="R104">
        <v>0</v>
      </c>
      <c r="S104">
        <v>0</v>
      </c>
      <c r="T104">
        <v>0</v>
      </c>
      <c r="U104">
        <v>0</v>
      </c>
      <c r="V104">
        <v>0</v>
      </c>
      <c r="W104">
        <v>0</v>
      </c>
      <c r="X104">
        <v>0</v>
      </c>
      <c r="Y104">
        <v>6.0000000000000005E-2</v>
      </c>
      <c r="Z104">
        <v>0</v>
      </c>
      <c r="AA104">
        <v>0</v>
      </c>
      <c r="AB104">
        <v>0</v>
      </c>
      <c r="AC104">
        <v>0</v>
      </c>
      <c r="AD104">
        <v>0.47000000000000003</v>
      </c>
      <c r="AE104">
        <v>36.460279999999997</v>
      </c>
      <c r="AF104">
        <v>0</v>
      </c>
      <c r="AG104">
        <v>0</v>
      </c>
      <c r="AH104">
        <v>0</v>
      </c>
      <c r="AI104">
        <v>0</v>
      </c>
      <c r="AJ104">
        <v>0</v>
      </c>
      <c r="AK104">
        <v>0</v>
      </c>
      <c r="AL104">
        <v>0</v>
      </c>
      <c r="AM104">
        <v>0</v>
      </c>
      <c r="AN104">
        <v>0</v>
      </c>
      <c r="AO104">
        <v>0</v>
      </c>
      <c r="AP104">
        <v>0</v>
      </c>
      <c r="AQ104">
        <v>0</v>
      </c>
      <c r="AR104">
        <v>0.53</v>
      </c>
      <c r="AS104">
        <v>58.440280000000001</v>
      </c>
      <c r="AT104">
        <v>55.850279999999998</v>
      </c>
      <c r="AU104">
        <v>-2.5900000000000034</v>
      </c>
    </row>
    <row r="105" spans="1:47" ht="38.25" customHeight="1">
      <c r="A105" t="s">
        <v>91</v>
      </c>
      <c r="B105" t="s">
        <v>92</v>
      </c>
      <c r="C105" s="1" t="s">
        <v>93</v>
      </c>
      <c r="D105">
        <v>0.67</v>
      </c>
      <c r="E105">
        <v>0</v>
      </c>
      <c r="F105">
        <v>0</v>
      </c>
      <c r="G105">
        <v>0</v>
      </c>
      <c r="H105">
        <v>0</v>
      </c>
      <c r="I105">
        <v>0</v>
      </c>
      <c r="J105">
        <v>0</v>
      </c>
      <c r="K105">
        <v>0</v>
      </c>
      <c r="L105">
        <v>0</v>
      </c>
      <c r="M105">
        <v>0</v>
      </c>
      <c r="N105">
        <v>0</v>
      </c>
      <c r="O105">
        <v>0</v>
      </c>
      <c r="P105">
        <v>0.67</v>
      </c>
      <c r="Q105">
        <v>0</v>
      </c>
      <c r="R105">
        <v>0</v>
      </c>
      <c r="S105">
        <v>0</v>
      </c>
      <c r="T105">
        <v>0</v>
      </c>
      <c r="U105">
        <v>0</v>
      </c>
      <c r="V105">
        <v>0</v>
      </c>
      <c r="W105">
        <v>0</v>
      </c>
      <c r="X105">
        <v>0</v>
      </c>
      <c r="Y105">
        <v>0</v>
      </c>
      <c r="Z105">
        <v>0</v>
      </c>
      <c r="AA105">
        <v>0</v>
      </c>
      <c r="AB105">
        <v>0</v>
      </c>
      <c r="AC105">
        <v>0</v>
      </c>
      <c r="AD105">
        <v>0</v>
      </c>
      <c r="AE105">
        <v>0</v>
      </c>
      <c r="AF105">
        <v>0.67</v>
      </c>
      <c r="AG105">
        <v>0</v>
      </c>
      <c r="AH105">
        <v>0</v>
      </c>
      <c r="AI105">
        <v>0</v>
      </c>
      <c r="AJ105">
        <v>0</v>
      </c>
      <c r="AK105">
        <v>0</v>
      </c>
      <c r="AL105">
        <v>0</v>
      </c>
      <c r="AM105">
        <v>0</v>
      </c>
      <c r="AN105">
        <v>0</v>
      </c>
      <c r="AO105">
        <v>0</v>
      </c>
      <c r="AP105">
        <v>0</v>
      </c>
      <c r="AQ105">
        <v>0</v>
      </c>
      <c r="AR105">
        <v>0</v>
      </c>
      <c r="AS105">
        <v>0.67</v>
      </c>
      <c r="AT105">
        <v>0.67</v>
      </c>
      <c r="AU105">
        <v>0</v>
      </c>
    </row>
    <row r="106" spans="1:47" ht="20.25" customHeight="1">
      <c r="A106" t="s">
        <v>94</v>
      </c>
      <c r="B106" t="s">
        <v>95</v>
      </c>
      <c r="C106" s="1" t="s">
        <v>96</v>
      </c>
      <c r="D106">
        <v>0</v>
      </c>
      <c r="E106">
        <v>0</v>
      </c>
      <c r="F106">
        <v>0</v>
      </c>
      <c r="G106">
        <v>0</v>
      </c>
      <c r="H106">
        <v>0</v>
      </c>
      <c r="I106">
        <v>0</v>
      </c>
      <c r="J106">
        <v>0</v>
      </c>
      <c r="K106">
        <v>0</v>
      </c>
      <c r="L106">
        <v>0</v>
      </c>
      <c r="M106">
        <v>0</v>
      </c>
      <c r="N106">
        <v>0</v>
      </c>
      <c r="O106">
        <v>0</v>
      </c>
      <c r="P106">
        <v>0</v>
      </c>
      <c r="Q106">
        <v>0</v>
      </c>
      <c r="R106">
        <v>0</v>
      </c>
      <c r="S106">
        <v>0</v>
      </c>
      <c r="T106">
        <v>0</v>
      </c>
      <c r="U106">
        <v>0</v>
      </c>
      <c r="V106">
        <v>0</v>
      </c>
      <c r="W106">
        <v>0</v>
      </c>
      <c r="X106">
        <v>0</v>
      </c>
      <c r="Y106">
        <v>0</v>
      </c>
      <c r="Z106">
        <v>0</v>
      </c>
      <c r="AA106">
        <v>0</v>
      </c>
      <c r="AB106">
        <v>0</v>
      </c>
      <c r="AC106">
        <v>0</v>
      </c>
      <c r="AD106">
        <v>0</v>
      </c>
      <c r="AE106">
        <v>0</v>
      </c>
      <c r="AF106">
        <v>0</v>
      </c>
      <c r="AG106">
        <v>0</v>
      </c>
      <c r="AH106">
        <v>0</v>
      </c>
      <c r="AI106">
        <v>0</v>
      </c>
      <c r="AJ106">
        <v>0</v>
      </c>
      <c r="AK106">
        <v>0</v>
      </c>
      <c r="AL106">
        <v>0</v>
      </c>
      <c r="AM106">
        <v>0</v>
      </c>
      <c r="AN106">
        <v>0</v>
      </c>
      <c r="AO106">
        <v>0</v>
      </c>
      <c r="AP106">
        <v>0</v>
      </c>
      <c r="AQ106">
        <v>0</v>
      </c>
      <c r="AR106">
        <v>0</v>
      </c>
      <c r="AS106">
        <v>0</v>
      </c>
      <c r="AT106">
        <v>0</v>
      </c>
      <c r="AU106">
        <v>0</v>
      </c>
    </row>
    <row r="107" spans="1:47" ht="20.25" customHeight="1">
      <c r="A107" t="s">
        <v>97</v>
      </c>
      <c r="B107" t="s">
        <v>98</v>
      </c>
      <c r="C107" s="1" t="s">
        <v>99</v>
      </c>
      <c r="D107">
        <v>10.77</v>
      </c>
      <c r="E107">
        <v>0</v>
      </c>
      <c r="F107">
        <v>0</v>
      </c>
      <c r="G107">
        <v>0</v>
      </c>
      <c r="H107">
        <v>0</v>
      </c>
      <c r="I107">
        <v>0</v>
      </c>
      <c r="J107">
        <v>0</v>
      </c>
      <c r="K107">
        <v>0</v>
      </c>
      <c r="L107">
        <v>0</v>
      </c>
      <c r="M107">
        <v>0</v>
      </c>
      <c r="N107">
        <v>0</v>
      </c>
      <c r="O107">
        <v>0</v>
      </c>
      <c r="P107">
        <v>10.77</v>
      </c>
      <c r="Q107">
        <v>0</v>
      </c>
      <c r="R107">
        <v>0</v>
      </c>
      <c r="S107">
        <v>0</v>
      </c>
      <c r="T107">
        <v>0</v>
      </c>
      <c r="U107">
        <v>0</v>
      </c>
      <c r="V107">
        <v>0</v>
      </c>
      <c r="W107">
        <v>0</v>
      </c>
      <c r="X107">
        <v>0</v>
      </c>
      <c r="Y107">
        <v>0</v>
      </c>
      <c r="Z107">
        <v>0</v>
      </c>
      <c r="AA107">
        <v>0</v>
      </c>
      <c r="AB107">
        <v>0</v>
      </c>
      <c r="AC107">
        <v>0</v>
      </c>
      <c r="AD107">
        <v>0</v>
      </c>
      <c r="AE107">
        <v>0</v>
      </c>
      <c r="AF107">
        <v>0</v>
      </c>
      <c r="AG107">
        <v>0</v>
      </c>
      <c r="AH107">
        <v>10.77</v>
      </c>
      <c r="AI107">
        <v>0</v>
      </c>
      <c r="AJ107">
        <v>0</v>
      </c>
      <c r="AK107">
        <v>0</v>
      </c>
      <c r="AL107">
        <v>0</v>
      </c>
      <c r="AM107">
        <v>0</v>
      </c>
      <c r="AN107">
        <v>0</v>
      </c>
      <c r="AO107">
        <v>0</v>
      </c>
      <c r="AP107">
        <v>0</v>
      </c>
      <c r="AQ107">
        <v>0</v>
      </c>
      <c r="AR107">
        <v>0</v>
      </c>
      <c r="AS107">
        <v>12.12</v>
      </c>
      <c r="AT107">
        <v>12.12</v>
      </c>
      <c r="AU107">
        <v>0</v>
      </c>
    </row>
    <row r="108" spans="1:47" ht="31.5" customHeight="1">
      <c r="A108" t="s">
        <v>100</v>
      </c>
      <c r="B108" t="s">
        <v>134</v>
      </c>
      <c r="C108" s="1" t="s">
        <v>101</v>
      </c>
      <c r="D108">
        <v>239.16000000000003</v>
      </c>
      <c r="E108">
        <v>0</v>
      </c>
      <c r="F108">
        <v>0</v>
      </c>
      <c r="G108">
        <v>0</v>
      </c>
      <c r="H108">
        <v>0</v>
      </c>
      <c r="I108">
        <v>0</v>
      </c>
      <c r="J108">
        <v>0</v>
      </c>
      <c r="K108">
        <v>0</v>
      </c>
      <c r="L108">
        <v>0</v>
      </c>
      <c r="M108">
        <v>0</v>
      </c>
      <c r="N108">
        <v>0</v>
      </c>
      <c r="O108">
        <v>0</v>
      </c>
      <c r="P108">
        <v>239.16000000000003</v>
      </c>
      <c r="Q108">
        <v>0</v>
      </c>
      <c r="R108">
        <v>0</v>
      </c>
      <c r="S108">
        <v>0</v>
      </c>
      <c r="T108">
        <v>0</v>
      </c>
      <c r="U108">
        <v>0</v>
      </c>
      <c r="V108">
        <v>0</v>
      </c>
      <c r="W108">
        <v>0.31</v>
      </c>
      <c r="X108">
        <v>0</v>
      </c>
      <c r="Y108">
        <v>0.98</v>
      </c>
      <c r="Z108">
        <v>0</v>
      </c>
      <c r="AA108">
        <v>0</v>
      </c>
      <c r="AB108">
        <v>0</v>
      </c>
      <c r="AC108">
        <v>0</v>
      </c>
      <c r="AD108">
        <v>0.37</v>
      </c>
      <c r="AE108">
        <v>0.01</v>
      </c>
      <c r="AF108">
        <v>0</v>
      </c>
      <c r="AG108">
        <v>0</v>
      </c>
      <c r="AH108">
        <v>0</v>
      </c>
      <c r="AI108">
        <v>237.46000000000004</v>
      </c>
      <c r="AJ108">
        <v>0</v>
      </c>
      <c r="AK108">
        <v>0</v>
      </c>
      <c r="AL108">
        <v>0.03</v>
      </c>
      <c r="AM108">
        <v>0</v>
      </c>
      <c r="AN108">
        <v>0</v>
      </c>
      <c r="AO108">
        <v>0</v>
      </c>
      <c r="AP108">
        <v>0</v>
      </c>
      <c r="AQ108">
        <v>0</v>
      </c>
      <c r="AR108">
        <v>1.7000000000000002</v>
      </c>
      <c r="AS108">
        <v>237.46000000000004</v>
      </c>
      <c r="AT108">
        <v>237.46000000000004</v>
      </c>
      <c r="AU108">
        <v>0</v>
      </c>
    </row>
    <row r="109" spans="1:47" ht="40.5" customHeight="1">
      <c r="A109" t="s">
        <v>102</v>
      </c>
      <c r="B109" t="s">
        <v>103</v>
      </c>
      <c r="C109" s="1" t="s">
        <v>104</v>
      </c>
      <c r="D109">
        <v>18.010399999999997</v>
      </c>
      <c r="E109">
        <v>0</v>
      </c>
      <c r="F109">
        <v>0</v>
      </c>
      <c r="G109">
        <v>0</v>
      </c>
      <c r="H109">
        <v>0</v>
      </c>
      <c r="I109">
        <v>0</v>
      </c>
      <c r="J109">
        <v>0</v>
      </c>
      <c r="K109">
        <v>0</v>
      </c>
      <c r="L109">
        <v>0</v>
      </c>
      <c r="M109">
        <v>0</v>
      </c>
      <c r="N109">
        <v>0</v>
      </c>
      <c r="O109">
        <v>0</v>
      </c>
      <c r="P109">
        <v>18.010399999999997</v>
      </c>
      <c r="Q109">
        <v>0</v>
      </c>
      <c r="R109">
        <v>0</v>
      </c>
      <c r="S109">
        <v>0</v>
      </c>
      <c r="T109">
        <v>0</v>
      </c>
      <c r="U109">
        <v>0</v>
      </c>
      <c r="V109">
        <v>0</v>
      </c>
      <c r="W109">
        <v>0</v>
      </c>
      <c r="X109">
        <v>0</v>
      </c>
      <c r="Y109">
        <v>0.01</v>
      </c>
      <c r="Z109">
        <v>0</v>
      </c>
      <c r="AA109">
        <v>0</v>
      </c>
      <c r="AB109">
        <v>0</v>
      </c>
      <c r="AC109">
        <v>0</v>
      </c>
      <c r="AD109">
        <v>0</v>
      </c>
      <c r="AE109">
        <v>0</v>
      </c>
      <c r="AF109">
        <v>0</v>
      </c>
      <c r="AG109">
        <v>0</v>
      </c>
      <c r="AH109">
        <v>0</v>
      </c>
      <c r="AI109">
        <v>0</v>
      </c>
      <c r="AJ109">
        <v>18.000399999999996</v>
      </c>
      <c r="AK109">
        <v>0</v>
      </c>
      <c r="AL109">
        <v>0</v>
      </c>
      <c r="AM109">
        <v>0</v>
      </c>
      <c r="AN109">
        <v>0</v>
      </c>
      <c r="AO109">
        <v>0</v>
      </c>
      <c r="AP109">
        <v>0</v>
      </c>
      <c r="AQ109">
        <v>0</v>
      </c>
      <c r="AR109">
        <v>0.01</v>
      </c>
      <c r="AS109">
        <v>313.13039999999995</v>
      </c>
      <c r="AT109">
        <v>313.13039999999995</v>
      </c>
      <c r="AU109">
        <v>0</v>
      </c>
    </row>
    <row r="110" spans="1:47" ht="20.25" customHeight="1">
      <c r="A110" t="s">
        <v>105</v>
      </c>
      <c r="B110" t="s">
        <v>106</v>
      </c>
      <c r="C110" s="1" t="s">
        <v>107</v>
      </c>
      <c r="D110">
        <v>12.949599999999998</v>
      </c>
      <c r="E110">
        <v>0</v>
      </c>
      <c r="F110">
        <v>0</v>
      </c>
      <c r="G110">
        <v>0</v>
      </c>
      <c r="H110">
        <v>0</v>
      </c>
      <c r="I110">
        <v>0</v>
      </c>
      <c r="J110">
        <v>0</v>
      </c>
      <c r="K110">
        <v>0</v>
      </c>
      <c r="L110">
        <v>0</v>
      </c>
      <c r="M110">
        <v>0</v>
      </c>
      <c r="N110">
        <v>0</v>
      </c>
      <c r="O110">
        <v>0</v>
      </c>
      <c r="P110">
        <v>12.949599999999998</v>
      </c>
      <c r="Q110">
        <v>0</v>
      </c>
      <c r="R110">
        <v>0</v>
      </c>
      <c r="S110">
        <v>0</v>
      </c>
      <c r="T110">
        <v>0</v>
      </c>
      <c r="U110">
        <v>0.35</v>
      </c>
      <c r="V110">
        <v>0</v>
      </c>
      <c r="W110">
        <v>0</v>
      </c>
      <c r="X110">
        <v>0</v>
      </c>
      <c r="Y110">
        <v>0.01</v>
      </c>
      <c r="Z110">
        <v>0</v>
      </c>
      <c r="AA110">
        <v>0</v>
      </c>
      <c r="AB110">
        <v>0</v>
      </c>
      <c r="AC110">
        <v>0</v>
      </c>
      <c r="AD110">
        <v>0.06</v>
      </c>
      <c r="AE110">
        <v>0.19</v>
      </c>
      <c r="AF110">
        <v>0</v>
      </c>
      <c r="AG110">
        <v>0</v>
      </c>
      <c r="AH110">
        <v>0</v>
      </c>
      <c r="AI110">
        <v>0</v>
      </c>
      <c r="AJ110">
        <v>0</v>
      </c>
      <c r="AK110">
        <v>12.339599999999999</v>
      </c>
      <c r="AL110">
        <v>0</v>
      </c>
      <c r="AM110">
        <v>0</v>
      </c>
      <c r="AN110">
        <v>0</v>
      </c>
      <c r="AO110">
        <v>0</v>
      </c>
      <c r="AP110">
        <v>0</v>
      </c>
      <c r="AQ110">
        <v>0</v>
      </c>
      <c r="AR110">
        <v>0.61</v>
      </c>
      <c r="AS110">
        <v>12.339599999999999</v>
      </c>
      <c r="AT110">
        <v>12.339599999999999</v>
      </c>
      <c r="AU110">
        <v>0</v>
      </c>
    </row>
    <row r="111" spans="1:47" ht="20.25" customHeight="1">
      <c r="A111" t="s">
        <v>108</v>
      </c>
      <c r="B111" t="s">
        <v>109</v>
      </c>
      <c r="C111" s="1" t="s">
        <v>110</v>
      </c>
      <c r="D111">
        <v>12.29</v>
      </c>
      <c r="E111">
        <v>0</v>
      </c>
      <c r="F111">
        <v>0</v>
      </c>
      <c r="G111">
        <v>0</v>
      </c>
      <c r="H111">
        <v>0</v>
      </c>
      <c r="I111">
        <v>0</v>
      </c>
      <c r="J111">
        <v>0</v>
      </c>
      <c r="K111">
        <v>0</v>
      </c>
      <c r="L111">
        <v>0</v>
      </c>
      <c r="M111">
        <v>0</v>
      </c>
      <c r="N111">
        <v>0</v>
      </c>
      <c r="O111">
        <v>0</v>
      </c>
      <c r="P111">
        <v>12.29</v>
      </c>
      <c r="Q111">
        <v>0</v>
      </c>
      <c r="R111">
        <v>0</v>
      </c>
      <c r="S111">
        <v>0</v>
      </c>
      <c r="T111">
        <v>0</v>
      </c>
      <c r="U111">
        <v>0</v>
      </c>
      <c r="V111">
        <v>0</v>
      </c>
      <c r="W111">
        <v>0</v>
      </c>
      <c r="X111">
        <v>0</v>
      </c>
      <c r="Y111">
        <v>0</v>
      </c>
      <c r="Z111">
        <v>0</v>
      </c>
      <c r="AA111">
        <v>0</v>
      </c>
      <c r="AB111">
        <v>0</v>
      </c>
      <c r="AC111">
        <v>0</v>
      </c>
      <c r="AD111">
        <v>0</v>
      </c>
      <c r="AE111">
        <v>0</v>
      </c>
      <c r="AF111">
        <v>0</v>
      </c>
      <c r="AG111">
        <v>0</v>
      </c>
      <c r="AH111">
        <v>0</v>
      </c>
      <c r="AI111">
        <v>0</v>
      </c>
      <c r="AJ111">
        <v>0</v>
      </c>
      <c r="AK111">
        <v>0</v>
      </c>
      <c r="AL111">
        <v>12.29</v>
      </c>
      <c r="AM111">
        <v>0</v>
      </c>
      <c r="AN111">
        <v>0</v>
      </c>
      <c r="AO111">
        <v>0</v>
      </c>
      <c r="AP111">
        <v>0</v>
      </c>
      <c r="AQ111">
        <v>0</v>
      </c>
      <c r="AR111">
        <v>0</v>
      </c>
      <c r="AS111">
        <v>29.869999999999997</v>
      </c>
      <c r="AT111">
        <v>27.279999999999998</v>
      </c>
      <c r="AU111">
        <v>-2.59</v>
      </c>
    </row>
    <row r="112" spans="1:47" ht="20.25" customHeight="1">
      <c r="A112" t="s">
        <v>111</v>
      </c>
      <c r="B112" t="s">
        <v>112</v>
      </c>
      <c r="C112" s="1" t="s">
        <v>113</v>
      </c>
      <c r="D112">
        <v>10.530000000000003</v>
      </c>
      <c r="E112">
        <v>0</v>
      </c>
      <c r="F112">
        <v>0</v>
      </c>
      <c r="G112">
        <v>0</v>
      </c>
      <c r="H112">
        <v>0</v>
      </c>
      <c r="I112">
        <v>0</v>
      </c>
      <c r="J112">
        <v>0</v>
      </c>
      <c r="K112">
        <v>0</v>
      </c>
      <c r="L112">
        <v>0</v>
      </c>
      <c r="M112">
        <v>0</v>
      </c>
      <c r="N112">
        <v>0</v>
      </c>
      <c r="O112">
        <v>0</v>
      </c>
      <c r="P112">
        <v>10.530000000000003</v>
      </c>
      <c r="Q112">
        <v>0</v>
      </c>
      <c r="R112">
        <v>0</v>
      </c>
      <c r="S112">
        <v>0</v>
      </c>
      <c r="T112">
        <v>0</v>
      </c>
      <c r="U112">
        <v>0.09</v>
      </c>
      <c r="V112">
        <v>0</v>
      </c>
      <c r="W112">
        <v>0</v>
      </c>
      <c r="X112">
        <v>0</v>
      </c>
      <c r="Y112">
        <v>0</v>
      </c>
      <c r="Z112">
        <v>0</v>
      </c>
      <c r="AA112">
        <v>0</v>
      </c>
      <c r="AB112">
        <v>0</v>
      </c>
      <c r="AC112">
        <v>0</v>
      </c>
      <c r="AD112">
        <v>0</v>
      </c>
      <c r="AE112">
        <v>0</v>
      </c>
      <c r="AF112">
        <v>0</v>
      </c>
      <c r="AG112">
        <v>0</v>
      </c>
      <c r="AH112">
        <v>0</v>
      </c>
      <c r="AI112">
        <v>0</v>
      </c>
      <c r="AJ112">
        <v>0</v>
      </c>
      <c r="AK112">
        <v>0</v>
      </c>
      <c r="AL112">
        <v>0</v>
      </c>
      <c r="AM112">
        <v>10.440000000000003</v>
      </c>
      <c r="AN112">
        <v>0</v>
      </c>
      <c r="AO112">
        <v>0</v>
      </c>
      <c r="AP112">
        <v>0</v>
      </c>
      <c r="AQ112">
        <v>0</v>
      </c>
      <c r="AR112">
        <v>0.09</v>
      </c>
      <c r="AS112">
        <v>10.440000000000003</v>
      </c>
      <c r="AT112">
        <v>10.440000000000003</v>
      </c>
      <c r="AU112">
        <v>0</v>
      </c>
    </row>
    <row r="113" spans="1:47" ht="20.25" customHeight="1">
      <c r="A113" t="s">
        <v>114</v>
      </c>
      <c r="B113" t="s">
        <v>115</v>
      </c>
      <c r="C113" s="1" t="s">
        <v>116</v>
      </c>
      <c r="D113">
        <v>2540.5800000000004</v>
      </c>
      <c r="E113">
        <v>49.35</v>
      </c>
      <c r="F113">
        <v>0</v>
      </c>
      <c r="G113">
        <v>0</v>
      </c>
      <c r="H113">
        <v>0</v>
      </c>
      <c r="I113">
        <v>0</v>
      </c>
      <c r="J113">
        <v>0</v>
      </c>
      <c r="K113">
        <v>0</v>
      </c>
      <c r="L113">
        <v>0</v>
      </c>
      <c r="M113">
        <v>49.35</v>
      </c>
      <c r="N113">
        <v>0</v>
      </c>
      <c r="O113">
        <v>0</v>
      </c>
      <c r="P113">
        <v>2491.2300000000005</v>
      </c>
      <c r="Q113">
        <v>0</v>
      </c>
      <c r="R113">
        <v>0</v>
      </c>
      <c r="S113">
        <v>0</v>
      </c>
      <c r="T113">
        <v>0</v>
      </c>
      <c r="U113">
        <v>1.21</v>
      </c>
      <c r="V113">
        <v>0.27</v>
      </c>
      <c r="W113">
        <v>3.86</v>
      </c>
      <c r="X113">
        <v>0</v>
      </c>
      <c r="Y113">
        <v>4.9600000000000009</v>
      </c>
      <c r="Z113">
        <v>0</v>
      </c>
      <c r="AA113">
        <v>0</v>
      </c>
      <c r="AB113">
        <v>0</v>
      </c>
      <c r="AC113">
        <v>0</v>
      </c>
      <c r="AD113">
        <v>0</v>
      </c>
      <c r="AE113">
        <v>0</v>
      </c>
      <c r="AF113">
        <v>0</v>
      </c>
      <c r="AG113">
        <v>0</v>
      </c>
      <c r="AH113">
        <v>0</v>
      </c>
      <c r="AI113">
        <v>0</v>
      </c>
      <c r="AJ113">
        <v>1.21</v>
      </c>
      <c r="AK113">
        <v>0</v>
      </c>
      <c r="AL113">
        <v>0</v>
      </c>
      <c r="AM113">
        <v>0</v>
      </c>
      <c r="AN113">
        <v>2479.7200000000003</v>
      </c>
      <c r="AO113">
        <v>0</v>
      </c>
      <c r="AP113">
        <v>0</v>
      </c>
      <c r="AQ113">
        <v>0</v>
      </c>
      <c r="AR113">
        <v>60.860000000000007</v>
      </c>
      <c r="AS113">
        <v>2479.7200000000003</v>
      </c>
      <c r="AT113">
        <v>2479.7200000000003</v>
      </c>
      <c r="AU113">
        <v>0</v>
      </c>
    </row>
    <row r="114" spans="1:47" ht="20.25" customHeight="1">
      <c r="A114" t="s">
        <v>117</v>
      </c>
      <c r="B114" t="s">
        <v>118</v>
      </c>
      <c r="C114" s="1" t="s">
        <v>119</v>
      </c>
      <c r="D114">
        <v>1115.8399999999999</v>
      </c>
      <c r="E114">
        <v>33.67</v>
      </c>
      <c r="F114">
        <v>0</v>
      </c>
      <c r="G114">
        <v>0</v>
      </c>
      <c r="H114">
        <v>0</v>
      </c>
      <c r="I114">
        <v>0</v>
      </c>
      <c r="J114">
        <v>0</v>
      </c>
      <c r="K114">
        <v>0</v>
      </c>
      <c r="L114">
        <v>0</v>
      </c>
      <c r="M114">
        <v>33.67</v>
      </c>
      <c r="N114">
        <v>0</v>
      </c>
      <c r="O114">
        <v>0</v>
      </c>
      <c r="P114">
        <v>1082.1699999999998</v>
      </c>
      <c r="Q114">
        <v>0</v>
      </c>
      <c r="R114">
        <v>0</v>
      </c>
      <c r="S114">
        <v>0</v>
      </c>
      <c r="T114">
        <v>0</v>
      </c>
      <c r="U114">
        <v>0</v>
      </c>
      <c r="V114">
        <v>0</v>
      </c>
      <c r="W114">
        <v>0.02</v>
      </c>
      <c r="X114">
        <v>0</v>
      </c>
      <c r="Y114">
        <v>0.17</v>
      </c>
      <c r="Z114">
        <v>0</v>
      </c>
      <c r="AA114">
        <v>0</v>
      </c>
      <c r="AB114">
        <v>0</v>
      </c>
      <c r="AC114">
        <v>0</v>
      </c>
      <c r="AD114">
        <v>0</v>
      </c>
      <c r="AE114">
        <v>0</v>
      </c>
      <c r="AF114">
        <v>0</v>
      </c>
      <c r="AG114">
        <v>0</v>
      </c>
      <c r="AH114">
        <v>0</v>
      </c>
      <c r="AI114">
        <v>0</v>
      </c>
      <c r="AJ114">
        <v>2.3199999999999998</v>
      </c>
      <c r="AK114">
        <v>0</v>
      </c>
      <c r="AL114">
        <v>0</v>
      </c>
      <c r="AM114">
        <v>0</v>
      </c>
      <c r="AN114">
        <v>0</v>
      </c>
      <c r="AO114">
        <v>1079.6599999999999</v>
      </c>
      <c r="AP114">
        <v>0</v>
      </c>
      <c r="AQ114">
        <v>0</v>
      </c>
      <c r="AR114">
        <v>36.180000000000007</v>
      </c>
      <c r="AS114">
        <v>1085.1699999999998</v>
      </c>
      <c r="AT114">
        <v>1085.1699999999998</v>
      </c>
      <c r="AU114">
        <v>0</v>
      </c>
    </row>
    <row r="115" spans="1:47" ht="20.25" customHeight="1">
      <c r="A115" t="s">
        <v>120</v>
      </c>
      <c r="B115" t="s">
        <v>121</v>
      </c>
      <c r="C115" s="1" t="s">
        <v>122</v>
      </c>
      <c r="D115">
        <v>2.09</v>
      </c>
      <c r="E115">
        <v>0</v>
      </c>
      <c r="F115">
        <v>0</v>
      </c>
      <c r="G115">
        <v>0</v>
      </c>
      <c r="H115">
        <v>0</v>
      </c>
      <c r="I115">
        <v>0</v>
      </c>
      <c r="J115">
        <v>0</v>
      </c>
      <c r="K115">
        <v>0</v>
      </c>
      <c r="L115">
        <v>0</v>
      </c>
      <c r="M115">
        <v>0</v>
      </c>
      <c r="N115">
        <v>0</v>
      </c>
      <c r="O115">
        <v>0</v>
      </c>
      <c r="P115">
        <v>2.09</v>
      </c>
      <c r="Q115">
        <v>0</v>
      </c>
      <c r="R115">
        <v>0</v>
      </c>
      <c r="S115">
        <v>0</v>
      </c>
      <c r="T115">
        <v>0</v>
      </c>
      <c r="U115">
        <v>0</v>
      </c>
      <c r="V115">
        <v>0</v>
      </c>
      <c r="W115">
        <v>0</v>
      </c>
      <c r="X115">
        <v>0</v>
      </c>
      <c r="Y115">
        <v>0</v>
      </c>
      <c r="Z115">
        <v>0</v>
      </c>
      <c r="AA115">
        <v>0</v>
      </c>
      <c r="AB115">
        <v>0</v>
      </c>
      <c r="AC115">
        <v>0</v>
      </c>
      <c r="AD115">
        <v>0</v>
      </c>
      <c r="AE115">
        <v>0</v>
      </c>
      <c r="AF115">
        <v>0</v>
      </c>
      <c r="AG115">
        <v>0</v>
      </c>
      <c r="AH115">
        <v>0</v>
      </c>
      <c r="AI115">
        <v>0</v>
      </c>
      <c r="AJ115">
        <v>0</v>
      </c>
      <c r="AK115">
        <v>0</v>
      </c>
      <c r="AL115">
        <v>0</v>
      </c>
      <c r="AM115">
        <v>0</v>
      </c>
      <c r="AN115">
        <v>0</v>
      </c>
      <c r="AO115">
        <v>0</v>
      </c>
      <c r="AP115">
        <v>2.09</v>
      </c>
      <c r="AQ115">
        <v>0</v>
      </c>
      <c r="AR115">
        <v>0</v>
      </c>
      <c r="AS115">
        <v>2.09</v>
      </c>
      <c r="AT115">
        <v>2.09</v>
      </c>
      <c r="AU115">
        <v>0</v>
      </c>
    </row>
    <row r="116" spans="1:47" ht="20.25" customHeight="1">
      <c r="A116">
        <v>3</v>
      </c>
      <c r="B116" t="s">
        <v>123</v>
      </c>
      <c r="C116" s="1" t="s">
        <v>124</v>
      </c>
      <c r="D116">
        <v>5792.391639999998</v>
      </c>
      <c r="E116">
        <v>14.43</v>
      </c>
      <c r="F116">
        <v>0</v>
      </c>
      <c r="G116">
        <v>0</v>
      </c>
      <c r="H116">
        <v>0</v>
      </c>
      <c r="I116">
        <v>0</v>
      </c>
      <c r="J116">
        <v>0</v>
      </c>
      <c r="K116">
        <v>0</v>
      </c>
      <c r="L116">
        <v>0</v>
      </c>
      <c r="M116">
        <v>14.43</v>
      </c>
      <c r="N116">
        <v>0</v>
      </c>
      <c r="O116">
        <v>0</v>
      </c>
      <c r="P116">
        <v>63.190000000000005</v>
      </c>
      <c r="Q116">
        <v>0.01</v>
      </c>
      <c r="R116">
        <v>0</v>
      </c>
      <c r="S116">
        <v>0.48</v>
      </c>
      <c r="T116">
        <v>0</v>
      </c>
      <c r="U116">
        <v>5.51</v>
      </c>
      <c r="V116">
        <v>3.51</v>
      </c>
      <c r="W116">
        <v>2.74</v>
      </c>
      <c r="X116">
        <v>0</v>
      </c>
      <c r="Y116">
        <v>29.82</v>
      </c>
      <c r="Z116">
        <v>0</v>
      </c>
      <c r="AA116">
        <v>0</v>
      </c>
      <c r="AB116">
        <v>2.62</v>
      </c>
      <c r="AC116">
        <v>1</v>
      </c>
      <c r="AD116">
        <v>11.969999999999999</v>
      </c>
      <c r="AE116">
        <v>0.06</v>
      </c>
      <c r="AF116">
        <v>0</v>
      </c>
      <c r="AG116">
        <v>0</v>
      </c>
      <c r="AH116">
        <v>0</v>
      </c>
      <c r="AI116">
        <v>0</v>
      </c>
      <c r="AJ116">
        <v>0.06</v>
      </c>
      <c r="AK116">
        <v>0</v>
      </c>
      <c r="AL116">
        <v>2.95</v>
      </c>
      <c r="AM116">
        <v>0</v>
      </c>
      <c r="AN116">
        <v>0</v>
      </c>
      <c r="AO116">
        <v>2.46</v>
      </c>
      <c r="AP116">
        <v>0</v>
      </c>
      <c r="AQ116">
        <v>5714.7716399999981</v>
      </c>
      <c r="AR116">
        <v>77.62</v>
      </c>
      <c r="AS116">
        <v>5714.7716399999981</v>
      </c>
      <c r="AT116">
        <v>5714.7716399999981</v>
      </c>
      <c r="AU116">
        <v>0</v>
      </c>
    </row>
    <row r="117" spans="1:47" s="934" customFormat="1" ht="20.25" customHeight="1">
      <c r="C117" s="935" t="s">
        <v>1079</v>
      </c>
      <c r="E117" s="177">
        <v>33.049999999999997</v>
      </c>
      <c r="F117" s="177">
        <v>0</v>
      </c>
      <c r="G117" s="177">
        <v>0</v>
      </c>
      <c r="H117" s="177">
        <v>0</v>
      </c>
      <c r="I117" s="177">
        <v>0</v>
      </c>
      <c r="J117" s="177">
        <v>0</v>
      </c>
      <c r="K117" s="177">
        <v>0</v>
      </c>
      <c r="L117" s="177">
        <v>0</v>
      </c>
      <c r="M117" s="177">
        <v>0</v>
      </c>
      <c r="N117" s="177">
        <v>0</v>
      </c>
      <c r="O117" s="177">
        <v>0</v>
      </c>
      <c r="P117" s="177">
        <v>0</v>
      </c>
      <c r="Q117" s="177">
        <v>0</v>
      </c>
      <c r="R117" s="177">
        <v>0</v>
      </c>
      <c r="S117" s="177">
        <v>33.049999999999997</v>
      </c>
      <c r="T117" s="177">
        <v>0</v>
      </c>
      <c r="U117" s="177">
        <v>0</v>
      </c>
      <c r="V117" s="177">
        <v>2.5900000000000003</v>
      </c>
      <c r="W117" s="177">
        <v>0</v>
      </c>
      <c r="X117" s="177">
        <v>0</v>
      </c>
      <c r="Y117" s="177">
        <v>0</v>
      </c>
      <c r="Z117" s="177">
        <v>0</v>
      </c>
      <c r="AA117" s="177">
        <v>0</v>
      </c>
      <c r="AB117" s="177">
        <v>0</v>
      </c>
      <c r="AC117" s="177">
        <v>0</v>
      </c>
      <c r="AD117" s="177">
        <v>0</v>
      </c>
      <c r="AE117" s="177">
        <v>2.5900000000000003</v>
      </c>
      <c r="AF117" s="177">
        <v>0</v>
      </c>
      <c r="AG117" s="177">
        <v>0</v>
      </c>
      <c r="AH117" s="177">
        <v>0</v>
      </c>
      <c r="AI117" s="177">
        <v>0</v>
      </c>
      <c r="AJ117" s="177">
        <v>0</v>
      </c>
      <c r="AK117" s="177">
        <v>0</v>
      </c>
      <c r="AL117" s="177">
        <v>2.5900000000000003</v>
      </c>
      <c r="AM117" s="177">
        <v>0</v>
      </c>
      <c r="AN117" s="177">
        <v>0</v>
      </c>
      <c r="AO117" s="177">
        <v>0</v>
      </c>
      <c r="AP117" s="177">
        <v>0</v>
      </c>
      <c r="AQ117" s="177">
        <v>0</v>
      </c>
      <c r="AR117" s="177">
        <v>0</v>
      </c>
      <c r="AS117" s="177">
        <v>0</v>
      </c>
      <c r="AT117" s="177">
        <v>0</v>
      </c>
    </row>
    <row r="118" spans="1:47" ht="20.25" customHeight="1">
      <c r="B118" t="s">
        <v>190</v>
      </c>
      <c r="E118" s="177">
        <v>149.26999999999998</v>
      </c>
      <c r="F118">
        <v>0</v>
      </c>
      <c r="G118">
        <v>0</v>
      </c>
      <c r="H118">
        <v>0</v>
      </c>
      <c r="I118">
        <v>0</v>
      </c>
      <c r="J118">
        <v>0</v>
      </c>
      <c r="K118">
        <v>0</v>
      </c>
      <c r="L118">
        <v>0</v>
      </c>
      <c r="M118">
        <v>160.05000000000001</v>
      </c>
      <c r="N118">
        <v>0</v>
      </c>
      <c r="O118">
        <v>0</v>
      </c>
      <c r="P118">
        <v>987.23000000000013</v>
      </c>
      <c r="Q118">
        <v>7.14</v>
      </c>
      <c r="R118">
        <v>0</v>
      </c>
      <c r="S118" s="177">
        <v>71.269999999999982</v>
      </c>
      <c r="T118">
        <v>0</v>
      </c>
      <c r="U118">
        <v>199.79</v>
      </c>
      <c r="V118" s="177">
        <v>95.810000000000016</v>
      </c>
      <c r="W118">
        <v>109.85999999999999</v>
      </c>
      <c r="X118">
        <v>0</v>
      </c>
      <c r="Y118">
        <v>231.79999999999998</v>
      </c>
      <c r="Z118">
        <v>0</v>
      </c>
      <c r="AA118">
        <v>0</v>
      </c>
      <c r="AB118">
        <v>11.620000000000001</v>
      </c>
      <c r="AC118">
        <v>14.27</v>
      </c>
      <c r="AD118">
        <v>45.72</v>
      </c>
      <c r="AE118" s="177">
        <v>21.98</v>
      </c>
      <c r="AF118">
        <v>0</v>
      </c>
      <c r="AG118">
        <v>0</v>
      </c>
      <c r="AH118">
        <v>1.35</v>
      </c>
      <c r="AI118">
        <v>0</v>
      </c>
      <c r="AJ118">
        <v>295.12999999999994</v>
      </c>
      <c r="AK118">
        <v>0</v>
      </c>
      <c r="AL118" s="177">
        <v>17.579999999999998</v>
      </c>
      <c r="AM118">
        <v>0</v>
      </c>
      <c r="AN118">
        <v>0</v>
      </c>
      <c r="AO118">
        <v>5.51</v>
      </c>
      <c r="AP118">
        <v>0</v>
      </c>
      <c r="AQ118">
        <v>0</v>
      </c>
    </row>
    <row r="119" spans="1:47" ht="25.5" customHeight="1">
      <c r="B119" t="s">
        <v>365</v>
      </c>
      <c r="D119">
        <v>51994.126899999996</v>
      </c>
      <c r="E119">
        <v>37640.322589999996</v>
      </c>
      <c r="F119">
        <v>3079.4102499999999</v>
      </c>
      <c r="G119">
        <v>1715.058</v>
      </c>
      <c r="H119">
        <v>977.34429999999986</v>
      </c>
      <c r="I119">
        <v>1737.3819399999998</v>
      </c>
      <c r="J119">
        <v>15106.250000000002</v>
      </c>
      <c r="K119">
        <v>0</v>
      </c>
      <c r="L119">
        <v>13167.936099999997</v>
      </c>
      <c r="M119">
        <v>3531.9200000000005</v>
      </c>
      <c r="N119">
        <v>0</v>
      </c>
      <c r="O119">
        <v>40.08</v>
      </c>
      <c r="P119">
        <v>8639.0326699999987</v>
      </c>
      <c r="Q119">
        <v>287.20866999999998</v>
      </c>
      <c r="R119">
        <v>9.83</v>
      </c>
      <c r="S119">
        <v>150.85999999999999</v>
      </c>
      <c r="T119">
        <v>0</v>
      </c>
      <c r="U119">
        <v>199.79</v>
      </c>
      <c r="V119">
        <v>442.29716999999999</v>
      </c>
      <c r="W119">
        <v>230.08999999999997</v>
      </c>
      <c r="X119">
        <v>0</v>
      </c>
      <c r="Y119">
        <v>2324.3825000000006</v>
      </c>
      <c r="Z119">
        <v>0.24000000000000002</v>
      </c>
      <c r="AA119">
        <v>0</v>
      </c>
      <c r="AB119">
        <v>55.85</v>
      </c>
      <c r="AC119">
        <v>324.78955000000002</v>
      </c>
      <c r="AD119">
        <v>372.24450000000002</v>
      </c>
      <c r="AE119">
        <v>58.440280000000001</v>
      </c>
      <c r="AF119">
        <v>0.67</v>
      </c>
      <c r="AG119">
        <v>0</v>
      </c>
      <c r="AH119">
        <v>12.12</v>
      </c>
      <c r="AI119">
        <v>237.46000000000004</v>
      </c>
      <c r="AJ119">
        <v>313.13039999999995</v>
      </c>
      <c r="AK119">
        <v>12.339599999999999</v>
      </c>
      <c r="AL119">
        <v>29.869999999999997</v>
      </c>
      <c r="AM119">
        <v>10.440000000000003</v>
      </c>
      <c r="AN119">
        <v>2479.7200000000003</v>
      </c>
      <c r="AO119">
        <v>1085.1699999999998</v>
      </c>
      <c r="AP119">
        <v>2.09</v>
      </c>
      <c r="AQ119">
        <v>5714.7716399999981</v>
      </c>
    </row>
    <row r="120" spans="1:47" ht="24.95" customHeight="1">
      <c r="V120">
        <v>225.11</v>
      </c>
      <c r="W120">
        <v>619.54</v>
      </c>
      <c r="AD120">
        <v>100.95</v>
      </c>
      <c r="AI120">
        <v>105.47</v>
      </c>
      <c r="AL120">
        <v>75.239999999999995</v>
      </c>
    </row>
    <row r="121" spans="1:47" ht="24.95" customHeight="1">
      <c r="V121">
        <v>-129.30000000000001</v>
      </c>
      <c r="W121">
        <v>-509.67999999999995</v>
      </c>
      <c r="AD121">
        <v>1.25</v>
      </c>
    </row>
  </sheetData>
  <mergeCells count="21">
    <mergeCell ref="A1:B1"/>
    <mergeCell ref="A2:BN2"/>
    <mergeCell ref="A4:A5"/>
    <mergeCell ref="B4:B5"/>
    <mergeCell ref="C4:C5"/>
    <mergeCell ref="A72:AS72"/>
    <mergeCell ref="BN4:BN5"/>
    <mergeCell ref="A73:AS73"/>
    <mergeCell ref="BL4:BL5"/>
    <mergeCell ref="AS75:AS76"/>
    <mergeCell ref="AR74:AS74"/>
    <mergeCell ref="D4:D5"/>
    <mergeCell ref="AR75:AR76"/>
    <mergeCell ref="B75:B76"/>
    <mergeCell ref="E4:BK4"/>
    <mergeCell ref="A71:B71"/>
    <mergeCell ref="BM4:BM5"/>
    <mergeCell ref="A75:A76"/>
    <mergeCell ref="D75:D76"/>
    <mergeCell ref="E75:AQ75"/>
    <mergeCell ref="C75:C76"/>
  </mergeCells>
  <phoneticPr fontId="4" type="noConversion"/>
  <printOptions horizontalCentered="1"/>
  <pageMargins left="0.75" right="0.25" top="0.25" bottom="0.25" header="0.25" footer="0.25"/>
  <pageSetup paperSize="8" scale="35" orientation="landscape" r:id="rId1"/>
  <headerFooter alignWithMargins="0"/>
  <rowBreaks count="1" manualBreakCount="1">
    <brk id="69" max="16383" man="1"/>
  </rowBreaks>
  <colBreaks count="1" manualBreakCount="1">
    <brk id="66" max="1048575" man="1"/>
  </col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dimension ref="A1:BP117"/>
  <sheetViews>
    <sheetView showZeros="0" topLeftCell="A4" zoomScale="75" workbookViewId="0">
      <pane xSplit="4" ySplit="4" topLeftCell="AS8" activePane="bottomRight" state="frozen"/>
      <selection activeCell="A4" sqref="A4"/>
      <selection pane="topRight" activeCell="E4" sqref="E4"/>
      <selection pane="bottomLeft" activeCell="A8" sqref="A8"/>
      <selection pane="bottomRight" activeCell="AV25" sqref="AV25"/>
    </sheetView>
  </sheetViews>
  <sheetFormatPr defaultRowHeight="24.95" customHeight="1"/>
  <cols>
    <col min="1" max="1" width="10.7109375" customWidth="1"/>
    <col min="2" max="2" width="47.140625" customWidth="1"/>
    <col min="3" max="3" width="8.28515625" customWidth="1"/>
    <col min="4" max="4" width="13.5703125" customWidth="1"/>
    <col min="5" max="6" width="11.85546875" customWidth="1"/>
    <col min="7" max="7" width="11.28515625" customWidth="1"/>
    <col min="8" max="8" width="10.85546875" customWidth="1"/>
    <col min="9" max="9" width="11.140625" customWidth="1"/>
    <col min="10" max="10" width="11" customWidth="1"/>
    <col min="11" max="11" width="10" hidden="1" customWidth="1"/>
    <col min="12" max="12" width="11.140625" hidden="1" customWidth="1"/>
    <col min="13" max="13" width="11.85546875" customWidth="1"/>
    <col min="14" max="14" width="11.28515625" customWidth="1"/>
    <col min="15" max="15" width="11.28515625" hidden="1" customWidth="1"/>
    <col min="16" max="16" width="12.85546875" customWidth="1"/>
    <col min="17" max="17" width="12.28515625" customWidth="1"/>
    <col min="18" max="18" width="10.85546875" customWidth="1"/>
    <col min="20" max="20" width="10.140625" customWidth="1"/>
    <col min="21" max="21" width="9.85546875" customWidth="1"/>
    <col min="22" max="22" width="11.5703125" style="103" customWidth="1"/>
    <col min="23" max="23" width="11.140625" customWidth="1"/>
    <col min="24" max="24" width="10.7109375" customWidth="1"/>
    <col min="25" max="25" width="10.42578125" customWidth="1"/>
    <col min="26" max="26" width="11.140625" customWidth="1"/>
    <col min="27" max="27" width="9.85546875" customWidth="1"/>
    <col min="28" max="39" width="10.42578125" customWidth="1"/>
    <col min="40" max="40" width="11" customWidth="1"/>
    <col min="41" max="43" width="9.42578125" customWidth="1"/>
    <col min="44" max="44" width="10.85546875" customWidth="1"/>
    <col min="45" max="45" width="11.28515625" customWidth="1"/>
    <col min="46" max="47" width="9.42578125" customWidth="1"/>
    <col min="48" max="48" width="11.5703125" customWidth="1"/>
    <col min="49" max="54" width="9" customWidth="1"/>
    <col min="55" max="55" width="10.28515625" customWidth="1"/>
    <col min="56" max="59" width="9" customWidth="1"/>
    <col min="60" max="60" width="10.140625" customWidth="1"/>
    <col min="61" max="62" width="9.85546875" customWidth="1"/>
    <col min="64" max="64" width="10.5703125" customWidth="1"/>
    <col min="65" max="65" width="14.28515625" customWidth="1"/>
    <col min="66" max="66" width="13" customWidth="1"/>
  </cols>
  <sheetData>
    <row r="1" spans="1:67" ht="24.95" customHeight="1">
      <c r="A1" s="1300" t="s">
        <v>301</v>
      </c>
      <c r="B1" s="1300"/>
    </row>
    <row r="2" spans="1:67" ht="36.75" customHeight="1">
      <c r="A2" s="1282" t="s">
        <v>957</v>
      </c>
      <c r="B2" s="1282"/>
      <c r="C2" s="1282"/>
      <c r="D2" s="1282"/>
      <c r="E2" s="1282"/>
      <c r="F2" s="1282"/>
      <c r="G2" s="1282"/>
      <c r="H2" s="1282"/>
      <c r="I2" s="1282"/>
      <c r="J2" s="1282"/>
      <c r="K2" s="1282"/>
      <c r="L2" s="1282"/>
      <c r="M2" s="1282"/>
      <c r="N2" s="1282"/>
      <c r="O2" s="1282"/>
      <c r="P2" s="1282"/>
      <c r="Q2" s="1282"/>
      <c r="R2" s="1282"/>
      <c r="S2" s="1282"/>
      <c r="T2" s="1282"/>
      <c r="U2" s="1282"/>
      <c r="V2" s="1282"/>
      <c r="W2" s="1282"/>
      <c r="X2" s="1282"/>
      <c r="Y2" s="1282"/>
      <c r="Z2" s="1282"/>
      <c r="AA2" s="1282"/>
      <c r="AB2" s="1282"/>
      <c r="AC2" s="1282"/>
      <c r="AD2" s="1282"/>
      <c r="AE2" s="1282"/>
      <c r="AF2" s="1282"/>
      <c r="AG2" s="1282"/>
      <c r="AH2" s="1282"/>
      <c r="AI2" s="1282"/>
      <c r="AJ2" s="1282"/>
      <c r="AK2" s="1282"/>
      <c r="AL2" s="1282"/>
      <c r="AM2" s="1282"/>
      <c r="AN2" s="1282"/>
      <c r="AO2" s="1282"/>
      <c r="AP2" s="1282"/>
      <c r="AQ2" s="1282"/>
      <c r="AR2" s="1282"/>
      <c r="AS2" s="1282"/>
      <c r="AT2" s="1282"/>
      <c r="AU2" s="1282"/>
      <c r="AV2" s="1282"/>
      <c r="AW2" s="1282"/>
      <c r="AX2" s="1282"/>
      <c r="AY2" s="1282"/>
      <c r="AZ2" s="1282"/>
      <c r="BA2" s="1282"/>
      <c r="BB2" s="1282"/>
      <c r="BC2" s="1282"/>
      <c r="BD2" s="1282"/>
      <c r="BE2" s="1282"/>
      <c r="BF2" s="1282"/>
      <c r="BG2" s="1282"/>
      <c r="BH2" s="1282"/>
      <c r="BI2" s="1282"/>
      <c r="BJ2" s="1282"/>
      <c r="BK2" s="1282"/>
      <c r="BL2" s="1282"/>
      <c r="BM2" s="1282"/>
      <c r="BN2" s="1282"/>
    </row>
    <row r="4" spans="1:67" ht="33" customHeight="1">
      <c r="A4" s="1275" t="s">
        <v>136</v>
      </c>
      <c r="B4" s="1275" t="s">
        <v>469</v>
      </c>
      <c r="C4" s="1275" t="s">
        <v>13</v>
      </c>
      <c r="D4" s="1275" t="s">
        <v>693</v>
      </c>
      <c r="E4" s="1368" t="s">
        <v>694</v>
      </c>
      <c r="F4" s="1368"/>
      <c r="G4" s="1368"/>
      <c r="H4" s="1368"/>
      <c r="I4" s="1368"/>
      <c r="J4" s="1368"/>
      <c r="K4" s="1368"/>
      <c r="L4" s="1368"/>
      <c r="M4" s="1368"/>
      <c r="N4" s="1368"/>
      <c r="O4" s="1368"/>
      <c r="P4" s="1368"/>
      <c r="Q4" s="1368"/>
      <c r="R4" s="1368"/>
      <c r="S4" s="1368"/>
      <c r="T4" s="1368"/>
      <c r="U4" s="1368"/>
      <c r="V4" s="1368"/>
      <c r="W4" s="1368"/>
      <c r="X4" s="1368"/>
      <c r="Y4" s="1368"/>
      <c r="Z4" s="1368"/>
      <c r="AA4" s="1368"/>
      <c r="AB4" s="1368"/>
      <c r="AC4" s="1368"/>
      <c r="AD4" s="1368"/>
      <c r="AE4" s="1368"/>
      <c r="AF4" s="1368"/>
      <c r="AG4" s="1368"/>
      <c r="AH4" s="1368"/>
      <c r="AI4" s="1368"/>
      <c r="AJ4" s="1368"/>
      <c r="AK4" s="1368"/>
      <c r="AL4" s="1368"/>
      <c r="AM4" s="1368"/>
      <c r="AN4" s="1368"/>
      <c r="AO4" s="1368"/>
      <c r="AP4" s="1368"/>
      <c r="AQ4" s="1368"/>
      <c r="AR4" s="1368"/>
      <c r="AS4" s="1368"/>
      <c r="AT4" s="1368"/>
      <c r="AU4" s="1368"/>
      <c r="AV4" s="1368"/>
      <c r="AW4" s="1368"/>
      <c r="AX4" s="1368"/>
      <c r="AY4" s="1368"/>
      <c r="AZ4" s="1368"/>
      <c r="BA4" s="1368"/>
      <c r="BB4" s="1368"/>
      <c r="BC4" s="1368"/>
      <c r="BD4" s="1368"/>
      <c r="BE4" s="1368"/>
      <c r="BF4" s="1368"/>
      <c r="BG4" s="1368"/>
      <c r="BH4" s="1368"/>
      <c r="BI4" s="1368"/>
      <c r="BJ4" s="1368"/>
      <c r="BK4" s="1368"/>
      <c r="BL4" s="1365" t="s">
        <v>191</v>
      </c>
      <c r="BM4" s="1365" t="s">
        <v>493</v>
      </c>
      <c r="BN4" s="1365" t="s">
        <v>695</v>
      </c>
    </row>
    <row r="5" spans="1:67" s="2" customFormat="1" ht="35.25" customHeight="1">
      <c r="A5" s="1275"/>
      <c r="B5" s="1275"/>
      <c r="C5" s="1275"/>
      <c r="D5" s="1275"/>
      <c r="E5" s="128" t="s">
        <v>15</v>
      </c>
      <c r="F5" s="128" t="s">
        <v>193</v>
      </c>
      <c r="G5" s="128" t="s">
        <v>194</v>
      </c>
      <c r="H5" s="128" t="s">
        <v>18</v>
      </c>
      <c r="I5" s="128" t="s">
        <v>20</v>
      </c>
      <c r="J5" s="128" t="s">
        <v>195</v>
      </c>
      <c r="K5" s="128" t="s">
        <v>196</v>
      </c>
      <c r="L5" s="128" t="s">
        <v>197</v>
      </c>
      <c r="M5" s="128" t="s">
        <v>23</v>
      </c>
      <c r="N5" s="128" t="s">
        <v>26</v>
      </c>
      <c r="O5" s="128" t="s">
        <v>198</v>
      </c>
      <c r="P5" s="128" t="s">
        <v>29</v>
      </c>
      <c r="Q5" s="128" t="s">
        <v>32</v>
      </c>
      <c r="R5" s="128" t="s">
        <v>35</v>
      </c>
      <c r="S5" s="128" t="s">
        <v>38</v>
      </c>
      <c r="T5" s="128" t="s">
        <v>41</v>
      </c>
      <c r="U5" s="128" t="s">
        <v>44</v>
      </c>
      <c r="V5" s="662" t="s">
        <v>46</v>
      </c>
      <c r="W5" s="128" t="s">
        <v>49</v>
      </c>
      <c r="X5" s="128" t="s">
        <v>52</v>
      </c>
      <c r="Y5" s="128" t="s">
        <v>55</v>
      </c>
      <c r="Z5" s="128" t="s">
        <v>58</v>
      </c>
      <c r="AA5" s="128" t="s">
        <v>61</v>
      </c>
      <c r="AB5" s="128" t="s">
        <v>64</v>
      </c>
      <c r="AC5" s="128" t="s">
        <v>67</v>
      </c>
      <c r="AD5" s="128" t="s">
        <v>70</v>
      </c>
      <c r="AE5" s="128" t="s">
        <v>72</v>
      </c>
      <c r="AF5" s="128" t="s">
        <v>202</v>
      </c>
      <c r="AG5" s="128" t="s">
        <v>203</v>
      </c>
      <c r="AH5" s="128" t="s">
        <v>204</v>
      </c>
      <c r="AI5" s="128" t="s">
        <v>205</v>
      </c>
      <c r="AJ5" s="128" t="s">
        <v>206</v>
      </c>
      <c r="AK5" s="128" t="s">
        <v>207</v>
      </c>
      <c r="AL5" s="128" t="s">
        <v>199</v>
      </c>
      <c r="AM5" s="128" t="s">
        <v>200</v>
      </c>
      <c r="AN5" s="128" t="s">
        <v>223</v>
      </c>
      <c r="AO5" s="128" t="s">
        <v>201</v>
      </c>
      <c r="AP5" s="128" t="s">
        <v>208</v>
      </c>
      <c r="AQ5" s="128" t="s">
        <v>75</v>
      </c>
      <c r="AR5" s="128" t="s">
        <v>78</v>
      </c>
      <c r="AS5" s="128" t="s">
        <v>81</v>
      </c>
      <c r="AT5" s="128" t="s">
        <v>84</v>
      </c>
      <c r="AU5" s="128" t="s">
        <v>87</v>
      </c>
      <c r="AV5" s="128" t="s">
        <v>90</v>
      </c>
      <c r="AW5" s="128" t="s">
        <v>93</v>
      </c>
      <c r="AX5" s="128" t="s">
        <v>96</v>
      </c>
      <c r="AY5" s="128" t="s">
        <v>99</v>
      </c>
      <c r="AZ5" s="128" t="s">
        <v>101</v>
      </c>
      <c r="BA5" s="128" t="s">
        <v>104</v>
      </c>
      <c r="BB5" s="128" t="s">
        <v>107</v>
      </c>
      <c r="BC5" s="128" t="s">
        <v>110</v>
      </c>
      <c r="BD5" s="128" t="s">
        <v>113</v>
      </c>
      <c r="BE5" s="128" t="s">
        <v>116</v>
      </c>
      <c r="BF5" s="128" t="s">
        <v>119</v>
      </c>
      <c r="BG5" s="128" t="s">
        <v>122</v>
      </c>
      <c r="BH5" s="128" t="s">
        <v>124</v>
      </c>
      <c r="BI5" s="128" t="s">
        <v>209</v>
      </c>
      <c r="BJ5" s="128" t="s">
        <v>210</v>
      </c>
      <c r="BK5" s="128" t="s">
        <v>211</v>
      </c>
      <c r="BL5" s="1366"/>
      <c r="BM5" s="1366"/>
      <c r="BN5" s="1366"/>
    </row>
    <row r="6" spans="1:67" s="2" customFormat="1" ht="24.95" customHeight="1">
      <c r="A6" s="106" t="s">
        <v>235</v>
      </c>
      <c r="B6" s="106" t="s">
        <v>236</v>
      </c>
      <c r="C6" s="106" t="s">
        <v>237</v>
      </c>
      <c r="D6" s="106" t="s">
        <v>238</v>
      </c>
      <c r="E6" s="106" t="s">
        <v>239</v>
      </c>
      <c r="F6" s="106" t="s">
        <v>240</v>
      </c>
      <c r="G6" s="106" t="s">
        <v>241</v>
      </c>
      <c r="H6" s="106" t="s">
        <v>242</v>
      </c>
      <c r="I6" s="106" t="s">
        <v>243</v>
      </c>
      <c r="J6" s="106" t="s">
        <v>244</v>
      </c>
      <c r="K6" s="106" t="s">
        <v>245</v>
      </c>
      <c r="L6" s="106" t="s">
        <v>246</v>
      </c>
      <c r="M6" s="106" t="s">
        <v>247</v>
      </c>
      <c r="N6" s="106" t="s">
        <v>248</v>
      </c>
      <c r="O6" s="106" t="s">
        <v>249</v>
      </c>
      <c r="P6" s="106" t="s">
        <v>250</v>
      </c>
      <c r="Q6" s="106" t="s">
        <v>251</v>
      </c>
      <c r="R6" s="106" t="s">
        <v>252</v>
      </c>
      <c r="S6" s="106" t="s">
        <v>253</v>
      </c>
      <c r="T6" s="106" t="s">
        <v>254</v>
      </c>
      <c r="U6" s="106" t="s">
        <v>255</v>
      </c>
      <c r="V6" s="665" t="s">
        <v>256</v>
      </c>
      <c r="W6" s="106" t="s">
        <v>257</v>
      </c>
      <c r="X6" s="106" t="s">
        <v>258</v>
      </c>
      <c r="Y6" s="106" t="s">
        <v>259</v>
      </c>
      <c r="Z6" s="106" t="s">
        <v>260</v>
      </c>
      <c r="AA6" s="106" t="s">
        <v>261</v>
      </c>
      <c r="AB6" s="106" t="s">
        <v>262</v>
      </c>
      <c r="AC6" s="106" t="s">
        <v>263</v>
      </c>
      <c r="AD6" s="106" t="s">
        <v>264</v>
      </c>
      <c r="AE6" s="106" t="s">
        <v>265</v>
      </c>
      <c r="AF6" s="106" t="s">
        <v>266</v>
      </c>
      <c r="AG6" s="106" t="s">
        <v>267</v>
      </c>
      <c r="AH6" s="106" t="s">
        <v>268</v>
      </c>
      <c r="AI6" s="106" t="s">
        <v>269</v>
      </c>
      <c r="AJ6" s="106" t="s">
        <v>270</v>
      </c>
      <c r="AK6" s="106" t="s">
        <v>271</v>
      </c>
      <c r="AL6" s="106" t="s">
        <v>272</v>
      </c>
      <c r="AM6" s="106" t="s">
        <v>273</v>
      </c>
      <c r="AN6" s="106" t="s">
        <v>274</v>
      </c>
      <c r="AO6" s="106" t="s">
        <v>275</v>
      </c>
      <c r="AP6" s="106" t="s">
        <v>276</v>
      </c>
      <c r="AQ6" s="106" t="s">
        <v>277</v>
      </c>
      <c r="AR6" s="106" t="s">
        <v>278</v>
      </c>
      <c r="AS6" s="106" t="s">
        <v>279</v>
      </c>
      <c r="AT6" s="106" t="s">
        <v>280</v>
      </c>
      <c r="AU6" s="106" t="s">
        <v>281</v>
      </c>
      <c r="AV6" s="106" t="s">
        <v>282</v>
      </c>
      <c r="AW6" s="106" t="s">
        <v>283</v>
      </c>
      <c r="AX6" s="106" t="s">
        <v>284</v>
      </c>
      <c r="AY6" s="106" t="s">
        <v>285</v>
      </c>
      <c r="AZ6" s="106" t="s">
        <v>286</v>
      </c>
      <c r="BA6" s="106" t="s">
        <v>287</v>
      </c>
      <c r="BB6" s="106" t="s">
        <v>288</v>
      </c>
      <c r="BC6" s="106" t="s">
        <v>289</v>
      </c>
      <c r="BD6" s="106" t="s">
        <v>290</v>
      </c>
      <c r="BE6" s="106" t="s">
        <v>291</v>
      </c>
      <c r="BF6" s="106" t="s">
        <v>292</v>
      </c>
      <c r="BG6" s="106" t="s">
        <v>293</v>
      </c>
      <c r="BH6" s="106" t="s">
        <v>294</v>
      </c>
      <c r="BI6" s="106" t="s">
        <v>295</v>
      </c>
      <c r="BJ6" s="106" t="s">
        <v>296</v>
      </c>
      <c r="BK6" s="106" t="s">
        <v>297</v>
      </c>
      <c r="BL6" s="106" t="s">
        <v>298</v>
      </c>
      <c r="BM6" s="106" t="s">
        <v>299</v>
      </c>
      <c r="BN6" s="106" t="s">
        <v>300</v>
      </c>
    </row>
    <row r="7" spans="1:67" s="8" customFormat="1" ht="31.5" customHeight="1">
      <c r="A7" s="12"/>
      <c r="B7" s="12" t="s">
        <v>470</v>
      </c>
      <c r="C7" s="132"/>
      <c r="D7" s="448">
        <f>D8+D25+D63</f>
        <v>5030.5495000000001</v>
      </c>
      <c r="E7" s="448">
        <f>E8+E25+E63</f>
        <v>4305.42</v>
      </c>
      <c r="F7" s="448">
        <f t="shared" ref="F7:BN7" si="0">F8+F25+F63</f>
        <v>455.11</v>
      </c>
      <c r="G7" s="448">
        <f t="shared" si="0"/>
        <v>256.95</v>
      </c>
      <c r="H7" s="448">
        <f t="shared" si="0"/>
        <v>215.8</v>
      </c>
      <c r="I7" s="448">
        <f t="shared" si="0"/>
        <v>0</v>
      </c>
      <c r="J7" s="448">
        <f t="shared" si="0"/>
        <v>215.8</v>
      </c>
      <c r="K7" s="448">
        <f t="shared" si="0"/>
        <v>0</v>
      </c>
      <c r="L7" s="448">
        <f t="shared" si="0"/>
        <v>0</v>
      </c>
      <c r="M7" s="448">
        <f t="shared" si="0"/>
        <v>41.15</v>
      </c>
      <c r="N7" s="448">
        <f t="shared" si="0"/>
        <v>198.16</v>
      </c>
      <c r="O7" s="448">
        <f t="shared" si="0"/>
        <v>3847.89</v>
      </c>
      <c r="P7" s="448">
        <f t="shared" si="0"/>
        <v>2437.75</v>
      </c>
      <c r="Q7" s="448">
        <f t="shared" si="0"/>
        <v>0</v>
      </c>
      <c r="R7" s="448">
        <f t="shared" si="0"/>
        <v>1410.1399999999999</v>
      </c>
      <c r="S7" s="448">
        <f t="shared" si="0"/>
        <v>1.54</v>
      </c>
      <c r="T7" s="448">
        <f t="shared" si="0"/>
        <v>0</v>
      </c>
      <c r="U7" s="448">
        <f t="shared" si="0"/>
        <v>0.88</v>
      </c>
      <c r="V7" s="448">
        <f t="shared" si="0"/>
        <v>646.23950000000002</v>
      </c>
      <c r="W7" s="448">
        <f t="shared" si="0"/>
        <v>44.83</v>
      </c>
      <c r="X7" s="448">
        <f t="shared" si="0"/>
        <v>0</v>
      </c>
      <c r="Y7" s="448">
        <f t="shared" si="0"/>
        <v>0</v>
      </c>
      <c r="Z7" s="448">
        <f t="shared" si="0"/>
        <v>0</v>
      </c>
      <c r="AA7" s="448">
        <f t="shared" si="0"/>
        <v>0</v>
      </c>
      <c r="AB7" s="448">
        <f t="shared" si="0"/>
        <v>24.09</v>
      </c>
      <c r="AC7" s="448">
        <f t="shared" si="0"/>
        <v>0</v>
      </c>
      <c r="AD7" s="448">
        <f t="shared" si="0"/>
        <v>0</v>
      </c>
      <c r="AE7" s="448">
        <f t="shared" si="0"/>
        <v>96.969500000000011</v>
      </c>
      <c r="AF7" s="448">
        <f t="shared" si="0"/>
        <v>0</v>
      </c>
      <c r="AG7" s="448">
        <f t="shared" si="0"/>
        <v>0.25</v>
      </c>
      <c r="AH7" s="448">
        <f t="shared" si="0"/>
        <v>1.7795000000000001</v>
      </c>
      <c r="AI7" s="448">
        <f t="shared" si="0"/>
        <v>0.76</v>
      </c>
      <c r="AJ7" s="448">
        <f t="shared" si="0"/>
        <v>0</v>
      </c>
      <c r="AK7" s="448">
        <f t="shared" si="0"/>
        <v>0</v>
      </c>
      <c r="AL7" s="448">
        <f t="shared" si="0"/>
        <v>89</v>
      </c>
      <c r="AM7" s="448">
        <f t="shared" si="0"/>
        <v>2.96</v>
      </c>
      <c r="AN7" s="448">
        <f t="shared" si="0"/>
        <v>0.12</v>
      </c>
      <c r="AO7" s="448">
        <f t="shared" si="0"/>
        <v>0.09</v>
      </c>
      <c r="AP7" s="448">
        <f t="shared" si="0"/>
        <v>2.0099999999999998</v>
      </c>
      <c r="AQ7" s="448">
        <f t="shared" si="0"/>
        <v>0</v>
      </c>
      <c r="AR7" s="448">
        <f t="shared" si="0"/>
        <v>0</v>
      </c>
      <c r="AS7" s="448">
        <f t="shared" si="0"/>
        <v>0</v>
      </c>
      <c r="AT7" s="448">
        <f t="shared" si="0"/>
        <v>12.62</v>
      </c>
      <c r="AU7" s="448">
        <f t="shared" si="0"/>
        <v>0</v>
      </c>
      <c r="AV7" s="448">
        <f t="shared" si="0"/>
        <v>2.15</v>
      </c>
      <c r="AW7" s="448">
        <f t="shared" si="0"/>
        <v>0</v>
      </c>
      <c r="AX7" s="448">
        <f t="shared" si="0"/>
        <v>0</v>
      </c>
      <c r="AY7" s="448">
        <f t="shared" si="0"/>
        <v>0</v>
      </c>
      <c r="AZ7" s="448">
        <f t="shared" si="0"/>
        <v>3.54</v>
      </c>
      <c r="BA7" s="448">
        <f t="shared" si="0"/>
        <v>0</v>
      </c>
      <c r="BB7" s="448">
        <f t="shared" si="0"/>
        <v>0.47</v>
      </c>
      <c r="BC7" s="448">
        <f t="shared" si="0"/>
        <v>0</v>
      </c>
      <c r="BD7" s="448">
        <f t="shared" si="0"/>
        <v>0</v>
      </c>
      <c r="BE7" s="448">
        <f t="shared" si="0"/>
        <v>106</v>
      </c>
      <c r="BF7" s="448">
        <f t="shared" si="0"/>
        <v>355.57</v>
      </c>
      <c r="BG7" s="448">
        <f t="shared" si="0"/>
        <v>0</v>
      </c>
      <c r="BH7" s="448">
        <f t="shared" si="0"/>
        <v>78.89</v>
      </c>
      <c r="BI7" s="448">
        <f t="shared" si="0"/>
        <v>0</v>
      </c>
      <c r="BJ7" s="448">
        <f t="shared" si="0"/>
        <v>4.7</v>
      </c>
      <c r="BK7" s="448">
        <f t="shared" si="0"/>
        <v>0</v>
      </c>
      <c r="BL7" s="448"/>
      <c r="BM7" s="448">
        <f t="shared" si="0"/>
        <v>-1.9428902930940239E-16</v>
      </c>
      <c r="BN7" s="448">
        <f t="shared" si="0"/>
        <v>5030.5495000000001</v>
      </c>
    </row>
    <row r="8" spans="1:67" s="7" customFormat="1" ht="20.25" customHeight="1">
      <c r="A8" s="15">
        <v>1</v>
      </c>
      <c r="B8" s="15" t="s">
        <v>14</v>
      </c>
      <c r="C8" s="133" t="s">
        <v>15</v>
      </c>
      <c r="D8" s="449">
        <f>D9+D18+D22+D23+D24</f>
        <v>4308.34</v>
      </c>
      <c r="E8" s="449">
        <f>D8-BL8</f>
        <v>4305.42</v>
      </c>
      <c r="F8" s="449">
        <f>G8+N8</f>
        <v>455.11</v>
      </c>
      <c r="G8" s="449">
        <f>H8+L8+M8</f>
        <v>256.95</v>
      </c>
      <c r="H8" s="449">
        <f>I8+J8+K8</f>
        <v>215.8</v>
      </c>
      <c r="I8" s="449">
        <f>I9+I18+I22+I23+I24</f>
        <v>0</v>
      </c>
      <c r="J8" s="449">
        <f t="shared" ref="J8:BG8" si="1">J9+J18+J22+J23+J24</f>
        <v>215.8</v>
      </c>
      <c r="K8" s="449">
        <f t="shared" si="1"/>
        <v>0</v>
      </c>
      <c r="L8" s="449">
        <f t="shared" si="1"/>
        <v>0</v>
      </c>
      <c r="M8" s="449">
        <f t="shared" si="1"/>
        <v>41.15</v>
      </c>
      <c r="N8" s="449">
        <f t="shared" si="1"/>
        <v>198.16</v>
      </c>
      <c r="O8" s="449">
        <f>P8+Q8+R8</f>
        <v>3847.89</v>
      </c>
      <c r="P8" s="449">
        <f t="shared" si="1"/>
        <v>2437.75</v>
      </c>
      <c r="Q8" s="449">
        <f t="shared" si="1"/>
        <v>0</v>
      </c>
      <c r="R8" s="449">
        <f t="shared" si="1"/>
        <v>1410.1399999999999</v>
      </c>
      <c r="S8" s="449">
        <f t="shared" si="1"/>
        <v>1.54</v>
      </c>
      <c r="T8" s="449">
        <f t="shared" si="1"/>
        <v>0</v>
      </c>
      <c r="U8" s="449">
        <f t="shared" si="1"/>
        <v>0.88</v>
      </c>
      <c r="V8" s="666">
        <f t="shared" si="1"/>
        <v>2.92</v>
      </c>
      <c r="W8" s="449">
        <f t="shared" si="1"/>
        <v>0</v>
      </c>
      <c r="X8" s="449">
        <f t="shared" si="1"/>
        <v>0</v>
      </c>
      <c r="Y8" s="449">
        <f t="shared" si="1"/>
        <v>0</v>
      </c>
      <c r="Z8" s="449">
        <f t="shared" si="1"/>
        <v>0</v>
      </c>
      <c r="AA8" s="449">
        <f t="shared" si="1"/>
        <v>0</v>
      </c>
      <c r="AB8" s="449">
        <f t="shared" si="1"/>
        <v>0</v>
      </c>
      <c r="AC8" s="449">
        <f t="shared" si="1"/>
        <v>0</v>
      </c>
      <c r="AD8" s="449">
        <f t="shared" si="1"/>
        <v>0</v>
      </c>
      <c r="AE8" s="449">
        <f t="shared" si="1"/>
        <v>2.62</v>
      </c>
      <c r="AF8" s="449">
        <f t="shared" si="1"/>
        <v>0</v>
      </c>
      <c r="AG8" s="449">
        <f t="shared" si="1"/>
        <v>0</v>
      </c>
      <c r="AH8" s="449">
        <f t="shared" si="1"/>
        <v>0</v>
      </c>
      <c r="AI8" s="449">
        <f t="shared" si="1"/>
        <v>0.1</v>
      </c>
      <c r="AJ8" s="449">
        <f t="shared" si="1"/>
        <v>0</v>
      </c>
      <c r="AK8" s="449">
        <f t="shared" si="1"/>
        <v>0</v>
      </c>
      <c r="AL8" s="449">
        <f t="shared" si="1"/>
        <v>1.52</v>
      </c>
      <c r="AM8" s="449">
        <f t="shared" si="1"/>
        <v>0</v>
      </c>
      <c r="AN8" s="449">
        <f t="shared" si="1"/>
        <v>0</v>
      </c>
      <c r="AO8" s="449">
        <f t="shared" si="1"/>
        <v>0</v>
      </c>
      <c r="AP8" s="449">
        <f t="shared" si="1"/>
        <v>1</v>
      </c>
      <c r="AQ8" s="449">
        <f t="shared" si="1"/>
        <v>0</v>
      </c>
      <c r="AR8" s="449">
        <f t="shared" si="1"/>
        <v>0</v>
      </c>
      <c r="AS8" s="449">
        <f t="shared" si="1"/>
        <v>0</v>
      </c>
      <c r="AT8" s="449">
        <f t="shared" si="1"/>
        <v>0.3</v>
      </c>
      <c r="AU8" s="449">
        <f t="shared" si="1"/>
        <v>0</v>
      </c>
      <c r="AV8" s="449">
        <f t="shared" si="1"/>
        <v>0</v>
      </c>
      <c r="AW8" s="449">
        <f t="shared" si="1"/>
        <v>0</v>
      </c>
      <c r="AX8" s="449">
        <f t="shared" si="1"/>
        <v>0</v>
      </c>
      <c r="AY8" s="449">
        <f t="shared" si="1"/>
        <v>0</v>
      </c>
      <c r="AZ8" s="449">
        <f t="shared" si="1"/>
        <v>0</v>
      </c>
      <c r="BA8" s="449">
        <f t="shared" si="1"/>
        <v>0</v>
      </c>
      <c r="BB8" s="449">
        <f t="shared" si="1"/>
        <v>0</v>
      </c>
      <c r="BC8" s="449">
        <f t="shared" si="1"/>
        <v>0</v>
      </c>
      <c r="BD8" s="449">
        <f t="shared" si="1"/>
        <v>0</v>
      </c>
      <c r="BE8" s="449">
        <f t="shared" si="1"/>
        <v>0</v>
      </c>
      <c r="BF8" s="449">
        <f t="shared" si="1"/>
        <v>0</v>
      </c>
      <c r="BG8" s="449">
        <f t="shared" si="1"/>
        <v>0</v>
      </c>
      <c r="BH8" s="449">
        <f>BH9+BH18+BH22+BH23+BH24</f>
        <v>0</v>
      </c>
      <c r="BI8" s="449">
        <f>BI9+BI18+BI22+BI23+BI24</f>
        <v>0</v>
      </c>
      <c r="BJ8" s="449">
        <f>BJ9+BJ18+BJ22+BJ23+BJ24</f>
        <v>0</v>
      </c>
      <c r="BK8" s="449">
        <f>BK9+BK18+BK22+BK23+BK24</f>
        <v>0</v>
      </c>
      <c r="BL8" s="449">
        <f>V8+BH8</f>
        <v>2.92</v>
      </c>
      <c r="BM8" s="449">
        <f>BM9+BM18+BM22+BM23+BM24</f>
        <v>-2.92</v>
      </c>
      <c r="BN8" s="449">
        <f>BN9+BN18+BN22+BN23+BN24</f>
        <v>4305.42</v>
      </c>
      <c r="BO8" s="134"/>
    </row>
    <row r="9" spans="1:67" s="2" customFormat="1" ht="21.75" hidden="1" customHeight="1">
      <c r="A9" s="14" t="s">
        <v>16</v>
      </c>
      <c r="B9" s="14" t="s">
        <v>471</v>
      </c>
      <c r="C9" s="107" t="s">
        <v>193</v>
      </c>
      <c r="D9" s="450">
        <f>D10+D17</f>
        <v>456.39</v>
      </c>
      <c r="E9" s="450">
        <f>F9+O9+S9+T9+U9</f>
        <v>456.39</v>
      </c>
      <c r="F9" s="450">
        <f>D9-BK9</f>
        <v>456.39</v>
      </c>
      <c r="G9" s="450">
        <f>H9+L9+M9</f>
        <v>256.95</v>
      </c>
      <c r="H9" s="450">
        <f>I9+J9+K9</f>
        <v>215.8</v>
      </c>
      <c r="I9" s="450">
        <f>I10+I17</f>
        <v>0</v>
      </c>
      <c r="J9" s="450">
        <f t="shared" ref="J9:BG9" si="2">J10+J17</f>
        <v>215.8</v>
      </c>
      <c r="K9" s="450">
        <f t="shared" si="2"/>
        <v>0</v>
      </c>
      <c r="L9" s="450">
        <f t="shared" si="2"/>
        <v>0</v>
      </c>
      <c r="M9" s="450">
        <f t="shared" si="2"/>
        <v>41.15</v>
      </c>
      <c r="N9" s="450">
        <f t="shared" si="2"/>
        <v>198.16</v>
      </c>
      <c r="O9" s="450">
        <f t="shared" ref="O9:O17" si="3">P9+Q9+R9</f>
        <v>0</v>
      </c>
      <c r="P9" s="450">
        <f t="shared" si="2"/>
        <v>0</v>
      </c>
      <c r="Q9" s="450">
        <f t="shared" si="2"/>
        <v>0</v>
      </c>
      <c r="R9" s="450">
        <f t="shared" si="2"/>
        <v>0</v>
      </c>
      <c r="S9" s="450">
        <f t="shared" si="2"/>
        <v>0</v>
      </c>
      <c r="T9" s="450">
        <f t="shared" si="2"/>
        <v>0</v>
      </c>
      <c r="U9" s="450">
        <f t="shared" si="2"/>
        <v>0</v>
      </c>
      <c r="V9" s="667">
        <f t="shared" si="2"/>
        <v>1.28</v>
      </c>
      <c r="W9" s="450">
        <f t="shared" si="2"/>
        <v>0</v>
      </c>
      <c r="X9" s="450">
        <f t="shared" si="2"/>
        <v>0</v>
      </c>
      <c r="Y9" s="450">
        <f t="shared" si="2"/>
        <v>0</v>
      </c>
      <c r="Z9" s="450">
        <f t="shared" si="2"/>
        <v>0</v>
      </c>
      <c r="AA9" s="450">
        <f t="shared" si="2"/>
        <v>0</v>
      </c>
      <c r="AB9" s="450">
        <f t="shared" si="2"/>
        <v>0</v>
      </c>
      <c r="AC9" s="450">
        <f t="shared" si="2"/>
        <v>0</v>
      </c>
      <c r="AD9" s="450">
        <f t="shared" si="2"/>
        <v>0</v>
      </c>
      <c r="AE9" s="450">
        <f t="shared" si="2"/>
        <v>0.98</v>
      </c>
      <c r="AF9" s="450">
        <f t="shared" si="2"/>
        <v>0</v>
      </c>
      <c r="AG9" s="450">
        <f t="shared" si="2"/>
        <v>0</v>
      </c>
      <c r="AH9" s="450">
        <f t="shared" si="2"/>
        <v>0</v>
      </c>
      <c r="AI9" s="450">
        <f t="shared" si="2"/>
        <v>0.05</v>
      </c>
      <c r="AJ9" s="450">
        <f t="shared" si="2"/>
        <v>0</v>
      </c>
      <c r="AK9" s="450">
        <f t="shared" si="2"/>
        <v>0</v>
      </c>
      <c r="AL9" s="450">
        <f t="shared" si="2"/>
        <v>0.92999999999999994</v>
      </c>
      <c r="AM9" s="450">
        <f t="shared" si="2"/>
        <v>0</v>
      </c>
      <c r="AN9" s="450">
        <f t="shared" si="2"/>
        <v>0</v>
      </c>
      <c r="AO9" s="450">
        <f t="shared" si="2"/>
        <v>0</v>
      </c>
      <c r="AP9" s="450">
        <f t="shared" si="2"/>
        <v>0</v>
      </c>
      <c r="AQ9" s="450">
        <f t="shared" si="2"/>
        <v>0</v>
      </c>
      <c r="AR9" s="450">
        <f t="shared" si="2"/>
        <v>0</v>
      </c>
      <c r="AS9" s="450">
        <f t="shared" si="2"/>
        <v>0</v>
      </c>
      <c r="AT9" s="450">
        <f t="shared" si="2"/>
        <v>0.3</v>
      </c>
      <c r="AU9" s="450">
        <f t="shared" si="2"/>
        <v>0</v>
      </c>
      <c r="AV9" s="450">
        <f t="shared" si="2"/>
        <v>0</v>
      </c>
      <c r="AW9" s="450">
        <f t="shared" si="2"/>
        <v>0</v>
      </c>
      <c r="AX9" s="450">
        <f t="shared" si="2"/>
        <v>0</v>
      </c>
      <c r="AY9" s="450">
        <f t="shared" si="2"/>
        <v>0</v>
      </c>
      <c r="AZ9" s="450">
        <f t="shared" si="2"/>
        <v>0</v>
      </c>
      <c r="BA9" s="450">
        <f t="shared" si="2"/>
        <v>0</v>
      </c>
      <c r="BB9" s="450">
        <f t="shared" si="2"/>
        <v>0</v>
      </c>
      <c r="BC9" s="450">
        <f t="shared" si="2"/>
        <v>0</v>
      </c>
      <c r="BD9" s="450">
        <f t="shared" si="2"/>
        <v>0</v>
      </c>
      <c r="BE9" s="450">
        <f t="shared" si="2"/>
        <v>0</v>
      </c>
      <c r="BF9" s="450">
        <f t="shared" si="2"/>
        <v>0</v>
      </c>
      <c r="BG9" s="450">
        <f t="shared" si="2"/>
        <v>0</v>
      </c>
      <c r="BH9" s="450">
        <f>BH10+BH17</f>
        <v>0</v>
      </c>
      <c r="BI9" s="450">
        <f>BI10+BI17</f>
        <v>0</v>
      </c>
      <c r="BJ9" s="450">
        <f>BJ10+BJ17</f>
        <v>0</v>
      </c>
      <c r="BK9" s="450">
        <f>BK10+BK17</f>
        <v>0</v>
      </c>
      <c r="BL9" s="450">
        <f>O9+S9+T9+U9+V9+BH9</f>
        <v>1.28</v>
      </c>
      <c r="BM9" s="450">
        <f>BM10+BM17</f>
        <v>-1.28</v>
      </c>
      <c r="BN9" s="450">
        <f>D9+BM9</f>
        <v>455.11</v>
      </c>
      <c r="BO9" s="124"/>
    </row>
    <row r="10" spans="1:67" s="2" customFormat="1" ht="19.5" hidden="1" customHeight="1">
      <c r="A10" s="14" t="s">
        <v>212</v>
      </c>
      <c r="B10" s="14" t="s">
        <v>472</v>
      </c>
      <c r="C10" s="107" t="s">
        <v>194</v>
      </c>
      <c r="D10" s="450">
        <f>D11+D15+D16</f>
        <v>257.86</v>
      </c>
      <c r="E10" s="450">
        <f t="shared" ref="E10:E66" si="4">F10+O10+S10+T10+U10</f>
        <v>256.95</v>
      </c>
      <c r="F10" s="450">
        <f>G10+N10</f>
        <v>256.95</v>
      </c>
      <c r="G10" s="450">
        <f>D10-BL10</f>
        <v>256.95</v>
      </c>
      <c r="H10" s="450">
        <f>I10+J10+K10</f>
        <v>215.8</v>
      </c>
      <c r="I10" s="450">
        <f>I11+I15+I16</f>
        <v>0</v>
      </c>
      <c r="J10" s="450">
        <f t="shared" ref="J10:BG10" si="5">J11+J15+J16</f>
        <v>215.8</v>
      </c>
      <c r="K10" s="450">
        <f t="shared" si="5"/>
        <v>0</v>
      </c>
      <c r="L10" s="450">
        <f t="shared" si="5"/>
        <v>0</v>
      </c>
      <c r="M10" s="450">
        <f t="shared" si="5"/>
        <v>41.15</v>
      </c>
      <c r="N10" s="450">
        <f t="shared" si="5"/>
        <v>0</v>
      </c>
      <c r="O10" s="450">
        <f t="shared" si="3"/>
        <v>0</v>
      </c>
      <c r="P10" s="450">
        <f t="shared" si="5"/>
        <v>0</v>
      </c>
      <c r="Q10" s="450">
        <f t="shared" si="5"/>
        <v>0</v>
      </c>
      <c r="R10" s="450">
        <f t="shared" si="5"/>
        <v>0</v>
      </c>
      <c r="S10" s="450">
        <f t="shared" si="5"/>
        <v>0</v>
      </c>
      <c r="T10" s="450">
        <f t="shared" si="5"/>
        <v>0</v>
      </c>
      <c r="U10" s="450">
        <f t="shared" si="5"/>
        <v>0</v>
      </c>
      <c r="V10" s="667">
        <f t="shared" si="5"/>
        <v>0.91</v>
      </c>
      <c r="W10" s="450">
        <f t="shared" si="5"/>
        <v>0</v>
      </c>
      <c r="X10" s="450">
        <f t="shared" si="5"/>
        <v>0</v>
      </c>
      <c r="Y10" s="450">
        <f t="shared" si="5"/>
        <v>0</v>
      </c>
      <c r="Z10" s="450">
        <f t="shared" si="5"/>
        <v>0</v>
      </c>
      <c r="AA10" s="450">
        <f t="shared" si="5"/>
        <v>0</v>
      </c>
      <c r="AB10" s="450">
        <f t="shared" si="5"/>
        <v>0</v>
      </c>
      <c r="AC10" s="450">
        <f t="shared" si="5"/>
        <v>0</v>
      </c>
      <c r="AD10" s="450">
        <f t="shared" si="5"/>
        <v>0</v>
      </c>
      <c r="AE10" s="450">
        <f t="shared" si="5"/>
        <v>0.91</v>
      </c>
      <c r="AF10" s="450">
        <f t="shared" si="5"/>
        <v>0</v>
      </c>
      <c r="AG10" s="450">
        <f t="shared" si="5"/>
        <v>0</v>
      </c>
      <c r="AH10" s="450">
        <f t="shared" si="5"/>
        <v>0</v>
      </c>
      <c r="AI10" s="450">
        <f t="shared" si="5"/>
        <v>0.05</v>
      </c>
      <c r="AJ10" s="450">
        <f t="shared" si="5"/>
        <v>0</v>
      </c>
      <c r="AK10" s="450">
        <f t="shared" si="5"/>
        <v>0</v>
      </c>
      <c r="AL10" s="450">
        <f t="shared" si="5"/>
        <v>0.86</v>
      </c>
      <c r="AM10" s="450">
        <f t="shared" si="5"/>
        <v>0</v>
      </c>
      <c r="AN10" s="450">
        <f t="shared" si="5"/>
        <v>0</v>
      </c>
      <c r="AO10" s="450">
        <f t="shared" si="5"/>
        <v>0</v>
      </c>
      <c r="AP10" s="450">
        <f t="shared" si="5"/>
        <v>0</v>
      </c>
      <c r="AQ10" s="450">
        <f t="shared" si="5"/>
        <v>0</v>
      </c>
      <c r="AR10" s="450">
        <f t="shared" si="5"/>
        <v>0</v>
      </c>
      <c r="AS10" s="450">
        <f t="shared" si="5"/>
        <v>0</v>
      </c>
      <c r="AT10" s="450">
        <f t="shared" si="5"/>
        <v>0</v>
      </c>
      <c r="AU10" s="450">
        <f t="shared" si="5"/>
        <v>0</v>
      </c>
      <c r="AV10" s="450">
        <f t="shared" si="5"/>
        <v>0</v>
      </c>
      <c r="AW10" s="450">
        <f t="shared" si="5"/>
        <v>0</v>
      </c>
      <c r="AX10" s="450">
        <f t="shared" si="5"/>
        <v>0</v>
      </c>
      <c r="AY10" s="450">
        <f t="shared" si="5"/>
        <v>0</v>
      </c>
      <c r="AZ10" s="450">
        <f t="shared" si="5"/>
        <v>0</v>
      </c>
      <c r="BA10" s="450">
        <f t="shared" si="5"/>
        <v>0</v>
      </c>
      <c r="BB10" s="450">
        <f t="shared" si="5"/>
        <v>0</v>
      </c>
      <c r="BC10" s="450">
        <f t="shared" si="5"/>
        <v>0</v>
      </c>
      <c r="BD10" s="450">
        <f t="shared" si="5"/>
        <v>0</v>
      </c>
      <c r="BE10" s="450">
        <f t="shared" si="5"/>
        <v>0</v>
      </c>
      <c r="BF10" s="450">
        <f t="shared" si="5"/>
        <v>0</v>
      </c>
      <c r="BG10" s="450">
        <f t="shared" si="5"/>
        <v>0</v>
      </c>
      <c r="BH10" s="450">
        <f>BH11+BH15+BH16</f>
        <v>0</v>
      </c>
      <c r="BI10" s="450">
        <f>BI11+BI15+BI16</f>
        <v>0</v>
      </c>
      <c r="BJ10" s="450">
        <f>BJ11+BJ15+BJ16</f>
        <v>0</v>
      </c>
      <c r="BK10" s="450">
        <f>BK11+BK15+BK16</f>
        <v>0</v>
      </c>
      <c r="BL10" s="450">
        <f>N10+O10+S10+T10+U10+V10+BH10</f>
        <v>0.91</v>
      </c>
      <c r="BM10" s="450">
        <f>BM11+BM15+BM16</f>
        <v>-0.91</v>
      </c>
      <c r="BN10" s="450">
        <f>BN11+BN15+BN16</f>
        <v>256.95</v>
      </c>
      <c r="BO10" s="124"/>
    </row>
    <row r="11" spans="1:67" s="2" customFormat="1" ht="20.100000000000001" customHeight="1">
      <c r="A11" s="14" t="s">
        <v>213</v>
      </c>
      <c r="B11" s="14" t="s">
        <v>17</v>
      </c>
      <c r="C11" s="107" t="s">
        <v>18</v>
      </c>
      <c r="D11" s="450">
        <f>D12+D13+D14</f>
        <v>216.71</v>
      </c>
      <c r="E11" s="450">
        <f t="shared" si="4"/>
        <v>215.8</v>
      </c>
      <c r="F11" s="450">
        <f t="shared" ref="F11:F24" si="6">G11+N11</f>
        <v>215.8</v>
      </c>
      <c r="G11" s="450">
        <f>H11+L11+M11</f>
        <v>215.8</v>
      </c>
      <c r="H11" s="450">
        <f>D11-BL11</f>
        <v>215.8</v>
      </c>
      <c r="I11" s="450">
        <f>I12+I13+I14</f>
        <v>0</v>
      </c>
      <c r="J11" s="450">
        <f t="shared" ref="J11:BG11" si="7">J12+J13+J14</f>
        <v>215.8</v>
      </c>
      <c r="K11" s="450">
        <f t="shared" si="7"/>
        <v>0</v>
      </c>
      <c r="L11" s="450">
        <f t="shared" si="7"/>
        <v>0</v>
      </c>
      <c r="M11" s="450">
        <f t="shared" si="7"/>
        <v>0</v>
      </c>
      <c r="N11" s="450">
        <f t="shared" si="7"/>
        <v>0</v>
      </c>
      <c r="O11" s="450">
        <f t="shared" si="3"/>
        <v>0</v>
      </c>
      <c r="P11" s="450">
        <f t="shared" si="7"/>
        <v>0</v>
      </c>
      <c r="Q11" s="450">
        <f t="shared" si="7"/>
        <v>0</v>
      </c>
      <c r="R11" s="450">
        <f t="shared" si="7"/>
        <v>0</v>
      </c>
      <c r="S11" s="450">
        <f t="shared" si="7"/>
        <v>0</v>
      </c>
      <c r="T11" s="450">
        <f t="shared" si="7"/>
        <v>0</v>
      </c>
      <c r="U11" s="450">
        <f t="shared" si="7"/>
        <v>0</v>
      </c>
      <c r="V11" s="667">
        <f t="shared" si="7"/>
        <v>0.91</v>
      </c>
      <c r="W11" s="450">
        <f t="shared" si="7"/>
        <v>0</v>
      </c>
      <c r="X11" s="450">
        <f t="shared" si="7"/>
        <v>0</v>
      </c>
      <c r="Y11" s="450">
        <f t="shared" si="7"/>
        <v>0</v>
      </c>
      <c r="Z11" s="450">
        <f t="shared" si="7"/>
        <v>0</v>
      </c>
      <c r="AA11" s="450">
        <f t="shared" si="7"/>
        <v>0</v>
      </c>
      <c r="AB11" s="450">
        <f t="shared" si="7"/>
        <v>0</v>
      </c>
      <c r="AC11" s="450">
        <f t="shared" si="7"/>
        <v>0</v>
      </c>
      <c r="AD11" s="450">
        <f t="shared" si="7"/>
        <v>0</v>
      </c>
      <c r="AE11" s="450">
        <f t="shared" si="7"/>
        <v>0.91</v>
      </c>
      <c r="AF11" s="450">
        <f t="shared" si="7"/>
        <v>0</v>
      </c>
      <c r="AG11" s="450">
        <f t="shared" si="7"/>
        <v>0</v>
      </c>
      <c r="AH11" s="450">
        <f t="shared" si="7"/>
        <v>0</v>
      </c>
      <c r="AI11" s="450">
        <f t="shared" si="7"/>
        <v>0.05</v>
      </c>
      <c r="AJ11" s="450">
        <f t="shared" si="7"/>
        <v>0</v>
      </c>
      <c r="AK11" s="450">
        <f t="shared" si="7"/>
        <v>0</v>
      </c>
      <c r="AL11" s="450">
        <f t="shared" si="7"/>
        <v>0.86</v>
      </c>
      <c r="AM11" s="450">
        <f t="shared" si="7"/>
        <v>0</v>
      </c>
      <c r="AN11" s="450">
        <f t="shared" si="7"/>
        <v>0</v>
      </c>
      <c r="AO11" s="450">
        <f t="shared" si="7"/>
        <v>0</v>
      </c>
      <c r="AP11" s="450">
        <f t="shared" si="7"/>
        <v>0</v>
      </c>
      <c r="AQ11" s="450">
        <f t="shared" si="7"/>
        <v>0</v>
      </c>
      <c r="AR11" s="450">
        <f t="shared" si="7"/>
        <v>0</v>
      </c>
      <c r="AS11" s="450">
        <f t="shared" si="7"/>
        <v>0</v>
      </c>
      <c r="AT11" s="450">
        <f t="shared" si="7"/>
        <v>0</v>
      </c>
      <c r="AU11" s="450">
        <f t="shared" si="7"/>
        <v>0</v>
      </c>
      <c r="AV11" s="450">
        <f t="shared" si="7"/>
        <v>0</v>
      </c>
      <c r="AW11" s="450">
        <f t="shared" si="7"/>
        <v>0</v>
      </c>
      <c r="AX11" s="450">
        <f t="shared" si="7"/>
        <v>0</v>
      </c>
      <c r="AY11" s="450">
        <f t="shared" si="7"/>
        <v>0</v>
      </c>
      <c r="AZ11" s="450">
        <f t="shared" si="7"/>
        <v>0</v>
      </c>
      <c r="BA11" s="450">
        <f t="shared" si="7"/>
        <v>0</v>
      </c>
      <c r="BB11" s="450">
        <f t="shared" si="7"/>
        <v>0</v>
      </c>
      <c r="BC11" s="450">
        <f t="shared" si="7"/>
        <v>0</v>
      </c>
      <c r="BD11" s="450">
        <f t="shared" si="7"/>
        <v>0</v>
      </c>
      <c r="BE11" s="450">
        <f t="shared" si="7"/>
        <v>0</v>
      </c>
      <c r="BF11" s="450">
        <f t="shared" si="7"/>
        <v>0</v>
      </c>
      <c r="BG11" s="450">
        <f t="shared" si="7"/>
        <v>0</v>
      </c>
      <c r="BH11" s="450">
        <f>BH12+BH13+BH14</f>
        <v>0</v>
      </c>
      <c r="BI11" s="450">
        <f>BI12+BI13+BI14</f>
        <v>0</v>
      </c>
      <c r="BJ11" s="450">
        <f>BJ12+BJ13+BJ14</f>
        <v>0</v>
      </c>
      <c r="BK11" s="450">
        <f>BK12+BK13+BK14</f>
        <v>0</v>
      </c>
      <c r="BL11" s="450">
        <f>L11+M11+N11+S11+T11+U11+V11+BH11</f>
        <v>0.91</v>
      </c>
      <c r="BM11" s="450">
        <f>H67-BL11</f>
        <v>-0.91</v>
      </c>
      <c r="BN11" s="450">
        <f>BN12+BN13+BN14</f>
        <v>215.8</v>
      </c>
      <c r="BO11" s="124"/>
    </row>
    <row r="12" spans="1:67" s="2" customFormat="1" ht="19.5" customHeight="1">
      <c r="A12" s="14" t="s">
        <v>214</v>
      </c>
      <c r="B12" s="14" t="s">
        <v>473</v>
      </c>
      <c r="C12" s="107" t="s">
        <v>20</v>
      </c>
      <c r="D12" s="450"/>
      <c r="E12" s="450">
        <f t="shared" si="4"/>
        <v>0</v>
      </c>
      <c r="F12" s="450">
        <f t="shared" si="6"/>
        <v>0</v>
      </c>
      <c r="G12" s="450">
        <f t="shared" ref="G12:G66" si="8">H12+L12+M12</f>
        <v>0</v>
      </c>
      <c r="H12" s="450">
        <f>I12+J12+K12</f>
        <v>0</v>
      </c>
      <c r="I12" s="450">
        <f>D12-BL12</f>
        <v>0</v>
      </c>
      <c r="J12" s="450"/>
      <c r="K12" s="450"/>
      <c r="L12" s="450"/>
      <c r="M12" s="450"/>
      <c r="N12" s="450"/>
      <c r="O12" s="450">
        <f t="shared" si="3"/>
        <v>0</v>
      </c>
      <c r="P12" s="450"/>
      <c r="Q12" s="450"/>
      <c r="R12" s="450"/>
      <c r="S12" s="450"/>
      <c r="T12" s="450"/>
      <c r="U12" s="450"/>
      <c r="V12" s="667">
        <f>W12+X12+Y12+Z12+AA12+AB12+AC12+AD12+AE12+AQ12+AR12+AS12+AT12+AU12+AV12+AW12+AX12+AY12+AZ12+BA12+BB12+BC12+BD12+BE12+BF12+BG12</f>
        <v>0</v>
      </c>
      <c r="W12" s="450"/>
      <c r="X12" s="450"/>
      <c r="Y12" s="450"/>
      <c r="Z12" s="450"/>
      <c r="AA12" s="450"/>
      <c r="AB12" s="450"/>
      <c r="AC12" s="450"/>
      <c r="AD12" s="450"/>
      <c r="AE12" s="450">
        <f t="shared" ref="AE12:AE33" si="9">SUM(AF12:AP12)</f>
        <v>0</v>
      </c>
      <c r="AF12" s="450"/>
      <c r="AG12" s="450"/>
      <c r="AH12" s="450"/>
      <c r="AI12" s="450"/>
      <c r="AJ12" s="450"/>
      <c r="AK12" s="450"/>
      <c r="AL12" s="450"/>
      <c r="AM12" s="450"/>
      <c r="AN12" s="450"/>
      <c r="AO12" s="450"/>
      <c r="AP12" s="450"/>
      <c r="AQ12" s="450"/>
      <c r="AR12" s="450"/>
      <c r="AS12" s="450"/>
      <c r="AT12" s="450"/>
      <c r="AU12" s="450"/>
      <c r="AV12" s="450"/>
      <c r="AW12" s="450"/>
      <c r="AX12" s="450"/>
      <c r="AY12" s="450"/>
      <c r="AZ12" s="450"/>
      <c r="BA12" s="450"/>
      <c r="BB12" s="450"/>
      <c r="BC12" s="450"/>
      <c r="BD12" s="450"/>
      <c r="BE12" s="450"/>
      <c r="BF12" s="450"/>
      <c r="BG12" s="450"/>
      <c r="BH12" s="450">
        <f t="shared" ref="BH12:BH17" si="10">BI12+BJ12+BK12</f>
        <v>0</v>
      </c>
      <c r="BI12" s="450"/>
      <c r="BJ12" s="450"/>
      <c r="BK12" s="450"/>
      <c r="BL12" s="450">
        <f>J12+K12+L12+M12+N12+O12+S12+T12+U12+V12+BH12</f>
        <v>0</v>
      </c>
      <c r="BM12" s="450">
        <f>I67-BL12</f>
        <v>0</v>
      </c>
      <c r="BN12" s="450">
        <f t="shared" ref="BN12:BN17" si="11">D12+BM12</f>
        <v>0</v>
      </c>
      <c r="BO12" s="124"/>
    </row>
    <row r="13" spans="1:67" s="2" customFormat="1" ht="17.25" customHeight="1">
      <c r="A13" s="14" t="s">
        <v>215</v>
      </c>
      <c r="B13" s="14" t="s">
        <v>474</v>
      </c>
      <c r="C13" s="107" t="s">
        <v>195</v>
      </c>
      <c r="D13" s="450">
        <f>#REF!</f>
        <v>216.71</v>
      </c>
      <c r="E13" s="450">
        <f t="shared" si="4"/>
        <v>215.8</v>
      </c>
      <c r="F13" s="450">
        <f t="shared" si="6"/>
        <v>215.8</v>
      </c>
      <c r="G13" s="450">
        <f t="shared" si="8"/>
        <v>215.8</v>
      </c>
      <c r="H13" s="450">
        <f t="shared" ref="H13:H66" si="12">I13+J13+K13</f>
        <v>215.8</v>
      </c>
      <c r="I13" s="450"/>
      <c r="J13" s="450">
        <f>D13-BL13</f>
        <v>215.8</v>
      </c>
      <c r="K13" s="450"/>
      <c r="L13" s="450"/>
      <c r="M13" s="450"/>
      <c r="N13" s="450"/>
      <c r="O13" s="450">
        <f t="shared" si="3"/>
        <v>0</v>
      </c>
      <c r="P13" s="450"/>
      <c r="Q13" s="450"/>
      <c r="R13" s="450"/>
      <c r="S13" s="450"/>
      <c r="T13" s="450"/>
      <c r="U13" s="450"/>
      <c r="V13" s="667">
        <f t="shared" ref="V13:V66" si="13">W13+X13+Y13+Z13+AA13+AB13+AC13+AD13+AE13+AQ13+AR13+AS13+AT13+AU13+AV13+AW13+AX13+AY13+AZ13+BA13+BB13+BC13+BD13+BE13+BF13+BG13</f>
        <v>0.91</v>
      </c>
      <c r="W13" s="450"/>
      <c r="X13" s="450"/>
      <c r="Y13" s="450"/>
      <c r="Z13" s="450"/>
      <c r="AA13" s="450"/>
      <c r="AB13" s="450"/>
      <c r="AC13" s="450"/>
      <c r="AD13" s="450"/>
      <c r="AE13" s="450">
        <f t="shared" si="9"/>
        <v>0.91</v>
      </c>
      <c r="AF13" s="450"/>
      <c r="AG13" s="450"/>
      <c r="AH13" s="450"/>
      <c r="AI13" s="450">
        <v>0.05</v>
      </c>
      <c r="AJ13" s="450"/>
      <c r="AK13" s="450"/>
      <c r="AL13" s="450">
        <v>0.86</v>
      </c>
      <c r="AM13" s="450"/>
      <c r="AN13" s="450"/>
      <c r="AO13" s="450"/>
      <c r="AP13" s="450"/>
      <c r="AQ13" s="450"/>
      <c r="AR13" s="450"/>
      <c r="AS13" s="450"/>
      <c r="AT13" s="450"/>
      <c r="AU13" s="450"/>
      <c r="AV13" s="450"/>
      <c r="AW13" s="450"/>
      <c r="AX13" s="450"/>
      <c r="AY13" s="450"/>
      <c r="AZ13" s="450"/>
      <c r="BA13" s="450"/>
      <c r="BB13" s="450"/>
      <c r="BC13" s="450"/>
      <c r="BD13" s="450"/>
      <c r="BE13" s="450"/>
      <c r="BF13" s="450"/>
      <c r="BG13" s="450"/>
      <c r="BH13" s="450">
        <f t="shared" si="10"/>
        <v>0</v>
      </c>
      <c r="BI13" s="450"/>
      <c r="BJ13" s="450"/>
      <c r="BK13" s="450"/>
      <c r="BL13" s="450">
        <f>I13+K13+L13+M13+N13+O13+S13+T13+U13+V13+BH13</f>
        <v>0.91</v>
      </c>
      <c r="BM13" s="450">
        <f>J67-BL13</f>
        <v>-0.91</v>
      </c>
      <c r="BN13" s="450">
        <f t="shared" si="11"/>
        <v>215.8</v>
      </c>
      <c r="BO13" s="124"/>
    </row>
    <row r="14" spans="1:67" s="2" customFormat="1" ht="19.5" hidden="1" customHeight="1">
      <c r="A14" s="14" t="s">
        <v>216</v>
      </c>
      <c r="B14" s="14" t="s">
        <v>475</v>
      </c>
      <c r="C14" s="107" t="s">
        <v>196</v>
      </c>
      <c r="D14" s="450"/>
      <c r="E14" s="450">
        <f t="shared" si="4"/>
        <v>0</v>
      </c>
      <c r="F14" s="450">
        <f t="shared" si="6"/>
        <v>0</v>
      </c>
      <c r="G14" s="450">
        <f t="shared" si="8"/>
        <v>0</v>
      </c>
      <c r="H14" s="450">
        <f t="shared" si="12"/>
        <v>0</v>
      </c>
      <c r="I14" s="450"/>
      <c r="J14" s="450"/>
      <c r="K14" s="450">
        <f>D14-BL14</f>
        <v>0</v>
      </c>
      <c r="L14" s="450"/>
      <c r="M14" s="450"/>
      <c r="N14" s="450"/>
      <c r="O14" s="450">
        <f t="shared" si="3"/>
        <v>0</v>
      </c>
      <c r="P14" s="450"/>
      <c r="Q14" s="450"/>
      <c r="R14" s="450"/>
      <c r="S14" s="450"/>
      <c r="T14" s="450"/>
      <c r="U14" s="450"/>
      <c r="V14" s="667">
        <f t="shared" si="13"/>
        <v>0</v>
      </c>
      <c r="W14" s="450"/>
      <c r="X14" s="450"/>
      <c r="Y14" s="450"/>
      <c r="Z14" s="450"/>
      <c r="AA14" s="450"/>
      <c r="AB14" s="450"/>
      <c r="AC14" s="450"/>
      <c r="AD14" s="450"/>
      <c r="AE14" s="450">
        <f t="shared" si="9"/>
        <v>0</v>
      </c>
      <c r="AF14" s="450"/>
      <c r="AG14" s="450"/>
      <c r="AH14" s="450"/>
      <c r="AI14" s="450"/>
      <c r="AJ14" s="450"/>
      <c r="AK14" s="450"/>
      <c r="AL14" s="450"/>
      <c r="AM14" s="450"/>
      <c r="AN14" s="450"/>
      <c r="AO14" s="450"/>
      <c r="AP14" s="450"/>
      <c r="AQ14" s="450"/>
      <c r="AR14" s="450"/>
      <c r="AS14" s="450"/>
      <c r="AT14" s="450"/>
      <c r="AU14" s="450"/>
      <c r="AV14" s="450"/>
      <c r="AW14" s="450"/>
      <c r="AX14" s="450"/>
      <c r="AY14" s="450"/>
      <c r="AZ14" s="450"/>
      <c r="BA14" s="450"/>
      <c r="BB14" s="450"/>
      <c r="BC14" s="450"/>
      <c r="BD14" s="450"/>
      <c r="BE14" s="450"/>
      <c r="BF14" s="450"/>
      <c r="BG14" s="450"/>
      <c r="BH14" s="450">
        <f t="shared" si="10"/>
        <v>0</v>
      </c>
      <c r="BI14" s="450"/>
      <c r="BJ14" s="450"/>
      <c r="BK14" s="450"/>
      <c r="BL14" s="450">
        <f>I14+J14+L14+M14+N14+O14+S14+T14+U14+V14+BH14</f>
        <v>0</v>
      </c>
      <c r="BM14" s="450">
        <f>K67-BL14</f>
        <v>0</v>
      </c>
      <c r="BN14" s="450">
        <f t="shared" si="11"/>
        <v>0</v>
      </c>
      <c r="BO14" s="124"/>
    </row>
    <row r="15" spans="1:67" s="2" customFormat="1" ht="19.5" hidden="1" customHeight="1">
      <c r="A15" s="14" t="s">
        <v>217</v>
      </c>
      <c r="B15" s="14" t="s">
        <v>476</v>
      </c>
      <c r="C15" s="107" t="s">
        <v>197</v>
      </c>
      <c r="D15" s="450"/>
      <c r="E15" s="450">
        <f t="shared" si="4"/>
        <v>0</v>
      </c>
      <c r="F15" s="450">
        <f t="shared" si="6"/>
        <v>0</v>
      </c>
      <c r="G15" s="450">
        <f t="shared" si="8"/>
        <v>0</v>
      </c>
      <c r="H15" s="450">
        <f t="shared" si="12"/>
        <v>0</v>
      </c>
      <c r="I15" s="450"/>
      <c r="J15" s="450"/>
      <c r="K15" s="450"/>
      <c r="L15" s="450">
        <f>D15-BL15</f>
        <v>0</v>
      </c>
      <c r="M15" s="450"/>
      <c r="N15" s="450"/>
      <c r="O15" s="450">
        <f t="shared" si="3"/>
        <v>0</v>
      </c>
      <c r="P15" s="450"/>
      <c r="Q15" s="450"/>
      <c r="R15" s="450"/>
      <c r="S15" s="450"/>
      <c r="T15" s="450"/>
      <c r="U15" s="450"/>
      <c r="V15" s="667">
        <f t="shared" si="13"/>
        <v>0</v>
      </c>
      <c r="W15" s="450"/>
      <c r="X15" s="450"/>
      <c r="Y15" s="450"/>
      <c r="Z15" s="450"/>
      <c r="AA15" s="450"/>
      <c r="AB15" s="450"/>
      <c r="AC15" s="450"/>
      <c r="AD15" s="450"/>
      <c r="AE15" s="450">
        <f t="shared" si="9"/>
        <v>0</v>
      </c>
      <c r="AF15" s="450"/>
      <c r="AG15" s="450"/>
      <c r="AH15" s="450"/>
      <c r="AI15" s="450"/>
      <c r="AJ15" s="450"/>
      <c r="AK15" s="450"/>
      <c r="AL15" s="450"/>
      <c r="AM15" s="450"/>
      <c r="AN15" s="450"/>
      <c r="AO15" s="450"/>
      <c r="AP15" s="450"/>
      <c r="AQ15" s="450"/>
      <c r="AR15" s="450"/>
      <c r="AS15" s="450"/>
      <c r="AT15" s="450"/>
      <c r="AU15" s="450"/>
      <c r="AV15" s="450"/>
      <c r="AW15" s="450"/>
      <c r="AX15" s="450"/>
      <c r="AY15" s="450"/>
      <c r="AZ15" s="450"/>
      <c r="BA15" s="450"/>
      <c r="BB15" s="450"/>
      <c r="BC15" s="450"/>
      <c r="BD15" s="450"/>
      <c r="BE15" s="450"/>
      <c r="BF15" s="450"/>
      <c r="BG15" s="450"/>
      <c r="BH15" s="450">
        <f t="shared" si="10"/>
        <v>0</v>
      </c>
      <c r="BI15" s="450"/>
      <c r="BJ15" s="450"/>
      <c r="BK15" s="450"/>
      <c r="BL15" s="450">
        <f>H15+M15+N15+O15+S15+T15+U15+V15+BH15</f>
        <v>0</v>
      </c>
      <c r="BM15" s="450">
        <f>L67-BL15</f>
        <v>0</v>
      </c>
      <c r="BN15" s="450">
        <f t="shared" si="11"/>
        <v>0</v>
      </c>
      <c r="BO15" s="124"/>
    </row>
    <row r="16" spans="1:67" s="2" customFormat="1" ht="20.100000000000001" customHeight="1">
      <c r="A16" s="14" t="s">
        <v>218</v>
      </c>
      <c r="B16" s="14" t="s">
        <v>22</v>
      </c>
      <c r="C16" s="107" t="s">
        <v>23</v>
      </c>
      <c r="D16" s="450">
        <f>#REF!</f>
        <v>41.15</v>
      </c>
      <c r="E16" s="450">
        <f t="shared" si="4"/>
        <v>41.15</v>
      </c>
      <c r="F16" s="450">
        <f t="shared" si="6"/>
        <v>41.15</v>
      </c>
      <c r="G16" s="450">
        <f t="shared" si="8"/>
        <v>41.15</v>
      </c>
      <c r="H16" s="450">
        <f t="shared" si="12"/>
        <v>0</v>
      </c>
      <c r="I16" s="450"/>
      <c r="J16" s="450"/>
      <c r="K16" s="450"/>
      <c r="L16" s="450"/>
      <c r="M16" s="450">
        <f>D16-BL16</f>
        <v>41.15</v>
      </c>
      <c r="N16" s="450"/>
      <c r="O16" s="450">
        <f t="shared" si="3"/>
        <v>0</v>
      </c>
      <c r="P16" s="450"/>
      <c r="Q16" s="450"/>
      <c r="R16" s="450"/>
      <c r="S16" s="450"/>
      <c r="T16" s="450"/>
      <c r="U16" s="450"/>
      <c r="V16" s="667">
        <f t="shared" si="13"/>
        <v>0</v>
      </c>
      <c r="W16" s="450"/>
      <c r="X16" s="450"/>
      <c r="Y16" s="450"/>
      <c r="Z16" s="450"/>
      <c r="AA16" s="450"/>
      <c r="AB16" s="450"/>
      <c r="AC16" s="450"/>
      <c r="AD16" s="450"/>
      <c r="AE16" s="450">
        <f t="shared" si="9"/>
        <v>0</v>
      </c>
      <c r="AF16" s="450"/>
      <c r="AG16" s="450"/>
      <c r="AH16" s="450"/>
      <c r="AI16" s="450"/>
      <c r="AJ16" s="450"/>
      <c r="AK16" s="450"/>
      <c r="AL16" s="450"/>
      <c r="AM16" s="450"/>
      <c r="AN16" s="450"/>
      <c r="AO16" s="450"/>
      <c r="AP16" s="450"/>
      <c r="AQ16" s="450"/>
      <c r="AR16" s="450"/>
      <c r="AS16" s="450"/>
      <c r="AT16" s="450"/>
      <c r="AU16" s="450"/>
      <c r="AV16" s="450"/>
      <c r="AW16" s="450"/>
      <c r="AX16" s="450"/>
      <c r="AY16" s="450"/>
      <c r="AZ16" s="450"/>
      <c r="BA16" s="450"/>
      <c r="BB16" s="450"/>
      <c r="BC16" s="450"/>
      <c r="BD16" s="450"/>
      <c r="BE16" s="450"/>
      <c r="BF16" s="450"/>
      <c r="BG16" s="450"/>
      <c r="BH16" s="450">
        <f t="shared" si="10"/>
        <v>0</v>
      </c>
      <c r="BI16" s="450"/>
      <c r="BJ16" s="450"/>
      <c r="BK16" s="450"/>
      <c r="BL16" s="450">
        <f>H16+L16+N16+S16+T16+U16+V16+BH16</f>
        <v>0</v>
      </c>
      <c r="BM16" s="450">
        <f>M67-BL16</f>
        <v>0</v>
      </c>
      <c r="BN16" s="450">
        <f t="shared" si="11"/>
        <v>41.15</v>
      </c>
      <c r="BO16" s="124"/>
    </row>
    <row r="17" spans="1:67" s="2" customFormat="1" ht="18.75" customHeight="1">
      <c r="A17" s="14" t="s">
        <v>219</v>
      </c>
      <c r="B17" s="14" t="s">
        <v>25</v>
      </c>
      <c r="C17" s="107" t="s">
        <v>26</v>
      </c>
      <c r="D17" s="741">
        <v>198.53</v>
      </c>
      <c r="E17" s="450">
        <f t="shared" si="4"/>
        <v>198.16</v>
      </c>
      <c r="F17" s="450">
        <f t="shared" si="6"/>
        <v>198.16</v>
      </c>
      <c r="G17" s="450">
        <f t="shared" si="8"/>
        <v>0</v>
      </c>
      <c r="H17" s="450">
        <f t="shared" si="12"/>
        <v>0</v>
      </c>
      <c r="I17" s="450"/>
      <c r="J17" s="450"/>
      <c r="K17" s="450"/>
      <c r="L17" s="450"/>
      <c r="M17" s="450"/>
      <c r="N17" s="450">
        <f>D17-BL17</f>
        <v>198.16</v>
      </c>
      <c r="O17" s="450">
        <f t="shared" si="3"/>
        <v>0</v>
      </c>
      <c r="P17" s="450"/>
      <c r="Q17" s="450"/>
      <c r="R17" s="450"/>
      <c r="S17" s="450"/>
      <c r="T17" s="450"/>
      <c r="U17" s="450"/>
      <c r="V17" s="667">
        <f t="shared" si="13"/>
        <v>0.37</v>
      </c>
      <c r="W17" s="450"/>
      <c r="X17" s="450"/>
      <c r="Y17" s="450"/>
      <c r="Z17" s="450"/>
      <c r="AA17" s="450"/>
      <c r="AB17" s="450"/>
      <c r="AC17" s="450"/>
      <c r="AD17" s="450"/>
      <c r="AE17" s="450">
        <f t="shared" si="9"/>
        <v>7.0000000000000007E-2</v>
      </c>
      <c r="AF17" s="450"/>
      <c r="AG17" s="450"/>
      <c r="AH17" s="450"/>
      <c r="AI17" s="450"/>
      <c r="AJ17" s="450"/>
      <c r="AK17" s="450"/>
      <c r="AL17" s="450">
        <v>7.0000000000000007E-2</v>
      </c>
      <c r="AM17" s="450"/>
      <c r="AN17" s="450"/>
      <c r="AO17" s="450"/>
      <c r="AP17" s="450"/>
      <c r="AQ17" s="450"/>
      <c r="AR17" s="450"/>
      <c r="AS17" s="450"/>
      <c r="AT17" s="450">
        <v>0.3</v>
      </c>
      <c r="AU17" s="450"/>
      <c r="AV17" s="450"/>
      <c r="AW17" s="450"/>
      <c r="AX17" s="450"/>
      <c r="AY17" s="450"/>
      <c r="AZ17" s="450"/>
      <c r="BA17" s="450"/>
      <c r="BB17" s="450"/>
      <c r="BC17" s="450"/>
      <c r="BD17" s="450"/>
      <c r="BE17" s="450"/>
      <c r="BF17" s="450"/>
      <c r="BG17" s="450"/>
      <c r="BH17" s="450">
        <f t="shared" si="10"/>
        <v>0</v>
      </c>
      <c r="BI17" s="450"/>
      <c r="BJ17" s="450"/>
      <c r="BK17" s="450"/>
      <c r="BL17" s="450">
        <f>H17+L17+M17+O17+S17+T17+U17+V17+BH17</f>
        <v>0.37</v>
      </c>
      <c r="BM17" s="450">
        <f>N67-BL17</f>
        <v>-0.37</v>
      </c>
      <c r="BN17" s="450">
        <f t="shared" si="11"/>
        <v>198.16</v>
      </c>
      <c r="BO17" s="124"/>
    </row>
    <row r="18" spans="1:67" s="2" customFormat="1" ht="19.5" hidden="1" customHeight="1">
      <c r="A18" s="14" t="s">
        <v>21</v>
      </c>
      <c r="B18" s="14" t="s">
        <v>477</v>
      </c>
      <c r="C18" s="107" t="s">
        <v>198</v>
      </c>
      <c r="D18" s="450">
        <f>D19+D20+D21</f>
        <v>3849.5299999999997</v>
      </c>
      <c r="E18" s="450">
        <f t="shared" si="4"/>
        <v>3847.89</v>
      </c>
      <c r="F18" s="450">
        <f t="shared" si="6"/>
        <v>0</v>
      </c>
      <c r="G18" s="450">
        <f t="shared" si="8"/>
        <v>0</v>
      </c>
      <c r="H18" s="450">
        <f t="shared" si="12"/>
        <v>0</v>
      </c>
      <c r="I18" s="450">
        <f t="shared" ref="I18:N18" si="14">I19+I20+I21</f>
        <v>0</v>
      </c>
      <c r="J18" s="450">
        <f t="shared" si="14"/>
        <v>0</v>
      </c>
      <c r="K18" s="450">
        <f t="shared" si="14"/>
        <v>0</v>
      </c>
      <c r="L18" s="450">
        <f t="shared" si="14"/>
        <v>0</v>
      </c>
      <c r="M18" s="450">
        <f t="shared" si="14"/>
        <v>0</v>
      </c>
      <c r="N18" s="450">
        <f t="shared" si="14"/>
        <v>0</v>
      </c>
      <c r="O18" s="450">
        <f>D18-BL18</f>
        <v>3847.89</v>
      </c>
      <c r="P18" s="450">
        <f t="shared" ref="P18:BG18" si="15">P19+P20+P21</f>
        <v>2437.75</v>
      </c>
      <c r="Q18" s="450">
        <f t="shared" si="15"/>
        <v>0</v>
      </c>
      <c r="R18" s="450">
        <f t="shared" si="15"/>
        <v>1410.1399999999999</v>
      </c>
      <c r="S18" s="450">
        <f t="shared" si="15"/>
        <v>0</v>
      </c>
      <c r="T18" s="450">
        <f t="shared" si="15"/>
        <v>0</v>
      </c>
      <c r="U18" s="450">
        <f t="shared" si="15"/>
        <v>0</v>
      </c>
      <c r="V18" s="667">
        <f t="shared" si="15"/>
        <v>1.6400000000000001</v>
      </c>
      <c r="W18" s="450">
        <f t="shared" si="15"/>
        <v>0</v>
      </c>
      <c r="X18" s="450">
        <f t="shared" si="15"/>
        <v>0</v>
      </c>
      <c r="Y18" s="450">
        <f t="shared" si="15"/>
        <v>0</v>
      </c>
      <c r="Z18" s="450">
        <f t="shared" si="15"/>
        <v>0</v>
      </c>
      <c r="AA18" s="450">
        <f t="shared" si="15"/>
        <v>0</v>
      </c>
      <c r="AB18" s="450">
        <f t="shared" si="15"/>
        <v>0</v>
      </c>
      <c r="AC18" s="450">
        <f t="shared" si="15"/>
        <v>0</v>
      </c>
      <c r="AD18" s="450">
        <f t="shared" si="15"/>
        <v>0</v>
      </c>
      <c r="AE18" s="450">
        <f t="shared" si="15"/>
        <v>1.6400000000000001</v>
      </c>
      <c r="AF18" s="450">
        <f t="shared" si="15"/>
        <v>0</v>
      </c>
      <c r="AG18" s="450">
        <f t="shared" si="15"/>
        <v>0</v>
      </c>
      <c r="AH18" s="450">
        <f t="shared" si="15"/>
        <v>0</v>
      </c>
      <c r="AI18" s="450">
        <f t="shared" si="15"/>
        <v>0.05</v>
      </c>
      <c r="AJ18" s="450">
        <f t="shared" si="15"/>
        <v>0</v>
      </c>
      <c r="AK18" s="450">
        <f t="shared" si="15"/>
        <v>0</v>
      </c>
      <c r="AL18" s="450">
        <f t="shared" si="15"/>
        <v>0.59</v>
      </c>
      <c r="AM18" s="450">
        <f t="shared" si="15"/>
        <v>0</v>
      </c>
      <c r="AN18" s="450">
        <f t="shared" si="15"/>
        <v>0</v>
      </c>
      <c r="AO18" s="450">
        <f t="shared" si="15"/>
        <v>0</v>
      </c>
      <c r="AP18" s="450">
        <f t="shared" si="15"/>
        <v>1</v>
      </c>
      <c r="AQ18" s="450">
        <f t="shared" si="15"/>
        <v>0</v>
      </c>
      <c r="AR18" s="450">
        <f t="shared" si="15"/>
        <v>0</v>
      </c>
      <c r="AS18" s="450">
        <f t="shared" si="15"/>
        <v>0</v>
      </c>
      <c r="AT18" s="450">
        <f t="shared" si="15"/>
        <v>0</v>
      </c>
      <c r="AU18" s="450">
        <f t="shared" si="15"/>
        <v>0</v>
      </c>
      <c r="AV18" s="450">
        <f t="shared" si="15"/>
        <v>0</v>
      </c>
      <c r="AW18" s="450">
        <f t="shared" si="15"/>
        <v>0</v>
      </c>
      <c r="AX18" s="450">
        <f t="shared" si="15"/>
        <v>0</v>
      </c>
      <c r="AY18" s="450">
        <f t="shared" si="15"/>
        <v>0</v>
      </c>
      <c r="AZ18" s="450">
        <f t="shared" si="15"/>
        <v>0</v>
      </c>
      <c r="BA18" s="450">
        <f t="shared" si="15"/>
        <v>0</v>
      </c>
      <c r="BB18" s="450">
        <f t="shared" si="15"/>
        <v>0</v>
      </c>
      <c r="BC18" s="450">
        <f t="shared" si="15"/>
        <v>0</v>
      </c>
      <c r="BD18" s="450">
        <f t="shared" si="15"/>
        <v>0</v>
      </c>
      <c r="BE18" s="450">
        <f t="shared" si="15"/>
        <v>0</v>
      </c>
      <c r="BF18" s="450">
        <f t="shared" si="15"/>
        <v>0</v>
      </c>
      <c r="BG18" s="450">
        <f t="shared" si="15"/>
        <v>0</v>
      </c>
      <c r="BH18" s="450">
        <f>BH19+BH20+BH21</f>
        <v>0</v>
      </c>
      <c r="BI18" s="450">
        <f>BI19+BI20+BI21</f>
        <v>0</v>
      </c>
      <c r="BJ18" s="450">
        <f>BJ19+BJ20+BJ21</f>
        <v>0</v>
      </c>
      <c r="BK18" s="450">
        <f>BK19+BK20+BK21</f>
        <v>0</v>
      </c>
      <c r="BL18" s="450">
        <f>F18+S18+T18+U18+BH18+V18</f>
        <v>1.6400000000000001</v>
      </c>
      <c r="BM18" s="450">
        <f>O67-BL18</f>
        <v>-1.6400000000000001</v>
      </c>
      <c r="BN18" s="450">
        <f>BN19+BN20+BN21</f>
        <v>3847.89</v>
      </c>
      <c r="BO18" s="124"/>
    </row>
    <row r="19" spans="1:67" s="2" customFormat="1" ht="19.5" customHeight="1">
      <c r="A19" s="14" t="s">
        <v>182</v>
      </c>
      <c r="B19" s="14" t="s">
        <v>28</v>
      </c>
      <c r="C19" s="107" t="s">
        <v>29</v>
      </c>
      <c r="D19" s="450">
        <f>#REF!</f>
        <v>2437.75</v>
      </c>
      <c r="E19" s="450">
        <f>F19+O19+S19+T19+U19</f>
        <v>2437.75</v>
      </c>
      <c r="F19" s="450">
        <f>G19+N19</f>
        <v>0</v>
      </c>
      <c r="G19" s="450">
        <f>H19+L19+M19</f>
        <v>0</v>
      </c>
      <c r="H19" s="450">
        <f t="shared" si="12"/>
        <v>0</v>
      </c>
      <c r="I19" s="450"/>
      <c r="J19" s="450"/>
      <c r="K19" s="450"/>
      <c r="L19" s="450"/>
      <c r="M19" s="450"/>
      <c r="N19" s="450"/>
      <c r="O19" s="450">
        <f t="shared" ref="O19:O24" si="16">P19+Q19+R19</f>
        <v>2437.75</v>
      </c>
      <c r="P19" s="450">
        <f>D19-BL19</f>
        <v>2437.75</v>
      </c>
      <c r="Q19" s="450"/>
      <c r="R19" s="450"/>
      <c r="S19" s="450"/>
      <c r="T19" s="450"/>
      <c r="U19" s="450"/>
      <c r="V19" s="667">
        <f t="shared" si="13"/>
        <v>0</v>
      </c>
      <c r="W19" s="450"/>
      <c r="X19" s="450"/>
      <c r="Y19" s="450"/>
      <c r="Z19" s="450"/>
      <c r="AA19" s="450"/>
      <c r="AB19" s="450"/>
      <c r="AC19" s="450"/>
      <c r="AD19" s="450"/>
      <c r="AE19" s="450">
        <f t="shared" si="9"/>
        <v>0</v>
      </c>
      <c r="AF19" s="450"/>
      <c r="AG19" s="450"/>
      <c r="AH19" s="450"/>
      <c r="AI19" s="450"/>
      <c r="AJ19" s="450"/>
      <c r="AK19" s="450"/>
      <c r="AL19" s="450"/>
      <c r="AM19" s="450"/>
      <c r="AN19" s="450"/>
      <c r="AO19" s="450"/>
      <c r="AP19" s="450"/>
      <c r="AQ19" s="450"/>
      <c r="AR19" s="450"/>
      <c r="AS19" s="450"/>
      <c r="AT19" s="450"/>
      <c r="AU19" s="450"/>
      <c r="AV19" s="450"/>
      <c r="AW19" s="450"/>
      <c r="AX19" s="450"/>
      <c r="AY19" s="450"/>
      <c r="AZ19" s="450"/>
      <c r="BA19" s="450"/>
      <c r="BB19" s="450"/>
      <c r="BC19" s="450"/>
      <c r="BD19" s="450"/>
      <c r="BE19" s="450"/>
      <c r="BF19" s="450"/>
      <c r="BG19" s="450"/>
      <c r="BH19" s="450">
        <f t="shared" ref="BH19:BH24" si="17">BI19+BJ19+BK19</f>
        <v>0</v>
      </c>
      <c r="BI19" s="450"/>
      <c r="BJ19" s="450"/>
      <c r="BK19" s="450"/>
      <c r="BL19" s="450">
        <f>F19+Q19+R19+S19+T19+U19+V19+BH19</f>
        <v>0</v>
      </c>
      <c r="BM19" s="450">
        <f>P67-BL19</f>
        <v>0</v>
      </c>
      <c r="BN19" s="450">
        <f t="shared" ref="BN19:BN24" si="18">D19+BM19</f>
        <v>2437.75</v>
      </c>
      <c r="BO19" s="124"/>
    </row>
    <row r="20" spans="1:67" s="2" customFormat="1" ht="20.100000000000001" customHeight="1">
      <c r="A20" s="14" t="s">
        <v>183</v>
      </c>
      <c r="B20" s="14" t="s">
        <v>31</v>
      </c>
      <c r="C20" s="107" t="s">
        <v>32</v>
      </c>
      <c r="D20" s="450"/>
      <c r="E20" s="450">
        <f t="shared" si="4"/>
        <v>0</v>
      </c>
      <c r="F20" s="450">
        <f t="shared" si="6"/>
        <v>0</v>
      </c>
      <c r="G20" s="450">
        <f t="shared" si="8"/>
        <v>0</v>
      </c>
      <c r="H20" s="450">
        <f t="shared" si="12"/>
        <v>0</v>
      </c>
      <c r="I20" s="450"/>
      <c r="J20" s="450"/>
      <c r="K20" s="450"/>
      <c r="L20" s="450"/>
      <c r="M20" s="450"/>
      <c r="N20" s="450"/>
      <c r="O20" s="450">
        <f t="shared" si="16"/>
        <v>0</v>
      </c>
      <c r="P20" s="450"/>
      <c r="Q20" s="450">
        <f>D20-BL20</f>
        <v>0</v>
      </c>
      <c r="R20" s="450"/>
      <c r="S20" s="450"/>
      <c r="T20" s="450"/>
      <c r="U20" s="450"/>
      <c r="V20" s="667">
        <f t="shared" si="13"/>
        <v>0</v>
      </c>
      <c r="W20" s="450"/>
      <c r="X20" s="450"/>
      <c r="Y20" s="450"/>
      <c r="Z20" s="450"/>
      <c r="AA20" s="450"/>
      <c r="AB20" s="450"/>
      <c r="AC20" s="450"/>
      <c r="AD20" s="450"/>
      <c r="AE20" s="450">
        <f t="shared" si="9"/>
        <v>0</v>
      </c>
      <c r="AF20" s="450"/>
      <c r="AG20" s="450"/>
      <c r="AH20" s="450"/>
      <c r="AI20" s="450"/>
      <c r="AJ20" s="450"/>
      <c r="AK20" s="450"/>
      <c r="AL20" s="450"/>
      <c r="AM20" s="450"/>
      <c r="AN20" s="450"/>
      <c r="AO20" s="450"/>
      <c r="AP20" s="450"/>
      <c r="AQ20" s="450"/>
      <c r="AR20" s="450"/>
      <c r="AS20" s="450"/>
      <c r="AT20" s="450"/>
      <c r="AU20" s="450"/>
      <c r="AV20" s="450"/>
      <c r="AW20" s="450"/>
      <c r="AX20" s="450"/>
      <c r="AY20" s="450"/>
      <c r="AZ20" s="450"/>
      <c r="BA20" s="450"/>
      <c r="BB20" s="450"/>
      <c r="BC20" s="450"/>
      <c r="BD20" s="450"/>
      <c r="BE20" s="450"/>
      <c r="BF20" s="450"/>
      <c r="BG20" s="450"/>
      <c r="BH20" s="450">
        <f t="shared" si="17"/>
        <v>0</v>
      </c>
      <c r="BI20" s="450"/>
      <c r="BJ20" s="450"/>
      <c r="BK20" s="450"/>
      <c r="BL20" s="450">
        <f>F20+P20+R20+S20+T20+U20+V20+BH20</f>
        <v>0</v>
      </c>
      <c r="BM20" s="450">
        <f>Q67-BL20</f>
        <v>0</v>
      </c>
      <c r="BN20" s="450">
        <f t="shared" si="18"/>
        <v>0</v>
      </c>
      <c r="BO20" s="124"/>
    </row>
    <row r="21" spans="1:67" s="2" customFormat="1" ht="20.100000000000001" customHeight="1">
      <c r="A21" s="14" t="s">
        <v>184</v>
      </c>
      <c r="B21" s="14" t="s">
        <v>34</v>
      </c>
      <c r="C21" s="107" t="s">
        <v>35</v>
      </c>
      <c r="D21" s="450">
        <f>#REF!</f>
        <v>1411.78</v>
      </c>
      <c r="E21" s="450">
        <f t="shared" si="4"/>
        <v>1410.1399999999999</v>
      </c>
      <c r="F21" s="450">
        <f>G21+N21</f>
        <v>0</v>
      </c>
      <c r="G21" s="450">
        <f t="shared" si="8"/>
        <v>0</v>
      </c>
      <c r="H21" s="450">
        <f t="shared" si="12"/>
        <v>0</v>
      </c>
      <c r="I21" s="450"/>
      <c r="J21" s="450"/>
      <c r="K21" s="450"/>
      <c r="L21" s="450"/>
      <c r="M21" s="450"/>
      <c r="N21" s="450"/>
      <c r="O21" s="450">
        <f t="shared" si="16"/>
        <v>1410.1399999999999</v>
      </c>
      <c r="P21" s="450"/>
      <c r="Q21" s="450"/>
      <c r="R21" s="450">
        <f>D21-BL21</f>
        <v>1410.1399999999999</v>
      </c>
      <c r="S21" s="450"/>
      <c r="T21" s="450"/>
      <c r="U21" s="450"/>
      <c r="V21" s="667">
        <f t="shared" si="13"/>
        <v>1.6400000000000001</v>
      </c>
      <c r="W21" s="450"/>
      <c r="X21" s="450"/>
      <c r="Y21" s="450"/>
      <c r="Z21" s="450"/>
      <c r="AA21" s="450"/>
      <c r="AB21" s="450"/>
      <c r="AC21" s="450"/>
      <c r="AD21" s="450"/>
      <c r="AE21" s="450">
        <f t="shared" si="9"/>
        <v>1.6400000000000001</v>
      </c>
      <c r="AF21" s="450"/>
      <c r="AG21" s="450"/>
      <c r="AH21" s="450"/>
      <c r="AI21" s="450">
        <v>0.05</v>
      </c>
      <c r="AJ21" s="450"/>
      <c r="AK21" s="450"/>
      <c r="AL21" s="450">
        <v>0.59</v>
      </c>
      <c r="AM21" s="450"/>
      <c r="AN21" s="450"/>
      <c r="AO21" s="450"/>
      <c r="AP21" s="450">
        <v>1</v>
      </c>
      <c r="AQ21" s="450"/>
      <c r="AR21" s="450"/>
      <c r="AS21" s="450"/>
      <c r="AT21" s="450"/>
      <c r="AU21" s="450"/>
      <c r="AV21" s="450"/>
      <c r="AW21" s="450"/>
      <c r="AX21" s="450"/>
      <c r="AY21" s="450"/>
      <c r="AZ21" s="450"/>
      <c r="BA21" s="450"/>
      <c r="BB21" s="450"/>
      <c r="BC21" s="450"/>
      <c r="BD21" s="450"/>
      <c r="BE21" s="450"/>
      <c r="BF21" s="450"/>
      <c r="BG21" s="450"/>
      <c r="BH21" s="450">
        <f t="shared" si="17"/>
        <v>0</v>
      </c>
      <c r="BI21" s="450"/>
      <c r="BJ21" s="450"/>
      <c r="BK21" s="450"/>
      <c r="BL21" s="450">
        <f>F21+P21+Q21+S21+T21+U21+V21+BH21</f>
        <v>1.6400000000000001</v>
      </c>
      <c r="BM21" s="450">
        <f>R67-BL21</f>
        <v>-1.6400000000000001</v>
      </c>
      <c r="BN21" s="450">
        <f t="shared" si="18"/>
        <v>1410.1399999999999</v>
      </c>
      <c r="BO21" s="124"/>
    </row>
    <row r="22" spans="1:67" s="2" customFormat="1" ht="18" customHeight="1">
      <c r="A22" s="14" t="s">
        <v>24</v>
      </c>
      <c r="B22" s="14" t="s">
        <v>37</v>
      </c>
      <c r="C22" s="107" t="s">
        <v>38</v>
      </c>
      <c r="D22" s="450">
        <f>#REF!</f>
        <v>1.54</v>
      </c>
      <c r="E22" s="450">
        <f>F22+O22+S22+T22+U22</f>
        <v>1.54</v>
      </c>
      <c r="F22" s="450">
        <f t="shared" si="6"/>
        <v>0</v>
      </c>
      <c r="G22" s="450">
        <f t="shared" si="8"/>
        <v>0</v>
      </c>
      <c r="H22" s="450">
        <f t="shared" si="12"/>
        <v>0</v>
      </c>
      <c r="I22" s="450"/>
      <c r="J22" s="450"/>
      <c r="K22" s="450"/>
      <c r="L22" s="450"/>
      <c r="M22" s="450"/>
      <c r="N22" s="450"/>
      <c r="O22" s="450">
        <f t="shared" si="16"/>
        <v>0</v>
      </c>
      <c r="P22" s="450"/>
      <c r="Q22" s="450"/>
      <c r="R22" s="450"/>
      <c r="S22" s="450">
        <f>D22-BL22</f>
        <v>1.54</v>
      </c>
      <c r="T22" s="450"/>
      <c r="U22" s="450"/>
      <c r="V22" s="667">
        <f t="shared" si="13"/>
        <v>0</v>
      </c>
      <c r="W22" s="450"/>
      <c r="X22" s="450"/>
      <c r="Y22" s="450"/>
      <c r="Z22" s="450"/>
      <c r="AA22" s="450"/>
      <c r="AB22" s="450"/>
      <c r="AC22" s="450"/>
      <c r="AD22" s="450"/>
      <c r="AE22" s="450">
        <f t="shared" si="9"/>
        <v>0</v>
      </c>
      <c r="AF22" s="450"/>
      <c r="AG22" s="450"/>
      <c r="AH22" s="450"/>
      <c r="AI22" s="450"/>
      <c r="AJ22" s="450"/>
      <c r="AK22" s="450"/>
      <c r="AL22" s="450"/>
      <c r="AM22" s="450"/>
      <c r="AN22" s="450"/>
      <c r="AO22" s="450"/>
      <c r="AP22" s="450"/>
      <c r="AQ22" s="450"/>
      <c r="AR22" s="450"/>
      <c r="AS22" s="450"/>
      <c r="AT22" s="450"/>
      <c r="AU22" s="450"/>
      <c r="AV22" s="450"/>
      <c r="AW22" s="450"/>
      <c r="AX22" s="450"/>
      <c r="AY22" s="450"/>
      <c r="AZ22" s="450"/>
      <c r="BA22" s="450"/>
      <c r="BB22" s="450"/>
      <c r="BC22" s="450"/>
      <c r="BD22" s="450"/>
      <c r="BE22" s="450"/>
      <c r="BF22" s="450"/>
      <c r="BG22" s="450"/>
      <c r="BH22" s="450">
        <f t="shared" si="17"/>
        <v>0</v>
      </c>
      <c r="BI22" s="450"/>
      <c r="BJ22" s="450"/>
      <c r="BK22" s="450"/>
      <c r="BL22" s="450">
        <f>G22+O22+T22+U22+V22+BH22</f>
        <v>0</v>
      </c>
      <c r="BM22" s="450">
        <f>S67-BL22</f>
        <v>0</v>
      </c>
      <c r="BN22" s="450">
        <f t="shared" si="18"/>
        <v>1.54</v>
      </c>
      <c r="BO22" s="124"/>
    </row>
    <row r="23" spans="1:67" s="2" customFormat="1" ht="19.5" hidden="1" customHeight="1">
      <c r="A23" s="14" t="s">
        <v>27</v>
      </c>
      <c r="B23" s="14" t="s">
        <v>40</v>
      </c>
      <c r="C23" s="107" t="s">
        <v>41</v>
      </c>
      <c r="D23" s="450"/>
      <c r="E23" s="450">
        <f t="shared" si="4"/>
        <v>0</v>
      </c>
      <c r="F23" s="450">
        <f t="shared" si="6"/>
        <v>0</v>
      </c>
      <c r="G23" s="450">
        <f t="shared" si="8"/>
        <v>0</v>
      </c>
      <c r="H23" s="450">
        <f t="shared" si="12"/>
        <v>0</v>
      </c>
      <c r="I23" s="450"/>
      <c r="J23" s="450"/>
      <c r="K23" s="450"/>
      <c r="L23" s="450"/>
      <c r="M23" s="450"/>
      <c r="N23" s="450"/>
      <c r="O23" s="450">
        <f t="shared" si="16"/>
        <v>0</v>
      </c>
      <c r="P23" s="450"/>
      <c r="Q23" s="450"/>
      <c r="R23" s="450"/>
      <c r="S23" s="450"/>
      <c r="T23" s="450">
        <f>D23-BL23</f>
        <v>0</v>
      </c>
      <c r="U23" s="450"/>
      <c r="V23" s="667">
        <f t="shared" si="13"/>
        <v>0</v>
      </c>
      <c r="W23" s="450"/>
      <c r="X23" s="450"/>
      <c r="Y23" s="450"/>
      <c r="Z23" s="450"/>
      <c r="AA23" s="450"/>
      <c r="AB23" s="450"/>
      <c r="AC23" s="450"/>
      <c r="AD23" s="450"/>
      <c r="AE23" s="450">
        <f t="shared" si="9"/>
        <v>0</v>
      </c>
      <c r="AF23" s="450"/>
      <c r="AG23" s="450"/>
      <c r="AH23" s="450"/>
      <c r="AI23" s="450"/>
      <c r="AJ23" s="450"/>
      <c r="AK23" s="450"/>
      <c r="AL23" s="450"/>
      <c r="AM23" s="450"/>
      <c r="AN23" s="450"/>
      <c r="AO23" s="450"/>
      <c r="AP23" s="450"/>
      <c r="AQ23" s="450"/>
      <c r="AR23" s="450"/>
      <c r="AS23" s="450"/>
      <c r="AT23" s="450"/>
      <c r="AU23" s="450"/>
      <c r="AV23" s="450"/>
      <c r="AW23" s="450"/>
      <c r="AX23" s="450"/>
      <c r="AY23" s="450"/>
      <c r="AZ23" s="450"/>
      <c r="BA23" s="450"/>
      <c r="BB23" s="450"/>
      <c r="BC23" s="450"/>
      <c r="BD23" s="450"/>
      <c r="BE23" s="450"/>
      <c r="BF23" s="450"/>
      <c r="BG23" s="450"/>
      <c r="BH23" s="450">
        <f t="shared" si="17"/>
        <v>0</v>
      </c>
      <c r="BI23" s="450"/>
      <c r="BJ23" s="450"/>
      <c r="BK23" s="450"/>
      <c r="BL23" s="450">
        <f>F23+O23+S23+U23+V23+BH23</f>
        <v>0</v>
      </c>
      <c r="BM23" s="450">
        <f>T67-BL23</f>
        <v>0</v>
      </c>
      <c r="BN23" s="450">
        <f t="shared" si="18"/>
        <v>0</v>
      </c>
      <c r="BO23" s="124"/>
    </row>
    <row r="24" spans="1:67" s="2" customFormat="1" ht="20.100000000000001" customHeight="1">
      <c r="A24" s="14" t="s">
        <v>30</v>
      </c>
      <c r="B24" s="14" t="s">
        <v>43</v>
      </c>
      <c r="C24" s="107" t="s">
        <v>44</v>
      </c>
      <c r="D24" s="450">
        <f>#REF!</f>
        <v>0.88</v>
      </c>
      <c r="E24" s="450">
        <f t="shared" si="4"/>
        <v>0.88</v>
      </c>
      <c r="F24" s="450">
        <f t="shared" si="6"/>
        <v>0</v>
      </c>
      <c r="G24" s="450">
        <f t="shared" si="8"/>
        <v>0</v>
      </c>
      <c r="H24" s="450">
        <f t="shared" si="12"/>
        <v>0</v>
      </c>
      <c r="I24" s="450"/>
      <c r="J24" s="450"/>
      <c r="K24" s="450"/>
      <c r="L24" s="450"/>
      <c r="M24" s="450"/>
      <c r="N24" s="450"/>
      <c r="O24" s="450">
        <f t="shared" si="16"/>
        <v>0</v>
      </c>
      <c r="P24" s="450"/>
      <c r="Q24" s="450"/>
      <c r="R24" s="450"/>
      <c r="S24" s="450"/>
      <c r="T24" s="450"/>
      <c r="U24" s="450">
        <f>D24-BL24</f>
        <v>0.88</v>
      </c>
      <c r="V24" s="667">
        <f t="shared" si="13"/>
        <v>0</v>
      </c>
      <c r="W24" s="450"/>
      <c r="X24" s="450"/>
      <c r="Y24" s="450"/>
      <c r="Z24" s="450"/>
      <c r="AA24" s="450"/>
      <c r="AB24" s="450"/>
      <c r="AC24" s="450"/>
      <c r="AD24" s="450"/>
      <c r="AE24" s="450">
        <f t="shared" si="9"/>
        <v>0</v>
      </c>
      <c r="AF24" s="450"/>
      <c r="AG24" s="450"/>
      <c r="AH24" s="450"/>
      <c r="AI24" s="450"/>
      <c r="AJ24" s="450"/>
      <c r="AK24" s="450"/>
      <c r="AL24" s="450"/>
      <c r="AM24" s="450"/>
      <c r="AN24" s="450"/>
      <c r="AO24" s="450"/>
      <c r="AP24" s="450"/>
      <c r="AQ24" s="450"/>
      <c r="AR24" s="450"/>
      <c r="AS24" s="450"/>
      <c r="AT24" s="450"/>
      <c r="AU24" s="450"/>
      <c r="AV24" s="450"/>
      <c r="AW24" s="450"/>
      <c r="AX24" s="450"/>
      <c r="AY24" s="450"/>
      <c r="AZ24" s="450"/>
      <c r="BA24" s="450"/>
      <c r="BB24" s="450"/>
      <c r="BC24" s="450"/>
      <c r="BD24" s="450"/>
      <c r="BE24" s="450"/>
      <c r="BF24" s="450"/>
      <c r="BG24" s="450"/>
      <c r="BH24" s="450">
        <f t="shared" si="17"/>
        <v>0</v>
      </c>
      <c r="BI24" s="450"/>
      <c r="BJ24" s="450"/>
      <c r="BK24" s="450"/>
      <c r="BL24" s="450">
        <f>F24+O24+S24+T24+BH24</f>
        <v>0</v>
      </c>
      <c r="BM24" s="450">
        <f>U67-BL24</f>
        <v>0</v>
      </c>
      <c r="BN24" s="450">
        <f t="shared" si="18"/>
        <v>0.88</v>
      </c>
      <c r="BO24" s="124"/>
    </row>
    <row r="25" spans="1:67" s="7" customFormat="1" ht="25.5" customHeight="1">
      <c r="A25" s="15">
        <v>2</v>
      </c>
      <c r="B25" s="15" t="s">
        <v>45</v>
      </c>
      <c r="C25" s="133" t="s">
        <v>46</v>
      </c>
      <c r="D25" s="449">
        <f>D26+D27+D28+D29+D30+D31+D32+D33+D34+D46+D47+D48+D49+D50+D51+D52+D53+D54+D55+D56+D57+D58+D59+D60+D61+D62</f>
        <v>643.28950000000009</v>
      </c>
      <c r="E25" s="449">
        <f>E26+E27+E28+E29+E30+E31+E32+E33+E34+E46+E47+E48+E49+E50+E51+E52+E53+E54+E55+E56+E57+E58+E59+E60+E61+E62</f>
        <v>0</v>
      </c>
      <c r="F25" s="449">
        <f t="shared" ref="F25:U25" si="19">F26+F27+F28+F29+F30+F31+F32+F33+F34+F46+F47+F48+F49+F50+F51+F52+F53+F54+F55+F56+F57+F58+F59+F60+F61+F62</f>
        <v>0</v>
      </c>
      <c r="G25" s="449">
        <f t="shared" si="19"/>
        <v>0</v>
      </c>
      <c r="H25" s="449">
        <f t="shared" si="19"/>
        <v>0</v>
      </c>
      <c r="I25" s="449">
        <f t="shared" si="19"/>
        <v>0</v>
      </c>
      <c r="J25" s="449">
        <f t="shared" si="19"/>
        <v>0</v>
      </c>
      <c r="K25" s="449">
        <f t="shared" si="19"/>
        <v>0</v>
      </c>
      <c r="L25" s="449">
        <f t="shared" si="19"/>
        <v>0</v>
      </c>
      <c r="M25" s="449">
        <f t="shared" si="19"/>
        <v>0</v>
      </c>
      <c r="N25" s="449">
        <f t="shared" si="19"/>
        <v>0</v>
      </c>
      <c r="O25" s="449">
        <f t="shared" si="19"/>
        <v>0</v>
      </c>
      <c r="P25" s="449">
        <f t="shared" si="19"/>
        <v>0</v>
      </c>
      <c r="Q25" s="449">
        <f t="shared" si="19"/>
        <v>0</v>
      </c>
      <c r="R25" s="449">
        <f t="shared" si="19"/>
        <v>0</v>
      </c>
      <c r="S25" s="449">
        <f t="shared" si="19"/>
        <v>0</v>
      </c>
      <c r="T25" s="449">
        <f t="shared" si="19"/>
        <v>0</v>
      </c>
      <c r="U25" s="449">
        <f t="shared" si="19"/>
        <v>0</v>
      </c>
      <c r="V25" s="666">
        <f>D25-BL25</f>
        <v>643.28950000000009</v>
      </c>
      <c r="W25" s="449">
        <f>W26+W27+W28+W29+W30+W31+W32+W33+W34+W46+W47+W48+W49+W50+W51+W52+W53+W54+W55+W56+W57+W58+W59+W60+W61+W62</f>
        <v>44.83</v>
      </c>
      <c r="X25" s="449">
        <f t="shared" ref="X25:BK25" si="20">X26+X27+X28+X29+X30+X31+X32+X33+X34+X46+X47+X48+X49+X50+X51+X52+X53+X54+X55+X56+X57+X58+X59+X60+X61+X62</f>
        <v>0</v>
      </c>
      <c r="Y25" s="449">
        <f t="shared" si="20"/>
        <v>0</v>
      </c>
      <c r="Z25" s="449">
        <f t="shared" si="20"/>
        <v>0</v>
      </c>
      <c r="AA25" s="449">
        <f t="shared" si="20"/>
        <v>0</v>
      </c>
      <c r="AB25" s="449">
        <f t="shared" si="20"/>
        <v>24.09</v>
      </c>
      <c r="AC25" s="449">
        <f t="shared" si="20"/>
        <v>0</v>
      </c>
      <c r="AD25" s="449">
        <f t="shared" si="20"/>
        <v>0</v>
      </c>
      <c r="AE25" s="449">
        <f t="shared" si="20"/>
        <v>94.319500000000005</v>
      </c>
      <c r="AF25" s="449">
        <f t="shared" si="20"/>
        <v>0</v>
      </c>
      <c r="AG25" s="449">
        <f t="shared" si="20"/>
        <v>0.25</v>
      </c>
      <c r="AH25" s="449">
        <f t="shared" si="20"/>
        <v>1.7795000000000001</v>
      </c>
      <c r="AI25" s="449">
        <f t="shared" si="20"/>
        <v>0.66</v>
      </c>
      <c r="AJ25" s="449">
        <f t="shared" si="20"/>
        <v>0</v>
      </c>
      <c r="AK25" s="449">
        <f t="shared" si="20"/>
        <v>0</v>
      </c>
      <c r="AL25" s="449">
        <f t="shared" si="20"/>
        <v>87.45</v>
      </c>
      <c r="AM25" s="449">
        <f t="shared" si="20"/>
        <v>2.96</v>
      </c>
      <c r="AN25" s="449">
        <f t="shared" si="20"/>
        <v>0.12</v>
      </c>
      <c r="AO25" s="449">
        <f t="shared" si="20"/>
        <v>0.09</v>
      </c>
      <c r="AP25" s="449">
        <f t="shared" si="20"/>
        <v>1.01</v>
      </c>
      <c r="AQ25" s="449">
        <f t="shared" si="20"/>
        <v>0</v>
      </c>
      <c r="AR25" s="449">
        <f t="shared" si="20"/>
        <v>0</v>
      </c>
      <c r="AS25" s="449">
        <f t="shared" si="20"/>
        <v>0</v>
      </c>
      <c r="AT25" s="449">
        <f t="shared" si="20"/>
        <v>12.319999999999999</v>
      </c>
      <c r="AU25" s="449">
        <f t="shared" si="20"/>
        <v>0</v>
      </c>
      <c r="AV25" s="449">
        <f t="shared" si="20"/>
        <v>2.15</v>
      </c>
      <c r="AW25" s="449">
        <f t="shared" si="20"/>
        <v>0</v>
      </c>
      <c r="AX25" s="449">
        <f t="shared" si="20"/>
        <v>0</v>
      </c>
      <c r="AY25" s="449">
        <f t="shared" si="20"/>
        <v>0</v>
      </c>
      <c r="AZ25" s="449">
        <f t="shared" si="20"/>
        <v>3.54</v>
      </c>
      <c r="BA25" s="449">
        <f t="shared" si="20"/>
        <v>0</v>
      </c>
      <c r="BB25" s="449">
        <f t="shared" si="20"/>
        <v>0.47</v>
      </c>
      <c r="BC25" s="449">
        <f t="shared" si="20"/>
        <v>0</v>
      </c>
      <c r="BD25" s="449">
        <f t="shared" si="20"/>
        <v>0</v>
      </c>
      <c r="BE25" s="449">
        <f t="shared" si="20"/>
        <v>106</v>
      </c>
      <c r="BF25" s="449">
        <f t="shared" si="20"/>
        <v>355.57</v>
      </c>
      <c r="BG25" s="449">
        <f t="shared" si="20"/>
        <v>0</v>
      </c>
      <c r="BH25" s="449">
        <f t="shared" si="20"/>
        <v>0</v>
      </c>
      <c r="BI25" s="449">
        <f t="shared" si="20"/>
        <v>0</v>
      </c>
      <c r="BJ25" s="449">
        <f t="shared" si="20"/>
        <v>0</v>
      </c>
      <c r="BK25" s="449">
        <f t="shared" si="20"/>
        <v>0</v>
      </c>
      <c r="BL25" s="449">
        <f>E25+BH25</f>
        <v>0</v>
      </c>
      <c r="BM25" s="449">
        <f>BM26+BM27+BM28+BM29+BM30+BM31+BM32+BM33+BM34+BM46+BM47+BM48+BM49+BM50+BM51+BM52+BM53+BM54+BM55+BM56+BM57+BM58+BM59+BM60+BM61+BM62</f>
        <v>2.9499999999999997</v>
      </c>
      <c r="BN25" s="449">
        <f>BN26+BN27+BN28+BN29+BN30+BN31+BN32+BN33+BN34+BN46+BN47+BN48+BN49+BN50+BN51+BN52+BN53+BN54+BN55+BN56+BN57+BN58+BN59+BN60+BN61+BN62</f>
        <v>646.23949999999991</v>
      </c>
      <c r="BO25" s="134"/>
    </row>
    <row r="26" spans="1:67" s="2" customFormat="1" ht="20.100000000000001" customHeight="1">
      <c r="A26" s="19" t="s">
        <v>47</v>
      </c>
      <c r="B26" s="19" t="s">
        <v>48</v>
      </c>
      <c r="C26" s="107" t="s">
        <v>49</v>
      </c>
      <c r="D26" s="450">
        <f>#REF!</f>
        <v>44.83</v>
      </c>
      <c r="E26" s="450">
        <f t="shared" si="4"/>
        <v>0</v>
      </c>
      <c r="F26" s="450">
        <f>G26+N26</f>
        <v>0</v>
      </c>
      <c r="G26" s="450">
        <f t="shared" si="8"/>
        <v>0</v>
      </c>
      <c r="H26" s="450">
        <f t="shared" si="12"/>
        <v>0</v>
      </c>
      <c r="I26" s="450"/>
      <c r="J26" s="450"/>
      <c r="K26" s="450"/>
      <c r="L26" s="450"/>
      <c r="M26" s="450"/>
      <c r="N26" s="450"/>
      <c r="O26" s="450"/>
      <c r="P26" s="450"/>
      <c r="Q26" s="450"/>
      <c r="R26" s="450"/>
      <c r="S26" s="450"/>
      <c r="T26" s="450"/>
      <c r="U26" s="450"/>
      <c r="V26" s="667">
        <f t="shared" si="13"/>
        <v>44.83</v>
      </c>
      <c r="W26" s="450">
        <f>D26-BL26</f>
        <v>44.83</v>
      </c>
      <c r="X26" s="450"/>
      <c r="Y26" s="450"/>
      <c r="Z26" s="450"/>
      <c r="AA26" s="450"/>
      <c r="AB26" s="450"/>
      <c r="AC26" s="450"/>
      <c r="AD26" s="450"/>
      <c r="AE26" s="450">
        <f t="shared" si="9"/>
        <v>0</v>
      </c>
      <c r="AF26" s="450"/>
      <c r="AG26" s="450"/>
      <c r="AH26" s="450"/>
      <c r="AI26" s="450"/>
      <c r="AJ26" s="450"/>
      <c r="AK26" s="450"/>
      <c r="AL26" s="450"/>
      <c r="AM26" s="450"/>
      <c r="AN26" s="450"/>
      <c r="AO26" s="450"/>
      <c r="AP26" s="450"/>
      <c r="AQ26" s="450"/>
      <c r="AR26" s="450"/>
      <c r="AS26" s="450"/>
      <c r="AT26" s="450"/>
      <c r="AU26" s="450"/>
      <c r="AV26" s="450"/>
      <c r="AW26" s="450"/>
      <c r="AX26" s="450"/>
      <c r="AY26" s="450"/>
      <c r="AZ26" s="450"/>
      <c r="BA26" s="450"/>
      <c r="BB26" s="450"/>
      <c r="BC26" s="450"/>
      <c r="BD26" s="450"/>
      <c r="BE26" s="450"/>
      <c r="BF26" s="450"/>
      <c r="BG26" s="450"/>
      <c r="BH26" s="450">
        <f>BI26+BJ26+BK26</f>
        <v>0</v>
      </c>
      <c r="BI26" s="450"/>
      <c r="BJ26" s="450"/>
      <c r="BK26" s="450"/>
      <c r="BL26" s="450">
        <f>X26+Y26+Z26+AA26+AB26+AC26+AD26+AE26+AQ26+AR26+AS26+AT26+AU26+AV26+AW26+AX26+AY26+AZ26+BA26+BB26+BC26+BD26+BE26+BF26+BG26+BH26</f>
        <v>0</v>
      </c>
      <c r="BM26" s="450">
        <f>W67-BL26</f>
        <v>0</v>
      </c>
      <c r="BN26" s="450">
        <f>D26+BM26</f>
        <v>44.83</v>
      </c>
      <c r="BO26" s="124"/>
    </row>
    <row r="27" spans="1:67" s="2" customFormat="1" ht="20.100000000000001" customHeight="1">
      <c r="A27" s="19" t="s">
        <v>50</v>
      </c>
      <c r="B27" s="19" t="s">
        <v>51</v>
      </c>
      <c r="C27" s="107" t="s">
        <v>52</v>
      </c>
      <c r="D27" s="450"/>
      <c r="E27" s="450">
        <f t="shared" si="4"/>
        <v>0</v>
      </c>
      <c r="F27" s="450">
        <f t="shared" ref="F27:F66" si="21">G27+N27</f>
        <v>0</v>
      </c>
      <c r="G27" s="450">
        <f t="shared" si="8"/>
        <v>0</v>
      </c>
      <c r="H27" s="450">
        <f t="shared" si="12"/>
        <v>0</v>
      </c>
      <c r="I27" s="450"/>
      <c r="J27" s="450"/>
      <c r="K27" s="450"/>
      <c r="L27" s="450"/>
      <c r="M27" s="450"/>
      <c r="N27" s="450"/>
      <c r="O27" s="450"/>
      <c r="P27" s="450"/>
      <c r="Q27" s="450"/>
      <c r="R27" s="450"/>
      <c r="S27" s="450"/>
      <c r="T27" s="450"/>
      <c r="U27" s="450"/>
      <c r="V27" s="667">
        <f t="shared" si="13"/>
        <v>0</v>
      </c>
      <c r="W27" s="450"/>
      <c r="X27" s="450">
        <f>D27-BL27</f>
        <v>0</v>
      </c>
      <c r="Y27" s="450"/>
      <c r="Z27" s="450"/>
      <c r="AA27" s="450"/>
      <c r="AB27" s="450"/>
      <c r="AC27" s="450"/>
      <c r="AD27" s="450"/>
      <c r="AE27" s="450">
        <f t="shared" si="9"/>
        <v>0</v>
      </c>
      <c r="AF27" s="450"/>
      <c r="AG27" s="450"/>
      <c r="AH27" s="450"/>
      <c r="AI27" s="450"/>
      <c r="AJ27" s="450"/>
      <c r="AK27" s="450"/>
      <c r="AL27" s="450"/>
      <c r="AM27" s="450"/>
      <c r="AN27" s="450"/>
      <c r="AO27" s="450"/>
      <c r="AP27" s="450"/>
      <c r="AQ27" s="450"/>
      <c r="AR27" s="450"/>
      <c r="AS27" s="450"/>
      <c r="AT27" s="450"/>
      <c r="AU27" s="450"/>
      <c r="AV27" s="450"/>
      <c r="AW27" s="450"/>
      <c r="AX27" s="450"/>
      <c r="AY27" s="450"/>
      <c r="AZ27" s="450"/>
      <c r="BA27" s="450"/>
      <c r="BB27" s="450"/>
      <c r="BC27" s="450"/>
      <c r="BD27" s="450"/>
      <c r="BE27" s="450"/>
      <c r="BF27" s="450"/>
      <c r="BG27" s="450"/>
      <c r="BH27" s="450">
        <f t="shared" ref="BH27:BH62" si="22">BI27+BJ27+BK27</f>
        <v>0</v>
      </c>
      <c r="BI27" s="450"/>
      <c r="BJ27" s="450"/>
      <c r="BK27" s="450"/>
      <c r="BL27" s="450">
        <f>F27+W27+Y27+Z27+AA27+AB27+AC27+AD27+AE27+AQ27+AR27+AS27+AT27+AU27+AV27+AW27+AX27+AY27+AZ27+BA27+BB27+BC27+BD27+BE27+BF27+BG27+BH27</f>
        <v>0</v>
      </c>
      <c r="BM27" s="450">
        <f>X67-BL27</f>
        <v>0</v>
      </c>
      <c r="BN27" s="450">
        <f t="shared" ref="BN27:BN33" si="23">D27+BM27</f>
        <v>0</v>
      </c>
      <c r="BO27" s="124"/>
    </row>
    <row r="28" spans="1:67" s="2" customFormat="1" ht="20.100000000000001" customHeight="1">
      <c r="A28" s="19" t="s">
        <v>53</v>
      </c>
      <c r="B28" s="19" t="s">
        <v>54</v>
      </c>
      <c r="C28" s="107" t="s">
        <v>55</v>
      </c>
      <c r="D28" s="450"/>
      <c r="E28" s="450">
        <f t="shared" si="4"/>
        <v>0</v>
      </c>
      <c r="F28" s="450">
        <f t="shared" si="21"/>
        <v>0</v>
      </c>
      <c r="G28" s="450">
        <f t="shared" si="8"/>
        <v>0</v>
      </c>
      <c r="H28" s="450">
        <f t="shared" si="12"/>
        <v>0</v>
      </c>
      <c r="I28" s="450"/>
      <c r="J28" s="450"/>
      <c r="K28" s="450"/>
      <c r="L28" s="450"/>
      <c r="M28" s="450"/>
      <c r="N28" s="450"/>
      <c r="O28" s="450"/>
      <c r="P28" s="450"/>
      <c r="Q28" s="450"/>
      <c r="R28" s="450"/>
      <c r="S28" s="450"/>
      <c r="T28" s="450"/>
      <c r="U28" s="450"/>
      <c r="V28" s="667">
        <f t="shared" si="13"/>
        <v>0</v>
      </c>
      <c r="W28" s="450"/>
      <c r="X28" s="450"/>
      <c r="Y28" s="450">
        <f>D28-BL28</f>
        <v>0</v>
      </c>
      <c r="Z28" s="450"/>
      <c r="AA28" s="450"/>
      <c r="AB28" s="450"/>
      <c r="AC28" s="450"/>
      <c r="AD28" s="450"/>
      <c r="AE28" s="450">
        <f t="shared" si="9"/>
        <v>0</v>
      </c>
      <c r="AF28" s="450"/>
      <c r="AG28" s="450"/>
      <c r="AH28" s="450"/>
      <c r="AI28" s="450"/>
      <c r="AJ28" s="450"/>
      <c r="AK28" s="450"/>
      <c r="AL28" s="450"/>
      <c r="AM28" s="450"/>
      <c r="AN28" s="450"/>
      <c r="AO28" s="450"/>
      <c r="AP28" s="450"/>
      <c r="AQ28" s="450"/>
      <c r="AR28" s="450"/>
      <c r="AS28" s="450"/>
      <c r="AT28" s="450"/>
      <c r="AU28" s="450"/>
      <c r="AV28" s="450"/>
      <c r="AW28" s="450"/>
      <c r="AX28" s="450"/>
      <c r="AY28" s="450"/>
      <c r="AZ28" s="450"/>
      <c r="BA28" s="450"/>
      <c r="BB28" s="450"/>
      <c r="BC28" s="450"/>
      <c r="BD28" s="450"/>
      <c r="BE28" s="450"/>
      <c r="BF28" s="450"/>
      <c r="BG28" s="450"/>
      <c r="BH28" s="450">
        <f t="shared" si="22"/>
        <v>0</v>
      </c>
      <c r="BI28" s="450"/>
      <c r="BJ28" s="450"/>
      <c r="BK28" s="450"/>
      <c r="BL28" s="450">
        <f>E28+W28+X28+Z28+AA28+AB28+AC28+AD28+AE28+AQ28+AR28+AS28+AT28+AU28+AV28+AW28+AX28+AY28+AZ28+BA28+BB28+BC28+BD28+BE28+BF28+BG28+BH28</f>
        <v>0</v>
      </c>
      <c r="BM28" s="450">
        <f>Y67-BL28</f>
        <v>0</v>
      </c>
      <c r="BN28" s="450">
        <f t="shared" si="23"/>
        <v>0</v>
      </c>
      <c r="BO28" s="124"/>
    </row>
    <row r="29" spans="1:67" s="2" customFormat="1" ht="20.100000000000001" customHeight="1">
      <c r="A29" s="19" t="s">
        <v>56</v>
      </c>
      <c r="B29" s="19" t="s">
        <v>57</v>
      </c>
      <c r="C29" s="107" t="s">
        <v>58</v>
      </c>
      <c r="D29" s="450"/>
      <c r="E29" s="450">
        <f t="shared" si="4"/>
        <v>0</v>
      </c>
      <c r="F29" s="450">
        <f t="shared" si="21"/>
        <v>0</v>
      </c>
      <c r="G29" s="450">
        <f t="shared" si="8"/>
        <v>0</v>
      </c>
      <c r="H29" s="450">
        <f t="shared" si="12"/>
        <v>0</v>
      </c>
      <c r="I29" s="450"/>
      <c r="J29" s="450"/>
      <c r="K29" s="450"/>
      <c r="L29" s="450"/>
      <c r="M29" s="450"/>
      <c r="N29" s="450"/>
      <c r="O29" s="450"/>
      <c r="P29" s="450"/>
      <c r="Q29" s="450"/>
      <c r="R29" s="450"/>
      <c r="S29" s="450"/>
      <c r="T29" s="450"/>
      <c r="U29" s="450"/>
      <c r="V29" s="667">
        <f t="shared" si="13"/>
        <v>0</v>
      </c>
      <c r="W29" s="450"/>
      <c r="X29" s="450"/>
      <c r="Y29" s="450"/>
      <c r="Z29" s="450">
        <f>D29-BL29</f>
        <v>0</v>
      </c>
      <c r="AA29" s="450"/>
      <c r="AB29" s="450"/>
      <c r="AC29" s="450"/>
      <c r="AD29" s="450"/>
      <c r="AE29" s="450">
        <f t="shared" si="9"/>
        <v>0</v>
      </c>
      <c r="AF29" s="450"/>
      <c r="AG29" s="450"/>
      <c r="AH29" s="450"/>
      <c r="AI29" s="450"/>
      <c r="AJ29" s="450"/>
      <c r="AK29" s="450"/>
      <c r="AL29" s="450"/>
      <c r="AM29" s="450"/>
      <c r="AN29" s="450"/>
      <c r="AO29" s="450"/>
      <c r="AP29" s="450"/>
      <c r="AQ29" s="450"/>
      <c r="AR29" s="450"/>
      <c r="AS29" s="450"/>
      <c r="AT29" s="450"/>
      <c r="AU29" s="450"/>
      <c r="AV29" s="450"/>
      <c r="AW29" s="450"/>
      <c r="AX29" s="450"/>
      <c r="AY29" s="450"/>
      <c r="AZ29" s="450"/>
      <c r="BA29" s="450"/>
      <c r="BB29" s="450"/>
      <c r="BC29" s="450"/>
      <c r="BD29" s="450"/>
      <c r="BE29" s="450"/>
      <c r="BF29" s="450"/>
      <c r="BG29" s="450"/>
      <c r="BH29" s="450">
        <f t="shared" si="22"/>
        <v>0</v>
      </c>
      <c r="BI29" s="450"/>
      <c r="BJ29" s="450"/>
      <c r="BK29" s="450"/>
      <c r="BL29" s="450">
        <f>E29+W29+X29+Y29+AA29+AB29+AC29+AD29+AE29+AQ29+AR29+AS29+AT29+AU29+AV29+AW29+AX29+AY29+AZ29+BA29+BB29+BC29+BD29+BE29+BF29+BG29+BH29</f>
        <v>0</v>
      </c>
      <c r="BM29" s="450">
        <f>Z67-BL29</f>
        <v>0</v>
      </c>
      <c r="BN29" s="450">
        <f t="shared" si="23"/>
        <v>0</v>
      </c>
      <c r="BO29" s="124"/>
    </row>
    <row r="30" spans="1:67" s="2" customFormat="1" ht="20.100000000000001" customHeight="1">
      <c r="A30" s="19" t="s">
        <v>59</v>
      </c>
      <c r="B30" s="19" t="s">
        <v>60</v>
      </c>
      <c r="C30" s="107" t="s">
        <v>61</v>
      </c>
      <c r="D30" s="450"/>
      <c r="E30" s="450">
        <f t="shared" si="4"/>
        <v>0</v>
      </c>
      <c r="F30" s="450">
        <f t="shared" si="21"/>
        <v>0</v>
      </c>
      <c r="G30" s="450">
        <f t="shared" si="8"/>
        <v>0</v>
      </c>
      <c r="H30" s="450">
        <f t="shared" si="12"/>
        <v>0</v>
      </c>
      <c r="I30" s="450"/>
      <c r="J30" s="450"/>
      <c r="K30" s="450"/>
      <c r="L30" s="450"/>
      <c r="M30" s="450"/>
      <c r="N30" s="450"/>
      <c r="O30" s="450"/>
      <c r="P30" s="450"/>
      <c r="Q30" s="450"/>
      <c r="R30" s="450"/>
      <c r="S30" s="450"/>
      <c r="T30" s="450"/>
      <c r="U30" s="450"/>
      <c r="V30" s="667">
        <f t="shared" si="13"/>
        <v>0</v>
      </c>
      <c r="W30" s="450"/>
      <c r="X30" s="450"/>
      <c r="Y30" s="450"/>
      <c r="Z30" s="450"/>
      <c r="AA30" s="450">
        <f>D30-BL30</f>
        <v>0</v>
      </c>
      <c r="AB30" s="450"/>
      <c r="AC30" s="450"/>
      <c r="AD30" s="450"/>
      <c r="AE30" s="450">
        <f t="shared" si="9"/>
        <v>0</v>
      </c>
      <c r="AF30" s="450"/>
      <c r="AG30" s="450"/>
      <c r="AH30" s="450"/>
      <c r="AI30" s="450"/>
      <c r="AJ30" s="450"/>
      <c r="AK30" s="450"/>
      <c r="AL30" s="450"/>
      <c r="AM30" s="450"/>
      <c r="AN30" s="450"/>
      <c r="AO30" s="450"/>
      <c r="AP30" s="450"/>
      <c r="AQ30" s="450"/>
      <c r="AR30" s="450"/>
      <c r="AS30" s="450"/>
      <c r="AT30" s="450"/>
      <c r="AU30" s="450"/>
      <c r="AV30" s="450"/>
      <c r="AW30" s="450"/>
      <c r="AX30" s="450"/>
      <c r="AY30" s="450"/>
      <c r="AZ30" s="450"/>
      <c r="BA30" s="450"/>
      <c r="BB30" s="450"/>
      <c r="BC30" s="450"/>
      <c r="BD30" s="450"/>
      <c r="BE30" s="450"/>
      <c r="BF30" s="450"/>
      <c r="BG30" s="450"/>
      <c r="BH30" s="450">
        <f t="shared" si="22"/>
        <v>0</v>
      </c>
      <c r="BI30" s="450"/>
      <c r="BJ30" s="450"/>
      <c r="BK30" s="450"/>
      <c r="BL30" s="450">
        <f>E30+W30+X30+Y30+Z30+AB30+AC30+AD30+AE30+AQ30+AR30+AS30+AT30+AU30+AV30+AW30+AX30+AY30+AZ30+BA30+BB30+BC30+BD30+BE30+BF30+BG30+BH30</f>
        <v>0</v>
      </c>
      <c r="BM30" s="450">
        <f>AA67-BL30</f>
        <v>0</v>
      </c>
      <c r="BN30" s="450">
        <f t="shared" si="23"/>
        <v>0</v>
      </c>
      <c r="BO30" s="124"/>
    </row>
    <row r="31" spans="1:67" s="2" customFormat="1" ht="20.100000000000001" customHeight="1">
      <c r="A31" s="19" t="s">
        <v>62</v>
      </c>
      <c r="B31" s="19" t="s">
        <v>63</v>
      </c>
      <c r="C31" s="107" t="s">
        <v>64</v>
      </c>
      <c r="D31" s="741">
        <v>24.09</v>
      </c>
      <c r="E31" s="450">
        <f t="shared" si="4"/>
        <v>0</v>
      </c>
      <c r="F31" s="450">
        <f t="shared" si="21"/>
        <v>0</v>
      </c>
      <c r="G31" s="450">
        <f t="shared" si="8"/>
        <v>0</v>
      </c>
      <c r="H31" s="450">
        <f t="shared" si="12"/>
        <v>0</v>
      </c>
      <c r="I31" s="450"/>
      <c r="J31" s="450"/>
      <c r="K31" s="450"/>
      <c r="L31" s="450"/>
      <c r="M31" s="450"/>
      <c r="N31" s="450"/>
      <c r="O31" s="450"/>
      <c r="P31" s="450"/>
      <c r="Q31" s="450"/>
      <c r="R31" s="450"/>
      <c r="S31" s="450"/>
      <c r="T31" s="450"/>
      <c r="U31" s="450"/>
      <c r="V31" s="667">
        <f>W31+X31+Y31+Z31+AA31+AB31+AC31+AD31+AE31+AQ31+AR31+AS31+AT31+AU31+AV31+AW31+AX31+AY31+AZ31+BA31+BB31+BC31+BD31+BE31+BF31+BG31</f>
        <v>24.09</v>
      </c>
      <c r="W31" s="450"/>
      <c r="X31" s="450"/>
      <c r="Y31" s="450"/>
      <c r="Z31" s="450"/>
      <c r="AA31" s="450"/>
      <c r="AB31" s="450">
        <f>D31-BL31</f>
        <v>24.09</v>
      </c>
      <c r="AC31" s="450"/>
      <c r="AD31" s="450"/>
      <c r="AE31" s="450">
        <f t="shared" si="9"/>
        <v>0</v>
      </c>
      <c r="AF31" s="450"/>
      <c r="AG31" s="450"/>
      <c r="AH31" s="450"/>
      <c r="AI31" s="450"/>
      <c r="AJ31" s="450"/>
      <c r="AK31" s="450"/>
      <c r="AL31" s="450"/>
      <c r="AM31" s="450"/>
      <c r="AN31" s="450"/>
      <c r="AO31" s="450"/>
      <c r="AP31" s="450"/>
      <c r="AQ31" s="450"/>
      <c r="AR31" s="450"/>
      <c r="AS31" s="450"/>
      <c r="AT31" s="450"/>
      <c r="AU31" s="450"/>
      <c r="AV31" s="450"/>
      <c r="AW31" s="450"/>
      <c r="AX31" s="450"/>
      <c r="AY31" s="450"/>
      <c r="AZ31" s="450"/>
      <c r="BA31" s="450"/>
      <c r="BB31" s="450"/>
      <c r="BC31" s="450"/>
      <c r="BD31" s="450"/>
      <c r="BE31" s="450"/>
      <c r="BF31" s="450"/>
      <c r="BG31" s="450"/>
      <c r="BH31" s="450">
        <f>BI31+BJ31+BK31</f>
        <v>0</v>
      </c>
      <c r="BI31" s="450"/>
      <c r="BJ31" s="450"/>
      <c r="BK31" s="450"/>
      <c r="BL31" s="450">
        <f>E31+W31+X31+Y31+Z31+AA31+AC31+AD31+AE31+AQ31+AR31+AS31+AT31+AU31+AV31+AW31+AX31+AY31+AZ31+BA31+BB31+BC31+BD31+BE31+BF31+BG31+BH31</f>
        <v>0</v>
      </c>
      <c r="BM31" s="450">
        <f>AB67-BL31</f>
        <v>0</v>
      </c>
      <c r="BN31" s="450">
        <f t="shared" si="23"/>
        <v>24.09</v>
      </c>
      <c r="BO31" s="124"/>
    </row>
    <row r="32" spans="1:67" s="2" customFormat="1" ht="20.100000000000001" customHeight="1">
      <c r="A32" s="19" t="s">
        <v>65</v>
      </c>
      <c r="B32" s="19" t="s">
        <v>66</v>
      </c>
      <c r="C32" s="107" t="s">
        <v>67</v>
      </c>
      <c r="D32" s="450"/>
      <c r="E32" s="450">
        <f t="shared" si="4"/>
        <v>0</v>
      </c>
      <c r="F32" s="450">
        <f t="shared" si="21"/>
        <v>0</v>
      </c>
      <c r="G32" s="450">
        <f t="shared" si="8"/>
        <v>0</v>
      </c>
      <c r="H32" s="450">
        <f t="shared" si="12"/>
        <v>0</v>
      </c>
      <c r="I32" s="450"/>
      <c r="J32" s="450"/>
      <c r="K32" s="450"/>
      <c r="L32" s="450"/>
      <c r="M32" s="450"/>
      <c r="N32" s="450"/>
      <c r="O32" s="450"/>
      <c r="P32" s="450"/>
      <c r="Q32" s="450"/>
      <c r="R32" s="450"/>
      <c r="S32" s="450"/>
      <c r="T32" s="450"/>
      <c r="U32" s="450"/>
      <c r="V32" s="667">
        <f t="shared" si="13"/>
        <v>0</v>
      </c>
      <c r="W32" s="450"/>
      <c r="X32" s="450"/>
      <c r="Y32" s="450"/>
      <c r="Z32" s="450"/>
      <c r="AA32" s="450"/>
      <c r="AB32" s="450"/>
      <c r="AC32" s="450">
        <f>D32-BL32</f>
        <v>0</v>
      </c>
      <c r="AD32" s="450"/>
      <c r="AE32" s="450">
        <f t="shared" si="9"/>
        <v>0</v>
      </c>
      <c r="AF32" s="450"/>
      <c r="AG32" s="450"/>
      <c r="AH32" s="450"/>
      <c r="AI32" s="450"/>
      <c r="AJ32" s="450"/>
      <c r="AK32" s="450"/>
      <c r="AL32" s="450"/>
      <c r="AM32" s="450"/>
      <c r="AN32" s="450"/>
      <c r="AO32" s="450"/>
      <c r="AP32" s="450"/>
      <c r="AQ32" s="450"/>
      <c r="AR32" s="450"/>
      <c r="AS32" s="450"/>
      <c r="AT32" s="450"/>
      <c r="AU32" s="450"/>
      <c r="AV32" s="450"/>
      <c r="AW32" s="450"/>
      <c r="AX32" s="450"/>
      <c r="AY32" s="450"/>
      <c r="AZ32" s="450"/>
      <c r="BA32" s="450"/>
      <c r="BB32" s="450"/>
      <c r="BC32" s="450"/>
      <c r="BD32" s="450"/>
      <c r="BE32" s="450"/>
      <c r="BF32" s="450"/>
      <c r="BG32" s="450"/>
      <c r="BH32" s="450">
        <f t="shared" si="22"/>
        <v>0</v>
      </c>
      <c r="BI32" s="450"/>
      <c r="BJ32" s="450"/>
      <c r="BK32" s="450"/>
      <c r="BL32" s="450">
        <f>E32+W32+X32+Y32+Z32+AA32+AB32+AD32+AE32+AQ32+AR32+AS32+AT32+AU32+AV32+AW32+AX32+AY32+AZ32+BA32+BB32+BC32+BD32+BE32+BF32+BG32+BH32</f>
        <v>0</v>
      </c>
      <c r="BM32" s="450">
        <f>AC67-BL32</f>
        <v>0</v>
      </c>
      <c r="BN32" s="450">
        <f t="shared" si="23"/>
        <v>0</v>
      </c>
      <c r="BO32" s="124"/>
    </row>
    <row r="33" spans="1:67" s="2" customFormat="1" ht="20.100000000000001" customHeight="1">
      <c r="A33" s="19" t="s">
        <v>68</v>
      </c>
      <c r="B33" s="19" t="s">
        <v>69</v>
      </c>
      <c r="C33" s="107" t="s">
        <v>70</v>
      </c>
      <c r="D33" s="450"/>
      <c r="E33" s="450">
        <f t="shared" si="4"/>
        <v>0</v>
      </c>
      <c r="F33" s="450">
        <f t="shared" si="21"/>
        <v>0</v>
      </c>
      <c r="G33" s="450">
        <f t="shared" si="8"/>
        <v>0</v>
      </c>
      <c r="H33" s="450">
        <f t="shared" si="12"/>
        <v>0</v>
      </c>
      <c r="I33" s="450"/>
      <c r="J33" s="450"/>
      <c r="K33" s="450"/>
      <c r="L33" s="450"/>
      <c r="M33" s="450"/>
      <c r="N33" s="450"/>
      <c r="O33" s="450"/>
      <c r="P33" s="450"/>
      <c r="Q33" s="450"/>
      <c r="R33" s="450"/>
      <c r="S33" s="450"/>
      <c r="T33" s="450"/>
      <c r="U33" s="450"/>
      <c r="V33" s="667">
        <f t="shared" si="13"/>
        <v>0</v>
      </c>
      <c r="W33" s="450"/>
      <c r="X33" s="450"/>
      <c r="Y33" s="450"/>
      <c r="Z33" s="450"/>
      <c r="AA33" s="450"/>
      <c r="AB33" s="450"/>
      <c r="AC33" s="450"/>
      <c r="AD33" s="450">
        <f>D33-BL33</f>
        <v>0</v>
      </c>
      <c r="AE33" s="450">
        <f t="shared" si="9"/>
        <v>0</v>
      </c>
      <c r="AF33" s="450"/>
      <c r="AG33" s="450"/>
      <c r="AH33" s="450"/>
      <c r="AI33" s="450"/>
      <c r="AJ33" s="450"/>
      <c r="AK33" s="450"/>
      <c r="AL33" s="450"/>
      <c r="AM33" s="450"/>
      <c r="AN33" s="450"/>
      <c r="AO33" s="450"/>
      <c r="AP33" s="450"/>
      <c r="AQ33" s="450"/>
      <c r="AR33" s="450"/>
      <c r="AS33" s="450"/>
      <c r="AT33" s="450"/>
      <c r="AU33" s="450"/>
      <c r="AV33" s="450"/>
      <c r="AW33" s="450"/>
      <c r="AX33" s="450"/>
      <c r="AY33" s="450"/>
      <c r="AZ33" s="450"/>
      <c r="BA33" s="450"/>
      <c r="BB33" s="450"/>
      <c r="BC33" s="450"/>
      <c r="BD33" s="450"/>
      <c r="BE33" s="450"/>
      <c r="BF33" s="450"/>
      <c r="BG33" s="450"/>
      <c r="BH33" s="450">
        <f t="shared" si="22"/>
        <v>0</v>
      </c>
      <c r="BI33" s="450"/>
      <c r="BJ33" s="450"/>
      <c r="BK33" s="450"/>
      <c r="BL33" s="450">
        <f>E33+W33+X33+Y33+Z33+AA33+AB33+AC33+AE33+AQ33+AR33+AS33+AT33+AU33+AV33+AW33+AX33+AY33+AZ33+BA33+BB33+BC33+BD33+BE33+BF33+BG33+BH33</f>
        <v>0</v>
      </c>
      <c r="BM33" s="450">
        <f>AD67-BL33</f>
        <v>0</v>
      </c>
      <c r="BN33" s="450">
        <f t="shared" si="23"/>
        <v>0</v>
      </c>
      <c r="BO33" s="124"/>
    </row>
    <row r="34" spans="1:67" s="2" customFormat="1" ht="40.5" customHeight="1">
      <c r="A34" s="19" t="s">
        <v>71</v>
      </c>
      <c r="B34" s="19" t="s">
        <v>135</v>
      </c>
      <c r="C34" s="107" t="s">
        <v>72</v>
      </c>
      <c r="D34" s="450">
        <f>SUM(D35:D45)</f>
        <v>94.109500000000011</v>
      </c>
      <c r="E34" s="450">
        <f>SUM(E35:E45)</f>
        <v>0</v>
      </c>
      <c r="F34" s="450">
        <f t="shared" ref="F34:U34" si="24">SUM(F35:F45)</f>
        <v>0</v>
      </c>
      <c r="G34" s="450">
        <f t="shared" si="24"/>
        <v>0</v>
      </c>
      <c r="H34" s="450">
        <f t="shared" si="24"/>
        <v>0</v>
      </c>
      <c r="I34" s="450">
        <f t="shared" si="24"/>
        <v>0</v>
      </c>
      <c r="J34" s="450">
        <f t="shared" si="24"/>
        <v>0</v>
      </c>
      <c r="K34" s="450">
        <f t="shared" si="24"/>
        <v>0</v>
      </c>
      <c r="L34" s="450">
        <f t="shared" si="24"/>
        <v>0</v>
      </c>
      <c r="M34" s="450">
        <f t="shared" si="24"/>
        <v>0</v>
      </c>
      <c r="N34" s="450">
        <f t="shared" si="24"/>
        <v>0</v>
      </c>
      <c r="O34" s="450">
        <f t="shared" si="24"/>
        <v>0</v>
      </c>
      <c r="P34" s="450">
        <f t="shared" si="24"/>
        <v>0</v>
      </c>
      <c r="Q34" s="450">
        <f t="shared" si="24"/>
        <v>0</v>
      </c>
      <c r="R34" s="450">
        <f t="shared" si="24"/>
        <v>0</v>
      </c>
      <c r="S34" s="450">
        <f t="shared" si="24"/>
        <v>0</v>
      </c>
      <c r="T34" s="450">
        <f t="shared" si="24"/>
        <v>0</v>
      </c>
      <c r="U34" s="450">
        <f t="shared" si="24"/>
        <v>0</v>
      </c>
      <c r="V34" s="667">
        <f>SUM(V35:V45)</f>
        <v>94.109500000000011</v>
      </c>
      <c r="W34" s="450">
        <f t="shared" ref="W34:AD34" si="25">SUM(W35:W45)</f>
        <v>0</v>
      </c>
      <c r="X34" s="450">
        <f t="shared" si="25"/>
        <v>0</v>
      </c>
      <c r="Y34" s="450">
        <f t="shared" si="25"/>
        <v>0</v>
      </c>
      <c r="Z34" s="450">
        <f t="shared" si="25"/>
        <v>0</v>
      </c>
      <c r="AA34" s="450">
        <f t="shared" si="25"/>
        <v>0</v>
      </c>
      <c r="AB34" s="450">
        <f t="shared" si="25"/>
        <v>0</v>
      </c>
      <c r="AC34" s="450">
        <f t="shared" si="25"/>
        <v>0</v>
      </c>
      <c r="AD34" s="450">
        <f t="shared" si="25"/>
        <v>0</v>
      </c>
      <c r="AE34" s="450">
        <f>D34-BL34</f>
        <v>93.739500000000007</v>
      </c>
      <c r="AF34" s="450">
        <f>SUM(AF35:AF45)</f>
        <v>0</v>
      </c>
      <c r="AG34" s="450">
        <f t="shared" ref="AG34:BE34" si="26">SUM(AG35:AG45)</f>
        <v>0.25</v>
      </c>
      <c r="AH34" s="450">
        <f t="shared" si="26"/>
        <v>1.7795000000000001</v>
      </c>
      <c r="AI34" s="450">
        <f t="shared" si="26"/>
        <v>0.66</v>
      </c>
      <c r="AJ34" s="450">
        <f t="shared" si="26"/>
        <v>0</v>
      </c>
      <c r="AK34" s="450">
        <f t="shared" si="26"/>
        <v>0</v>
      </c>
      <c r="AL34" s="450">
        <f t="shared" si="26"/>
        <v>86.87</v>
      </c>
      <c r="AM34" s="450">
        <f t="shared" si="26"/>
        <v>2.96</v>
      </c>
      <c r="AN34" s="450">
        <f t="shared" si="26"/>
        <v>0.12</v>
      </c>
      <c r="AO34" s="450">
        <f t="shared" si="26"/>
        <v>0.09</v>
      </c>
      <c r="AP34" s="450">
        <f t="shared" si="26"/>
        <v>1.01</v>
      </c>
      <c r="AQ34" s="450">
        <f t="shared" si="26"/>
        <v>0</v>
      </c>
      <c r="AR34" s="450">
        <f t="shared" si="26"/>
        <v>0</v>
      </c>
      <c r="AS34" s="450">
        <f t="shared" si="26"/>
        <v>0</v>
      </c>
      <c r="AT34" s="450">
        <f t="shared" si="26"/>
        <v>0.37</v>
      </c>
      <c r="AU34" s="450">
        <f t="shared" si="26"/>
        <v>0</v>
      </c>
      <c r="AV34" s="450">
        <f t="shared" si="26"/>
        <v>0</v>
      </c>
      <c r="AW34" s="450">
        <f t="shared" si="26"/>
        <v>0</v>
      </c>
      <c r="AX34" s="450">
        <f t="shared" si="26"/>
        <v>0</v>
      </c>
      <c r="AY34" s="450">
        <f t="shared" si="26"/>
        <v>0</v>
      </c>
      <c r="AZ34" s="450">
        <f t="shared" si="26"/>
        <v>0</v>
      </c>
      <c r="BA34" s="450">
        <f t="shared" si="26"/>
        <v>0</v>
      </c>
      <c r="BB34" s="450">
        <f t="shared" si="26"/>
        <v>0</v>
      </c>
      <c r="BC34" s="450">
        <f t="shared" si="26"/>
        <v>0</v>
      </c>
      <c r="BD34" s="450">
        <f t="shared" si="26"/>
        <v>0</v>
      </c>
      <c r="BE34" s="450">
        <f t="shared" si="26"/>
        <v>0</v>
      </c>
      <c r="BF34" s="450">
        <f>SUM(BF35:BF45)</f>
        <v>0</v>
      </c>
      <c r="BG34" s="450">
        <f>SUM(BG35:BG45)</f>
        <v>0</v>
      </c>
      <c r="BH34" s="450">
        <f>BI34+BJ34+BK34</f>
        <v>0</v>
      </c>
      <c r="BI34" s="450">
        <f>SUM(BI35:BI45)</f>
        <v>0</v>
      </c>
      <c r="BJ34" s="450">
        <f>SUM(BJ35:BJ45)</f>
        <v>0</v>
      </c>
      <c r="BK34" s="450">
        <f>SUM(BK35:BK45)</f>
        <v>0</v>
      </c>
      <c r="BL34" s="450">
        <f>E34+W34+X34+Y34+Z34+AA34+AB34+AC34+AQ34+AR34+AS34+AT34+AU34+AV34+AW34+AX34+AY34+AZ34+BA34+BB34+BC34+BD34+BE34+BF34+BG34+BH34</f>
        <v>0.37</v>
      </c>
      <c r="BM34" s="450">
        <f>AE67-BL34</f>
        <v>2.86</v>
      </c>
      <c r="BN34" s="450">
        <f>SUM(BN35:BN45)</f>
        <v>96.969500000000011</v>
      </c>
      <c r="BO34" s="124"/>
    </row>
    <row r="35" spans="1:67" s="2" customFormat="1" ht="20.100000000000001" customHeight="1">
      <c r="A35" s="14" t="s">
        <v>224</v>
      </c>
      <c r="B35" s="14" t="s">
        <v>478</v>
      </c>
      <c r="C35" s="107" t="s">
        <v>202</v>
      </c>
      <c r="D35" s="450"/>
      <c r="E35" s="450">
        <f t="shared" si="4"/>
        <v>0</v>
      </c>
      <c r="F35" s="450">
        <f t="shared" si="21"/>
        <v>0</v>
      </c>
      <c r="G35" s="450">
        <f t="shared" si="8"/>
        <v>0</v>
      </c>
      <c r="H35" s="450">
        <f t="shared" si="12"/>
        <v>0</v>
      </c>
      <c r="I35" s="450"/>
      <c r="J35" s="450"/>
      <c r="K35" s="450"/>
      <c r="L35" s="450"/>
      <c r="M35" s="450"/>
      <c r="N35" s="450"/>
      <c r="O35" s="450"/>
      <c r="P35" s="450"/>
      <c r="Q35" s="450"/>
      <c r="R35" s="450"/>
      <c r="S35" s="450"/>
      <c r="T35" s="450"/>
      <c r="U35" s="450"/>
      <c r="V35" s="667">
        <f t="shared" si="13"/>
        <v>0</v>
      </c>
      <c r="W35" s="450"/>
      <c r="X35" s="450"/>
      <c r="Y35" s="450"/>
      <c r="Z35" s="450"/>
      <c r="AA35" s="450"/>
      <c r="AB35" s="450"/>
      <c r="AC35" s="450"/>
      <c r="AD35" s="450"/>
      <c r="AE35" s="450">
        <f>SUM(AF35:AP35)</f>
        <v>0</v>
      </c>
      <c r="AF35" s="450">
        <f>D35-BL35</f>
        <v>0</v>
      </c>
      <c r="AG35" s="450"/>
      <c r="AH35" s="450"/>
      <c r="AI35" s="450"/>
      <c r="AJ35" s="450"/>
      <c r="AK35" s="450"/>
      <c r="AL35" s="450"/>
      <c r="AM35" s="450"/>
      <c r="AN35" s="450"/>
      <c r="AO35" s="450"/>
      <c r="AP35" s="450"/>
      <c r="AQ35" s="450"/>
      <c r="AR35" s="450"/>
      <c r="AS35" s="450"/>
      <c r="AT35" s="450"/>
      <c r="AU35" s="450"/>
      <c r="AV35" s="450"/>
      <c r="AW35" s="450"/>
      <c r="AX35" s="450"/>
      <c r="AY35" s="450"/>
      <c r="AZ35" s="450"/>
      <c r="BA35" s="450"/>
      <c r="BB35" s="450"/>
      <c r="BC35" s="450"/>
      <c r="BD35" s="450"/>
      <c r="BE35" s="450"/>
      <c r="BF35" s="450"/>
      <c r="BG35" s="450"/>
      <c r="BH35" s="450">
        <f t="shared" si="22"/>
        <v>0</v>
      </c>
      <c r="BI35" s="450"/>
      <c r="BJ35" s="450"/>
      <c r="BK35" s="450"/>
      <c r="BL35" s="450">
        <f>E35+W35+X35+Y35+Z35+AA35+AB35+AC35+AD35+AG35+AH35+AI35+AJ35+AK35+AL35+AM35+AN35+AO35+AP35+AQ35+AR35+AS35+AT35+AU35+AV35+AW35+AX35+AY35+AZ35+BA35+BB35+BC35+BD35</f>
        <v>0</v>
      </c>
      <c r="BM35" s="450">
        <f>AF67-BL35</f>
        <v>0</v>
      </c>
      <c r="BN35" s="450">
        <f>D35+BM35</f>
        <v>0</v>
      </c>
      <c r="BO35" s="124"/>
    </row>
    <row r="36" spans="1:67" s="2" customFormat="1" ht="20.100000000000001" customHeight="1">
      <c r="A36" s="14" t="s">
        <v>225</v>
      </c>
      <c r="B36" s="14" t="s">
        <v>479</v>
      </c>
      <c r="C36" s="107" t="s">
        <v>203</v>
      </c>
      <c r="D36" s="450">
        <f>#REF!</f>
        <v>0.25</v>
      </c>
      <c r="E36" s="450">
        <f t="shared" si="4"/>
        <v>0</v>
      </c>
      <c r="F36" s="450">
        <f t="shared" si="21"/>
        <v>0</v>
      </c>
      <c r="G36" s="450">
        <f t="shared" si="8"/>
        <v>0</v>
      </c>
      <c r="H36" s="450">
        <f t="shared" si="12"/>
        <v>0</v>
      </c>
      <c r="I36" s="450"/>
      <c r="J36" s="450"/>
      <c r="K36" s="450"/>
      <c r="L36" s="450"/>
      <c r="M36" s="450"/>
      <c r="N36" s="450"/>
      <c r="O36" s="450"/>
      <c r="P36" s="450"/>
      <c r="Q36" s="450"/>
      <c r="R36" s="450"/>
      <c r="S36" s="450"/>
      <c r="T36" s="450"/>
      <c r="U36" s="450"/>
      <c r="V36" s="667">
        <f t="shared" si="13"/>
        <v>0.25</v>
      </c>
      <c r="W36" s="450"/>
      <c r="X36" s="450"/>
      <c r="Y36" s="450"/>
      <c r="Z36" s="450"/>
      <c r="AA36" s="450"/>
      <c r="AB36" s="450"/>
      <c r="AC36" s="450"/>
      <c r="AD36" s="450"/>
      <c r="AE36" s="450">
        <f t="shared" ref="AE36:AE66" si="27">SUM(AF36:AP36)</f>
        <v>0.25</v>
      </c>
      <c r="AF36" s="450"/>
      <c r="AG36" s="450">
        <f>D36-BL36</f>
        <v>0.25</v>
      </c>
      <c r="AH36" s="450"/>
      <c r="AI36" s="450"/>
      <c r="AJ36" s="450"/>
      <c r="AK36" s="450"/>
      <c r="AL36" s="450"/>
      <c r="AM36" s="450"/>
      <c r="AN36" s="450"/>
      <c r="AO36" s="450"/>
      <c r="AP36" s="450"/>
      <c r="AQ36" s="450"/>
      <c r="AR36" s="450"/>
      <c r="AS36" s="450"/>
      <c r="AT36" s="450"/>
      <c r="AU36" s="450"/>
      <c r="AV36" s="450"/>
      <c r="AW36" s="450"/>
      <c r="AX36" s="450"/>
      <c r="AY36" s="450"/>
      <c r="AZ36" s="450"/>
      <c r="BA36" s="450"/>
      <c r="BB36" s="450"/>
      <c r="BC36" s="450"/>
      <c r="BD36" s="450"/>
      <c r="BE36" s="450"/>
      <c r="BF36" s="450"/>
      <c r="BG36" s="450"/>
      <c r="BH36" s="450">
        <f t="shared" si="22"/>
        <v>0</v>
      </c>
      <c r="BI36" s="450"/>
      <c r="BJ36" s="450"/>
      <c r="BK36" s="450"/>
      <c r="BL36" s="450">
        <f>E36+W36+X36+Y36+Z36+AA36+AB36+AC36+AD36+AF36+AH36+AI36+AJ36+AK36+AL36+AM36+AN36+AO36+AP36+AQ36+AR36+AS36+AT36+AU36+AV36+AW36+AX36+AY36+AZ36+BA36+BB36+BC36+BD36+BE36+BF36+BG36+BH36</f>
        <v>0</v>
      </c>
      <c r="BM36" s="450">
        <f>AG67-BL36</f>
        <v>0</v>
      </c>
      <c r="BN36" s="450">
        <f t="shared" ref="BN36:BN45" si="28">D36+BM36</f>
        <v>0.25</v>
      </c>
      <c r="BO36" s="124"/>
    </row>
    <row r="37" spans="1:67" s="2" customFormat="1" ht="20.100000000000001" customHeight="1">
      <c r="A37" s="14" t="s">
        <v>226</v>
      </c>
      <c r="B37" s="14" t="s">
        <v>480</v>
      </c>
      <c r="C37" s="107" t="s">
        <v>204</v>
      </c>
      <c r="D37" s="450">
        <f>#REF!</f>
        <v>2.1495000000000002</v>
      </c>
      <c r="E37" s="450">
        <f t="shared" si="4"/>
        <v>0</v>
      </c>
      <c r="F37" s="450">
        <f t="shared" si="21"/>
        <v>0</v>
      </c>
      <c r="G37" s="450">
        <f t="shared" si="8"/>
        <v>0</v>
      </c>
      <c r="H37" s="450">
        <f t="shared" si="12"/>
        <v>0</v>
      </c>
      <c r="I37" s="450"/>
      <c r="J37" s="450"/>
      <c r="K37" s="450"/>
      <c r="L37" s="450"/>
      <c r="M37" s="450"/>
      <c r="N37" s="450"/>
      <c r="O37" s="450"/>
      <c r="P37" s="450"/>
      <c r="Q37" s="450"/>
      <c r="R37" s="450"/>
      <c r="S37" s="450"/>
      <c r="T37" s="450"/>
      <c r="U37" s="450"/>
      <c r="V37" s="667">
        <f t="shared" si="13"/>
        <v>2.1495000000000002</v>
      </c>
      <c r="W37" s="450"/>
      <c r="X37" s="450"/>
      <c r="Y37" s="450"/>
      <c r="Z37" s="450"/>
      <c r="AA37" s="450"/>
      <c r="AB37" s="450"/>
      <c r="AC37" s="450"/>
      <c r="AD37" s="450"/>
      <c r="AE37" s="450">
        <f t="shared" si="27"/>
        <v>1.7795000000000001</v>
      </c>
      <c r="AF37" s="450"/>
      <c r="AG37" s="450"/>
      <c r="AH37" s="450">
        <f>D37-BL37</f>
        <v>1.7795000000000001</v>
      </c>
      <c r="AI37" s="450"/>
      <c r="AJ37" s="450"/>
      <c r="AK37" s="450"/>
      <c r="AL37" s="450"/>
      <c r="AM37" s="450"/>
      <c r="AN37" s="450"/>
      <c r="AO37" s="450"/>
      <c r="AP37" s="450"/>
      <c r="AQ37" s="450"/>
      <c r="AR37" s="450"/>
      <c r="AS37" s="450"/>
      <c r="AT37" s="450">
        <v>0.37</v>
      </c>
      <c r="AU37" s="450"/>
      <c r="AV37" s="450"/>
      <c r="AW37" s="450"/>
      <c r="AX37" s="450"/>
      <c r="AY37" s="450"/>
      <c r="AZ37" s="450"/>
      <c r="BA37" s="450"/>
      <c r="BB37" s="450"/>
      <c r="BC37" s="450"/>
      <c r="BD37" s="450"/>
      <c r="BE37" s="450"/>
      <c r="BF37" s="450"/>
      <c r="BG37" s="450"/>
      <c r="BH37" s="450">
        <f t="shared" si="22"/>
        <v>0</v>
      </c>
      <c r="BI37" s="450"/>
      <c r="BJ37" s="450"/>
      <c r="BK37" s="450"/>
      <c r="BL37" s="450">
        <f>E37+W37+X37+Y37+Z37+AA37+AB37+AC37+AD37+AF37+AG37+AI37+AJ37+AK37+AL37+AM37+AN37+AO37+AP37+AQ37+AR37+AS37+AT37+AU37+AV37+AW37+AX37+AY37+AZ37+BA37+BB37+BC37+BD37+BE37+BF37+BG37+BH37</f>
        <v>0.37</v>
      </c>
      <c r="BM37" s="450">
        <f>AH67-BL37</f>
        <v>-0.37</v>
      </c>
      <c r="BN37" s="450">
        <f t="shared" si="28"/>
        <v>1.7795000000000001</v>
      </c>
      <c r="BO37" s="124"/>
    </row>
    <row r="38" spans="1:67" s="2" customFormat="1" ht="20.100000000000001" customHeight="1">
      <c r="A38" s="14" t="s">
        <v>227</v>
      </c>
      <c r="B38" s="14" t="s">
        <v>481</v>
      </c>
      <c r="C38" s="107" t="s">
        <v>205</v>
      </c>
      <c r="D38" s="450">
        <f>#REF!</f>
        <v>0.55000000000000004</v>
      </c>
      <c r="E38" s="450">
        <f t="shared" si="4"/>
        <v>0</v>
      </c>
      <c r="F38" s="450">
        <f t="shared" si="21"/>
        <v>0</v>
      </c>
      <c r="G38" s="450">
        <f t="shared" si="8"/>
        <v>0</v>
      </c>
      <c r="H38" s="450">
        <f t="shared" si="12"/>
        <v>0</v>
      </c>
      <c r="I38" s="450"/>
      <c r="J38" s="450"/>
      <c r="K38" s="450"/>
      <c r="L38" s="450"/>
      <c r="M38" s="450"/>
      <c r="N38" s="450"/>
      <c r="O38" s="450"/>
      <c r="P38" s="450"/>
      <c r="Q38" s="450"/>
      <c r="R38" s="450"/>
      <c r="S38" s="450"/>
      <c r="T38" s="450"/>
      <c r="U38" s="450"/>
      <c r="V38" s="667">
        <f t="shared" si="13"/>
        <v>0.55000000000000004</v>
      </c>
      <c r="W38" s="450"/>
      <c r="X38" s="450"/>
      <c r="Y38" s="450"/>
      <c r="Z38" s="450"/>
      <c r="AA38" s="450"/>
      <c r="AB38" s="450"/>
      <c r="AC38" s="450"/>
      <c r="AD38" s="450"/>
      <c r="AE38" s="450">
        <f t="shared" si="27"/>
        <v>0.55000000000000004</v>
      </c>
      <c r="AF38" s="450"/>
      <c r="AG38" s="450"/>
      <c r="AH38" s="450"/>
      <c r="AI38" s="450">
        <f>D38-BL38</f>
        <v>0.55000000000000004</v>
      </c>
      <c r="AJ38" s="450"/>
      <c r="AK38" s="450"/>
      <c r="AL38" s="450"/>
      <c r="AM38" s="450"/>
      <c r="AN38" s="450"/>
      <c r="AO38" s="450"/>
      <c r="AP38" s="450"/>
      <c r="AQ38" s="450"/>
      <c r="AR38" s="450"/>
      <c r="AS38" s="450"/>
      <c r="AT38" s="450"/>
      <c r="AU38" s="450"/>
      <c r="AV38" s="450"/>
      <c r="AW38" s="450"/>
      <c r="AX38" s="450"/>
      <c r="AY38" s="450"/>
      <c r="AZ38" s="450"/>
      <c r="BA38" s="450"/>
      <c r="BB38" s="450"/>
      <c r="BC38" s="450"/>
      <c r="BD38" s="450"/>
      <c r="BE38" s="450"/>
      <c r="BF38" s="450"/>
      <c r="BG38" s="450"/>
      <c r="BH38" s="450">
        <f t="shared" si="22"/>
        <v>0</v>
      </c>
      <c r="BI38" s="450"/>
      <c r="BJ38" s="450"/>
      <c r="BK38" s="450"/>
      <c r="BL38" s="450">
        <f>E38+W38+X38+Y38+Z38+AA38+AB38+AC38+AD38+AF38+AG38+AH38+AJ38+AK38+AL38+AM38+AN38+AO38+AP38+AQ38+AR38+AS38+AT38+AU38+AV38+AW38+AX38+AY38+AZ38+BA38+BB38+BC38+BD38+BE38+BF38+BG38+BH38</f>
        <v>0</v>
      </c>
      <c r="BM38" s="450">
        <f>AI67-BL38</f>
        <v>0.21000000000000002</v>
      </c>
      <c r="BN38" s="450">
        <f t="shared" si="28"/>
        <v>0.76</v>
      </c>
      <c r="BO38" s="124"/>
    </row>
    <row r="39" spans="1:67" s="2" customFormat="1" ht="20.100000000000001" customHeight="1">
      <c r="A39" s="14" t="s">
        <v>228</v>
      </c>
      <c r="B39" s="14" t="s">
        <v>482</v>
      </c>
      <c r="C39" s="107" t="s">
        <v>206</v>
      </c>
      <c r="D39" s="450"/>
      <c r="E39" s="450">
        <f t="shared" si="4"/>
        <v>0</v>
      </c>
      <c r="F39" s="450">
        <f t="shared" si="21"/>
        <v>0</v>
      </c>
      <c r="G39" s="450">
        <f t="shared" si="8"/>
        <v>0</v>
      </c>
      <c r="H39" s="450">
        <f t="shared" si="12"/>
        <v>0</v>
      </c>
      <c r="I39" s="450"/>
      <c r="J39" s="450"/>
      <c r="K39" s="450"/>
      <c r="L39" s="450"/>
      <c r="M39" s="450"/>
      <c r="N39" s="450"/>
      <c r="O39" s="450"/>
      <c r="P39" s="450"/>
      <c r="Q39" s="450"/>
      <c r="R39" s="450"/>
      <c r="S39" s="450"/>
      <c r="T39" s="450"/>
      <c r="U39" s="450"/>
      <c r="V39" s="667">
        <f t="shared" si="13"/>
        <v>0</v>
      </c>
      <c r="W39" s="450"/>
      <c r="X39" s="450"/>
      <c r="Y39" s="450"/>
      <c r="Z39" s="450"/>
      <c r="AA39" s="450"/>
      <c r="AB39" s="450"/>
      <c r="AC39" s="450"/>
      <c r="AD39" s="450"/>
      <c r="AE39" s="450">
        <f t="shared" si="27"/>
        <v>0</v>
      </c>
      <c r="AF39" s="450"/>
      <c r="AG39" s="450"/>
      <c r="AH39" s="450"/>
      <c r="AI39" s="450"/>
      <c r="AJ39" s="450">
        <f>D39-BL39</f>
        <v>0</v>
      </c>
      <c r="AK39" s="450"/>
      <c r="AL39" s="450"/>
      <c r="AM39" s="450"/>
      <c r="AN39" s="450"/>
      <c r="AO39" s="450"/>
      <c r="AP39" s="450"/>
      <c r="AQ39" s="450"/>
      <c r="AR39" s="450"/>
      <c r="AS39" s="450"/>
      <c r="AT39" s="450"/>
      <c r="AU39" s="450"/>
      <c r="AV39" s="450"/>
      <c r="AW39" s="450"/>
      <c r="AX39" s="450"/>
      <c r="AY39" s="450"/>
      <c r="AZ39" s="450"/>
      <c r="BA39" s="450"/>
      <c r="BB39" s="450"/>
      <c r="BC39" s="450"/>
      <c r="BD39" s="450"/>
      <c r="BE39" s="450"/>
      <c r="BF39" s="450"/>
      <c r="BG39" s="450"/>
      <c r="BH39" s="450">
        <f t="shared" si="22"/>
        <v>0</v>
      </c>
      <c r="BI39" s="450"/>
      <c r="BJ39" s="450"/>
      <c r="BK39" s="450"/>
      <c r="BL39" s="450">
        <f>E39+W39+X39+Y39+Z39+AA39+AB39+AC39+AD39+AQ39+AR39+AS39+AT39+AU39+AV39+AW39+AX39+AY39+AZ39+BA39+BB39+BC39+BD39+BE39+BF39+BG39+BH39+AF39+AG39+AH39+AI39+AK39+AL39+AM39+AN39+AO39+AP39</f>
        <v>0</v>
      </c>
      <c r="BM39" s="450">
        <f>AJ67-BL39</f>
        <v>0</v>
      </c>
      <c r="BN39" s="450">
        <f t="shared" si="28"/>
        <v>0</v>
      </c>
      <c r="BO39" s="124"/>
    </row>
    <row r="40" spans="1:67" s="2" customFormat="1" ht="20.100000000000001" customHeight="1">
      <c r="A40" s="14" t="s">
        <v>229</v>
      </c>
      <c r="B40" s="14" t="s">
        <v>483</v>
      </c>
      <c r="C40" s="107" t="s">
        <v>207</v>
      </c>
      <c r="D40" s="450"/>
      <c r="E40" s="450">
        <f t="shared" si="4"/>
        <v>0</v>
      </c>
      <c r="F40" s="450">
        <f t="shared" si="21"/>
        <v>0</v>
      </c>
      <c r="G40" s="450">
        <f t="shared" si="8"/>
        <v>0</v>
      </c>
      <c r="H40" s="450">
        <f t="shared" si="12"/>
        <v>0</v>
      </c>
      <c r="I40" s="450"/>
      <c r="J40" s="450"/>
      <c r="K40" s="450"/>
      <c r="L40" s="450"/>
      <c r="M40" s="450"/>
      <c r="N40" s="450"/>
      <c r="O40" s="450"/>
      <c r="P40" s="450"/>
      <c r="Q40" s="450"/>
      <c r="R40" s="450"/>
      <c r="S40" s="450"/>
      <c r="T40" s="450"/>
      <c r="U40" s="450"/>
      <c r="V40" s="667">
        <f t="shared" si="13"/>
        <v>0</v>
      </c>
      <c r="W40" s="450"/>
      <c r="X40" s="450"/>
      <c r="Y40" s="450"/>
      <c r="Z40" s="450"/>
      <c r="AA40" s="450"/>
      <c r="AB40" s="450"/>
      <c r="AC40" s="450"/>
      <c r="AD40" s="450"/>
      <c r="AE40" s="450">
        <f t="shared" si="27"/>
        <v>0</v>
      </c>
      <c r="AF40" s="450"/>
      <c r="AG40" s="450"/>
      <c r="AH40" s="450"/>
      <c r="AI40" s="450"/>
      <c r="AJ40" s="450"/>
      <c r="AK40" s="450">
        <f>D40-BL40</f>
        <v>0</v>
      </c>
      <c r="AL40" s="450"/>
      <c r="AM40" s="450"/>
      <c r="AN40" s="450"/>
      <c r="AO40" s="450"/>
      <c r="AP40" s="450"/>
      <c r="AQ40" s="450"/>
      <c r="AR40" s="450"/>
      <c r="AS40" s="450"/>
      <c r="AT40" s="450"/>
      <c r="AU40" s="450"/>
      <c r="AV40" s="450"/>
      <c r="AW40" s="450"/>
      <c r="AX40" s="450"/>
      <c r="AY40" s="450"/>
      <c r="AZ40" s="450"/>
      <c r="BA40" s="450"/>
      <c r="BB40" s="450"/>
      <c r="BC40" s="450"/>
      <c r="BD40" s="450"/>
      <c r="BE40" s="450"/>
      <c r="BF40" s="450"/>
      <c r="BG40" s="450"/>
      <c r="BH40" s="450">
        <f t="shared" si="22"/>
        <v>0</v>
      </c>
      <c r="BI40" s="450"/>
      <c r="BJ40" s="450"/>
      <c r="BK40" s="450"/>
      <c r="BL40" s="450">
        <f>E40+W40+X40+Y40+Z40+AA40+AB40+AC40+AD40+AF40+AG40+AH40+AI40+AJ40+AL40+AM40+AN40+AO40+AP40+AQ40+AR40+AS40+AT40+AU40+AV40+AW40+AX40+AY40+AZ40+BA40+BB40+BC40+BD40+BE40+BF40+BG40+BH40</f>
        <v>0</v>
      </c>
      <c r="BM40" s="450">
        <f>AK67-BL40</f>
        <v>0</v>
      </c>
      <c r="BN40" s="450">
        <f t="shared" si="28"/>
        <v>0</v>
      </c>
      <c r="BO40" s="124"/>
    </row>
    <row r="41" spans="1:67" s="2" customFormat="1" ht="20.100000000000001" customHeight="1">
      <c r="A41" s="14" t="s">
        <v>230</v>
      </c>
      <c r="B41" s="14" t="s">
        <v>484</v>
      </c>
      <c r="C41" s="107" t="s">
        <v>199</v>
      </c>
      <c r="D41" s="450">
        <f>#REF!</f>
        <v>86.98</v>
      </c>
      <c r="E41" s="450">
        <f t="shared" si="4"/>
        <v>0</v>
      </c>
      <c r="F41" s="450">
        <f t="shared" si="21"/>
        <v>0</v>
      </c>
      <c r="G41" s="450">
        <f t="shared" si="8"/>
        <v>0</v>
      </c>
      <c r="H41" s="450">
        <f t="shared" si="12"/>
        <v>0</v>
      </c>
      <c r="I41" s="450"/>
      <c r="J41" s="450"/>
      <c r="K41" s="450"/>
      <c r="L41" s="450"/>
      <c r="M41" s="450"/>
      <c r="N41" s="450"/>
      <c r="O41" s="450"/>
      <c r="P41" s="450"/>
      <c r="Q41" s="450"/>
      <c r="R41" s="450"/>
      <c r="S41" s="450"/>
      <c r="T41" s="450"/>
      <c r="U41" s="450"/>
      <c r="V41" s="667">
        <f t="shared" si="13"/>
        <v>86.98</v>
      </c>
      <c r="W41" s="450"/>
      <c r="X41" s="450"/>
      <c r="Y41" s="450"/>
      <c r="Z41" s="450"/>
      <c r="AA41" s="450"/>
      <c r="AB41" s="450"/>
      <c r="AC41" s="450"/>
      <c r="AD41" s="450"/>
      <c r="AE41" s="450">
        <f t="shared" si="27"/>
        <v>86.98</v>
      </c>
      <c r="AF41" s="450"/>
      <c r="AG41" s="450"/>
      <c r="AH41" s="450"/>
      <c r="AI41" s="450">
        <v>0.11</v>
      </c>
      <c r="AJ41" s="450"/>
      <c r="AK41" s="450"/>
      <c r="AL41" s="450">
        <f>D41-BL41</f>
        <v>86.87</v>
      </c>
      <c r="AM41" s="450"/>
      <c r="AN41" s="450"/>
      <c r="AO41" s="450"/>
      <c r="AP41" s="450"/>
      <c r="AQ41" s="450"/>
      <c r="AR41" s="450"/>
      <c r="AS41" s="450"/>
      <c r="AT41" s="450"/>
      <c r="AU41" s="450"/>
      <c r="AV41" s="450"/>
      <c r="AW41" s="450"/>
      <c r="AX41" s="450"/>
      <c r="AY41" s="450"/>
      <c r="AZ41" s="450"/>
      <c r="BA41" s="450"/>
      <c r="BB41" s="450"/>
      <c r="BC41" s="450"/>
      <c r="BD41" s="450"/>
      <c r="BE41" s="450"/>
      <c r="BF41" s="450"/>
      <c r="BG41" s="450"/>
      <c r="BH41" s="450">
        <f t="shared" si="22"/>
        <v>0</v>
      </c>
      <c r="BI41" s="450"/>
      <c r="BJ41" s="450"/>
      <c r="BK41" s="450"/>
      <c r="BL41" s="450">
        <f>E41+W41+X41+Y41+Z41+AA41+AB41+AC41+AD41+AF41+AG41+AH41+AI41+AJ41+AK41+AM41+AN41+AO41+AP41+AQ41+AR41+AS41+AT41+AU41+AV41+AW41+AX41+AY41+AZ41+BA41+BB41+BC41+BD41+BE41+BF41+BG41+BH41</f>
        <v>0.11</v>
      </c>
      <c r="BM41" s="450">
        <f>AL67-BL41</f>
        <v>2.02</v>
      </c>
      <c r="BN41" s="450">
        <f t="shared" si="28"/>
        <v>89</v>
      </c>
      <c r="BO41" s="124"/>
    </row>
    <row r="42" spans="1:67" s="2" customFormat="1" ht="20.100000000000001" customHeight="1">
      <c r="A42" s="14" t="s">
        <v>231</v>
      </c>
      <c r="B42" s="14" t="s">
        <v>485</v>
      </c>
      <c r="C42" s="107" t="s">
        <v>200</v>
      </c>
      <c r="D42" s="450">
        <f>#REF!</f>
        <v>2.96</v>
      </c>
      <c r="E42" s="450">
        <f t="shared" si="4"/>
        <v>0</v>
      </c>
      <c r="F42" s="450">
        <f t="shared" si="21"/>
        <v>0</v>
      </c>
      <c r="G42" s="450">
        <f t="shared" si="8"/>
        <v>0</v>
      </c>
      <c r="H42" s="450">
        <f t="shared" si="12"/>
        <v>0</v>
      </c>
      <c r="I42" s="450"/>
      <c r="J42" s="450"/>
      <c r="K42" s="450"/>
      <c r="L42" s="450"/>
      <c r="M42" s="450"/>
      <c r="N42" s="450"/>
      <c r="O42" s="450"/>
      <c r="P42" s="450"/>
      <c r="Q42" s="450"/>
      <c r="R42" s="450"/>
      <c r="S42" s="450"/>
      <c r="T42" s="450"/>
      <c r="U42" s="450"/>
      <c r="V42" s="667">
        <f t="shared" si="13"/>
        <v>2.96</v>
      </c>
      <c r="W42" s="450"/>
      <c r="X42" s="450"/>
      <c r="Y42" s="450"/>
      <c r="Z42" s="450"/>
      <c r="AA42" s="450"/>
      <c r="AB42" s="450"/>
      <c r="AC42" s="450"/>
      <c r="AD42" s="450"/>
      <c r="AE42" s="450">
        <f t="shared" si="27"/>
        <v>2.96</v>
      </c>
      <c r="AF42" s="450"/>
      <c r="AG42" s="450"/>
      <c r="AH42" s="450"/>
      <c r="AI42" s="450"/>
      <c r="AJ42" s="450"/>
      <c r="AK42" s="450"/>
      <c r="AL42" s="450"/>
      <c r="AM42" s="450">
        <f>D42-BL42</f>
        <v>2.96</v>
      </c>
      <c r="AN42" s="450"/>
      <c r="AO42" s="450"/>
      <c r="AP42" s="450"/>
      <c r="AQ42" s="450"/>
      <c r="AR42" s="450"/>
      <c r="AS42" s="450"/>
      <c r="AT42" s="450"/>
      <c r="AU42" s="450"/>
      <c r="AV42" s="450"/>
      <c r="AW42" s="450"/>
      <c r="AX42" s="450"/>
      <c r="AY42" s="450"/>
      <c r="AZ42" s="450"/>
      <c r="BA42" s="450"/>
      <c r="BB42" s="450"/>
      <c r="BC42" s="450"/>
      <c r="BD42" s="450"/>
      <c r="BE42" s="450"/>
      <c r="BF42" s="450"/>
      <c r="BG42" s="450"/>
      <c r="BH42" s="450">
        <f t="shared" si="22"/>
        <v>0</v>
      </c>
      <c r="BI42" s="450"/>
      <c r="BJ42" s="450"/>
      <c r="BK42" s="450"/>
      <c r="BL42" s="450">
        <f>E42+W42+X42+Y42+Z42+AA42+AB42+AC42+AD42+AF42+AG42+AH42+AI42+AJ42+AK42+AL42+AN42+AO42+AP42+AQ42+AR42+AS42+AT42+AU42+AV42+AW42+AX42+AY42+AZ42+BA42+BB42+BC42+BD42+BE42+BF42+BG42+BH42</f>
        <v>0</v>
      </c>
      <c r="BM42" s="450">
        <f>AM67-BL42</f>
        <v>0</v>
      </c>
      <c r="BN42" s="450">
        <f t="shared" si="28"/>
        <v>2.96</v>
      </c>
      <c r="BO42" s="124"/>
    </row>
    <row r="43" spans="1:67" s="2" customFormat="1" ht="20.100000000000001" customHeight="1">
      <c r="A43" s="14" t="s">
        <v>232</v>
      </c>
      <c r="B43" s="14" t="s">
        <v>486</v>
      </c>
      <c r="C43" s="107" t="s">
        <v>223</v>
      </c>
      <c r="D43" s="450">
        <f>#REF!</f>
        <v>0.12</v>
      </c>
      <c r="E43" s="450">
        <f t="shared" si="4"/>
        <v>0</v>
      </c>
      <c r="F43" s="450">
        <f t="shared" si="21"/>
        <v>0</v>
      </c>
      <c r="G43" s="450">
        <f t="shared" si="8"/>
        <v>0</v>
      </c>
      <c r="H43" s="450">
        <f t="shared" si="12"/>
        <v>0</v>
      </c>
      <c r="I43" s="450"/>
      <c r="J43" s="450"/>
      <c r="K43" s="450"/>
      <c r="L43" s="450"/>
      <c r="M43" s="450"/>
      <c r="N43" s="450"/>
      <c r="O43" s="450"/>
      <c r="P43" s="450"/>
      <c r="Q43" s="450"/>
      <c r="R43" s="450"/>
      <c r="S43" s="450"/>
      <c r="T43" s="450"/>
      <c r="U43" s="450"/>
      <c r="V43" s="667">
        <f t="shared" si="13"/>
        <v>0.12</v>
      </c>
      <c r="W43" s="450"/>
      <c r="X43" s="450"/>
      <c r="Y43" s="450"/>
      <c r="Z43" s="450"/>
      <c r="AA43" s="450"/>
      <c r="AB43" s="450"/>
      <c r="AC43" s="450"/>
      <c r="AD43" s="450"/>
      <c r="AE43" s="450">
        <f t="shared" si="27"/>
        <v>0.12</v>
      </c>
      <c r="AF43" s="450"/>
      <c r="AG43" s="450"/>
      <c r="AH43" s="450"/>
      <c r="AI43" s="450"/>
      <c r="AJ43" s="450"/>
      <c r="AK43" s="450"/>
      <c r="AL43" s="450"/>
      <c r="AM43" s="450"/>
      <c r="AN43" s="450">
        <f>D43-BL43</f>
        <v>0.12</v>
      </c>
      <c r="AO43" s="450"/>
      <c r="AP43" s="450"/>
      <c r="AQ43" s="450"/>
      <c r="AR43" s="450"/>
      <c r="AS43" s="450"/>
      <c r="AT43" s="450"/>
      <c r="AU43" s="450"/>
      <c r="AV43" s="450"/>
      <c r="AW43" s="450"/>
      <c r="AX43" s="450"/>
      <c r="AY43" s="450"/>
      <c r="AZ43" s="450"/>
      <c r="BA43" s="450"/>
      <c r="BB43" s="450"/>
      <c r="BC43" s="450"/>
      <c r="BD43" s="450"/>
      <c r="BE43" s="450"/>
      <c r="BF43" s="450"/>
      <c r="BG43" s="450"/>
      <c r="BH43" s="450">
        <f t="shared" si="22"/>
        <v>0</v>
      </c>
      <c r="BI43" s="450"/>
      <c r="BJ43" s="450"/>
      <c r="BK43" s="450"/>
      <c r="BL43" s="450">
        <f>E43+W43+X43+Y43+Z43+AA43+AB43+AC43+AD43+AF43+AG43+AH43+AI43+AJ43+AK43+AL43+AM43+AO43+AP43+AQ43+AR43+AS43+AT43+AU43+AV43+AW43+AX43+AY43+AZ43+BA43+BB43+BC43+BD43+BE43+BF43+BG43+BH43</f>
        <v>0</v>
      </c>
      <c r="BM43" s="450">
        <f>AN67-BL43</f>
        <v>0</v>
      </c>
      <c r="BN43" s="450">
        <f t="shared" si="28"/>
        <v>0.12</v>
      </c>
      <c r="BO43" s="124"/>
    </row>
    <row r="44" spans="1:67" s="2" customFormat="1" ht="20.100000000000001" customHeight="1">
      <c r="A44" s="14" t="s">
        <v>233</v>
      </c>
      <c r="B44" s="14" t="s">
        <v>487</v>
      </c>
      <c r="C44" s="107" t="s">
        <v>201</v>
      </c>
      <c r="D44" s="450">
        <f>#REF!</f>
        <v>0.09</v>
      </c>
      <c r="E44" s="450">
        <f t="shared" si="4"/>
        <v>0</v>
      </c>
      <c r="F44" s="450">
        <f t="shared" si="21"/>
        <v>0</v>
      </c>
      <c r="G44" s="450">
        <f t="shared" si="8"/>
        <v>0</v>
      </c>
      <c r="H44" s="450">
        <f t="shared" si="12"/>
        <v>0</v>
      </c>
      <c r="I44" s="450"/>
      <c r="J44" s="450"/>
      <c r="K44" s="450"/>
      <c r="L44" s="450"/>
      <c r="M44" s="450"/>
      <c r="N44" s="450"/>
      <c r="O44" s="450"/>
      <c r="P44" s="450"/>
      <c r="Q44" s="450"/>
      <c r="R44" s="450"/>
      <c r="S44" s="450"/>
      <c r="T44" s="450"/>
      <c r="U44" s="450"/>
      <c r="V44" s="667">
        <f t="shared" si="13"/>
        <v>0.09</v>
      </c>
      <c r="W44" s="450"/>
      <c r="X44" s="450"/>
      <c r="Y44" s="450"/>
      <c r="Z44" s="450"/>
      <c r="AA44" s="450"/>
      <c r="AB44" s="450"/>
      <c r="AC44" s="450"/>
      <c r="AD44" s="450"/>
      <c r="AE44" s="450">
        <f t="shared" si="27"/>
        <v>0.09</v>
      </c>
      <c r="AF44" s="450"/>
      <c r="AG44" s="450"/>
      <c r="AH44" s="450"/>
      <c r="AI44" s="450"/>
      <c r="AJ44" s="450"/>
      <c r="AK44" s="450"/>
      <c r="AL44" s="450"/>
      <c r="AM44" s="450"/>
      <c r="AN44" s="450"/>
      <c r="AO44" s="450">
        <f>D44-BL44</f>
        <v>0.09</v>
      </c>
      <c r="AP44" s="450"/>
      <c r="AQ44" s="450"/>
      <c r="AR44" s="450"/>
      <c r="AS44" s="450"/>
      <c r="AT44" s="450"/>
      <c r="AU44" s="450"/>
      <c r="AV44" s="450"/>
      <c r="AW44" s="450"/>
      <c r="AX44" s="450"/>
      <c r="AY44" s="450"/>
      <c r="AZ44" s="450"/>
      <c r="BA44" s="450"/>
      <c r="BB44" s="450"/>
      <c r="BC44" s="450"/>
      <c r="BD44" s="450"/>
      <c r="BE44" s="450"/>
      <c r="BF44" s="450"/>
      <c r="BG44" s="450"/>
      <c r="BH44" s="450">
        <f t="shared" si="22"/>
        <v>0</v>
      </c>
      <c r="BI44" s="450"/>
      <c r="BJ44" s="450"/>
      <c r="BK44" s="450"/>
      <c r="BL44" s="450">
        <f>E44+W44+X44+Y44+Z44+AA44+AB44+AC44+AD44+AF44+AG44+AH44+AI44+AJ44+AK44+AL44+AM44+AN44+AP44+AQ44+AR44+AS44+AT44+AU44+AV44+AW44+AX44+AY44+AZ44+BA44+BB44+BC44+BD44+BE44+BF44+BG44+BH44</f>
        <v>0</v>
      </c>
      <c r="BM44" s="450">
        <f>AO67-BL44</f>
        <v>0</v>
      </c>
      <c r="BN44" s="450">
        <f t="shared" si="28"/>
        <v>0.09</v>
      </c>
      <c r="BO44" s="124"/>
    </row>
    <row r="45" spans="1:67" s="2" customFormat="1" ht="20.100000000000001" customHeight="1">
      <c r="A45" s="14" t="s">
        <v>234</v>
      </c>
      <c r="B45" s="14" t="s">
        <v>488</v>
      </c>
      <c r="C45" s="107" t="s">
        <v>208</v>
      </c>
      <c r="D45" s="450">
        <f>#REF!</f>
        <v>1.01</v>
      </c>
      <c r="E45" s="450">
        <f t="shared" si="4"/>
        <v>0</v>
      </c>
      <c r="F45" s="450">
        <f t="shared" si="21"/>
        <v>0</v>
      </c>
      <c r="G45" s="450">
        <f t="shared" si="8"/>
        <v>0</v>
      </c>
      <c r="H45" s="450">
        <f t="shared" si="12"/>
        <v>0</v>
      </c>
      <c r="I45" s="450"/>
      <c r="J45" s="450"/>
      <c r="K45" s="450"/>
      <c r="L45" s="450"/>
      <c r="M45" s="450"/>
      <c r="N45" s="450"/>
      <c r="O45" s="450"/>
      <c r="P45" s="450"/>
      <c r="Q45" s="450"/>
      <c r="R45" s="450"/>
      <c r="S45" s="450"/>
      <c r="T45" s="450"/>
      <c r="U45" s="450"/>
      <c r="V45" s="667">
        <f t="shared" si="13"/>
        <v>1.01</v>
      </c>
      <c r="W45" s="450"/>
      <c r="X45" s="450"/>
      <c r="Y45" s="450"/>
      <c r="Z45" s="450"/>
      <c r="AA45" s="450"/>
      <c r="AB45" s="450"/>
      <c r="AC45" s="450"/>
      <c r="AD45" s="450"/>
      <c r="AE45" s="450">
        <f t="shared" si="27"/>
        <v>1.01</v>
      </c>
      <c r="AF45" s="450"/>
      <c r="AG45" s="450"/>
      <c r="AH45" s="450"/>
      <c r="AI45" s="450"/>
      <c r="AJ45" s="450"/>
      <c r="AK45" s="450"/>
      <c r="AL45" s="450"/>
      <c r="AM45" s="450"/>
      <c r="AN45" s="450"/>
      <c r="AO45" s="450"/>
      <c r="AP45" s="450">
        <f>D45-BL45</f>
        <v>1.01</v>
      </c>
      <c r="AQ45" s="450"/>
      <c r="AR45" s="450"/>
      <c r="AS45" s="450"/>
      <c r="AT45" s="450"/>
      <c r="AU45" s="450"/>
      <c r="AV45" s="450"/>
      <c r="AW45" s="450"/>
      <c r="AX45" s="450"/>
      <c r="AY45" s="450"/>
      <c r="AZ45" s="450"/>
      <c r="BA45" s="450"/>
      <c r="BB45" s="450"/>
      <c r="BC45" s="450"/>
      <c r="BD45" s="450"/>
      <c r="BE45" s="450"/>
      <c r="BF45" s="450"/>
      <c r="BG45" s="450"/>
      <c r="BH45" s="450">
        <f t="shared" si="22"/>
        <v>0</v>
      </c>
      <c r="BI45" s="450"/>
      <c r="BJ45" s="450"/>
      <c r="BK45" s="450"/>
      <c r="BL45" s="450">
        <f>E45+W45+X45+Y45+Z45+AA45+AB45+AC45+AD45+AF45+AG45+AH45+AI45+AJ45+AK45+AL45+AM45+AN45+AO45+AQ45+AR45+AS45+AT45+AU45+AV45+AW45+AX45+AY45+AZ45+BA45+BB45+BC45+BD45+BE45+BF45+BG45+BH45</f>
        <v>0</v>
      </c>
      <c r="BM45" s="450">
        <f>AP67-BL45</f>
        <v>1</v>
      </c>
      <c r="BN45" s="450">
        <f t="shared" si="28"/>
        <v>2.0099999999999998</v>
      </c>
      <c r="BO45" s="124"/>
    </row>
    <row r="46" spans="1:67" s="2" customFormat="1" ht="20.100000000000001" customHeight="1">
      <c r="A46" s="19" t="s">
        <v>73</v>
      </c>
      <c r="B46" s="19" t="s">
        <v>74</v>
      </c>
      <c r="C46" s="107" t="s">
        <v>75</v>
      </c>
      <c r="D46" s="450"/>
      <c r="E46" s="450">
        <f t="shared" si="4"/>
        <v>0</v>
      </c>
      <c r="F46" s="450">
        <f t="shared" si="21"/>
        <v>0</v>
      </c>
      <c r="G46" s="450">
        <f t="shared" si="8"/>
        <v>0</v>
      </c>
      <c r="H46" s="450">
        <f t="shared" si="12"/>
        <v>0</v>
      </c>
      <c r="I46" s="450"/>
      <c r="J46" s="450"/>
      <c r="K46" s="450"/>
      <c r="L46" s="450"/>
      <c r="M46" s="450"/>
      <c r="N46" s="450"/>
      <c r="O46" s="450"/>
      <c r="P46" s="450"/>
      <c r="Q46" s="450"/>
      <c r="R46" s="450"/>
      <c r="S46" s="450"/>
      <c r="T46" s="450"/>
      <c r="U46" s="450"/>
      <c r="V46" s="667">
        <f t="shared" si="13"/>
        <v>0</v>
      </c>
      <c r="W46" s="450"/>
      <c r="X46" s="450"/>
      <c r="Y46" s="450"/>
      <c r="Z46" s="450"/>
      <c r="AA46" s="450"/>
      <c r="AB46" s="450"/>
      <c r="AC46" s="450"/>
      <c r="AD46" s="450"/>
      <c r="AE46" s="450">
        <f t="shared" si="27"/>
        <v>0</v>
      </c>
      <c r="AF46" s="450"/>
      <c r="AG46" s="450"/>
      <c r="AH46" s="450"/>
      <c r="AI46" s="450"/>
      <c r="AJ46" s="450"/>
      <c r="AK46" s="450"/>
      <c r="AL46" s="450"/>
      <c r="AM46" s="450"/>
      <c r="AN46" s="450"/>
      <c r="AO46" s="450"/>
      <c r="AP46" s="450"/>
      <c r="AQ46" s="450">
        <f>D46-BL46</f>
        <v>0</v>
      </c>
      <c r="AR46" s="450"/>
      <c r="AS46" s="450"/>
      <c r="AT46" s="450"/>
      <c r="AU46" s="450"/>
      <c r="AV46" s="450"/>
      <c r="AW46" s="450"/>
      <c r="AX46" s="450"/>
      <c r="AY46" s="450"/>
      <c r="AZ46" s="450"/>
      <c r="BA46" s="450"/>
      <c r="BB46" s="450"/>
      <c r="BC46" s="450"/>
      <c r="BD46" s="450"/>
      <c r="BE46" s="450"/>
      <c r="BF46" s="450"/>
      <c r="BG46" s="450"/>
      <c r="BH46" s="450">
        <f t="shared" si="22"/>
        <v>0</v>
      </c>
      <c r="BI46" s="450"/>
      <c r="BJ46" s="450"/>
      <c r="BK46" s="450"/>
      <c r="BL46" s="450">
        <f>E46+W46+X46+Y46+Z46+AA46+AB46+AC46+AD46+AE46+AR46+AS46+AT46+AU46+AV46+AW46+AX46+AY46+AZ46+BA46+BB46+BC46+BD46+BE46+BF46+BG46+BH46</f>
        <v>0</v>
      </c>
      <c r="BM46" s="450">
        <f>AQ67-BL46</f>
        <v>0</v>
      </c>
      <c r="BN46" s="450">
        <f>D46+BM46</f>
        <v>0</v>
      </c>
      <c r="BO46" s="124"/>
    </row>
    <row r="47" spans="1:67" s="2" customFormat="1" ht="20.100000000000001" customHeight="1">
      <c r="A47" s="19" t="s">
        <v>76</v>
      </c>
      <c r="B47" s="19" t="s">
        <v>77</v>
      </c>
      <c r="C47" s="107" t="s">
        <v>78</v>
      </c>
      <c r="D47" s="450"/>
      <c r="E47" s="450">
        <f t="shared" si="4"/>
        <v>0</v>
      </c>
      <c r="F47" s="450">
        <f t="shared" si="21"/>
        <v>0</v>
      </c>
      <c r="G47" s="450">
        <f t="shared" si="8"/>
        <v>0</v>
      </c>
      <c r="H47" s="450">
        <f t="shared" si="12"/>
        <v>0</v>
      </c>
      <c r="I47" s="450"/>
      <c r="J47" s="450"/>
      <c r="K47" s="450"/>
      <c r="L47" s="450"/>
      <c r="M47" s="450"/>
      <c r="N47" s="450"/>
      <c r="O47" s="450"/>
      <c r="P47" s="450"/>
      <c r="Q47" s="450"/>
      <c r="R47" s="450"/>
      <c r="S47" s="450"/>
      <c r="T47" s="450"/>
      <c r="U47" s="450"/>
      <c r="V47" s="667">
        <f t="shared" si="13"/>
        <v>0</v>
      </c>
      <c r="W47" s="450"/>
      <c r="X47" s="450"/>
      <c r="Y47" s="450"/>
      <c r="Z47" s="450"/>
      <c r="AA47" s="450"/>
      <c r="AB47" s="450"/>
      <c r="AC47" s="450"/>
      <c r="AD47" s="450"/>
      <c r="AE47" s="450">
        <f t="shared" si="27"/>
        <v>0</v>
      </c>
      <c r="AF47" s="450"/>
      <c r="AG47" s="450"/>
      <c r="AH47" s="450"/>
      <c r="AI47" s="450"/>
      <c r="AJ47" s="450"/>
      <c r="AK47" s="450"/>
      <c r="AL47" s="450"/>
      <c r="AM47" s="450"/>
      <c r="AN47" s="450"/>
      <c r="AO47" s="450"/>
      <c r="AP47" s="450"/>
      <c r="AQ47" s="450"/>
      <c r="AR47" s="450">
        <f>D47-BL47</f>
        <v>0</v>
      </c>
      <c r="AS47" s="450"/>
      <c r="AT47" s="450"/>
      <c r="AU47" s="450"/>
      <c r="AV47" s="450"/>
      <c r="AW47" s="450"/>
      <c r="AX47" s="450"/>
      <c r="AY47" s="450"/>
      <c r="AZ47" s="450"/>
      <c r="BA47" s="450"/>
      <c r="BB47" s="450"/>
      <c r="BC47" s="450"/>
      <c r="BD47" s="450"/>
      <c r="BE47" s="450"/>
      <c r="BF47" s="450"/>
      <c r="BG47" s="450"/>
      <c r="BH47" s="450">
        <f t="shared" si="22"/>
        <v>0</v>
      </c>
      <c r="BI47" s="450"/>
      <c r="BJ47" s="450"/>
      <c r="BK47" s="450"/>
      <c r="BL47" s="450">
        <f>E47+W47+X47+Y47+Z47+AA47+AB47+AC47+AD47+AE47+AQ47+AS47+AT47+AU47+AV47+AW47+AX47+AY47+AZ47+BA47+BB47+BC47+BD47+BE47+BF47+BG47+BH47</f>
        <v>0</v>
      </c>
      <c r="BM47" s="450">
        <f>AR67-BL47</f>
        <v>0</v>
      </c>
      <c r="BN47" s="450">
        <f t="shared" ref="BN47:BN62" si="29">D47+BM47</f>
        <v>0</v>
      </c>
      <c r="BO47" s="124"/>
    </row>
    <row r="48" spans="1:67" s="2" customFormat="1" ht="20.100000000000001" customHeight="1">
      <c r="A48" s="19" t="s">
        <v>79</v>
      </c>
      <c r="B48" s="19" t="s">
        <v>80</v>
      </c>
      <c r="C48" s="107" t="s">
        <v>81</v>
      </c>
      <c r="D48" s="450"/>
      <c r="E48" s="450">
        <f t="shared" si="4"/>
        <v>0</v>
      </c>
      <c r="F48" s="450">
        <f t="shared" si="21"/>
        <v>0</v>
      </c>
      <c r="G48" s="450">
        <f t="shared" si="8"/>
        <v>0</v>
      </c>
      <c r="H48" s="450">
        <f t="shared" si="12"/>
        <v>0</v>
      </c>
      <c r="I48" s="450"/>
      <c r="J48" s="450"/>
      <c r="K48" s="450"/>
      <c r="L48" s="450"/>
      <c r="M48" s="450"/>
      <c r="N48" s="450"/>
      <c r="O48" s="450"/>
      <c r="P48" s="450"/>
      <c r="Q48" s="450"/>
      <c r="R48" s="450"/>
      <c r="S48" s="450"/>
      <c r="T48" s="450"/>
      <c r="U48" s="450"/>
      <c r="V48" s="667">
        <f t="shared" si="13"/>
        <v>0</v>
      </c>
      <c r="W48" s="450"/>
      <c r="X48" s="450"/>
      <c r="Y48" s="450"/>
      <c r="Z48" s="450"/>
      <c r="AA48" s="450"/>
      <c r="AB48" s="450"/>
      <c r="AC48" s="450"/>
      <c r="AD48" s="450"/>
      <c r="AE48" s="450">
        <f t="shared" si="27"/>
        <v>0</v>
      </c>
      <c r="AF48" s="450"/>
      <c r="AG48" s="450"/>
      <c r="AH48" s="450"/>
      <c r="AI48" s="450"/>
      <c r="AJ48" s="450"/>
      <c r="AK48" s="450"/>
      <c r="AL48" s="450"/>
      <c r="AM48" s="450"/>
      <c r="AN48" s="450"/>
      <c r="AO48" s="450"/>
      <c r="AP48" s="450"/>
      <c r="AQ48" s="450"/>
      <c r="AR48" s="450"/>
      <c r="AS48" s="450">
        <f>D48-BL48</f>
        <v>0</v>
      </c>
      <c r="AT48" s="450"/>
      <c r="AU48" s="450"/>
      <c r="AV48" s="450"/>
      <c r="AW48" s="450"/>
      <c r="AX48" s="450"/>
      <c r="AY48" s="450"/>
      <c r="AZ48" s="450"/>
      <c r="BA48" s="450"/>
      <c r="BB48" s="450"/>
      <c r="BC48" s="450"/>
      <c r="BD48" s="450"/>
      <c r="BE48" s="450"/>
      <c r="BF48" s="450"/>
      <c r="BG48" s="450"/>
      <c r="BH48" s="450">
        <f t="shared" si="22"/>
        <v>0</v>
      </c>
      <c r="BI48" s="450"/>
      <c r="BJ48" s="450"/>
      <c r="BK48" s="450"/>
      <c r="BL48" s="450">
        <f>E48+W48+X48+Y48+Z48+AA48+AB48+AC48+AD48+AQ48+AR48+AT48+AU48+AV48+AW48+AX48+AY48+AZ48+BA48+BB48+BC48+BD48+BE48+BF48+BG48+BH48</f>
        <v>0</v>
      </c>
      <c r="BM48" s="450">
        <f>AS67-BL48</f>
        <v>0</v>
      </c>
      <c r="BN48" s="450">
        <f t="shared" si="29"/>
        <v>0</v>
      </c>
      <c r="BO48" s="124"/>
    </row>
    <row r="49" spans="1:67" s="2" customFormat="1" ht="20.100000000000001" customHeight="1">
      <c r="A49" s="19" t="s">
        <v>82</v>
      </c>
      <c r="B49" s="19" t="s">
        <v>83</v>
      </c>
      <c r="C49" s="107" t="s">
        <v>84</v>
      </c>
      <c r="D49" s="450">
        <f>#REF!</f>
        <v>12.53</v>
      </c>
      <c r="E49" s="450">
        <f t="shared" si="4"/>
        <v>0</v>
      </c>
      <c r="F49" s="450">
        <f t="shared" si="21"/>
        <v>0</v>
      </c>
      <c r="G49" s="450">
        <f t="shared" si="8"/>
        <v>0</v>
      </c>
      <c r="H49" s="450">
        <f t="shared" si="12"/>
        <v>0</v>
      </c>
      <c r="I49" s="450"/>
      <c r="J49" s="450"/>
      <c r="K49" s="450"/>
      <c r="L49" s="450"/>
      <c r="M49" s="450"/>
      <c r="N49" s="450"/>
      <c r="O49" s="450"/>
      <c r="P49" s="450"/>
      <c r="Q49" s="450"/>
      <c r="R49" s="450"/>
      <c r="S49" s="450"/>
      <c r="T49" s="450"/>
      <c r="U49" s="450"/>
      <c r="V49" s="667">
        <f t="shared" si="13"/>
        <v>12.53</v>
      </c>
      <c r="W49" s="450"/>
      <c r="X49" s="450"/>
      <c r="Y49" s="450"/>
      <c r="Z49" s="450"/>
      <c r="AA49" s="450"/>
      <c r="AB49" s="450"/>
      <c r="AC49" s="450"/>
      <c r="AD49" s="450"/>
      <c r="AE49" s="450">
        <f t="shared" si="27"/>
        <v>0.57999999999999996</v>
      </c>
      <c r="AF49" s="450"/>
      <c r="AG49" s="450"/>
      <c r="AH49" s="450"/>
      <c r="AI49" s="450"/>
      <c r="AJ49" s="450"/>
      <c r="AK49" s="450"/>
      <c r="AL49" s="450">
        <v>0.57999999999999996</v>
      </c>
      <c r="AM49" s="450"/>
      <c r="AN49" s="450"/>
      <c r="AO49" s="450"/>
      <c r="AP49" s="450"/>
      <c r="AQ49" s="450"/>
      <c r="AR49" s="450"/>
      <c r="AS49" s="450"/>
      <c r="AT49" s="450">
        <f>D49-BL49</f>
        <v>11.95</v>
      </c>
      <c r="AU49" s="450"/>
      <c r="AV49" s="450"/>
      <c r="AW49" s="450"/>
      <c r="AX49" s="450"/>
      <c r="AY49" s="450"/>
      <c r="AZ49" s="450"/>
      <c r="BA49" s="450"/>
      <c r="BB49" s="450"/>
      <c r="BC49" s="450"/>
      <c r="BD49" s="450"/>
      <c r="BE49" s="450"/>
      <c r="BF49" s="450"/>
      <c r="BG49" s="450"/>
      <c r="BH49" s="450">
        <f t="shared" si="22"/>
        <v>0</v>
      </c>
      <c r="BI49" s="450"/>
      <c r="BJ49" s="450"/>
      <c r="BK49" s="450"/>
      <c r="BL49" s="450">
        <f>E49+W49+X49+Y49+Z49+AA49+AB49+AC49+AD49+AE49+AQ49+AR49+AS49+AU49+AV49+AW49+AX49+AY49+AZ49+BA49+BB49+BC49+BD49+BE49+BF49+BG49+BH49</f>
        <v>0.57999999999999996</v>
      </c>
      <c r="BM49" s="450">
        <f>AT67-BL49</f>
        <v>8.9999999999999969E-2</v>
      </c>
      <c r="BN49" s="450">
        <f t="shared" si="29"/>
        <v>12.62</v>
      </c>
      <c r="BO49" s="124"/>
    </row>
    <row r="50" spans="1:67" s="2" customFormat="1" ht="19.5" customHeight="1">
      <c r="A50" s="19" t="s">
        <v>85</v>
      </c>
      <c r="B50" s="19" t="s">
        <v>86</v>
      </c>
      <c r="C50" s="107" t="s">
        <v>87</v>
      </c>
      <c r="D50" s="450"/>
      <c r="E50" s="450">
        <f t="shared" si="4"/>
        <v>0</v>
      </c>
      <c r="F50" s="450">
        <f t="shared" si="21"/>
        <v>0</v>
      </c>
      <c r="G50" s="450">
        <f t="shared" si="8"/>
        <v>0</v>
      </c>
      <c r="H50" s="450">
        <f t="shared" si="12"/>
        <v>0</v>
      </c>
      <c r="I50" s="450"/>
      <c r="J50" s="450"/>
      <c r="K50" s="450"/>
      <c r="L50" s="450"/>
      <c r="M50" s="450"/>
      <c r="N50" s="450"/>
      <c r="O50" s="450"/>
      <c r="P50" s="450"/>
      <c r="Q50" s="450"/>
      <c r="R50" s="450"/>
      <c r="S50" s="450"/>
      <c r="T50" s="450"/>
      <c r="U50" s="450"/>
      <c r="V50" s="667">
        <f t="shared" si="13"/>
        <v>0</v>
      </c>
      <c r="W50" s="450"/>
      <c r="X50" s="450"/>
      <c r="Y50" s="450"/>
      <c r="Z50" s="450"/>
      <c r="AA50" s="450"/>
      <c r="AB50" s="450"/>
      <c r="AC50" s="450"/>
      <c r="AD50" s="450"/>
      <c r="AE50" s="450">
        <f t="shared" si="27"/>
        <v>0</v>
      </c>
      <c r="AF50" s="450"/>
      <c r="AG50" s="450"/>
      <c r="AH50" s="450"/>
      <c r="AI50" s="450"/>
      <c r="AJ50" s="450"/>
      <c r="AK50" s="450"/>
      <c r="AL50" s="450"/>
      <c r="AM50" s="450"/>
      <c r="AN50" s="450"/>
      <c r="AO50" s="450"/>
      <c r="AP50" s="450"/>
      <c r="AQ50" s="450"/>
      <c r="AR50" s="450"/>
      <c r="AS50" s="450"/>
      <c r="AT50" s="450"/>
      <c r="AU50" s="450">
        <f>D50-BL50</f>
        <v>0</v>
      </c>
      <c r="AV50" s="450"/>
      <c r="AW50" s="450"/>
      <c r="AX50" s="450"/>
      <c r="AY50" s="450"/>
      <c r="AZ50" s="450"/>
      <c r="BA50" s="450"/>
      <c r="BB50" s="450"/>
      <c r="BC50" s="450"/>
      <c r="BD50" s="450"/>
      <c r="BE50" s="450"/>
      <c r="BF50" s="450"/>
      <c r="BG50" s="450"/>
      <c r="BH50" s="450">
        <f t="shared" si="22"/>
        <v>0</v>
      </c>
      <c r="BI50" s="450"/>
      <c r="BJ50" s="450"/>
      <c r="BK50" s="450"/>
      <c r="BL50" s="450">
        <f>E50+W50+X50+Y50+Z50+AA50+AB50+AC50+AD50+AE50+AQ50+AR50+AS50+AT50+AV50+AW50+AX50+AY50+AZ50+BA50+BB50+BC50+BD50+BE50+BF50+BG50+BH50</f>
        <v>0</v>
      </c>
      <c r="BM50" s="450">
        <f>AU67-BL50</f>
        <v>0</v>
      </c>
      <c r="BN50" s="450">
        <f t="shared" si="29"/>
        <v>0</v>
      </c>
      <c r="BO50" s="124"/>
    </row>
    <row r="51" spans="1:67" s="2" customFormat="1" ht="20.100000000000001" customHeight="1">
      <c r="A51" s="19" t="s">
        <v>88</v>
      </c>
      <c r="B51" s="19" t="s">
        <v>89</v>
      </c>
      <c r="C51" s="107" t="s">
        <v>90</v>
      </c>
      <c r="D51" s="450">
        <f>#REF!</f>
        <v>2.15</v>
      </c>
      <c r="E51" s="450">
        <f t="shared" si="4"/>
        <v>0</v>
      </c>
      <c r="F51" s="450">
        <f t="shared" si="21"/>
        <v>0</v>
      </c>
      <c r="G51" s="450">
        <f t="shared" si="8"/>
        <v>0</v>
      </c>
      <c r="H51" s="450">
        <f t="shared" si="12"/>
        <v>0</v>
      </c>
      <c r="I51" s="450"/>
      <c r="J51" s="450"/>
      <c r="K51" s="450"/>
      <c r="L51" s="450"/>
      <c r="M51" s="450"/>
      <c r="N51" s="450"/>
      <c r="O51" s="450"/>
      <c r="P51" s="450"/>
      <c r="Q51" s="450"/>
      <c r="R51" s="450"/>
      <c r="S51" s="450"/>
      <c r="T51" s="450"/>
      <c r="U51" s="450"/>
      <c r="V51" s="667">
        <f t="shared" si="13"/>
        <v>2.15</v>
      </c>
      <c r="W51" s="450"/>
      <c r="X51" s="450"/>
      <c r="Y51" s="450"/>
      <c r="Z51" s="450"/>
      <c r="AA51" s="450"/>
      <c r="AB51" s="450"/>
      <c r="AC51" s="450"/>
      <c r="AD51" s="450"/>
      <c r="AE51" s="450">
        <f t="shared" si="27"/>
        <v>0</v>
      </c>
      <c r="AF51" s="450"/>
      <c r="AG51" s="450"/>
      <c r="AH51" s="450"/>
      <c r="AI51" s="450"/>
      <c r="AJ51" s="450"/>
      <c r="AK51" s="450"/>
      <c r="AL51" s="450"/>
      <c r="AM51" s="450"/>
      <c r="AN51" s="450"/>
      <c r="AO51" s="450"/>
      <c r="AP51" s="450"/>
      <c r="AQ51" s="450"/>
      <c r="AR51" s="450"/>
      <c r="AS51" s="450"/>
      <c r="AT51" s="450"/>
      <c r="AU51" s="450"/>
      <c r="AV51" s="450">
        <f>D51-BL51</f>
        <v>2.15</v>
      </c>
      <c r="AW51" s="450"/>
      <c r="AX51" s="450"/>
      <c r="AY51" s="450"/>
      <c r="AZ51" s="450"/>
      <c r="BA51" s="450"/>
      <c r="BB51" s="450"/>
      <c r="BC51" s="450"/>
      <c r="BD51" s="450"/>
      <c r="BE51" s="450"/>
      <c r="BF51" s="450"/>
      <c r="BG51" s="450"/>
      <c r="BH51" s="450">
        <f t="shared" si="22"/>
        <v>0</v>
      </c>
      <c r="BI51" s="450"/>
      <c r="BJ51" s="450"/>
      <c r="BK51" s="450"/>
      <c r="BL51" s="450">
        <f>E51+W51+X51+Y51+Z51+AA51+AB51+AC51+AD51+AE51+AQ51+AR51+AS51+AT51+AU51+AW51+AX51+AY51+AZ51+BA51+BB51+BC51+BD51+BE51+BF51+BG51+BH51</f>
        <v>0</v>
      </c>
      <c r="BM51" s="450">
        <f>AV67-BL51</f>
        <v>0</v>
      </c>
      <c r="BN51" s="450">
        <f t="shared" si="29"/>
        <v>2.15</v>
      </c>
      <c r="BO51" s="124"/>
    </row>
    <row r="52" spans="1:67" s="2" customFormat="1" ht="20.100000000000001" customHeight="1">
      <c r="A52" s="19" t="s">
        <v>91</v>
      </c>
      <c r="B52" s="19" t="s">
        <v>489</v>
      </c>
      <c r="C52" s="107" t="s">
        <v>93</v>
      </c>
      <c r="D52" s="450"/>
      <c r="E52" s="450">
        <f t="shared" si="4"/>
        <v>0</v>
      </c>
      <c r="F52" s="450">
        <f t="shared" si="21"/>
        <v>0</v>
      </c>
      <c r="G52" s="450">
        <f t="shared" si="8"/>
        <v>0</v>
      </c>
      <c r="H52" s="450">
        <f t="shared" si="12"/>
        <v>0</v>
      </c>
      <c r="I52" s="450"/>
      <c r="J52" s="450"/>
      <c r="K52" s="450"/>
      <c r="L52" s="450"/>
      <c r="M52" s="450"/>
      <c r="N52" s="450"/>
      <c r="O52" s="450"/>
      <c r="P52" s="450"/>
      <c r="Q52" s="450"/>
      <c r="R52" s="450"/>
      <c r="S52" s="450"/>
      <c r="T52" s="450"/>
      <c r="U52" s="450"/>
      <c r="V52" s="667">
        <f t="shared" si="13"/>
        <v>0</v>
      </c>
      <c r="W52" s="450"/>
      <c r="X52" s="450"/>
      <c r="Y52" s="450"/>
      <c r="Z52" s="450"/>
      <c r="AA52" s="450"/>
      <c r="AB52" s="450"/>
      <c r="AC52" s="450"/>
      <c r="AD52" s="450"/>
      <c r="AE52" s="450">
        <f t="shared" si="27"/>
        <v>0</v>
      </c>
      <c r="AF52" s="450"/>
      <c r="AG52" s="450"/>
      <c r="AH52" s="450"/>
      <c r="AI52" s="450"/>
      <c r="AJ52" s="450"/>
      <c r="AK52" s="450"/>
      <c r="AL52" s="450"/>
      <c r="AM52" s="450"/>
      <c r="AN52" s="450"/>
      <c r="AO52" s="450"/>
      <c r="AP52" s="450"/>
      <c r="AQ52" s="450"/>
      <c r="AR52" s="450"/>
      <c r="AS52" s="450"/>
      <c r="AT52" s="450"/>
      <c r="AU52" s="450"/>
      <c r="AV52" s="450"/>
      <c r="AW52" s="450">
        <f>D52-BL52</f>
        <v>0</v>
      </c>
      <c r="AX52" s="450"/>
      <c r="AY52" s="450"/>
      <c r="AZ52" s="450"/>
      <c r="BA52" s="450"/>
      <c r="BB52" s="450"/>
      <c r="BC52" s="450"/>
      <c r="BD52" s="450"/>
      <c r="BE52" s="450"/>
      <c r="BF52" s="450"/>
      <c r="BG52" s="450"/>
      <c r="BH52" s="450">
        <f t="shared" si="22"/>
        <v>0</v>
      </c>
      <c r="BI52" s="450"/>
      <c r="BJ52" s="450"/>
      <c r="BK52" s="450"/>
      <c r="BL52" s="450">
        <f>E52+W52+X52+Y52+Z52+AA52+AB52+AC52+AD52+AE52+AQ52+AR52+AS52+AT52+AU52+AV52+AX52+AY52+AZ52+BA52+BB52+BC52+BD52+BE52+BF52+BG52+BH52</f>
        <v>0</v>
      </c>
      <c r="BM52" s="450">
        <f>AW67-BL52</f>
        <v>0</v>
      </c>
      <c r="BN52" s="450">
        <f t="shared" si="29"/>
        <v>0</v>
      </c>
      <c r="BO52" s="124"/>
    </row>
    <row r="53" spans="1:67" s="2" customFormat="1" ht="20.100000000000001" customHeight="1">
      <c r="A53" s="19" t="s">
        <v>94</v>
      </c>
      <c r="B53" s="19" t="s">
        <v>95</v>
      </c>
      <c r="C53" s="107" t="s">
        <v>96</v>
      </c>
      <c r="D53" s="450"/>
      <c r="E53" s="450">
        <f t="shared" si="4"/>
        <v>0</v>
      </c>
      <c r="F53" s="450">
        <f t="shared" si="21"/>
        <v>0</v>
      </c>
      <c r="G53" s="450">
        <f t="shared" si="8"/>
        <v>0</v>
      </c>
      <c r="H53" s="450">
        <f t="shared" si="12"/>
        <v>0</v>
      </c>
      <c r="I53" s="450"/>
      <c r="J53" s="450"/>
      <c r="K53" s="450"/>
      <c r="L53" s="450"/>
      <c r="M53" s="450"/>
      <c r="N53" s="450"/>
      <c r="O53" s="450"/>
      <c r="P53" s="450"/>
      <c r="Q53" s="450"/>
      <c r="R53" s="450"/>
      <c r="S53" s="450"/>
      <c r="T53" s="450"/>
      <c r="U53" s="450"/>
      <c r="V53" s="667">
        <f t="shared" si="13"/>
        <v>0</v>
      </c>
      <c r="W53" s="450"/>
      <c r="X53" s="450"/>
      <c r="Y53" s="450"/>
      <c r="Z53" s="450"/>
      <c r="AA53" s="450"/>
      <c r="AB53" s="450"/>
      <c r="AC53" s="450"/>
      <c r="AD53" s="450"/>
      <c r="AE53" s="450">
        <f t="shared" si="27"/>
        <v>0</v>
      </c>
      <c r="AF53" s="450"/>
      <c r="AG53" s="450"/>
      <c r="AH53" s="450"/>
      <c r="AI53" s="450"/>
      <c r="AJ53" s="450"/>
      <c r="AK53" s="450"/>
      <c r="AL53" s="450"/>
      <c r="AM53" s="450"/>
      <c r="AN53" s="450"/>
      <c r="AO53" s="450"/>
      <c r="AP53" s="450"/>
      <c r="AQ53" s="450"/>
      <c r="AR53" s="450"/>
      <c r="AS53" s="450"/>
      <c r="AT53" s="450"/>
      <c r="AU53" s="450"/>
      <c r="AV53" s="450"/>
      <c r="AW53" s="450"/>
      <c r="AX53" s="450">
        <f>D53-BL53</f>
        <v>0</v>
      </c>
      <c r="AY53" s="450"/>
      <c r="AZ53" s="450"/>
      <c r="BA53" s="450"/>
      <c r="BB53" s="450"/>
      <c r="BC53" s="450"/>
      <c r="BD53" s="450"/>
      <c r="BE53" s="450"/>
      <c r="BF53" s="450"/>
      <c r="BG53" s="450"/>
      <c r="BH53" s="450">
        <f t="shared" si="22"/>
        <v>0</v>
      </c>
      <c r="BI53" s="450"/>
      <c r="BJ53" s="450"/>
      <c r="BK53" s="450"/>
      <c r="BL53" s="450">
        <f>E53+W53+X53+Y53+Z53+AA53+AB53+AC53+AD53+AE53+AQ53+AR53+AS53+AT53+AU53+AV53+AW53+AY53+AZ53+BA53+BB53+BC53+BD53+BE53+BF53+BG53+BH53</f>
        <v>0</v>
      </c>
      <c r="BM53" s="450">
        <f>AX67-BL53</f>
        <v>0</v>
      </c>
      <c r="BN53" s="450">
        <f t="shared" si="29"/>
        <v>0</v>
      </c>
      <c r="BO53" s="124"/>
    </row>
    <row r="54" spans="1:67" s="2" customFormat="1" ht="20.100000000000001" customHeight="1">
      <c r="A54" s="19" t="s">
        <v>97</v>
      </c>
      <c r="B54" s="19" t="s">
        <v>98</v>
      </c>
      <c r="C54" s="107" t="s">
        <v>99</v>
      </c>
      <c r="D54" s="450"/>
      <c r="E54" s="450">
        <f t="shared" si="4"/>
        <v>0</v>
      </c>
      <c r="F54" s="450">
        <f t="shared" si="21"/>
        <v>0</v>
      </c>
      <c r="G54" s="450">
        <f t="shared" si="8"/>
        <v>0</v>
      </c>
      <c r="H54" s="450">
        <f t="shared" si="12"/>
        <v>0</v>
      </c>
      <c r="I54" s="450"/>
      <c r="J54" s="450"/>
      <c r="K54" s="450"/>
      <c r="L54" s="450"/>
      <c r="M54" s="450"/>
      <c r="N54" s="450"/>
      <c r="O54" s="450"/>
      <c r="P54" s="450"/>
      <c r="Q54" s="450"/>
      <c r="R54" s="450"/>
      <c r="S54" s="450"/>
      <c r="T54" s="450"/>
      <c r="U54" s="450"/>
      <c r="V54" s="667">
        <f t="shared" si="13"/>
        <v>0</v>
      </c>
      <c r="W54" s="450"/>
      <c r="X54" s="450"/>
      <c r="Y54" s="450"/>
      <c r="Z54" s="450"/>
      <c r="AA54" s="450"/>
      <c r="AB54" s="450"/>
      <c r="AC54" s="450"/>
      <c r="AD54" s="450"/>
      <c r="AE54" s="450">
        <f t="shared" si="27"/>
        <v>0</v>
      </c>
      <c r="AF54" s="450"/>
      <c r="AG54" s="450"/>
      <c r="AH54" s="450"/>
      <c r="AI54" s="450"/>
      <c r="AJ54" s="450"/>
      <c r="AK54" s="450"/>
      <c r="AL54" s="450"/>
      <c r="AM54" s="450"/>
      <c r="AN54" s="450"/>
      <c r="AO54" s="450"/>
      <c r="AP54" s="450"/>
      <c r="AQ54" s="450"/>
      <c r="AR54" s="450"/>
      <c r="AS54" s="450"/>
      <c r="AT54" s="450"/>
      <c r="AU54" s="450"/>
      <c r="AV54" s="450"/>
      <c r="AW54" s="450"/>
      <c r="AX54" s="450"/>
      <c r="AY54" s="450">
        <f>D54-BL54</f>
        <v>0</v>
      </c>
      <c r="AZ54" s="450"/>
      <c r="BA54" s="450"/>
      <c r="BB54" s="450"/>
      <c r="BC54" s="450"/>
      <c r="BD54" s="450"/>
      <c r="BE54" s="450"/>
      <c r="BF54" s="450"/>
      <c r="BG54" s="450"/>
      <c r="BH54" s="450">
        <f t="shared" si="22"/>
        <v>0</v>
      </c>
      <c r="BI54" s="450"/>
      <c r="BJ54" s="450"/>
      <c r="BK54" s="450"/>
      <c r="BL54" s="450">
        <f>E54+W54+X54+Y54+Z54+AA54+AB54+AC54+AD54+AE54+AQ54+AR54+AS54+AT54+AU54+AV54+AW54+AX54+AZ54+BA54+BB54+BC54+BD54+BE54+BF54+BG54+BH54</f>
        <v>0</v>
      </c>
      <c r="BM54" s="450">
        <f>AY67-BL54</f>
        <v>0</v>
      </c>
      <c r="BN54" s="450">
        <f t="shared" si="29"/>
        <v>0</v>
      </c>
      <c r="BO54" s="124"/>
    </row>
    <row r="55" spans="1:67" s="2" customFormat="1" ht="30.75" customHeight="1">
      <c r="A55" s="19" t="s">
        <v>100</v>
      </c>
      <c r="B55" s="19" t="s">
        <v>490</v>
      </c>
      <c r="C55" s="107" t="s">
        <v>101</v>
      </c>
      <c r="D55" s="450">
        <f>#REF!</f>
        <v>3.54</v>
      </c>
      <c r="E55" s="450">
        <f t="shared" si="4"/>
        <v>0</v>
      </c>
      <c r="F55" s="450">
        <f t="shared" si="21"/>
        <v>0</v>
      </c>
      <c r="G55" s="450">
        <f t="shared" si="8"/>
        <v>0</v>
      </c>
      <c r="H55" s="450">
        <f t="shared" si="12"/>
        <v>0</v>
      </c>
      <c r="I55" s="450"/>
      <c r="J55" s="450"/>
      <c r="K55" s="450"/>
      <c r="L55" s="450"/>
      <c r="M55" s="450"/>
      <c r="N55" s="450"/>
      <c r="O55" s="450"/>
      <c r="P55" s="450"/>
      <c r="Q55" s="450"/>
      <c r="R55" s="450"/>
      <c r="S55" s="450"/>
      <c r="T55" s="450"/>
      <c r="U55" s="450"/>
      <c r="V55" s="667">
        <f t="shared" si="13"/>
        <v>3.54</v>
      </c>
      <c r="W55" s="450"/>
      <c r="X55" s="450"/>
      <c r="Y55" s="450"/>
      <c r="Z55" s="450"/>
      <c r="AA55" s="450"/>
      <c r="AB55" s="450"/>
      <c r="AC55" s="450"/>
      <c r="AD55" s="450"/>
      <c r="AE55" s="450">
        <f t="shared" si="27"/>
        <v>0</v>
      </c>
      <c r="AF55" s="450"/>
      <c r="AG55" s="450"/>
      <c r="AH55" s="450"/>
      <c r="AI55" s="450"/>
      <c r="AJ55" s="450"/>
      <c r="AK55" s="450"/>
      <c r="AL55" s="450"/>
      <c r="AM55" s="450"/>
      <c r="AN55" s="450"/>
      <c r="AO55" s="450"/>
      <c r="AP55" s="450"/>
      <c r="AQ55" s="450"/>
      <c r="AR55" s="450"/>
      <c r="AS55" s="450"/>
      <c r="AT55" s="450"/>
      <c r="AU55" s="450"/>
      <c r="AV55" s="450"/>
      <c r="AW55" s="450"/>
      <c r="AX55" s="450"/>
      <c r="AY55" s="450"/>
      <c r="AZ55" s="450">
        <f>D55-BL55</f>
        <v>3.54</v>
      </c>
      <c r="BA55" s="450"/>
      <c r="BB55" s="450"/>
      <c r="BC55" s="450"/>
      <c r="BD55" s="450"/>
      <c r="BE55" s="450"/>
      <c r="BF55" s="450"/>
      <c r="BG55" s="450"/>
      <c r="BH55" s="450">
        <f t="shared" si="22"/>
        <v>0</v>
      </c>
      <c r="BI55" s="450"/>
      <c r="BJ55" s="450"/>
      <c r="BK55" s="450"/>
      <c r="BL55" s="450">
        <f>E55+W55+X55+Y55+Z55+AA55+AB55+AC55+AD55+AE55+AQ55+AR55+AS55+AT55+AU55+AV55+AW55+AX55+AY55+BA55+BB55+BC55+BD55+BE55+BF55+BG55+BH55</f>
        <v>0</v>
      </c>
      <c r="BM55" s="450">
        <f>AZ67-BL55</f>
        <v>0</v>
      </c>
      <c r="BN55" s="450">
        <f t="shared" si="29"/>
        <v>3.54</v>
      </c>
      <c r="BO55" s="124"/>
    </row>
    <row r="56" spans="1:67" s="2" customFormat="1" ht="20.100000000000001" customHeight="1">
      <c r="A56" s="19" t="s">
        <v>102</v>
      </c>
      <c r="B56" s="19" t="s">
        <v>103</v>
      </c>
      <c r="C56" s="107" t="s">
        <v>104</v>
      </c>
      <c r="D56" s="450"/>
      <c r="E56" s="450">
        <f t="shared" si="4"/>
        <v>0</v>
      </c>
      <c r="F56" s="450">
        <f t="shared" si="21"/>
        <v>0</v>
      </c>
      <c r="G56" s="450">
        <f t="shared" si="8"/>
        <v>0</v>
      </c>
      <c r="H56" s="450">
        <f t="shared" si="12"/>
        <v>0</v>
      </c>
      <c r="I56" s="450"/>
      <c r="J56" s="450"/>
      <c r="K56" s="450"/>
      <c r="L56" s="450"/>
      <c r="M56" s="450"/>
      <c r="N56" s="450"/>
      <c r="O56" s="450"/>
      <c r="P56" s="450"/>
      <c r="Q56" s="450"/>
      <c r="R56" s="450"/>
      <c r="S56" s="450"/>
      <c r="T56" s="450"/>
      <c r="U56" s="450"/>
      <c r="V56" s="667">
        <f t="shared" si="13"/>
        <v>0</v>
      </c>
      <c r="W56" s="450"/>
      <c r="X56" s="450"/>
      <c r="Y56" s="450"/>
      <c r="Z56" s="450"/>
      <c r="AA56" s="450"/>
      <c r="AB56" s="450"/>
      <c r="AC56" s="450"/>
      <c r="AD56" s="450"/>
      <c r="AE56" s="450">
        <f t="shared" si="27"/>
        <v>0</v>
      </c>
      <c r="AF56" s="450"/>
      <c r="AG56" s="450"/>
      <c r="AH56" s="450"/>
      <c r="AI56" s="450"/>
      <c r="AJ56" s="450"/>
      <c r="AK56" s="450"/>
      <c r="AL56" s="450"/>
      <c r="AM56" s="450"/>
      <c r="AN56" s="450"/>
      <c r="AO56" s="450"/>
      <c r="AP56" s="450"/>
      <c r="AQ56" s="450"/>
      <c r="AR56" s="450"/>
      <c r="AS56" s="450"/>
      <c r="AT56" s="450"/>
      <c r="AU56" s="450"/>
      <c r="AV56" s="450"/>
      <c r="AW56" s="450"/>
      <c r="AX56" s="450"/>
      <c r="AY56" s="450"/>
      <c r="AZ56" s="450"/>
      <c r="BA56" s="450">
        <f>D56-BL56</f>
        <v>0</v>
      </c>
      <c r="BB56" s="450"/>
      <c r="BC56" s="450"/>
      <c r="BD56" s="450"/>
      <c r="BE56" s="450"/>
      <c r="BF56" s="450"/>
      <c r="BG56" s="450"/>
      <c r="BH56" s="450">
        <f t="shared" si="22"/>
        <v>0</v>
      </c>
      <c r="BI56" s="450"/>
      <c r="BJ56" s="450"/>
      <c r="BK56" s="450"/>
      <c r="BL56" s="450">
        <f>E56+W56+X56+Y56+Z56+AA56+AB56+AC56+AD56+AE56+AQ56+AR56+AS56+AT56+AU56+AV56+AW56+AX56+AY56+AZ56+BB56+BC56+BD56+BE56+BF56+BG56+BH56</f>
        <v>0</v>
      </c>
      <c r="BM56" s="450">
        <f>BA67-BL56</f>
        <v>0</v>
      </c>
      <c r="BN56" s="450">
        <f t="shared" si="29"/>
        <v>0</v>
      </c>
      <c r="BO56" s="124"/>
    </row>
    <row r="57" spans="1:67" s="2" customFormat="1" ht="20.100000000000001" customHeight="1">
      <c r="A57" s="19" t="s">
        <v>105</v>
      </c>
      <c r="B57" s="19" t="s">
        <v>106</v>
      </c>
      <c r="C57" s="107" t="s">
        <v>107</v>
      </c>
      <c r="D57" s="450">
        <f>#REF!</f>
        <v>0.47</v>
      </c>
      <c r="E57" s="450">
        <f t="shared" si="4"/>
        <v>0</v>
      </c>
      <c r="F57" s="450">
        <f t="shared" si="21"/>
        <v>0</v>
      </c>
      <c r="G57" s="450">
        <f t="shared" si="8"/>
        <v>0</v>
      </c>
      <c r="H57" s="450">
        <f t="shared" si="12"/>
        <v>0</v>
      </c>
      <c r="I57" s="450"/>
      <c r="J57" s="450"/>
      <c r="K57" s="450"/>
      <c r="L57" s="450"/>
      <c r="M57" s="450"/>
      <c r="N57" s="450"/>
      <c r="O57" s="450"/>
      <c r="P57" s="450"/>
      <c r="Q57" s="450"/>
      <c r="R57" s="450"/>
      <c r="S57" s="450"/>
      <c r="T57" s="450"/>
      <c r="U57" s="450"/>
      <c r="V57" s="667">
        <f t="shared" si="13"/>
        <v>0.47</v>
      </c>
      <c r="W57" s="450"/>
      <c r="X57" s="450"/>
      <c r="Y57" s="450"/>
      <c r="Z57" s="450"/>
      <c r="AA57" s="450"/>
      <c r="AB57" s="450"/>
      <c r="AC57" s="450"/>
      <c r="AD57" s="450"/>
      <c r="AE57" s="450">
        <f>SUM(AF57:AP57)</f>
        <v>0</v>
      </c>
      <c r="AF57" s="450"/>
      <c r="AG57" s="450"/>
      <c r="AH57" s="450"/>
      <c r="AI57" s="450"/>
      <c r="AJ57" s="450"/>
      <c r="AK57" s="450"/>
      <c r="AL57" s="450"/>
      <c r="AM57" s="450"/>
      <c r="AN57" s="450"/>
      <c r="AO57" s="450"/>
      <c r="AP57" s="450"/>
      <c r="AQ57" s="450"/>
      <c r="AR57" s="450"/>
      <c r="AS57" s="450"/>
      <c r="AT57" s="450"/>
      <c r="AU57" s="450"/>
      <c r="AV57" s="450"/>
      <c r="AW57" s="450"/>
      <c r="AX57" s="450"/>
      <c r="AY57" s="450"/>
      <c r="AZ57" s="450"/>
      <c r="BA57" s="450"/>
      <c r="BB57" s="450">
        <f>D57-BL57</f>
        <v>0.47</v>
      </c>
      <c r="BC57" s="450"/>
      <c r="BD57" s="450"/>
      <c r="BE57" s="450"/>
      <c r="BF57" s="450"/>
      <c r="BG57" s="450"/>
      <c r="BH57" s="450">
        <f t="shared" si="22"/>
        <v>0</v>
      </c>
      <c r="BI57" s="450"/>
      <c r="BJ57" s="450"/>
      <c r="BK57" s="450"/>
      <c r="BL57" s="450">
        <f>E57+W57+X57+Y57+Z57+AA57+AB57+AC57+AD57+AE57+AQ57+AR57+AS57+AT57+AU57+AV57+AW57+AX57+AY57+AZ57+BA57+BC57+BD57+BE57+BF57+BG57+BH57</f>
        <v>0</v>
      </c>
      <c r="BM57" s="450">
        <f>BB67-BL57</f>
        <v>0</v>
      </c>
      <c r="BN57" s="450">
        <f t="shared" si="29"/>
        <v>0.47</v>
      </c>
      <c r="BO57" s="124"/>
    </row>
    <row r="58" spans="1:67" s="2" customFormat="1" ht="20.100000000000001" customHeight="1">
      <c r="A58" s="19" t="s">
        <v>108</v>
      </c>
      <c r="B58" s="19" t="s">
        <v>491</v>
      </c>
      <c r="C58" s="107" t="s">
        <v>110</v>
      </c>
      <c r="D58" s="450"/>
      <c r="E58" s="450">
        <f t="shared" si="4"/>
        <v>0</v>
      </c>
      <c r="F58" s="450">
        <f t="shared" si="21"/>
        <v>0</v>
      </c>
      <c r="G58" s="450">
        <f t="shared" si="8"/>
        <v>0</v>
      </c>
      <c r="H58" s="450">
        <f t="shared" si="12"/>
        <v>0</v>
      </c>
      <c r="I58" s="450"/>
      <c r="J58" s="450"/>
      <c r="K58" s="450"/>
      <c r="L58" s="450"/>
      <c r="M58" s="450"/>
      <c r="N58" s="450"/>
      <c r="O58" s="450"/>
      <c r="P58" s="450"/>
      <c r="Q58" s="450"/>
      <c r="R58" s="450"/>
      <c r="S58" s="450"/>
      <c r="T58" s="450"/>
      <c r="U58" s="450"/>
      <c r="V58" s="667">
        <f t="shared" si="13"/>
        <v>0</v>
      </c>
      <c r="W58" s="450"/>
      <c r="X58" s="450"/>
      <c r="Y58" s="450"/>
      <c r="Z58" s="450"/>
      <c r="AA58" s="450"/>
      <c r="AB58" s="450"/>
      <c r="AC58" s="450"/>
      <c r="AD58" s="450"/>
      <c r="AE58" s="450">
        <f t="shared" si="27"/>
        <v>0</v>
      </c>
      <c r="AF58" s="450"/>
      <c r="AG58" s="450"/>
      <c r="AH58" s="450"/>
      <c r="AI58" s="450"/>
      <c r="AJ58" s="450"/>
      <c r="AK58" s="450"/>
      <c r="AL58" s="450"/>
      <c r="AM58" s="450"/>
      <c r="AN58" s="450"/>
      <c r="AO58" s="450"/>
      <c r="AP58" s="450"/>
      <c r="AQ58" s="450"/>
      <c r="AR58" s="450"/>
      <c r="AS58" s="450"/>
      <c r="AT58" s="450"/>
      <c r="AU58" s="450"/>
      <c r="AV58" s="450"/>
      <c r="AW58" s="450"/>
      <c r="AX58" s="450"/>
      <c r="AY58" s="450"/>
      <c r="AZ58" s="450"/>
      <c r="BA58" s="450"/>
      <c r="BB58" s="450"/>
      <c r="BC58" s="450">
        <f>D58-BL58</f>
        <v>0</v>
      </c>
      <c r="BD58" s="450"/>
      <c r="BE58" s="450"/>
      <c r="BF58" s="450"/>
      <c r="BG58" s="450"/>
      <c r="BH58" s="450">
        <f t="shared" si="22"/>
        <v>0</v>
      </c>
      <c r="BI58" s="450"/>
      <c r="BJ58" s="450"/>
      <c r="BK58" s="450"/>
      <c r="BL58" s="450">
        <f>E58+W58+X58+Y58+Z58+AA58+AB58+AC58+AD58+AE58+AQ58+AR58+AS58+AT58+AU58+AV58+AW58+AX58+AY58+AZ58+BA58+BB58+BD58+BE58+BF58+BG58+BH58</f>
        <v>0</v>
      </c>
      <c r="BM58" s="450">
        <f>BC67-BL58</f>
        <v>0</v>
      </c>
      <c r="BN58" s="450">
        <f t="shared" si="29"/>
        <v>0</v>
      </c>
      <c r="BO58" s="124"/>
    </row>
    <row r="59" spans="1:67" s="2" customFormat="1" ht="20.100000000000001" customHeight="1">
      <c r="A59" s="19" t="s">
        <v>111</v>
      </c>
      <c r="B59" s="19" t="s">
        <v>112</v>
      </c>
      <c r="C59" s="107" t="s">
        <v>113</v>
      </c>
      <c r="D59" s="450"/>
      <c r="E59" s="450">
        <f t="shared" si="4"/>
        <v>0</v>
      </c>
      <c r="F59" s="450">
        <f t="shared" si="21"/>
        <v>0</v>
      </c>
      <c r="G59" s="450">
        <f t="shared" si="8"/>
        <v>0</v>
      </c>
      <c r="H59" s="450">
        <f t="shared" si="12"/>
        <v>0</v>
      </c>
      <c r="I59" s="450"/>
      <c r="J59" s="450"/>
      <c r="K59" s="450"/>
      <c r="L59" s="450"/>
      <c r="M59" s="450"/>
      <c r="N59" s="450"/>
      <c r="O59" s="450"/>
      <c r="P59" s="450"/>
      <c r="Q59" s="450"/>
      <c r="R59" s="450"/>
      <c r="S59" s="450"/>
      <c r="T59" s="450"/>
      <c r="U59" s="450"/>
      <c r="V59" s="667">
        <f t="shared" si="13"/>
        <v>0</v>
      </c>
      <c r="W59" s="450"/>
      <c r="X59" s="450"/>
      <c r="Y59" s="450"/>
      <c r="Z59" s="450"/>
      <c r="AA59" s="450"/>
      <c r="AB59" s="450"/>
      <c r="AC59" s="450"/>
      <c r="AD59" s="450"/>
      <c r="AE59" s="450">
        <f t="shared" si="27"/>
        <v>0</v>
      </c>
      <c r="AF59" s="450"/>
      <c r="AG59" s="450"/>
      <c r="AH59" s="450"/>
      <c r="AI59" s="450"/>
      <c r="AJ59" s="450"/>
      <c r="AK59" s="450"/>
      <c r="AL59" s="450"/>
      <c r="AM59" s="450"/>
      <c r="AN59" s="450"/>
      <c r="AO59" s="450"/>
      <c r="AP59" s="450"/>
      <c r="AQ59" s="450"/>
      <c r="AR59" s="450"/>
      <c r="AS59" s="450"/>
      <c r="AT59" s="450"/>
      <c r="AU59" s="450"/>
      <c r="AV59" s="450"/>
      <c r="AW59" s="450"/>
      <c r="AX59" s="450"/>
      <c r="AY59" s="450"/>
      <c r="AZ59" s="450"/>
      <c r="BA59" s="450"/>
      <c r="BB59" s="450"/>
      <c r="BC59" s="450"/>
      <c r="BD59" s="450">
        <f>D59-BL59</f>
        <v>0</v>
      </c>
      <c r="BE59" s="450"/>
      <c r="BF59" s="450"/>
      <c r="BG59" s="450"/>
      <c r="BH59" s="450">
        <f t="shared" si="22"/>
        <v>0</v>
      </c>
      <c r="BI59" s="450"/>
      <c r="BJ59" s="450"/>
      <c r="BK59" s="450"/>
      <c r="BL59" s="450">
        <f>E59+W59+X59+Y59+Z59+AA59+AB59+AC59+AD59+AE59+AQ59+AR59+AS59+AT59+AU59+AV59+AW59+AX59+AY59+AZ59+BA59+BB59+BC59+BE59+BF59+BG59+BH59</f>
        <v>0</v>
      </c>
      <c r="BM59" s="450">
        <f>BD67-BL59</f>
        <v>0</v>
      </c>
      <c r="BN59" s="450">
        <f t="shared" si="29"/>
        <v>0</v>
      </c>
      <c r="BO59" s="124"/>
    </row>
    <row r="60" spans="1:67" s="2" customFormat="1" ht="20.100000000000001" customHeight="1">
      <c r="A60" s="19" t="s">
        <v>114</v>
      </c>
      <c r="B60" s="19" t="s">
        <v>115</v>
      </c>
      <c r="C60" s="107" t="s">
        <v>116</v>
      </c>
      <c r="D60" s="450">
        <f>#REF!</f>
        <v>106</v>
      </c>
      <c r="E60" s="450">
        <f t="shared" si="4"/>
        <v>0</v>
      </c>
      <c r="F60" s="450">
        <f t="shared" si="21"/>
        <v>0</v>
      </c>
      <c r="G60" s="450">
        <f t="shared" si="8"/>
        <v>0</v>
      </c>
      <c r="H60" s="450">
        <f t="shared" si="12"/>
        <v>0</v>
      </c>
      <c r="I60" s="450"/>
      <c r="J60" s="450"/>
      <c r="K60" s="450"/>
      <c r="L60" s="450"/>
      <c r="M60" s="450"/>
      <c r="N60" s="450"/>
      <c r="O60" s="450"/>
      <c r="P60" s="450"/>
      <c r="Q60" s="450"/>
      <c r="R60" s="450"/>
      <c r="S60" s="450"/>
      <c r="T60" s="450"/>
      <c r="U60" s="450"/>
      <c r="V60" s="667">
        <f t="shared" si="13"/>
        <v>106</v>
      </c>
      <c r="W60" s="450"/>
      <c r="X60" s="450"/>
      <c r="Y60" s="450"/>
      <c r="Z60" s="450"/>
      <c r="AA60" s="450"/>
      <c r="AB60" s="450"/>
      <c r="AC60" s="450"/>
      <c r="AD60" s="450"/>
      <c r="AE60" s="450">
        <f t="shared" si="27"/>
        <v>0</v>
      </c>
      <c r="AF60" s="450"/>
      <c r="AG60" s="450"/>
      <c r="AH60" s="450"/>
      <c r="AI60" s="450"/>
      <c r="AJ60" s="450"/>
      <c r="AK60" s="450"/>
      <c r="AL60" s="450"/>
      <c r="AM60" s="450"/>
      <c r="AN60" s="450"/>
      <c r="AO60" s="450"/>
      <c r="AP60" s="450"/>
      <c r="AQ60" s="450"/>
      <c r="AR60" s="450"/>
      <c r="AS60" s="450"/>
      <c r="AT60" s="450"/>
      <c r="AU60" s="450"/>
      <c r="AV60" s="450"/>
      <c r="AW60" s="450"/>
      <c r="AX60" s="450"/>
      <c r="AY60" s="450"/>
      <c r="AZ60" s="450"/>
      <c r="BA60" s="450"/>
      <c r="BB60" s="450"/>
      <c r="BC60" s="450"/>
      <c r="BD60" s="450"/>
      <c r="BE60" s="450">
        <f>D60-BL60</f>
        <v>106</v>
      </c>
      <c r="BF60" s="450"/>
      <c r="BG60" s="450"/>
      <c r="BH60" s="450">
        <f t="shared" si="22"/>
        <v>0</v>
      </c>
      <c r="BI60" s="450"/>
      <c r="BJ60" s="450"/>
      <c r="BK60" s="450"/>
      <c r="BL60" s="450">
        <f>E60+W60+X60+Y60+Z60+AA60+AB60+AC60+AD60+AE60+AQ60+AR60+AS60+AT60+AU60+AV60+AW60+AX60+AY60+AZ60+BA60+BB60+BC60+BD60+BF60+BG60+BH60</f>
        <v>0</v>
      </c>
      <c r="BM60" s="450">
        <f>BE67-BL60</f>
        <v>0</v>
      </c>
      <c r="BN60" s="450">
        <f t="shared" si="29"/>
        <v>106</v>
      </c>
      <c r="BO60" s="124"/>
    </row>
    <row r="61" spans="1:67" s="2" customFormat="1" ht="20.100000000000001" customHeight="1">
      <c r="A61" s="19" t="s">
        <v>117</v>
      </c>
      <c r="B61" s="19" t="s">
        <v>118</v>
      </c>
      <c r="C61" s="107" t="s">
        <v>119</v>
      </c>
      <c r="D61" s="450">
        <f>#REF!</f>
        <v>355.57</v>
      </c>
      <c r="E61" s="450">
        <f t="shared" si="4"/>
        <v>0</v>
      </c>
      <c r="F61" s="450">
        <f t="shared" si="21"/>
        <v>0</v>
      </c>
      <c r="G61" s="450">
        <f t="shared" si="8"/>
        <v>0</v>
      </c>
      <c r="H61" s="450">
        <f t="shared" si="12"/>
        <v>0</v>
      </c>
      <c r="I61" s="450"/>
      <c r="J61" s="450"/>
      <c r="K61" s="450"/>
      <c r="L61" s="450"/>
      <c r="M61" s="450"/>
      <c r="N61" s="450"/>
      <c r="O61" s="450"/>
      <c r="P61" s="450"/>
      <c r="Q61" s="450"/>
      <c r="R61" s="450"/>
      <c r="S61" s="450"/>
      <c r="T61" s="450"/>
      <c r="U61" s="450"/>
      <c r="V61" s="667">
        <f t="shared" si="13"/>
        <v>355.57</v>
      </c>
      <c r="W61" s="450"/>
      <c r="X61" s="450"/>
      <c r="Y61" s="450"/>
      <c r="Z61" s="450"/>
      <c r="AA61" s="450"/>
      <c r="AB61" s="450"/>
      <c r="AC61" s="450"/>
      <c r="AD61" s="450"/>
      <c r="AE61" s="450">
        <f t="shared" si="27"/>
        <v>0</v>
      </c>
      <c r="AF61" s="450"/>
      <c r="AG61" s="450"/>
      <c r="AH61" s="450"/>
      <c r="AI61" s="450"/>
      <c r="AJ61" s="450"/>
      <c r="AK61" s="450"/>
      <c r="AL61" s="450"/>
      <c r="AM61" s="450"/>
      <c r="AN61" s="450"/>
      <c r="AO61" s="450"/>
      <c r="AP61" s="450"/>
      <c r="AQ61" s="450"/>
      <c r="AR61" s="450"/>
      <c r="AS61" s="450"/>
      <c r="AT61" s="450"/>
      <c r="AU61" s="450"/>
      <c r="AV61" s="450"/>
      <c r="AW61" s="450"/>
      <c r="AX61" s="450"/>
      <c r="AY61" s="450"/>
      <c r="AZ61" s="450"/>
      <c r="BA61" s="450"/>
      <c r="BB61" s="450"/>
      <c r="BC61" s="450"/>
      <c r="BD61" s="450"/>
      <c r="BE61" s="450"/>
      <c r="BF61" s="450">
        <f>D61-BL61</f>
        <v>355.57</v>
      </c>
      <c r="BG61" s="450"/>
      <c r="BH61" s="450">
        <f t="shared" si="22"/>
        <v>0</v>
      </c>
      <c r="BI61" s="450"/>
      <c r="BJ61" s="450"/>
      <c r="BK61" s="450"/>
      <c r="BL61" s="450">
        <f>E61+W61+X61+Y61+Z61+AA61+AB61+AC61+AD61+AE61+AQ61+AR61+AS61+AT61+AU61+AV61+AW61+AX61+AY61+AZ61+BA61+BB61+BC61+BD61+BE61+BG61+BH61</f>
        <v>0</v>
      </c>
      <c r="BM61" s="450">
        <f>BF67-BL61</f>
        <v>0</v>
      </c>
      <c r="BN61" s="450">
        <f t="shared" si="29"/>
        <v>355.57</v>
      </c>
      <c r="BO61" s="124"/>
    </row>
    <row r="62" spans="1:67" s="2" customFormat="1" ht="20.100000000000001" customHeight="1">
      <c r="A62" s="19" t="s">
        <v>120</v>
      </c>
      <c r="B62" s="19" t="s">
        <v>121</v>
      </c>
      <c r="C62" s="107" t="s">
        <v>122</v>
      </c>
      <c r="D62" s="450"/>
      <c r="E62" s="450">
        <f t="shared" si="4"/>
        <v>0</v>
      </c>
      <c r="F62" s="450">
        <f t="shared" si="21"/>
        <v>0</v>
      </c>
      <c r="G62" s="450">
        <f t="shared" si="8"/>
        <v>0</v>
      </c>
      <c r="H62" s="450">
        <f t="shared" si="12"/>
        <v>0</v>
      </c>
      <c r="I62" s="450"/>
      <c r="J62" s="450"/>
      <c r="K62" s="450"/>
      <c r="L62" s="450"/>
      <c r="M62" s="450"/>
      <c r="N62" s="450"/>
      <c r="O62" s="450"/>
      <c r="P62" s="450"/>
      <c r="Q62" s="450"/>
      <c r="R62" s="450"/>
      <c r="S62" s="450"/>
      <c r="T62" s="450"/>
      <c r="U62" s="450"/>
      <c r="V62" s="667">
        <f t="shared" si="13"/>
        <v>0</v>
      </c>
      <c r="W62" s="450"/>
      <c r="X62" s="450"/>
      <c r="Y62" s="450"/>
      <c r="Z62" s="450"/>
      <c r="AA62" s="450"/>
      <c r="AB62" s="450"/>
      <c r="AC62" s="450"/>
      <c r="AD62" s="450"/>
      <c r="AE62" s="450">
        <f t="shared" si="27"/>
        <v>0</v>
      </c>
      <c r="AF62" s="450"/>
      <c r="AG62" s="450"/>
      <c r="AH62" s="450"/>
      <c r="AI62" s="450"/>
      <c r="AJ62" s="450"/>
      <c r="AK62" s="450"/>
      <c r="AL62" s="450"/>
      <c r="AM62" s="450"/>
      <c r="AN62" s="450"/>
      <c r="AO62" s="450"/>
      <c r="AP62" s="450"/>
      <c r="AQ62" s="450"/>
      <c r="AR62" s="450"/>
      <c r="AS62" s="450"/>
      <c r="AT62" s="450"/>
      <c r="AU62" s="450"/>
      <c r="AV62" s="450"/>
      <c r="AW62" s="450"/>
      <c r="AX62" s="450"/>
      <c r="AY62" s="450"/>
      <c r="AZ62" s="450"/>
      <c r="BA62" s="450"/>
      <c r="BB62" s="450"/>
      <c r="BC62" s="450"/>
      <c r="BD62" s="450"/>
      <c r="BE62" s="450"/>
      <c r="BF62" s="450"/>
      <c r="BG62" s="450">
        <f>D62-BL62</f>
        <v>0</v>
      </c>
      <c r="BH62" s="450">
        <f t="shared" si="22"/>
        <v>0</v>
      </c>
      <c r="BI62" s="450"/>
      <c r="BJ62" s="450"/>
      <c r="BK62" s="450"/>
      <c r="BL62" s="450">
        <f>E62+W62+X62+Y62+Z62+AA62+AB62+AC62+AD62+AE62+AQ62+AR62+AS62+AT62+AU62+AV62+AW62+AX62+AY62+AZ62+BA62+BB62+BC62+BD62+BE62+BF62+BH62</f>
        <v>0</v>
      </c>
      <c r="BM62" s="450">
        <f>BG67-BL62</f>
        <v>0</v>
      </c>
      <c r="BN62" s="450">
        <f t="shared" si="29"/>
        <v>0</v>
      </c>
      <c r="BO62" s="124"/>
    </row>
    <row r="63" spans="1:67" s="7" customFormat="1" ht="21.75" customHeight="1">
      <c r="A63" s="15">
        <v>3</v>
      </c>
      <c r="B63" s="15" t="s">
        <v>123</v>
      </c>
      <c r="C63" s="133" t="s">
        <v>124</v>
      </c>
      <c r="D63" s="449">
        <f>D64+D65+D66</f>
        <v>78.92</v>
      </c>
      <c r="E63" s="449">
        <f>E64+E65+E66</f>
        <v>0</v>
      </c>
      <c r="F63" s="449">
        <f t="shared" ref="F63:U63" si="30">F64+F65+F66</f>
        <v>0</v>
      </c>
      <c r="G63" s="449">
        <f t="shared" si="30"/>
        <v>0</v>
      </c>
      <c r="H63" s="449">
        <f t="shared" si="30"/>
        <v>0</v>
      </c>
      <c r="I63" s="449">
        <f t="shared" si="30"/>
        <v>0</v>
      </c>
      <c r="J63" s="449">
        <f t="shared" si="30"/>
        <v>0</v>
      </c>
      <c r="K63" s="449">
        <f t="shared" si="30"/>
        <v>0</v>
      </c>
      <c r="L63" s="449">
        <f t="shared" si="30"/>
        <v>0</v>
      </c>
      <c r="M63" s="449">
        <f t="shared" si="30"/>
        <v>0</v>
      </c>
      <c r="N63" s="449">
        <f t="shared" si="30"/>
        <v>0</v>
      </c>
      <c r="O63" s="449">
        <f t="shared" si="30"/>
        <v>0</v>
      </c>
      <c r="P63" s="449">
        <f t="shared" si="30"/>
        <v>0</v>
      </c>
      <c r="Q63" s="449">
        <f t="shared" si="30"/>
        <v>0</v>
      </c>
      <c r="R63" s="449">
        <f t="shared" si="30"/>
        <v>0</v>
      </c>
      <c r="S63" s="449">
        <f t="shared" si="30"/>
        <v>0</v>
      </c>
      <c r="T63" s="449">
        <f t="shared" si="30"/>
        <v>0</v>
      </c>
      <c r="U63" s="449">
        <f t="shared" si="30"/>
        <v>0</v>
      </c>
      <c r="V63" s="666">
        <f>V64+V65+V66</f>
        <v>0.03</v>
      </c>
      <c r="W63" s="449">
        <f t="shared" ref="W63:BG63" si="31">W64+W65+W66</f>
        <v>0</v>
      </c>
      <c r="X63" s="449">
        <f t="shared" si="31"/>
        <v>0</v>
      </c>
      <c r="Y63" s="449">
        <f t="shared" si="31"/>
        <v>0</v>
      </c>
      <c r="Z63" s="449">
        <f t="shared" si="31"/>
        <v>0</v>
      </c>
      <c r="AA63" s="449">
        <f t="shared" si="31"/>
        <v>0</v>
      </c>
      <c r="AB63" s="449">
        <f t="shared" si="31"/>
        <v>0</v>
      </c>
      <c r="AC63" s="449">
        <f t="shared" si="31"/>
        <v>0</v>
      </c>
      <c r="AD63" s="449">
        <f t="shared" si="31"/>
        <v>0</v>
      </c>
      <c r="AE63" s="449">
        <f t="shared" si="31"/>
        <v>0.03</v>
      </c>
      <c r="AF63" s="449">
        <f t="shared" si="31"/>
        <v>0</v>
      </c>
      <c r="AG63" s="449">
        <f t="shared" si="31"/>
        <v>0</v>
      </c>
      <c r="AH63" s="449">
        <f t="shared" si="31"/>
        <v>0</v>
      </c>
      <c r="AI63" s="449">
        <f t="shared" si="31"/>
        <v>0</v>
      </c>
      <c r="AJ63" s="449">
        <f t="shared" si="31"/>
        <v>0</v>
      </c>
      <c r="AK63" s="449">
        <f t="shared" si="31"/>
        <v>0</v>
      </c>
      <c r="AL63" s="449">
        <f t="shared" si="31"/>
        <v>0.03</v>
      </c>
      <c r="AM63" s="449">
        <f t="shared" si="31"/>
        <v>0</v>
      </c>
      <c r="AN63" s="449">
        <f t="shared" si="31"/>
        <v>0</v>
      </c>
      <c r="AO63" s="449">
        <f t="shared" si="31"/>
        <v>0</v>
      </c>
      <c r="AP63" s="449">
        <f t="shared" si="31"/>
        <v>0</v>
      </c>
      <c r="AQ63" s="449">
        <f t="shared" si="31"/>
        <v>0</v>
      </c>
      <c r="AR63" s="449">
        <f t="shared" si="31"/>
        <v>0</v>
      </c>
      <c r="AS63" s="449">
        <f t="shared" si="31"/>
        <v>0</v>
      </c>
      <c r="AT63" s="449">
        <f t="shared" si="31"/>
        <v>0</v>
      </c>
      <c r="AU63" s="449">
        <f t="shared" si="31"/>
        <v>0</v>
      </c>
      <c r="AV63" s="449">
        <f t="shared" si="31"/>
        <v>0</v>
      </c>
      <c r="AW63" s="449">
        <f t="shared" si="31"/>
        <v>0</v>
      </c>
      <c r="AX63" s="449">
        <f t="shared" si="31"/>
        <v>0</v>
      </c>
      <c r="AY63" s="449">
        <f t="shared" si="31"/>
        <v>0</v>
      </c>
      <c r="AZ63" s="449">
        <f t="shared" si="31"/>
        <v>0</v>
      </c>
      <c r="BA63" s="449">
        <f t="shared" si="31"/>
        <v>0</v>
      </c>
      <c r="BB63" s="449">
        <f t="shared" si="31"/>
        <v>0</v>
      </c>
      <c r="BC63" s="449">
        <f t="shared" si="31"/>
        <v>0</v>
      </c>
      <c r="BD63" s="449">
        <f t="shared" si="31"/>
        <v>0</v>
      </c>
      <c r="BE63" s="449">
        <f t="shared" si="31"/>
        <v>0</v>
      </c>
      <c r="BF63" s="449">
        <f t="shared" si="31"/>
        <v>0</v>
      </c>
      <c r="BG63" s="449">
        <f t="shared" si="31"/>
        <v>0</v>
      </c>
      <c r="BH63" s="449">
        <f>D63-BL63</f>
        <v>78.89</v>
      </c>
      <c r="BI63" s="449">
        <f t="shared" ref="BI63:BN63" si="32">BI64+BI65+BI66</f>
        <v>0</v>
      </c>
      <c r="BJ63" s="449">
        <f t="shared" si="32"/>
        <v>4.7</v>
      </c>
      <c r="BK63" s="449">
        <f t="shared" si="32"/>
        <v>0</v>
      </c>
      <c r="BL63" s="449">
        <f t="shared" si="32"/>
        <v>0.03</v>
      </c>
      <c r="BM63" s="449">
        <f t="shared" si="32"/>
        <v>-0.03</v>
      </c>
      <c r="BN63" s="449">
        <f t="shared" si="32"/>
        <v>78.89</v>
      </c>
      <c r="BO63" s="134"/>
    </row>
    <row r="64" spans="1:67" s="2" customFormat="1" ht="21.75" customHeight="1">
      <c r="A64" s="14" t="s">
        <v>220</v>
      </c>
      <c r="B64" s="14" t="s">
        <v>461</v>
      </c>
      <c r="C64" s="107" t="s">
        <v>209</v>
      </c>
      <c r="D64" s="450">
        <f>#REF!</f>
        <v>74.22</v>
      </c>
      <c r="E64" s="450">
        <f t="shared" si="4"/>
        <v>0</v>
      </c>
      <c r="F64" s="450">
        <f t="shared" si="21"/>
        <v>0</v>
      </c>
      <c r="G64" s="450">
        <f t="shared" si="8"/>
        <v>0</v>
      </c>
      <c r="H64" s="450">
        <f t="shared" si="12"/>
        <v>0</v>
      </c>
      <c r="I64" s="450"/>
      <c r="J64" s="450"/>
      <c r="K64" s="450"/>
      <c r="L64" s="450"/>
      <c r="M64" s="450"/>
      <c r="N64" s="450"/>
      <c r="O64" s="450"/>
      <c r="P64" s="450"/>
      <c r="Q64" s="450"/>
      <c r="R64" s="450"/>
      <c r="S64" s="450"/>
      <c r="T64" s="450"/>
      <c r="U64" s="450"/>
      <c r="V64" s="667">
        <f t="shared" si="13"/>
        <v>0.03</v>
      </c>
      <c r="W64" s="450"/>
      <c r="X64" s="450"/>
      <c r="Y64" s="450"/>
      <c r="Z64" s="450"/>
      <c r="AA64" s="450"/>
      <c r="AB64" s="450"/>
      <c r="AC64" s="450"/>
      <c r="AD64" s="450"/>
      <c r="AE64" s="450">
        <f t="shared" si="27"/>
        <v>0.03</v>
      </c>
      <c r="AF64" s="450"/>
      <c r="AG64" s="450"/>
      <c r="AH64" s="450"/>
      <c r="AI64" s="450"/>
      <c r="AJ64" s="450"/>
      <c r="AK64" s="450"/>
      <c r="AL64" s="450">
        <v>0.03</v>
      </c>
      <c r="AM64" s="450"/>
      <c r="AN64" s="450"/>
      <c r="AO64" s="450"/>
      <c r="AP64" s="450"/>
      <c r="AQ64" s="450"/>
      <c r="AR64" s="450"/>
      <c r="AS64" s="450"/>
      <c r="AT64" s="450"/>
      <c r="AU64" s="450"/>
      <c r="AV64" s="450"/>
      <c r="AW64" s="450"/>
      <c r="AX64" s="450"/>
      <c r="AY64" s="450"/>
      <c r="AZ64" s="450"/>
      <c r="BA64" s="450"/>
      <c r="BB64" s="450"/>
      <c r="BC64" s="450"/>
      <c r="BD64" s="450"/>
      <c r="BE64" s="450"/>
      <c r="BF64" s="450"/>
      <c r="BG64" s="450"/>
      <c r="BH64" s="450">
        <f>BI64+BJ64+BK64</f>
        <v>0</v>
      </c>
      <c r="BI64" s="450"/>
      <c r="BJ64" s="450"/>
      <c r="BK64" s="450"/>
      <c r="BL64" s="450">
        <f>E64+V64</f>
        <v>0.03</v>
      </c>
      <c r="BM64" s="450">
        <f>BI67-BL64</f>
        <v>-0.03</v>
      </c>
      <c r="BN64" s="450">
        <f>D64+BM64</f>
        <v>74.19</v>
      </c>
      <c r="BO64" s="124"/>
    </row>
    <row r="65" spans="1:68" s="2" customFormat="1" ht="21.75" customHeight="1">
      <c r="A65" s="14" t="s">
        <v>221</v>
      </c>
      <c r="B65" s="14" t="s">
        <v>462</v>
      </c>
      <c r="C65" s="107" t="s">
        <v>210</v>
      </c>
      <c r="D65" s="450">
        <f>#REF!</f>
        <v>4.7</v>
      </c>
      <c r="E65" s="450">
        <f t="shared" si="4"/>
        <v>0</v>
      </c>
      <c r="F65" s="450">
        <f t="shared" si="21"/>
        <v>0</v>
      </c>
      <c r="G65" s="450">
        <f t="shared" si="8"/>
        <v>0</v>
      </c>
      <c r="H65" s="450">
        <f t="shared" si="12"/>
        <v>0</v>
      </c>
      <c r="I65" s="450"/>
      <c r="J65" s="450"/>
      <c r="K65" s="450"/>
      <c r="L65" s="450"/>
      <c r="M65" s="450"/>
      <c r="N65" s="450"/>
      <c r="O65" s="450"/>
      <c r="P65" s="450"/>
      <c r="Q65" s="450"/>
      <c r="R65" s="450"/>
      <c r="S65" s="450"/>
      <c r="T65" s="450"/>
      <c r="U65" s="450"/>
      <c r="V65" s="667">
        <f t="shared" si="13"/>
        <v>0</v>
      </c>
      <c r="W65" s="450"/>
      <c r="X65" s="450"/>
      <c r="Y65" s="450"/>
      <c r="Z65" s="450"/>
      <c r="AA65" s="450"/>
      <c r="AB65" s="450"/>
      <c r="AC65" s="450"/>
      <c r="AD65" s="450"/>
      <c r="AE65" s="450">
        <f t="shared" si="27"/>
        <v>0</v>
      </c>
      <c r="AF65" s="450"/>
      <c r="AG65" s="450"/>
      <c r="AH65" s="450"/>
      <c r="AI65" s="450"/>
      <c r="AJ65" s="450"/>
      <c r="AK65" s="450"/>
      <c r="AL65" s="450"/>
      <c r="AM65" s="450"/>
      <c r="AN65" s="450"/>
      <c r="AO65" s="450"/>
      <c r="AP65" s="450"/>
      <c r="AQ65" s="450"/>
      <c r="AR65" s="450"/>
      <c r="AS65" s="450"/>
      <c r="AT65" s="450"/>
      <c r="AU65" s="450"/>
      <c r="AV65" s="450"/>
      <c r="AW65" s="450"/>
      <c r="AX65" s="450"/>
      <c r="AY65" s="450"/>
      <c r="AZ65" s="450"/>
      <c r="BA65" s="450"/>
      <c r="BB65" s="450"/>
      <c r="BC65" s="450"/>
      <c r="BD65" s="450"/>
      <c r="BE65" s="450"/>
      <c r="BF65" s="450"/>
      <c r="BG65" s="450"/>
      <c r="BH65" s="450">
        <f>BI65+BJ65+BK65</f>
        <v>4.7</v>
      </c>
      <c r="BI65" s="450"/>
      <c r="BJ65" s="450">
        <f>D65-BL65</f>
        <v>4.7</v>
      </c>
      <c r="BK65" s="450"/>
      <c r="BL65" s="450">
        <f>E65+V65</f>
        <v>0</v>
      </c>
      <c r="BM65" s="450">
        <f>BJ67-BL65</f>
        <v>0</v>
      </c>
      <c r="BN65" s="450">
        <f>D65+BM65</f>
        <v>4.7</v>
      </c>
      <c r="BO65" s="124"/>
    </row>
    <row r="66" spans="1:68" s="2" customFormat="1" ht="21.75" customHeight="1">
      <c r="A66" s="16" t="s">
        <v>222</v>
      </c>
      <c r="B66" s="16" t="s">
        <v>492</v>
      </c>
      <c r="C66" s="136" t="s">
        <v>211</v>
      </c>
      <c r="D66" s="451"/>
      <c r="E66" s="451">
        <f t="shared" si="4"/>
        <v>0</v>
      </c>
      <c r="F66" s="451">
        <f t="shared" si="21"/>
        <v>0</v>
      </c>
      <c r="G66" s="451">
        <f t="shared" si="8"/>
        <v>0</v>
      </c>
      <c r="H66" s="451">
        <f t="shared" si="12"/>
        <v>0</v>
      </c>
      <c r="I66" s="451"/>
      <c r="J66" s="451"/>
      <c r="K66" s="451"/>
      <c r="L66" s="451"/>
      <c r="M66" s="451"/>
      <c r="N66" s="451"/>
      <c r="O66" s="451"/>
      <c r="P66" s="451"/>
      <c r="Q66" s="451"/>
      <c r="R66" s="451"/>
      <c r="S66" s="451"/>
      <c r="T66" s="451"/>
      <c r="U66" s="451"/>
      <c r="V66" s="668">
        <f t="shared" si="13"/>
        <v>0</v>
      </c>
      <c r="W66" s="451"/>
      <c r="X66" s="451"/>
      <c r="Y66" s="451"/>
      <c r="Z66" s="451"/>
      <c r="AA66" s="451"/>
      <c r="AB66" s="451"/>
      <c r="AC66" s="451"/>
      <c r="AD66" s="451"/>
      <c r="AE66" s="451">
        <f t="shared" si="27"/>
        <v>0</v>
      </c>
      <c r="AF66" s="451"/>
      <c r="AG66" s="451"/>
      <c r="AH66" s="451"/>
      <c r="AI66" s="451"/>
      <c r="AJ66" s="451"/>
      <c r="AK66" s="451"/>
      <c r="AL66" s="451"/>
      <c r="AM66" s="451"/>
      <c r="AN66" s="451"/>
      <c r="AO66" s="451"/>
      <c r="AP66" s="451"/>
      <c r="AQ66" s="451"/>
      <c r="AR66" s="451"/>
      <c r="AS66" s="451"/>
      <c r="AT66" s="451"/>
      <c r="AU66" s="451"/>
      <c r="AV66" s="451"/>
      <c r="AW66" s="451"/>
      <c r="AX66" s="451"/>
      <c r="AY66" s="451"/>
      <c r="AZ66" s="451"/>
      <c r="BA66" s="451"/>
      <c r="BB66" s="451"/>
      <c r="BC66" s="451"/>
      <c r="BD66" s="451"/>
      <c r="BE66" s="451"/>
      <c r="BF66" s="451"/>
      <c r="BG66" s="451"/>
      <c r="BH66" s="451">
        <f>BI66+BJ66+BK66</f>
        <v>0</v>
      </c>
      <c r="BI66" s="451"/>
      <c r="BJ66" s="451"/>
      <c r="BK66" s="451">
        <f>D66-BL66</f>
        <v>0</v>
      </c>
      <c r="BL66" s="451">
        <f>E66+V66</f>
        <v>0</v>
      </c>
      <c r="BM66" s="451">
        <f>D66-BL66</f>
        <v>0</v>
      </c>
      <c r="BN66" s="451">
        <f>D66+BM66</f>
        <v>0</v>
      </c>
      <c r="BO66" s="124"/>
    </row>
    <row r="67" spans="1:68" s="7" customFormat="1" ht="24.75" customHeight="1">
      <c r="A67" s="17"/>
      <c r="B67" s="17" t="s">
        <v>190</v>
      </c>
      <c r="C67" s="137"/>
      <c r="D67" s="452"/>
      <c r="E67" s="452">
        <f>E25+E63</f>
        <v>0</v>
      </c>
      <c r="F67" s="452">
        <f>F18+F22+F23+F24+F25+F63</f>
        <v>0</v>
      </c>
      <c r="G67" s="452">
        <f>G17+G18+G22+G23+G24+G25+G63</f>
        <v>0</v>
      </c>
      <c r="H67" s="452">
        <f>H15+H16+H17+H18+H22+H23+H24+H25+H63</f>
        <v>0</v>
      </c>
      <c r="I67" s="452">
        <f>I13+I14+I15+I16+I17+I18+I22+I23+I24+I25+I63</f>
        <v>0</v>
      </c>
      <c r="J67" s="452">
        <f>J12+J14+J15+J16+J17+J18+J22+J23+J24+J25+J63</f>
        <v>0</v>
      </c>
      <c r="K67" s="452">
        <f>K12+K13+K15+K16+K17+K18+K22+K23+K24+K25+K63</f>
        <v>0</v>
      </c>
      <c r="L67" s="452">
        <f>L12+L13+L14+L16+L17+L18+L22+L23+L24+L25+L63</f>
        <v>0</v>
      </c>
      <c r="M67" s="452">
        <f>M12+M13+M14+M15+M17+M18+M22+M23+M24+M25+M63</f>
        <v>0</v>
      </c>
      <c r="N67" s="452">
        <f>N12+N13+N14+N15+N16+N18+N22+N23+N24+N25+N63</f>
        <v>0</v>
      </c>
      <c r="O67" s="452">
        <f>O9+O22+O23+O24+O25+O63</f>
        <v>0</v>
      </c>
      <c r="P67" s="452">
        <f>P10+P17+P20+P21+P22+P23+P24+P25+P63</f>
        <v>0</v>
      </c>
      <c r="Q67" s="452">
        <f>Q12+Q13+Q14+Q15+Q16+Q17+Q19+Q21+Q22+Q23+Q24+Q25+Q63</f>
        <v>0</v>
      </c>
      <c r="R67" s="452">
        <f>R12+R13+R14+R15+R16+R17+R19+R20+R22+R23+R24+R25+R63</f>
        <v>0</v>
      </c>
      <c r="S67" s="452">
        <f>S9+S18+S23+S24+S25+S63</f>
        <v>0</v>
      </c>
      <c r="T67" s="452">
        <f>T9+T18+T22+T24+T25+T63</f>
        <v>0</v>
      </c>
      <c r="U67" s="452">
        <f>U9+U18+U22+U23+U25+U63</f>
        <v>0</v>
      </c>
      <c r="V67" s="453">
        <f>V8+V63</f>
        <v>2.9499999999999997</v>
      </c>
      <c r="W67" s="452">
        <f>W8+W27+W28+W29+W30+W31+W32+W33+W34+W46+W47+W48+W49+W50+W51+W52+W53+W54+W55+W56+W57+W58+W59+W60+W61+W62+W63</f>
        <v>0</v>
      </c>
      <c r="X67" s="452">
        <f>X8+X26+X28+X29+X30+X31+X32+X33+X34+X46+X47+X48+X49+X50+X51+X52+X53+X54+X55+X56+X57+X58+X59+X60+X61+X62+X63</f>
        <v>0</v>
      </c>
      <c r="Y67" s="452">
        <f>Y8+Y26+Y27+Y29+Y30+Y31+Y32+Y33+Y34+Y46+Y47+Y48+Y49+Y50+Y51+Y52+Y53+Y54+Y55+Y56+Y57+Y58+Y59+Y60+Y61+Y62+Y63</f>
        <v>0</v>
      </c>
      <c r="Z67" s="452">
        <f>Z8+Z26+Z27+Z28+Z30+Z31+Z32+Z33+Z34+Z46+Z47+Z48+Z49+Z50+Z51+Z52+Z53+Z54+Z55+Z56+Z57+Z58+Z59+Z60+Z61+Z62+Z63</f>
        <v>0</v>
      </c>
      <c r="AA67" s="452">
        <f>AA8+AA26+AA27+AA28+AA29+AA31+AA32+AA33+AA34+AA46+AA47+AA48+AA49+AA50+AA51+AA52+AA53+AA54+AA55+AA56+AA57+AA58+AA59+AA60+AA61+AA62+AA63</f>
        <v>0</v>
      </c>
      <c r="AB67" s="732">
        <f>AB8+AB26+AB27+AB28+AB29+AB30+AB32+AB33+AB34+AB46+AB47+AB48+AB49+AB50+AB51+AB52+AB53+AB54+AB55+AB56+AB57+AB58+AB59+AB60+AB61+AB62+AB63</f>
        <v>0</v>
      </c>
      <c r="AC67" s="732">
        <f>AC8+AC26+AC27+AC28+AC29+AC30+AC31+AC33+AC34+AC46+AC47+AC48+AC49+AC50+AC51+AC52+AC53+AC54+AC55+AC56+AC57+AC58+AC59+AC60+AC61+AC62+AC63</f>
        <v>0</v>
      </c>
      <c r="AD67" s="732">
        <f>AD8+AD26+AD27+AD28+AD29+AD30+AD31+AD32+AD34+AD46+AD47+AD48+AD49+AD50+AD51+AD52+AD53+AD54+AD55+AD56+AD57+AD58+AD59+AD60+AD61+AD62+AD63</f>
        <v>0</v>
      </c>
      <c r="AE67" s="732">
        <f>AE8+AE26+AE27+AE28+AE29+AE30+AE31+AE32+AE33+AE46+AE47+AE48+AE49+AE50+AE51+AE52+AE53+AE54+AE55+AE56+AE57+AE58+AE59+AE60+AE61+AE62+AE63</f>
        <v>3.23</v>
      </c>
      <c r="AF67" s="732">
        <f>AF8+AF26+AF27+AF28+AF29+AF30+AF31+AF32+AF33+AF3+AF36+AF37+AF38+AF39+AF40+AF41+AF42+AF43+AF44+AF45+AF46+AF47+AF48+AF49+AF50+AF51+AF52+AF53+AF54+AF55+AF56+AF57+AF58+AF59+AF60+AF61+AF62+AF63</f>
        <v>0</v>
      </c>
      <c r="AG67" s="732">
        <f>AG8+AG26+AG27+AG28+AG29+AG30+AG31+AG32+AG33+AG35+AG37+AG38+AG39+AG40+AG41+AG42+AG43+AG44+AG45+AG46+AG47+AG48+AG49+AG50+AG51+AG52+AG53+AG54+AG55+AG56+AG57+AG58+AG59+AG60+AG61+AG62+AG63</f>
        <v>0</v>
      </c>
      <c r="AH67" s="732">
        <f>AH8+AH26+AH27+AH28+AH29+AH30+AH31+AH32+AH33+AH35+AH36+AH38+AH39+AH40+AH41+AH42+AH43+AH44+AH45+AH46+AH47+AH48+AH49+AH50+AH51+AH52+AH53+AH54+AH55+AH56+AH57+AH58+AH59+AH60+AH61+AH62+AH63</f>
        <v>0</v>
      </c>
      <c r="AI67" s="728">
        <f>AI8+AI26+AI27+AI28+AI29+AI30+AI31+AI32+AI33+AI35+AI36+AI37+AI39+AI40+AI41+AI42+AI43+AI44+AI45+AI46+AI47+AI48+AI49+AI50+AI51+AI52+AI53+AI54+AI55+AI56+AI57+AI58+AI59+AI60+AI61+AI62+AI63</f>
        <v>0.21000000000000002</v>
      </c>
      <c r="AJ67" s="452">
        <f>AJ8+AJ26+AJ27+AJ28+AJ29+AJ30+AJ31+AJ32+AJ33+AJ35+AJ36+AJ37+AJ38+AJ40+AJ41+AJ42+AJ43+AJ44+AJ45+AJ46+AJ47+AJ48+AJ49+AJ50+AJ51+AJ52+AJ53+AJ54+AJ55+AJ56+AJ57+AJ58+AJ59+AJ60+AJ61+AJ62+AJ63</f>
        <v>0</v>
      </c>
      <c r="AK67" s="452">
        <f>AK8+AK26+AK27+AK28+AK29+AK30+AK31+AK32+AK33+AK35+AK36+AK37+AK38+AK39+AK41+AK42+AK43+AK44+AK45+AK46+AK47+AK48+AK49+AK50+AK51+AK52+AK53+AK54+AK55+AK56+AK57+AK58+AK59+AK60+AK61+AK62+AK63</f>
        <v>0</v>
      </c>
      <c r="AL67" s="728">
        <f>AL8+AL26+AL27+AL28+AL29+AL30+AL31+AL32+AL33+AL35+AL36+AL37+AL38+AL39+AL40+AL42+AL43+AL44+AL45+AL46+AL47+AL48+AL49+AL50+AL51+AL52+AL53+AL54+AL55+AL56+AL57+AL58+AL59+AL60+AL61+AL62+AL63</f>
        <v>2.13</v>
      </c>
      <c r="AM67" s="732">
        <f>AM8+AM26+AM27+AM28+AM29+AM30+AM31+AM32+AM33+AM35+AM36+AM37+AM38+AM39+AM40+AM41+AM43+AM44+AM45+AM46+AM47+AM48+AM49+AM50+AM51+AM52+AM53+AM54+AM55+AM56+AM57+AM58+AM59+AM60+AM61+AM62+AM63</f>
        <v>0</v>
      </c>
      <c r="AN67" s="732">
        <f>AN8+AN26+AN27+AN28+AN29+AN30+AN31+AN32+AN33+AN35+AN36+AN37+AN38+AN39+AN40+AN41+AN42+AN44+AN45+AN46+AN47+AN48+AN49+AN50+AN51+AN52+AN53+AN54+AN55+AN56+AN57+AN58+AN59+AN60+AN61+AN62+AN63</f>
        <v>0</v>
      </c>
      <c r="AO67" s="732">
        <f>AO8+AO26+AO27+AO28+AO29+AO30+AO31+AO32+AO33+AO35+AO36+AO37+AO38+AO39+AO40+AO41+AO42+AO43+AO45+AO46+AO47+AO48+AO49+AO50+AO51+AO52+AO53+AO54+AO55+AO56+AO57+AO58+AO59+AO60+AO61+AO62+AO63</f>
        <v>0</v>
      </c>
      <c r="AP67" s="728">
        <f>AP8+AP26+AP27+AP28+AP29+AP30+AP31+AP32+AP33+AP35+AP36+AP37+AP38+AP39+AP40+AP41+AP42+AP43+AP44+AP46+AP47+AP48+AP49+AP50+AP51+AP52+AP53+AP54+AP55+AP56+AP57+AP58+AP59+AP60+AP61+AP62+AP63</f>
        <v>1</v>
      </c>
      <c r="AQ67" s="452">
        <f>AQ8+AQ26+AQ27+AQ28+AQ29+AQ30+AQ31+AQ32+AQ33+AQ34+AQ47+AQ48+AQ49+AQ50+AQ51+AQ52+AQ53+AQ54+AQ55+AQ56+AQ57+AQ58+AQ59+AQ60+AQ61+AQ62+AQ63</f>
        <v>0</v>
      </c>
      <c r="AR67" s="452">
        <f>AR8+AR26+AR27+AR28+AR29+AR30+AR31+AR32+AR33+AR34+AR46+AR48+AR49+AR50+AR51+AR52+AR53+AR54+AR55+AR56+AR57+AR58+AR59+AR60+AR61+AR62+AR63</f>
        <v>0</v>
      </c>
      <c r="AS67" s="452">
        <f>AS8+AS26+AS27+AS28+AS29+AS30+AS31+AS32+AS33+AS34+AS46+AS47+AS49+AS50+AS51+AS52+AS53+AS54+AS55+AS56+AS57+AS58+AS59+AS60+AS61+AS62+AS63</f>
        <v>0</v>
      </c>
      <c r="AT67" s="452">
        <f>AT8+AT26+AT27+AT28+AT29+AT30+AT31+AT32+AT33+AT34+AT46+AT47+AT48+AT50+AT51+AT52+AT53+AT54+AT55+AT56+AT57+AT58+AT59+AT60+AT61+AT62+AT63</f>
        <v>0.66999999999999993</v>
      </c>
      <c r="AU67" s="452">
        <f>AU8+AU26+AU27+AU28+AU29+AU30+AU31+AU32+AU33+AU34+AU46+AU47+AU48+AU49+AU51+AU52+AU53+AU54+AU55+AU56+AU57+AU58+AU59+AU60+AU61+AU62+AU63</f>
        <v>0</v>
      </c>
      <c r="AV67" s="452">
        <f>AV8+AV26+AV27+AV28+AV29+AV30+AV31+AV32+AV33+AV34+AV46+AV47+AV48+AV49+AV50+AV52+AV53+AV54+AV55+AV56+AV57+AV58+AV59+AV60+AV61+AV62+AV63</f>
        <v>0</v>
      </c>
      <c r="AW67" s="452">
        <f>AW8+AW26+AW27+AW28+AW29+AW30+AW31+AW32+AW33+AW34+AW46+AW47+AW48+AW49+AW50+AW51+AW53+AW54+AW55+AW56+AW57+AW58+AW59+AW60+AW61+AW62+AW63</f>
        <v>0</v>
      </c>
      <c r="AX67" s="452">
        <f>AX8+AX26+AX27+AX28+AX29+AX30+AX31+AX32+AX33+AX34+AX46+AX47+AX48+AX49+AX50+AX51+AX52+AX54+AX55+AX56+AX57+AX58+AX59+AX60+AX61+AX62+AX63</f>
        <v>0</v>
      </c>
      <c r="AY67" s="452">
        <f>AY8+AY26+AY27+AY28+AY29+AY30+AY31+AY32+AY33+AY34+AY46+AY47+AY48+AY49+AY50+AY51+AY52+AY53+AY55+AY56+AY57+AY58+AY59+AY60+AY61+AY62+AY63</f>
        <v>0</v>
      </c>
      <c r="AZ67" s="452">
        <f>AZ8+AZ26+AZ27+AZ28+AZ29+AZ30+AZ31+AZ32+AZ33+AZ34+AZ46+AZ47+AZ48+AZ49+AZ50+AZ51+AZ52+AZ53+AZ54+AZ56+AZ57+AZ58+AZ59+AZ60+AZ61+AZ62+AZ63</f>
        <v>0</v>
      </c>
      <c r="BA67" s="452">
        <f>BA8+BA26+BA27+BA28+BA29+BA30+BA31+BA32+BA33+BA34+BA46+BA47+BA48+BA49+BA50+BA51+BA52+BA53+BA54+BA55+BA57+BA58+BA59+BA60+BA61+BA62+BA63</f>
        <v>0</v>
      </c>
      <c r="BB67" s="452">
        <f>BB8+BB26+BB27+BB28+BB29+BB30+BB31+BB32+BB33+BB34+BB46+BB47+BB48+BB49+BB50+BB51+BB52+BB53+BB54+BB55+BB56+BB58+BB59+BB60+BB61+BB62+BB63</f>
        <v>0</v>
      </c>
      <c r="BC67" s="452">
        <f>BC8+BC26+BC27+BC28+BC29+BC30+BC31+BC32+BC33+BC34+BC46+BC47+BC48+BC49+BC50+BC51+BC52+BC53+BC54+BC55+BC56+BC57+BC59+BC60+BC61+BC62+BC63</f>
        <v>0</v>
      </c>
      <c r="BD67" s="452">
        <f>BD8+BD26+BD27+BD28+BD29+BD30+BD31+BD32+BD33+BD34+BD46+BD47+BD48+BD49+BD50+BD51+BD52+BD53+BD54+BD55+BD56+BD57+BD58+BD60+BD61+BD62+BD63</f>
        <v>0</v>
      </c>
      <c r="BE67" s="452">
        <f>BE8+BE26+BE27+BE28+BE29+BE30+BE31+BE32+BE33+BE34+BE46+BE47+BE48+BE49+BE50+BE51+BE52+BE53+BE54+BE55+BE56+BE57+BE58+BE59+BE61+BE62+BE63</f>
        <v>0</v>
      </c>
      <c r="BF67" s="452">
        <f>BF8+BF26+BF27+BF28+BF29+BF30+BF31+BF32+BF33+BF34+BF46+BF47+BF48+BF49+BF50+BF51+BF52+BF53+BF54+BF55+BF56+BF57+BF58+BF59+BF60+BF62+BF63</f>
        <v>0</v>
      </c>
      <c r="BG67" s="452">
        <f>BG8+BG26+BG27+BG28+BG29+BG30+BG31+BG32+BG33+BG34+BG46+BG47+BG48+BG49+BG50+BG51+BG52+BG53+BG54+BG55+BG56+BG57+BG58+BG59+BG60+BG61+BG63</f>
        <v>0</v>
      </c>
      <c r="BH67" s="452">
        <f>BH8+BH25</f>
        <v>0</v>
      </c>
      <c r="BI67" s="452">
        <f>BI8+BI25+BI65+BI66</f>
        <v>0</v>
      </c>
      <c r="BJ67" s="452">
        <f>BJ8+BJ25+BJ64+BJ66</f>
        <v>0</v>
      </c>
      <c r="BK67" s="452">
        <f>BK8+BK25+BK64+BK65</f>
        <v>0</v>
      </c>
      <c r="BL67" s="452"/>
      <c r="BM67" s="452"/>
      <c r="BN67" s="452"/>
      <c r="BO67" s="134"/>
    </row>
    <row r="68" spans="1:68" s="8" customFormat="1" ht="31.5" customHeight="1">
      <c r="A68" s="18"/>
      <c r="B68" s="18" t="s">
        <v>695</v>
      </c>
      <c r="C68" s="138"/>
      <c r="D68" s="453">
        <f>BN7</f>
        <v>5030.5495000000001</v>
      </c>
      <c r="E68" s="453">
        <f>BN8</f>
        <v>4305.42</v>
      </c>
      <c r="F68" s="453">
        <f>BN9</f>
        <v>455.11</v>
      </c>
      <c r="G68" s="453">
        <f>BN10</f>
        <v>256.95</v>
      </c>
      <c r="H68" s="453">
        <f>BN11</f>
        <v>215.8</v>
      </c>
      <c r="I68" s="453">
        <f>BN12</f>
        <v>0</v>
      </c>
      <c r="J68" s="453">
        <f>BN13</f>
        <v>215.8</v>
      </c>
      <c r="K68" s="453">
        <f>BN14</f>
        <v>0</v>
      </c>
      <c r="L68" s="453">
        <f>BN15</f>
        <v>0</v>
      </c>
      <c r="M68" s="453">
        <f>BN16</f>
        <v>41.15</v>
      </c>
      <c r="N68" s="453">
        <f>BN17</f>
        <v>198.16</v>
      </c>
      <c r="O68" s="453">
        <f>BN18</f>
        <v>3847.89</v>
      </c>
      <c r="P68" s="453">
        <f>BN19</f>
        <v>2437.75</v>
      </c>
      <c r="Q68" s="453">
        <f>BN20</f>
        <v>0</v>
      </c>
      <c r="R68" s="453">
        <f>BN21</f>
        <v>1410.1399999999999</v>
      </c>
      <c r="S68" s="453">
        <f>BN22</f>
        <v>1.54</v>
      </c>
      <c r="T68" s="453">
        <f>BN23</f>
        <v>0</v>
      </c>
      <c r="U68" s="453">
        <f>BN24</f>
        <v>0.88</v>
      </c>
      <c r="V68" s="453">
        <f>BN25</f>
        <v>646.23949999999991</v>
      </c>
      <c r="W68" s="453">
        <f>BN26</f>
        <v>44.83</v>
      </c>
      <c r="X68" s="453">
        <f>BN27</f>
        <v>0</v>
      </c>
      <c r="Y68" s="453">
        <f>BN28</f>
        <v>0</v>
      </c>
      <c r="Z68" s="453">
        <f>BN29</f>
        <v>0</v>
      </c>
      <c r="AA68" s="453">
        <f>BN30</f>
        <v>0</v>
      </c>
      <c r="AB68" s="453">
        <f>BN31</f>
        <v>24.09</v>
      </c>
      <c r="AC68" s="453">
        <f>BN32</f>
        <v>0</v>
      </c>
      <c r="AD68" s="453">
        <f>BN33</f>
        <v>0</v>
      </c>
      <c r="AE68" s="453">
        <f>BN34</f>
        <v>96.969500000000011</v>
      </c>
      <c r="AF68" s="453">
        <f>BN35</f>
        <v>0</v>
      </c>
      <c r="AG68" s="453">
        <f>BN36</f>
        <v>0.25</v>
      </c>
      <c r="AH68" s="453">
        <f>BN37</f>
        <v>1.7795000000000001</v>
      </c>
      <c r="AI68" s="453">
        <f>BN38</f>
        <v>0.76</v>
      </c>
      <c r="AJ68" s="453">
        <f>BN39</f>
        <v>0</v>
      </c>
      <c r="AK68" s="453">
        <f>BN40</f>
        <v>0</v>
      </c>
      <c r="AL68" s="453">
        <f>BN41</f>
        <v>89</v>
      </c>
      <c r="AM68" s="453">
        <f>BN42</f>
        <v>2.96</v>
      </c>
      <c r="AN68" s="453">
        <f>BN43</f>
        <v>0.12</v>
      </c>
      <c r="AO68" s="453">
        <f>BN44</f>
        <v>0.09</v>
      </c>
      <c r="AP68" s="453">
        <f>BN45</f>
        <v>2.0099999999999998</v>
      </c>
      <c r="AQ68" s="453">
        <f>BN46</f>
        <v>0</v>
      </c>
      <c r="AR68" s="453">
        <f>BN47</f>
        <v>0</v>
      </c>
      <c r="AS68" s="453">
        <f>BN48</f>
        <v>0</v>
      </c>
      <c r="AT68" s="453">
        <f>BN49</f>
        <v>12.62</v>
      </c>
      <c r="AU68" s="453">
        <f>BN50</f>
        <v>0</v>
      </c>
      <c r="AV68" s="453">
        <f>BN51</f>
        <v>2.15</v>
      </c>
      <c r="AW68" s="453">
        <f>BN52</f>
        <v>0</v>
      </c>
      <c r="AX68" s="453">
        <f>BN53</f>
        <v>0</v>
      </c>
      <c r="AY68" s="453">
        <f>BN54</f>
        <v>0</v>
      </c>
      <c r="AZ68" s="453">
        <f>BN55</f>
        <v>3.54</v>
      </c>
      <c r="BA68" s="453">
        <f>BN56</f>
        <v>0</v>
      </c>
      <c r="BB68" s="453">
        <f>BN57</f>
        <v>0.47</v>
      </c>
      <c r="BC68" s="453">
        <f>BN58</f>
        <v>0</v>
      </c>
      <c r="BD68" s="453">
        <f>BN59</f>
        <v>0</v>
      </c>
      <c r="BE68" s="453">
        <f>BN60</f>
        <v>106</v>
      </c>
      <c r="BF68" s="453">
        <f>BN61</f>
        <v>355.57</v>
      </c>
      <c r="BG68" s="453">
        <f>BN62</f>
        <v>0</v>
      </c>
      <c r="BH68" s="453">
        <f>BN63</f>
        <v>78.89</v>
      </c>
      <c r="BI68" s="453">
        <f>BN64</f>
        <v>74.19</v>
      </c>
      <c r="BJ68" s="453">
        <f>BN65</f>
        <v>4.7</v>
      </c>
      <c r="BK68" s="453">
        <f>BN66</f>
        <v>0</v>
      </c>
      <c r="BL68" s="453"/>
      <c r="BM68" s="453"/>
      <c r="BN68" s="453"/>
      <c r="BO68" s="135"/>
      <c r="BP68" s="131"/>
    </row>
    <row r="70" spans="1:68" ht="18" customHeight="1">
      <c r="A70" s="1300" t="s">
        <v>10</v>
      </c>
      <c r="B70" s="1300"/>
    </row>
    <row r="71" spans="1:68" ht="28.5" customHeight="1">
      <c r="A71" s="1300" t="s">
        <v>321</v>
      </c>
      <c r="B71" s="1300"/>
      <c r="C71" s="1300"/>
      <c r="D71" s="1300"/>
      <c r="E71" s="1300"/>
      <c r="F71" s="1300"/>
      <c r="G71" s="1300"/>
      <c r="H71" s="1300"/>
      <c r="I71" s="1300"/>
      <c r="J71" s="1300"/>
      <c r="K71" s="1300"/>
      <c r="L71" s="1300"/>
      <c r="M71" s="1300"/>
      <c r="N71" s="1300"/>
      <c r="O71" s="1300"/>
      <c r="P71" s="1300"/>
      <c r="Q71" s="1300"/>
      <c r="R71" s="1300"/>
      <c r="S71" s="1300"/>
      <c r="T71" s="1300"/>
      <c r="U71" s="1300"/>
      <c r="V71" s="1300"/>
      <c r="W71" s="1300"/>
      <c r="X71" s="1300"/>
      <c r="Y71" s="1300"/>
      <c r="Z71" s="1300"/>
      <c r="AA71" s="1300"/>
      <c r="AB71" s="1300"/>
      <c r="AC71" s="1300"/>
      <c r="AD71" s="1300"/>
      <c r="AE71" s="1300"/>
      <c r="AF71" s="1300"/>
      <c r="AG71" s="1300"/>
      <c r="AH71" s="1300"/>
      <c r="AI71" s="1300"/>
      <c r="AJ71" s="1300"/>
      <c r="AK71" s="1300"/>
      <c r="AL71" s="1300"/>
      <c r="AM71" s="1300"/>
      <c r="AN71" s="1300"/>
      <c r="AO71" s="1300"/>
      <c r="AP71" s="1300"/>
      <c r="AQ71" s="1300"/>
      <c r="AR71" s="1300"/>
      <c r="AS71" s="1300"/>
    </row>
    <row r="72" spans="1:68" ht="24.75" customHeight="1">
      <c r="A72" s="1300" t="s">
        <v>322</v>
      </c>
      <c r="B72" s="1300"/>
      <c r="C72" s="1300"/>
      <c r="D72" s="1300"/>
      <c r="E72" s="1300"/>
      <c r="F72" s="1300"/>
      <c r="G72" s="1300"/>
      <c r="H72" s="1300"/>
      <c r="I72" s="1300"/>
      <c r="J72" s="1300"/>
      <c r="K72" s="1300"/>
      <c r="L72" s="1300"/>
      <c r="M72" s="1300"/>
      <c r="N72" s="1300"/>
      <c r="O72" s="1300"/>
      <c r="P72" s="1300"/>
      <c r="Q72" s="1300"/>
      <c r="R72" s="1300"/>
      <c r="S72" s="1300"/>
      <c r="T72" s="1300"/>
      <c r="U72" s="1300"/>
      <c r="V72" s="1300"/>
      <c r="W72" s="1300"/>
      <c r="X72" s="1300"/>
      <c r="Y72" s="1300"/>
      <c r="Z72" s="1300"/>
      <c r="AA72" s="1300"/>
      <c r="AB72" s="1300"/>
      <c r="AC72" s="1300"/>
      <c r="AD72" s="1300"/>
      <c r="AE72" s="1300"/>
      <c r="AF72" s="1300"/>
      <c r="AG72" s="1300"/>
      <c r="AH72" s="1300"/>
      <c r="AI72" s="1300"/>
      <c r="AJ72" s="1300"/>
      <c r="AK72" s="1300"/>
      <c r="AL72" s="1300"/>
      <c r="AM72" s="1300"/>
      <c r="AN72" s="1300"/>
      <c r="AO72" s="1300"/>
      <c r="AP72" s="1300"/>
      <c r="AQ72" s="1300"/>
      <c r="AR72" s="1300"/>
      <c r="AS72" s="1300"/>
    </row>
    <row r="73" spans="1:68" ht="21.75" customHeight="1">
      <c r="AR73" s="1300" t="s">
        <v>138</v>
      </c>
      <c r="AS73" s="1300"/>
    </row>
    <row r="74" spans="1:68" ht="31.5" customHeight="1">
      <c r="A74" s="1300" t="s">
        <v>0</v>
      </c>
      <c r="B74" s="1300" t="s">
        <v>12</v>
      </c>
      <c r="C74" s="1300" t="s">
        <v>13</v>
      </c>
      <c r="D74" s="1300" t="s">
        <v>324</v>
      </c>
      <c r="E74" s="1300" t="s">
        <v>326</v>
      </c>
      <c r="F74" s="1300"/>
      <c r="G74" s="1300"/>
      <c r="H74" s="1300"/>
      <c r="I74" s="1300"/>
      <c r="J74" s="1300"/>
      <c r="K74" s="1300"/>
      <c r="L74" s="1300"/>
      <c r="M74" s="1300"/>
      <c r="N74" s="1300"/>
      <c r="O74" s="1300"/>
      <c r="P74" s="1300"/>
      <c r="Q74" s="1300"/>
      <c r="R74" s="1300"/>
      <c r="S74" s="1300"/>
      <c r="T74" s="1300"/>
      <c r="U74" s="1300"/>
      <c r="V74" s="1300"/>
      <c r="W74" s="1300"/>
      <c r="X74" s="1300"/>
      <c r="Y74" s="1300"/>
      <c r="Z74" s="1300"/>
      <c r="AA74" s="1300"/>
      <c r="AB74" s="1300"/>
      <c r="AC74" s="1300"/>
      <c r="AD74" s="1300"/>
      <c r="AE74" s="1300"/>
      <c r="AF74" s="1300"/>
      <c r="AG74" s="1300"/>
      <c r="AH74" s="1300"/>
      <c r="AI74" s="1300"/>
      <c r="AJ74" s="1300"/>
      <c r="AK74" s="1300"/>
      <c r="AL74" s="1300"/>
      <c r="AM74" s="1300"/>
      <c r="AN74" s="1300"/>
      <c r="AO74" s="1300"/>
      <c r="AP74" s="1300"/>
      <c r="AQ74" s="1300"/>
      <c r="AR74" s="1300" t="s">
        <v>191</v>
      </c>
      <c r="AS74" s="1300" t="s">
        <v>323</v>
      </c>
    </row>
    <row r="75" spans="1:68" ht="30" customHeight="1">
      <c r="A75" s="1300"/>
      <c r="B75" s="1300"/>
      <c r="C75" s="1300"/>
      <c r="D75" s="1300"/>
      <c r="E75" t="s">
        <v>15</v>
      </c>
      <c r="F75" t="s">
        <v>18</v>
      </c>
      <c r="G75" t="s">
        <v>20</v>
      </c>
      <c r="H75" t="s">
        <v>23</v>
      </c>
      <c r="I75" t="s">
        <v>26</v>
      </c>
      <c r="J75" t="s">
        <v>29</v>
      </c>
      <c r="K75" t="s">
        <v>32</v>
      </c>
      <c r="L75" t="s">
        <v>35</v>
      </c>
      <c r="M75" t="s">
        <v>38</v>
      </c>
      <c r="N75" t="s">
        <v>41</v>
      </c>
      <c r="O75" t="s">
        <v>44</v>
      </c>
      <c r="P75" t="s">
        <v>46</v>
      </c>
      <c r="Q75" t="s">
        <v>49</v>
      </c>
      <c r="R75" t="s">
        <v>52</v>
      </c>
      <c r="S75" t="s">
        <v>55</v>
      </c>
      <c r="T75" t="s">
        <v>58</v>
      </c>
      <c r="U75" t="s">
        <v>61</v>
      </c>
      <c r="V75" s="103" t="s">
        <v>64</v>
      </c>
      <c r="W75" t="s">
        <v>67</v>
      </c>
      <c r="X75" t="s">
        <v>70</v>
      </c>
      <c r="Y75" t="s">
        <v>72</v>
      </c>
      <c r="Z75" t="s">
        <v>75</v>
      </c>
      <c r="AA75" t="s">
        <v>78</v>
      </c>
      <c r="AB75" t="s">
        <v>81</v>
      </c>
      <c r="AC75" t="s">
        <v>84</v>
      </c>
      <c r="AD75" t="s">
        <v>87</v>
      </c>
      <c r="AE75" t="s">
        <v>90</v>
      </c>
      <c r="AF75" t="s">
        <v>93</v>
      </c>
      <c r="AG75" t="s">
        <v>96</v>
      </c>
      <c r="AH75" t="s">
        <v>99</v>
      </c>
      <c r="AI75" t="s">
        <v>101</v>
      </c>
      <c r="AJ75" t="s">
        <v>104</v>
      </c>
      <c r="AK75" t="s">
        <v>107</v>
      </c>
      <c r="AL75" t="s">
        <v>110</v>
      </c>
      <c r="AM75" t="s">
        <v>113</v>
      </c>
      <c r="AN75" t="s">
        <v>116</v>
      </c>
      <c r="AO75" t="s">
        <v>119</v>
      </c>
      <c r="AP75" t="s">
        <v>122</v>
      </c>
      <c r="AQ75" t="s">
        <v>124</v>
      </c>
      <c r="AR75" s="1300"/>
      <c r="AS75" s="1300"/>
    </row>
    <row r="76" spans="1:68" ht="27.75" customHeight="1">
      <c r="B76" t="s">
        <v>189</v>
      </c>
      <c r="D76">
        <f>D77+D88+D115</f>
        <v>5030.5495000000001</v>
      </c>
      <c r="E76">
        <f t="shared" ref="E76:AS76" si="33">E77+E88+E115</f>
        <v>4305.42</v>
      </c>
      <c r="F76">
        <f t="shared" si="33"/>
        <v>215.8</v>
      </c>
      <c r="G76">
        <f t="shared" si="33"/>
        <v>0</v>
      </c>
      <c r="H76">
        <f t="shared" si="33"/>
        <v>41.15</v>
      </c>
      <c r="I76">
        <f t="shared" si="33"/>
        <v>198.16</v>
      </c>
      <c r="J76">
        <f>J77+J88+J115</f>
        <v>2437.75</v>
      </c>
      <c r="K76">
        <f t="shared" si="33"/>
        <v>-1.6400000000000001</v>
      </c>
      <c r="L76">
        <f t="shared" si="33"/>
        <v>1411.78</v>
      </c>
      <c r="M76">
        <f t="shared" si="33"/>
        <v>1.54</v>
      </c>
      <c r="N76">
        <f t="shared" si="33"/>
        <v>0</v>
      </c>
      <c r="O76">
        <f t="shared" si="33"/>
        <v>0.88</v>
      </c>
      <c r="P76">
        <f t="shared" si="33"/>
        <v>646.23950000000002</v>
      </c>
      <c r="Q76">
        <f t="shared" si="33"/>
        <v>44.83</v>
      </c>
      <c r="R76">
        <f t="shared" si="33"/>
        <v>0</v>
      </c>
      <c r="S76">
        <f t="shared" si="33"/>
        <v>0</v>
      </c>
      <c r="T76">
        <f t="shared" si="33"/>
        <v>0</v>
      </c>
      <c r="U76">
        <f t="shared" si="33"/>
        <v>0</v>
      </c>
      <c r="V76" s="103">
        <f t="shared" si="33"/>
        <v>24.09</v>
      </c>
      <c r="W76">
        <f t="shared" si="33"/>
        <v>0</v>
      </c>
      <c r="X76">
        <f t="shared" si="33"/>
        <v>0</v>
      </c>
      <c r="Y76">
        <f t="shared" si="33"/>
        <v>96.969500000000011</v>
      </c>
      <c r="Z76">
        <f t="shared" si="33"/>
        <v>0</v>
      </c>
      <c r="AA76">
        <f t="shared" si="33"/>
        <v>0</v>
      </c>
      <c r="AB76">
        <f t="shared" si="33"/>
        <v>0</v>
      </c>
      <c r="AC76">
        <f t="shared" si="33"/>
        <v>12.62</v>
      </c>
      <c r="AD76">
        <f t="shared" si="33"/>
        <v>0</v>
      </c>
      <c r="AE76">
        <f t="shared" si="33"/>
        <v>2.15</v>
      </c>
      <c r="AF76">
        <f t="shared" si="33"/>
        <v>0</v>
      </c>
      <c r="AG76">
        <f t="shared" si="33"/>
        <v>0</v>
      </c>
      <c r="AH76">
        <f t="shared" si="33"/>
        <v>0</v>
      </c>
      <c r="AI76">
        <f t="shared" si="33"/>
        <v>3.54</v>
      </c>
      <c r="AJ76">
        <f t="shared" si="33"/>
        <v>0</v>
      </c>
      <c r="AK76">
        <f t="shared" si="33"/>
        <v>0.47</v>
      </c>
      <c r="AL76">
        <f t="shared" si="33"/>
        <v>0</v>
      </c>
      <c r="AM76">
        <f t="shared" si="33"/>
        <v>0</v>
      </c>
      <c r="AN76">
        <f t="shared" si="33"/>
        <v>106</v>
      </c>
      <c r="AO76">
        <f t="shared" si="33"/>
        <v>355.57</v>
      </c>
      <c r="AP76">
        <f t="shared" si="33"/>
        <v>0</v>
      </c>
      <c r="AQ76">
        <f t="shared" si="33"/>
        <v>0.03</v>
      </c>
      <c r="AS76">
        <f t="shared" si="33"/>
        <v>5030.5495000000001</v>
      </c>
    </row>
    <row r="77" spans="1:68" ht="20.25" customHeight="1">
      <c r="A77">
        <v>1</v>
      </c>
      <c r="B77" t="s">
        <v>14</v>
      </c>
      <c r="C77" t="s">
        <v>15</v>
      </c>
      <c r="D77">
        <f>D78+D80+D81+D82+D83+D84+D85+D86+D87</f>
        <v>4308.34</v>
      </c>
      <c r="E77">
        <f t="shared" ref="E77:AS77" si="34">E78+E80+E81+E82+E83+E84+E85+E86+E87</f>
        <v>4305.42</v>
      </c>
      <c r="F77">
        <f t="shared" si="34"/>
        <v>215.8</v>
      </c>
      <c r="G77">
        <f t="shared" si="34"/>
        <v>0</v>
      </c>
      <c r="H77">
        <f t="shared" si="34"/>
        <v>41.15</v>
      </c>
      <c r="I77">
        <f t="shared" si="34"/>
        <v>198.16</v>
      </c>
      <c r="J77">
        <f t="shared" si="34"/>
        <v>2437.75</v>
      </c>
      <c r="K77">
        <f t="shared" si="34"/>
        <v>-1.6400000000000001</v>
      </c>
      <c r="L77">
        <f t="shared" si="34"/>
        <v>1411.78</v>
      </c>
      <c r="M77">
        <f t="shared" si="34"/>
        <v>1.54</v>
      </c>
      <c r="N77">
        <f t="shared" si="34"/>
        <v>0</v>
      </c>
      <c r="O77">
        <f t="shared" si="34"/>
        <v>0.88</v>
      </c>
      <c r="P77">
        <f>P78+P80+P81+P82+P83+P84+P85+P86+P87</f>
        <v>2.92</v>
      </c>
      <c r="Q77">
        <f t="shared" si="34"/>
        <v>0</v>
      </c>
      <c r="R77">
        <f t="shared" si="34"/>
        <v>0</v>
      </c>
      <c r="S77">
        <f t="shared" si="34"/>
        <v>0</v>
      </c>
      <c r="T77">
        <f t="shared" si="34"/>
        <v>0</v>
      </c>
      <c r="U77">
        <f t="shared" si="34"/>
        <v>0</v>
      </c>
      <c r="V77" s="103">
        <f t="shared" si="34"/>
        <v>0</v>
      </c>
      <c r="W77">
        <f t="shared" si="34"/>
        <v>0</v>
      </c>
      <c r="X77">
        <f t="shared" si="34"/>
        <v>0</v>
      </c>
      <c r="Y77">
        <f t="shared" si="34"/>
        <v>2.62</v>
      </c>
      <c r="Z77">
        <f t="shared" si="34"/>
        <v>0</v>
      </c>
      <c r="AA77">
        <f t="shared" si="34"/>
        <v>0</v>
      </c>
      <c r="AB77">
        <f t="shared" si="34"/>
        <v>0</v>
      </c>
      <c r="AC77">
        <f t="shared" si="34"/>
        <v>0.3</v>
      </c>
      <c r="AD77">
        <f t="shared" si="34"/>
        <v>0</v>
      </c>
      <c r="AE77">
        <f t="shared" si="34"/>
        <v>0</v>
      </c>
      <c r="AF77">
        <f t="shared" si="34"/>
        <v>0</v>
      </c>
      <c r="AG77">
        <f t="shared" si="34"/>
        <v>0</v>
      </c>
      <c r="AH77">
        <f t="shared" si="34"/>
        <v>0</v>
      </c>
      <c r="AI77">
        <f t="shared" si="34"/>
        <v>0</v>
      </c>
      <c r="AJ77">
        <f t="shared" si="34"/>
        <v>0</v>
      </c>
      <c r="AK77">
        <f t="shared" si="34"/>
        <v>0</v>
      </c>
      <c r="AL77">
        <f t="shared" si="34"/>
        <v>0</v>
      </c>
      <c r="AM77">
        <f t="shared" si="34"/>
        <v>0</v>
      </c>
      <c r="AN77">
        <f t="shared" si="34"/>
        <v>0</v>
      </c>
      <c r="AO77">
        <f t="shared" si="34"/>
        <v>0</v>
      </c>
      <c r="AP77">
        <f t="shared" si="34"/>
        <v>0</v>
      </c>
      <c r="AQ77">
        <f t="shared" si="34"/>
        <v>0</v>
      </c>
      <c r="AR77">
        <f>P77</f>
        <v>2.92</v>
      </c>
      <c r="AS77">
        <f t="shared" si="34"/>
        <v>4305.42</v>
      </c>
    </row>
    <row r="78" spans="1:68" ht="20.25" customHeight="1">
      <c r="A78" t="s">
        <v>16</v>
      </c>
      <c r="B78" t="s">
        <v>17</v>
      </c>
      <c r="C78" t="s">
        <v>18</v>
      </c>
      <c r="D78">
        <f>D11</f>
        <v>216.71</v>
      </c>
      <c r="E78">
        <f>F78+H78+I78+J78+K78+L78+M78+N78+O78</f>
        <v>215.8</v>
      </c>
      <c r="F78">
        <f>D78-AR78</f>
        <v>215.8</v>
      </c>
      <c r="G78">
        <f>I13</f>
        <v>0</v>
      </c>
      <c r="H78">
        <f>M11</f>
        <v>0</v>
      </c>
      <c r="I78">
        <f>N11</f>
        <v>0</v>
      </c>
      <c r="J78">
        <f t="shared" ref="J78:O79" si="35">P11</f>
        <v>0</v>
      </c>
      <c r="K78">
        <f t="shared" si="35"/>
        <v>0</v>
      </c>
      <c r="L78">
        <f t="shared" si="35"/>
        <v>0</v>
      </c>
      <c r="M78">
        <f t="shared" si="35"/>
        <v>0</v>
      </c>
      <c r="N78">
        <f t="shared" si="35"/>
        <v>0</v>
      </c>
      <c r="O78">
        <f t="shared" si="35"/>
        <v>0</v>
      </c>
      <c r="P78">
        <f>SUM(Q78:AP78)</f>
        <v>0.91</v>
      </c>
      <c r="Q78">
        <f t="shared" ref="Q78:Y79" si="36">W11</f>
        <v>0</v>
      </c>
      <c r="R78">
        <f t="shared" si="36"/>
        <v>0</v>
      </c>
      <c r="S78">
        <f t="shared" si="36"/>
        <v>0</v>
      </c>
      <c r="T78">
        <f t="shared" si="36"/>
        <v>0</v>
      </c>
      <c r="U78">
        <f t="shared" si="36"/>
        <v>0</v>
      </c>
      <c r="V78" s="103">
        <f t="shared" si="36"/>
        <v>0</v>
      </c>
      <c r="W78">
        <f t="shared" si="36"/>
        <v>0</v>
      </c>
      <c r="X78">
        <f t="shared" si="36"/>
        <v>0</v>
      </c>
      <c r="Y78">
        <f t="shared" si="36"/>
        <v>0.91</v>
      </c>
      <c r="Z78">
        <f>AQ11</f>
        <v>0</v>
      </c>
      <c r="AA78">
        <f t="shared" ref="AA78:AQ79" si="37">AR11</f>
        <v>0</v>
      </c>
      <c r="AB78">
        <f t="shared" si="37"/>
        <v>0</v>
      </c>
      <c r="AC78">
        <f t="shared" si="37"/>
        <v>0</v>
      </c>
      <c r="AD78">
        <f t="shared" si="37"/>
        <v>0</v>
      </c>
      <c r="AE78">
        <f t="shared" si="37"/>
        <v>0</v>
      </c>
      <c r="AF78">
        <f t="shared" si="37"/>
        <v>0</v>
      </c>
      <c r="AG78">
        <f t="shared" si="37"/>
        <v>0</v>
      </c>
      <c r="AH78">
        <f t="shared" si="37"/>
        <v>0</v>
      </c>
      <c r="AI78">
        <f t="shared" si="37"/>
        <v>0</v>
      </c>
      <c r="AJ78">
        <f t="shared" si="37"/>
        <v>0</v>
      </c>
      <c r="AK78">
        <f t="shared" si="37"/>
        <v>0</v>
      </c>
      <c r="AL78">
        <f t="shared" si="37"/>
        <v>0</v>
      </c>
      <c r="AM78">
        <f t="shared" si="37"/>
        <v>0</v>
      </c>
      <c r="AN78">
        <f t="shared" si="37"/>
        <v>0</v>
      </c>
      <c r="AO78">
        <f t="shared" si="37"/>
        <v>0</v>
      </c>
      <c r="AP78">
        <f t="shared" si="37"/>
        <v>0</v>
      </c>
      <c r="AQ78">
        <f t="shared" si="37"/>
        <v>0</v>
      </c>
      <c r="AR78">
        <f>H78+I78+J78+K78+L78+M78+N78+O78+P78+AQ78</f>
        <v>0.91</v>
      </c>
      <c r="AS78">
        <f>D78+F116-AR78</f>
        <v>215.8</v>
      </c>
    </row>
    <row r="79" spans="1:68" ht="20.25" customHeight="1">
      <c r="B79" t="s">
        <v>19</v>
      </c>
      <c r="C79" t="s">
        <v>20</v>
      </c>
      <c r="D79">
        <f>D12</f>
        <v>0</v>
      </c>
      <c r="E79">
        <f t="shared" ref="E79:E114" si="38">F79+H79+I79+J79+K79+L79+M79+N79+O79</f>
        <v>0</v>
      </c>
      <c r="G79">
        <f>D79-AR79</f>
        <v>0</v>
      </c>
      <c r="H79">
        <f>M12</f>
        <v>0</v>
      </c>
      <c r="I79">
        <f>N12</f>
        <v>0</v>
      </c>
      <c r="J79">
        <f t="shared" si="35"/>
        <v>0</v>
      </c>
      <c r="K79">
        <f t="shared" si="35"/>
        <v>0</v>
      </c>
      <c r="L79">
        <f t="shared" si="35"/>
        <v>0</v>
      </c>
      <c r="M79">
        <f t="shared" si="35"/>
        <v>0</v>
      </c>
      <c r="N79">
        <f t="shared" si="35"/>
        <v>0</v>
      </c>
      <c r="O79">
        <f t="shared" si="35"/>
        <v>0</v>
      </c>
      <c r="P79">
        <f t="shared" ref="P79:P87" si="39">SUM(Q79:AP79)</f>
        <v>0</v>
      </c>
      <c r="Q79">
        <f t="shared" si="36"/>
        <v>0</v>
      </c>
      <c r="R79">
        <f t="shared" si="36"/>
        <v>0</v>
      </c>
      <c r="S79">
        <f t="shared" si="36"/>
        <v>0</v>
      </c>
      <c r="T79">
        <f t="shared" si="36"/>
        <v>0</v>
      </c>
      <c r="U79">
        <f t="shared" si="36"/>
        <v>0</v>
      </c>
      <c r="V79" s="103">
        <f t="shared" si="36"/>
        <v>0</v>
      </c>
      <c r="W79">
        <f t="shared" si="36"/>
        <v>0</v>
      </c>
      <c r="X79">
        <f t="shared" si="36"/>
        <v>0</v>
      </c>
      <c r="Y79">
        <f t="shared" si="36"/>
        <v>0</v>
      </c>
      <c r="Z79">
        <f>AQ12</f>
        <v>0</v>
      </c>
      <c r="AA79">
        <f t="shared" si="37"/>
        <v>0</v>
      </c>
      <c r="AB79">
        <f t="shared" si="37"/>
        <v>0</v>
      </c>
      <c r="AC79">
        <f t="shared" si="37"/>
        <v>0</v>
      </c>
      <c r="AD79">
        <f t="shared" si="37"/>
        <v>0</v>
      </c>
      <c r="AE79">
        <f t="shared" si="37"/>
        <v>0</v>
      </c>
      <c r="AF79">
        <f t="shared" si="37"/>
        <v>0</v>
      </c>
      <c r="AG79">
        <f t="shared" si="37"/>
        <v>0</v>
      </c>
      <c r="AH79">
        <f t="shared" si="37"/>
        <v>0</v>
      </c>
      <c r="AI79">
        <f t="shared" si="37"/>
        <v>0</v>
      </c>
      <c r="AJ79">
        <f t="shared" si="37"/>
        <v>0</v>
      </c>
      <c r="AK79">
        <f t="shared" si="37"/>
        <v>0</v>
      </c>
      <c r="AL79">
        <f t="shared" si="37"/>
        <v>0</v>
      </c>
      <c r="AM79">
        <f t="shared" si="37"/>
        <v>0</v>
      </c>
      <c r="AN79">
        <f t="shared" si="37"/>
        <v>0</v>
      </c>
      <c r="AO79">
        <f t="shared" si="37"/>
        <v>0</v>
      </c>
      <c r="AP79">
        <f t="shared" si="37"/>
        <v>0</v>
      </c>
      <c r="AQ79">
        <f t="shared" si="37"/>
        <v>0</v>
      </c>
      <c r="AR79">
        <f>F79+H79+I79+J79+K79+L79+M79+N79+O79+P79</f>
        <v>0</v>
      </c>
      <c r="AS79">
        <f>D79+G116-AR79</f>
        <v>0</v>
      </c>
    </row>
    <row r="80" spans="1:68" ht="20.25" customHeight="1">
      <c r="A80" t="s">
        <v>21</v>
      </c>
      <c r="B80" t="s">
        <v>22</v>
      </c>
      <c r="C80" t="s">
        <v>23</v>
      </c>
      <c r="D80">
        <f>D16</f>
        <v>41.15</v>
      </c>
      <c r="E80">
        <f t="shared" si="38"/>
        <v>41.15</v>
      </c>
      <c r="F80">
        <f>H16</f>
        <v>0</v>
      </c>
      <c r="G80">
        <f>I16</f>
        <v>0</v>
      </c>
      <c r="H80">
        <f>D80-AR80</f>
        <v>41.15</v>
      </c>
      <c r="I80">
        <f>N16</f>
        <v>0</v>
      </c>
      <c r="J80">
        <f t="shared" ref="J80:O81" si="40">P16</f>
        <v>0</v>
      </c>
      <c r="K80">
        <f t="shared" si="40"/>
        <v>0</v>
      </c>
      <c r="L80">
        <f t="shared" si="40"/>
        <v>0</v>
      </c>
      <c r="M80">
        <f t="shared" si="40"/>
        <v>0</v>
      </c>
      <c r="N80">
        <f t="shared" si="40"/>
        <v>0</v>
      </c>
      <c r="O80">
        <f t="shared" si="40"/>
        <v>0</v>
      </c>
      <c r="P80">
        <f t="shared" si="39"/>
        <v>0</v>
      </c>
      <c r="Q80">
        <f t="shared" ref="Q80:Y81" si="41">W16</f>
        <v>0</v>
      </c>
      <c r="R80">
        <f t="shared" si="41"/>
        <v>0</v>
      </c>
      <c r="S80">
        <f t="shared" si="41"/>
        <v>0</v>
      </c>
      <c r="T80">
        <f t="shared" si="41"/>
        <v>0</v>
      </c>
      <c r="U80">
        <f t="shared" si="41"/>
        <v>0</v>
      </c>
      <c r="V80" s="103">
        <f t="shared" si="41"/>
        <v>0</v>
      </c>
      <c r="W80">
        <f t="shared" si="41"/>
        <v>0</v>
      </c>
      <c r="X80">
        <f t="shared" si="41"/>
        <v>0</v>
      </c>
      <c r="Y80">
        <f t="shared" si="41"/>
        <v>0</v>
      </c>
      <c r="Z80">
        <f>AQ16</f>
        <v>0</v>
      </c>
      <c r="AA80">
        <f t="shared" ref="AA80:AQ81" si="42">AR16</f>
        <v>0</v>
      </c>
      <c r="AB80">
        <f t="shared" si="42"/>
        <v>0</v>
      </c>
      <c r="AC80">
        <f t="shared" si="42"/>
        <v>0</v>
      </c>
      <c r="AD80">
        <f t="shared" si="42"/>
        <v>0</v>
      </c>
      <c r="AE80">
        <f t="shared" si="42"/>
        <v>0</v>
      </c>
      <c r="AF80">
        <f t="shared" si="42"/>
        <v>0</v>
      </c>
      <c r="AG80">
        <f t="shared" si="42"/>
        <v>0</v>
      </c>
      <c r="AH80">
        <f t="shared" si="42"/>
        <v>0</v>
      </c>
      <c r="AI80">
        <f t="shared" si="42"/>
        <v>0</v>
      </c>
      <c r="AJ80">
        <f t="shared" si="42"/>
        <v>0</v>
      </c>
      <c r="AK80">
        <f t="shared" si="42"/>
        <v>0</v>
      </c>
      <c r="AL80">
        <f t="shared" si="42"/>
        <v>0</v>
      </c>
      <c r="AM80">
        <f t="shared" si="42"/>
        <v>0</v>
      </c>
      <c r="AN80">
        <f t="shared" si="42"/>
        <v>0</v>
      </c>
      <c r="AO80">
        <f t="shared" si="42"/>
        <v>0</v>
      </c>
      <c r="AP80">
        <f t="shared" si="42"/>
        <v>0</v>
      </c>
      <c r="AQ80">
        <f t="shared" si="42"/>
        <v>0</v>
      </c>
      <c r="AR80">
        <f>F80+I80+J80+K80+L80+M80+N80+O80+P80</f>
        <v>0</v>
      </c>
      <c r="AS80">
        <f>D80+H116-AR80</f>
        <v>41.15</v>
      </c>
    </row>
    <row r="81" spans="1:45" ht="20.25" customHeight="1">
      <c r="A81" t="s">
        <v>24</v>
      </c>
      <c r="B81" t="s">
        <v>25</v>
      </c>
      <c r="C81" t="s">
        <v>26</v>
      </c>
      <c r="D81">
        <f>D17</f>
        <v>198.53</v>
      </c>
      <c r="E81">
        <f t="shared" si="38"/>
        <v>198.16</v>
      </c>
      <c r="F81">
        <f>H17</f>
        <v>0</v>
      </c>
      <c r="G81">
        <f>I17</f>
        <v>0</v>
      </c>
      <c r="H81">
        <f>M17</f>
        <v>0</v>
      </c>
      <c r="I81">
        <f>D81-AR81</f>
        <v>198.16</v>
      </c>
      <c r="J81">
        <f t="shared" si="40"/>
        <v>0</v>
      </c>
      <c r="K81">
        <f t="shared" si="40"/>
        <v>0</v>
      </c>
      <c r="L81">
        <f t="shared" si="40"/>
        <v>0</v>
      </c>
      <c r="M81">
        <f t="shared" si="40"/>
        <v>0</v>
      </c>
      <c r="N81">
        <f t="shared" si="40"/>
        <v>0</v>
      </c>
      <c r="O81">
        <f t="shared" si="40"/>
        <v>0</v>
      </c>
      <c r="P81">
        <f t="shared" si="39"/>
        <v>0.37</v>
      </c>
      <c r="Q81">
        <f t="shared" si="41"/>
        <v>0</v>
      </c>
      <c r="R81">
        <f t="shared" si="41"/>
        <v>0</v>
      </c>
      <c r="S81">
        <f t="shared" si="41"/>
        <v>0</v>
      </c>
      <c r="T81">
        <f t="shared" si="41"/>
        <v>0</v>
      </c>
      <c r="U81">
        <f t="shared" si="41"/>
        <v>0</v>
      </c>
      <c r="V81" s="103">
        <f t="shared" si="41"/>
        <v>0</v>
      </c>
      <c r="W81">
        <f t="shared" si="41"/>
        <v>0</v>
      </c>
      <c r="X81">
        <f t="shared" si="41"/>
        <v>0</v>
      </c>
      <c r="Y81">
        <f t="shared" si="41"/>
        <v>7.0000000000000007E-2</v>
      </c>
      <c r="Z81">
        <f>AQ17</f>
        <v>0</v>
      </c>
      <c r="AA81">
        <f t="shared" si="42"/>
        <v>0</v>
      </c>
      <c r="AB81">
        <f t="shared" si="42"/>
        <v>0</v>
      </c>
      <c r="AC81">
        <f t="shared" si="42"/>
        <v>0.3</v>
      </c>
      <c r="AD81">
        <f t="shared" si="42"/>
        <v>0</v>
      </c>
      <c r="AE81">
        <f t="shared" si="42"/>
        <v>0</v>
      </c>
      <c r="AF81">
        <f t="shared" si="42"/>
        <v>0</v>
      </c>
      <c r="AG81">
        <f t="shared" si="42"/>
        <v>0</v>
      </c>
      <c r="AH81">
        <f t="shared" si="42"/>
        <v>0</v>
      </c>
      <c r="AI81">
        <f t="shared" si="42"/>
        <v>0</v>
      </c>
      <c r="AJ81">
        <f t="shared" si="42"/>
        <v>0</v>
      </c>
      <c r="AK81">
        <f t="shared" si="42"/>
        <v>0</v>
      </c>
      <c r="AL81">
        <f t="shared" si="42"/>
        <v>0</v>
      </c>
      <c r="AM81">
        <f t="shared" si="42"/>
        <v>0</v>
      </c>
      <c r="AN81">
        <f t="shared" si="42"/>
        <v>0</v>
      </c>
      <c r="AO81">
        <f t="shared" si="42"/>
        <v>0</v>
      </c>
      <c r="AP81">
        <f t="shared" si="42"/>
        <v>0</v>
      </c>
      <c r="AQ81">
        <f t="shared" si="42"/>
        <v>0</v>
      </c>
      <c r="AR81">
        <f>F81+H81+J81+K81+L81+M81+N81+O81+P81</f>
        <v>0.37</v>
      </c>
      <c r="AS81">
        <f>D81+I116-AR81</f>
        <v>198.16</v>
      </c>
    </row>
    <row r="82" spans="1:45" ht="20.25" customHeight="1">
      <c r="A82" t="s">
        <v>27</v>
      </c>
      <c r="B82" t="s">
        <v>28</v>
      </c>
      <c r="C82" t="s">
        <v>29</v>
      </c>
      <c r="D82">
        <f t="shared" ref="D82:D87" si="43">D19</f>
        <v>2437.75</v>
      </c>
      <c r="E82">
        <f t="shared" si="38"/>
        <v>2437.75</v>
      </c>
      <c r="F82">
        <f>H20</f>
        <v>0</v>
      </c>
      <c r="G82">
        <f>I20</f>
        <v>0</v>
      </c>
      <c r="H82">
        <f>M20</f>
        <v>0</v>
      </c>
      <c r="I82">
        <f>N20</f>
        <v>0</v>
      </c>
      <c r="J82">
        <f>D82-AR82</f>
        <v>2437.75</v>
      </c>
      <c r="K82">
        <f>Q19</f>
        <v>0</v>
      </c>
      <c r="L82">
        <f>R19</f>
        <v>0</v>
      </c>
      <c r="M82">
        <f t="shared" ref="M82:O83" si="44">S20</f>
        <v>0</v>
      </c>
      <c r="N82">
        <f t="shared" si="44"/>
        <v>0</v>
      </c>
      <c r="O82">
        <f t="shared" si="44"/>
        <v>0</v>
      </c>
      <c r="P82">
        <f t="shared" si="39"/>
        <v>0</v>
      </c>
      <c r="Q82">
        <f>W20</f>
        <v>0</v>
      </c>
      <c r="R82">
        <f>X20</f>
        <v>0</v>
      </c>
      <c r="S82">
        <f>Z20</f>
        <v>0</v>
      </c>
      <c r="T82">
        <f t="shared" ref="T82:Y83" si="45">Z20</f>
        <v>0</v>
      </c>
      <c r="U82">
        <f t="shared" si="45"/>
        <v>0</v>
      </c>
      <c r="V82" s="103">
        <f t="shared" si="45"/>
        <v>0</v>
      </c>
      <c r="W82">
        <f t="shared" si="45"/>
        <v>0</v>
      </c>
      <c r="X82">
        <f t="shared" si="45"/>
        <v>0</v>
      </c>
      <c r="Y82">
        <f t="shared" si="45"/>
        <v>0</v>
      </c>
      <c r="Z82">
        <f>AQ20</f>
        <v>0</v>
      </c>
      <c r="AA82">
        <f t="shared" ref="AA82:AQ83" si="46">AR20</f>
        <v>0</v>
      </c>
      <c r="AB82">
        <f t="shared" si="46"/>
        <v>0</v>
      </c>
      <c r="AC82">
        <f t="shared" si="46"/>
        <v>0</v>
      </c>
      <c r="AD82">
        <f t="shared" si="46"/>
        <v>0</v>
      </c>
      <c r="AE82">
        <f t="shared" si="46"/>
        <v>0</v>
      </c>
      <c r="AF82">
        <f t="shared" si="46"/>
        <v>0</v>
      </c>
      <c r="AG82">
        <f t="shared" si="46"/>
        <v>0</v>
      </c>
      <c r="AH82">
        <f t="shared" si="46"/>
        <v>0</v>
      </c>
      <c r="AI82">
        <f t="shared" si="46"/>
        <v>0</v>
      </c>
      <c r="AJ82">
        <f t="shared" si="46"/>
        <v>0</v>
      </c>
      <c r="AK82">
        <f t="shared" si="46"/>
        <v>0</v>
      </c>
      <c r="AL82">
        <f t="shared" si="46"/>
        <v>0</v>
      </c>
      <c r="AM82">
        <f t="shared" si="46"/>
        <v>0</v>
      </c>
      <c r="AN82">
        <f t="shared" si="46"/>
        <v>0</v>
      </c>
      <c r="AO82">
        <f t="shared" si="46"/>
        <v>0</v>
      </c>
      <c r="AP82">
        <f t="shared" si="46"/>
        <v>0</v>
      </c>
      <c r="AQ82">
        <f t="shared" si="46"/>
        <v>0</v>
      </c>
      <c r="AR82">
        <f>F82+H82+I82+K82+L82+M82+N82+O82+P82</f>
        <v>0</v>
      </c>
      <c r="AS82">
        <f>D82+J116-AR82</f>
        <v>2437.75</v>
      </c>
    </row>
    <row r="83" spans="1:45" ht="20.25" customHeight="1">
      <c r="A83" t="s">
        <v>30</v>
      </c>
      <c r="B83" t="s">
        <v>31</v>
      </c>
      <c r="C83" t="s">
        <v>32</v>
      </c>
      <c r="D83">
        <f t="shared" si="43"/>
        <v>0</v>
      </c>
      <c r="E83">
        <f t="shared" si="38"/>
        <v>-1.6400000000000001</v>
      </c>
      <c r="F83">
        <f>H21</f>
        <v>0</v>
      </c>
      <c r="G83">
        <f>I21</f>
        <v>0</v>
      </c>
      <c r="H83">
        <f>M21</f>
        <v>0</v>
      </c>
      <c r="I83">
        <f>N21</f>
        <v>0</v>
      </c>
      <c r="J83">
        <f>P20</f>
        <v>0</v>
      </c>
      <c r="K83">
        <f>D83-AR83</f>
        <v>-1.6400000000000001</v>
      </c>
      <c r="L83">
        <f>R20</f>
        <v>0</v>
      </c>
      <c r="M83">
        <f t="shared" si="44"/>
        <v>0</v>
      </c>
      <c r="N83">
        <f t="shared" si="44"/>
        <v>0</v>
      </c>
      <c r="O83">
        <f t="shared" si="44"/>
        <v>0</v>
      </c>
      <c r="P83">
        <f t="shared" si="39"/>
        <v>1.6400000000000001</v>
      </c>
      <c r="Q83">
        <f>W21</f>
        <v>0</v>
      </c>
      <c r="R83">
        <f>X21</f>
        <v>0</v>
      </c>
      <c r="S83">
        <f>Z21</f>
        <v>0</v>
      </c>
      <c r="T83">
        <f t="shared" si="45"/>
        <v>0</v>
      </c>
      <c r="U83">
        <f t="shared" si="45"/>
        <v>0</v>
      </c>
      <c r="V83" s="103">
        <f t="shared" si="45"/>
        <v>0</v>
      </c>
      <c r="W83">
        <f t="shared" si="45"/>
        <v>0</v>
      </c>
      <c r="X83">
        <f t="shared" si="45"/>
        <v>0</v>
      </c>
      <c r="Y83">
        <f t="shared" si="45"/>
        <v>1.6400000000000001</v>
      </c>
      <c r="Z83">
        <f>AQ21</f>
        <v>0</v>
      </c>
      <c r="AA83">
        <f t="shared" si="46"/>
        <v>0</v>
      </c>
      <c r="AB83">
        <f t="shared" si="46"/>
        <v>0</v>
      </c>
      <c r="AC83">
        <f t="shared" si="46"/>
        <v>0</v>
      </c>
      <c r="AD83">
        <f t="shared" si="46"/>
        <v>0</v>
      </c>
      <c r="AE83">
        <f t="shared" si="46"/>
        <v>0</v>
      </c>
      <c r="AF83">
        <f t="shared" si="46"/>
        <v>0</v>
      </c>
      <c r="AG83">
        <f t="shared" si="46"/>
        <v>0</v>
      </c>
      <c r="AH83">
        <f t="shared" si="46"/>
        <v>0</v>
      </c>
      <c r="AI83">
        <f t="shared" si="46"/>
        <v>0</v>
      </c>
      <c r="AJ83">
        <f t="shared" si="46"/>
        <v>0</v>
      </c>
      <c r="AK83">
        <f t="shared" si="46"/>
        <v>0</v>
      </c>
      <c r="AL83">
        <f t="shared" si="46"/>
        <v>0</v>
      </c>
      <c r="AM83">
        <f t="shared" si="46"/>
        <v>0</v>
      </c>
      <c r="AN83">
        <f t="shared" si="46"/>
        <v>0</v>
      </c>
      <c r="AO83">
        <f t="shared" si="46"/>
        <v>0</v>
      </c>
      <c r="AP83">
        <f t="shared" si="46"/>
        <v>0</v>
      </c>
      <c r="AQ83">
        <f t="shared" si="46"/>
        <v>0</v>
      </c>
      <c r="AR83">
        <f>F83+H83+I83+J83+L83+M83+N83+O83+P83</f>
        <v>1.6400000000000001</v>
      </c>
      <c r="AS83">
        <f>D83+K116-AR83</f>
        <v>-1.6400000000000001</v>
      </c>
    </row>
    <row r="84" spans="1:45" ht="20.25" customHeight="1">
      <c r="A84" t="s">
        <v>33</v>
      </c>
      <c r="B84" t="s">
        <v>34</v>
      </c>
      <c r="C84" t="s">
        <v>35</v>
      </c>
      <c r="D84">
        <f t="shared" si="43"/>
        <v>1411.78</v>
      </c>
      <c r="E84">
        <f t="shared" si="38"/>
        <v>1411.78</v>
      </c>
      <c r="F84">
        <f>H19</f>
        <v>0</v>
      </c>
      <c r="G84">
        <f>I19</f>
        <v>0</v>
      </c>
      <c r="H84">
        <f>M19</f>
        <v>0</v>
      </c>
      <c r="I84">
        <f>N19</f>
        <v>0</v>
      </c>
      <c r="J84">
        <f>P21</f>
        <v>0</v>
      </c>
      <c r="K84">
        <f>Q21</f>
        <v>0</v>
      </c>
      <c r="L84">
        <f>D84-AR84</f>
        <v>1411.78</v>
      </c>
      <c r="M84">
        <f>S19</f>
        <v>0</v>
      </c>
      <c r="N84">
        <f>T19</f>
        <v>0</v>
      </c>
      <c r="O84">
        <f>U19</f>
        <v>0</v>
      </c>
      <c r="P84">
        <f t="shared" si="39"/>
        <v>0</v>
      </c>
      <c r="Q84">
        <f t="shared" ref="Q84:Y84" si="47">W19</f>
        <v>0</v>
      </c>
      <c r="R84">
        <f t="shared" si="47"/>
        <v>0</v>
      </c>
      <c r="S84">
        <f t="shared" si="47"/>
        <v>0</v>
      </c>
      <c r="T84">
        <f t="shared" si="47"/>
        <v>0</v>
      </c>
      <c r="U84">
        <f t="shared" si="47"/>
        <v>0</v>
      </c>
      <c r="V84" s="103">
        <f t="shared" si="47"/>
        <v>0</v>
      </c>
      <c r="W84">
        <f t="shared" si="47"/>
        <v>0</v>
      </c>
      <c r="X84">
        <f t="shared" si="47"/>
        <v>0</v>
      </c>
      <c r="Y84">
        <f t="shared" si="47"/>
        <v>0</v>
      </c>
      <c r="Z84">
        <f>AQ19</f>
        <v>0</v>
      </c>
      <c r="AA84">
        <f t="shared" ref="AA84:AQ84" si="48">AR19</f>
        <v>0</v>
      </c>
      <c r="AB84">
        <f t="shared" si="48"/>
        <v>0</v>
      </c>
      <c r="AC84">
        <f t="shared" si="48"/>
        <v>0</v>
      </c>
      <c r="AD84">
        <f t="shared" si="48"/>
        <v>0</v>
      </c>
      <c r="AE84">
        <f t="shared" si="48"/>
        <v>0</v>
      </c>
      <c r="AF84">
        <f t="shared" si="48"/>
        <v>0</v>
      </c>
      <c r="AG84">
        <f t="shared" si="48"/>
        <v>0</v>
      </c>
      <c r="AH84">
        <f t="shared" si="48"/>
        <v>0</v>
      </c>
      <c r="AI84">
        <f t="shared" si="48"/>
        <v>0</v>
      </c>
      <c r="AJ84">
        <f t="shared" si="48"/>
        <v>0</v>
      </c>
      <c r="AK84">
        <f t="shared" si="48"/>
        <v>0</v>
      </c>
      <c r="AL84">
        <f t="shared" si="48"/>
        <v>0</v>
      </c>
      <c r="AM84">
        <f t="shared" si="48"/>
        <v>0</v>
      </c>
      <c r="AN84">
        <f t="shared" si="48"/>
        <v>0</v>
      </c>
      <c r="AO84">
        <f t="shared" si="48"/>
        <v>0</v>
      </c>
      <c r="AP84">
        <f t="shared" si="48"/>
        <v>0</v>
      </c>
      <c r="AQ84">
        <f t="shared" si="48"/>
        <v>0</v>
      </c>
      <c r="AR84">
        <f>F84+H84+I84+J84+K84+M84+N84+O84+P84</f>
        <v>0</v>
      </c>
      <c r="AS84">
        <f>D84+L116-AR84</f>
        <v>1411.78</v>
      </c>
    </row>
    <row r="85" spans="1:45" ht="20.25" customHeight="1">
      <c r="A85" t="s">
        <v>36</v>
      </c>
      <c r="B85" t="s">
        <v>37</v>
      </c>
      <c r="C85" t="s">
        <v>38</v>
      </c>
      <c r="D85">
        <f t="shared" si="43"/>
        <v>1.54</v>
      </c>
      <c r="E85">
        <f t="shared" si="38"/>
        <v>1.54</v>
      </c>
      <c r="F85">
        <f t="shared" ref="F85:G87" si="49">H22</f>
        <v>0</v>
      </c>
      <c r="G85">
        <f t="shared" si="49"/>
        <v>0</v>
      </c>
      <c r="H85">
        <f t="shared" ref="H85:I87" si="50">M22</f>
        <v>0</v>
      </c>
      <c r="I85">
        <f t="shared" si="50"/>
        <v>0</v>
      </c>
      <c r="J85">
        <f>P22</f>
        <v>0</v>
      </c>
      <c r="K85">
        <f>Q22</f>
        <v>0</v>
      </c>
      <c r="L85">
        <f>R22</f>
        <v>0</v>
      </c>
      <c r="M85">
        <f>D85-AR85</f>
        <v>1.54</v>
      </c>
      <c r="N85">
        <f>T22</f>
        <v>0</v>
      </c>
      <c r="O85">
        <f>U22</f>
        <v>0</v>
      </c>
      <c r="P85">
        <f>SUM(Q85:AP85)</f>
        <v>0</v>
      </c>
      <c r="Q85">
        <f t="shared" ref="Q85:Y87" si="51">W22</f>
        <v>0</v>
      </c>
      <c r="R85">
        <f t="shared" si="51"/>
        <v>0</v>
      </c>
      <c r="S85">
        <f t="shared" si="51"/>
        <v>0</v>
      </c>
      <c r="T85">
        <f t="shared" si="51"/>
        <v>0</v>
      </c>
      <c r="U85">
        <f t="shared" si="51"/>
        <v>0</v>
      </c>
      <c r="V85" s="103">
        <f t="shared" si="51"/>
        <v>0</v>
      </c>
      <c r="W85">
        <f t="shared" si="51"/>
        <v>0</v>
      </c>
      <c r="X85">
        <f t="shared" si="51"/>
        <v>0</v>
      </c>
      <c r="Y85">
        <f t="shared" si="51"/>
        <v>0</v>
      </c>
      <c r="Z85">
        <f t="shared" ref="Z85:AP85" si="52">AQ22</f>
        <v>0</v>
      </c>
      <c r="AA85">
        <f t="shared" si="52"/>
        <v>0</v>
      </c>
      <c r="AB85">
        <f t="shared" si="52"/>
        <v>0</v>
      </c>
      <c r="AC85">
        <f t="shared" si="52"/>
        <v>0</v>
      </c>
      <c r="AD85">
        <f t="shared" si="52"/>
        <v>0</v>
      </c>
      <c r="AE85">
        <f t="shared" si="52"/>
        <v>0</v>
      </c>
      <c r="AF85">
        <f t="shared" si="52"/>
        <v>0</v>
      </c>
      <c r="AG85">
        <f t="shared" si="52"/>
        <v>0</v>
      </c>
      <c r="AH85">
        <f t="shared" si="52"/>
        <v>0</v>
      </c>
      <c r="AI85">
        <f t="shared" si="52"/>
        <v>0</v>
      </c>
      <c r="AJ85">
        <f t="shared" si="52"/>
        <v>0</v>
      </c>
      <c r="AK85">
        <f t="shared" si="52"/>
        <v>0</v>
      </c>
      <c r="AL85">
        <f t="shared" si="52"/>
        <v>0</v>
      </c>
      <c r="AM85">
        <f t="shared" si="52"/>
        <v>0</v>
      </c>
      <c r="AN85">
        <f t="shared" si="52"/>
        <v>0</v>
      </c>
      <c r="AO85">
        <f t="shared" si="52"/>
        <v>0</v>
      </c>
      <c r="AP85">
        <f t="shared" si="52"/>
        <v>0</v>
      </c>
      <c r="AQ85">
        <f t="shared" ref="AA85:AQ87" si="53">BH22</f>
        <v>0</v>
      </c>
      <c r="AR85">
        <f>F85+H85+I85+J85+K85+L85+N85+O85+P85</f>
        <v>0</v>
      </c>
      <c r="AS85">
        <f>D85+M116-AR85</f>
        <v>1.54</v>
      </c>
    </row>
    <row r="86" spans="1:45" ht="20.25" customHeight="1">
      <c r="A86" t="s">
        <v>39</v>
      </c>
      <c r="B86" t="s">
        <v>40</v>
      </c>
      <c r="C86" t="s">
        <v>41</v>
      </c>
      <c r="D86">
        <f t="shared" si="43"/>
        <v>0</v>
      </c>
      <c r="E86">
        <f t="shared" si="38"/>
        <v>0</v>
      </c>
      <c r="F86">
        <f t="shared" si="49"/>
        <v>0</v>
      </c>
      <c r="G86">
        <f t="shared" si="49"/>
        <v>0</v>
      </c>
      <c r="H86">
        <f t="shared" si="50"/>
        <v>0</v>
      </c>
      <c r="I86">
        <f t="shared" si="50"/>
        <v>0</v>
      </c>
      <c r="J86">
        <f>P23</f>
        <v>0</v>
      </c>
      <c r="K86">
        <f>Q23</f>
        <v>0</v>
      </c>
      <c r="L86">
        <f>R23</f>
        <v>0</v>
      </c>
      <c r="M86">
        <f>S23</f>
        <v>0</v>
      </c>
      <c r="N86">
        <f>D86-AR86</f>
        <v>0</v>
      </c>
      <c r="O86">
        <f>U23</f>
        <v>0</v>
      </c>
      <c r="P86">
        <f t="shared" si="39"/>
        <v>0</v>
      </c>
      <c r="Q86">
        <f t="shared" si="51"/>
        <v>0</v>
      </c>
      <c r="R86">
        <f t="shared" si="51"/>
        <v>0</v>
      </c>
      <c r="S86">
        <f t="shared" si="51"/>
        <v>0</v>
      </c>
      <c r="T86">
        <f t="shared" si="51"/>
        <v>0</v>
      </c>
      <c r="U86">
        <f t="shared" si="51"/>
        <v>0</v>
      </c>
      <c r="V86" s="103">
        <f t="shared" si="51"/>
        <v>0</v>
      </c>
      <c r="W86">
        <f t="shared" si="51"/>
        <v>0</v>
      </c>
      <c r="X86">
        <f t="shared" si="51"/>
        <v>0</v>
      </c>
      <c r="Y86">
        <f t="shared" si="51"/>
        <v>0</v>
      </c>
      <c r="Z86">
        <f>AQ23</f>
        <v>0</v>
      </c>
      <c r="AA86">
        <f t="shared" si="53"/>
        <v>0</v>
      </c>
      <c r="AB86">
        <f t="shared" si="53"/>
        <v>0</v>
      </c>
      <c r="AC86">
        <f t="shared" si="53"/>
        <v>0</v>
      </c>
      <c r="AD86">
        <f t="shared" si="53"/>
        <v>0</v>
      </c>
      <c r="AE86">
        <f t="shared" si="53"/>
        <v>0</v>
      </c>
      <c r="AF86">
        <f t="shared" si="53"/>
        <v>0</v>
      </c>
      <c r="AG86">
        <f t="shared" si="53"/>
        <v>0</v>
      </c>
      <c r="AH86">
        <f t="shared" si="53"/>
        <v>0</v>
      </c>
      <c r="AI86">
        <f t="shared" si="53"/>
        <v>0</v>
      </c>
      <c r="AJ86">
        <f t="shared" si="53"/>
        <v>0</v>
      </c>
      <c r="AK86">
        <f t="shared" si="53"/>
        <v>0</v>
      </c>
      <c r="AL86">
        <f t="shared" si="53"/>
        <v>0</v>
      </c>
      <c r="AM86">
        <f t="shared" si="53"/>
        <v>0</v>
      </c>
      <c r="AN86">
        <f t="shared" si="53"/>
        <v>0</v>
      </c>
      <c r="AO86">
        <f t="shared" si="53"/>
        <v>0</v>
      </c>
      <c r="AP86">
        <f t="shared" si="53"/>
        <v>0</v>
      </c>
      <c r="AQ86">
        <f t="shared" si="53"/>
        <v>0</v>
      </c>
      <c r="AR86">
        <f>F86+H86+I86+J86+K86+L86+M86+O86+P86</f>
        <v>0</v>
      </c>
      <c r="AS86">
        <f>D86+N116-AR86</f>
        <v>0</v>
      </c>
    </row>
    <row r="87" spans="1:45" ht="20.25" customHeight="1">
      <c r="A87">
        <v>2</v>
      </c>
      <c r="B87" t="s">
        <v>43</v>
      </c>
      <c r="C87" t="s">
        <v>44</v>
      </c>
      <c r="D87">
        <f t="shared" si="43"/>
        <v>0.88</v>
      </c>
      <c r="E87">
        <f t="shared" si="38"/>
        <v>0.88</v>
      </c>
      <c r="F87">
        <f t="shared" si="49"/>
        <v>0</v>
      </c>
      <c r="G87">
        <f t="shared" si="49"/>
        <v>0</v>
      </c>
      <c r="H87">
        <f t="shared" si="50"/>
        <v>0</v>
      </c>
      <c r="I87">
        <f t="shared" si="50"/>
        <v>0</v>
      </c>
      <c r="J87">
        <f>P24</f>
        <v>0</v>
      </c>
      <c r="K87">
        <f>Q24</f>
        <v>0</v>
      </c>
      <c r="L87">
        <f>R24</f>
        <v>0</v>
      </c>
      <c r="M87">
        <f>S24</f>
        <v>0</v>
      </c>
      <c r="N87">
        <f>T24</f>
        <v>0</v>
      </c>
      <c r="O87">
        <f>D87-AR87</f>
        <v>0.88</v>
      </c>
      <c r="P87">
        <f t="shared" si="39"/>
        <v>0</v>
      </c>
      <c r="Q87">
        <f t="shared" si="51"/>
        <v>0</v>
      </c>
      <c r="R87">
        <f t="shared" si="51"/>
        <v>0</v>
      </c>
      <c r="S87">
        <f t="shared" si="51"/>
        <v>0</v>
      </c>
      <c r="T87">
        <f t="shared" si="51"/>
        <v>0</v>
      </c>
      <c r="U87">
        <f t="shared" si="51"/>
        <v>0</v>
      </c>
      <c r="V87" s="103">
        <f t="shared" si="51"/>
        <v>0</v>
      </c>
      <c r="W87">
        <f t="shared" si="51"/>
        <v>0</v>
      </c>
      <c r="X87">
        <f t="shared" si="51"/>
        <v>0</v>
      </c>
      <c r="Y87">
        <f t="shared" si="51"/>
        <v>0</v>
      </c>
      <c r="Z87">
        <f>AQ24</f>
        <v>0</v>
      </c>
      <c r="AA87">
        <f t="shared" si="53"/>
        <v>0</v>
      </c>
      <c r="AB87">
        <f t="shared" si="53"/>
        <v>0</v>
      </c>
      <c r="AC87">
        <f t="shared" si="53"/>
        <v>0</v>
      </c>
      <c r="AD87">
        <f t="shared" si="53"/>
        <v>0</v>
      </c>
      <c r="AE87">
        <f t="shared" si="53"/>
        <v>0</v>
      </c>
      <c r="AF87">
        <f t="shared" si="53"/>
        <v>0</v>
      </c>
      <c r="AG87">
        <f t="shared" si="53"/>
        <v>0</v>
      </c>
      <c r="AH87">
        <f t="shared" si="53"/>
        <v>0</v>
      </c>
      <c r="AI87">
        <f t="shared" si="53"/>
        <v>0</v>
      </c>
      <c r="AJ87">
        <f t="shared" si="53"/>
        <v>0</v>
      </c>
      <c r="AK87">
        <f t="shared" si="53"/>
        <v>0</v>
      </c>
      <c r="AL87">
        <f t="shared" si="53"/>
        <v>0</v>
      </c>
      <c r="AM87">
        <f t="shared" si="53"/>
        <v>0</v>
      </c>
      <c r="AN87">
        <f t="shared" si="53"/>
        <v>0</v>
      </c>
      <c r="AO87">
        <f t="shared" si="53"/>
        <v>0</v>
      </c>
      <c r="AP87">
        <f t="shared" si="53"/>
        <v>0</v>
      </c>
      <c r="AQ87">
        <f t="shared" si="53"/>
        <v>0</v>
      </c>
      <c r="AR87">
        <f>F87+H87+I87+J87+K87+L87+M87+N87+P87</f>
        <v>0</v>
      </c>
      <c r="AS87">
        <f>D87+O116-AR87</f>
        <v>0.88</v>
      </c>
    </row>
    <row r="88" spans="1:45" ht="20.25" customHeight="1">
      <c r="A88">
        <v>2</v>
      </c>
      <c r="B88" t="s">
        <v>45</v>
      </c>
      <c r="C88" t="s">
        <v>46</v>
      </c>
      <c r="D88">
        <f>SUM(D89:D114)</f>
        <v>643.28950000000009</v>
      </c>
      <c r="E88">
        <f t="shared" ref="E88:AS88" si="54">SUM(E89:E114)</f>
        <v>0</v>
      </c>
      <c r="F88">
        <f t="shared" si="54"/>
        <v>0</v>
      </c>
      <c r="G88">
        <f t="shared" si="54"/>
        <v>0</v>
      </c>
      <c r="H88">
        <f t="shared" si="54"/>
        <v>0</v>
      </c>
      <c r="I88">
        <f t="shared" si="54"/>
        <v>0</v>
      </c>
      <c r="J88">
        <f t="shared" si="54"/>
        <v>0</v>
      </c>
      <c r="K88">
        <f t="shared" si="54"/>
        <v>0</v>
      </c>
      <c r="L88">
        <f t="shared" si="54"/>
        <v>0</v>
      </c>
      <c r="M88">
        <f t="shared" si="54"/>
        <v>0</v>
      </c>
      <c r="N88">
        <f t="shared" si="54"/>
        <v>0</v>
      </c>
      <c r="O88">
        <f t="shared" si="54"/>
        <v>0</v>
      </c>
      <c r="P88">
        <f t="shared" si="54"/>
        <v>643.28950000000009</v>
      </c>
      <c r="Q88">
        <f t="shared" si="54"/>
        <v>44.83</v>
      </c>
      <c r="R88">
        <f t="shared" si="54"/>
        <v>0</v>
      </c>
      <c r="S88">
        <f t="shared" si="54"/>
        <v>0</v>
      </c>
      <c r="T88">
        <f t="shared" si="54"/>
        <v>0</v>
      </c>
      <c r="U88">
        <f t="shared" si="54"/>
        <v>0</v>
      </c>
      <c r="V88" s="103">
        <f t="shared" si="54"/>
        <v>24.09</v>
      </c>
      <c r="W88">
        <f t="shared" si="54"/>
        <v>0</v>
      </c>
      <c r="X88">
        <f t="shared" si="54"/>
        <v>0</v>
      </c>
      <c r="Y88">
        <f t="shared" si="54"/>
        <v>94.319500000000005</v>
      </c>
      <c r="Z88">
        <f t="shared" si="54"/>
        <v>0</v>
      </c>
      <c r="AA88">
        <f t="shared" si="54"/>
        <v>0</v>
      </c>
      <c r="AB88">
        <f t="shared" si="54"/>
        <v>0</v>
      </c>
      <c r="AC88">
        <f t="shared" si="54"/>
        <v>12.319999999999999</v>
      </c>
      <c r="AD88">
        <f t="shared" si="54"/>
        <v>0</v>
      </c>
      <c r="AE88">
        <f t="shared" si="54"/>
        <v>2.15</v>
      </c>
      <c r="AF88">
        <f t="shared" si="54"/>
        <v>0</v>
      </c>
      <c r="AG88">
        <f t="shared" si="54"/>
        <v>0</v>
      </c>
      <c r="AH88">
        <f t="shared" si="54"/>
        <v>0</v>
      </c>
      <c r="AI88">
        <f t="shared" si="54"/>
        <v>3.54</v>
      </c>
      <c r="AJ88">
        <f t="shared" si="54"/>
        <v>0</v>
      </c>
      <c r="AK88">
        <f t="shared" si="54"/>
        <v>0.47</v>
      </c>
      <c r="AL88">
        <f t="shared" si="54"/>
        <v>0</v>
      </c>
      <c r="AM88">
        <f t="shared" si="54"/>
        <v>0</v>
      </c>
      <c r="AN88">
        <f t="shared" si="54"/>
        <v>106</v>
      </c>
      <c r="AO88">
        <f t="shared" si="54"/>
        <v>355.57</v>
      </c>
      <c r="AP88">
        <f t="shared" si="54"/>
        <v>0</v>
      </c>
      <c r="AQ88">
        <f t="shared" si="54"/>
        <v>0</v>
      </c>
      <c r="AR88">
        <f>E88+AQ88</f>
        <v>0</v>
      </c>
      <c r="AS88">
        <f t="shared" si="54"/>
        <v>646.23949999999991</v>
      </c>
    </row>
    <row r="89" spans="1:45" ht="20.25" customHeight="1">
      <c r="A89" t="s">
        <v>47</v>
      </c>
      <c r="B89" t="s">
        <v>48</v>
      </c>
      <c r="C89" t="s">
        <v>49</v>
      </c>
      <c r="D89">
        <f>D26</f>
        <v>44.83</v>
      </c>
      <c r="E89">
        <f t="shared" si="38"/>
        <v>0</v>
      </c>
      <c r="F89">
        <f>H26</f>
        <v>0</v>
      </c>
      <c r="G89">
        <f>I26</f>
        <v>0</v>
      </c>
      <c r="H89">
        <f>M26</f>
        <v>0</v>
      </c>
      <c r="I89">
        <f>N26</f>
        <v>0</v>
      </c>
      <c r="J89">
        <f t="shared" ref="J89:O97" si="55">P26</f>
        <v>0</v>
      </c>
      <c r="K89">
        <f t="shared" si="55"/>
        <v>0</v>
      </c>
      <c r="L89">
        <f t="shared" si="55"/>
        <v>0</v>
      </c>
      <c r="M89">
        <f t="shared" si="55"/>
        <v>0</v>
      </c>
      <c r="N89">
        <f t="shared" si="55"/>
        <v>0</v>
      </c>
      <c r="O89">
        <f t="shared" si="55"/>
        <v>0</v>
      </c>
      <c r="P89">
        <f>SUM(Q89:AP89)</f>
        <v>44.83</v>
      </c>
      <c r="Q89">
        <f>D89-AR89</f>
        <v>44.83</v>
      </c>
      <c r="R89">
        <f t="shared" ref="R89:Y89" si="56">X26</f>
        <v>0</v>
      </c>
      <c r="S89">
        <f t="shared" si="56"/>
        <v>0</v>
      </c>
      <c r="T89">
        <f t="shared" si="56"/>
        <v>0</v>
      </c>
      <c r="U89">
        <f t="shared" si="56"/>
        <v>0</v>
      </c>
      <c r="V89" s="103">
        <f t="shared" si="56"/>
        <v>0</v>
      </c>
      <c r="W89">
        <f t="shared" si="56"/>
        <v>0</v>
      </c>
      <c r="X89">
        <f t="shared" si="56"/>
        <v>0</v>
      </c>
      <c r="Y89">
        <f t="shared" si="56"/>
        <v>0</v>
      </c>
      <c r="Z89">
        <f t="shared" ref="Z89:AP89" si="57">AQ26</f>
        <v>0</v>
      </c>
      <c r="AA89">
        <f t="shared" si="57"/>
        <v>0</v>
      </c>
      <c r="AB89">
        <f t="shared" si="57"/>
        <v>0</v>
      </c>
      <c r="AC89">
        <f t="shared" si="57"/>
        <v>0</v>
      </c>
      <c r="AD89">
        <f t="shared" si="57"/>
        <v>0</v>
      </c>
      <c r="AE89">
        <f t="shared" si="57"/>
        <v>0</v>
      </c>
      <c r="AF89">
        <f t="shared" si="57"/>
        <v>0</v>
      </c>
      <c r="AG89">
        <f t="shared" si="57"/>
        <v>0</v>
      </c>
      <c r="AH89">
        <f t="shared" si="57"/>
        <v>0</v>
      </c>
      <c r="AI89">
        <f t="shared" si="57"/>
        <v>0</v>
      </c>
      <c r="AJ89">
        <f t="shared" si="57"/>
        <v>0</v>
      </c>
      <c r="AK89">
        <f t="shared" si="57"/>
        <v>0</v>
      </c>
      <c r="AL89">
        <f t="shared" si="57"/>
        <v>0</v>
      </c>
      <c r="AM89">
        <f t="shared" si="57"/>
        <v>0</v>
      </c>
      <c r="AN89">
        <f t="shared" si="57"/>
        <v>0</v>
      </c>
      <c r="AO89">
        <f t="shared" si="57"/>
        <v>0</v>
      </c>
      <c r="AP89">
        <f t="shared" si="57"/>
        <v>0</v>
      </c>
      <c r="AQ89">
        <f t="shared" ref="AA89:AQ97" si="58">BH26</f>
        <v>0</v>
      </c>
      <c r="AR89">
        <f>E89+R89+S89+T89+U89+V89+W89+X89+Y89+Z89+AA89+AB89+AC89+AD89+AE89+AF89+AG89+AH89+AI89+AJ89+AK89+AL89+AM89+AN89+AO89+AP89+AQ89</f>
        <v>0</v>
      </c>
      <c r="AS89">
        <f>D89+Q116-AR89</f>
        <v>44.83</v>
      </c>
    </row>
    <row r="90" spans="1:45" ht="20.25" customHeight="1">
      <c r="A90" t="s">
        <v>50</v>
      </c>
      <c r="B90" t="s">
        <v>51</v>
      </c>
      <c r="C90" t="s">
        <v>52</v>
      </c>
      <c r="D90">
        <f t="shared" ref="D90:D97" si="59">D27</f>
        <v>0</v>
      </c>
      <c r="E90">
        <f t="shared" si="38"/>
        <v>0</v>
      </c>
      <c r="F90">
        <f t="shared" ref="F90:G97" si="60">H27</f>
        <v>0</v>
      </c>
      <c r="G90">
        <f t="shared" si="60"/>
        <v>0</v>
      </c>
      <c r="H90">
        <f t="shared" ref="H90:I97" si="61">M27</f>
        <v>0</v>
      </c>
      <c r="I90">
        <f t="shared" si="61"/>
        <v>0</v>
      </c>
      <c r="J90">
        <f t="shared" si="55"/>
        <v>0</v>
      </c>
      <c r="K90">
        <f t="shared" si="55"/>
        <v>0</v>
      </c>
      <c r="L90">
        <f t="shared" si="55"/>
        <v>0</v>
      </c>
      <c r="M90">
        <f t="shared" si="55"/>
        <v>0</v>
      </c>
      <c r="N90">
        <f t="shared" si="55"/>
        <v>0</v>
      </c>
      <c r="O90">
        <f t="shared" si="55"/>
        <v>0</v>
      </c>
      <c r="P90">
        <f t="shared" ref="P90:P114" si="62">SUM(Q90:AP90)</f>
        <v>0</v>
      </c>
      <c r="Q90">
        <f>W27</f>
        <v>0</v>
      </c>
      <c r="R90">
        <f>D90-AR90</f>
        <v>0</v>
      </c>
      <c r="S90">
        <f t="shared" ref="S90:Y90" si="63">Y27</f>
        <v>0</v>
      </c>
      <c r="T90">
        <f t="shared" si="63"/>
        <v>0</v>
      </c>
      <c r="U90">
        <f t="shared" si="63"/>
        <v>0</v>
      </c>
      <c r="V90" s="103">
        <f t="shared" si="63"/>
        <v>0</v>
      </c>
      <c r="W90">
        <f t="shared" si="63"/>
        <v>0</v>
      </c>
      <c r="X90">
        <f t="shared" si="63"/>
        <v>0</v>
      </c>
      <c r="Y90">
        <f t="shared" si="63"/>
        <v>0</v>
      </c>
      <c r="Z90">
        <f t="shared" ref="Z90:Z97" si="64">AQ27</f>
        <v>0</v>
      </c>
      <c r="AA90">
        <f t="shared" si="58"/>
        <v>0</v>
      </c>
      <c r="AB90">
        <f t="shared" si="58"/>
        <v>0</v>
      </c>
      <c r="AC90">
        <f t="shared" si="58"/>
        <v>0</v>
      </c>
      <c r="AD90">
        <f t="shared" si="58"/>
        <v>0</v>
      </c>
      <c r="AE90">
        <f t="shared" si="58"/>
        <v>0</v>
      </c>
      <c r="AF90">
        <f t="shared" si="58"/>
        <v>0</v>
      </c>
      <c r="AG90">
        <f t="shared" si="58"/>
        <v>0</v>
      </c>
      <c r="AH90">
        <f t="shared" si="58"/>
        <v>0</v>
      </c>
      <c r="AI90">
        <f t="shared" si="58"/>
        <v>0</v>
      </c>
      <c r="AJ90">
        <f t="shared" si="58"/>
        <v>0</v>
      </c>
      <c r="AK90">
        <f t="shared" si="58"/>
        <v>0</v>
      </c>
      <c r="AL90">
        <f t="shared" si="58"/>
        <v>0</v>
      </c>
      <c r="AM90">
        <f t="shared" si="58"/>
        <v>0</v>
      </c>
      <c r="AN90">
        <f t="shared" si="58"/>
        <v>0</v>
      </c>
      <c r="AO90">
        <f t="shared" si="58"/>
        <v>0</v>
      </c>
      <c r="AP90">
        <f t="shared" si="58"/>
        <v>0</v>
      </c>
      <c r="AQ90">
        <f t="shared" si="58"/>
        <v>0</v>
      </c>
      <c r="AR90">
        <f>E90+Q90+S90+T90+U90+V90+W90+X90+Y90+Z90+AA90+AB90+AC90+AD90+AE90+AF90+AG90+AH90+AI90+AJ90+AK90+AL90+AM90+AN90+AO90+AP90+AQ90</f>
        <v>0</v>
      </c>
      <c r="AS90">
        <f>D90+R116-AR90</f>
        <v>0</v>
      </c>
    </row>
    <row r="91" spans="1:45" ht="20.25" customHeight="1">
      <c r="A91" t="s">
        <v>53</v>
      </c>
      <c r="B91" t="s">
        <v>54</v>
      </c>
      <c r="C91" t="s">
        <v>55</v>
      </c>
      <c r="D91">
        <f t="shared" si="59"/>
        <v>0</v>
      </c>
      <c r="E91">
        <f t="shared" si="38"/>
        <v>0</v>
      </c>
      <c r="F91">
        <f t="shared" si="60"/>
        <v>0</v>
      </c>
      <c r="G91">
        <f t="shared" si="60"/>
        <v>0</v>
      </c>
      <c r="H91">
        <f t="shared" si="61"/>
        <v>0</v>
      </c>
      <c r="I91">
        <f t="shared" si="61"/>
        <v>0</v>
      </c>
      <c r="J91">
        <f t="shared" si="55"/>
        <v>0</v>
      </c>
      <c r="K91">
        <f t="shared" si="55"/>
        <v>0</v>
      </c>
      <c r="L91">
        <f t="shared" si="55"/>
        <v>0</v>
      </c>
      <c r="M91">
        <f t="shared" si="55"/>
        <v>0</v>
      </c>
      <c r="N91">
        <f t="shared" si="55"/>
        <v>0</v>
      </c>
      <c r="O91">
        <f t="shared" si="55"/>
        <v>0</v>
      </c>
      <c r="P91">
        <f t="shared" si="62"/>
        <v>0</v>
      </c>
      <c r="Q91">
        <f t="shared" ref="Q91:S97" si="65">W28</f>
        <v>0</v>
      </c>
      <c r="R91">
        <f>X28</f>
        <v>0</v>
      </c>
      <c r="S91">
        <f>D91-AR91</f>
        <v>0</v>
      </c>
      <c r="T91">
        <f t="shared" ref="T91:Y91" si="66">Z28</f>
        <v>0</v>
      </c>
      <c r="U91">
        <f t="shared" si="66"/>
        <v>0</v>
      </c>
      <c r="V91" s="103">
        <f t="shared" si="66"/>
        <v>0</v>
      </c>
      <c r="W91">
        <f t="shared" si="66"/>
        <v>0</v>
      </c>
      <c r="X91">
        <f t="shared" si="66"/>
        <v>0</v>
      </c>
      <c r="Y91">
        <f t="shared" si="66"/>
        <v>0</v>
      </c>
      <c r="Z91">
        <f t="shared" si="64"/>
        <v>0</v>
      </c>
      <c r="AA91">
        <f t="shared" si="58"/>
        <v>0</v>
      </c>
      <c r="AB91">
        <f t="shared" si="58"/>
        <v>0</v>
      </c>
      <c r="AC91">
        <f t="shared" si="58"/>
        <v>0</v>
      </c>
      <c r="AD91">
        <f t="shared" si="58"/>
        <v>0</v>
      </c>
      <c r="AE91">
        <f t="shared" si="58"/>
        <v>0</v>
      </c>
      <c r="AF91">
        <f t="shared" si="58"/>
        <v>0</v>
      </c>
      <c r="AG91">
        <f t="shared" si="58"/>
        <v>0</v>
      </c>
      <c r="AH91">
        <f t="shared" si="58"/>
        <v>0</v>
      </c>
      <c r="AI91">
        <f t="shared" si="58"/>
        <v>0</v>
      </c>
      <c r="AJ91">
        <f t="shared" si="58"/>
        <v>0</v>
      </c>
      <c r="AK91">
        <f t="shared" si="58"/>
        <v>0</v>
      </c>
      <c r="AL91">
        <f t="shared" si="58"/>
        <v>0</v>
      </c>
      <c r="AM91">
        <f t="shared" si="58"/>
        <v>0</v>
      </c>
      <c r="AN91">
        <f t="shared" si="58"/>
        <v>0</v>
      </c>
      <c r="AO91">
        <f t="shared" si="58"/>
        <v>0</v>
      </c>
      <c r="AP91">
        <f t="shared" si="58"/>
        <v>0</v>
      </c>
      <c r="AQ91">
        <f t="shared" si="58"/>
        <v>0</v>
      </c>
      <c r="AR91">
        <f>E91+Q91+R91+T91+U91+V91+W91+X91+Y91+Z91+AA91+AB91+AC91+AD91+AE91+AF91+AG91+AH91+AI91+AJ91+AK91+AL91+AM91+AN91+AO91+AP91+AQ91</f>
        <v>0</v>
      </c>
      <c r="AS91">
        <f>D91+S116-AR91</f>
        <v>0</v>
      </c>
    </row>
    <row r="92" spans="1:45" ht="20.25" customHeight="1">
      <c r="A92" t="s">
        <v>56</v>
      </c>
      <c r="B92" t="s">
        <v>57</v>
      </c>
      <c r="C92" t="s">
        <v>58</v>
      </c>
      <c r="D92">
        <f t="shared" si="59"/>
        <v>0</v>
      </c>
      <c r="E92">
        <f t="shared" si="38"/>
        <v>0</v>
      </c>
      <c r="F92">
        <f t="shared" si="60"/>
        <v>0</v>
      </c>
      <c r="G92">
        <f t="shared" si="60"/>
        <v>0</v>
      </c>
      <c r="H92">
        <f t="shared" si="61"/>
        <v>0</v>
      </c>
      <c r="I92">
        <f t="shared" si="61"/>
        <v>0</v>
      </c>
      <c r="J92">
        <f t="shared" si="55"/>
        <v>0</v>
      </c>
      <c r="K92">
        <f t="shared" si="55"/>
        <v>0</v>
      </c>
      <c r="L92">
        <f t="shared" si="55"/>
        <v>0</v>
      </c>
      <c r="M92">
        <f t="shared" si="55"/>
        <v>0</v>
      </c>
      <c r="N92">
        <f t="shared" si="55"/>
        <v>0</v>
      </c>
      <c r="O92">
        <f t="shared" si="55"/>
        <v>0</v>
      </c>
      <c r="P92">
        <f t="shared" si="62"/>
        <v>0</v>
      </c>
      <c r="Q92">
        <f t="shared" si="65"/>
        <v>0</v>
      </c>
      <c r="R92">
        <f t="shared" si="65"/>
        <v>0</v>
      </c>
      <c r="S92">
        <f t="shared" si="65"/>
        <v>0</v>
      </c>
      <c r="T92">
        <f>D92-AR92</f>
        <v>0</v>
      </c>
      <c r="U92">
        <f>AA29</f>
        <v>0</v>
      </c>
      <c r="V92" s="103">
        <f>AB29</f>
        <v>0</v>
      </c>
      <c r="W92">
        <f>AC29</f>
        <v>0</v>
      </c>
      <c r="X92">
        <f>AD29</f>
        <v>0</v>
      </c>
      <c r="Y92">
        <f>AE29</f>
        <v>0</v>
      </c>
      <c r="Z92">
        <f t="shared" si="64"/>
        <v>0</v>
      </c>
      <c r="AA92">
        <f t="shared" si="58"/>
        <v>0</v>
      </c>
      <c r="AB92">
        <f t="shared" si="58"/>
        <v>0</v>
      </c>
      <c r="AC92">
        <f t="shared" si="58"/>
        <v>0</v>
      </c>
      <c r="AD92">
        <f t="shared" si="58"/>
        <v>0</v>
      </c>
      <c r="AE92">
        <f t="shared" si="58"/>
        <v>0</v>
      </c>
      <c r="AF92">
        <f t="shared" si="58"/>
        <v>0</v>
      </c>
      <c r="AG92">
        <f t="shared" si="58"/>
        <v>0</v>
      </c>
      <c r="AH92">
        <f t="shared" si="58"/>
        <v>0</v>
      </c>
      <c r="AI92">
        <f t="shared" si="58"/>
        <v>0</v>
      </c>
      <c r="AJ92">
        <f t="shared" si="58"/>
        <v>0</v>
      </c>
      <c r="AK92">
        <f t="shared" si="58"/>
        <v>0</v>
      </c>
      <c r="AL92">
        <f t="shared" si="58"/>
        <v>0</v>
      </c>
      <c r="AM92">
        <f t="shared" si="58"/>
        <v>0</v>
      </c>
      <c r="AN92">
        <f t="shared" si="58"/>
        <v>0</v>
      </c>
      <c r="AO92">
        <f t="shared" si="58"/>
        <v>0</v>
      </c>
      <c r="AP92">
        <f t="shared" si="58"/>
        <v>0</v>
      </c>
      <c r="AQ92">
        <f t="shared" si="58"/>
        <v>0</v>
      </c>
      <c r="AR92">
        <f>E92+Q92+R92+S92+U92+V92+W92+X92+Y92+Z92+AA92+AB92+AC92+AD92+AE92+AF92+AG92+AH92+AI92+AJ92+AK92+AL92+AM92+AN92+AO92+AP92+AQ92</f>
        <v>0</v>
      </c>
      <c r="AS92">
        <f>D92+T116-AR92</f>
        <v>0</v>
      </c>
    </row>
    <row r="93" spans="1:45" ht="20.25" customHeight="1">
      <c r="A93" t="s">
        <v>59</v>
      </c>
      <c r="B93" t="s">
        <v>60</v>
      </c>
      <c r="C93" t="s">
        <v>61</v>
      </c>
      <c r="D93">
        <f t="shared" si="59"/>
        <v>0</v>
      </c>
      <c r="E93">
        <f t="shared" si="38"/>
        <v>0</v>
      </c>
      <c r="F93">
        <f t="shared" si="60"/>
        <v>0</v>
      </c>
      <c r="G93">
        <f t="shared" si="60"/>
        <v>0</v>
      </c>
      <c r="H93">
        <f t="shared" si="61"/>
        <v>0</v>
      </c>
      <c r="I93">
        <f t="shared" si="61"/>
        <v>0</v>
      </c>
      <c r="J93">
        <f t="shared" si="55"/>
        <v>0</v>
      </c>
      <c r="K93">
        <f t="shared" si="55"/>
        <v>0</v>
      </c>
      <c r="L93">
        <f t="shared" si="55"/>
        <v>0</v>
      </c>
      <c r="M93">
        <f t="shared" si="55"/>
        <v>0</v>
      </c>
      <c r="N93">
        <f t="shared" si="55"/>
        <v>0</v>
      </c>
      <c r="O93">
        <f t="shared" si="55"/>
        <v>0</v>
      </c>
      <c r="P93">
        <f t="shared" si="62"/>
        <v>0</v>
      </c>
      <c r="Q93">
        <f t="shared" si="65"/>
        <v>0</v>
      </c>
      <c r="R93">
        <f t="shared" si="65"/>
        <v>0</v>
      </c>
      <c r="S93">
        <f t="shared" si="65"/>
        <v>0</v>
      </c>
      <c r="T93">
        <f>Z30</f>
        <v>0</v>
      </c>
      <c r="U93">
        <f>D93-AR93</f>
        <v>0</v>
      </c>
      <c r="V93" s="103">
        <f>AB30</f>
        <v>0</v>
      </c>
      <c r="W93">
        <f>AC30</f>
        <v>0</v>
      </c>
      <c r="X93">
        <f>AD30</f>
        <v>0</v>
      </c>
      <c r="Y93">
        <f>AE30</f>
        <v>0</v>
      </c>
      <c r="Z93">
        <f t="shared" si="64"/>
        <v>0</v>
      </c>
      <c r="AA93">
        <f t="shared" si="58"/>
        <v>0</v>
      </c>
      <c r="AB93">
        <f t="shared" si="58"/>
        <v>0</v>
      </c>
      <c r="AC93">
        <f t="shared" si="58"/>
        <v>0</v>
      </c>
      <c r="AD93">
        <f t="shared" si="58"/>
        <v>0</v>
      </c>
      <c r="AE93">
        <f t="shared" si="58"/>
        <v>0</v>
      </c>
      <c r="AF93">
        <f t="shared" si="58"/>
        <v>0</v>
      </c>
      <c r="AG93">
        <f t="shared" si="58"/>
        <v>0</v>
      </c>
      <c r="AH93">
        <f t="shared" si="58"/>
        <v>0</v>
      </c>
      <c r="AI93">
        <f t="shared" si="58"/>
        <v>0</v>
      </c>
      <c r="AJ93">
        <f t="shared" si="58"/>
        <v>0</v>
      </c>
      <c r="AK93">
        <f t="shared" si="58"/>
        <v>0</v>
      </c>
      <c r="AL93">
        <f t="shared" si="58"/>
        <v>0</v>
      </c>
      <c r="AM93">
        <f t="shared" si="58"/>
        <v>0</v>
      </c>
      <c r="AN93">
        <f t="shared" si="58"/>
        <v>0</v>
      </c>
      <c r="AO93">
        <f t="shared" si="58"/>
        <v>0</v>
      </c>
      <c r="AP93">
        <f t="shared" si="58"/>
        <v>0</v>
      </c>
      <c r="AQ93">
        <f t="shared" si="58"/>
        <v>0</v>
      </c>
      <c r="AR93">
        <f>E93+Q93+R93+S93+T93+V93+W93+X93+Y93+Z93+AA93+AB93+AC93+AD93+AE93+AF93+AG93+AH93+AI93+AJ93+AK93+AL93+AM93+AN93+AO93+AP93+AQ93</f>
        <v>0</v>
      </c>
      <c r="AS93">
        <f>D93+U116-AR93</f>
        <v>0</v>
      </c>
    </row>
    <row r="94" spans="1:45" ht="20.25" customHeight="1">
      <c r="A94" t="s">
        <v>62</v>
      </c>
      <c r="B94" t="s">
        <v>63</v>
      </c>
      <c r="C94" t="s">
        <v>64</v>
      </c>
      <c r="D94">
        <f t="shared" si="59"/>
        <v>24.09</v>
      </c>
      <c r="E94">
        <f t="shared" si="38"/>
        <v>0</v>
      </c>
      <c r="F94">
        <f t="shared" si="60"/>
        <v>0</v>
      </c>
      <c r="G94">
        <f t="shared" si="60"/>
        <v>0</v>
      </c>
      <c r="H94">
        <f t="shared" si="61"/>
        <v>0</v>
      </c>
      <c r="I94">
        <f t="shared" si="61"/>
        <v>0</v>
      </c>
      <c r="J94">
        <f t="shared" si="55"/>
        <v>0</v>
      </c>
      <c r="K94">
        <f t="shared" si="55"/>
        <v>0</v>
      </c>
      <c r="L94">
        <f t="shared" si="55"/>
        <v>0</v>
      </c>
      <c r="M94">
        <f t="shared" si="55"/>
        <v>0</v>
      </c>
      <c r="N94">
        <f t="shared" si="55"/>
        <v>0</v>
      </c>
      <c r="O94">
        <f t="shared" si="55"/>
        <v>0</v>
      </c>
      <c r="P94">
        <f t="shared" si="62"/>
        <v>24.09</v>
      </c>
      <c r="Q94">
        <f t="shared" si="65"/>
        <v>0</v>
      </c>
      <c r="R94">
        <f t="shared" si="65"/>
        <v>0</v>
      </c>
      <c r="S94">
        <f t="shared" si="65"/>
        <v>0</v>
      </c>
      <c r="T94">
        <f>Z31</f>
        <v>0</v>
      </c>
      <c r="U94">
        <f>AA31</f>
        <v>0</v>
      </c>
      <c r="V94" s="103">
        <f>D94-AR94</f>
        <v>24.09</v>
      </c>
      <c r="W94">
        <f>AC31</f>
        <v>0</v>
      </c>
      <c r="X94">
        <f>AD31</f>
        <v>0</v>
      </c>
      <c r="Y94">
        <f>AE31</f>
        <v>0</v>
      </c>
      <c r="Z94">
        <f t="shared" si="64"/>
        <v>0</v>
      </c>
      <c r="AA94">
        <f t="shared" si="58"/>
        <v>0</v>
      </c>
      <c r="AB94">
        <f t="shared" si="58"/>
        <v>0</v>
      </c>
      <c r="AC94">
        <f t="shared" si="58"/>
        <v>0</v>
      </c>
      <c r="AD94">
        <f t="shared" si="58"/>
        <v>0</v>
      </c>
      <c r="AE94">
        <f t="shared" si="58"/>
        <v>0</v>
      </c>
      <c r="AF94">
        <f t="shared" si="58"/>
        <v>0</v>
      </c>
      <c r="AG94">
        <f t="shared" si="58"/>
        <v>0</v>
      </c>
      <c r="AH94">
        <f t="shared" si="58"/>
        <v>0</v>
      </c>
      <c r="AI94">
        <f t="shared" si="58"/>
        <v>0</v>
      </c>
      <c r="AJ94">
        <f t="shared" si="58"/>
        <v>0</v>
      </c>
      <c r="AK94">
        <f t="shared" si="58"/>
        <v>0</v>
      </c>
      <c r="AL94">
        <f t="shared" si="58"/>
        <v>0</v>
      </c>
      <c r="AM94">
        <f t="shared" si="58"/>
        <v>0</v>
      </c>
      <c r="AN94">
        <f t="shared" si="58"/>
        <v>0</v>
      </c>
      <c r="AO94">
        <f t="shared" si="58"/>
        <v>0</v>
      </c>
      <c r="AP94">
        <f t="shared" si="58"/>
        <v>0</v>
      </c>
      <c r="AQ94">
        <f t="shared" si="58"/>
        <v>0</v>
      </c>
      <c r="AR94">
        <f>E94+Q94+R94+S94+T94+U94+W94+X94+Y94+Z94+AA94+AB94+AC94+AD94+AE94+AF94+AG94+AH94+AI94+AJ94+AK94+AL94+AM94+AN94+AO94+AP94+AQ94</f>
        <v>0</v>
      </c>
      <c r="AS94">
        <f>D94+V116-AR94</f>
        <v>24.09</v>
      </c>
    </row>
    <row r="95" spans="1:45" ht="20.25" customHeight="1">
      <c r="A95" t="s">
        <v>65</v>
      </c>
      <c r="B95" t="s">
        <v>66</v>
      </c>
      <c r="C95" t="s">
        <v>67</v>
      </c>
      <c r="D95">
        <f t="shared" si="59"/>
        <v>0</v>
      </c>
      <c r="E95">
        <f t="shared" si="38"/>
        <v>0</v>
      </c>
      <c r="F95">
        <f t="shared" si="60"/>
        <v>0</v>
      </c>
      <c r="G95">
        <f t="shared" si="60"/>
        <v>0</v>
      </c>
      <c r="H95">
        <f t="shared" si="61"/>
        <v>0</v>
      </c>
      <c r="I95">
        <f t="shared" si="61"/>
        <v>0</v>
      </c>
      <c r="J95">
        <f t="shared" si="55"/>
        <v>0</v>
      </c>
      <c r="K95">
        <f t="shared" si="55"/>
        <v>0</v>
      </c>
      <c r="L95">
        <f t="shared" si="55"/>
        <v>0</v>
      </c>
      <c r="M95">
        <f t="shared" si="55"/>
        <v>0</v>
      </c>
      <c r="N95">
        <f t="shared" si="55"/>
        <v>0</v>
      </c>
      <c r="O95">
        <f t="shared" si="55"/>
        <v>0</v>
      </c>
      <c r="P95">
        <f t="shared" si="62"/>
        <v>0</v>
      </c>
      <c r="Q95">
        <f t="shared" si="65"/>
        <v>0</v>
      </c>
      <c r="R95">
        <f t="shared" si="65"/>
        <v>0</v>
      </c>
      <c r="S95">
        <f t="shared" si="65"/>
        <v>0</v>
      </c>
      <c r="T95">
        <f>Z32</f>
        <v>0</v>
      </c>
      <c r="U95">
        <f>AA32</f>
        <v>0</v>
      </c>
      <c r="V95" s="103">
        <f>AB32</f>
        <v>0</v>
      </c>
      <c r="W95">
        <f>D95-AR95</f>
        <v>0</v>
      </c>
      <c r="X95">
        <f>AD32</f>
        <v>0</v>
      </c>
      <c r="Y95">
        <f>AE32</f>
        <v>0</v>
      </c>
      <c r="Z95">
        <f t="shared" si="64"/>
        <v>0</v>
      </c>
      <c r="AA95">
        <f t="shared" si="58"/>
        <v>0</v>
      </c>
      <c r="AB95">
        <f t="shared" si="58"/>
        <v>0</v>
      </c>
      <c r="AC95">
        <f t="shared" si="58"/>
        <v>0</v>
      </c>
      <c r="AD95">
        <f t="shared" si="58"/>
        <v>0</v>
      </c>
      <c r="AE95">
        <f t="shared" si="58"/>
        <v>0</v>
      </c>
      <c r="AF95">
        <f t="shared" si="58"/>
        <v>0</v>
      </c>
      <c r="AG95">
        <f t="shared" si="58"/>
        <v>0</v>
      </c>
      <c r="AH95">
        <f t="shared" si="58"/>
        <v>0</v>
      </c>
      <c r="AI95">
        <f t="shared" si="58"/>
        <v>0</v>
      </c>
      <c r="AJ95">
        <f t="shared" si="58"/>
        <v>0</v>
      </c>
      <c r="AK95">
        <f t="shared" si="58"/>
        <v>0</v>
      </c>
      <c r="AL95">
        <f t="shared" si="58"/>
        <v>0</v>
      </c>
      <c r="AM95">
        <f t="shared" si="58"/>
        <v>0</v>
      </c>
      <c r="AN95">
        <f t="shared" si="58"/>
        <v>0</v>
      </c>
      <c r="AO95">
        <f t="shared" si="58"/>
        <v>0</v>
      </c>
      <c r="AP95">
        <f t="shared" si="58"/>
        <v>0</v>
      </c>
      <c r="AQ95">
        <f t="shared" si="58"/>
        <v>0</v>
      </c>
      <c r="AR95">
        <f>E95+Q95+R95+S95+T95+U95+V95+X95+Y95+Z95+AA95+AB95+AC95+AD95+AE95+AF95+AG95+AH95+AI95+AJ95+AK95+AL95+AM95+AN95+AO95+AP95+AQ95</f>
        <v>0</v>
      </c>
      <c r="AS95">
        <f>D95+W116-AR95</f>
        <v>0</v>
      </c>
    </row>
    <row r="96" spans="1:45" ht="20.25" customHeight="1">
      <c r="A96" t="s">
        <v>68</v>
      </c>
      <c r="B96" t="s">
        <v>69</v>
      </c>
      <c r="C96" t="s">
        <v>70</v>
      </c>
      <c r="D96">
        <f t="shared" si="59"/>
        <v>0</v>
      </c>
      <c r="E96">
        <f t="shared" si="38"/>
        <v>0</v>
      </c>
      <c r="F96">
        <f t="shared" si="60"/>
        <v>0</v>
      </c>
      <c r="G96">
        <f t="shared" si="60"/>
        <v>0</v>
      </c>
      <c r="H96">
        <f t="shared" si="61"/>
        <v>0</v>
      </c>
      <c r="I96">
        <f t="shared" si="61"/>
        <v>0</v>
      </c>
      <c r="J96">
        <f t="shared" si="55"/>
        <v>0</v>
      </c>
      <c r="K96">
        <f t="shared" si="55"/>
        <v>0</v>
      </c>
      <c r="L96">
        <f t="shared" si="55"/>
        <v>0</v>
      </c>
      <c r="M96">
        <f t="shared" si="55"/>
        <v>0</v>
      </c>
      <c r="N96">
        <f t="shared" si="55"/>
        <v>0</v>
      </c>
      <c r="O96">
        <f t="shared" si="55"/>
        <v>0</v>
      </c>
      <c r="P96">
        <f t="shared" si="62"/>
        <v>0</v>
      </c>
      <c r="Q96">
        <f t="shared" si="65"/>
        <v>0</v>
      </c>
      <c r="R96">
        <f t="shared" si="65"/>
        <v>0</v>
      </c>
      <c r="S96">
        <f t="shared" si="65"/>
        <v>0</v>
      </c>
      <c r="T96">
        <f>Z33</f>
        <v>0</v>
      </c>
      <c r="U96">
        <f>AA33</f>
        <v>0</v>
      </c>
      <c r="V96" s="103">
        <f>AB33</f>
        <v>0</v>
      </c>
      <c r="W96">
        <f>AC33</f>
        <v>0</v>
      </c>
      <c r="X96">
        <f>D96-AR96</f>
        <v>0</v>
      </c>
      <c r="Y96">
        <f>AE33</f>
        <v>0</v>
      </c>
      <c r="Z96">
        <f t="shared" si="64"/>
        <v>0</v>
      </c>
      <c r="AA96">
        <f t="shared" si="58"/>
        <v>0</v>
      </c>
      <c r="AB96">
        <f t="shared" si="58"/>
        <v>0</v>
      </c>
      <c r="AC96">
        <f t="shared" si="58"/>
        <v>0</v>
      </c>
      <c r="AD96">
        <f t="shared" si="58"/>
        <v>0</v>
      </c>
      <c r="AE96">
        <f t="shared" si="58"/>
        <v>0</v>
      </c>
      <c r="AF96">
        <f t="shared" si="58"/>
        <v>0</v>
      </c>
      <c r="AG96">
        <f t="shared" si="58"/>
        <v>0</v>
      </c>
      <c r="AH96">
        <f t="shared" si="58"/>
        <v>0</v>
      </c>
      <c r="AI96">
        <f t="shared" si="58"/>
        <v>0</v>
      </c>
      <c r="AJ96">
        <f t="shared" si="58"/>
        <v>0</v>
      </c>
      <c r="AK96">
        <f t="shared" si="58"/>
        <v>0</v>
      </c>
      <c r="AL96">
        <f t="shared" si="58"/>
        <v>0</v>
      </c>
      <c r="AM96">
        <f t="shared" si="58"/>
        <v>0</v>
      </c>
      <c r="AN96">
        <f t="shared" si="58"/>
        <v>0</v>
      </c>
      <c r="AO96">
        <f t="shared" si="58"/>
        <v>0</v>
      </c>
      <c r="AP96">
        <f t="shared" si="58"/>
        <v>0</v>
      </c>
      <c r="AQ96">
        <f t="shared" si="58"/>
        <v>0</v>
      </c>
      <c r="AR96">
        <f>E96+Q96+R96+S96+T96+U96+V96+W96+Y96+Z96+AA96+AB96+AC96+AD96+AE96+AF96+AG96+AH96+AI96+AJ96+AK96+AL96+AM96+AN96+AO96+AP96+AQ96</f>
        <v>0</v>
      </c>
      <c r="AS96">
        <f>D96+X116-AR96</f>
        <v>0</v>
      </c>
    </row>
    <row r="97" spans="1:45" ht="38.25" customHeight="1">
      <c r="A97" t="s">
        <v>71</v>
      </c>
      <c r="B97" t="s">
        <v>135</v>
      </c>
      <c r="C97" t="s">
        <v>72</v>
      </c>
      <c r="D97">
        <f t="shared" si="59"/>
        <v>94.109500000000011</v>
      </c>
      <c r="E97">
        <f t="shared" si="38"/>
        <v>0</v>
      </c>
      <c r="F97">
        <f t="shared" si="60"/>
        <v>0</v>
      </c>
      <c r="G97">
        <f t="shared" si="60"/>
        <v>0</v>
      </c>
      <c r="H97">
        <f t="shared" si="61"/>
        <v>0</v>
      </c>
      <c r="I97">
        <f t="shared" si="61"/>
        <v>0</v>
      </c>
      <c r="J97">
        <f>P34</f>
        <v>0</v>
      </c>
      <c r="K97">
        <f t="shared" si="55"/>
        <v>0</v>
      </c>
      <c r="L97">
        <f t="shared" si="55"/>
        <v>0</v>
      </c>
      <c r="M97">
        <f t="shared" si="55"/>
        <v>0</v>
      </c>
      <c r="N97">
        <f t="shared" si="55"/>
        <v>0</v>
      </c>
      <c r="O97">
        <f t="shared" si="55"/>
        <v>0</v>
      </c>
      <c r="P97">
        <f t="shared" si="62"/>
        <v>94.109500000000011</v>
      </c>
      <c r="Q97">
        <f t="shared" si="65"/>
        <v>0</v>
      </c>
      <c r="R97">
        <f t="shared" si="65"/>
        <v>0</v>
      </c>
      <c r="S97">
        <f t="shared" si="65"/>
        <v>0</v>
      </c>
      <c r="T97">
        <f>Z34</f>
        <v>0</v>
      </c>
      <c r="U97">
        <f>AA34</f>
        <v>0</v>
      </c>
      <c r="V97" s="103">
        <f>AB34</f>
        <v>0</v>
      </c>
      <c r="W97">
        <f>AC34</f>
        <v>0</v>
      </c>
      <c r="X97">
        <f>AD34</f>
        <v>0</v>
      </c>
      <c r="Y97">
        <f>D97-AR97</f>
        <v>93.739500000000007</v>
      </c>
      <c r="Z97">
        <f t="shared" si="64"/>
        <v>0</v>
      </c>
      <c r="AA97">
        <f t="shared" si="58"/>
        <v>0</v>
      </c>
      <c r="AB97">
        <f t="shared" si="58"/>
        <v>0</v>
      </c>
      <c r="AC97">
        <f t="shared" si="58"/>
        <v>0.37</v>
      </c>
      <c r="AD97">
        <f t="shared" si="58"/>
        <v>0</v>
      </c>
      <c r="AE97">
        <f t="shared" si="58"/>
        <v>0</v>
      </c>
      <c r="AF97">
        <f t="shared" si="58"/>
        <v>0</v>
      </c>
      <c r="AG97">
        <f t="shared" si="58"/>
        <v>0</v>
      </c>
      <c r="AH97">
        <f t="shared" si="58"/>
        <v>0</v>
      </c>
      <c r="AI97">
        <f t="shared" si="58"/>
        <v>0</v>
      </c>
      <c r="AJ97">
        <f t="shared" si="58"/>
        <v>0</v>
      </c>
      <c r="AK97">
        <f t="shared" si="58"/>
        <v>0</v>
      </c>
      <c r="AL97">
        <f t="shared" si="58"/>
        <v>0</v>
      </c>
      <c r="AM97">
        <f t="shared" si="58"/>
        <v>0</v>
      </c>
      <c r="AN97">
        <f t="shared" si="58"/>
        <v>0</v>
      </c>
      <c r="AO97">
        <f t="shared" si="58"/>
        <v>0</v>
      </c>
      <c r="AP97">
        <f t="shared" si="58"/>
        <v>0</v>
      </c>
      <c r="AQ97">
        <f t="shared" si="58"/>
        <v>0</v>
      </c>
      <c r="AR97">
        <f>E97+Q97+R97+S97+T97+U97+V97+W97+X97+Z97+AA97+AB97+AC97+AD97+AE97+AF97+AG97+AH97+AI97+AJ97+AK97+AL97+AM97+AN97+AO97+AP97+AQ97</f>
        <v>0.37</v>
      </c>
      <c r="AS97">
        <f>D97+Y116-AR97</f>
        <v>96.969500000000011</v>
      </c>
    </row>
    <row r="98" spans="1:45" ht="20.25" customHeight="1">
      <c r="A98" t="s">
        <v>73</v>
      </c>
      <c r="B98" t="s">
        <v>74</v>
      </c>
      <c r="C98" t="s">
        <v>75</v>
      </c>
      <c r="D98">
        <f>D46</f>
        <v>0</v>
      </c>
      <c r="E98">
        <f t="shared" si="38"/>
        <v>0</v>
      </c>
      <c r="F98">
        <f>H46</f>
        <v>0</v>
      </c>
      <c r="G98">
        <f>I46</f>
        <v>0</v>
      </c>
      <c r="H98">
        <f>M46</f>
        <v>0</v>
      </c>
      <c r="I98">
        <f>N46</f>
        <v>0</v>
      </c>
      <c r="J98">
        <f t="shared" ref="J98:O113" si="67">P46</f>
        <v>0</v>
      </c>
      <c r="K98">
        <f t="shared" si="67"/>
        <v>0</v>
      </c>
      <c r="L98">
        <f t="shared" si="67"/>
        <v>0</v>
      </c>
      <c r="M98">
        <f t="shared" si="67"/>
        <v>0</v>
      </c>
      <c r="N98">
        <f t="shared" si="67"/>
        <v>0</v>
      </c>
      <c r="O98">
        <f t="shared" si="67"/>
        <v>0</v>
      </c>
      <c r="P98">
        <f t="shared" si="62"/>
        <v>0</v>
      </c>
      <c r="Q98">
        <f t="shared" ref="Q98:Y113" si="68">W46</f>
        <v>0</v>
      </c>
      <c r="R98">
        <f t="shared" si="68"/>
        <v>0</v>
      </c>
      <c r="S98">
        <f t="shared" si="68"/>
        <v>0</v>
      </c>
      <c r="T98">
        <f t="shared" si="68"/>
        <v>0</v>
      </c>
      <c r="U98">
        <f t="shared" si="68"/>
        <v>0</v>
      </c>
      <c r="V98" s="103">
        <f t="shared" si="68"/>
        <v>0</v>
      </c>
      <c r="W98">
        <f t="shared" si="68"/>
        <v>0</v>
      </c>
      <c r="X98">
        <f t="shared" si="68"/>
        <v>0</v>
      </c>
      <c r="Y98">
        <f t="shared" si="68"/>
        <v>0</v>
      </c>
      <c r="Z98">
        <f>D98-AR98</f>
        <v>0</v>
      </c>
      <c r="AA98">
        <f>AR46</f>
        <v>0</v>
      </c>
      <c r="AB98">
        <f t="shared" ref="AB98:AQ109" si="69">AS46</f>
        <v>0</v>
      </c>
      <c r="AC98">
        <f t="shared" si="69"/>
        <v>0</v>
      </c>
      <c r="AD98">
        <f t="shared" si="69"/>
        <v>0</v>
      </c>
      <c r="AE98">
        <f t="shared" si="69"/>
        <v>0</v>
      </c>
      <c r="AF98">
        <f t="shared" si="69"/>
        <v>0</v>
      </c>
      <c r="AG98">
        <f t="shared" si="69"/>
        <v>0</v>
      </c>
      <c r="AH98">
        <f t="shared" si="69"/>
        <v>0</v>
      </c>
      <c r="AI98">
        <f t="shared" si="69"/>
        <v>0</v>
      </c>
      <c r="AJ98">
        <f t="shared" si="69"/>
        <v>0</v>
      </c>
      <c r="AK98">
        <f t="shared" si="69"/>
        <v>0</v>
      </c>
      <c r="AL98">
        <f t="shared" si="69"/>
        <v>0</v>
      </c>
      <c r="AM98">
        <f t="shared" si="69"/>
        <v>0</v>
      </c>
      <c r="AN98">
        <f t="shared" si="69"/>
        <v>0</v>
      </c>
      <c r="AO98">
        <f t="shared" si="69"/>
        <v>0</v>
      </c>
      <c r="AP98">
        <f t="shared" si="69"/>
        <v>0</v>
      </c>
      <c r="AQ98">
        <f t="shared" si="69"/>
        <v>0</v>
      </c>
      <c r="AR98">
        <f>E98+Q98+R98+S98+T98+U98+V98+W98+X98+Y98+AA98+AB98+AC98+AD98+AE98+AF98+AG98+AH98+AI98+AJ98+AK98+AL98+AM98+AN98+AO98+AP98+AQ98</f>
        <v>0</v>
      </c>
      <c r="AS98">
        <f>D98+Z116-AR98</f>
        <v>0</v>
      </c>
    </row>
    <row r="99" spans="1:45" ht="20.25" customHeight="1">
      <c r="A99" t="s">
        <v>76</v>
      </c>
      <c r="B99" t="s">
        <v>77</v>
      </c>
      <c r="C99" t="s">
        <v>78</v>
      </c>
      <c r="D99">
        <f t="shared" ref="D99:D114" si="70">D47</f>
        <v>0</v>
      </c>
      <c r="E99">
        <f t="shared" si="38"/>
        <v>0</v>
      </c>
      <c r="F99">
        <f t="shared" ref="F99:G115" si="71">H47</f>
        <v>0</v>
      </c>
      <c r="G99">
        <f t="shared" si="71"/>
        <v>0</v>
      </c>
      <c r="H99">
        <f t="shared" ref="H99:I115" si="72">M47</f>
        <v>0</v>
      </c>
      <c r="I99">
        <f t="shared" si="72"/>
        <v>0</v>
      </c>
      <c r="J99">
        <f t="shared" si="67"/>
        <v>0</v>
      </c>
      <c r="K99">
        <f t="shared" si="67"/>
        <v>0</v>
      </c>
      <c r="L99">
        <f t="shared" si="67"/>
        <v>0</v>
      </c>
      <c r="M99">
        <f t="shared" si="67"/>
        <v>0</v>
      </c>
      <c r="N99">
        <f t="shared" si="67"/>
        <v>0</v>
      </c>
      <c r="O99">
        <f t="shared" si="67"/>
        <v>0</v>
      </c>
      <c r="P99">
        <f t="shared" si="62"/>
        <v>0</v>
      </c>
      <c r="Q99">
        <f t="shared" si="68"/>
        <v>0</v>
      </c>
      <c r="R99">
        <f t="shared" si="68"/>
        <v>0</v>
      </c>
      <c r="S99">
        <f t="shared" si="68"/>
        <v>0</v>
      </c>
      <c r="T99">
        <f t="shared" si="68"/>
        <v>0</v>
      </c>
      <c r="U99">
        <f t="shared" si="68"/>
        <v>0</v>
      </c>
      <c r="V99" s="103">
        <f t="shared" si="68"/>
        <v>0</v>
      </c>
      <c r="W99">
        <f t="shared" si="68"/>
        <v>0</v>
      </c>
      <c r="X99">
        <f t="shared" si="68"/>
        <v>0</v>
      </c>
      <c r="Y99">
        <f t="shared" si="68"/>
        <v>0</v>
      </c>
      <c r="Z99">
        <f>AQ47</f>
        <v>0</v>
      </c>
      <c r="AA99">
        <f>D99-AR99</f>
        <v>0</v>
      </c>
      <c r="AB99">
        <f>AS47</f>
        <v>0</v>
      </c>
      <c r="AC99">
        <f t="shared" si="69"/>
        <v>0</v>
      </c>
      <c r="AD99">
        <f t="shared" si="69"/>
        <v>0</v>
      </c>
      <c r="AE99">
        <f t="shared" si="69"/>
        <v>0</v>
      </c>
      <c r="AF99">
        <f t="shared" si="69"/>
        <v>0</v>
      </c>
      <c r="AG99">
        <f t="shared" si="69"/>
        <v>0</v>
      </c>
      <c r="AH99">
        <f t="shared" si="69"/>
        <v>0</v>
      </c>
      <c r="AI99">
        <f t="shared" si="69"/>
        <v>0</v>
      </c>
      <c r="AJ99">
        <f t="shared" si="69"/>
        <v>0</v>
      </c>
      <c r="AK99">
        <f t="shared" si="69"/>
        <v>0</v>
      </c>
      <c r="AL99">
        <f t="shared" si="69"/>
        <v>0</v>
      </c>
      <c r="AM99">
        <f t="shared" si="69"/>
        <v>0</v>
      </c>
      <c r="AN99">
        <f t="shared" si="69"/>
        <v>0</v>
      </c>
      <c r="AO99">
        <f t="shared" si="69"/>
        <v>0</v>
      </c>
      <c r="AP99">
        <f t="shared" si="69"/>
        <v>0</v>
      </c>
      <c r="AQ99">
        <f t="shared" si="69"/>
        <v>0</v>
      </c>
      <c r="AR99">
        <f>E99+Q99+R99+S99+T99+U99+V99+W99+X99+Y99+Z99+AB99+AC99+AD99+AE99+AF99+AG99+AH99+AI99+AJ99+AK99+AL99+AM99+AN99+AO99+AP99+AQ99</f>
        <v>0</v>
      </c>
      <c r="AS99">
        <f>D99+AA116-AR99</f>
        <v>0</v>
      </c>
    </row>
    <row r="100" spans="1:45" ht="20.25" customHeight="1">
      <c r="A100" t="s">
        <v>79</v>
      </c>
      <c r="B100" t="s">
        <v>80</v>
      </c>
      <c r="C100" t="s">
        <v>81</v>
      </c>
      <c r="D100">
        <f t="shared" si="70"/>
        <v>0</v>
      </c>
      <c r="E100">
        <f t="shared" si="38"/>
        <v>0</v>
      </c>
      <c r="F100">
        <f t="shared" si="71"/>
        <v>0</v>
      </c>
      <c r="G100">
        <f t="shared" si="71"/>
        <v>0</v>
      </c>
      <c r="H100">
        <f t="shared" si="72"/>
        <v>0</v>
      </c>
      <c r="I100">
        <f t="shared" si="72"/>
        <v>0</v>
      </c>
      <c r="J100">
        <f t="shared" si="67"/>
        <v>0</v>
      </c>
      <c r="K100">
        <f t="shared" si="67"/>
        <v>0</v>
      </c>
      <c r="L100">
        <f t="shared" si="67"/>
        <v>0</v>
      </c>
      <c r="M100">
        <f t="shared" si="67"/>
        <v>0</v>
      </c>
      <c r="N100">
        <f t="shared" si="67"/>
        <v>0</v>
      </c>
      <c r="O100">
        <f t="shared" si="67"/>
        <v>0</v>
      </c>
      <c r="P100">
        <f t="shared" si="62"/>
        <v>0</v>
      </c>
      <c r="Q100">
        <f t="shared" si="68"/>
        <v>0</v>
      </c>
      <c r="R100">
        <f t="shared" si="68"/>
        <v>0</v>
      </c>
      <c r="S100">
        <f t="shared" si="68"/>
        <v>0</v>
      </c>
      <c r="T100">
        <f t="shared" si="68"/>
        <v>0</v>
      </c>
      <c r="U100">
        <f t="shared" si="68"/>
        <v>0</v>
      </c>
      <c r="V100" s="103">
        <f t="shared" si="68"/>
        <v>0</v>
      </c>
      <c r="W100">
        <f t="shared" si="68"/>
        <v>0</v>
      </c>
      <c r="X100">
        <f t="shared" si="68"/>
        <v>0</v>
      </c>
      <c r="Y100">
        <f t="shared" si="68"/>
        <v>0</v>
      </c>
      <c r="Z100">
        <f t="shared" ref="Z100:AK115" si="73">AQ48</f>
        <v>0</v>
      </c>
      <c r="AA100">
        <f t="shared" si="73"/>
        <v>0</v>
      </c>
      <c r="AB100">
        <f>D100-AR100</f>
        <v>0</v>
      </c>
      <c r="AC100">
        <f>AT48</f>
        <v>0</v>
      </c>
      <c r="AD100">
        <f t="shared" si="69"/>
        <v>0</v>
      </c>
      <c r="AE100">
        <f t="shared" si="69"/>
        <v>0</v>
      </c>
      <c r="AF100">
        <f t="shared" si="69"/>
        <v>0</v>
      </c>
      <c r="AG100">
        <f t="shared" si="69"/>
        <v>0</v>
      </c>
      <c r="AH100">
        <f t="shared" si="69"/>
        <v>0</v>
      </c>
      <c r="AI100">
        <f t="shared" si="69"/>
        <v>0</v>
      </c>
      <c r="AJ100">
        <f t="shared" si="69"/>
        <v>0</v>
      </c>
      <c r="AK100">
        <f t="shared" si="69"/>
        <v>0</v>
      </c>
      <c r="AL100">
        <f t="shared" si="69"/>
        <v>0</v>
      </c>
      <c r="AM100">
        <f t="shared" si="69"/>
        <v>0</v>
      </c>
      <c r="AN100">
        <f t="shared" si="69"/>
        <v>0</v>
      </c>
      <c r="AO100">
        <f t="shared" si="69"/>
        <v>0</v>
      </c>
      <c r="AP100">
        <f t="shared" si="69"/>
        <v>0</v>
      </c>
      <c r="AQ100">
        <f t="shared" si="69"/>
        <v>0</v>
      </c>
      <c r="AR100">
        <f>E100+Q100+R100+S100+T100+U100+V100+W100+X100+Y100+Z100+AA100+AC100+AD100+AE100+AF100+AG100+AH100+AI100+AJ100+AK100+AL100+AM100+AN100+AO100+AP100+AQ100</f>
        <v>0</v>
      </c>
      <c r="AS100">
        <f>D100+AB116-AR100</f>
        <v>0</v>
      </c>
    </row>
    <row r="101" spans="1:45" ht="20.25" customHeight="1">
      <c r="A101" t="s">
        <v>82</v>
      </c>
      <c r="B101" t="s">
        <v>83</v>
      </c>
      <c r="C101" t="s">
        <v>84</v>
      </c>
      <c r="D101">
        <f t="shared" si="70"/>
        <v>12.53</v>
      </c>
      <c r="E101">
        <f t="shared" si="38"/>
        <v>0</v>
      </c>
      <c r="F101">
        <f t="shared" si="71"/>
        <v>0</v>
      </c>
      <c r="G101">
        <f t="shared" si="71"/>
        <v>0</v>
      </c>
      <c r="H101">
        <f t="shared" si="72"/>
        <v>0</v>
      </c>
      <c r="I101">
        <f t="shared" si="72"/>
        <v>0</v>
      </c>
      <c r="J101">
        <f t="shared" si="67"/>
        <v>0</v>
      </c>
      <c r="K101">
        <f t="shared" si="67"/>
        <v>0</v>
      </c>
      <c r="L101">
        <f t="shared" si="67"/>
        <v>0</v>
      </c>
      <c r="M101">
        <f t="shared" si="67"/>
        <v>0</v>
      </c>
      <c r="N101">
        <f t="shared" si="67"/>
        <v>0</v>
      </c>
      <c r="O101">
        <f t="shared" si="67"/>
        <v>0</v>
      </c>
      <c r="P101">
        <f t="shared" si="62"/>
        <v>12.53</v>
      </c>
      <c r="Q101">
        <f t="shared" si="68"/>
        <v>0</v>
      </c>
      <c r="R101">
        <f t="shared" si="68"/>
        <v>0</v>
      </c>
      <c r="S101">
        <f t="shared" si="68"/>
        <v>0</v>
      </c>
      <c r="T101">
        <f t="shared" si="68"/>
        <v>0</v>
      </c>
      <c r="U101">
        <f t="shared" si="68"/>
        <v>0</v>
      </c>
      <c r="V101" s="103">
        <f t="shared" si="68"/>
        <v>0</v>
      </c>
      <c r="W101">
        <f t="shared" si="68"/>
        <v>0</v>
      </c>
      <c r="X101">
        <f t="shared" si="68"/>
        <v>0</v>
      </c>
      <c r="Y101">
        <f t="shared" si="68"/>
        <v>0.57999999999999996</v>
      </c>
      <c r="Z101">
        <f t="shared" si="73"/>
        <v>0</v>
      </c>
      <c r="AA101">
        <f t="shared" si="73"/>
        <v>0</v>
      </c>
      <c r="AB101">
        <f t="shared" si="73"/>
        <v>0</v>
      </c>
      <c r="AC101">
        <f>D101-AR101</f>
        <v>11.95</v>
      </c>
      <c r="AD101">
        <f>AU49</f>
        <v>0</v>
      </c>
      <c r="AE101">
        <f t="shared" si="69"/>
        <v>0</v>
      </c>
      <c r="AF101">
        <f t="shared" si="69"/>
        <v>0</v>
      </c>
      <c r="AG101">
        <f t="shared" si="69"/>
        <v>0</v>
      </c>
      <c r="AH101">
        <f t="shared" si="69"/>
        <v>0</v>
      </c>
      <c r="AI101">
        <f t="shared" si="69"/>
        <v>0</v>
      </c>
      <c r="AJ101">
        <f t="shared" si="69"/>
        <v>0</v>
      </c>
      <c r="AK101">
        <f t="shared" si="69"/>
        <v>0</v>
      </c>
      <c r="AL101">
        <f t="shared" si="69"/>
        <v>0</v>
      </c>
      <c r="AM101">
        <f t="shared" si="69"/>
        <v>0</v>
      </c>
      <c r="AN101">
        <f t="shared" si="69"/>
        <v>0</v>
      </c>
      <c r="AO101">
        <f t="shared" si="69"/>
        <v>0</v>
      </c>
      <c r="AP101">
        <f t="shared" si="69"/>
        <v>0</v>
      </c>
      <c r="AQ101">
        <f t="shared" si="69"/>
        <v>0</v>
      </c>
      <c r="AR101">
        <f>E101+Q101+R101+S101+T101+U101+V101+W101+X101+Y101+Z101+AA101+AB101+AD101+AE101+AF101+AG101+AH101+AI101+AJ101+AK101+AL101+AM101+AN101+AO101+AP101+AQ101</f>
        <v>0.57999999999999996</v>
      </c>
      <c r="AS101">
        <f>D101+AC116-AR101</f>
        <v>12.62</v>
      </c>
    </row>
    <row r="102" spans="1:45" ht="20.25" customHeight="1">
      <c r="A102" t="s">
        <v>85</v>
      </c>
      <c r="B102" t="s">
        <v>86</v>
      </c>
      <c r="C102" t="s">
        <v>87</v>
      </c>
      <c r="D102">
        <f t="shared" si="70"/>
        <v>0</v>
      </c>
      <c r="E102">
        <f t="shared" si="38"/>
        <v>0</v>
      </c>
      <c r="F102">
        <f t="shared" si="71"/>
        <v>0</v>
      </c>
      <c r="G102">
        <f t="shared" si="71"/>
        <v>0</v>
      </c>
      <c r="H102">
        <f t="shared" si="72"/>
        <v>0</v>
      </c>
      <c r="I102">
        <f t="shared" si="72"/>
        <v>0</v>
      </c>
      <c r="J102">
        <f t="shared" si="67"/>
        <v>0</v>
      </c>
      <c r="K102">
        <f t="shared" si="67"/>
        <v>0</v>
      </c>
      <c r="L102">
        <f t="shared" si="67"/>
        <v>0</v>
      </c>
      <c r="M102">
        <f t="shared" si="67"/>
        <v>0</v>
      </c>
      <c r="N102">
        <f t="shared" si="67"/>
        <v>0</v>
      </c>
      <c r="O102">
        <f t="shared" si="67"/>
        <v>0</v>
      </c>
      <c r="P102">
        <f t="shared" si="62"/>
        <v>0</v>
      </c>
      <c r="Q102">
        <f t="shared" si="68"/>
        <v>0</v>
      </c>
      <c r="R102">
        <f t="shared" si="68"/>
        <v>0</v>
      </c>
      <c r="S102">
        <f t="shared" si="68"/>
        <v>0</v>
      </c>
      <c r="T102">
        <f t="shared" si="68"/>
        <v>0</v>
      </c>
      <c r="U102">
        <f t="shared" si="68"/>
        <v>0</v>
      </c>
      <c r="V102" s="103">
        <f t="shared" si="68"/>
        <v>0</v>
      </c>
      <c r="W102">
        <f t="shared" si="68"/>
        <v>0</v>
      </c>
      <c r="X102">
        <f t="shared" si="68"/>
        <v>0</v>
      </c>
      <c r="Y102">
        <f t="shared" si="68"/>
        <v>0</v>
      </c>
      <c r="Z102">
        <f t="shared" si="73"/>
        <v>0</v>
      </c>
      <c r="AA102">
        <f t="shared" si="73"/>
        <v>0</v>
      </c>
      <c r="AB102">
        <f t="shared" si="73"/>
        <v>0</v>
      </c>
      <c r="AC102">
        <f t="shared" si="73"/>
        <v>0</v>
      </c>
      <c r="AD102">
        <f>D102-AR102</f>
        <v>0</v>
      </c>
      <c r="AE102">
        <f>AV50</f>
        <v>0</v>
      </c>
      <c r="AF102">
        <f t="shared" si="69"/>
        <v>0</v>
      </c>
      <c r="AG102">
        <f t="shared" si="69"/>
        <v>0</v>
      </c>
      <c r="AH102">
        <f t="shared" si="69"/>
        <v>0</v>
      </c>
      <c r="AI102">
        <f t="shared" si="69"/>
        <v>0</v>
      </c>
      <c r="AJ102">
        <f t="shared" si="69"/>
        <v>0</v>
      </c>
      <c r="AK102">
        <f t="shared" si="69"/>
        <v>0</v>
      </c>
      <c r="AL102">
        <f t="shared" si="69"/>
        <v>0</v>
      </c>
      <c r="AM102">
        <f t="shared" si="69"/>
        <v>0</v>
      </c>
      <c r="AN102">
        <f t="shared" si="69"/>
        <v>0</v>
      </c>
      <c r="AO102">
        <f t="shared" si="69"/>
        <v>0</v>
      </c>
      <c r="AP102">
        <f t="shared" si="69"/>
        <v>0</v>
      </c>
      <c r="AQ102">
        <f t="shared" si="69"/>
        <v>0</v>
      </c>
      <c r="AR102">
        <f>E102+Q102+R102+S102+T102+U102+V102+W102+X102+Y102+Z102+AA102+AB102+AC102+AE102+AF102+AG102+AH102+AI102+AJ102+AK102+AL102+AM102+AN102+AO102+AP102+AQ102</f>
        <v>0</v>
      </c>
      <c r="AS102">
        <f>D102+AD116-AR102</f>
        <v>0</v>
      </c>
    </row>
    <row r="103" spans="1:45" ht="20.25" customHeight="1">
      <c r="A103" t="s">
        <v>88</v>
      </c>
      <c r="B103" t="s">
        <v>89</v>
      </c>
      <c r="C103" t="s">
        <v>90</v>
      </c>
      <c r="D103">
        <f t="shared" si="70"/>
        <v>2.15</v>
      </c>
      <c r="E103">
        <f t="shared" si="38"/>
        <v>0</v>
      </c>
      <c r="F103">
        <f t="shared" si="71"/>
        <v>0</v>
      </c>
      <c r="G103">
        <f t="shared" si="71"/>
        <v>0</v>
      </c>
      <c r="H103">
        <f t="shared" si="72"/>
        <v>0</v>
      </c>
      <c r="I103">
        <f t="shared" si="72"/>
        <v>0</v>
      </c>
      <c r="J103">
        <f t="shared" si="67"/>
        <v>0</v>
      </c>
      <c r="K103">
        <f t="shared" si="67"/>
        <v>0</v>
      </c>
      <c r="L103">
        <f t="shared" si="67"/>
        <v>0</v>
      </c>
      <c r="M103">
        <f t="shared" si="67"/>
        <v>0</v>
      </c>
      <c r="N103">
        <f t="shared" si="67"/>
        <v>0</v>
      </c>
      <c r="O103">
        <f t="shared" si="67"/>
        <v>0</v>
      </c>
      <c r="P103">
        <f t="shared" si="62"/>
        <v>2.15</v>
      </c>
      <c r="Q103">
        <f t="shared" si="68"/>
        <v>0</v>
      </c>
      <c r="R103">
        <f t="shared" si="68"/>
        <v>0</v>
      </c>
      <c r="S103">
        <f t="shared" si="68"/>
        <v>0</v>
      </c>
      <c r="T103">
        <f t="shared" si="68"/>
        <v>0</v>
      </c>
      <c r="U103">
        <f t="shared" si="68"/>
        <v>0</v>
      </c>
      <c r="V103" s="103">
        <f t="shared" si="68"/>
        <v>0</v>
      </c>
      <c r="W103">
        <f t="shared" si="68"/>
        <v>0</v>
      </c>
      <c r="X103">
        <f t="shared" si="68"/>
        <v>0</v>
      </c>
      <c r="Y103">
        <f t="shared" si="68"/>
        <v>0</v>
      </c>
      <c r="Z103">
        <f t="shared" si="73"/>
        <v>0</v>
      </c>
      <c r="AA103">
        <f t="shared" si="73"/>
        <v>0</v>
      </c>
      <c r="AB103">
        <f t="shared" si="73"/>
        <v>0</v>
      </c>
      <c r="AC103">
        <f t="shared" si="73"/>
        <v>0</v>
      </c>
      <c r="AD103">
        <f t="shared" si="73"/>
        <v>0</v>
      </c>
      <c r="AE103">
        <f>D103-AR103</f>
        <v>2.15</v>
      </c>
      <c r="AF103">
        <f>AW51</f>
        <v>0</v>
      </c>
      <c r="AG103">
        <f t="shared" si="69"/>
        <v>0</v>
      </c>
      <c r="AH103">
        <f t="shared" si="69"/>
        <v>0</v>
      </c>
      <c r="AI103">
        <f t="shared" si="69"/>
        <v>0</v>
      </c>
      <c r="AJ103">
        <f t="shared" si="69"/>
        <v>0</v>
      </c>
      <c r="AK103">
        <f t="shared" si="69"/>
        <v>0</v>
      </c>
      <c r="AL103">
        <f t="shared" si="69"/>
        <v>0</v>
      </c>
      <c r="AM103">
        <f t="shared" si="69"/>
        <v>0</v>
      </c>
      <c r="AN103">
        <f t="shared" si="69"/>
        <v>0</v>
      </c>
      <c r="AO103">
        <f t="shared" si="69"/>
        <v>0</v>
      </c>
      <c r="AP103">
        <f t="shared" si="69"/>
        <v>0</v>
      </c>
      <c r="AQ103">
        <f t="shared" si="69"/>
        <v>0</v>
      </c>
      <c r="AR103">
        <f>E103+Q103+R103+S103+T103+U103+V103+W103+X103+Y103+Z103+AA103+AB103+AC103+AD103+AF103+AG103+AH103+AI103+AJ103+AK103+AL103+AM103+AN103+AO103+AP103+AQ103</f>
        <v>0</v>
      </c>
      <c r="AS103">
        <f>D103+AE116-AR103</f>
        <v>2.15</v>
      </c>
    </row>
    <row r="104" spans="1:45" ht="37.5" customHeight="1">
      <c r="A104" t="s">
        <v>91</v>
      </c>
      <c r="B104" t="s">
        <v>92</v>
      </c>
      <c r="C104" t="s">
        <v>93</v>
      </c>
      <c r="D104">
        <f t="shared" si="70"/>
        <v>0</v>
      </c>
      <c r="E104">
        <f t="shared" si="38"/>
        <v>0</v>
      </c>
      <c r="F104">
        <f t="shared" si="71"/>
        <v>0</v>
      </c>
      <c r="G104">
        <f t="shared" si="71"/>
        <v>0</v>
      </c>
      <c r="H104">
        <f t="shared" si="72"/>
        <v>0</v>
      </c>
      <c r="I104">
        <f t="shared" si="72"/>
        <v>0</v>
      </c>
      <c r="J104">
        <f t="shared" si="67"/>
        <v>0</v>
      </c>
      <c r="K104">
        <f t="shared" si="67"/>
        <v>0</v>
      </c>
      <c r="L104">
        <f t="shared" si="67"/>
        <v>0</v>
      </c>
      <c r="M104">
        <f t="shared" si="67"/>
        <v>0</v>
      </c>
      <c r="N104">
        <f t="shared" si="67"/>
        <v>0</v>
      </c>
      <c r="O104">
        <f t="shared" si="67"/>
        <v>0</v>
      </c>
      <c r="P104">
        <f t="shared" si="62"/>
        <v>0</v>
      </c>
      <c r="Q104">
        <f t="shared" si="68"/>
        <v>0</v>
      </c>
      <c r="R104">
        <f t="shared" si="68"/>
        <v>0</v>
      </c>
      <c r="S104">
        <f t="shared" si="68"/>
        <v>0</v>
      </c>
      <c r="T104">
        <f t="shared" si="68"/>
        <v>0</v>
      </c>
      <c r="U104">
        <f t="shared" si="68"/>
        <v>0</v>
      </c>
      <c r="V104" s="103">
        <f t="shared" si="68"/>
        <v>0</v>
      </c>
      <c r="W104">
        <f t="shared" si="68"/>
        <v>0</v>
      </c>
      <c r="X104">
        <f t="shared" si="68"/>
        <v>0</v>
      </c>
      <c r="Y104">
        <f t="shared" si="68"/>
        <v>0</v>
      </c>
      <c r="Z104">
        <f t="shared" si="73"/>
        <v>0</v>
      </c>
      <c r="AA104">
        <f t="shared" si="73"/>
        <v>0</v>
      </c>
      <c r="AB104">
        <f t="shared" si="73"/>
        <v>0</v>
      </c>
      <c r="AC104">
        <f t="shared" si="73"/>
        <v>0</v>
      </c>
      <c r="AD104">
        <f t="shared" si="73"/>
        <v>0</v>
      </c>
      <c r="AE104">
        <f t="shared" si="73"/>
        <v>0</v>
      </c>
      <c r="AF104">
        <f>D104-AR104</f>
        <v>0</v>
      </c>
      <c r="AG104">
        <f>AX52</f>
        <v>0</v>
      </c>
      <c r="AH104">
        <f t="shared" si="69"/>
        <v>0</v>
      </c>
      <c r="AI104">
        <f t="shared" si="69"/>
        <v>0</v>
      </c>
      <c r="AJ104">
        <f t="shared" si="69"/>
        <v>0</v>
      </c>
      <c r="AK104">
        <f t="shared" si="69"/>
        <v>0</v>
      </c>
      <c r="AL104">
        <f t="shared" si="69"/>
        <v>0</v>
      </c>
      <c r="AM104">
        <f t="shared" si="69"/>
        <v>0</v>
      </c>
      <c r="AN104">
        <f t="shared" si="69"/>
        <v>0</v>
      </c>
      <c r="AO104">
        <f t="shared" si="69"/>
        <v>0</v>
      </c>
      <c r="AP104">
        <f t="shared" si="69"/>
        <v>0</v>
      </c>
      <c r="AQ104">
        <f t="shared" si="69"/>
        <v>0</v>
      </c>
      <c r="AR104">
        <f>E104+Q104+R104+S104+T104+U104+V104+W104+X104+Y104+Z104+AA104+AB104+AC104+AD104+AE104+AG104+AH104+AI104+AJ104+AK104+AL104+AM104+AN104+AO104+AP104+AQ104</f>
        <v>0</v>
      </c>
      <c r="AS104">
        <f>D104+AF116-AR104</f>
        <v>0</v>
      </c>
    </row>
    <row r="105" spans="1:45" ht="20.25" customHeight="1">
      <c r="A105" t="s">
        <v>94</v>
      </c>
      <c r="B105" t="s">
        <v>95</v>
      </c>
      <c r="C105" t="s">
        <v>96</v>
      </c>
      <c r="D105">
        <f t="shared" si="70"/>
        <v>0</v>
      </c>
      <c r="E105">
        <f t="shared" si="38"/>
        <v>0</v>
      </c>
      <c r="F105">
        <f t="shared" si="71"/>
        <v>0</v>
      </c>
      <c r="G105">
        <f t="shared" si="71"/>
        <v>0</v>
      </c>
      <c r="H105">
        <f t="shared" si="72"/>
        <v>0</v>
      </c>
      <c r="I105">
        <f t="shared" si="72"/>
        <v>0</v>
      </c>
      <c r="J105">
        <f t="shared" si="67"/>
        <v>0</v>
      </c>
      <c r="K105">
        <f t="shared" si="67"/>
        <v>0</v>
      </c>
      <c r="L105">
        <f t="shared" si="67"/>
        <v>0</v>
      </c>
      <c r="M105">
        <f t="shared" si="67"/>
        <v>0</v>
      </c>
      <c r="N105">
        <f t="shared" si="67"/>
        <v>0</v>
      </c>
      <c r="O105">
        <f t="shared" si="67"/>
        <v>0</v>
      </c>
      <c r="P105">
        <f t="shared" si="62"/>
        <v>0</v>
      </c>
      <c r="Q105">
        <f t="shared" si="68"/>
        <v>0</v>
      </c>
      <c r="R105">
        <f t="shared" si="68"/>
        <v>0</v>
      </c>
      <c r="S105">
        <f t="shared" si="68"/>
        <v>0</v>
      </c>
      <c r="T105">
        <f t="shared" si="68"/>
        <v>0</v>
      </c>
      <c r="U105">
        <f t="shared" si="68"/>
        <v>0</v>
      </c>
      <c r="V105" s="103">
        <f t="shared" si="68"/>
        <v>0</v>
      </c>
      <c r="W105">
        <f t="shared" si="68"/>
        <v>0</v>
      </c>
      <c r="X105">
        <f t="shared" si="68"/>
        <v>0</v>
      </c>
      <c r="Y105">
        <f t="shared" si="68"/>
        <v>0</v>
      </c>
      <c r="Z105">
        <f t="shared" si="73"/>
        <v>0</v>
      </c>
      <c r="AA105">
        <f t="shared" si="73"/>
        <v>0</v>
      </c>
      <c r="AB105">
        <f t="shared" si="73"/>
        <v>0</v>
      </c>
      <c r="AC105">
        <f t="shared" si="73"/>
        <v>0</v>
      </c>
      <c r="AD105">
        <f t="shared" si="73"/>
        <v>0</v>
      </c>
      <c r="AE105">
        <f t="shared" si="73"/>
        <v>0</v>
      </c>
      <c r="AF105">
        <f t="shared" si="73"/>
        <v>0</v>
      </c>
      <c r="AG105">
        <f>D105-AR105</f>
        <v>0</v>
      </c>
      <c r="AH105">
        <f>AY53</f>
        <v>0</v>
      </c>
      <c r="AI105">
        <f t="shared" si="69"/>
        <v>0</v>
      </c>
      <c r="AJ105">
        <f t="shared" si="69"/>
        <v>0</v>
      </c>
      <c r="AK105">
        <f t="shared" si="69"/>
        <v>0</v>
      </c>
      <c r="AL105">
        <f t="shared" si="69"/>
        <v>0</v>
      </c>
      <c r="AM105">
        <f t="shared" si="69"/>
        <v>0</v>
      </c>
      <c r="AN105">
        <f t="shared" si="69"/>
        <v>0</v>
      </c>
      <c r="AO105">
        <f t="shared" si="69"/>
        <v>0</v>
      </c>
      <c r="AP105">
        <f t="shared" si="69"/>
        <v>0</v>
      </c>
      <c r="AQ105">
        <f t="shared" si="69"/>
        <v>0</v>
      </c>
      <c r="AR105">
        <f>E105+Q105+R105+S105+T105+U105+V105+W105+X105+Y105+Z105+AA105+AB105+AC105+AD105+AE105+AF105+AH105+AI105+AJ105+AK105+AL105+AM105+AN105+AO105+AP105+AQ105</f>
        <v>0</v>
      </c>
      <c r="AS105">
        <f>D105+AG116-AR105</f>
        <v>0</v>
      </c>
    </row>
    <row r="106" spans="1:45" ht="20.25" customHeight="1">
      <c r="A106" t="s">
        <v>97</v>
      </c>
      <c r="B106" t="s">
        <v>98</v>
      </c>
      <c r="C106" t="s">
        <v>99</v>
      </c>
      <c r="D106">
        <f t="shared" si="70"/>
        <v>0</v>
      </c>
      <c r="E106">
        <f t="shared" si="38"/>
        <v>0</v>
      </c>
      <c r="F106">
        <f t="shared" si="71"/>
        <v>0</v>
      </c>
      <c r="G106">
        <f t="shared" si="71"/>
        <v>0</v>
      </c>
      <c r="H106">
        <f t="shared" si="72"/>
        <v>0</v>
      </c>
      <c r="I106">
        <f t="shared" si="72"/>
        <v>0</v>
      </c>
      <c r="J106">
        <f t="shared" si="67"/>
        <v>0</v>
      </c>
      <c r="K106">
        <f t="shared" si="67"/>
        <v>0</v>
      </c>
      <c r="L106">
        <f t="shared" si="67"/>
        <v>0</v>
      </c>
      <c r="M106">
        <f t="shared" si="67"/>
        <v>0</v>
      </c>
      <c r="N106">
        <f t="shared" si="67"/>
        <v>0</v>
      </c>
      <c r="O106">
        <f t="shared" si="67"/>
        <v>0</v>
      </c>
      <c r="P106">
        <f t="shared" si="62"/>
        <v>0</v>
      </c>
      <c r="Q106">
        <f t="shared" si="68"/>
        <v>0</v>
      </c>
      <c r="R106">
        <f t="shared" si="68"/>
        <v>0</v>
      </c>
      <c r="S106">
        <f t="shared" si="68"/>
        <v>0</v>
      </c>
      <c r="T106">
        <f t="shared" si="68"/>
        <v>0</v>
      </c>
      <c r="U106">
        <f t="shared" si="68"/>
        <v>0</v>
      </c>
      <c r="V106" s="103">
        <f t="shared" si="68"/>
        <v>0</v>
      </c>
      <c r="W106">
        <f t="shared" si="68"/>
        <v>0</v>
      </c>
      <c r="X106">
        <f t="shared" si="68"/>
        <v>0</v>
      </c>
      <c r="Y106">
        <f t="shared" si="68"/>
        <v>0</v>
      </c>
      <c r="Z106">
        <f t="shared" si="73"/>
        <v>0</v>
      </c>
      <c r="AA106">
        <f t="shared" si="73"/>
        <v>0</v>
      </c>
      <c r="AB106">
        <f t="shared" si="73"/>
        <v>0</v>
      </c>
      <c r="AC106">
        <f t="shared" si="73"/>
        <v>0</v>
      </c>
      <c r="AD106">
        <f t="shared" si="73"/>
        <v>0</v>
      </c>
      <c r="AE106">
        <f t="shared" si="73"/>
        <v>0</v>
      </c>
      <c r="AF106">
        <f t="shared" si="73"/>
        <v>0</v>
      </c>
      <c r="AG106">
        <f t="shared" si="73"/>
        <v>0</v>
      </c>
      <c r="AH106">
        <f>D106-AR106</f>
        <v>0</v>
      </c>
      <c r="AI106">
        <f>AZ54</f>
        <v>0</v>
      </c>
      <c r="AJ106">
        <f t="shared" si="69"/>
        <v>0</v>
      </c>
      <c r="AK106">
        <f t="shared" si="69"/>
        <v>0</v>
      </c>
      <c r="AL106">
        <f t="shared" si="69"/>
        <v>0</v>
      </c>
      <c r="AM106">
        <f t="shared" si="69"/>
        <v>0</v>
      </c>
      <c r="AN106">
        <f t="shared" si="69"/>
        <v>0</v>
      </c>
      <c r="AO106">
        <f t="shared" si="69"/>
        <v>0</v>
      </c>
      <c r="AP106">
        <f t="shared" si="69"/>
        <v>0</v>
      </c>
      <c r="AQ106">
        <f t="shared" si="69"/>
        <v>0</v>
      </c>
      <c r="AR106">
        <f>E106+Q106+R106+S106+T106+U106+V106+W106+X106+Y106+Z106+AA106+AB106+AC106+AD106+AE106+AF106+AG106+AI106+AJ106+AK106+AL106+AM106+AN106+AO106+AP106+AQ106</f>
        <v>0</v>
      </c>
      <c r="AS106">
        <f>D106+AH116-AR106</f>
        <v>0</v>
      </c>
    </row>
    <row r="107" spans="1:45" ht="31.5" customHeight="1">
      <c r="A107" t="s">
        <v>100</v>
      </c>
      <c r="B107" t="s">
        <v>134</v>
      </c>
      <c r="C107" t="s">
        <v>101</v>
      </c>
      <c r="D107">
        <f t="shared" si="70"/>
        <v>3.54</v>
      </c>
      <c r="E107">
        <f t="shared" si="38"/>
        <v>0</v>
      </c>
      <c r="F107">
        <f t="shared" si="71"/>
        <v>0</v>
      </c>
      <c r="G107">
        <f t="shared" si="71"/>
        <v>0</v>
      </c>
      <c r="H107">
        <f t="shared" si="72"/>
        <v>0</v>
      </c>
      <c r="I107">
        <f t="shared" si="72"/>
        <v>0</v>
      </c>
      <c r="J107">
        <f t="shared" si="67"/>
        <v>0</v>
      </c>
      <c r="K107">
        <f t="shared" si="67"/>
        <v>0</v>
      </c>
      <c r="L107">
        <f t="shared" si="67"/>
        <v>0</v>
      </c>
      <c r="M107">
        <f t="shared" si="67"/>
        <v>0</v>
      </c>
      <c r="N107">
        <f t="shared" si="67"/>
        <v>0</v>
      </c>
      <c r="O107">
        <f t="shared" si="67"/>
        <v>0</v>
      </c>
      <c r="P107">
        <f t="shared" si="62"/>
        <v>3.54</v>
      </c>
      <c r="Q107">
        <f t="shared" si="68"/>
        <v>0</v>
      </c>
      <c r="R107">
        <f t="shared" si="68"/>
        <v>0</v>
      </c>
      <c r="S107">
        <f t="shared" si="68"/>
        <v>0</v>
      </c>
      <c r="T107">
        <f t="shared" si="68"/>
        <v>0</v>
      </c>
      <c r="U107">
        <f t="shared" si="68"/>
        <v>0</v>
      </c>
      <c r="V107" s="103">
        <f t="shared" si="68"/>
        <v>0</v>
      </c>
      <c r="W107">
        <f t="shared" si="68"/>
        <v>0</v>
      </c>
      <c r="X107">
        <f t="shared" si="68"/>
        <v>0</v>
      </c>
      <c r="Y107">
        <f t="shared" si="68"/>
        <v>0</v>
      </c>
      <c r="Z107">
        <f t="shared" si="73"/>
        <v>0</v>
      </c>
      <c r="AA107">
        <f t="shared" si="73"/>
        <v>0</v>
      </c>
      <c r="AB107">
        <f t="shared" si="73"/>
        <v>0</v>
      </c>
      <c r="AC107">
        <f t="shared" si="73"/>
        <v>0</v>
      </c>
      <c r="AD107">
        <f t="shared" si="73"/>
        <v>0</v>
      </c>
      <c r="AE107">
        <f t="shared" si="73"/>
        <v>0</v>
      </c>
      <c r="AF107">
        <f t="shared" si="73"/>
        <v>0</v>
      </c>
      <c r="AG107">
        <f t="shared" si="73"/>
        <v>0</v>
      </c>
      <c r="AH107">
        <f t="shared" si="73"/>
        <v>0</v>
      </c>
      <c r="AI107">
        <f>D107-AR107</f>
        <v>3.54</v>
      </c>
      <c r="AJ107">
        <f>BA55</f>
        <v>0</v>
      </c>
      <c r="AK107">
        <f t="shared" si="69"/>
        <v>0</v>
      </c>
      <c r="AL107">
        <f t="shared" si="69"/>
        <v>0</v>
      </c>
      <c r="AM107">
        <f t="shared" si="69"/>
        <v>0</v>
      </c>
      <c r="AN107">
        <f t="shared" si="69"/>
        <v>0</v>
      </c>
      <c r="AO107">
        <f t="shared" si="69"/>
        <v>0</v>
      </c>
      <c r="AP107">
        <f t="shared" si="69"/>
        <v>0</v>
      </c>
      <c r="AQ107">
        <f t="shared" si="69"/>
        <v>0</v>
      </c>
      <c r="AR107">
        <f>E107+Q107+R107+S107+T107+U107+V107+W107+X107+Y107+Z107+AA107+AB107+AC107+AD107+AE107+AF107+AG107+AH107+AJ107+AK107+AL107+AM107+AN107+AO107+AP107+AQ107</f>
        <v>0</v>
      </c>
      <c r="AS107">
        <f>D107+AI116-AR107</f>
        <v>3.54</v>
      </c>
    </row>
    <row r="108" spans="1:45" ht="20.25" customHeight="1">
      <c r="A108" t="s">
        <v>102</v>
      </c>
      <c r="B108" t="s">
        <v>103</v>
      </c>
      <c r="C108" t="s">
        <v>104</v>
      </c>
      <c r="D108">
        <f t="shared" si="70"/>
        <v>0</v>
      </c>
      <c r="E108">
        <f t="shared" si="38"/>
        <v>0</v>
      </c>
      <c r="F108">
        <f t="shared" si="71"/>
        <v>0</v>
      </c>
      <c r="G108">
        <f t="shared" si="71"/>
        <v>0</v>
      </c>
      <c r="H108">
        <f t="shared" si="72"/>
        <v>0</v>
      </c>
      <c r="I108">
        <f t="shared" si="72"/>
        <v>0</v>
      </c>
      <c r="J108">
        <f t="shared" si="67"/>
        <v>0</v>
      </c>
      <c r="K108">
        <f t="shared" si="67"/>
        <v>0</v>
      </c>
      <c r="L108">
        <f t="shared" si="67"/>
        <v>0</v>
      </c>
      <c r="M108">
        <f t="shared" si="67"/>
        <v>0</v>
      </c>
      <c r="N108">
        <f t="shared" si="67"/>
        <v>0</v>
      </c>
      <c r="O108">
        <f t="shared" si="67"/>
        <v>0</v>
      </c>
      <c r="P108">
        <f t="shared" si="62"/>
        <v>0</v>
      </c>
      <c r="Q108">
        <f t="shared" si="68"/>
        <v>0</v>
      </c>
      <c r="R108">
        <f t="shared" si="68"/>
        <v>0</v>
      </c>
      <c r="S108">
        <f t="shared" si="68"/>
        <v>0</v>
      </c>
      <c r="T108">
        <f t="shared" si="68"/>
        <v>0</v>
      </c>
      <c r="U108">
        <f t="shared" si="68"/>
        <v>0</v>
      </c>
      <c r="V108" s="103">
        <f t="shared" si="68"/>
        <v>0</v>
      </c>
      <c r="W108">
        <f t="shared" si="68"/>
        <v>0</v>
      </c>
      <c r="X108">
        <f t="shared" si="68"/>
        <v>0</v>
      </c>
      <c r="Y108">
        <f t="shared" si="68"/>
        <v>0</v>
      </c>
      <c r="Z108">
        <f t="shared" si="73"/>
        <v>0</v>
      </c>
      <c r="AA108">
        <f t="shared" si="73"/>
        <v>0</v>
      </c>
      <c r="AB108">
        <f t="shared" si="73"/>
        <v>0</v>
      </c>
      <c r="AC108">
        <f t="shared" si="73"/>
        <v>0</v>
      </c>
      <c r="AD108">
        <f t="shared" si="73"/>
        <v>0</v>
      </c>
      <c r="AE108">
        <f t="shared" si="73"/>
        <v>0</v>
      </c>
      <c r="AF108">
        <f t="shared" si="73"/>
        <v>0</v>
      </c>
      <c r="AG108">
        <f t="shared" si="73"/>
        <v>0</v>
      </c>
      <c r="AH108">
        <f t="shared" si="73"/>
        <v>0</v>
      </c>
      <c r="AI108">
        <f t="shared" si="73"/>
        <v>0</v>
      </c>
      <c r="AJ108">
        <f>D108-AR108</f>
        <v>0</v>
      </c>
      <c r="AK108">
        <f>BB56</f>
        <v>0</v>
      </c>
      <c r="AL108">
        <f t="shared" si="69"/>
        <v>0</v>
      </c>
      <c r="AM108">
        <f t="shared" si="69"/>
        <v>0</v>
      </c>
      <c r="AN108">
        <f t="shared" si="69"/>
        <v>0</v>
      </c>
      <c r="AO108">
        <f t="shared" si="69"/>
        <v>0</v>
      </c>
      <c r="AP108">
        <f t="shared" si="69"/>
        <v>0</v>
      </c>
      <c r="AQ108">
        <f t="shared" si="69"/>
        <v>0</v>
      </c>
      <c r="AR108">
        <f>E108+Q108+R108+S108+T108+U108+V108+W108+X108+Y108+Z108+AA108+AB108+AC108+AD108+AE108+AF108+AG108+AH108+AI108+AK108+AL108+AM108+AN108+AO108+AP108+AQ108</f>
        <v>0</v>
      </c>
      <c r="AS108">
        <f>D108+AJ116-AR108</f>
        <v>0</v>
      </c>
    </row>
    <row r="109" spans="1:45" ht="20.25" customHeight="1">
      <c r="A109" t="s">
        <v>105</v>
      </c>
      <c r="B109" t="s">
        <v>106</v>
      </c>
      <c r="C109" t="s">
        <v>107</v>
      </c>
      <c r="D109">
        <f t="shared" si="70"/>
        <v>0.47</v>
      </c>
      <c r="E109">
        <f t="shared" si="38"/>
        <v>0</v>
      </c>
      <c r="F109">
        <f t="shared" si="71"/>
        <v>0</v>
      </c>
      <c r="G109">
        <f t="shared" si="71"/>
        <v>0</v>
      </c>
      <c r="H109">
        <f t="shared" si="72"/>
        <v>0</v>
      </c>
      <c r="I109">
        <f t="shared" si="72"/>
        <v>0</v>
      </c>
      <c r="J109">
        <f t="shared" si="67"/>
        <v>0</v>
      </c>
      <c r="K109">
        <f t="shared" si="67"/>
        <v>0</v>
      </c>
      <c r="L109">
        <f t="shared" si="67"/>
        <v>0</v>
      </c>
      <c r="M109">
        <f t="shared" si="67"/>
        <v>0</v>
      </c>
      <c r="N109">
        <f t="shared" si="67"/>
        <v>0</v>
      </c>
      <c r="O109">
        <f t="shared" si="67"/>
        <v>0</v>
      </c>
      <c r="P109">
        <f t="shared" si="62"/>
        <v>0.47</v>
      </c>
      <c r="Q109">
        <f t="shared" si="68"/>
        <v>0</v>
      </c>
      <c r="R109">
        <f t="shared" si="68"/>
        <v>0</v>
      </c>
      <c r="S109">
        <f t="shared" si="68"/>
        <v>0</v>
      </c>
      <c r="T109">
        <f t="shared" si="68"/>
        <v>0</v>
      </c>
      <c r="U109">
        <f t="shared" si="68"/>
        <v>0</v>
      </c>
      <c r="V109" s="103">
        <f t="shared" si="68"/>
        <v>0</v>
      </c>
      <c r="W109">
        <f t="shared" si="68"/>
        <v>0</v>
      </c>
      <c r="X109">
        <f t="shared" si="68"/>
        <v>0</v>
      </c>
      <c r="Y109">
        <f t="shared" si="68"/>
        <v>0</v>
      </c>
      <c r="Z109">
        <f t="shared" si="73"/>
        <v>0</v>
      </c>
      <c r="AA109">
        <f t="shared" si="73"/>
        <v>0</v>
      </c>
      <c r="AB109">
        <f t="shared" si="73"/>
        <v>0</v>
      </c>
      <c r="AC109">
        <f t="shared" si="73"/>
        <v>0</v>
      </c>
      <c r="AD109">
        <f t="shared" si="73"/>
        <v>0</v>
      </c>
      <c r="AE109">
        <f t="shared" si="73"/>
        <v>0</v>
      </c>
      <c r="AF109">
        <f t="shared" si="73"/>
        <v>0</v>
      </c>
      <c r="AG109">
        <f t="shared" si="73"/>
        <v>0</v>
      </c>
      <c r="AH109">
        <f t="shared" si="73"/>
        <v>0</v>
      </c>
      <c r="AI109">
        <f t="shared" si="73"/>
        <v>0</v>
      </c>
      <c r="AJ109">
        <f t="shared" si="73"/>
        <v>0</v>
      </c>
      <c r="AK109">
        <f>D109-AR109</f>
        <v>0.47</v>
      </c>
      <c r="AL109">
        <f t="shared" si="69"/>
        <v>0</v>
      </c>
      <c r="AM109">
        <f t="shared" si="69"/>
        <v>0</v>
      </c>
      <c r="AN109">
        <f t="shared" si="69"/>
        <v>0</v>
      </c>
      <c r="AO109">
        <f t="shared" si="69"/>
        <v>0</v>
      </c>
      <c r="AP109">
        <f t="shared" si="69"/>
        <v>0</v>
      </c>
      <c r="AQ109">
        <f t="shared" si="69"/>
        <v>0</v>
      </c>
      <c r="AR109">
        <f>E109+Q109+R109+S109+T109+U109+V109+W109+X109+Y109+Z109+AA109+AB109+AC109+AD109+AE109+AF109+AG109+AH109+AI109+AJ109+AL109+AM109+AN109+AO109+AP109+AQ109</f>
        <v>0</v>
      </c>
      <c r="AS109">
        <f>D109+AK116-AR109</f>
        <v>0.47</v>
      </c>
    </row>
    <row r="110" spans="1:45" ht="20.25" customHeight="1">
      <c r="A110" t="s">
        <v>108</v>
      </c>
      <c r="B110" t="s">
        <v>109</v>
      </c>
      <c r="C110" t="s">
        <v>110</v>
      </c>
      <c r="D110">
        <f t="shared" si="70"/>
        <v>0</v>
      </c>
      <c r="E110">
        <f t="shared" si="38"/>
        <v>0</v>
      </c>
      <c r="F110">
        <f t="shared" si="71"/>
        <v>0</v>
      </c>
      <c r="G110">
        <f t="shared" si="71"/>
        <v>0</v>
      </c>
      <c r="H110">
        <f t="shared" si="72"/>
        <v>0</v>
      </c>
      <c r="I110">
        <f t="shared" si="72"/>
        <v>0</v>
      </c>
      <c r="J110">
        <f t="shared" si="67"/>
        <v>0</v>
      </c>
      <c r="K110">
        <f t="shared" si="67"/>
        <v>0</v>
      </c>
      <c r="L110">
        <f t="shared" si="67"/>
        <v>0</v>
      </c>
      <c r="M110">
        <f t="shared" si="67"/>
        <v>0</v>
      </c>
      <c r="N110">
        <f t="shared" si="67"/>
        <v>0</v>
      </c>
      <c r="O110">
        <f t="shared" si="67"/>
        <v>0</v>
      </c>
      <c r="P110">
        <f t="shared" si="62"/>
        <v>0</v>
      </c>
      <c r="Q110">
        <f t="shared" si="68"/>
        <v>0</v>
      </c>
      <c r="R110">
        <f t="shared" si="68"/>
        <v>0</v>
      </c>
      <c r="S110">
        <f t="shared" si="68"/>
        <v>0</v>
      </c>
      <c r="T110">
        <f t="shared" si="68"/>
        <v>0</v>
      </c>
      <c r="U110">
        <f t="shared" si="68"/>
        <v>0</v>
      </c>
      <c r="V110" s="103">
        <f t="shared" si="68"/>
        <v>0</v>
      </c>
      <c r="W110">
        <f t="shared" si="68"/>
        <v>0</v>
      </c>
      <c r="X110">
        <f t="shared" si="68"/>
        <v>0</v>
      </c>
      <c r="Y110">
        <f t="shared" si="68"/>
        <v>0</v>
      </c>
      <c r="Z110">
        <f t="shared" si="73"/>
        <v>0</v>
      </c>
      <c r="AA110">
        <f t="shared" si="73"/>
        <v>0</v>
      </c>
      <c r="AB110">
        <f t="shared" si="73"/>
        <v>0</v>
      </c>
      <c r="AC110">
        <f t="shared" si="73"/>
        <v>0</v>
      </c>
      <c r="AD110">
        <f t="shared" si="73"/>
        <v>0</v>
      </c>
      <c r="AE110">
        <f t="shared" si="73"/>
        <v>0</v>
      </c>
      <c r="AF110">
        <f t="shared" si="73"/>
        <v>0</v>
      </c>
      <c r="AG110">
        <f t="shared" si="73"/>
        <v>0</v>
      </c>
      <c r="AH110">
        <f t="shared" si="73"/>
        <v>0</v>
      </c>
      <c r="AI110">
        <f t="shared" si="73"/>
        <v>0</v>
      </c>
      <c r="AJ110">
        <f t="shared" si="73"/>
        <v>0</v>
      </c>
      <c r="AK110">
        <f t="shared" si="73"/>
        <v>0</v>
      </c>
      <c r="AL110">
        <f>D110-AR110</f>
        <v>0</v>
      </c>
      <c r="AM110">
        <f>BD58</f>
        <v>0</v>
      </c>
      <c r="AN110">
        <f>BE58</f>
        <v>0</v>
      </c>
      <c r="AO110">
        <f>BF58</f>
        <v>0</v>
      </c>
      <c r="AP110">
        <f>BG58</f>
        <v>0</v>
      </c>
      <c r="AQ110">
        <f>BH58</f>
        <v>0</v>
      </c>
      <c r="AR110">
        <f>E110+Q110+R110+S110+T110+U110+V110+W110+X110+Y110+Z110+AA110+AB110+AC110+AD110+AE110+AF110+AG110+AH110+AI110+AJ110+AK110+AM110+AN110+AO110+AP110+AQ110</f>
        <v>0</v>
      </c>
      <c r="AS110">
        <f>D110+AL116-AR110</f>
        <v>0</v>
      </c>
    </row>
    <row r="111" spans="1:45" ht="20.25" customHeight="1">
      <c r="A111" t="s">
        <v>111</v>
      </c>
      <c r="B111" t="s">
        <v>112</v>
      </c>
      <c r="C111" t="s">
        <v>113</v>
      </c>
      <c r="D111">
        <f t="shared" si="70"/>
        <v>0</v>
      </c>
      <c r="E111">
        <f t="shared" si="38"/>
        <v>0</v>
      </c>
      <c r="F111">
        <f t="shared" si="71"/>
        <v>0</v>
      </c>
      <c r="G111">
        <f t="shared" si="71"/>
        <v>0</v>
      </c>
      <c r="H111">
        <f t="shared" si="72"/>
        <v>0</v>
      </c>
      <c r="I111">
        <f t="shared" si="72"/>
        <v>0</v>
      </c>
      <c r="J111">
        <f t="shared" si="67"/>
        <v>0</v>
      </c>
      <c r="K111">
        <f t="shared" si="67"/>
        <v>0</v>
      </c>
      <c r="L111">
        <f t="shared" si="67"/>
        <v>0</v>
      </c>
      <c r="M111">
        <f t="shared" si="67"/>
        <v>0</v>
      </c>
      <c r="N111">
        <f t="shared" si="67"/>
        <v>0</v>
      </c>
      <c r="O111">
        <f t="shared" si="67"/>
        <v>0</v>
      </c>
      <c r="P111">
        <f t="shared" si="62"/>
        <v>0</v>
      </c>
      <c r="Q111">
        <f t="shared" si="68"/>
        <v>0</v>
      </c>
      <c r="R111">
        <f t="shared" si="68"/>
        <v>0</v>
      </c>
      <c r="S111">
        <f t="shared" si="68"/>
        <v>0</v>
      </c>
      <c r="T111">
        <f t="shared" si="68"/>
        <v>0</v>
      </c>
      <c r="U111">
        <f t="shared" si="68"/>
        <v>0</v>
      </c>
      <c r="V111" s="103">
        <f t="shared" si="68"/>
        <v>0</v>
      </c>
      <c r="W111">
        <f t="shared" si="68"/>
        <v>0</v>
      </c>
      <c r="X111">
        <f t="shared" si="68"/>
        <v>0</v>
      </c>
      <c r="Y111">
        <f t="shared" si="68"/>
        <v>0</v>
      </c>
      <c r="Z111">
        <f t="shared" si="73"/>
        <v>0</v>
      </c>
      <c r="AA111">
        <f t="shared" si="73"/>
        <v>0</v>
      </c>
      <c r="AB111">
        <f t="shared" si="73"/>
        <v>0</v>
      </c>
      <c r="AC111">
        <f t="shared" si="73"/>
        <v>0</v>
      </c>
      <c r="AD111">
        <f t="shared" si="73"/>
        <v>0</v>
      </c>
      <c r="AE111">
        <f t="shared" si="73"/>
        <v>0</v>
      </c>
      <c r="AF111">
        <f t="shared" si="73"/>
        <v>0</v>
      </c>
      <c r="AG111">
        <f t="shared" si="73"/>
        <v>0</v>
      </c>
      <c r="AH111">
        <f t="shared" si="73"/>
        <v>0</v>
      </c>
      <c r="AI111">
        <f t="shared" si="73"/>
        <v>0</v>
      </c>
      <c r="AJ111">
        <f t="shared" si="73"/>
        <v>0</v>
      </c>
      <c r="AK111">
        <f t="shared" si="73"/>
        <v>0</v>
      </c>
      <c r="AL111">
        <f>BC59</f>
        <v>0</v>
      </c>
      <c r="AM111">
        <f>D111-AR111</f>
        <v>0</v>
      </c>
      <c r="AN111">
        <f>BE59</f>
        <v>0</v>
      </c>
      <c r="AO111">
        <f>BF59</f>
        <v>0</v>
      </c>
      <c r="AP111">
        <f>BG59</f>
        <v>0</v>
      </c>
      <c r="AQ111">
        <f>BH59</f>
        <v>0</v>
      </c>
      <c r="AR111">
        <f>E111+Q111+R111+S111+T111+U111+V111+W111+X111+Y111+Z111+AA111+AB111+AC111+AD111+AE111+AF111+AG111+AH111+AI111+AJ111+AK111+AL111+AN111+AO111+AP111+AQ111</f>
        <v>0</v>
      </c>
      <c r="AS111">
        <f>D111+AM116-AR111</f>
        <v>0</v>
      </c>
    </row>
    <row r="112" spans="1:45" ht="20.25" customHeight="1">
      <c r="A112" t="s">
        <v>114</v>
      </c>
      <c r="B112" t="s">
        <v>115</v>
      </c>
      <c r="C112" t="s">
        <v>116</v>
      </c>
      <c r="D112">
        <f t="shared" si="70"/>
        <v>106</v>
      </c>
      <c r="E112">
        <f t="shared" si="38"/>
        <v>0</v>
      </c>
      <c r="F112">
        <f t="shared" si="71"/>
        <v>0</v>
      </c>
      <c r="G112">
        <f t="shared" si="71"/>
        <v>0</v>
      </c>
      <c r="H112">
        <f t="shared" si="72"/>
        <v>0</v>
      </c>
      <c r="I112">
        <f t="shared" si="72"/>
        <v>0</v>
      </c>
      <c r="J112">
        <f t="shared" si="67"/>
        <v>0</v>
      </c>
      <c r="K112">
        <f t="shared" si="67"/>
        <v>0</v>
      </c>
      <c r="L112">
        <f t="shared" si="67"/>
        <v>0</v>
      </c>
      <c r="M112">
        <f t="shared" si="67"/>
        <v>0</v>
      </c>
      <c r="N112">
        <f t="shared" si="67"/>
        <v>0</v>
      </c>
      <c r="O112">
        <f t="shared" si="67"/>
        <v>0</v>
      </c>
      <c r="P112">
        <f t="shared" si="62"/>
        <v>106</v>
      </c>
      <c r="Q112">
        <f t="shared" si="68"/>
        <v>0</v>
      </c>
      <c r="R112">
        <f t="shared" si="68"/>
        <v>0</v>
      </c>
      <c r="S112">
        <f t="shared" si="68"/>
        <v>0</v>
      </c>
      <c r="T112">
        <f t="shared" si="68"/>
        <v>0</v>
      </c>
      <c r="U112">
        <f t="shared" si="68"/>
        <v>0</v>
      </c>
      <c r="V112" s="103">
        <f t="shared" si="68"/>
        <v>0</v>
      </c>
      <c r="W112">
        <f t="shared" si="68"/>
        <v>0</v>
      </c>
      <c r="X112">
        <f t="shared" si="68"/>
        <v>0</v>
      </c>
      <c r="Y112">
        <f t="shared" si="68"/>
        <v>0</v>
      </c>
      <c r="Z112">
        <f t="shared" si="73"/>
        <v>0</v>
      </c>
      <c r="AA112">
        <f t="shared" si="73"/>
        <v>0</v>
      </c>
      <c r="AB112">
        <f t="shared" si="73"/>
        <v>0</v>
      </c>
      <c r="AC112">
        <f t="shared" si="73"/>
        <v>0</v>
      </c>
      <c r="AD112">
        <f t="shared" si="73"/>
        <v>0</v>
      </c>
      <c r="AE112">
        <f t="shared" si="73"/>
        <v>0</v>
      </c>
      <c r="AF112">
        <f t="shared" si="73"/>
        <v>0</v>
      </c>
      <c r="AG112">
        <f t="shared" si="73"/>
        <v>0</v>
      </c>
      <c r="AH112">
        <f t="shared" si="73"/>
        <v>0</v>
      </c>
      <c r="AI112">
        <f t="shared" si="73"/>
        <v>0</v>
      </c>
      <c r="AJ112">
        <f t="shared" si="73"/>
        <v>0</v>
      </c>
      <c r="AK112">
        <f t="shared" si="73"/>
        <v>0</v>
      </c>
      <c r="AL112">
        <f>BC60</f>
        <v>0</v>
      </c>
      <c r="AM112">
        <f>BD60</f>
        <v>0</v>
      </c>
      <c r="AN112">
        <f>D112-AR112</f>
        <v>106</v>
      </c>
      <c r="AO112">
        <f>BF60</f>
        <v>0</v>
      </c>
      <c r="AP112">
        <f>BG60</f>
        <v>0</v>
      </c>
      <c r="AQ112">
        <f>BH60</f>
        <v>0</v>
      </c>
      <c r="AR112">
        <f>E112+Q112+R112+S112+T112+U112+V112+W112+X112+Y112+Z112+AA112+AB112+AC112+AD112+AE112+AF112+AG112+AH112+AI112+AJ112+AK112+AL112+AM112+AO112+AP112+AQ112</f>
        <v>0</v>
      </c>
      <c r="AS112">
        <f>D112+AN116-AR112</f>
        <v>106</v>
      </c>
    </row>
    <row r="113" spans="1:45" ht="20.25" customHeight="1">
      <c r="A113" t="s">
        <v>117</v>
      </c>
      <c r="B113" t="s">
        <v>118</v>
      </c>
      <c r="C113" t="s">
        <v>119</v>
      </c>
      <c r="D113">
        <f t="shared" si="70"/>
        <v>355.57</v>
      </c>
      <c r="E113">
        <f t="shared" si="38"/>
        <v>0</v>
      </c>
      <c r="F113">
        <f t="shared" si="71"/>
        <v>0</v>
      </c>
      <c r="G113">
        <f t="shared" si="71"/>
        <v>0</v>
      </c>
      <c r="H113">
        <f t="shared" si="72"/>
        <v>0</v>
      </c>
      <c r="I113">
        <f t="shared" si="72"/>
        <v>0</v>
      </c>
      <c r="J113">
        <f t="shared" si="67"/>
        <v>0</v>
      </c>
      <c r="K113">
        <f t="shared" si="67"/>
        <v>0</v>
      </c>
      <c r="L113">
        <f t="shared" si="67"/>
        <v>0</v>
      </c>
      <c r="M113">
        <f t="shared" si="67"/>
        <v>0</v>
      </c>
      <c r="N113">
        <f t="shared" si="67"/>
        <v>0</v>
      </c>
      <c r="O113">
        <f t="shared" si="67"/>
        <v>0</v>
      </c>
      <c r="P113">
        <f t="shared" si="62"/>
        <v>355.57</v>
      </c>
      <c r="Q113">
        <f t="shared" si="68"/>
        <v>0</v>
      </c>
      <c r="R113">
        <f t="shared" si="68"/>
        <v>0</v>
      </c>
      <c r="S113">
        <f t="shared" si="68"/>
        <v>0</v>
      </c>
      <c r="T113">
        <f t="shared" si="68"/>
        <v>0</v>
      </c>
      <c r="U113">
        <f t="shared" si="68"/>
        <v>0</v>
      </c>
      <c r="V113" s="103">
        <f t="shared" si="68"/>
        <v>0</v>
      </c>
      <c r="W113">
        <f t="shared" si="68"/>
        <v>0</v>
      </c>
      <c r="X113">
        <f t="shared" si="68"/>
        <v>0</v>
      </c>
      <c r="Y113">
        <f t="shared" si="68"/>
        <v>0</v>
      </c>
      <c r="Z113">
        <f t="shared" si="73"/>
        <v>0</v>
      </c>
      <c r="AA113">
        <f t="shared" si="73"/>
        <v>0</v>
      </c>
      <c r="AB113">
        <f t="shared" si="73"/>
        <v>0</v>
      </c>
      <c r="AC113">
        <f t="shared" si="73"/>
        <v>0</v>
      </c>
      <c r="AD113">
        <f t="shared" si="73"/>
        <v>0</v>
      </c>
      <c r="AE113">
        <f t="shared" si="73"/>
        <v>0</v>
      </c>
      <c r="AF113">
        <f t="shared" si="73"/>
        <v>0</v>
      </c>
      <c r="AG113">
        <f t="shared" si="73"/>
        <v>0</v>
      </c>
      <c r="AH113">
        <f t="shared" si="73"/>
        <v>0</v>
      </c>
      <c r="AI113">
        <f t="shared" si="73"/>
        <v>0</v>
      </c>
      <c r="AJ113">
        <f t="shared" si="73"/>
        <v>0</v>
      </c>
      <c r="AK113">
        <f t="shared" si="73"/>
        <v>0</v>
      </c>
      <c r="AL113">
        <f>BC61</f>
        <v>0</v>
      </c>
      <c r="AM113">
        <f>BD61</f>
        <v>0</v>
      </c>
      <c r="AN113">
        <f>BE61</f>
        <v>0</v>
      </c>
      <c r="AO113">
        <f>D113-AR113</f>
        <v>355.57</v>
      </c>
      <c r="AP113">
        <f>BG61</f>
        <v>0</v>
      </c>
      <c r="AQ113">
        <f>BH61</f>
        <v>0</v>
      </c>
      <c r="AR113">
        <f>E113+Q113+R113+S113+T113+U113+V113+W113+X113+Y113+Z113+AA113+AB113+AC113+AD113+AE113+AF113+AG113+AH113+AI113+AJ113+AK113+AL113+AM113+AN113+AP113+AQ113</f>
        <v>0</v>
      </c>
      <c r="AS113">
        <f>D113+AO116-AR113</f>
        <v>355.57</v>
      </c>
    </row>
    <row r="114" spans="1:45" ht="20.25" customHeight="1">
      <c r="A114" t="s">
        <v>120</v>
      </c>
      <c r="B114" t="s">
        <v>121</v>
      </c>
      <c r="C114" t="s">
        <v>122</v>
      </c>
      <c r="D114">
        <f t="shared" si="70"/>
        <v>0</v>
      </c>
      <c r="E114">
        <f t="shared" si="38"/>
        <v>0</v>
      </c>
      <c r="F114">
        <f t="shared" si="71"/>
        <v>0</v>
      </c>
      <c r="G114">
        <f t="shared" si="71"/>
        <v>0</v>
      </c>
      <c r="H114">
        <f t="shared" si="72"/>
        <v>0</v>
      </c>
      <c r="I114">
        <f t="shared" si="72"/>
        <v>0</v>
      </c>
      <c r="J114">
        <f t="shared" ref="J114:O115" si="74">P62</f>
        <v>0</v>
      </c>
      <c r="K114">
        <f t="shared" si="74"/>
        <v>0</v>
      </c>
      <c r="L114">
        <f t="shared" si="74"/>
        <v>0</v>
      </c>
      <c r="M114">
        <f t="shared" si="74"/>
        <v>0</v>
      </c>
      <c r="N114">
        <f t="shared" si="74"/>
        <v>0</v>
      </c>
      <c r="O114">
        <f t="shared" si="74"/>
        <v>0</v>
      </c>
      <c r="P114">
        <f t="shared" si="62"/>
        <v>0</v>
      </c>
      <c r="Q114">
        <f t="shared" ref="Q114:Y115" si="75">W62</f>
        <v>0</v>
      </c>
      <c r="R114">
        <f t="shared" si="75"/>
        <v>0</v>
      </c>
      <c r="S114">
        <f t="shared" si="75"/>
        <v>0</v>
      </c>
      <c r="T114">
        <f t="shared" si="75"/>
        <v>0</v>
      </c>
      <c r="U114">
        <f t="shared" si="75"/>
        <v>0</v>
      </c>
      <c r="V114" s="103">
        <f t="shared" si="75"/>
        <v>0</v>
      </c>
      <c r="W114">
        <f t="shared" si="75"/>
        <v>0</v>
      </c>
      <c r="X114">
        <f t="shared" si="75"/>
        <v>0</v>
      </c>
      <c r="Y114">
        <f t="shared" si="75"/>
        <v>0</v>
      </c>
      <c r="Z114">
        <f t="shared" si="73"/>
        <v>0</v>
      </c>
      <c r="AA114">
        <f t="shared" si="73"/>
        <v>0</v>
      </c>
      <c r="AB114">
        <f t="shared" si="73"/>
        <v>0</v>
      </c>
      <c r="AC114">
        <f t="shared" si="73"/>
        <v>0</v>
      </c>
      <c r="AD114">
        <f t="shared" si="73"/>
        <v>0</v>
      </c>
      <c r="AE114">
        <f t="shared" si="73"/>
        <v>0</v>
      </c>
      <c r="AF114">
        <f t="shared" si="73"/>
        <v>0</v>
      </c>
      <c r="AG114">
        <f t="shared" si="73"/>
        <v>0</v>
      </c>
      <c r="AH114">
        <f t="shared" si="73"/>
        <v>0</v>
      </c>
      <c r="AI114">
        <f t="shared" si="73"/>
        <v>0</v>
      </c>
      <c r="AJ114">
        <f t="shared" si="73"/>
        <v>0</v>
      </c>
      <c r="AK114">
        <f t="shared" si="73"/>
        <v>0</v>
      </c>
      <c r="AL114">
        <f>BC62</f>
        <v>0</v>
      </c>
      <c r="AM114">
        <f>BD62</f>
        <v>0</v>
      </c>
      <c r="AN114">
        <f>BE62</f>
        <v>0</v>
      </c>
      <c r="AO114">
        <f>BF62</f>
        <v>0</v>
      </c>
      <c r="AP114">
        <f>D114-AR114</f>
        <v>0</v>
      </c>
      <c r="AQ114">
        <f>BH62</f>
        <v>0</v>
      </c>
      <c r="AR114">
        <f>E114+Q114+R114+S114+T114+U114+V114+W114+X114+Y114+Z114+AA114+AB114+AC114+AD114+AE114+AF114+AG114+AH114+AI114+AJ114+AK114+AL114+AM114+AN114+AO114+AQ114</f>
        <v>0</v>
      </c>
      <c r="AS114">
        <f>D114+AP116-AR114</f>
        <v>0</v>
      </c>
    </row>
    <row r="115" spans="1:45" ht="20.25" customHeight="1">
      <c r="A115">
        <v>3</v>
      </c>
      <c r="B115" t="s">
        <v>123</v>
      </c>
      <c r="C115" t="s">
        <v>124</v>
      </c>
      <c r="D115">
        <f>D63</f>
        <v>78.92</v>
      </c>
      <c r="E115">
        <f>F115+H115+I115+J115+K115+L115+M115+N115+O115</f>
        <v>0</v>
      </c>
      <c r="F115">
        <f t="shared" si="71"/>
        <v>0</v>
      </c>
      <c r="G115">
        <f t="shared" si="71"/>
        <v>0</v>
      </c>
      <c r="H115">
        <f t="shared" si="72"/>
        <v>0</v>
      </c>
      <c r="I115">
        <f t="shared" si="72"/>
        <v>0</v>
      </c>
      <c r="J115">
        <f t="shared" si="74"/>
        <v>0</v>
      </c>
      <c r="K115">
        <f t="shared" si="74"/>
        <v>0</v>
      </c>
      <c r="L115">
        <f t="shared" si="74"/>
        <v>0</v>
      </c>
      <c r="M115">
        <f t="shared" si="74"/>
        <v>0</v>
      </c>
      <c r="N115">
        <f t="shared" si="74"/>
        <v>0</v>
      </c>
      <c r="O115">
        <f t="shared" si="74"/>
        <v>0</v>
      </c>
      <c r="P115">
        <f>SUM(Q115:AP115)</f>
        <v>0.03</v>
      </c>
      <c r="Q115">
        <f t="shared" si="75"/>
        <v>0</v>
      </c>
      <c r="R115">
        <f t="shared" si="75"/>
        <v>0</v>
      </c>
      <c r="S115">
        <f t="shared" si="75"/>
        <v>0</v>
      </c>
      <c r="T115">
        <f t="shared" si="75"/>
        <v>0</v>
      </c>
      <c r="U115">
        <f t="shared" si="75"/>
        <v>0</v>
      </c>
      <c r="V115" s="103">
        <f t="shared" si="75"/>
        <v>0</v>
      </c>
      <c r="W115">
        <f t="shared" si="75"/>
        <v>0</v>
      </c>
      <c r="X115">
        <f t="shared" si="75"/>
        <v>0</v>
      </c>
      <c r="Y115">
        <f t="shared" si="75"/>
        <v>0.03</v>
      </c>
      <c r="Z115">
        <f t="shared" si="73"/>
        <v>0</v>
      </c>
      <c r="AA115">
        <f t="shared" si="73"/>
        <v>0</v>
      </c>
      <c r="AB115">
        <f t="shared" si="73"/>
        <v>0</v>
      </c>
      <c r="AC115">
        <f t="shared" si="73"/>
        <v>0</v>
      </c>
      <c r="AD115">
        <f t="shared" si="73"/>
        <v>0</v>
      </c>
      <c r="AE115">
        <f t="shared" si="73"/>
        <v>0</v>
      </c>
      <c r="AF115">
        <f t="shared" si="73"/>
        <v>0</v>
      </c>
      <c r="AG115">
        <f t="shared" si="73"/>
        <v>0</v>
      </c>
      <c r="AH115">
        <f t="shared" si="73"/>
        <v>0</v>
      </c>
      <c r="AI115">
        <f t="shared" si="73"/>
        <v>0</v>
      </c>
      <c r="AJ115">
        <f t="shared" si="73"/>
        <v>0</v>
      </c>
      <c r="AK115">
        <f t="shared" si="73"/>
        <v>0</v>
      </c>
      <c r="AL115">
        <f>BC63</f>
        <v>0</v>
      </c>
      <c r="AM115">
        <f>BD63</f>
        <v>0</v>
      </c>
      <c r="AN115">
        <f>BE63</f>
        <v>0</v>
      </c>
      <c r="AO115">
        <f>BF63</f>
        <v>0</v>
      </c>
      <c r="AP115">
        <f>BG63</f>
        <v>0</v>
      </c>
      <c r="AQ115">
        <f>AR115</f>
        <v>0.03</v>
      </c>
      <c r="AR115">
        <f>E115+Q115+R115+S115+T115+U115+V115+W115+X115+Y115+Z115+AA115+AB115+AC115+AD115+AE115+AF115+AG115+AH115+AI115+AJ115+AL115+AM115+AN115+AO115+AP115</f>
        <v>0.03</v>
      </c>
      <c r="AS115">
        <f>D115+AQ116-AR115</f>
        <v>78.89</v>
      </c>
    </row>
    <row r="116" spans="1:45" ht="20.25" customHeight="1">
      <c r="B116" t="s">
        <v>190</v>
      </c>
      <c r="E116">
        <f>E88+E115</f>
        <v>0</v>
      </c>
      <c r="F116">
        <f>F80+F81+F82+F83+F84+F85+F86+F87+F88+F115</f>
        <v>0</v>
      </c>
      <c r="G116">
        <f>G78+G80+G81+G82+G83+G84+G85+G86+G87+G88+G115</f>
        <v>0</v>
      </c>
      <c r="H116">
        <f>H78+H81+H82+H83+H84+H85+H86+H87+H88+H115</f>
        <v>0</v>
      </c>
      <c r="I116">
        <f>I78+I80+I82+I83+I84+I85+I86+I87+I88+I115</f>
        <v>0</v>
      </c>
      <c r="J116">
        <f>J78+J80+J81+J83+J84+J85+J86+J87+J88+J115</f>
        <v>0</v>
      </c>
      <c r="K116">
        <f>K78+K80+K81+K82+K84+K85+K86+K87+K88+K115</f>
        <v>0</v>
      </c>
      <c r="L116">
        <f>L78+L80+L81+L82+L83+L85+L86+L87+L88+L115</f>
        <v>0</v>
      </c>
      <c r="M116">
        <f>M78+M80+M81+M82+M83+M84+M86+M87+M88+M115</f>
        <v>0</v>
      </c>
      <c r="N116">
        <f>N78+N80+N81+N82+N83+N84+N85+N87+N88+N115</f>
        <v>0</v>
      </c>
      <c r="O116">
        <f>O78+O80+O81+O82+O83+O84+O85+O86+O88+O115</f>
        <v>0</v>
      </c>
      <c r="P116">
        <f>P77+P115</f>
        <v>2.9499999999999997</v>
      </c>
      <c r="Q116">
        <f>Q77+Q90+Q91+Q92+Q93+Q94+Q95+Q96+Q97+Q98+Q99+Q100+Q101+Q102+Q103+Q104+Q105+Q106+Q107+Q108+Q109+Q110+Q111+Q112+Q113+Q114+Q115</f>
        <v>0</v>
      </c>
      <c r="R116">
        <f>R77+R89+R91+R92+R93+R94+R95+R96+R97+R98+R99+R100+R101+R102+R103+R104+R105+R106+R107+R108+R109+R110+R111+R112+R113+R114+R115</f>
        <v>0</v>
      </c>
      <c r="S116">
        <f>S77+S89+S90+S92+S93+S94+S95+S96+S97+S98+S99+S100+S101+S102+S103+S104+S105+S106+S107+S108+S109+S110+S111+S112+S113+S114+S115</f>
        <v>0</v>
      </c>
      <c r="T116">
        <f>T77+T89+T90+T91+T93+T94+T95+T96+T97+T98+T99+T100+T101+T102+T103+T104+T105+T106+T107+T108+T109+T110+T111+T112+T113+T114+T115</f>
        <v>0</v>
      </c>
      <c r="U116">
        <f>U77+U89+U90+U91+U92+U94+U95+U96+U97+U98+U99+U100+U101+U102+U103+U104+U105+U106+U107+U108+U109+U110+U111+U112+U113+U114+U115</f>
        <v>0</v>
      </c>
      <c r="V116" s="103">
        <f>V77+V89+V90+V91+V92+V93+V95+V96+V97+V98+V99+V100+V101+V102+V103+V104+V105+V106+V107+V108+V109+V110+V111+V112+V113+V114+V115</f>
        <v>0</v>
      </c>
      <c r="W116">
        <f>W77+W89+W90+W91+W92+W93+W94+W96+W97+W98+W99+W100+W101+W102+W103+W104+W105+W106+W107+W108+W109+W110+W111+W112+W113+W114+W115</f>
        <v>0</v>
      </c>
      <c r="X116">
        <f>X77+X89+X90+X91+X92+X93+X94+X95+X97+X98+X99+X100+X101+X102+X103+X104+X105+X106+X107+X108+X109+X110+X111+X112+X113+X114+X115</f>
        <v>0</v>
      </c>
      <c r="Y116">
        <f>Y77+Y89+Y90+Y91+Y92+Y93+Y94+Y95+Y96+Y98+Y99+Y100+Y101+Y102+Y103+Y104+Y105+Y106+Y107+Y108+Y109+Y110+Y111+Y112+Y113+Y114+Y115</f>
        <v>3.23</v>
      </c>
      <c r="Z116">
        <f>Z77+Z89+Z90+Z91+Z92+Z93+Z94+Z95+Z96+Z97+Z99+Z100+Z101+Z102+Z103+Z104+Z105+Z106+Z107+Z108+Z109+Z110+Z111+Z112+Z113+Z114+Z115</f>
        <v>0</v>
      </c>
      <c r="AA116">
        <f>AA77+AA89+AA90+AA91+AA92+AA93+AA94+AA95+AA96+AA97+AA98+AA100+AA101+AA102+AA103+AA104+AA105+AA106+AA107+AA108+AA109+AA110+AA111+AA112+AA113+AA114+AA115</f>
        <v>0</v>
      </c>
      <c r="AB116">
        <f>AB77+AB89+AB90+AB91+AB92+AB93+AB94+AB95+AB96+AB97+AB98+AB99+AB101+AB102+AB103+AB104+AB105+AB106+AB107+AB108+AB109+AB110+AB111+AB112+AB113+AB114+AB115</f>
        <v>0</v>
      </c>
      <c r="AC116">
        <f>AC77+AC89+AC90+AC91+AC92+AC93+AC94+AC95+AC96+AC97+AC98+AC99+AC100+AC102+AC103+AC104+AC105+AC106+AC107+AC108+AC109+AC110+AC111+AC112+AC113+AC114+AC115</f>
        <v>0.66999999999999993</v>
      </c>
      <c r="AD116">
        <f>AD77+AD89+AD90+AD91+AD92+AD93+AD94+AD95+AD96+AD97+AD98+AD99+AD100+AD101+AD103+AD104+AD105+AD106+AD107+AD108+AD109+AD110+AD111+AD112+AD113+AD114+AD115</f>
        <v>0</v>
      </c>
      <c r="AE116">
        <f>AE77+AE89+AE90+AE91+AE92+AE93+AE94+AE95+AE96+AE97+AE98+AE99+AE100+AE101+AE102+AE104+AE105+AE106+AE107+AE108+AE109+AE110+AE111+AE112+AE113+AE114+AE115</f>
        <v>0</v>
      </c>
      <c r="AF116">
        <f>AF77+AF89+AF90+AF91+AF92+AF93+AF94+AF95+AF96+AF97+AF98+AF99+AF100+AF101+AF102+AF103+AF105+AF106+AF107+AF108+AF109+AF110+AF111+AF112+AF113+AF114+AF115</f>
        <v>0</v>
      </c>
      <c r="AG116">
        <f>AG77+AG89+AG90+AG91+AG92+AG93+AG94+AG95+AG96+AG97+AG98+AG99+AG100+AG101+AG102+AG103+AG104+AG106+AG107+AG108+AG109+AG110+AG111+AG112+AG113+AG114+AG115</f>
        <v>0</v>
      </c>
      <c r="AH116">
        <f>AH77+AH89+AH90+AH91+AH92+AH93+AH94+AH95+AH96+AH97+AH98+AH99+AH100+AH101+AH102+AH103+AH104+AH105+AH107+AH108+AH109+AH110+AH111+AH112+AH113+AH114+AH115</f>
        <v>0</v>
      </c>
      <c r="AI116">
        <f>AI77+AI89+AI90+AI91+AI92+AI93+AI94+AI95+AI96+AI97+AI98+AI99+AI100+AI101+AI102+AI103+AI104+AI105+AI106+AI108+AI109+AI110+AI111+AI112+AI113+AI114+AI115</f>
        <v>0</v>
      </c>
      <c r="AJ116">
        <f>AJ77+AJ89+AJ90+AJ91+AJ92+AJ93+AJ94+AJ95+AJ96+AJ97+AJ98+AJ99+AJ100+AJ101+AJ102+AJ103+AJ104+AJ105+AJ106+AJ107+AJ109+AJ110+AJ111+AJ112+AJ113+AJ114+AJ115</f>
        <v>0</v>
      </c>
      <c r="AK116">
        <f>AK77+AK89+AK90+AK91+AK92+AK93+AK94+AK95+AK96+AK97+AK98+AK99+AK100+AK101+AK102+AK103+AK104+AK105+AK106+AK107+AK108+AK110+AK111+AK112+AK113+AK114+AK115</f>
        <v>0</v>
      </c>
      <c r="AL116">
        <f>AL77+AL89+AL90+AL91+AL92+AL93+AL94+AL95+AL96+AL97+AL98+AL99+AL100+AL101+AL102+AL103+AL104+AL105+AL106+AL107+AL108+AL109+AL111+AL112+AL113+AL114+AL115</f>
        <v>0</v>
      </c>
      <c r="AM116">
        <f>AM77+AM89+AM90+AM91+AM92+AM93+AM94+AM95+AM96+AM97+AM98+AM99+AM100+AM101+AM102+AM103+AM104+AM105+AM106+AM107+AM108+AM109+AM110+AM112+AM113+AM114+AM115</f>
        <v>0</v>
      </c>
      <c r="AN116">
        <f>AN77+AN89+AN90+AN91+AN92+AN93+AN94+AN95+AN96+AN97+AN98+AN99+AN100+AN101+AN102+AN103+AN104+AN105+AN106+AN107+AN108+AN109+AN110+AN111+AN113+AN114+AN115</f>
        <v>0</v>
      </c>
      <c r="AO116">
        <f>AO77+AO89+AO90+AO91+AO92+AO93+AO94+AO95+AO96+AO97+AO98+AO99+AO100+AO101+AO102+AO103+AO104+AO105+AO106+AO107+AO108+AO109+AO110+AO111+AO112+AO114+AO115</f>
        <v>0</v>
      </c>
      <c r="AP116">
        <f>AP77+AP89+AP90+AP91+AP92+AP93+AP94+AP95+AP96+AP97+AP98+AP99+AP100+AP101+AP102+AP103+AP104+AP105+AP106+AP107+AP108+AP109+AP110+AP111+AP112+AP113+AP115</f>
        <v>0</v>
      </c>
      <c r="AQ116">
        <f>AQ77+AQ88</f>
        <v>0</v>
      </c>
    </row>
    <row r="117" spans="1:45" ht="25.5" customHeight="1">
      <c r="B117" t="s">
        <v>325</v>
      </c>
      <c r="D117">
        <f>AS76</f>
        <v>5030.5495000000001</v>
      </c>
      <c r="E117">
        <f>AS77</f>
        <v>4305.42</v>
      </c>
      <c r="F117">
        <f>AS78</f>
        <v>215.8</v>
      </c>
      <c r="G117">
        <f>AS79</f>
        <v>0</v>
      </c>
      <c r="H117">
        <f>AS80</f>
        <v>41.15</v>
      </c>
      <c r="I117">
        <f>AS81</f>
        <v>198.16</v>
      </c>
      <c r="J117">
        <f>AS82</f>
        <v>2437.75</v>
      </c>
      <c r="K117">
        <f>AS83</f>
        <v>-1.6400000000000001</v>
      </c>
      <c r="L117">
        <f>AS84</f>
        <v>1411.78</v>
      </c>
      <c r="M117">
        <f>AS85</f>
        <v>1.54</v>
      </c>
      <c r="N117">
        <f>AS86</f>
        <v>0</v>
      </c>
      <c r="O117">
        <f>AS87</f>
        <v>0.88</v>
      </c>
      <c r="P117">
        <f>AS88</f>
        <v>646.23949999999991</v>
      </c>
      <c r="Q117">
        <f>AS89</f>
        <v>44.83</v>
      </c>
      <c r="R117">
        <f>AS90</f>
        <v>0</v>
      </c>
      <c r="S117">
        <f>AS91</f>
        <v>0</v>
      </c>
      <c r="T117">
        <f>AS92</f>
        <v>0</v>
      </c>
      <c r="U117">
        <f>AS93</f>
        <v>0</v>
      </c>
      <c r="V117" s="103">
        <f>AS94</f>
        <v>24.09</v>
      </c>
      <c r="W117">
        <f>AS95</f>
        <v>0</v>
      </c>
      <c r="X117">
        <f>AS96</f>
        <v>0</v>
      </c>
      <c r="Y117">
        <f>AS97</f>
        <v>96.969500000000011</v>
      </c>
      <c r="Z117">
        <f>AS98</f>
        <v>0</v>
      </c>
      <c r="AA117">
        <f>AS99</f>
        <v>0</v>
      </c>
      <c r="AB117">
        <f>AS100</f>
        <v>0</v>
      </c>
      <c r="AC117">
        <f>AS101</f>
        <v>12.62</v>
      </c>
      <c r="AD117">
        <f>AS102</f>
        <v>0</v>
      </c>
      <c r="AE117">
        <f>AS103</f>
        <v>2.15</v>
      </c>
      <c r="AF117">
        <f>AS104</f>
        <v>0</v>
      </c>
      <c r="AG117">
        <f>AS105</f>
        <v>0</v>
      </c>
      <c r="AH117">
        <f>AS106</f>
        <v>0</v>
      </c>
      <c r="AI117">
        <f>AS107</f>
        <v>3.54</v>
      </c>
      <c r="AJ117">
        <f>AS108</f>
        <v>0</v>
      </c>
      <c r="AK117">
        <f>AS109</f>
        <v>0.47</v>
      </c>
      <c r="AL117">
        <f>AS110</f>
        <v>0</v>
      </c>
      <c r="AM117">
        <f>AS111</f>
        <v>0</v>
      </c>
      <c r="AN117">
        <f>AS112</f>
        <v>106</v>
      </c>
      <c r="AO117">
        <f>AS113</f>
        <v>355.57</v>
      </c>
      <c r="AP117">
        <f>AS114</f>
        <v>0</v>
      </c>
      <c r="AQ117">
        <f>AS115</f>
        <v>78.89</v>
      </c>
    </row>
  </sheetData>
  <mergeCells count="21">
    <mergeCell ref="A1:B1"/>
    <mergeCell ref="A4:A5"/>
    <mergeCell ref="B4:B5"/>
    <mergeCell ref="C4:C5"/>
    <mergeCell ref="A2:BN2"/>
    <mergeCell ref="D4:D5"/>
    <mergeCell ref="BM4:BM5"/>
    <mergeCell ref="E4:BK4"/>
    <mergeCell ref="A71:AS71"/>
    <mergeCell ref="A74:A75"/>
    <mergeCell ref="BN4:BN5"/>
    <mergeCell ref="AR73:AS73"/>
    <mergeCell ref="BL4:BL5"/>
    <mergeCell ref="E74:AQ74"/>
    <mergeCell ref="D74:D75"/>
    <mergeCell ref="C74:C75"/>
    <mergeCell ref="AS74:AS75"/>
    <mergeCell ref="A72:AS72"/>
    <mergeCell ref="B74:B75"/>
    <mergeCell ref="AR74:AR75"/>
    <mergeCell ref="A70:B70"/>
  </mergeCells>
  <phoneticPr fontId="4" type="noConversion"/>
  <pageMargins left="0.75" right="0.75" top="1" bottom="1" header="0.5" footer="0.5"/>
  <pageSetup paperSize="9" scale="45"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6"/>
  <sheetViews>
    <sheetView workbookViewId="0">
      <selection activeCell="H9" sqref="H9"/>
    </sheetView>
  </sheetViews>
  <sheetFormatPr defaultRowHeight="12.75"/>
  <cols>
    <col min="1" max="1" width="7.5703125" style="325" customWidth="1"/>
    <col min="2" max="2" width="14.85546875" style="325" customWidth="1"/>
    <col min="3" max="3" width="74.42578125" style="325" customWidth="1"/>
  </cols>
  <sheetData>
    <row r="1" spans="1:3" ht="21.75" customHeight="1">
      <c r="A1" s="1252" t="s">
        <v>547</v>
      </c>
      <c r="B1" s="1252"/>
      <c r="C1" s="1252"/>
    </row>
    <row r="2" spans="1:3" ht="19.5" customHeight="1"/>
    <row r="3" spans="1:3" ht="30.75" customHeight="1">
      <c r="A3" s="329" t="s">
        <v>0</v>
      </c>
      <c r="B3" s="329" t="s">
        <v>1</v>
      </c>
      <c r="C3" s="329" t="s">
        <v>622</v>
      </c>
    </row>
    <row r="4" spans="1:3" ht="30.75" customHeight="1">
      <c r="A4" s="339" t="s">
        <v>235</v>
      </c>
      <c r="B4" s="336" t="s">
        <v>548</v>
      </c>
      <c r="C4" s="336" t="s">
        <v>585</v>
      </c>
    </row>
    <row r="5" spans="1:3" ht="40.5" customHeight="1">
      <c r="A5" s="340" t="s">
        <v>236</v>
      </c>
      <c r="B5" s="336" t="s">
        <v>549</v>
      </c>
      <c r="C5" s="14" t="s">
        <v>587</v>
      </c>
    </row>
    <row r="6" spans="1:3" s="418" customFormat="1" ht="40.5" customHeight="1">
      <c r="A6" s="340" t="s">
        <v>237</v>
      </c>
      <c r="B6" s="336" t="s">
        <v>550</v>
      </c>
      <c r="C6" s="14" t="s">
        <v>667</v>
      </c>
    </row>
    <row r="7" spans="1:3" s="418" customFormat="1" ht="40.5" customHeight="1">
      <c r="A7" s="340" t="s">
        <v>238</v>
      </c>
      <c r="B7" s="336" t="s">
        <v>551</v>
      </c>
      <c r="C7" s="14" t="s">
        <v>668</v>
      </c>
    </row>
    <row r="8" spans="1:3" s="418" customFormat="1" ht="40.5" customHeight="1">
      <c r="A8" s="340" t="s">
        <v>239</v>
      </c>
      <c r="B8" s="336" t="s">
        <v>552</v>
      </c>
      <c r="C8" s="14" t="s">
        <v>670</v>
      </c>
    </row>
    <row r="9" spans="1:3" s="418" customFormat="1" ht="40.5" customHeight="1">
      <c r="A9" s="340" t="s">
        <v>240</v>
      </c>
      <c r="B9" s="336" t="s">
        <v>553</v>
      </c>
      <c r="C9" s="14" t="s">
        <v>669</v>
      </c>
    </row>
    <row r="10" spans="1:3" s="418" customFormat="1" ht="40.5" customHeight="1">
      <c r="A10" s="340" t="s">
        <v>241</v>
      </c>
      <c r="B10" s="336" t="s">
        <v>554</v>
      </c>
      <c r="C10" s="14" t="s">
        <v>671</v>
      </c>
    </row>
    <row r="11" spans="1:3" ht="29.25" customHeight="1">
      <c r="A11" s="340" t="s">
        <v>242</v>
      </c>
      <c r="B11" s="336" t="s">
        <v>555</v>
      </c>
      <c r="C11" s="14" t="s">
        <v>586</v>
      </c>
    </row>
    <row r="12" spans="1:3" ht="29.25" customHeight="1">
      <c r="A12" s="340" t="s">
        <v>243</v>
      </c>
      <c r="B12" s="336" t="s">
        <v>556</v>
      </c>
      <c r="C12" s="14" t="s">
        <v>588</v>
      </c>
    </row>
    <row r="13" spans="1:3" ht="29.25" customHeight="1">
      <c r="A13" s="340" t="s">
        <v>244</v>
      </c>
      <c r="B13" s="336" t="s">
        <v>557</v>
      </c>
      <c r="C13" s="14" t="s">
        <v>589</v>
      </c>
    </row>
    <row r="14" spans="1:3" ht="29.25" customHeight="1">
      <c r="A14" s="340" t="s">
        <v>245</v>
      </c>
      <c r="B14" s="336" t="s">
        <v>558</v>
      </c>
      <c r="C14" s="14" t="s">
        <v>590</v>
      </c>
    </row>
    <row r="15" spans="1:3" ht="29.25" customHeight="1">
      <c r="A15" s="340" t="s">
        <v>246</v>
      </c>
      <c r="B15" s="336" t="s">
        <v>559</v>
      </c>
      <c r="C15" s="14" t="s">
        <v>591</v>
      </c>
    </row>
    <row r="16" spans="1:3" ht="29.25" customHeight="1">
      <c r="A16" s="340" t="s">
        <v>247</v>
      </c>
      <c r="B16" s="336" t="s">
        <v>560</v>
      </c>
      <c r="C16" s="14" t="s">
        <v>592</v>
      </c>
    </row>
    <row r="17" spans="1:3" ht="29.25" customHeight="1">
      <c r="A17" s="340" t="s">
        <v>248</v>
      </c>
      <c r="B17" s="336" t="s">
        <v>561</v>
      </c>
      <c r="C17" s="14" t="s">
        <v>593</v>
      </c>
    </row>
    <row r="18" spans="1:3" ht="29.25" customHeight="1">
      <c r="A18" s="340" t="s">
        <v>249</v>
      </c>
      <c r="B18" s="336" t="s">
        <v>562</v>
      </c>
      <c r="C18" s="14" t="s">
        <v>594</v>
      </c>
    </row>
    <row r="19" spans="1:3" s="354" customFormat="1" ht="29.25" customHeight="1">
      <c r="A19" s="340" t="s">
        <v>250</v>
      </c>
      <c r="B19" s="336" t="s">
        <v>563</v>
      </c>
      <c r="C19" s="14" t="s">
        <v>595</v>
      </c>
    </row>
    <row r="20" spans="1:3" s="325" customFormat="1" ht="29.25" customHeight="1">
      <c r="A20" s="340" t="s">
        <v>251</v>
      </c>
      <c r="B20" s="336" t="s">
        <v>564</v>
      </c>
      <c r="C20" s="14" t="s">
        <v>596</v>
      </c>
    </row>
    <row r="21" spans="1:3" s="325" customFormat="1" ht="29.25" customHeight="1">
      <c r="A21" s="340" t="s">
        <v>252</v>
      </c>
      <c r="B21" s="336" t="s">
        <v>565</v>
      </c>
      <c r="C21" s="14" t="s">
        <v>597</v>
      </c>
    </row>
    <row r="22" spans="1:3" s="325" customFormat="1" ht="29.25" customHeight="1">
      <c r="A22" s="340" t="s">
        <v>253</v>
      </c>
      <c r="B22" s="336" t="s">
        <v>566</v>
      </c>
      <c r="C22" s="14" t="s">
        <v>598</v>
      </c>
    </row>
    <row r="23" spans="1:3" s="325" customFormat="1" ht="29.25" customHeight="1">
      <c r="A23" s="340" t="s">
        <v>254</v>
      </c>
      <c r="B23" s="336" t="s">
        <v>567</v>
      </c>
      <c r="C23" s="14" t="s">
        <v>599</v>
      </c>
    </row>
    <row r="24" spans="1:3" s="325" customFormat="1" ht="29.25" customHeight="1">
      <c r="A24" s="340" t="s">
        <v>255</v>
      </c>
      <c r="B24" s="336" t="s">
        <v>568</v>
      </c>
      <c r="C24" s="14" t="s">
        <v>600</v>
      </c>
    </row>
    <row r="25" spans="1:3" s="354" customFormat="1" ht="29.25" customHeight="1">
      <c r="A25" s="340" t="s">
        <v>256</v>
      </c>
      <c r="B25" s="336" t="s">
        <v>569</v>
      </c>
      <c r="C25" s="14" t="s">
        <v>651</v>
      </c>
    </row>
    <row r="26" spans="1:3" s="325" customFormat="1" ht="29.25" customHeight="1">
      <c r="A26" s="340" t="s">
        <v>257</v>
      </c>
      <c r="B26" s="336" t="s">
        <v>570</v>
      </c>
      <c r="C26" s="14" t="s">
        <v>601</v>
      </c>
    </row>
    <row r="27" spans="1:3" s="325" customFormat="1" ht="29.25" customHeight="1">
      <c r="A27" s="340" t="s">
        <v>258</v>
      </c>
      <c r="B27" s="336" t="s">
        <v>571</v>
      </c>
      <c r="C27" s="14" t="s">
        <v>602</v>
      </c>
    </row>
    <row r="28" spans="1:3" s="325" customFormat="1" ht="29.25" customHeight="1">
      <c r="A28" s="340" t="s">
        <v>259</v>
      </c>
      <c r="B28" s="336" t="s">
        <v>572</v>
      </c>
      <c r="C28" s="14" t="s">
        <v>603</v>
      </c>
    </row>
    <row r="29" spans="1:3" s="325" customFormat="1" ht="29.25" customHeight="1">
      <c r="A29" s="340" t="s">
        <v>260</v>
      </c>
      <c r="B29" s="336" t="s">
        <v>573</v>
      </c>
      <c r="C29" s="14" t="s">
        <v>604</v>
      </c>
    </row>
    <row r="30" spans="1:3" s="325" customFormat="1" ht="29.25" customHeight="1">
      <c r="A30" s="340" t="s">
        <v>261</v>
      </c>
      <c r="B30" s="336" t="s">
        <v>574</v>
      </c>
      <c r="C30" s="14" t="s">
        <v>617</v>
      </c>
    </row>
    <row r="31" spans="1:3" s="325" customFormat="1" ht="29.25" customHeight="1">
      <c r="A31" s="340" t="s">
        <v>262</v>
      </c>
      <c r="B31" s="336" t="s">
        <v>575</v>
      </c>
      <c r="C31" s="14" t="s">
        <v>618</v>
      </c>
    </row>
    <row r="32" spans="1:3" s="325" customFormat="1" ht="29.25" customHeight="1">
      <c r="A32" s="340" t="s">
        <v>263</v>
      </c>
      <c r="B32" s="336" t="s">
        <v>576</v>
      </c>
      <c r="C32" s="14" t="s">
        <v>619</v>
      </c>
    </row>
    <row r="33" spans="1:3" s="325" customFormat="1" ht="35.25" customHeight="1">
      <c r="A33" s="340" t="s">
        <v>264</v>
      </c>
      <c r="B33" s="336" t="s">
        <v>577</v>
      </c>
      <c r="C33" s="14" t="s">
        <v>620</v>
      </c>
    </row>
    <row r="34" spans="1:3" s="325" customFormat="1" ht="29.25" customHeight="1">
      <c r="A34" s="340" t="s">
        <v>265</v>
      </c>
      <c r="B34" s="336" t="s">
        <v>578</v>
      </c>
      <c r="C34" s="14" t="s">
        <v>621</v>
      </c>
    </row>
    <row r="35" spans="1:3" s="325" customFormat="1" ht="29.25" customHeight="1">
      <c r="A35" s="340" t="s">
        <v>266</v>
      </c>
      <c r="B35" s="336" t="s">
        <v>579</v>
      </c>
      <c r="C35" s="336" t="s">
        <v>605</v>
      </c>
    </row>
    <row r="36" spans="1:3" s="325" customFormat="1" ht="29.25" customHeight="1">
      <c r="A36" s="340" t="s">
        <v>267</v>
      </c>
      <c r="B36" s="336" t="s">
        <v>580</v>
      </c>
      <c r="C36" s="14" t="s">
        <v>606</v>
      </c>
    </row>
    <row r="37" spans="1:3" s="325" customFormat="1" ht="29.25" customHeight="1">
      <c r="A37" s="340" t="s">
        <v>268</v>
      </c>
      <c r="B37" s="336" t="s">
        <v>581</v>
      </c>
      <c r="C37" s="14" t="s">
        <v>607</v>
      </c>
    </row>
    <row r="38" spans="1:3" s="325" customFormat="1" ht="29.25" customHeight="1">
      <c r="A38" s="340" t="s">
        <v>269</v>
      </c>
      <c r="B38" s="336" t="s">
        <v>582</v>
      </c>
      <c r="C38" s="14" t="s">
        <v>608</v>
      </c>
    </row>
    <row r="39" spans="1:3" s="325" customFormat="1" ht="29.25" customHeight="1">
      <c r="A39" s="340" t="s">
        <v>270</v>
      </c>
      <c r="B39" s="336" t="s">
        <v>583</v>
      </c>
      <c r="C39" s="14" t="s">
        <v>609</v>
      </c>
    </row>
    <row r="40" spans="1:3" s="325" customFormat="1" ht="38.25" customHeight="1">
      <c r="A40" s="340" t="s">
        <v>271</v>
      </c>
      <c r="B40" s="336" t="s">
        <v>584</v>
      </c>
      <c r="C40" s="14" t="s">
        <v>610</v>
      </c>
    </row>
    <row r="41" spans="1:3" s="325" customFormat="1" ht="29.25" customHeight="1">
      <c r="A41" s="340" t="s">
        <v>272</v>
      </c>
      <c r="B41" s="336" t="s">
        <v>652</v>
      </c>
      <c r="C41" s="14" t="s">
        <v>611</v>
      </c>
    </row>
    <row r="42" spans="1:3" s="325" customFormat="1" ht="39" customHeight="1">
      <c r="A42" s="340" t="s">
        <v>273</v>
      </c>
      <c r="B42" s="336" t="s">
        <v>662</v>
      </c>
      <c r="C42" s="14" t="s">
        <v>612</v>
      </c>
    </row>
    <row r="43" spans="1:3" s="325" customFormat="1" ht="37.5" customHeight="1">
      <c r="A43" s="340" t="s">
        <v>274</v>
      </c>
      <c r="B43" s="336" t="s">
        <v>663</v>
      </c>
      <c r="C43" s="14" t="s">
        <v>613</v>
      </c>
    </row>
    <row r="44" spans="1:3" s="325" customFormat="1" ht="29.25" customHeight="1">
      <c r="A44" s="340" t="s">
        <v>275</v>
      </c>
      <c r="B44" s="336" t="s">
        <v>664</v>
      </c>
      <c r="C44" s="14" t="s">
        <v>614</v>
      </c>
    </row>
    <row r="45" spans="1:3" s="325" customFormat="1" ht="36" customHeight="1">
      <c r="A45" s="340" t="s">
        <v>276</v>
      </c>
      <c r="B45" s="336" t="s">
        <v>665</v>
      </c>
      <c r="C45" s="14" t="s">
        <v>615</v>
      </c>
    </row>
    <row r="46" spans="1:3" s="325" customFormat="1" ht="29.25" customHeight="1">
      <c r="A46" s="341" t="s">
        <v>277</v>
      </c>
      <c r="B46" s="165" t="s">
        <v>666</v>
      </c>
      <c r="C46" s="165" t="s">
        <v>616</v>
      </c>
    </row>
  </sheetData>
  <mergeCells count="1">
    <mergeCell ref="A1:C1"/>
  </mergeCells>
  <pageMargins left="0.95" right="0.35" top="0.6" bottom="0.6" header="0.3" footer="0.3"/>
  <pageSetup paperSize="9" scale="92" orientation="portrait"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dimension ref="A1:BP117"/>
  <sheetViews>
    <sheetView showZeros="0" topLeftCell="A4" zoomScale="75" workbookViewId="0">
      <pane xSplit="4" ySplit="4" topLeftCell="AT34" activePane="bottomRight" state="frozen"/>
      <selection activeCell="A4" sqref="A4"/>
      <selection pane="topRight" activeCell="E4" sqref="E4"/>
      <selection pane="bottomLeft" activeCell="A8" sqref="A8"/>
      <selection pane="bottomRight" activeCell="AT37" sqref="AT37"/>
    </sheetView>
  </sheetViews>
  <sheetFormatPr defaultRowHeight="24.95" customHeight="1"/>
  <cols>
    <col min="1" max="1" width="11" customWidth="1"/>
    <col min="2" max="2" width="47.140625" customWidth="1"/>
    <col min="3" max="3" width="8.28515625" customWidth="1"/>
    <col min="4" max="4" width="13.5703125" customWidth="1"/>
    <col min="5" max="5" width="11.42578125" customWidth="1"/>
    <col min="6" max="6" width="0.140625" hidden="1" customWidth="1"/>
    <col min="7" max="7" width="11.28515625" hidden="1" customWidth="1"/>
    <col min="8" max="8" width="10.85546875" customWidth="1"/>
    <col min="9" max="9" width="11.140625" customWidth="1"/>
    <col min="10" max="10" width="10.5703125" customWidth="1"/>
    <col min="11" max="11" width="10" hidden="1" customWidth="1"/>
    <col min="12" max="12" width="11.140625" hidden="1" customWidth="1"/>
    <col min="13" max="13" width="11.85546875" customWidth="1"/>
    <col min="14" max="14" width="11.28515625" customWidth="1"/>
    <col min="15" max="15" width="11.28515625" hidden="1" customWidth="1"/>
    <col min="16" max="16" width="12.85546875" customWidth="1"/>
    <col min="17" max="17" width="12.28515625" customWidth="1"/>
    <col min="18" max="18" width="10.85546875" customWidth="1"/>
    <col min="19" max="19" width="8.85546875" customWidth="1"/>
    <col min="20" max="20" width="10.140625" hidden="1" customWidth="1"/>
    <col min="21" max="21" width="9.85546875" customWidth="1"/>
    <col min="22" max="22" width="11.5703125" style="103" customWidth="1"/>
    <col min="23" max="23" width="11.140625" customWidth="1"/>
    <col min="24" max="24" width="10.7109375" customWidth="1"/>
    <col min="25" max="25" width="10.42578125" customWidth="1"/>
    <col min="26" max="26" width="11.140625" customWidth="1"/>
    <col min="27" max="27" width="9.85546875" customWidth="1"/>
    <col min="28" max="39" width="10.42578125" customWidth="1"/>
    <col min="40" max="40" width="11" customWidth="1"/>
    <col min="41" max="43" width="9.42578125" customWidth="1"/>
    <col min="44" max="44" width="10.85546875" customWidth="1"/>
    <col min="45" max="45" width="13.7109375" customWidth="1"/>
    <col min="46" max="47" width="9.42578125" customWidth="1"/>
    <col min="48" max="48" width="11.5703125" customWidth="1"/>
    <col min="49" max="59" width="9" customWidth="1"/>
    <col min="60" max="60" width="10.140625" customWidth="1"/>
    <col min="61" max="62" width="9.85546875" customWidth="1"/>
    <col min="64" max="64" width="10.5703125" customWidth="1"/>
    <col min="65" max="65" width="13.28515625" customWidth="1"/>
    <col min="66" max="66" width="13" customWidth="1"/>
    <col min="67" max="67" width="12.5703125" customWidth="1"/>
  </cols>
  <sheetData>
    <row r="1" spans="1:68" ht="24.95" customHeight="1">
      <c r="A1" s="1300" t="s">
        <v>301</v>
      </c>
      <c r="B1" s="1300"/>
    </row>
    <row r="2" spans="1:68" ht="36.75" customHeight="1">
      <c r="A2" s="1282" t="s">
        <v>958</v>
      </c>
      <c r="B2" s="1282"/>
      <c r="C2" s="1282"/>
      <c r="D2" s="1282"/>
      <c r="E2" s="1282"/>
      <c r="F2" s="1282"/>
      <c r="G2" s="1282"/>
      <c r="H2" s="1282"/>
      <c r="I2" s="1282"/>
      <c r="J2" s="1282"/>
      <c r="K2" s="1282"/>
      <c r="L2" s="1282"/>
      <c r="M2" s="1282"/>
      <c r="N2" s="1282"/>
      <c r="O2" s="1282"/>
      <c r="P2" s="1282"/>
      <c r="Q2" s="1282"/>
      <c r="R2" s="1282"/>
      <c r="S2" s="1282"/>
      <c r="T2" s="1282"/>
      <c r="U2" s="1282"/>
      <c r="V2" s="1282"/>
      <c r="W2" s="1282"/>
      <c r="X2" s="1282"/>
      <c r="Y2" s="1282"/>
      <c r="Z2" s="1282"/>
      <c r="AA2" s="1282"/>
      <c r="AB2" s="1282"/>
      <c r="AC2" s="1282"/>
      <c r="AD2" s="1282"/>
      <c r="AE2" s="1282"/>
      <c r="AF2" s="1282"/>
      <c r="AG2" s="1282"/>
      <c r="AH2" s="1282"/>
      <c r="AI2" s="1282"/>
      <c r="AJ2" s="1282"/>
      <c r="AK2" s="1282"/>
      <c r="AL2" s="1282"/>
      <c r="AM2" s="1282"/>
      <c r="AN2" s="1282"/>
      <c r="AO2" s="1282"/>
      <c r="AP2" s="1282"/>
      <c r="AQ2" s="1282"/>
      <c r="AR2" s="1282"/>
      <c r="AS2" s="1282"/>
      <c r="AT2" s="1282"/>
      <c r="AU2" s="1282"/>
      <c r="AV2" s="1282"/>
      <c r="AW2" s="1282"/>
      <c r="AX2" s="1282"/>
      <c r="AY2" s="1282"/>
      <c r="AZ2" s="1282"/>
      <c r="BA2" s="1282"/>
      <c r="BB2" s="1282"/>
      <c r="BC2" s="1282"/>
      <c r="BD2" s="1282"/>
      <c r="BE2" s="1282"/>
      <c r="BF2" s="1282"/>
      <c r="BG2" s="1282"/>
      <c r="BH2" s="1282"/>
      <c r="BI2" s="1282"/>
      <c r="BJ2" s="1282"/>
      <c r="BK2" s="1282"/>
      <c r="BL2" s="1282"/>
      <c r="BM2" s="1282"/>
      <c r="BN2" s="1282"/>
    </row>
    <row r="4" spans="1:68" ht="33" customHeight="1">
      <c r="A4" s="1275" t="s">
        <v>136</v>
      </c>
      <c r="B4" s="1275" t="s">
        <v>469</v>
      </c>
      <c r="C4" s="1275" t="s">
        <v>13</v>
      </c>
      <c r="D4" s="1275" t="s">
        <v>693</v>
      </c>
      <c r="E4" s="1368" t="s">
        <v>694</v>
      </c>
      <c r="F4" s="1368"/>
      <c r="G4" s="1368"/>
      <c r="H4" s="1368"/>
      <c r="I4" s="1368"/>
      <c r="J4" s="1368"/>
      <c r="K4" s="1368"/>
      <c r="L4" s="1368"/>
      <c r="M4" s="1368"/>
      <c r="N4" s="1368"/>
      <c r="O4" s="1368"/>
      <c r="P4" s="1368"/>
      <c r="Q4" s="1368"/>
      <c r="R4" s="1368"/>
      <c r="S4" s="1368"/>
      <c r="T4" s="1368"/>
      <c r="U4" s="1368"/>
      <c r="V4" s="1368"/>
      <c r="W4" s="1368"/>
      <c r="X4" s="1368"/>
      <c r="Y4" s="1368"/>
      <c r="Z4" s="1368"/>
      <c r="AA4" s="1368"/>
      <c r="AB4" s="1368"/>
      <c r="AC4" s="1368"/>
      <c r="AD4" s="1368"/>
      <c r="AE4" s="1368"/>
      <c r="AF4" s="1368"/>
      <c r="AG4" s="1368"/>
      <c r="AH4" s="1368"/>
      <c r="AI4" s="1368"/>
      <c r="AJ4" s="1368"/>
      <c r="AK4" s="1368"/>
      <c r="AL4" s="1368"/>
      <c r="AM4" s="1368"/>
      <c r="AN4" s="1368"/>
      <c r="AO4" s="1368"/>
      <c r="AP4" s="1368"/>
      <c r="AQ4" s="1368"/>
      <c r="AR4" s="1368"/>
      <c r="AS4" s="1368"/>
      <c r="AT4" s="1368"/>
      <c r="AU4" s="1368"/>
      <c r="AV4" s="1368"/>
      <c r="AW4" s="1368"/>
      <c r="AX4" s="1368"/>
      <c r="AY4" s="1368"/>
      <c r="AZ4" s="1368"/>
      <c r="BA4" s="1368"/>
      <c r="BB4" s="1368"/>
      <c r="BC4" s="1368"/>
      <c r="BD4" s="1368"/>
      <c r="BE4" s="1368"/>
      <c r="BF4" s="1368"/>
      <c r="BG4" s="1368"/>
      <c r="BH4" s="1368"/>
      <c r="BI4" s="1368"/>
      <c r="BJ4" s="1368"/>
      <c r="BK4" s="1368"/>
      <c r="BL4" s="1365" t="s">
        <v>191</v>
      </c>
      <c r="BM4" s="1365" t="s">
        <v>493</v>
      </c>
      <c r="BN4" s="1365" t="s">
        <v>695</v>
      </c>
      <c r="BO4" s="1369"/>
    </row>
    <row r="5" spans="1:68" ht="35.25" customHeight="1">
      <c r="A5" s="1275"/>
      <c r="B5" s="1275"/>
      <c r="C5" s="1275"/>
      <c r="D5" s="1275"/>
      <c r="E5" s="128" t="s">
        <v>15</v>
      </c>
      <c r="F5" s="128" t="s">
        <v>193</v>
      </c>
      <c r="G5" s="128" t="s">
        <v>194</v>
      </c>
      <c r="H5" s="128" t="s">
        <v>18</v>
      </c>
      <c r="I5" s="128" t="s">
        <v>20</v>
      </c>
      <c r="J5" s="128" t="s">
        <v>195</v>
      </c>
      <c r="K5" s="128" t="s">
        <v>196</v>
      </c>
      <c r="L5" s="128" t="s">
        <v>197</v>
      </c>
      <c r="M5" s="128" t="s">
        <v>23</v>
      </c>
      <c r="N5" s="128" t="s">
        <v>26</v>
      </c>
      <c r="O5" s="128" t="s">
        <v>198</v>
      </c>
      <c r="P5" s="128" t="s">
        <v>29</v>
      </c>
      <c r="Q5" s="128" t="s">
        <v>32</v>
      </c>
      <c r="R5" s="128" t="s">
        <v>35</v>
      </c>
      <c r="S5" s="128" t="s">
        <v>38</v>
      </c>
      <c r="T5" s="128" t="s">
        <v>41</v>
      </c>
      <c r="U5" s="128" t="s">
        <v>44</v>
      </c>
      <c r="V5" s="662" t="s">
        <v>46</v>
      </c>
      <c r="W5" s="128" t="s">
        <v>49</v>
      </c>
      <c r="X5" s="128" t="s">
        <v>52</v>
      </c>
      <c r="Y5" s="128" t="s">
        <v>55</v>
      </c>
      <c r="Z5" s="128" t="s">
        <v>58</v>
      </c>
      <c r="AA5" s="128" t="s">
        <v>61</v>
      </c>
      <c r="AB5" s="128" t="s">
        <v>64</v>
      </c>
      <c r="AC5" s="128" t="s">
        <v>67</v>
      </c>
      <c r="AD5" s="128" t="s">
        <v>70</v>
      </c>
      <c r="AE5" s="128" t="s">
        <v>72</v>
      </c>
      <c r="AF5" s="128" t="s">
        <v>202</v>
      </c>
      <c r="AG5" s="128" t="s">
        <v>203</v>
      </c>
      <c r="AH5" s="128" t="s">
        <v>204</v>
      </c>
      <c r="AI5" s="128" t="s">
        <v>205</v>
      </c>
      <c r="AJ5" s="128" t="s">
        <v>206</v>
      </c>
      <c r="AK5" s="128" t="s">
        <v>207</v>
      </c>
      <c r="AL5" s="128" t="s">
        <v>199</v>
      </c>
      <c r="AM5" s="128" t="s">
        <v>200</v>
      </c>
      <c r="AN5" s="128" t="s">
        <v>223</v>
      </c>
      <c r="AO5" s="128" t="s">
        <v>201</v>
      </c>
      <c r="AP5" s="128" t="s">
        <v>208</v>
      </c>
      <c r="AQ5" s="128" t="s">
        <v>75</v>
      </c>
      <c r="AR5" s="128" t="s">
        <v>78</v>
      </c>
      <c r="AS5" s="128" t="s">
        <v>81</v>
      </c>
      <c r="AT5" s="128" t="s">
        <v>84</v>
      </c>
      <c r="AU5" s="128" t="s">
        <v>87</v>
      </c>
      <c r="AV5" s="128" t="s">
        <v>90</v>
      </c>
      <c r="AW5" s="128" t="s">
        <v>93</v>
      </c>
      <c r="AX5" s="128" t="s">
        <v>96</v>
      </c>
      <c r="AY5" s="128" t="s">
        <v>99</v>
      </c>
      <c r="AZ5" s="128" t="s">
        <v>101</v>
      </c>
      <c r="BA5" s="128" t="s">
        <v>104</v>
      </c>
      <c r="BB5" s="128" t="s">
        <v>107</v>
      </c>
      <c r="BC5" s="128" t="s">
        <v>110</v>
      </c>
      <c r="BD5" s="128" t="s">
        <v>113</v>
      </c>
      <c r="BE5" s="128" t="s">
        <v>116</v>
      </c>
      <c r="BF5" s="128" t="s">
        <v>119</v>
      </c>
      <c r="BG5" s="128" t="s">
        <v>122</v>
      </c>
      <c r="BH5" s="128" t="s">
        <v>124</v>
      </c>
      <c r="BI5" s="128" t="s">
        <v>209</v>
      </c>
      <c r="BJ5" s="128" t="s">
        <v>210</v>
      </c>
      <c r="BK5" s="128" t="s">
        <v>211</v>
      </c>
      <c r="BL5" s="1366"/>
      <c r="BM5" s="1366"/>
      <c r="BN5" s="1366"/>
      <c r="BO5" s="1369"/>
    </row>
    <row r="6" spans="1:68" ht="24.95" customHeight="1">
      <c r="A6" s="106" t="s">
        <v>235</v>
      </c>
      <c r="B6" s="106" t="s">
        <v>236</v>
      </c>
      <c r="C6" s="106" t="s">
        <v>237</v>
      </c>
      <c r="D6" s="106" t="s">
        <v>238</v>
      </c>
      <c r="E6" s="106" t="s">
        <v>239</v>
      </c>
      <c r="F6" s="106" t="s">
        <v>240</v>
      </c>
      <c r="G6" s="106" t="s">
        <v>241</v>
      </c>
      <c r="H6" s="106" t="s">
        <v>242</v>
      </c>
      <c r="I6" s="106" t="s">
        <v>243</v>
      </c>
      <c r="J6" s="106" t="s">
        <v>244</v>
      </c>
      <c r="K6" s="106" t="s">
        <v>245</v>
      </c>
      <c r="L6" s="106" t="s">
        <v>246</v>
      </c>
      <c r="M6" s="106" t="s">
        <v>247</v>
      </c>
      <c r="N6" s="106" t="s">
        <v>248</v>
      </c>
      <c r="O6" s="106" t="s">
        <v>249</v>
      </c>
      <c r="P6" s="106" t="s">
        <v>250</v>
      </c>
      <c r="Q6" s="106" t="s">
        <v>251</v>
      </c>
      <c r="R6" s="106" t="s">
        <v>252</v>
      </c>
      <c r="S6" s="106" t="s">
        <v>253</v>
      </c>
      <c r="T6" s="106" t="s">
        <v>254</v>
      </c>
      <c r="U6" s="106" t="s">
        <v>255</v>
      </c>
      <c r="V6" s="665" t="s">
        <v>256</v>
      </c>
      <c r="W6" s="106" t="s">
        <v>257</v>
      </c>
      <c r="X6" s="106" t="s">
        <v>258</v>
      </c>
      <c r="Y6" s="106" t="s">
        <v>259</v>
      </c>
      <c r="Z6" s="106" t="s">
        <v>260</v>
      </c>
      <c r="AA6" s="106" t="s">
        <v>261</v>
      </c>
      <c r="AB6" s="106" t="s">
        <v>262</v>
      </c>
      <c r="AC6" s="106" t="s">
        <v>263</v>
      </c>
      <c r="AD6" s="106" t="s">
        <v>264</v>
      </c>
      <c r="AE6" s="106" t="s">
        <v>265</v>
      </c>
      <c r="AF6" s="106" t="s">
        <v>266</v>
      </c>
      <c r="AG6" s="106" t="s">
        <v>267</v>
      </c>
      <c r="AH6" s="106" t="s">
        <v>268</v>
      </c>
      <c r="AI6" s="106" t="s">
        <v>269</v>
      </c>
      <c r="AJ6" s="106" t="s">
        <v>270</v>
      </c>
      <c r="AK6" s="106" t="s">
        <v>271</v>
      </c>
      <c r="AL6" s="106" t="s">
        <v>272</v>
      </c>
      <c r="AM6" s="106" t="s">
        <v>273</v>
      </c>
      <c r="AN6" s="106" t="s">
        <v>274</v>
      </c>
      <c r="AO6" s="106" t="s">
        <v>275</v>
      </c>
      <c r="AP6" s="106" t="s">
        <v>276</v>
      </c>
      <c r="AQ6" s="106" t="s">
        <v>277</v>
      </c>
      <c r="AR6" s="106" t="s">
        <v>278</v>
      </c>
      <c r="AS6" s="106" t="s">
        <v>279</v>
      </c>
      <c r="AT6" s="106" t="s">
        <v>280</v>
      </c>
      <c r="AU6" s="106" t="s">
        <v>281</v>
      </c>
      <c r="AV6" s="106" t="s">
        <v>282</v>
      </c>
      <c r="AW6" s="106" t="s">
        <v>283</v>
      </c>
      <c r="AX6" s="106" t="s">
        <v>284</v>
      </c>
      <c r="AY6" s="106" t="s">
        <v>285</v>
      </c>
      <c r="AZ6" s="106" t="s">
        <v>286</v>
      </c>
      <c r="BA6" s="106" t="s">
        <v>287</v>
      </c>
      <c r="BB6" s="106" t="s">
        <v>288</v>
      </c>
      <c r="BC6" s="106" t="s">
        <v>289</v>
      </c>
      <c r="BD6" s="106" t="s">
        <v>290</v>
      </c>
      <c r="BE6" s="106" t="s">
        <v>291</v>
      </c>
      <c r="BF6" s="106" t="s">
        <v>292</v>
      </c>
      <c r="BG6" s="106" t="s">
        <v>293</v>
      </c>
      <c r="BH6" s="106" t="s">
        <v>294</v>
      </c>
      <c r="BI6" s="106" t="s">
        <v>295</v>
      </c>
      <c r="BJ6" s="106" t="s">
        <v>296</v>
      </c>
      <c r="BK6" s="106" t="s">
        <v>297</v>
      </c>
      <c r="BL6" s="106" t="s">
        <v>298</v>
      </c>
      <c r="BM6" s="106" t="s">
        <v>299</v>
      </c>
      <c r="BN6" s="106" t="s">
        <v>300</v>
      </c>
      <c r="BO6" s="166"/>
    </row>
    <row r="7" spans="1:68" s="117" customFormat="1" ht="31.5" customHeight="1">
      <c r="A7" s="153"/>
      <c r="B7" s="153" t="s">
        <v>470</v>
      </c>
      <c r="C7" s="159"/>
      <c r="D7" s="454">
        <f>D8+D25+D63</f>
        <v>8173.06</v>
      </c>
      <c r="E7" s="454">
        <f>E8+E25+E63</f>
        <v>7525.7651900000001</v>
      </c>
      <c r="F7" s="454">
        <f t="shared" ref="F7:BN7" si="0">F8+F25+F63</f>
        <v>295.35909000000004</v>
      </c>
      <c r="G7" s="454">
        <f t="shared" si="0"/>
        <v>204.55675000000002</v>
      </c>
      <c r="H7" s="454">
        <f t="shared" si="0"/>
        <v>140.55225000000002</v>
      </c>
      <c r="I7" s="454">
        <f t="shared" si="0"/>
        <v>0</v>
      </c>
      <c r="J7" s="454">
        <f t="shared" si="0"/>
        <v>140.55225000000002</v>
      </c>
      <c r="K7" s="454">
        <f t="shared" si="0"/>
        <v>0</v>
      </c>
      <c r="L7" s="454">
        <f t="shared" si="0"/>
        <v>0</v>
      </c>
      <c r="M7" s="454">
        <f t="shared" si="0"/>
        <v>64.004499999999993</v>
      </c>
      <c r="N7" s="454">
        <f t="shared" si="0"/>
        <v>90.802340000000001</v>
      </c>
      <c r="O7" s="454">
        <f t="shared" si="0"/>
        <v>7229.4561000000003</v>
      </c>
      <c r="P7" s="454">
        <f t="shared" si="0"/>
        <v>4319.0600000000004</v>
      </c>
      <c r="Q7" s="454">
        <f t="shared" si="0"/>
        <v>0</v>
      </c>
      <c r="R7" s="454">
        <f t="shared" si="0"/>
        <v>2910.3960999999999</v>
      </c>
      <c r="S7" s="454">
        <f t="shared" si="0"/>
        <v>0.95</v>
      </c>
      <c r="T7" s="454">
        <f t="shared" si="0"/>
        <v>0</v>
      </c>
      <c r="U7" s="454">
        <f t="shared" si="0"/>
        <v>0</v>
      </c>
      <c r="V7" s="454">
        <f t="shared" si="0"/>
        <v>572.30777000000012</v>
      </c>
      <c r="W7" s="454">
        <f t="shared" si="0"/>
        <v>63.778669999999998</v>
      </c>
      <c r="X7" s="454">
        <f t="shared" si="0"/>
        <v>0</v>
      </c>
      <c r="Y7" s="454">
        <f t="shared" si="0"/>
        <v>0</v>
      </c>
      <c r="Z7" s="454">
        <f t="shared" si="0"/>
        <v>0</v>
      </c>
      <c r="AA7" s="454">
        <f t="shared" si="0"/>
        <v>0</v>
      </c>
      <c r="AB7" s="454">
        <f t="shared" si="0"/>
        <v>0.32517000000000001</v>
      </c>
      <c r="AC7" s="454">
        <f t="shared" si="0"/>
        <v>3.47</v>
      </c>
      <c r="AD7" s="454">
        <f t="shared" si="0"/>
        <v>0</v>
      </c>
      <c r="AE7" s="454">
        <f t="shared" si="0"/>
        <v>58.238599999999998</v>
      </c>
      <c r="AF7" s="454">
        <f t="shared" si="0"/>
        <v>0</v>
      </c>
      <c r="AG7" s="454">
        <f t="shared" si="0"/>
        <v>0.2</v>
      </c>
      <c r="AH7" s="454">
        <f t="shared" si="0"/>
        <v>2.1367100000000003</v>
      </c>
      <c r="AI7" s="454">
        <f t="shared" si="0"/>
        <v>0.49</v>
      </c>
      <c r="AJ7" s="454">
        <f t="shared" si="0"/>
        <v>0</v>
      </c>
      <c r="AK7" s="454">
        <f t="shared" si="0"/>
        <v>0</v>
      </c>
      <c r="AL7" s="454">
        <f t="shared" si="0"/>
        <v>44.960990000000002</v>
      </c>
      <c r="AM7" s="454">
        <f t="shared" si="0"/>
        <v>10.20673</v>
      </c>
      <c r="AN7" s="454">
        <f t="shared" si="0"/>
        <v>0.01</v>
      </c>
      <c r="AO7" s="454">
        <f t="shared" si="0"/>
        <v>1.255E-2</v>
      </c>
      <c r="AP7" s="454">
        <f t="shared" si="0"/>
        <v>0.22162000000000001</v>
      </c>
      <c r="AQ7" s="454">
        <f t="shared" si="0"/>
        <v>0</v>
      </c>
      <c r="AR7" s="454">
        <f t="shared" si="0"/>
        <v>0</v>
      </c>
      <c r="AS7" s="454">
        <f t="shared" si="0"/>
        <v>0</v>
      </c>
      <c r="AT7" s="454">
        <f t="shared" si="0"/>
        <v>13.37955</v>
      </c>
      <c r="AU7" s="454">
        <f t="shared" si="0"/>
        <v>0</v>
      </c>
      <c r="AV7" s="454">
        <f t="shared" si="0"/>
        <v>0.45577999999999996</v>
      </c>
      <c r="AW7" s="454">
        <f t="shared" si="0"/>
        <v>0</v>
      </c>
      <c r="AX7" s="454">
        <f t="shared" si="0"/>
        <v>0</v>
      </c>
      <c r="AY7" s="454">
        <f t="shared" si="0"/>
        <v>0</v>
      </c>
      <c r="AZ7" s="454">
        <f t="shared" si="0"/>
        <v>0</v>
      </c>
      <c r="BA7" s="454">
        <f t="shared" si="0"/>
        <v>6.5</v>
      </c>
      <c r="BB7" s="454">
        <f t="shared" si="0"/>
        <v>0.62</v>
      </c>
      <c r="BC7" s="454">
        <f t="shared" si="0"/>
        <v>0.08</v>
      </c>
      <c r="BD7" s="454">
        <f t="shared" si="0"/>
        <v>0</v>
      </c>
      <c r="BE7" s="454">
        <f t="shared" si="0"/>
        <v>66.790000000000006</v>
      </c>
      <c r="BF7" s="454">
        <f t="shared" si="0"/>
        <v>358.67</v>
      </c>
      <c r="BG7" s="454">
        <f t="shared" si="0"/>
        <v>0</v>
      </c>
      <c r="BH7" s="454">
        <f t="shared" si="0"/>
        <v>74.987039999999993</v>
      </c>
      <c r="BI7" s="454">
        <f t="shared" si="0"/>
        <v>0</v>
      </c>
      <c r="BJ7" s="454">
        <f t="shared" si="0"/>
        <v>65.27</v>
      </c>
      <c r="BK7" s="454">
        <f t="shared" si="0"/>
        <v>0</v>
      </c>
      <c r="BL7" s="454"/>
      <c r="BM7" s="454">
        <f t="shared" si="0"/>
        <v>0</v>
      </c>
      <c r="BN7" s="454">
        <f t="shared" si="0"/>
        <v>8173.06</v>
      </c>
      <c r="BO7" s="477"/>
    </row>
    <row r="8" spans="1:68" s="115" customFormat="1" ht="20.25" customHeight="1">
      <c r="A8" s="15">
        <v>1</v>
      </c>
      <c r="B8" s="15" t="s">
        <v>14</v>
      </c>
      <c r="C8" s="158" t="s">
        <v>15</v>
      </c>
      <c r="D8" s="420">
        <f>D9+D18+D22+D23+D24</f>
        <v>7532.6051900000002</v>
      </c>
      <c r="E8" s="420">
        <f>D8-BL8</f>
        <v>7525.7651900000001</v>
      </c>
      <c r="F8" s="420">
        <f>G8+N8</f>
        <v>295.35909000000004</v>
      </c>
      <c r="G8" s="420">
        <f>H8+L8+M8</f>
        <v>204.55675000000002</v>
      </c>
      <c r="H8" s="420">
        <f>I8+J8+K8</f>
        <v>140.55225000000002</v>
      </c>
      <c r="I8" s="420">
        <f>I9+I18+I22+I23+I24</f>
        <v>0</v>
      </c>
      <c r="J8" s="420">
        <f t="shared" ref="J8:BG8" si="1">J9+J18+J22+J23+J24</f>
        <v>140.55225000000002</v>
      </c>
      <c r="K8" s="420">
        <f t="shared" si="1"/>
        <v>0</v>
      </c>
      <c r="L8" s="420">
        <f t="shared" si="1"/>
        <v>0</v>
      </c>
      <c r="M8" s="420">
        <f t="shared" si="1"/>
        <v>64.004499999999993</v>
      </c>
      <c r="N8" s="420">
        <f t="shared" si="1"/>
        <v>90.802340000000001</v>
      </c>
      <c r="O8" s="420">
        <f>P8+Q8+R8</f>
        <v>7229.4561000000003</v>
      </c>
      <c r="P8" s="420">
        <f t="shared" si="1"/>
        <v>4319.0600000000004</v>
      </c>
      <c r="Q8" s="420">
        <f t="shared" si="1"/>
        <v>0</v>
      </c>
      <c r="R8" s="420">
        <f t="shared" si="1"/>
        <v>2910.3960999999999</v>
      </c>
      <c r="S8" s="420">
        <f t="shared" si="1"/>
        <v>0.95</v>
      </c>
      <c r="T8" s="420">
        <f t="shared" si="1"/>
        <v>0</v>
      </c>
      <c r="U8" s="420">
        <f t="shared" si="1"/>
        <v>0</v>
      </c>
      <c r="V8" s="454">
        <f t="shared" si="1"/>
        <v>6.84</v>
      </c>
      <c r="W8" s="420">
        <f t="shared" si="1"/>
        <v>0</v>
      </c>
      <c r="X8" s="420">
        <f t="shared" si="1"/>
        <v>0</v>
      </c>
      <c r="Y8" s="420">
        <f t="shared" si="1"/>
        <v>0</v>
      </c>
      <c r="Z8" s="420">
        <f t="shared" si="1"/>
        <v>0</v>
      </c>
      <c r="AA8" s="420">
        <f t="shared" si="1"/>
        <v>0</v>
      </c>
      <c r="AB8" s="420">
        <f t="shared" si="1"/>
        <v>0</v>
      </c>
      <c r="AC8" s="420">
        <f t="shared" si="1"/>
        <v>0</v>
      </c>
      <c r="AD8" s="420">
        <f t="shared" si="1"/>
        <v>0</v>
      </c>
      <c r="AE8" s="420">
        <f t="shared" si="1"/>
        <v>7.0000000000000007E-2</v>
      </c>
      <c r="AF8" s="420">
        <f t="shared" si="1"/>
        <v>0</v>
      </c>
      <c r="AG8" s="420">
        <f t="shared" si="1"/>
        <v>0</v>
      </c>
      <c r="AH8" s="420">
        <f t="shared" si="1"/>
        <v>0</v>
      </c>
      <c r="AI8" s="420">
        <f t="shared" si="1"/>
        <v>0</v>
      </c>
      <c r="AJ8" s="420">
        <f t="shared" si="1"/>
        <v>0</v>
      </c>
      <c r="AK8" s="420">
        <f t="shared" si="1"/>
        <v>0</v>
      </c>
      <c r="AL8" s="420">
        <f t="shared" si="1"/>
        <v>0</v>
      </c>
      <c r="AM8" s="420">
        <f t="shared" si="1"/>
        <v>7.0000000000000007E-2</v>
      </c>
      <c r="AN8" s="420">
        <f t="shared" si="1"/>
        <v>0</v>
      </c>
      <c r="AO8" s="420">
        <f t="shared" si="1"/>
        <v>0</v>
      </c>
      <c r="AP8" s="420">
        <f t="shared" si="1"/>
        <v>0</v>
      </c>
      <c r="AQ8" s="420">
        <f t="shared" si="1"/>
        <v>0</v>
      </c>
      <c r="AR8" s="420">
        <f t="shared" si="1"/>
        <v>0</v>
      </c>
      <c r="AS8" s="420">
        <f t="shared" si="1"/>
        <v>0</v>
      </c>
      <c r="AT8" s="420">
        <f t="shared" si="1"/>
        <v>0.3</v>
      </c>
      <c r="AU8" s="420">
        <f t="shared" si="1"/>
        <v>0</v>
      </c>
      <c r="AV8" s="420">
        <f t="shared" si="1"/>
        <v>0</v>
      </c>
      <c r="AW8" s="420">
        <f t="shared" si="1"/>
        <v>0</v>
      </c>
      <c r="AX8" s="420">
        <f t="shared" si="1"/>
        <v>0</v>
      </c>
      <c r="AY8" s="420">
        <f t="shared" si="1"/>
        <v>0</v>
      </c>
      <c r="AZ8" s="420">
        <f t="shared" si="1"/>
        <v>0</v>
      </c>
      <c r="BA8" s="420">
        <f t="shared" si="1"/>
        <v>6.47</v>
      </c>
      <c r="BB8" s="420">
        <f t="shared" si="1"/>
        <v>0</v>
      </c>
      <c r="BC8" s="420">
        <f t="shared" si="1"/>
        <v>0</v>
      </c>
      <c r="BD8" s="420">
        <f t="shared" si="1"/>
        <v>0</v>
      </c>
      <c r="BE8" s="420">
        <f t="shared" si="1"/>
        <v>0</v>
      </c>
      <c r="BF8" s="420">
        <f t="shared" si="1"/>
        <v>0</v>
      </c>
      <c r="BG8" s="420">
        <f t="shared" si="1"/>
        <v>0</v>
      </c>
      <c r="BH8" s="420">
        <f>BH9+BH18+BH22+BH23+BH24</f>
        <v>0</v>
      </c>
      <c r="BI8" s="420">
        <f>BI9+BI18+BI22+BI23+BI24</f>
        <v>0</v>
      </c>
      <c r="BJ8" s="420">
        <f>BJ9+BJ18+BJ22+BJ23+BJ24</f>
        <v>0</v>
      </c>
      <c r="BK8" s="420">
        <f>BK9+BK18+BK22+BK23+BK24</f>
        <v>0</v>
      </c>
      <c r="BL8" s="420">
        <f>V8+BH8</f>
        <v>6.84</v>
      </c>
      <c r="BM8" s="420">
        <f>BM9+BM18+BM22+BM23+BM24</f>
        <v>-6.84</v>
      </c>
      <c r="BN8" s="420">
        <f>BN9+BN18+BN22+BN23+BN24</f>
        <v>7525.7651900000001</v>
      </c>
      <c r="BO8" s="478"/>
    </row>
    <row r="9" spans="1:68" ht="21.75" hidden="1" customHeight="1">
      <c r="A9" s="14" t="s">
        <v>16</v>
      </c>
      <c r="B9" s="14" t="s">
        <v>471</v>
      </c>
      <c r="C9" s="30" t="s">
        <v>193</v>
      </c>
      <c r="D9" s="185">
        <f>D10+D17</f>
        <v>295.72909000000004</v>
      </c>
      <c r="E9" s="185">
        <f>F9+O9+S9+T9+U9</f>
        <v>295.72909000000004</v>
      </c>
      <c r="F9" s="185">
        <f>D9-BK9</f>
        <v>295.72909000000004</v>
      </c>
      <c r="G9" s="185">
        <f>H9+L9+M9</f>
        <v>204.55675000000002</v>
      </c>
      <c r="H9" s="185">
        <f>I9+J9+K9</f>
        <v>140.55225000000002</v>
      </c>
      <c r="I9" s="185">
        <f>I10+I17</f>
        <v>0</v>
      </c>
      <c r="J9" s="185">
        <f t="shared" ref="J9:BG9" si="2">J10+J17</f>
        <v>140.55225000000002</v>
      </c>
      <c r="K9" s="185">
        <f t="shared" si="2"/>
        <v>0</v>
      </c>
      <c r="L9" s="185">
        <f t="shared" si="2"/>
        <v>0</v>
      </c>
      <c r="M9" s="185">
        <f t="shared" si="2"/>
        <v>64.004499999999993</v>
      </c>
      <c r="N9" s="185">
        <f t="shared" si="2"/>
        <v>90.802340000000001</v>
      </c>
      <c r="O9" s="185">
        <f t="shared" ref="O9:O17" si="3">P9+Q9+R9</f>
        <v>0</v>
      </c>
      <c r="P9" s="185">
        <f t="shared" si="2"/>
        <v>0</v>
      </c>
      <c r="Q9" s="185">
        <f t="shared" si="2"/>
        <v>0</v>
      </c>
      <c r="R9" s="185">
        <f t="shared" si="2"/>
        <v>0</v>
      </c>
      <c r="S9" s="185">
        <f t="shared" si="2"/>
        <v>0</v>
      </c>
      <c r="T9" s="185">
        <f t="shared" si="2"/>
        <v>0</v>
      </c>
      <c r="U9" s="185">
        <f t="shared" si="2"/>
        <v>0</v>
      </c>
      <c r="V9" s="570">
        <f t="shared" si="2"/>
        <v>0.37</v>
      </c>
      <c r="W9" s="185">
        <f t="shared" si="2"/>
        <v>0</v>
      </c>
      <c r="X9" s="185">
        <f t="shared" si="2"/>
        <v>0</v>
      </c>
      <c r="Y9" s="185">
        <f t="shared" si="2"/>
        <v>0</v>
      </c>
      <c r="Z9" s="185">
        <f t="shared" si="2"/>
        <v>0</v>
      </c>
      <c r="AA9" s="185">
        <f t="shared" si="2"/>
        <v>0</v>
      </c>
      <c r="AB9" s="185">
        <f t="shared" si="2"/>
        <v>0</v>
      </c>
      <c r="AC9" s="185">
        <f t="shared" si="2"/>
        <v>0</v>
      </c>
      <c r="AD9" s="185">
        <f t="shared" si="2"/>
        <v>0</v>
      </c>
      <c r="AE9" s="185">
        <f t="shared" si="2"/>
        <v>7.0000000000000007E-2</v>
      </c>
      <c r="AF9" s="185">
        <f t="shared" si="2"/>
        <v>0</v>
      </c>
      <c r="AG9" s="185">
        <f t="shared" si="2"/>
        <v>0</v>
      </c>
      <c r="AH9" s="185">
        <f t="shared" si="2"/>
        <v>0</v>
      </c>
      <c r="AI9" s="185">
        <f t="shared" si="2"/>
        <v>0</v>
      </c>
      <c r="AJ9" s="185">
        <f t="shared" si="2"/>
        <v>0</v>
      </c>
      <c r="AK9" s="185">
        <f t="shared" si="2"/>
        <v>0</v>
      </c>
      <c r="AL9" s="185">
        <f t="shared" si="2"/>
        <v>0</v>
      </c>
      <c r="AM9" s="185">
        <f t="shared" si="2"/>
        <v>7.0000000000000007E-2</v>
      </c>
      <c r="AN9" s="185">
        <f t="shared" si="2"/>
        <v>0</v>
      </c>
      <c r="AO9" s="185">
        <f t="shared" si="2"/>
        <v>0</v>
      </c>
      <c r="AP9" s="185">
        <f t="shared" si="2"/>
        <v>0</v>
      </c>
      <c r="AQ9" s="185">
        <f t="shared" si="2"/>
        <v>0</v>
      </c>
      <c r="AR9" s="185">
        <f t="shared" si="2"/>
        <v>0</v>
      </c>
      <c r="AS9" s="185">
        <f t="shared" si="2"/>
        <v>0</v>
      </c>
      <c r="AT9" s="185">
        <f t="shared" si="2"/>
        <v>0.3</v>
      </c>
      <c r="AU9" s="185">
        <f t="shared" si="2"/>
        <v>0</v>
      </c>
      <c r="AV9" s="185">
        <f t="shared" si="2"/>
        <v>0</v>
      </c>
      <c r="AW9" s="185">
        <f t="shared" si="2"/>
        <v>0</v>
      </c>
      <c r="AX9" s="185">
        <f t="shared" si="2"/>
        <v>0</v>
      </c>
      <c r="AY9" s="185">
        <f t="shared" si="2"/>
        <v>0</v>
      </c>
      <c r="AZ9" s="185">
        <f t="shared" si="2"/>
        <v>0</v>
      </c>
      <c r="BA9" s="185">
        <f t="shared" si="2"/>
        <v>0</v>
      </c>
      <c r="BB9" s="185">
        <f t="shared" si="2"/>
        <v>0</v>
      </c>
      <c r="BC9" s="185">
        <f t="shared" si="2"/>
        <v>0</v>
      </c>
      <c r="BD9" s="185">
        <f t="shared" si="2"/>
        <v>0</v>
      </c>
      <c r="BE9" s="185">
        <f t="shared" si="2"/>
        <v>0</v>
      </c>
      <c r="BF9" s="185">
        <f t="shared" si="2"/>
        <v>0</v>
      </c>
      <c r="BG9" s="185">
        <f t="shared" si="2"/>
        <v>0</v>
      </c>
      <c r="BH9" s="185">
        <f>BH10+BH17</f>
        <v>0</v>
      </c>
      <c r="BI9" s="185">
        <f>BI10+BI17</f>
        <v>0</v>
      </c>
      <c r="BJ9" s="185">
        <f>BJ10+BJ17</f>
        <v>0</v>
      </c>
      <c r="BK9" s="185">
        <f>BK10+BK17</f>
        <v>0</v>
      </c>
      <c r="BL9" s="185">
        <f>O9+S9+T9+U9+V9+BH9</f>
        <v>0.37</v>
      </c>
      <c r="BM9" s="185">
        <f>BM10+BM17</f>
        <v>-0.37</v>
      </c>
      <c r="BN9" s="185">
        <f>D9+BM9</f>
        <v>295.35909000000004</v>
      </c>
      <c r="BO9" s="479"/>
      <c r="BP9" s="53"/>
    </row>
    <row r="10" spans="1:68" ht="19.5" hidden="1" customHeight="1">
      <c r="A10" s="14" t="s">
        <v>212</v>
      </c>
      <c r="B10" s="14" t="s">
        <v>472</v>
      </c>
      <c r="C10" s="30" t="s">
        <v>194</v>
      </c>
      <c r="D10" s="185">
        <f>D11+D15+D16</f>
        <v>204.62675000000002</v>
      </c>
      <c r="E10" s="185">
        <f t="shared" ref="E10:E66" si="4">F10+O10+S10+T10+U10</f>
        <v>204.55675000000002</v>
      </c>
      <c r="F10" s="185">
        <f>G10+N10</f>
        <v>204.55675000000002</v>
      </c>
      <c r="G10" s="185">
        <f>D10-BL10</f>
        <v>204.55675000000002</v>
      </c>
      <c r="H10" s="185">
        <f>I10+J10+K10</f>
        <v>140.55225000000002</v>
      </c>
      <c r="I10" s="185">
        <f>I11+I15+I16</f>
        <v>0</v>
      </c>
      <c r="J10" s="185">
        <f t="shared" ref="J10:BG10" si="5">J11+J15+J16</f>
        <v>140.55225000000002</v>
      </c>
      <c r="K10" s="185">
        <f t="shared" si="5"/>
        <v>0</v>
      </c>
      <c r="L10" s="185">
        <f t="shared" si="5"/>
        <v>0</v>
      </c>
      <c r="M10" s="185">
        <f t="shared" si="5"/>
        <v>64.004499999999993</v>
      </c>
      <c r="N10" s="185">
        <f t="shared" si="5"/>
        <v>0</v>
      </c>
      <c r="O10" s="185">
        <f t="shared" si="3"/>
        <v>0</v>
      </c>
      <c r="P10" s="185">
        <f t="shared" si="5"/>
        <v>0</v>
      </c>
      <c r="Q10" s="185">
        <f t="shared" si="5"/>
        <v>0</v>
      </c>
      <c r="R10" s="185">
        <f t="shared" si="5"/>
        <v>0</v>
      </c>
      <c r="S10" s="185">
        <f t="shared" si="5"/>
        <v>0</v>
      </c>
      <c r="T10" s="185">
        <f t="shared" si="5"/>
        <v>0</v>
      </c>
      <c r="U10" s="185">
        <f t="shared" si="5"/>
        <v>0</v>
      </c>
      <c r="V10" s="570">
        <f t="shared" si="5"/>
        <v>7.0000000000000007E-2</v>
      </c>
      <c r="W10" s="185">
        <f t="shared" si="5"/>
        <v>0</v>
      </c>
      <c r="X10" s="185">
        <f t="shared" si="5"/>
        <v>0</v>
      </c>
      <c r="Y10" s="185">
        <f t="shared" si="5"/>
        <v>0</v>
      </c>
      <c r="Z10" s="185">
        <f t="shared" si="5"/>
        <v>0</v>
      </c>
      <c r="AA10" s="185">
        <f t="shared" si="5"/>
        <v>0</v>
      </c>
      <c r="AB10" s="185">
        <f t="shared" si="5"/>
        <v>0</v>
      </c>
      <c r="AC10" s="185">
        <f t="shared" si="5"/>
        <v>0</v>
      </c>
      <c r="AD10" s="185">
        <f t="shared" si="5"/>
        <v>0</v>
      </c>
      <c r="AE10" s="185">
        <f t="shared" si="5"/>
        <v>7.0000000000000007E-2</v>
      </c>
      <c r="AF10" s="185">
        <f t="shared" si="5"/>
        <v>0</v>
      </c>
      <c r="AG10" s="185">
        <f t="shared" si="5"/>
        <v>0</v>
      </c>
      <c r="AH10" s="185">
        <f t="shared" si="5"/>
        <v>0</v>
      </c>
      <c r="AI10" s="185">
        <f t="shared" si="5"/>
        <v>0</v>
      </c>
      <c r="AJ10" s="185">
        <f t="shared" si="5"/>
        <v>0</v>
      </c>
      <c r="AK10" s="185">
        <f t="shared" si="5"/>
        <v>0</v>
      </c>
      <c r="AL10" s="185">
        <f t="shared" si="5"/>
        <v>0</v>
      </c>
      <c r="AM10" s="185">
        <f t="shared" si="5"/>
        <v>7.0000000000000007E-2</v>
      </c>
      <c r="AN10" s="185">
        <f t="shared" si="5"/>
        <v>0</v>
      </c>
      <c r="AO10" s="185">
        <f t="shared" si="5"/>
        <v>0</v>
      </c>
      <c r="AP10" s="185">
        <f t="shared" si="5"/>
        <v>0</v>
      </c>
      <c r="AQ10" s="185">
        <f t="shared" si="5"/>
        <v>0</v>
      </c>
      <c r="AR10" s="185">
        <f t="shared" si="5"/>
        <v>0</v>
      </c>
      <c r="AS10" s="185">
        <f t="shared" si="5"/>
        <v>0</v>
      </c>
      <c r="AT10" s="185">
        <f t="shared" si="5"/>
        <v>0</v>
      </c>
      <c r="AU10" s="185">
        <f t="shared" si="5"/>
        <v>0</v>
      </c>
      <c r="AV10" s="185">
        <f t="shared" si="5"/>
        <v>0</v>
      </c>
      <c r="AW10" s="185">
        <f t="shared" si="5"/>
        <v>0</v>
      </c>
      <c r="AX10" s="185">
        <f t="shared" si="5"/>
        <v>0</v>
      </c>
      <c r="AY10" s="185">
        <f t="shared" si="5"/>
        <v>0</v>
      </c>
      <c r="AZ10" s="185">
        <f t="shared" si="5"/>
        <v>0</v>
      </c>
      <c r="BA10" s="185">
        <f t="shared" si="5"/>
        <v>0</v>
      </c>
      <c r="BB10" s="185">
        <f t="shared" si="5"/>
        <v>0</v>
      </c>
      <c r="BC10" s="185">
        <f t="shared" si="5"/>
        <v>0</v>
      </c>
      <c r="BD10" s="185">
        <f t="shared" si="5"/>
        <v>0</v>
      </c>
      <c r="BE10" s="185">
        <f t="shared" si="5"/>
        <v>0</v>
      </c>
      <c r="BF10" s="185">
        <f t="shared" si="5"/>
        <v>0</v>
      </c>
      <c r="BG10" s="185">
        <f t="shared" si="5"/>
        <v>0</v>
      </c>
      <c r="BH10" s="185">
        <f>BH11+BH15+BH16</f>
        <v>0</v>
      </c>
      <c r="BI10" s="185">
        <f>BI11+BI15+BI16</f>
        <v>0</v>
      </c>
      <c r="BJ10" s="185">
        <f>BJ11+BJ15+BJ16</f>
        <v>0</v>
      </c>
      <c r="BK10" s="185">
        <f>BK11+BK15+BK16</f>
        <v>0</v>
      </c>
      <c r="BL10" s="185">
        <f>N10+O10+S10+T10+U10+V10+BH10</f>
        <v>7.0000000000000007E-2</v>
      </c>
      <c r="BM10" s="185">
        <f>BM11+BM15+BM16</f>
        <v>-7.0000000000000007E-2</v>
      </c>
      <c r="BN10" s="185">
        <f>BN11+BN15+BN16</f>
        <v>204.55675000000002</v>
      </c>
      <c r="BO10" s="479"/>
      <c r="BP10" s="53"/>
    </row>
    <row r="11" spans="1:68" ht="20.100000000000001" customHeight="1">
      <c r="A11" s="14" t="s">
        <v>213</v>
      </c>
      <c r="B11" s="14" t="s">
        <v>17</v>
      </c>
      <c r="C11" s="30" t="s">
        <v>18</v>
      </c>
      <c r="D11" s="185">
        <f>D12+D13+D14</f>
        <v>140.62225000000001</v>
      </c>
      <c r="E11" s="185">
        <f t="shared" si="4"/>
        <v>140.55225000000002</v>
      </c>
      <c r="F11" s="185">
        <f t="shared" ref="F11:F24" si="6">G11+N11</f>
        <v>140.55225000000002</v>
      </c>
      <c r="G11" s="185">
        <f>H11+L11+M11</f>
        <v>140.55225000000002</v>
      </c>
      <c r="H11" s="185">
        <f>D11-BL11</f>
        <v>140.55225000000002</v>
      </c>
      <c r="I11" s="185">
        <f>I12+I13+I14</f>
        <v>0</v>
      </c>
      <c r="J11" s="185">
        <f t="shared" ref="J11:BG11" si="7">J12+J13+J14</f>
        <v>140.55225000000002</v>
      </c>
      <c r="K11" s="185">
        <f t="shared" si="7"/>
        <v>0</v>
      </c>
      <c r="L11" s="185">
        <f t="shared" si="7"/>
        <v>0</v>
      </c>
      <c r="M11" s="185">
        <f t="shared" si="7"/>
        <v>0</v>
      </c>
      <c r="N11" s="185">
        <f t="shared" si="7"/>
        <v>0</v>
      </c>
      <c r="O11" s="185">
        <f t="shared" si="3"/>
        <v>0</v>
      </c>
      <c r="P11" s="185">
        <f t="shared" si="7"/>
        <v>0</v>
      </c>
      <c r="Q11" s="185">
        <f t="shared" si="7"/>
        <v>0</v>
      </c>
      <c r="R11" s="185">
        <f t="shared" si="7"/>
        <v>0</v>
      </c>
      <c r="S11" s="185">
        <f t="shared" si="7"/>
        <v>0</v>
      </c>
      <c r="T11" s="185">
        <f t="shared" si="7"/>
        <v>0</v>
      </c>
      <c r="U11" s="185">
        <f t="shared" si="7"/>
        <v>0</v>
      </c>
      <c r="V11" s="570">
        <f t="shared" si="7"/>
        <v>7.0000000000000007E-2</v>
      </c>
      <c r="W11" s="185">
        <f t="shared" si="7"/>
        <v>0</v>
      </c>
      <c r="X11" s="185">
        <f t="shared" si="7"/>
        <v>0</v>
      </c>
      <c r="Y11" s="185">
        <f t="shared" si="7"/>
        <v>0</v>
      </c>
      <c r="Z11" s="185">
        <f t="shared" si="7"/>
        <v>0</v>
      </c>
      <c r="AA11" s="185">
        <f t="shared" si="7"/>
        <v>0</v>
      </c>
      <c r="AB11" s="185">
        <f t="shared" si="7"/>
        <v>0</v>
      </c>
      <c r="AC11" s="185">
        <f t="shared" si="7"/>
        <v>0</v>
      </c>
      <c r="AD11" s="185">
        <f t="shared" si="7"/>
        <v>0</v>
      </c>
      <c r="AE11" s="185">
        <f t="shared" si="7"/>
        <v>7.0000000000000007E-2</v>
      </c>
      <c r="AF11" s="185">
        <f t="shared" si="7"/>
        <v>0</v>
      </c>
      <c r="AG11" s="185">
        <f t="shared" si="7"/>
        <v>0</v>
      </c>
      <c r="AH11" s="185">
        <f t="shared" si="7"/>
        <v>0</v>
      </c>
      <c r="AI11" s="185">
        <f t="shared" si="7"/>
        <v>0</v>
      </c>
      <c r="AJ11" s="185">
        <f t="shared" si="7"/>
        <v>0</v>
      </c>
      <c r="AK11" s="185">
        <f t="shared" si="7"/>
        <v>0</v>
      </c>
      <c r="AL11" s="185">
        <f t="shared" si="7"/>
        <v>0</v>
      </c>
      <c r="AM11" s="185">
        <f t="shared" si="7"/>
        <v>7.0000000000000007E-2</v>
      </c>
      <c r="AN11" s="185">
        <f t="shared" si="7"/>
        <v>0</v>
      </c>
      <c r="AO11" s="185">
        <f t="shared" si="7"/>
        <v>0</v>
      </c>
      <c r="AP11" s="185">
        <f t="shared" si="7"/>
        <v>0</v>
      </c>
      <c r="AQ11" s="185">
        <f t="shared" si="7"/>
        <v>0</v>
      </c>
      <c r="AR11" s="185">
        <f t="shared" si="7"/>
        <v>0</v>
      </c>
      <c r="AS11" s="185">
        <f t="shared" si="7"/>
        <v>0</v>
      </c>
      <c r="AT11" s="185">
        <f t="shared" si="7"/>
        <v>0</v>
      </c>
      <c r="AU11" s="185">
        <f t="shared" si="7"/>
        <v>0</v>
      </c>
      <c r="AV11" s="185">
        <f t="shared" si="7"/>
        <v>0</v>
      </c>
      <c r="AW11" s="185">
        <f t="shared" si="7"/>
        <v>0</v>
      </c>
      <c r="AX11" s="185">
        <f t="shared" si="7"/>
        <v>0</v>
      </c>
      <c r="AY11" s="185">
        <f t="shared" si="7"/>
        <v>0</v>
      </c>
      <c r="AZ11" s="185">
        <f t="shared" si="7"/>
        <v>0</v>
      </c>
      <c r="BA11" s="185">
        <f t="shared" si="7"/>
        <v>0</v>
      </c>
      <c r="BB11" s="185">
        <f t="shared" si="7"/>
        <v>0</v>
      </c>
      <c r="BC11" s="185">
        <f t="shared" si="7"/>
        <v>0</v>
      </c>
      <c r="BD11" s="185">
        <f t="shared" si="7"/>
        <v>0</v>
      </c>
      <c r="BE11" s="185">
        <f t="shared" si="7"/>
        <v>0</v>
      </c>
      <c r="BF11" s="185">
        <f t="shared" si="7"/>
        <v>0</v>
      </c>
      <c r="BG11" s="185">
        <f t="shared" si="7"/>
        <v>0</v>
      </c>
      <c r="BH11" s="185">
        <f>BH12+BH13+BH14</f>
        <v>0</v>
      </c>
      <c r="BI11" s="185">
        <f>BI12+BI13+BI14</f>
        <v>0</v>
      </c>
      <c r="BJ11" s="185">
        <f>BJ12+BJ13+BJ14</f>
        <v>0</v>
      </c>
      <c r="BK11" s="185">
        <f>BK12+BK13+BK14</f>
        <v>0</v>
      </c>
      <c r="BL11" s="185">
        <f>L11+M11+N11+S11+T11+U11+V11+BH11</f>
        <v>7.0000000000000007E-2</v>
      </c>
      <c r="BM11" s="185">
        <f>H67-BL11</f>
        <v>-7.0000000000000007E-2</v>
      </c>
      <c r="BN11" s="185">
        <f>BN12+BN13+BN14</f>
        <v>140.55225000000002</v>
      </c>
      <c r="BO11" s="479"/>
      <c r="BP11" s="53"/>
    </row>
    <row r="12" spans="1:68" ht="20.100000000000001" customHeight="1">
      <c r="A12" s="14" t="s">
        <v>214</v>
      </c>
      <c r="B12" s="14" t="s">
        <v>473</v>
      </c>
      <c r="C12" s="30" t="s">
        <v>20</v>
      </c>
      <c r="D12" s="185"/>
      <c r="E12" s="185">
        <f t="shared" si="4"/>
        <v>0</v>
      </c>
      <c r="F12" s="185">
        <f t="shared" si="6"/>
        <v>0</v>
      </c>
      <c r="G12" s="185">
        <f t="shared" ref="G12:G66" si="8">H12+L12+M12</f>
        <v>0</v>
      </c>
      <c r="H12" s="185">
        <f>I12+J12+K12</f>
        <v>0</v>
      </c>
      <c r="I12" s="185">
        <f>D12-BL12</f>
        <v>0</v>
      </c>
      <c r="J12" s="185"/>
      <c r="K12" s="185"/>
      <c r="L12" s="185"/>
      <c r="M12" s="185"/>
      <c r="N12" s="185"/>
      <c r="O12" s="185">
        <f t="shared" si="3"/>
        <v>0</v>
      </c>
      <c r="P12" s="185"/>
      <c r="Q12" s="185"/>
      <c r="R12" s="185"/>
      <c r="S12" s="185"/>
      <c r="T12" s="185"/>
      <c r="U12" s="185"/>
      <c r="V12" s="570">
        <f>W12+X12+Y12+Z12+AA12+AB12+AC12+AD12+AE12+AQ12+AR12+AS12+AT12+AU12+AV12+AW12+AX12+AY12+AZ12+BA12+BB12+BC12+BD12+BE12+BF12+BG12</f>
        <v>0</v>
      </c>
      <c r="W12" s="185"/>
      <c r="X12" s="185"/>
      <c r="Y12" s="185"/>
      <c r="Z12" s="185"/>
      <c r="AA12" s="185"/>
      <c r="AB12" s="185"/>
      <c r="AC12" s="185"/>
      <c r="AD12" s="185"/>
      <c r="AE12" s="185">
        <f t="shared" ref="AE12:AE33" si="9">SUM(AF12:AP12)</f>
        <v>0</v>
      </c>
      <c r="AF12" s="185"/>
      <c r="AG12" s="185"/>
      <c r="AH12" s="185"/>
      <c r="AI12" s="185"/>
      <c r="AJ12" s="185"/>
      <c r="AK12" s="185"/>
      <c r="AL12" s="185"/>
      <c r="AM12" s="185"/>
      <c r="AN12" s="185"/>
      <c r="AO12" s="185"/>
      <c r="AP12" s="185"/>
      <c r="AQ12" s="185"/>
      <c r="AR12" s="185"/>
      <c r="AS12" s="185"/>
      <c r="AT12" s="185"/>
      <c r="AU12" s="185"/>
      <c r="AV12" s="185"/>
      <c r="AW12" s="185"/>
      <c r="AX12" s="185"/>
      <c r="AY12" s="185"/>
      <c r="AZ12" s="185"/>
      <c r="BA12" s="185"/>
      <c r="BB12" s="185"/>
      <c r="BC12" s="185"/>
      <c r="BD12" s="185"/>
      <c r="BE12" s="185"/>
      <c r="BF12" s="185"/>
      <c r="BG12" s="185"/>
      <c r="BH12" s="185">
        <f t="shared" ref="BH12:BH17" si="10">BI12+BJ12+BK12</f>
        <v>0</v>
      </c>
      <c r="BI12" s="185"/>
      <c r="BJ12" s="185"/>
      <c r="BK12" s="185"/>
      <c r="BL12" s="185">
        <f>J12+K12+L12+M12+N12+O12+S12+T12+U12+V12+BH12</f>
        <v>0</v>
      </c>
      <c r="BM12" s="185">
        <f>I67-BL12</f>
        <v>0</v>
      </c>
      <c r="BN12" s="185">
        <f t="shared" ref="BN12:BN17" si="11">D12+BM12</f>
        <v>0</v>
      </c>
      <c r="BO12" s="479"/>
      <c r="BP12" s="53"/>
    </row>
    <row r="13" spans="1:68" ht="19.5" customHeight="1">
      <c r="A13" s="14" t="s">
        <v>215</v>
      </c>
      <c r="B13" s="14" t="s">
        <v>474</v>
      </c>
      <c r="C13" s="30" t="s">
        <v>195</v>
      </c>
      <c r="D13" s="185">
        <f>#REF!</f>
        <v>140.62225000000001</v>
      </c>
      <c r="E13" s="185">
        <f t="shared" si="4"/>
        <v>140.55225000000002</v>
      </c>
      <c r="F13" s="185">
        <f t="shared" si="6"/>
        <v>140.55225000000002</v>
      </c>
      <c r="G13" s="185">
        <f t="shared" si="8"/>
        <v>140.55225000000002</v>
      </c>
      <c r="H13" s="185">
        <f t="shared" ref="H13:H66" si="12">I13+J13+K13</f>
        <v>140.55225000000002</v>
      </c>
      <c r="I13" s="185"/>
      <c r="J13" s="185">
        <f>D13-BL13</f>
        <v>140.55225000000002</v>
      </c>
      <c r="K13" s="185"/>
      <c r="L13" s="185"/>
      <c r="M13" s="185"/>
      <c r="N13" s="185"/>
      <c r="O13" s="185">
        <f t="shared" si="3"/>
        <v>0</v>
      </c>
      <c r="P13" s="185"/>
      <c r="Q13" s="185"/>
      <c r="R13" s="185"/>
      <c r="S13" s="185"/>
      <c r="T13" s="185"/>
      <c r="U13" s="185"/>
      <c r="V13" s="570">
        <f t="shared" ref="V13:V66" si="13">W13+X13+Y13+Z13+AA13+AB13+AC13+AD13+AE13+AQ13+AR13+AS13+AT13+AU13+AV13+AW13+AX13+AY13+AZ13+BA13+BB13+BC13+BD13+BE13+BF13+BG13</f>
        <v>7.0000000000000007E-2</v>
      </c>
      <c r="W13" s="185"/>
      <c r="X13" s="185"/>
      <c r="Y13" s="185"/>
      <c r="Z13" s="185"/>
      <c r="AA13" s="185"/>
      <c r="AB13" s="185"/>
      <c r="AC13" s="185"/>
      <c r="AD13" s="185"/>
      <c r="AE13" s="185">
        <f t="shared" si="9"/>
        <v>7.0000000000000007E-2</v>
      </c>
      <c r="AF13" s="185"/>
      <c r="AG13" s="185"/>
      <c r="AH13" s="185"/>
      <c r="AI13" s="185"/>
      <c r="AJ13" s="185"/>
      <c r="AK13" s="185"/>
      <c r="AL13" s="185"/>
      <c r="AM13" s="185">
        <v>7.0000000000000007E-2</v>
      </c>
      <c r="AN13" s="185"/>
      <c r="AO13" s="185"/>
      <c r="AP13" s="185"/>
      <c r="AQ13" s="185"/>
      <c r="AR13" s="185"/>
      <c r="AS13" s="185"/>
      <c r="AT13" s="185"/>
      <c r="AU13" s="185"/>
      <c r="AV13" s="185"/>
      <c r="AW13" s="185"/>
      <c r="AX13" s="185"/>
      <c r="AY13" s="185"/>
      <c r="AZ13" s="185"/>
      <c r="BA13" s="185"/>
      <c r="BB13" s="185"/>
      <c r="BC13" s="185"/>
      <c r="BD13" s="185"/>
      <c r="BE13" s="185"/>
      <c r="BF13" s="185"/>
      <c r="BG13" s="185"/>
      <c r="BH13" s="185">
        <f t="shared" si="10"/>
        <v>0</v>
      </c>
      <c r="BI13" s="185"/>
      <c r="BJ13" s="185"/>
      <c r="BK13" s="185"/>
      <c r="BL13" s="185">
        <f>I13+K13+L13+M13+N13+O13+S13+T13+U13+V13+BH13</f>
        <v>7.0000000000000007E-2</v>
      </c>
      <c r="BM13" s="185">
        <f>J67-BL13</f>
        <v>-7.0000000000000007E-2</v>
      </c>
      <c r="BN13" s="185">
        <f t="shared" si="11"/>
        <v>140.55225000000002</v>
      </c>
      <c r="BO13" s="479"/>
      <c r="BP13" s="53"/>
    </row>
    <row r="14" spans="1:68" ht="18.75" hidden="1" customHeight="1">
      <c r="A14" s="14" t="s">
        <v>216</v>
      </c>
      <c r="B14" s="14" t="s">
        <v>475</v>
      </c>
      <c r="C14" s="30" t="s">
        <v>196</v>
      </c>
      <c r="D14" s="185"/>
      <c r="E14" s="185">
        <f t="shared" si="4"/>
        <v>0</v>
      </c>
      <c r="F14" s="185">
        <f t="shared" si="6"/>
        <v>0</v>
      </c>
      <c r="G14" s="185">
        <f t="shared" si="8"/>
        <v>0</v>
      </c>
      <c r="H14" s="185">
        <f t="shared" si="12"/>
        <v>0</v>
      </c>
      <c r="I14" s="185"/>
      <c r="J14" s="185"/>
      <c r="K14" s="185">
        <f>D14-BL14</f>
        <v>0</v>
      </c>
      <c r="L14" s="185"/>
      <c r="M14" s="185"/>
      <c r="N14" s="185"/>
      <c r="O14" s="185">
        <f t="shared" si="3"/>
        <v>0</v>
      </c>
      <c r="P14" s="185"/>
      <c r="Q14" s="185"/>
      <c r="R14" s="185"/>
      <c r="S14" s="185"/>
      <c r="T14" s="185"/>
      <c r="U14" s="185"/>
      <c r="V14" s="570">
        <f t="shared" si="13"/>
        <v>0</v>
      </c>
      <c r="W14" s="185"/>
      <c r="X14" s="185"/>
      <c r="Y14" s="185"/>
      <c r="Z14" s="185"/>
      <c r="AA14" s="185"/>
      <c r="AB14" s="185"/>
      <c r="AC14" s="185"/>
      <c r="AD14" s="185"/>
      <c r="AE14" s="185">
        <f t="shared" si="9"/>
        <v>0</v>
      </c>
      <c r="AF14" s="185"/>
      <c r="AG14" s="185"/>
      <c r="AH14" s="185"/>
      <c r="AI14" s="185"/>
      <c r="AJ14" s="185"/>
      <c r="AK14" s="185"/>
      <c r="AL14" s="185"/>
      <c r="AM14" s="185"/>
      <c r="AN14" s="185"/>
      <c r="AO14" s="185"/>
      <c r="AP14" s="185"/>
      <c r="AQ14" s="185"/>
      <c r="AR14" s="185"/>
      <c r="AS14" s="185"/>
      <c r="AT14" s="185"/>
      <c r="AU14" s="185"/>
      <c r="AV14" s="185"/>
      <c r="AW14" s="185"/>
      <c r="AX14" s="185"/>
      <c r="AY14" s="185"/>
      <c r="AZ14" s="185"/>
      <c r="BA14" s="185"/>
      <c r="BB14" s="185"/>
      <c r="BC14" s="185"/>
      <c r="BD14" s="185"/>
      <c r="BE14" s="185"/>
      <c r="BF14" s="185"/>
      <c r="BG14" s="185"/>
      <c r="BH14" s="185">
        <f t="shared" si="10"/>
        <v>0</v>
      </c>
      <c r="BI14" s="185"/>
      <c r="BJ14" s="185"/>
      <c r="BK14" s="185"/>
      <c r="BL14" s="185">
        <f>I14+J14+L14+M14+N14+O14+S14+T14+U14+V14+BH14</f>
        <v>0</v>
      </c>
      <c r="BM14" s="185">
        <f>K67-BL14</f>
        <v>0</v>
      </c>
      <c r="BN14" s="185">
        <f t="shared" si="11"/>
        <v>0</v>
      </c>
      <c r="BO14" s="479"/>
      <c r="BP14" s="53"/>
    </row>
    <row r="15" spans="1:68" ht="19.5" hidden="1" customHeight="1">
      <c r="A15" s="14" t="s">
        <v>217</v>
      </c>
      <c r="B15" s="14" t="s">
        <v>476</v>
      </c>
      <c r="C15" s="30" t="s">
        <v>197</v>
      </c>
      <c r="D15" s="185"/>
      <c r="E15" s="185">
        <f t="shared" si="4"/>
        <v>0</v>
      </c>
      <c r="F15" s="185">
        <f t="shared" si="6"/>
        <v>0</v>
      </c>
      <c r="G15" s="185">
        <f t="shared" si="8"/>
        <v>0</v>
      </c>
      <c r="H15" s="185">
        <f t="shared" si="12"/>
        <v>0</v>
      </c>
      <c r="I15" s="185"/>
      <c r="J15" s="185"/>
      <c r="K15" s="185"/>
      <c r="L15" s="185">
        <f>D15-BL15</f>
        <v>0</v>
      </c>
      <c r="M15" s="185"/>
      <c r="N15" s="185"/>
      <c r="O15" s="185">
        <f t="shared" si="3"/>
        <v>0</v>
      </c>
      <c r="P15" s="185"/>
      <c r="Q15" s="185"/>
      <c r="R15" s="185"/>
      <c r="S15" s="185"/>
      <c r="T15" s="185"/>
      <c r="U15" s="185"/>
      <c r="V15" s="570">
        <f t="shared" si="13"/>
        <v>0</v>
      </c>
      <c r="W15" s="185"/>
      <c r="X15" s="185"/>
      <c r="Y15" s="185"/>
      <c r="Z15" s="185"/>
      <c r="AA15" s="185"/>
      <c r="AB15" s="185"/>
      <c r="AC15" s="185"/>
      <c r="AD15" s="185"/>
      <c r="AE15" s="185">
        <f t="shared" si="9"/>
        <v>0</v>
      </c>
      <c r="AF15" s="185"/>
      <c r="AG15" s="185"/>
      <c r="AH15" s="185"/>
      <c r="AI15" s="185"/>
      <c r="AJ15" s="185"/>
      <c r="AK15" s="185"/>
      <c r="AL15" s="185"/>
      <c r="AM15" s="185"/>
      <c r="AN15" s="185"/>
      <c r="AO15" s="185"/>
      <c r="AP15" s="185"/>
      <c r="AQ15" s="185"/>
      <c r="AR15" s="185"/>
      <c r="AS15" s="185"/>
      <c r="AT15" s="185"/>
      <c r="AU15" s="185"/>
      <c r="AV15" s="185"/>
      <c r="AW15" s="185"/>
      <c r="AX15" s="185"/>
      <c r="AY15" s="185"/>
      <c r="AZ15" s="185"/>
      <c r="BA15" s="185"/>
      <c r="BB15" s="185"/>
      <c r="BC15" s="185"/>
      <c r="BD15" s="185"/>
      <c r="BE15" s="185"/>
      <c r="BF15" s="185"/>
      <c r="BG15" s="185"/>
      <c r="BH15" s="185">
        <f t="shared" si="10"/>
        <v>0</v>
      </c>
      <c r="BI15" s="185"/>
      <c r="BJ15" s="185"/>
      <c r="BK15" s="185"/>
      <c r="BL15" s="185">
        <f>H15+M15+N15+O15+S15+T15+U15+V15+BH15</f>
        <v>0</v>
      </c>
      <c r="BM15" s="185">
        <f>L67-BL15</f>
        <v>0</v>
      </c>
      <c r="BN15" s="185">
        <f t="shared" si="11"/>
        <v>0</v>
      </c>
      <c r="BO15" s="479"/>
      <c r="BP15" s="53"/>
    </row>
    <row r="16" spans="1:68" ht="20.100000000000001" customHeight="1">
      <c r="A16" s="14" t="s">
        <v>218</v>
      </c>
      <c r="B16" s="14" t="s">
        <v>22</v>
      </c>
      <c r="C16" s="30" t="s">
        <v>23</v>
      </c>
      <c r="D16" s="185">
        <f>#REF!</f>
        <v>64.004499999999993</v>
      </c>
      <c r="E16" s="185">
        <f t="shared" si="4"/>
        <v>64.004499999999993</v>
      </c>
      <c r="F16" s="185">
        <f t="shared" si="6"/>
        <v>64.004499999999993</v>
      </c>
      <c r="G16" s="185">
        <f t="shared" si="8"/>
        <v>64.004499999999993</v>
      </c>
      <c r="H16" s="185">
        <f t="shared" si="12"/>
        <v>0</v>
      </c>
      <c r="I16" s="185"/>
      <c r="J16" s="185"/>
      <c r="K16" s="185"/>
      <c r="L16" s="185"/>
      <c r="M16" s="185">
        <f>D16-BL16</f>
        <v>64.004499999999993</v>
      </c>
      <c r="N16" s="185"/>
      <c r="O16" s="185">
        <f t="shared" si="3"/>
        <v>0</v>
      </c>
      <c r="P16" s="185"/>
      <c r="Q16" s="185"/>
      <c r="R16" s="185"/>
      <c r="S16" s="185"/>
      <c r="T16" s="185"/>
      <c r="U16" s="185"/>
      <c r="V16" s="570">
        <f t="shared" si="13"/>
        <v>0</v>
      </c>
      <c r="W16" s="185"/>
      <c r="X16" s="185"/>
      <c r="Y16" s="185"/>
      <c r="Z16" s="185"/>
      <c r="AA16" s="185"/>
      <c r="AB16" s="185"/>
      <c r="AC16" s="185"/>
      <c r="AD16" s="185"/>
      <c r="AE16" s="185">
        <f t="shared" si="9"/>
        <v>0</v>
      </c>
      <c r="AF16" s="185"/>
      <c r="AG16" s="185"/>
      <c r="AH16" s="185"/>
      <c r="AI16" s="185"/>
      <c r="AJ16" s="185"/>
      <c r="AK16" s="185"/>
      <c r="AL16" s="185"/>
      <c r="AM16" s="185"/>
      <c r="AN16" s="185"/>
      <c r="AO16" s="185"/>
      <c r="AP16" s="185"/>
      <c r="AQ16" s="185"/>
      <c r="AR16" s="185"/>
      <c r="AS16" s="185"/>
      <c r="AT16" s="185"/>
      <c r="AU16" s="185"/>
      <c r="AV16" s="185"/>
      <c r="AW16" s="185"/>
      <c r="AX16" s="185"/>
      <c r="AY16" s="185"/>
      <c r="AZ16" s="185"/>
      <c r="BA16" s="185"/>
      <c r="BB16" s="185"/>
      <c r="BC16" s="185"/>
      <c r="BD16" s="185"/>
      <c r="BE16" s="185"/>
      <c r="BF16" s="185"/>
      <c r="BG16" s="185"/>
      <c r="BH16" s="185">
        <f t="shared" si="10"/>
        <v>0</v>
      </c>
      <c r="BI16" s="185"/>
      <c r="BJ16" s="185"/>
      <c r="BK16" s="185"/>
      <c r="BL16" s="185">
        <f>H16+L16+N16+S16+T16+U16+V16+BH16</f>
        <v>0</v>
      </c>
      <c r="BM16" s="185">
        <f>M67-BL16</f>
        <v>0</v>
      </c>
      <c r="BN16" s="185">
        <f t="shared" si="11"/>
        <v>64.004499999999993</v>
      </c>
      <c r="BO16" s="479"/>
      <c r="BP16" s="53"/>
    </row>
    <row r="17" spans="1:68" ht="18.75" customHeight="1">
      <c r="A17" s="14" t="s">
        <v>219</v>
      </c>
      <c r="B17" s="14" t="s">
        <v>25</v>
      </c>
      <c r="C17" s="30" t="s">
        <v>26</v>
      </c>
      <c r="D17" s="185">
        <f>#REF!</f>
        <v>91.102339999999998</v>
      </c>
      <c r="E17" s="185">
        <f t="shared" si="4"/>
        <v>90.802340000000001</v>
      </c>
      <c r="F17" s="185">
        <f t="shared" si="6"/>
        <v>90.802340000000001</v>
      </c>
      <c r="G17" s="185">
        <f t="shared" si="8"/>
        <v>0</v>
      </c>
      <c r="H17" s="185">
        <f t="shared" si="12"/>
        <v>0</v>
      </c>
      <c r="I17" s="185"/>
      <c r="J17" s="185"/>
      <c r="K17" s="185"/>
      <c r="L17" s="185"/>
      <c r="M17" s="185"/>
      <c r="N17" s="185">
        <f>D17-BL17</f>
        <v>90.802340000000001</v>
      </c>
      <c r="O17" s="185">
        <f t="shared" si="3"/>
        <v>0</v>
      </c>
      <c r="P17" s="185"/>
      <c r="Q17" s="185"/>
      <c r="R17" s="185"/>
      <c r="S17" s="185"/>
      <c r="T17" s="185"/>
      <c r="U17" s="185"/>
      <c r="V17" s="570">
        <f t="shared" si="13"/>
        <v>0.3</v>
      </c>
      <c r="W17" s="185"/>
      <c r="X17" s="185"/>
      <c r="Y17" s="185"/>
      <c r="Z17" s="185"/>
      <c r="AA17" s="185"/>
      <c r="AB17" s="185"/>
      <c r="AC17" s="185"/>
      <c r="AD17" s="185"/>
      <c r="AE17" s="185">
        <f t="shared" si="9"/>
        <v>0</v>
      </c>
      <c r="AF17" s="185"/>
      <c r="AG17" s="185"/>
      <c r="AH17" s="185"/>
      <c r="AI17" s="185"/>
      <c r="AJ17" s="185"/>
      <c r="AK17" s="185"/>
      <c r="AL17" s="185"/>
      <c r="AM17" s="185"/>
      <c r="AN17" s="185"/>
      <c r="AO17" s="185"/>
      <c r="AP17" s="185"/>
      <c r="AQ17" s="185"/>
      <c r="AR17" s="185"/>
      <c r="AS17" s="185"/>
      <c r="AT17" s="185">
        <v>0.3</v>
      </c>
      <c r="AU17" s="185"/>
      <c r="AV17" s="185"/>
      <c r="AW17" s="185"/>
      <c r="AX17" s="185"/>
      <c r="AY17" s="185"/>
      <c r="AZ17" s="185"/>
      <c r="BA17" s="185"/>
      <c r="BB17" s="185"/>
      <c r="BC17" s="185"/>
      <c r="BD17" s="185"/>
      <c r="BE17" s="185"/>
      <c r="BF17" s="185"/>
      <c r="BG17" s="185"/>
      <c r="BH17" s="185">
        <f t="shared" si="10"/>
        <v>0</v>
      </c>
      <c r="BI17" s="185"/>
      <c r="BJ17" s="185"/>
      <c r="BK17" s="185"/>
      <c r="BL17" s="185">
        <f>H17+L17+M17+O17+S17+T17+U17+V17+BH17</f>
        <v>0.3</v>
      </c>
      <c r="BM17" s="185">
        <f>N67-BL17</f>
        <v>-0.3</v>
      </c>
      <c r="BN17" s="185">
        <f t="shared" si="11"/>
        <v>90.802340000000001</v>
      </c>
      <c r="BO17" s="479"/>
      <c r="BP17" s="53"/>
    </row>
    <row r="18" spans="1:68" ht="19.5" hidden="1" customHeight="1">
      <c r="A18" s="14" t="s">
        <v>21</v>
      </c>
      <c r="B18" s="14" t="s">
        <v>477</v>
      </c>
      <c r="C18" s="30" t="s">
        <v>198</v>
      </c>
      <c r="D18" s="185">
        <f>D19+D20+D21</f>
        <v>7235.9261000000006</v>
      </c>
      <c r="E18" s="185">
        <f t="shared" si="4"/>
        <v>7229.4561000000003</v>
      </c>
      <c r="F18" s="185">
        <f t="shared" si="6"/>
        <v>0</v>
      </c>
      <c r="G18" s="185">
        <f t="shared" si="8"/>
        <v>0</v>
      </c>
      <c r="H18" s="185">
        <f t="shared" si="12"/>
        <v>0</v>
      </c>
      <c r="I18" s="185">
        <f t="shared" ref="I18:N18" si="14">I19+I20+I21</f>
        <v>0</v>
      </c>
      <c r="J18" s="185">
        <f t="shared" si="14"/>
        <v>0</v>
      </c>
      <c r="K18" s="185">
        <f t="shared" si="14"/>
        <v>0</v>
      </c>
      <c r="L18" s="185">
        <f t="shared" si="14"/>
        <v>0</v>
      </c>
      <c r="M18" s="185">
        <f t="shared" si="14"/>
        <v>0</v>
      </c>
      <c r="N18" s="185">
        <f t="shared" si="14"/>
        <v>0</v>
      </c>
      <c r="O18" s="185">
        <f>D18-BL18</f>
        <v>7229.4561000000003</v>
      </c>
      <c r="P18" s="185">
        <f t="shared" ref="P18:BG18" si="15">P19+P20+P21</f>
        <v>4319.0600000000004</v>
      </c>
      <c r="Q18" s="185">
        <f t="shared" si="15"/>
        <v>0</v>
      </c>
      <c r="R18" s="185">
        <f t="shared" si="15"/>
        <v>2910.3960999999999</v>
      </c>
      <c r="S18" s="185">
        <f t="shared" si="15"/>
        <v>0</v>
      </c>
      <c r="T18" s="185">
        <f t="shared" si="15"/>
        <v>0</v>
      </c>
      <c r="U18" s="185">
        <f t="shared" si="15"/>
        <v>0</v>
      </c>
      <c r="V18" s="570">
        <f t="shared" si="15"/>
        <v>6.47</v>
      </c>
      <c r="W18" s="185">
        <f t="shared" si="15"/>
        <v>0</v>
      </c>
      <c r="X18" s="185">
        <f t="shared" si="15"/>
        <v>0</v>
      </c>
      <c r="Y18" s="185">
        <f t="shared" si="15"/>
        <v>0</v>
      </c>
      <c r="Z18" s="185">
        <f t="shared" si="15"/>
        <v>0</v>
      </c>
      <c r="AA18" s="185">
        <f t="shared" si="15"/>
        <v>0</v>
      </c>
      <c r="AB18" s="185">
        <f t="shared" si="15"/>
        <v>0</v>
      </c>
      <c r="AC18" s="185">
        <f t="shared" si="15"/>
        <v>0</v>
      </c>
      <c r="AD18" s="185">
        <f t="shared" si="15"/>
        <v>0</v>
      </c>
      <c r="AE18" s="185">
        <f t="shared" si="15"/>
        <v>0</v>
      </c>
      <c r="AF18" s="185">
        <f t="shared" si="15"/>
        <v>0</v>
      </c>
      <c r="AG18" s="185">
        <f t="shared" si="15"/>
        <v>0</v>
      </c>
      <c r="AH18" s="185">
        <f t="shared" si="15"/>
        <v>0</v>
      </c>
      <c r="AI18" s="185">
        <f t="shared" si="15"/>
        <v>0</v>
      </c>
      <c r="AJ18" s="185">
        <f t="shared" si="15"/>
        <v>0</v>
      </c>
      <c r="AK18" s="185">
        <f t="shared" si="15"/>
        <v>0</v>
      </c>
      <c r="AL18" s="185">
        <f t="shared" si="15"/>
        <v>0</v>
      </c>
      <c r="AM18" s="185">
        <f t="shared" si="15"/>
        <v>0</v>
      </c>
      <c r="AN18" s="185">
        <f t="shared" si="15"/>
        <v>0</v>
      </c>
      <c r="AO18" s="185">
        <f t="shared" si="15"/>
        <v>0</v>
      </c>
      <c r="AP18" s="185">
        <f t="shared" si="15"/>
        <v>0</v>
      </c>
      <c r="AQ18" s="185">
        <f t="shared" si="15"/>
        <v>0</v>
      </c>
      <c r="AR18" s="185">
        <f t="shared" si="15"/>
        <v>0</v>
      </c>
      <c r="AS18" s="185">
        <f t="shared" si="15"/>
        <v>0</v>
      </c>
      <c r="AT18" s="185">
        <f t="shared" si="15"/>
        <v>0</v>
      </c>
      <c r="AU18" s="185">
        <f t="shared" si="15"/>
        <v>0</v>
      </c>
      <c r="AV18" s="185">
        <f t="shared" si="15"/>
        <v>0</v>
      </c>
      <c r="AW18" s="185">
        <f t="shared" si="15"/>
        <v>0</v>
      </c>
      <c r="AX18" s="185">
        <f t="shared" si="15"/>
        <v>0</v>
      </c>
      <c r="AY18" s="185">
        <f t="shared" si="15"/>
        <v>0</v>
      </c>
      <c r="AZ18" s="185">
        <f t="shared" si="15"/>
        <v>0</v>
      </c>
      <c r="BA18" s="185">
        <f t="shared" si="15"/>
        <v>6.47</v>
      </c>
      <c r="BB18" s="185">
        <f t="shared" si="15"/>
        <v>0</v>
      </c>
      <c r="BC18" s="185">
        <f t="shared" si="15"/>
        <v>0</v>
      </c>
      <c r="BD18" s="185">
        <f t="shared" si="15"/>
        <v>0</v>
      </c>
      <c r="BE18" s="185">
        <f t="shared" si="15"/>
        <v>0</v>
      </c>
      <c r="BF18" s="185">
        <f t="shared" si="15"/>
        <v>0</v>
      </c>
      <c r="BG18" s="185">
        <f t="shared" si="15"/>
        <v>0</v>
      </c>
      <c r="BH18" s="185">
        <f>BH19+BH20+BH21</f>
        <v>0</v>
      </c>
      <c r="BI18" s="185">
        <f>BI19+BI20+BI21</f>
        <v>0</v>
      </c>
      <c r="BJ18" s="185">
        <f>BJ19+BJ20+BJ21</f>
        <v>0</v>
      </c>
      <c r="BK18" s="185">
        <f>BK19+BK20+BK21</f>
        <v>0</v>
      </c>
      <c r="BL18" s="185">
        <f>F18+S18+T18+U18+BH18+V18</f>
        <v>6.47</v>
      </c>
      <c r="BM18" s="185">
        <f>O67-BL18</f>
        <v>-6.47</v>
      </c>
      <c r="BN18" s="185">
        <f>BN19+BN20+BN21</f>
        <v>7229.4561000000003</v>
      </c>
      <c r="BO18" s="479"/>
      <c r="BP18" s="53"/>
    </row>
    <row r="19" spans="1:68" ht="20.100000000000001" customHeight="1">
      <c r="A19" s="14" t="s">
        <v>182</v>
      </c>
      <c r="B19" s="14" t="s">
        <v>28</v>
      </c>
      <c r="C19" s="30" t="s">
        <v>29</v>
      </c>
      <c r="D19" s="185">
        <f>#REF!</f>
        <v>4319.0600000000004</v>
      </c>
      <c r="E19" s="185">
        <f>F19+O19+S19+T19+U19</f>
        <v>4319.0600000000004</v>
      </c>
      <c r="F19" s="185">
        <f>G19+N19</f>
        <v>0</v>
      </c>
      <c r="G19" s="185">
        <f>H19+L19+M19</f>
        <v>0</v>
      </c>
      <c r="H19" s="185">
        <f t="shared" si="12"/>
        <v>0</v>
      </c>
      <c r="I19" s="185"/>
      <c r="J19" s="185"/>
      <c r="K19" s="185"/>
      <c r="L19" s="185"/>
      <c r="M19" s="185"/>
      <c r="N19" s="185"/>
      <c r="O19" s="185">
        <f t="shared" ref="O19:O24" si="16">P19+Q19+R19</f>
        <v>4319.0600000000004</v>
      </c>
      <c r="P19" s="185">
        <f>D19-BL19</f>
        <v>4319.0600000000004</v>
      </c>
      <c r="Q19" s="185"/>
      <c r="R19" s="185"/>
      <c r="S19" s="185"/>
      <c r="T19" s="185"/>
      <c r="U19" s="185"/>
      <c r="V19" s="570">
        <f t="shared" si="13"/>
        <v>0</v>
      </c>
      <c r="W19" s="185"/>
      <c r="X19" s="185"/>
      <c r="Y19" s="185"/>
      <c r="Z19" s="185"/>
      <c r="AA19" s="185"/>
      <c r="AB19" s="185"/>
      <c r="AC19" s="185"/>
      <c r="AD19" s="185"/>
      <c r="AE19" s="185">
        <f t="shared" si="9"/>
        <v>0</v>
      </c>
      <c r="AF19" s="185"/>
      <c r="AG19" s="185"/>
      <c r="AH19" s="185"/>
      <c r="AI19" s="185"/>
      <c r="AJ19" s="185"/>
      <c r="AK19" s="185"/>
      <c r="AL19" s="185"/>
      <c r="AM19" s="185"/>
      <c r="AN19" s="185"/>
      <c r="AO19" s="185"/>
      <c r="AP19" s="185"/>
      <c r="AQ19" s="185"/>
      <c r="AR19" s="185"/>
      <c r="AS19" s="185"/>
      <c r="AT19" s="185"/>
      <c r="AU19" s="185"/>
      <c r="AV19" s="185"/>
      <c r="AW19" s="185"/>
      <c r="AX19" s="185"/>
      <c r="AY19" s="185"/>
      <c r="AZ19" s="185"/>
      <c r="BA19" s="185"/>
      <c r="BB19" s="185"/>
      <c r="BC19" s="185"/>
      <c r="BD19" s="185"/>
      <c r="BE19" s="185"/>
      <c r="BF19" s="185"/>
      <c r="BG19" s="185"/>
      <c r="BH19" s="185">
        <f t="shared" ref="BH19:BH24" si="17">BI19+BJ19+BK19</f>
        <v>0</v>
      </c>
      <c r="BI19" s="185"/>
      <c r="BJ19" s="185"/>
      <c r="BK19" s="185"/>
      <c r="BL19" s="185">
        <f>F19+Q19+R19+S19+T19+U19+V19+BH19</f>
        <v>0</v>
      </c>
      <c r="BM19" s="185">
        <f>P67-BL19</f>
        <v>0</v>
      </c>
      <c r="BN19" s="185">
        <f t="shared" ref="BN19:BN24" si="18">D19+BM19</f>
        <v>4319.0600000000004</v>
      </c>
      <c r="BO19" s="479"/>
      <c r="BP19" s="53"/>
    </row>
    <row r="20" spans="1:68" ht="20.100000000000001" customHeight="1">
      <c r="A20" s="14" t="s">
        <v>183</v>
      </c>
      <c r="B20" s="14" t="s">
        <v>31</v>
      </c>
      <c r="C20" s="30" t="s">
        <v>32</v>
      </c>
      <c r="D20" s="185"/>
      <c r="E20" s="185">
        <f t="shared" si="4"/>
        <v>0</v>
      </c>
      <c r="F20" s="185">
        <f t="shared" si="6"/>
        <v>0</v>
      </c>
      <c r="G20" s="185">
        <f t="shared" si="8"/>
        <v>0</v>
      </c>
      <c r="H20" s="185">
        <f t="shared" si="12"/>
        <v>0</v>
      </c>
      <c r="I20" s="185"/>
      <c r="J20" s="185"/>
      <c r="K20" s="185"/>
      <c r="L20" s="185"/>
      <c r="M20" s="185"/>
      <c r="N20" s="185"/>
      <c r="O20" s="185">
        <f t="shared" si="16"/>
        <v>0</v>
      </c>
      <c r="P20" s="185"/>
      <c r="Q20" s="185">
        <f>D20-BL20</f>
        <v>0</v>
      </c>
      <c r="R20" s="185"/>
      <c r="S20" s="185"/>
      <c r="T20" s="185"/>
      <c r="U20" s="185"/>
      <c r="V20" s="570">
        <f t="shared" si="13"/>
        <v>0</v>
      </c>
      <c r="W20" s="185"/>
      <c r="X20" s="185"/>
      <c r="Y20" s="185"/>
      <c r="Z20" s="185"/>
      <c r="AA20" s="185"/>
      <c r="AB20" s="185"/>
      <c r="AC20" s="185"/>
      <c r="AD20" s="185"/>
      <c r="AE20" s="185">
        <f t="shared" si="9"/>
        <v>0</v>
      </c>
      <c r="AF20" s="185"/>
      <c r="AG20" s="185"/>
      <c r="AH20" s="185"/>
      <c r="AI20" s="185"/>
      <c r="AJ20" s="185"/>
      <c r="AK20" s="185"/>
      <c r="AL20" s="185"/>
      <c r="AM20" s="185"/>
      <c r="AN20" s="185"/>
      <c r="AO20" s="185"/>
      <c r="AP20" s="185"/>
      <c r="AQ20" s="185"/>
      <c r="AR20" s="185"/>
      <c r="AS20" s="185"/>
      <c r="AT20" s="185"/>
      <c r="AU20" s="185"/>
      <c r="AV20" s="185"/>
      <c r="AW20" s="185"/>
      <c r="AX20" s="185"/>
      <c r="AY20" s="185"/>
      <c r="AZ20" s="185"/>
      <c r="BA20" s="185"/>
      <c r="BB20" s="185"/>
      <c r="BC20" s="185"/>
      <c r="BD20" s="185"/>
      <c r="BE20" s="185"/>
      <c r="BF20" s="185"/>
      <c r="BG20" s="185"/>
      <c r="BH20" s="185">
        <f t="shared" si="17"/>
        <v>0</v>
      </c>
      <c r="BI20" s="185"/>
      <c r="BJ20" s="185"/>
      <c r="BK20" s="185"/>
      <c r="BL20" s="185">
        <f>F20+P20+R20+S20+T20+U20+V20+BH20</f>
        <v>0</v>
      </c>
      <c r="BM20" s="185">
        <f>Q67-BL20</f>
        <v>0</v>
      </c>
      <c r="BN20" s="185">
        <f t="shared" si="18"/>
        <v>0</v>
      </c>
      <c r="BO20" s="479"/>
      <c r="BP20" s="53"/>
    </row>
    <row r="21" spans="1:68" ht="20.100000000000001" customHeight="1">
      <c r="A21" s="14" t="s">
        <v>184</v>
      </c>
      <c r="B21" s="14" t="s">
        <v>34</v>
      </c>
      <c r="C21" s="30" t="s">
        <v>35</v>
      </c>
      <c r="D21" s="185">
        <f>#REF!</f>
        <v>2916.8660999999997</v>
      </c>
      <c r="E21" s="185">
        <f t="shared" si="4"/>
        <v>2910.3960999999999</v>
      </c>
      <c r="F21" s="185">
        <f>G21+N21</f>
        <v>0</v>
      </c>
      <c r="G21" s="185">
        <f t="shared" si="8"/>
        <v>0</v>
      </c>
      <c r="H21" s="185">
        <f t="shared" si="12"/>
        <v>0</v>
      </c>
      <c r="I21" s="185"/>
      <c r="J21" s="185"/>
      <c r="K21" s="185"/>
      <c r="L21" s="185"/>
      <c r="M21" s="185"/>
      <c r="N21" s="185"/>
      <c r="O21" s="185">
        <f t="shared" si="16"/>
        <v>2910.3960999999999</v>
      </c>
      <c r="P21" s="185"/>
      <c r="Q21" s="185"/>
      <c r="R21" s="185">
        <f>D21-BL21</f>
        <v>2910.3960999999999</v>
      </c>
      <c r="S21" s="185"/>
      <c r="T21" s="185"/>
      <c r="U21" s="185"/>
      <c r="V21" s="570">
        <f t="shared" si="13"/>
        <v>6.47</v>
      </c>
      <c r="W21" s="185"/>
      <c r="X21" s="185"/>
      <c r="Y21" s="185"/>
      <c r="Z21" s="185"/>
      <c r="AA21" s="185"/>
      <c r="AB21" s="185"/>
      <c r="AC21" s="185"/>
      <c r="AD21" s="185"/>
      <c r="AE21" s="185">
        <f t="shared" si="9"/>
        <v>0</v>
      </c>
      <c r="AF21" s="185"/>
      <c r="AG21" s="185"/>
      <c r="AH21" s="185"/>
      <c r="AI21" s="185"/>
      <c r="AJ21" s="185"/>
      <c r="AK21" s="185"/>
      <c r="AL21" s="185"/>
      <c r="AM21" s="185"/>
      <c r="AN21" s="185"/>
      <c r="AO21" s="185"/>
      <c r="AP21" s="185"/>
      <c r="AQ21" s="185"/>
      <c r="AR21" s="185"/>
      <c r="AS21" s="185"/>
      <c r="AT21" s="185"/>
      <c r="AU21" s="185"/>
      <c r="AV21" s="185"/>
      <c r="AW21" s="185"/>
      <c r="AX21" s="185"/>
      <c r="AY21" s="185"/>
      <c r="AZ21" s="185"/>
      <c r="BA21" s="185">
        <v>6.47</v>
      </c>
      <c r="BB21" s="185"/>
      <c r="BC21" s="185"/>
      <c r="BD21" s="185"/>
      <c r="BE21" s="185"/>
      <c r="BF21" s="185"/>
      <c r="BG21" s="185"/>
      <c r="BH21" s="185">
        <f t="shared" si="17"/>
        <v>0</v>
      </c>
      <c r="BI21" s="185"/>
      <c r="BJ21" s="185"/>
      <c r="BK21" s="185"/>
      <c r="BL21" s="185">
        <f>F21+P21+Q21+S21+T21+U21+V21+BH21</f>
        <v>6.47</v>
      </c>
      <c r="BM21" s="185">
        <f>R67-BL21</f>
        <v>-6.47</v>
      </c>
      <c r="BN21" s="185">
        <f t="shared" si="18"/>
        <v>2910.3960999999999</v>
      </c>
      <c r="BO21" s="479"/>
      <c r="BP21" s="53"/>
    </row>
    <row r="22" spans="1:68" ht="18" customHeight="1">
      <c r="A22" s="14" t="s">
        <v>24</v>
      </c>
      <c r="B22" s="14" t="s">
        <v>37</v>
      </c>
      <c r="C22" s="30" t="s">
        <v>38</v>
      </c>
      <c r="D22" s="185">
        <f>#REF!</f>
        <v>0.95</v>
      </c>
      <c r="E22" s="185">
        <f>F22+O22+S22+T22+U22</f>
        <v>0.95</v>
      </c>
      <c r="F22" s="185">
        <f t="shared" si="6"/>
        <v>0</v>
      </c>
      <c r="G22" s="185">
        <f t="shared" si="8"/>
        <v>0</v>
      </c>
      <c r="H22" s="185">
        <f t="shared" si="12"/>
        <v>0</v>
      </c>
      <c r="I22" s="185"/>
      <c r="J22" s="185"/>
      <c r="K22" s="185"/>
      <c r="L22" s="185"/>
      <c r="M22" s="185"/>
      <c r="N22" s="185"/>
      <c r="O22" s="185">
        <f t="shared" si="16"/>
        <v>0</v>
      </c>
      <c r="P22" s="185"/>
      <c r="Q22" s="185"/>
      <c r="R22" s="185"/>
      <c r="S22" s="185">
        <f>D22-BL22</f>
        <v>0.95</v>
      </c>
      <c r="T22" s="185"/>
      <c r="U22" s="185"/>
      <c r="V22" s="570">
        <f>W22+X22+Y22+Z22+AA22+AB22+AC22+AD22+AE22+AQ22+AR22+AS22+AT22+AU22+AV22+AW22+AX22+AY22+AZ22+BA22+BB22+BC22+BD22+BE22+BF22+BG22</f>
        <v>0</v>
      </c>
      <c r="W22" s="185"/>
      <c r="X22" s="185"/>
      <c r="Y22" s="185"/>
      <c r="Z22" s="185"/>
      <c r="AA22" s="185"/>
      <c r="AB22" s="185"/>
      <c r="AC22" s="185"/>
      <c r="AD22" s="185"/>
      <c r="AE22" s="185">
        <f t="shared" si="9"/>
        <v>0</v>
      </c>
      <c r="AF22" s="185"/>
      <c r="AG22" s="185"/>
      <c r="AH22" s="185"/>
      <c r="AI22" s="185"/>
      <c r="AJ22" s="185"/>
      <c r="AK22" s="185"/>
      <c r="AL22" s="185"/>
      <c r="AM22" s="185"/>
      <c r="AN22" s="185"/>
      <c r="AO22" s="185"/>
      <c r="AP22" s="185"/>
      <c r="AQ22" s="185"/>
      <c r="AR22" s="185"/>
      <c r="AS22" s="185"/>
      <c r="AT22" s="185"/>
      <c r="AU22" s="185"/>
      <c r="AV22" s="185"/>
      <c r="AW22" s="185"/>
      <c r="AX22" s="185"/>
      <c r="AY22" s="185"/>
      <c r="AZ22" s="185"/>
      <c r="BA22" s="185"/>
      <c r="BB22" s="185"/>
      <c r="BC22" s="185"/>
      <c r="BD22" s="185"/>
      <c r="BE22" s="185"/>
      <c r="BF22" s="185"/>
      <c r="BG22" s="185"/>
      <c r="BH22" s="185">
        <f t="shared" si="17"/>
        <v>0</v>
      </c>
      <c r="BI22" s="185"/>
      <c r="BJ22" s="185"/>
      <c r="BK22" s="185"/>
      <c r="BL22" s="185">
        <f>G22+O22+T22+U22+V22+BH22</f>
        <v>0</v>
      </c>
      <c r="BM22" s="185">
        <f>S67-BL22</f>
        <v>0</v>
      </c>
      <c r="BN22" s="185">
        <f t="shared" si="18"/>
        <v>0.95</v>
      </c>
      <c r="BO22" s="479"/>
      <c r="BP22" s="53"/>
    </row>
    <row r="23" spans="1:68" ht="19.5" hidden="1" customHeight="1">
      <c r="A23" s="14" t="s">
        <v>27</v>
      </c>
      <c r="B23" s="14" t="s">
        <v>40</v>
      </c>
      <c r="C23" s="30" t="s">
        <v>41</v>
      </c>
      <c r="D23" s="185"/>
      <c r="E23" s="185">
        <f t="shared" si="4"/>
        <v>0</v>
      </c>
      <c r="F23" s="185">
        <f t="shared" si="6"/>
        <v>0</v>
      </c>
      <c r="G23" s="185">
        <f t="shared" si="8"/>
        <v>0</v>
      </c>
      <c r="H23" s="185">
        <f t="shared" si="12"/>
        <v>0</v>
      </c>
      <c r="I23" s="185"/>
      <c r="J23" s="185"/>
      <c r="K23" s="185"/>
      <c r="L23" s="185"/>
      <c r="M23" s="185"/>
      <c r="N23" s="185"/>
      <c r="O23" s="185">
        <f t="shared" si="16"/>
        <v>0</v>
      </c>
      <c r="P23" s="185"/>
      <c r="Q23" s="185"/>
      <c r="R23" s="185"/>
      <c r="S23" s="185"/>
      <c r="T23" s="185">
        <f>D23-BL23</f>
        <v>0</v>
      </c>
      <c r="U23" s="185"/>
      <c r="V23" s="570">
        <f t="shared" si="13"/>
        <v>0</v>
      </c>
      <c r="W23" s="185"/>
      <c r="X23" s="185"/>
      <c r="Y23" s="185"/>
      <c r="Z23" s="185"/>
      <c r="AA23" s="185"/>
      <c r="AB23" s="185"/>
      <c r="AC23" s="185"/>
      <c r="AD23" s="185"/>
      <c r="AE23" s="185">
        <f t="shared" si="9"/>
        <v>0</v>
      </c>
      <c r="AF23" s="185"/>
      <c r="AG23" s="185"/>
      <c r="AH23" s="185"/>
      <c r="AI23" s="185"/>
      <c r="AJ23" s="185"/>
      <c r="AK23" s="185"/>
      <c r="AL23" s="185"/>
      <c r="AM23" s="185"/>
      <c r="AN23" s="185"/>
      <c r="AO23" s="185"/>
      <c r="AP23" s="185"/>
      <c r="AQ23" s="185"/>
      <c r="AR23" s="185"/>
      <c r="AS23" s="185"/>
      <c r="AT23" s="185"/>
      <c r="AU23" s="185"/>
      <c r="AV23" s="185"/>
      <c r="AW23" s="185"/>
      <c r="AX23" s="185"/>
      <c r="AY23" s="185"/>
      <c r="AZ23" s="185"/>
      <c r="BA23" s="185"/>
      <c r="BB23" s="185"/>
      <c r="BC23" s="185"/>
      <c r="BD23" s="185"/>
      <c r="BE23" s="185"/>
      <c r="BF23" s="185"/>
      <c r="BG23" s="185"/>
      <c r="BH23" s="185">
        <f t="shared" si="17"/>
        <v>0</v>
      </c>
      <c r="BI23" s="185"/>
      <c r="BJ23" s="185"/>
      <c r="BK23" s="185"/>
      <c r="BL23" s="185">
        <f>F23+O23+S23+U23+V23+BH23</f>
        <v>0</v>
      </c>
      <c r="BM23" s="185">
        <f>T67-BL23</f>
        <v>0</v>
      </c>
      <c r="BN23" s="185">
        <f t="shared" si="18"/>
        <v>0</v>
      </c>
      <c r="BO23" s="479"/>
      <c r="BP23" s="53"/>
    </row>
    <row r="24" spans="1:68" ht="20.100000000000001" customHeight="1">
      <c r="A24" s="14" t="s">
        <v>30</v>
      </c>
      <c r="B24" s="14" t="s">
        <v>43</v>
      </c>
      <c r="C24" s="30" t="s">
        <v>44</v>
      </c>
      <c r="D24" s="185"/>
      <c r="E24" s="185">
        <f t="shared" si="4"/>
        <v>0</v>
      </c>
      <c r="F24" s="185">
        <f t="shared" si="6"/>
        <v>0</v>
      </c>
      <c r="G24" s="185">
        <f t="shared" si="8"/>
        <v>0</v>
      </c>
      <c r="H24" s="185">
        <f t="shared" si="12"/>
        <v>0</v>
      </c>
      <c r="I24" s="185"/>
      <c r="J24" s="185"/>
      <c r="K24" s="185"/>
      <c r="L24" s="185"/>
      <c r="M24" s="185"/>
      <c r="N24" s="185"/>
      <c r="O24" s="185">
        <f t="shared" si="16"/>
        <v>0</v>
      </c>
      <c r="P24" s="185"/>
      <c r="Q24" s="185"/>
      <c r="R24" s="185"/>
      <c r="S24" s="185"/>
      <c r="T24" s="185"/>
      <c r="U24" s="185">
        <f>D24-BL24</f>
        <v>0</v>
      </c>
      <c r="V24" s="570">
        <f t="shared" si="13"/>
        <v>0</v>
      </c>
      <c r="W24" s="185"/>
      <c r="X24" s="185"/>
      <c r="Y24" s="185"/>
      <c r="Z24" s="185"/>
      <c r="AA24" s="185"/>
      <c r="AB24" s="185"/>
      <c r="AC24" s="185"/>
      <c r="AD24" s="185"/>
      <c r="AE24" s="185">
        <f t="shared" si="9"/>
        <v>0</v>
      </c>
      <c r="AF24" s="185"/>
      <c r="AG24" s="185"/>
      <c r="AH24" s="185"/>
      <c r="AI24" s="185"/>
      <c r="AJ24" s="185"/>
      <c r="AK24" s="185"/>
      <c r="AL24" s="185"/>
      <c r="AM24" s="185"/>
      <c r="AN24" s="185"/>
      <c r="AO24" s="185"/>
      <c r="AP24" s="185"/>
      <c r="AQ24" s="185"/>
      <c r="AR24" s="185"/>
      <c r="AS24" s="185"/>
      <c r="AT24" s="185"/>
      <c r="AU24" s="185"/>
      <c r="AV24" s="185"/>
      <c r="AW24" s="185"/>
      <c r="AX24" s="185"/>
      <c r="AY24" s="185"/>
      <c r="AZ24" s="185"/>
      <c r="BA24" s="185"/>
      <c r="BB24" s="185"/>
      <c r="BC24" s="185"/>
      <c r="BD24" s="185"/>
      <c r="BE24" s="185"/>
      <c r="BF24" s="185"/>
      <c r="BG24" s="185"/>
      <c r="BH24" s="185">
        <f t="shared" si="17"/>
        <v>0</v>
      </c>
      <c r="BI24" s="185"/>
      <c r="BJ24" s="185"/>
      <c r="BK24" s="185"/>
      <c r="BL24" s="185">
        <f>F24+O24+S24+T24+BH24+V24</f>
        <v>0</v>
      </c>
      <c r="BM24" s="185">
        <f>U67-BL24</f>
        <v>0</v>
      </c>
      <c r="BN24" s="185">
        <f t="shared" si="18"/>
        <v>0</v>
      </c>
      <c r="BO24" s="479"/>
      <c r="BP24" s="53"/>
    </row>
    <row r="25" spans="1:68" s="115" customFormat="1" ht="25.5" customHeight="1">
      <c r="A25" s="15">
        <v>2</v>
      </c>
      <c r="B25" s="15" t="s">
        <v>45</v>
      </c>
      <c r="C25" s="158" t="s">
        <v>46</v>
      </c>
      <c r="D25" s="420">
        <f>D26+D27+D28+D29+D30+D31+D32+D33+D34+D46+D47+D48+D49+D50+D51+D52+D53+D54+D55+D56+D57+D58+D59+D60+D61+D62</f>
        <v>565.38777000000005</v>
      </c>
      <c r="E25" s="420">
        <f>E26+E27+E28+E29+E30+E31+E32+E33+E34+E46+E47+E48+E49+E50+E51+E52+E53+E54+E55+E56+E57+E58+E59+E60+E61+E62</f>
        <v>0</v>
      </c>
      <c r="F25" s="420">
        <f t="shared" ref="F25:U25" si="19">F26+F27+F28+F29+F30+F31+F32+F33+F34+F46+F47+F48+F49+F50+F51+F52+F53+F54+F55+F56+F57+F58+F59+F60+F61+F62</f>
        <v>0</v>
      </c>
      <c r="G25" s="420">
        <f t="shared" si="19"/>
        <v>0</v>
      </c>
      <c r="H25" s="420">
        <f t="shared" si="19"/>
        <v>0</v>
      </c>
      <c r="I25" s="420">
        <f t="shared" si="19"/>
        <v>0</v>
      </c>
      <c r="J25" s="420">
        <f t="shared" si="19"/>
        <v>0</v>
      </c>
      <c r="K25" s="420">
        <f t="shared" si="19"/>
        <v>0</v>
      </c>
      <c r="L25" s="420">
        <f t="shared" si="19"/>
        <v>0</v>
      </c>
      <c r="M25" s="420">
        <f t="shared" si="19"/>
        <v>0</v>
      </c>
      <c r="N25" s="420">
        <f t="shared" si="19"/>
        <v>0</v>
      </c>
      <c r="O25" s="420">
        <f t="shared" si="19"/>
        <v>0</v>
      </c>
      <c r="P25" s="420">
        <f t="shared" si="19"/>
        <v>0</v>
      </c>
      <c r="Q25" s="420">
        <f t="shared" si="19"/>
        <v>0</v>
      </c>
      <c r="R25" s="420">
        <f t="shared" si="19"/>
        <v>0</v>
      </c>
      <c r="S25" s="420">
        <f t="shared" si="19"/>
        <v>0</v>
      </c>
      <c r="T25" s="420">
        <f t="shared" si="19"/>
        <v>0</v>
      </c>
      <c r="U25" s="420">
        <f t="shared" si="19"/>
        <v>0</v>
      </c>
      <c r="V25" s="454">
        <f>D25-BL25</f>
        <v>565.38777000000005</v>
      </c>
      <c r="W25" s="420">
        <f>W26+W27+W28+W29+W30+W31+W32+W33+W34+W46+W47+W48+W49+W50+W51+W52+W53+W54+W55+W56+W57+W58+W59+W60+W61+W62</f>
        <v>63.778669999999998</v>
      </c>
      <c r="X25" s="420">
        <f t="shared" ref="X25:BK25" si="20">X26+X27+X28+X29+X30+X31+X32+X33+X34+X46+X47+X48+X49+X50+X51+X52+X53+X54+X55+X56+X57+X58+X59+X60+X61+X62</f>
        <v>0</v>
      </c>
      <c r="Y25" s="420">
        <f t="shared" si="20"/>
        <v>0</v>
      </c>
      <c r="Z25" s="420">
        <f t="shared" si="20"/>
        <v>0</v>
      </c>
      <c r="AA25" s="420">
        <f t="shared" si="20"/>
        <v>0</v>
      </c>
      <c r="AB25" s="420">
        <f t="shared" si="20"/>
        <v>0.32517000000000001</v>
      </c>
      <c r="AC25" s="420">
        <f t="shared" si="20"/>
        <v>3.47</v>
      </c>
      <c r="AD25" s="420">
        <f t="shared" si="20"/>
        <v>0</v>
      </c>
      <c r="AE25" s="420">
        <f t="shared" si="20"/>
        <v>58.0886</v>
      </c>
      <c r="AF25" s="420">
        <f t="shared" si="20"/>
        <v>0</v>
      </c>
      <c r="AG25" s="420">
        <f t="shared" si="20"/>
        <v>0.2</v>
      </c>
      <c r="AH25" s="420">
        <f t="shared" si="20"/>
        <v>2.1367100000000003</v>
      </c>
      <c r="AI25" s="420">
        <f t="shared" si="20"/>
        <v>0.49</v>
      </c>
      <c r="AJ25" s="420">
        <f t="shared" si="20"/>
        <v>0</v>
      </c>
      <c r="AK25" s="420">
        <f t="shared" si="20"/>
        <v>0</v>
      </c>
      <c r="AL25" s="420">
        <f t="shared" si="20"/>
        <v>44.960990000000002</v>
      </c>
      <c r="AM25" s="420">
        <f t="shared" si="20"/>
        <v>10.05673</v>
      </c>
      <c r="AN25" s="420">
        <f t="shared" si="20"/>
        <v>0.01</v>
      </c>
      <c r="AO25" s="420">
        <f t="shared" si="20"/>
        <v>1.255E-2</v>
      </c>
      <c r="AP25" s="420">
        <f t="shared" si="20"/>
        <v>0.22162000000000001</v>
      </c>
      <c r="AQ25" s="420">
        <f t="shared" si="20"/>
        <v>0</v>
      </c>
      <c r="AR25" s="420">
        <f t="shared" si="20"/>
        <v>0</v>
      </c>
      <c r="AS25" s="420">
        <f t="shared" si="20"/>
        <v>0</v>
      </c>
      <c r="AT25" s="420">
        <f t="shared" si="20"/>
        <v>13.079549999999999</v>
      </c>
      <c r="AU25" s="420">
        <f t="shared" si="20"/>
        <v>0</v>
      </c>
      <c r="AV25" s="420">
        <f t="shared" si="20"/>
        <v>0.45577999999999996</v>
      </c>
      <c r="AW25" s="420">
        <f t="shared" si="20"/>
        <v>0</v>
      </c>
      <c r="AX25" s="420">
        <f t="shared" si="20"/>
        <v>0</v>
      </c>
      <c r="AY25" s="420">
        <f t="shared" si="20"/>
        <v>0</v>
      </c>
      <c r="AZ25" s="420">
        <f t="shared" si="20"/>
        <v>0</v>
      </c>
      <c r="BA25" s="420">
        <f t="shared" si="20"/>
        <v>0.03</v>
      </c>
      <c r="BB25" s="420">
        <f t="shared" si="20"/>
        <v>0.62</v>
      </c>
      <c r="BC25" s="420">
        <f t="shared" si="20"/>
        <v>0.08</v>
      </c>
      <c r="BD25" s="420">
        <f t="shared" si="20"/>
        <v>0</v>
      </c>
      <c r="BE25" s="420">
        <f t="shared" si="20"/>
        <v>66.790000000000006</v>
      </c>
      <c r="BF25" s="420">
        <f t="shared" si="20"/>
        <v>358.67</v>
      </c>
      <c r="BG25" s="420">
        <f t="shared" si="20"/>
        <v>0</v>
      </c>
      <c r="BH25" s="420">
        <f t="shared" si="20"/>
        <v>0</v>
      </c>
      <c r="BI25" s="420">
        <f t="shared" si="20"/>
        <v>0</v>
      </c>
      <c r="BJ25" s="420">
        <f t="shared" si="20"/>
        <v>0</v>
      </c>
      <c r="BK25" s="420">
        <f t="shared" si="20"/>
        <v>0</v>
      </c>
      <c r="BL25" s="420">
        <f>E25+BH25</f>
        <v>0</v>
      </c>
      <c r="BM25" s="420">
        <f>BM26+BM27+BM28+BM29+BM30+BM31+BM32+BM33+BM34+BM46+BM47+BM48+BM49+BM50+BM51+BM52+BM53+BM54+BM55+BM56+BM57+BM58+BM59+BM60+BM61+BM62</f>
        <v>6.92</v>
      </c>
      <c r="BN25" s="420">
        <f>BN26+BN27+BN28+BN29+BN30+BN31+BN32+BN33+BN34+BN46+BN47+BN48+BN49+BN50+BN51+BN52+BN53+BN54+BN55+BN56+BN57+BN58+BN59+BN60+BN61+BN62</f>
        <v>572.30777000000012</v>
      </c>
      <c r="BO25" s="480"/>
    </row>
    <row r="26" spans="1:68" ht="20.100000000000001" customHeight="1">
      <c r="A26" s="19" t="s">
        <v>47</v>
      </c>
      <c r="B26" s="19" t="s">
        <v>48</v>
      </c>
      <c r="C26" s="30" t="s">
        <v>49</v>
      </c>
      <c r="D26" s="185">
        <f>#REF!</f>
        <v>63.778669999999998</v>
      </c>
      <c r="E26" s="185">
        <f t="shared" si="4"/>
        <v>0</v>
      </c>
      <c r="F26" s="185">
        <f>G26+N26</f>
        <v>0</v>
      </c>
      <c r="G26" s="185">
        <f t="shared" si="8"/>
        <v>0</v>
      </c>
      <c r="H26" s="185">
        <f t="shared" si="12"/>
        <v>0</v>
      </c>
      <c r="I26" s="185"/>
      <c r="J26" s="185"/>
      <c r="K26" s="185"/>
      <c r="L26" s="185"/>
      <c r="M26" s="185"/>
      <c r="N26" s="185"/>
      <c r="O26" s="185"/>
      <c r="P26" s="185"/>
      <c r="Q26" s="185"/>
      <c r="R26" s="185"/>
      <c r="S26" s="185"/>
      <c r="T26" s="185"/>
      <c r="U26" s="185"/>
      <c r="V26" s="570">
        <f t="shared" si="13"/>
        <v>63.778669999999998</v>
      </c>
      <c r="W26" s="185">
        <f>D26-BL26</f>
        <v>63.778669999999998</v>
      </c>
      <c r="X26" s="185"/>
      <c r="Y26" s="185"/>
      <c r="Z26" s="185"/>
      <c r="AA26" s="185"/>
      <c r="AB26" s="185"/>
      <c r="AC26" s="185"/>
      <c r="AD26" s="185"/>
      <c r="AE26" s="185">
        <f t="shared" si="9"/>
        <v>0</v>
      </c>
      <c r="AF26" s="185"/>
      <c r="AG26" s="185"/>
      <c r="AH26" s="185"/>
      <c r="AI26" s="185"/>
      <c r="AJ26" s="185"/>
      <c r="AK26" s="185"/>
      <c r="AL26" s="185"/>
      <c r="AM26" s="185"/>
      <c r="AN26" s="185"/>
      <c r="AO26" s="185"/>
      <c r="AP26" s="185"/>
      <c r="AQ26" s="185"/>
      <c r="AR26" s="185"/>
      <c r="AS26" s="185"/>
      <c r="AT26" s="185"/>
      <c r="AU26" s="185"/>
      <c r="AV26" s="185"/>
      <c r="AW26" s="185"/>
      <c r="AX26" s="185"/>
      <c r="AY26" s="185"/>
      <c r="AZ26" s="185"/>
      <c r="BA26" s="185"/>
      <c r="BB26" s="185"/>
      <c r="BC26" s="185"/>
      <c r="BD26" s="185"/>
      <c r="BE26" s="185"/>
      <c r="BF26" s="185"/>
      <c r="BG26" s="185"/>
      <c r="BH26" s="185">
        <f>BI26+BJ26+BK26</f>
        <v>0</v>
      </c>
      <c r="BI26" s="185"/>
      <c r="BJ26" s="185"/>
      <c r="BK26" s="185"/>
      <c r="BL26" s="185">
        <f>X26+Y26+Z26+AA26+AB26+AC26+AD26+AE26+AQ26+AR26+AS26+AT26+AU26+AV26+AW26+AX26+AY26+AZ26+BA26+BB26+BC26+BD26+BE26+BF26+BG26+BH26</f>
        <v>0</v>
      </c>
      <c r="BM26" s="185">
        <f>W67-BL26</f>
        <v>0</v>
      </c>
      <c r="BN26" s="185">
        <f>D26+BM26</f>
        <v>63.778669999999998</v>
      </c>
      <c r="BO26" s="479"/>
      <c r="BP26" s="53"/>
    </row>
    <row r="27" spans="1:68" ht="20.100000000000001" customHeight="1">
      <c r="A27" s="19" t="s">
        <v>50</v>
      </c>
      <c r="B27" s="19" t="s">
        <v>51</v>
      </c>
      <c r="C27" s="30" t="s">
        <v>52</v>
      </c>
      <c r="D27" s="185"/>
      <c r="E27" s="185">
        <f t="shared" si="4"/>
        <v>0</v>
      </c>
      <c r="F27" s="185">
        <f t="shared" ref="F27:F66" si="21">G27+N27</f>
        <v>0</v>
      </c>
      <c r="G27" s="185">
        <f t="shared" si="8"/>
        <v>0</v>
      </c>
      <c r="H27" s="185">
        <f t="shared" si="12"/>
        <v>0</v>
      </c>
      <c r="I27" s="185"/>
      <c r="J27" s="185"/>
      <c r="K27" s="185"/>
      <c r="L27" s="185"/>
      <c r="M27" s="185"/>
      <c r="N27" s="185"/>
      <c r="O27" s="185"/>
      <c r="P27" s="185"/>
      <c r="Q27" s="185"/>
      <c r="R27" s="185"/>
      <c r="S27" s="185"/>
      <c r="T27" s="185"/>
      <c r="U27" s="185"/>
      <c r="V27" s="570">
        <f t="shared" si="13"/>
        <v>0</v>
      </c>
      <c r="W27" s="185"/>
      <c r="X27" s="185">
        <f>D27-BL27</f>
        <v>0</v>
      </c>
      <c r="Y27" s="185"/>
      <c r="Z27" s="185"/>
      <c r="AA27" s="185"/>
      <c r="AB27" s="185"/>
      <c r="AC27" s="185"/>
      <c r="AD27" s="185"/>
      <c r="AE27" s="185">
        <f t="shared" si="9"/>
        <v>0</v>
      </c>
      <c r="AF27" s="185"/>
      <c r="AG27" s="185"/>
      <c r="AH27" s="185"/>
      <c r="AI27" s="185"/>
      <c r="AJ27" s="185"/>
      <c r="AK27" s="185"/>
      <c r="AL27" s="185"/>
      <c r="AM27" s="185"/>
      <c r="AN27" s="185"/>
      <c r="AO27" s="185"/>
      <c r="AP27" s="185"/>
      <c r="AQ27" s="185"/>
      <c r="AR27" s="185"/>
      <c r="AS27" s="185"/>
      <c r="AT27" s="185"/>
      <c r="AU27" s="185"/>
      <c r="AV27" s="185"/>
      <c r="AW27" s="185"/>
      <c r="AX27" s="185"/>
      <c r="AY27" s="185"/>
      <c r="AZ27" s="185"/>
      <c r="BA27" s="185"/>
      <c r="BB27" s="185"/>
      <c r="BC27" s="185"/>
      <c r="BD27" s="185"/>
      <c r="BE27" s="185"/>
      <c r="BF27" s="185"/>
      <c r="BG27" s="185"/>
      <c r="BH27" s="185">
        <f t="shared" ref="BH27:BH62" si="22">BI27+BJ27+BK27</f>
        <v>0</v>
      </c>
      <c r="BI27" s="185"/>
      <c r="BJ27" s="185"/>
      <c r="BK27" s="185"/>
      <c r="BL27" s="185">
        <f>F27+W27+Y27+Z27+AA27+AB27+AC27+AD27+AE27+AQ27+AR27+AS27+AT27+AU27+AV27+AW27+AX27+AY27+AZ27+BA27+BB27+BC27+BD27+BE27+BF27+BG27+BH27</f>
        <v>0</v>
      </c>
      <c r="BM27" s="185">
        <f>X67-BL27</f>
        <v>0</v>
      </c>
      <c r="BN27" s="185">
        <f t="shared" ref="BN27:BN33" si="23">D27+BM27</f>
        <v>0</v>
      </c>
      <c r="BO27" s="479"/>
      <c r="BP27" s="53"/>
    </row>
    <row r="28" spans="1:68" ht="20.100000000000001" customHeight="1">
      <c r="A28" s="19" t="s">
        <v>53</v>
      </c>
      <c r="B28" s="19" t="s">
        <v>54</v>
      </c>
      <c r="C28" s="30" t="s">
        <v>55</v>
      </c>
      <c r="D28" s="185"/>
      <c r="E28" s="185">
        <f t="shared" si="4"/>
        <v>0</v>
      </c>
      <c r="F28" s="185">
        <f t="shared" si="21"/>
        <v>0</v>
      </c>
      <c r="G28" s="185">
        <f t="shared" si="8"/>
        <v>0</v>
      </c>
      <c r="H28" s="185">
        <f t="shared" si="12"/>
        <v>0</v>
      </c>
      <c r="I28" s="185"/>
      <c r="J28" s="185"/>
      <c r="K28" s="185"/>
      <c r="L28" s="185"/>
      <c r="M28" s="185"/>
      <c r="N28" s="185"/>
      <c r="O28" s="185"/>
      <c r="P28" s="185"/>
      <c r="Q28" s="185"/>
      <c r="R28" s="185"/>
      <c r="S28" s="185"/>
      <c r="T28" s="185"/>
      <c r="U28" s="185"/>
      <c r="V28" s="570">
        <f t="shared" si="13"/>
        <v>0</v>
      </c>
      <c r="W28" s="185"/>
      <c r="X28" s="185"/>
      <c r="Y28" s="185">
        <f>D28-BL28</f>
        <v>0</v>
      </c>
      <c r="Z28" s="185"/>
      <c r="AA28" s="185"/>
      <c r="AB28" s="185"/>
      <c r="AC28" s="185"/>
      <c r="AD28" s="185"/>
      <c r="AE28" s="185">
        <f t="shared" si="9"/>
        <v>0</v>
      </c>
      <c r="AF28" s="185"/>
      <c r="AG28" s="185"/>
      <c r="AH28" s="185"/>
      <c r="AI28" s="185"/>
      <c r="AJ28" s="185"/>
      <c r="AK28" s="185"/>
      <c r="AL28" s="185"/>
      <c r="AM28" s="185"/>
      <c r="AN28" s="185"/>
      <c r="AO28" s="185"/>
      <c r="AP28" s="185"/>
      <c r="AQ28" s="185"/>
      <c r="AR28" s="185"/>
      <c r="AS28" s="185"/>
      <c r="AT28" s="185"/>
      <c r="AU28" s="185"/>
      <c r="AV28" s="185"/>
      <c r="AW28" s="185"/>
      <c r="AX28" s="185"/>
      <c r="AY28" s="185"/>
      <c r="AZ28" s="185"/>
      <c r="BA28" s="185"/>
      <c r="BB28" s="185"/>
      <c r="BC28" s="185"/>
      <c r="BD28" s="185"/>
      <c r="BE28" s="185"/>
      <c r="BF28" s="185"/>
      <c r="BG28" s="185"/>
      <c r="BH28" s="185">
        <f t="shared" si="22"/>
        <v>0</v>
      </c>
      <c r="BI28" s="185"/>
      <c r="BJ28" s="185"/>
      <c r="BK28" s="185"/>
      <c r="BL28" s="185">
        <f>E28+W28+X28+Z28+AA28+AB28+AC28+AD28+AE28+AQ28+AR28+AS28+AT28+AU28+AV28+AW28+AX28+AY28+AZ28+BA28+BB28+BC28+BD28+BE28+BF28+BG28+BH28</f>
        <v>0</v>
      </c>
      <c r="BM28" s="185">
        <f>Y67-BL28</f>
        <v>0</v>
      </c>
      <c r="BN28" s="185">
        <f t="shared" si="23"/>
        <v>0</v>
      </c>
      <c r="BO28" s="479"/>
      <c r="BP28" s="53"/>
    </row>
    <row r="29" spans="1:68" ht="20.100000000000001" customHeight="1">
      <c r="A29" s="19" t="s">
        <v>56</v>
      </c>
      <c r="B29" s="19" t="s">
        <v>57</v>
      </c>
      <c r="C29" s="30" t="s">
        <v>58</v>
      </c>
      <c r="D29" s="185"/>
      <c r="E29" s="185">
        <f t="shared" si="4"/>
        <v>0</v>
      </c>
      <c r="F29" s="185">
        <f t="shared" si="21"/>
        <v>0</v>
      </c>
      <c r="G29" s="185">
        <f t="shared" si="8"/>
        <v>0</v>
      </c>
      <c r="H29" s="185">
        <f t="shared" si="12"/>
        <v>0</v>
      </c>
      <c r="I29" s="185"/>
      <c r="J29" s="185"/>
      <c r="K29" s="185"/>
      <c r="L29" s="185"/>
      <c r="M29" s="185"/>
      <c r="N29" s="185"/>
      <c r="O29" s="185"/>
      <c r="P29" s="185"/>
      <c r="Q29" s="185"/>
      <c r="R29" s="185"/>
      <c r="S29" s="185"/>
      <c r="T29" s="185"/>
      <c r="U29" s="185"/>
      <c r="V29" s="570">
        <f t="shared" si="13"/>
        <v>0</v>
      </c>
      <c r="W29" s="185"/>
      <c r="X29" s="185"/>
      <c r="Y29" s="185"/>
      <c r="Z29" s="185">
        <f>D29-BL29</f>
        <v>0</v>
      </c>
      <c r="AA29" s="185"/>
      <c r="AB29" s="185"/>
      <c r="AC29" s="185"/>
      <c r="AD29" s="185"/>
      <c r="AE29" s="185">
        <f t="shared" si="9"/>
        <v>0</v>
      </c>
      <c r="AF29" s="185"/>
      <c r="AG29" s="185"/>
      <c r="AH29" s="185"/>
      <c r="AI29" s="185"/>
      <c r="AJ29" s="185"/>
      <c r="AK29" s="185"/>
      <c r="AL29" s="185"/>
      <c r="AM29" s="185"/>
      <c r="AN29" s="185"/>
      <c r="AO29" s="185"/>
      <c r="AP29" s="185"/>
      <c r="AQ29" s="185"/>
      <c r="AR29" s="185"/>
      <c r="AS29" s="185"/>
      <c r="AT29" s="185"/>
      <c r="AU29" s="185"/>
      <c r="AV29" s="185"/>
      <c r="AW29" s="185"/>
      <c r="AX29" s="185"/>
      <c r="AY29" s="185"/>
      <c r="AZ29" s="185"/>
      <c r="BA29" s="185"/>
      <c r="BB29" s="185"/>
      <c r="BC29" s="185"/>
      <c r="BD29" s="185"/>
      <c r="BE29" s="185"/>
      <c r="BF29" s="185"/>
      <c r="BG29" s="185"/>
      <c r="BH29" s="185">
        <f t="shared" si="22"/>
        <v>0</v>
      </c>
      <c r="BI29" s="185"/>
      <c r="BJ29" s="185"/>
      <c r="BK29" s="185"/>
      <c r="BL29" s="185">
        <f>E29+W29+X29+Y29+AA29+AB29+AC29+AD29+AE29+AQ29+AR29+AS29+AT29+AU29+AV29+AW29+AX29+AY29+AZ29+BA29+BB29+BC29+BD29+BE29+BF29+BG29+BH29</f>
        <v>0</v>
      </c>
      <c r="BM29" s="185">
        <f>Z67-BL29</f>
        <v>0</v>
      </c>
      <c r="BN29" s="185">
        <f t="shared" si="23"/>
        <v>0</v>
      </c>
      <c r="BO29" s="479"/>
      <c r="BP29" s="53"/>
    </row>
    <row r="30" spans="1:68" ht="20.100000000000001" customHeight="1">
      <c r="A30" s="19" t="s">
        <v>59</v>
      </c>
      <c r="B30" s="19" t="s">
        <v>60</v>
      </c>
      <c r="C30" s="30" t="s">
        <v>61</v>
      </c>
      <c r="D30" s="185"/>
      <c r="E30" s="185">
        <f t="shared" si="4"/>
        <v>0</v>
      </c>
      <c r="F30" s="185">
        <f t="shared" si="21"/>
        <v>0</v>
      </c>
      <c r="G30" s="185">
        <f t="shared" si="8"/>
        <v>0</v>
      </c>
      <c r="H30" s="185">
        <f t="shared" si="12"/>
        <v>0</v>
      </c>
      <c r="I30" s="185"/>
      <c r="J30" s="185"/>
      <c r="K30" s="185"/>
      <c r="L30" s="185"/>
      <c r="M30" s="185"/>
      <c r="N30" s="185"/>
      <c r="O30" s="185"/>
      <c r="P30" s="185"/>
      <c r="Q30" s="185"/>
      <c r="R30" s="185"/>
      <c r="S30" s="185"/>
      <c r="T30" s="185"/>
      <c r="U30" s="185"/>
      <c r="V30" s="570">
        <f t="shared" si="13"/>
        <v>0</v>
      </c>
      <c r="W30" s="185"/>
      <c r="X30" s="185"/>
      <c r="Y30" s="185"/>
      <c r="Z30" s="185"/>
      <c r="AA30" s="185">
        <f>D30-BL30</f>
        <v>0</v>
      </c>
      <c r="AB30" s="185"/>
      <c r="AC30" s="185"/>
      <c r="AD30" s="185"/>
      <c r="AE30" s="185">
        <f t="shared" si="9"/>
        <v>0</v>
      </c>
      <c r="AF30" s="185"/>
      <c r="AG30" s="185"/>
      <c r="AH30" s="185"/>
      <c r="AI30" s="185"/>
      <c r="AJ30" s="185"/>
      <c r="AK30" s="185"/>
      <c r="AL30" s="185"/>
      <c r="AM30" s="185"/>
      <c r="AN30" s="185"/>
      <c r="AO30" s="185"/>
      <c r="AP30" s="185"/>
      <c r="AQ30" s="185"/>
      <c r="AR30" s="185"/>
      <c r="AS30" s="185"/>
      <c r="AT30" s="185"/>
      <c r="AU30" s="185"/>
      <c r="AV30" s="185"/>
      <c r="AW30" s="185"/>
      <c r="AX30" s="185"/>
      <c r="AY30" s="185"/>
      <c r="AZ30" s="185"/>
      <c r="BA30" s="185"/>
      <c r="BB30" s="185"/>
      <c r="BC30" s="185"/>
      <c r="BD30" s="185"/>
      <c r="BE30" s="185"/>
      <c r="BF30" s="185"/>
      <c r="BG30" s="185"/>
      <c r="BH30" s="185">
        <f t="shared" si="22"/>
        <v>0</v>
      </c>
      <c r="BI30" s="185"/>
      <c r="BJ30" s="185"/>
      <c r="BK30" s="185"/>
      <c r="BL30" s="185">
        <f>E30+W30+X30+Y30+Z30+AB30+AC30+AD30+AE30+AQ30+AR30+AS30+AT30+AU30+AV30+AW30+AX30+AY30+AZ30+BA30+BB30+BC30+BD30+BE30+BF30+BG30+BH30</f>
        <v>0</v>
      </c>
      <c r="BM30" s="185">
        <f>AA67-BL30</f>
        <v>0</v>
      </c>
      <c r="BN30" s="185">
        <f t="shared" si="23"/>
        <v>0</v>
      </c>
      <c r="BO30" s="479"/>
      <c r="BP30" s="53"/>
    </row>
    <row r="31" spans="1:68" ht="20.100000000000001" customHeight="1">
      <c r="A31" s="19" t="s">
        <v>62</v>
      </c>
      <c r="B31" s="19" t="s">
        <v>63</v>
      </c>
      <c r="C31" s="30" t="s">
        <v>64</v>
      </c>
      <c r="D31" s="185">
        <f>#REF!</f>
        <v>0.32517000000000001</v>
      </c>
      <c r="E31" s="185">
        <f t="shared" si="4"/>
        <v>0</v>
      </c>
      <c r="F31" s="185">
        <f t="shared" si="21"/>
        <v>0</v>
      </c>
      <c r="G31" s="185">
        <f t="shared" si="8"/>
        <v>0</v>
      </c>
      <c r="H31" s="185">
        <f t="shared" si="12"/>
        <v>0</v>
      </c>
      <c r="I31" s="185"/>
      <c r="J31" s="185"/>
      <c r="K31" s="185"/>
      <c r="L31" s="185"/>
      <c r="M31" s="185"/>
      <c r="N31" s="185"/>
      <c r="O31" s="185"/>
      <c r="P31" s="185"/>
      <c r="Q31" s="185"/>
      <c r="R31" s="185"/>
      <c r="S31" s="185"/>
      <c r="T31" s="185"/>
      <c r="U31" s="185"/>
      <c r="V31" s="570">
        <f>W31+X31+Y31+Z31+AA31+AB31+AC31+AD31+AE31+AQ31+AR31+AS31+AT31+AU31+AV31+AW31+AX31+AY31+AZ31+BA31+BB31+BC31+BD31+BE31+BF31+BG31</f>
        <v>0.32517000000000001</v>
      </c>
      <c r="W31" s="185"/>
      <c r="X31" s="185"/>
      <c r="Y31" s="185"/>
      <c r="Z31" s="185"/>
      <c r="AA31" s="185"/>
      <c r="AB31" s="185">
        <f>D31-BL31</f>
        <v>0.32517000000000001</v>
      </c>
      <c r="AC31" s="185"/>
      <c r="AD31" s="185"/>
      <c r="AE31" s="185">
        <f t="shared" si="9"/>
        <v>0</v>
      </c>
      <c r="AF31" s="185"/>
      <c r="AG31" s="185"/>
      <c r="AH31" s="185"/>
      <c r="AI31" s="185"/>
      <c r="AJ31" s="185"/>
      <c r="AK31" s="185"/>
      <c r="AL31" s="185"/>
      <c r="AM31" s="185"/>
      <c r="AN31" s="185"/>
      <c r="AO31" s="185"/>
      <c r="AP31" s="185"/>
      <c r="AQ31" s="185"/>
      <c r="AR31" s="185"/>
      <c r="AS31" s="185"/>
      <c r="AT31" s="185"/>
      <c r="AU31" s="185"/>
      <c r="AV31" s="185"/>
      <c r="AW31" s="185"/>
      <c r="AX31" s="185"/>
      <c r="AY31" s="185"/>
      <c r="AZ31" s="185"/>
      <c r="BA31" s="185"/>
      <c r="BB31" s="185"/>
      <c r="BC31" s="185"/>
      <c r="BD31" s="185"/>
      <c r="BE31" s="185"/>
      <c r="BF31" s="185"/>
      <c r="BG31" s="185"/>
      <c r="BH31" s="185">
        <f>BI31+BJ31+BK31</f>
        <v>0</v>
      </c>
      <c r="BI31" s="185"/>
      <c r="BJ31" s="185"/>
      <c r="BK31" s="185"/>
      <c r="BL31" s="185">
        <f>E31+W31+X31+Y31+Z31+AA31+AC31+AD31+AE31+AQ31+AR31+AS31+AT31+AU31+AV31+AW31+AX31+AY31+AZ31+BA31+BB31+BC31+BD31+BE31+BF31+BG31+BH31</f>
        <v>0</v>
      </c>
      <c r="BM31" s="185">
        <f>AB67-BL31</f>
        <v>0</v>
      </c>
      <c r="BN31" s="185">
        <f t="shared" si="23"/>
        <v>0.32517000000000001</v>
      </c>
      <c r="BO31" s="479"/>
      <c r="BP31" s="53"/>
    </row>
    <row r="32" spans="1:68" ht="20.100000000000001" customHeight="1">
      <c r="A32" s="19" t="s">
        <v>65</v>
      </c>
      <c r="B32" s="19" t="s">
        <v>66</v>
      </c>
      <c r="C32" s="30" t="s">
        <v>67</v>
      </c>
      <c r="D32" s="185">
        <f>#REF!</f>
        <v>3.47</v>
      </c>
      <c r="E32" s="185">
        <f t="shared" si="4"/>
        <v>0</v>
      </c>
      <c r="F32" s="185">
        <f t="shared" si="21"/>
        <v>0</v>
      </c>
      <c r="G32" s="185">
        <f t="shared" si="8"/>
        <v>0</v>
      </c>
      <c r="H32" s="185">
        <f t="shared" si="12"/>
        <v>0</v>
      </c>
      <c r="I32" s="185"/>
      <c r="J32" s="185"/>
      <c r="K32" s="185"/>
      <c r="L32" s="185"/>
      <c r="M32" s="185"/>
      <c r="N32" s="185"/>
      <c r="O32" s="185"/>
      <c r="P32" s="185"/>
      <c r="Q32" s="185"/>
      <c r="R32" s="185"/>
      <c r="S32" s="185"/>
      <c r="T32" s="185"/>
      <c r="U32" s="185"/>
      <c r="V32" s="570">
        <f t="shared" si="13"/>
        <v>3.47</v>
      </c>
      <c r="W32" s="185"/>
      <c r="X32" s="185"/>
      <c r="Y32" s="185"/>
      <c r="Z32" s="185"/>
      <c r="AA32" s="185"/>
      <c r="AB32" s="185"/>
      <c r="AC32" s="185">
        <f>D32-BL32</f>
        <v>3.47</v>
      </c>
      <c r="AD32" s="185"/>
      <c r="AE32" s="185">
        <f t="shared" si="9"/>
        <v>0</v>
      </c>
      <c r="AF32" s="185"/>
      <c r="AG32" s="185"/>
      <c r="AH32" s="185"/>
      <c r="AI32" s="185"/>
      <c r="AJ32" s="185"/>
      <c r="AK32" s="185"/>
      <c r="AL32" s="185"/>
      <c r="AM32" s="185"/>
      <c r="AN32" s="185"/>
      <c r="AO32" s="185"/>
      <c r="AP32" s="185"/>
      <c r="AQ32" s="185"/>
      <c r="AR32" s="185"/>
      <c r="AS32" s="185"/>
      <c r="AT32" s="185"/>
      <c r="AU32" s="185"/>
      <c r="AV32" s="185"/>
      <c r="AW32" s="185"/>
      <c r="AX32" s="185"/>
      <c r="AY32" s="185"/>
      <c r="AZ32" s="185"/>
      <c r="BA32" s="185"/>
      <c r="BB32" s="185"/>
      <c r="BC32" s="185"/>
      <c r="BD32" s="185"/>
      <c r="BE32" s="185"/>
      <c r="BF32" s="185"/>
      <c r="BG32" s="185"/>
      <c r="BH32" s="185">
        <f t="shared" si="22"/>
        <v>0</v>
      </c>
      <c r="BI32" s="185"/>
      <c r="BJ32" s="185"/>
      <c r="BK32" s="185"/>
      <c r="BL32" s="185">
        <f>E32+W32+X32+Y32+Z32+AA32+AB32+AD32+AE32+AQ32+AR32+AS32+AT32+AU32+AV32+AW32+AX32+AY32+AZ32+BA32+BB32+BC32+BD32+BE32+BF32+BG32+BH32</f>
        <v>0</v>
      </c>
      <c r="BM32" s="185">
        <f>AC67-BL32</f>
        <v>0</v>
      </c>
      <c r="BN32" s="185">
        <f t="shared" si="23"/>
        <v>3.47</v>
      </c>
      <c r="BO32" s="479"/>
      <c r="BP32" s="53"/>
    </row>
    <row r="33" spans="1:68" ht="20.100000000000001" customHeight="1">
      <c r="A33" s="19" t="s">
        <v>68</v>
      </c>
      <c r="B33" s="19" t="s">
        <v>69</v>
      </c>
      <c r="C33" s="30" t="s">
        <v>70</v>
      </c>
      <c r="D33" s="185"/>
      <c r="E33" s="185">
        <f t="shared" si="4"/>
        <v>0</v>
      </c>
      <c r="F33" s="185">
        <f t="shared" si="21"/>
        <v>0</v>
      </c>
      <c r="G33" s="185">
        <f t="shared" si="8"/>
        <v>0</v>
      </c>
      <c r="H33" s="185">
        <f t="shared" si="12"/>
        <v>0</v>
      </c>
      <c r="I33" s="185"/>
      <c r="J33" s="185"/>
      <c r="K33" s="185"/>
      <c r="L33" s="185"/>
      <c r="M33" s="185"/>
      <c r="N33" s="185"/>
      <c r="O33" s="185"/>
      <c r="P33" s="185"/>
      <c r="Q33" s="185"/>
      <c r="R33" s="185"/>
      <c r="S33" s="185"/>
      <c r="T33" s="185"/>
      <c r="U33" s="185"/>
      <c r="V33" s="570">
        <f t="shared" si="13"/>
        <v>0</v>
      </c>
      <c r="W33" s="185"/>
      <c r="X33" s="185"/>
      <c r="Y33" s="185"/>
      <c r="Z33" s="185"/>
      <c r="AA33" s="185"/>
      <c r="AB33" s="185"/>
      <c r="AC33" s="185"/>
      <c r="AD33" s="185">
        <f>D33-BL33</f>
        <v>0</v>
      </c>
      <c r="AE33" s="185">
        <f t="shared" si="9"/>
        <v>0</v>
      </c>
      <c r="AF33" s="185"/>
      <c r="AG33" s="185"/>
      <c r="AH33" s="185"/>
      <c r="AI33" s="185"/>
      <c r="AJ33" s="185"/>
      <c r="AK33" s="185"/>
      <c r="AL33" s="185"/>
      <c r="AM33" s="185"/>
      <c r="AN33" s="185"/>
      <c r="AO33" s="185"/>
      <c r="AP33" s="185"/>
      <c r="AQ33" s="185"/>
      <c r="AR33" s="185"/>
      <c r="AS33" s="185"/>
      <c r="AT33" s="185"/>
      <c r="AU33" s="185"/>
      <c r="AV33" s="185"/>
      <c r="AW33" s="185"/>
      <c r="AX33" s="185"/>
      <c r="AY33" s="185"/>
      <c r="AZ33" s="185"/>
      <c r="BA33" s="185"/>
      <c r="BB33" s="185"/>
      <c r="BC33" s="185"/>
      <c r="BD33" s="185"/>
      <c r="BE33" s="185"/>
      <c r="BF33" s="185"/>
      <c r="BG33" s="185"/>
      <c r="BH33" s="185">
        <f t="shared" si="22"/>
        <v>0</v>
      </c>
      <c r="BI33" s="185"/>
      <c r="BJ33" s="185"/>
      <c r="BK33" s="185"/>
      <c r="BL33" s="185">
        <f>E33+W33+X33+Y33+Z33+AA33+AB33+AC33+AE33+AQ33+AR33+AS33+AT33+AU33+AV33+AW33+AX33+AY33+AZ33+BA33+BB33+BC33+BD33+BE33+BF33+BG33+BH33</f>
        <v>0</v>
      </c>
      <c r="BM33" s="185">
        <f>AD67-BL33</f>
        <v>0</v>
      </c>
      <c r="BN33" s="185">
        <f t="shared" si="23"/>
        <v>0</v>
      </c>
      <c r="BO33" s="479"/>
      <c r="BP33" s="53"/>
    </row>
    <row r="34" spans="1:68" ht="40.5" customHeight="1">
      <c r="A34" s="19" t="s">
        <v>71</v>
      </c>
      <c r="B34" s="19" t="s">
        <v>135</v>
      </c>
      <c r="C34" s="30" t="s">
        <v>72</v>
      </c>
      <c r="D34" s="185">
        <f>SUM(D35:D45)</f>
        <v>58.248599999999996</v>
      </c>
      <c r="E34" s="185">
        <f>SUM(E35:E45)</f>
        <v>0</v>
      </c>
      <c r="F34" s="185">
        <f t="shared" ref="F34:U34" si="24">SUM(F35:F45)</f>
        <v>0</v>
      </c>
      <c r="G34" s="185">
        <f t="shared" si="24"/>
        <v>0</v>
      </c>
      <c r="H34" s="185">
        <f t="shared" si="24"/>
        <v>0</v>
      </c>
      <c r="I34" s="185">
        <f t="shared" si="24"/>
        <v>0</v>
      </c>
      <c r="J34" s="185">
        <f t="shared" si="24"/>
        <v>0</v>
      </c>
      <c r="K34" s="185">
        <f t="shared" si="24"/>
        <v>0</v>
      </c>
      <c r="L34" s="185">
        <f t="shared" si="24"/>
        <v>0</v>
      </c>
      <c r="M34" s="185">
        <f t="shared" si="24"/>
        <v>0</v>
      </c>
      <c r="N34" s="185">
        <f t="shared" si="24"/>
        <v>0</v>
      </c>
      <c r="O34" s="185">
        <f t="shared" si="24"/>
        <v>0</v>
      </c>
      <c r="P34" s="185">
        <f t="shared" si="24"/>
        <v>0</v>
      </c>
      <c r="Q34" s="185">
        <f t="shared" si="24"/>
        <v>0</v>
      </c>
      <c r="R34" s="185">
        <f t="shared" si="24"/>
        <v>0</v>
      </c>
      <c r="S34" s="185">
        <f t="shared" si="24"/>
        <v>0</v>
      </c>
      <c r="T34" s="185">
        <f t="shared" si="24"/>
        <v>0</v>
      </c>
      <c r="U34" s="185">
        <f t="shared" si="24"/>
        <v>0</v>
      </c>
      <c r="V34" s="570">
        <f>SUM(V35:V45)</f>
        <v>58.248599999999996</v>
      </c>
      <c r="W34" s="185">
        <f t="shared" ref="W34:AD34" si="25">SUM(W35:W45)</f>
        <v>0</v>
      </c>
      <c r="X34" s="185">
        <f t="shared" si="25"/>
        <v>0</v>
      </c>
      <c r="Y34" s="185">
        <f t="shared" si="25"/>
        <v>0</v>
      </c>
      <c r="Z34" s="185">
        <f t="shared" si="25"/>
        <v>0</v>
      </c>
      <c r="AA34" s="185">
        <f t="shared" si="25"/>
        <v>0</v>
      </c>
      <c r="AB34" s="185">
        <f t="shared" si="25"/>
        <v>0</v>
      </c>
      <c r="AC34" s="185">
        <f t="shared" si="25"/>
        <v>0</v>
      </c>
      <c r="AD34" s="185">
        <f t="shared" si="25"/>
        <v>0</v>
      </c>
      <c r="AE34" s="185">
        <f>D34-BL34</f>
        <v>58.0886</v>
      </c>
      <c r="AF34" s="185">
        <f>SUM(AF35:AF45)</f>
        <v>0</v>
      </c>
      <c r="AG34" s="185">
        <f t="shared" ref="AG34:BE34" si="26">SUM(AG35:AG45)</f>
        <v>0.2</v>
      </c>
      <c r="AH34" s="185">
        <f t="shared" si="26"/>
        <v>2.1367100000000003</v>
      </c>
      <c r="AI34" s="185">
        <f t="shared" si="26"/>
        <v>0.49</v>
      </c>
      <c r="AJ34" s="185">
        <f t="shared" si="26"/>
        <v>0</v>
      </c>
      <c r="AK34" s="185">
        <f t="shared" si="26"/>
        <v>0</v>
      </c>
      <c r="AL34" s="185">
        <f t="shared" si="26"/>
        <v>44.960990000000002</v>
      </c>
      <c r="AM34" s="185">
        <f t="shared" si="26"/>
        <v>10.05673</v>
      </c>
      <c r="AN34" s="185">
        <f t="shared" si="26"/>
        <v>0.01</v>
      </c>
      <c r="AO34" s="185">
        <f t="shared" si="26"/>
        <v>1.255E-2</v>
      </c>
      <c r="AP34" s="185">
        <f t="shared" si="26"/>
        <v>0.22162000000000001</v>
      </c>
      <c r="AQ34" s="185">
        <f t="shared" si="26"/>
        <v>0</v>
      </c>
      <c r="AR34" s="185">
        <f t="shared" si="26"/>
        <v>0</v>
      </c>
      <c r="AS34" s="185">
        <f t="shared" si="26"/>
        <v>0</v>
      </c>
      <c r="AT34" s="185">
        <f t="shared" si="26"/>
        <v>0.15</v>
      </c>
      <c r="AU34" s="185">
        <f t="shared" si="26"/>
        <v>0</v>
      </c>
      <c r="AV34" s="185">
        <f t="shared" si="26"/>
        <v>0</v>
      </c>
      <c r="AW34" s="185">
        <f t="shared" si="26"/>
        <v>0</v>
      </c>
      <c r="AX34" s="185">
        <f t="shared" si="26"/>
        <v>0</v>
      </c>
      <c r="AY34" s="185">
        <f t="shared" si="26"/>
        <v>0</v>
      </c>
      <c r="AZ34" s="185">
        <f t="shared" si="26"/>
        <v>0</v>
      </c>
      <c r="BA34" s="185">
        <f t="shared" si="26"/>
        <v>0.01</v>
      </c>
      <c r="BB34" s="185">
        <f t="shared" si="26"/>
        <v>0</v>
      </c>
      <c r="BC34" s="185">
        <f t="shared" si="26"/>
        <v>0</v>
      </c>
      <c r="BD34" s="185">
        <f t="shared" si="26"/>
        <v>0</v>
      </c>
      <c r="BE34" s="185">
        <f t="shared" si="26"/>
        <v>0</v>
      </c>
      <c r="BF34" s="185">
        <f>SUM(BF35:BF45)</f>
        <v>0</v>
      </c>
      <c r="BG34" s="185">
        <f>SUM(BG35:BG45)</f>
        <v>0</v>
      </c>
      <c r="BH34" s="185">
        <f>BI34+BJ34+BK34</f>
        <v>0</v>
      </c>
      <c r="BI34" s="185">
        <f>SUM(BI35:BI45)</f>
        <v>0</v>
      </c>
      <c r="BJ34" s="185">
        <f>SUM(BJ35:BJ45)</f>
        <v>0</v>
      </c>
      <c r="BK34" s="185">
        <f>SUM(BK35:BK45)</f>
        <v>0</v>
      </c>
      <c r="BL34" s="185">
        <f>E34+W34+X34+Y34+Z34+AA34+AB34+AC34+AQ34+AR34+AS34+AT34+AU34+AV34+AW34+AX34+AY34+AZ34+BA34+BB34+BC34+BD34+BE34+BF34+BG34+BH34</f>
        <v>0.16</v>
      </c>
      <c r="BM34" s="185">
        <f>AE67-BL34</f>
        <v>-9.9999999999999811E-3</v>
      </c>
      <c r="BN34" s="185">
        <f>SUM(BN35:BN45)</f>
        <v>58.238599999999998</v>
      </c>
      <c r="BO34" s="479"/>
      <c r="BP34" s="53"/>
    </row>
    <row r="35" spans="1:68" ht="20.100000000000001" customHeight="1">
      <c r="A35" s="14" t="s">
        <v>224</v>
      </c>
      <c r="B35" s="14" t="s">
        <v>478</v>
      </c>
      <c r="C35" s="30" t="s">
        <v>202</v>
      </c>
      <c r="D35" s="185"/>
      <c r="E35" s="185">
        <f t="shared" si="4"/>
        <v>0</v>
      </c>
      <c r="F35" s="185">
        <f t="shared" si="21"/>
        <v>0</v>
      </c>
      <c r="G35" s="185">
        <f t="shared" si="8"/>
        <v>0</v>
      </c>
      <c r="H35" s="185">
        <f t="shared" si="12"/>
        <v>0</v>
      </c>
      <c r="I35" s="185"/>
      <c r="J35" s="185"/>
      <c r="K35" s="185"/>
      <c r="L35" s="185"/>
      <c r="M35" s="185"/>
      <c r="N35" s="185"/>
      <c r="O35" s="185"/>
      <c r="P35" s="185"/>
      <c r="Q35" s="185"/>
      <c r="R35" s="185"/>
      <c r="S35" s="185"/>
      <c r="T35" s="185"/>
      <c r="U35" s="185"/>
      <c r="V35" s="570">
        <f t="shared" si="13"/>
        <v>0</v>
      </c>
      <c r="W35" s="185"/>
      <c r="X35" s="185"/>
      <c r="Y35" s="185"/>
      <c r="Z35" s="185"/>
      <c r="AA35" s="185"/>
      <c r="AB35" s="185"/>
      <c r="AC35" s="185"/>
      <c r="AD35" s="185"/>
      <c r="AE35" s="185">
        <f>SUM(AF35:AP35)</f>
        <v>0</v>
      </c>
      <c r="AF35" s="185">
        <f>D35-BL35</f>
        <v>0</v>
      </c>
      <c r="AG35" s="185"/>
      <c r="AH35" s="185"/>
      <c r="AI35" s="185"/>
      <c r="AJ35" s="185"/>
      <c r="AK35" s="185"/>
      <c r="AL35" s="185"/>
      <c r="AM35" s="185"/>
      <c r="AN35" s="185"/>
      <c r="AO35" s="185"/>
      <c r="AP35" s="185"/>
      <c r="AQ35" s="185"/>
      <c r="AR35" s="185"/>
      <c r="AS35" s="185"/>
      <c r="AT35" s="185"/>
      <c r="AU35" s="185"/>
      <c r="AV35" s="185"/>
      <c r="AW35" s="185"/>
      <c r="AX35" s="185"/>
      <c r="AY35" s="185"/>
      <c r="AZ35" s="185"/>
      <c r="BA35" s="185"/>
      <c r="BB35" s="185"/>
      <c r="BC35" s="185"/>
      <c r="BD35" s="185"/>
      <c r="BE35" s="185"/>
      <c r="BF35" s="185"/>
      <c r="BG35" s="185"/>
      <c r="BH35" s="185">
        <f t="shared" si="22"/>
        <v>0</v>
      </c>
      <c r="BI35" s="185"/>
      <c r="BJ35" s="185"/>
      <c r="BK35" s="185"/>
      <c r="BL35" s="185">
        <f>E35+W35+X35+Y35+Z35+AA35+AB35+AC35+AD35+AG35+AH35+AI35+AJ35+AK35+AL35+AM35+AN35+AO35+AP35+AQ35+AR35+AS35+AT35+AU35+AV35+AW35+AX35+AY35+AZ35+BA35+BB35+BC35+BD35</f>
        <v>0</v>
      </c>
      <c r="BM35" s="185">
        <f>AF67-BL35</f>
        <v>0</v>
      </c>
      <c r="BN35" s="185">
        <f>D35+BM35</f>
        <v>0</v>
      </c>
      <c r="BO35" s="479"/>
      <c r="BP35" s="53"/>
    </row>
    <row r="36" spans="1:68" ht="20.100000000000001" customHeight="1">
      <c r="A36" s="14" t="s">
        <v>225</v>
      </c>
      <c r="B36" s="14" t="s">
        <v>479</v>
      </c>
      <c r="C36" s="30" t="s">
        <v>203</v>
      </c>
      <c r="D36" s="185">
        <f>#REF!</f>
        <v>0.2</v>
      </c>
      <c r="E36" s="185">
        <f t="shared" si="4"/>
        <v>0</v>
      </c>
      <c r="F36" s="185">
        <f t="shared" si="21"/>
        <v>0</v>
      </c>
      <c r="G36" s="185">
        <f t="shared" si="8"/>
        <v>0</v>
      </c>
      <c r="H36" s="185">
        <f t="shared" si="12"/>
        <v>0</v>
      </c>
      <c r="I36" s="185"/>
      <c r="J36" s="185"/>
      <c r="K36" s="185"/>
      <c r="L36" s="185"/>
      <c r="M36" s="185"/>
      <c r="N36" s="185"/>
      <c r="O36" s="185"/>
      <c r="P36" s="185"/>
      <c r="Q36" s="185"/>
      <c r="R36" s="185"/>
      <c r="S36" s="185"/>
      <c r="T36" s="185"/>
      <c r="U36" s="185"/>
      <c r="V36" s="570">
        <f t="shared" si="13"/>
        <v>0.2</v>
      </c>
      <c r="W36" s="185"/>
      <c r="X36" s="185"/>
      <c r="Y36" s="185"/>
      <c r="Z36" s="185"/>
      <c r="AA36" s="185"/>
      <c r="AB36" s="185"/>
      <c r="AC36" s="185"/>
      <c r="AD36" s="185"/>
      <c r="AE36" s="185">
        <f t="shared" ref="AE36:AE66" si="27">SUM(AF36:AP36)</f>
        <v>0.2</v>
      </c>
      <c r="AF36" s="185"/>
      <c r="AG36" s="185">
        <f>D36-BL36</f>
        <v>0.2</v>
      </c>
      <c r="AH36" s="185"/>
      <c r="AI36" s="185"/>
      <c r="AJ36" s="185"/>
      <c r="AK36" s="185"/>
      <c r="AL36" s="185"/>
      <c r="AM36" s="185"/>
      <c r="AN36" s="185"/>
      <c r="AO36" s="185"/>
      <c r="AP36" s="185"/>
      <c r="AQ36" s="185"/>
      <c r="AR36" s="185"/>
      <c r="AS36" s="185"/>
      <c r="AT36" s="185"/>
      <c r="AU36" s="185"/>
      <c r="AV36" s="185"/>
      <c r="AW36" s="185"/>
      <c r="AX36" s="185"/>
      <c r="AY36" s="185"/>
      <c r="AZ36" s="185"/>
      <c r="BA36" s="185"/>
      <c r="BB36" s="185"/>
      <c r="BC36" s="185"/>
      <c r="BD36" s="185"/>
      <c r="BE36" s="185"/>
      <c r="BF36" s="185"/>
      <c r="BG36" s="185"/>
      <c r="BH36" s="185">
        <f t="shared" si="22"/>
        <v>0</v>
      </c>
      <c r="BI36" s="185"/>
      <c r="BJ36" s="185"/>
      <c r="BK36" s="185"/>
      <c r="BL36" s="185">
        <f>E36+W36+X36+Y36+Z36+AA36+AB36+AC36+AD36+AF36+AH36+AI36+AJ36+AK36+AL36+AM36+AN36+AO36+AP36+AQ36+AR36+AS36+AT36+AU36+AV36+AW36+AX36+AY36+AZ36+BA36+BB36+BC36+BD36+BE36+BF36+BG36+BH36</f>
        <v>0</v>
      </c>
      <c r="BM36" s="185">
        <f>AG67-BL36</f>
        <v>0</v>
      </c>
      <c r="BN36" s="185">
        <f t="shared" ref="BN36:BN45" si="28">D36+BM36</f>
        <v>0.2</v>
      </c>
      <c r="BO36" s="479"/>
      <c r="BP36" s="53"/>
    </row>
    <row r="37" spans="1:68" ht="20.100000000000001" customHeight="1">
      <c r="A37" s="14" t="s">
        <v>226</v>
      </c>
      <c r="B37" s="14" t="s">
        <v>480</v>
      </c>
      <c r="C37" s="30" t="s">
        <v>204</v>
      </c>
      <c r="D37" s="185">
        <f>#REF!</f>
        <v>2.2867100000000002</v>
      </c>
      <c r="E37" s="185">
        <f t="shared" si="4"/>
        <v>0</v>
      </c>
      <c r="F37" s="185">
        <f t="shared" si="21"/>
        <v>0</v>
      </c>
      <c r="G37" s="185">
        <f t="shared" si="8"/>
        <v>0</v>
      </c>
      <c r="H37" s="185">
        <f t="shared" si="12"/>
        <v>0</v>
      </c>
      <c r="I37" s="185"/>
      <c r="J37" s="185"/>
      <c r="K37" s="185"/>
      <c r="L37" s="185"/>
      <c r="M37" s="185"/>
      <c r="N37" s="185"/>
      <c r="O37" s="185"/>
      <c r="P37" s="185"/>
      <c r="Q37" s="185"/>
      <c r="R37" s="185"/>
      <c r="S37" s="185"/>
      <c r="T37" s="185"/>
      <c r="U37" s="185"/>
      <c r="V37" s="570">
        <f t="shared" si="13"/>
        <v>2.2867100000000002</v>
      </c>
      <c r="W37" s="185"/>
      <c r="X37" s="185"/>
      <c r="Y37" s="185"/>
      <c r="Z37" s="185"/>
      <c r="AA37" s="185"/>
      <c r="AB37" s="185"/>
      <c r="AC37" s="185"/>
      <c r="AD37" s="185"/>
      <c r="AE37" s="185">
        <f t="shared" si="27"/>
        <v>2.1367100000000003</v>
      </c>
      <c r="AF37" s="185"/>
      <c r="AG37" s="185"/>
      <c r="AH37" s="185">
        <f>D37-BL37</f>
        <v>2.1367100000000003</v>
      </c>
      <c r="AI37" s="185"/>
      <c r="AJ37" s="185"/>
      <c r="AK37" s="185"/>
      <c r="AL37" s="185"/>
      <c r="AM37" s="185"/>
      <c r="AN37" s="185"/>
      <c r="AO37" s="185"/>
      <c r="AP37" s="185"/>
      <c r="AQ37" s="185"/>
      <c r="AR37" s="185"/>
      <c r="AS37" s="185"/>
      <c r="AT37" s="185">
        <v>0.15</v>
      </c>
      <c r="AU37" s="185"/>
      <c r="AV37" s="185"/>
      <c r="AW37" s="185"/>
      <c r="AX37" s="185"/>
      <c r="AY37" s="185"/>
      <c r="AZ37" s="185"/>
      <c r="BA37" s="185"/>
      <c r="BB37" s="185"/>
      <c r="BC37" s="185"/>
      <c r="BD37" s="185"/>
      <c r="BE37" s="185"/>
      <c r="BF37" s="185"/>
      <c r="BG37" s="185"/>
      <c r="BH37" s="185">
        <f t="shared" si="22"/>
        <v>0</v>
      </c>
      <c r="BI37" s="185"/>
      <c r="BJ37" s="185"/>
      <c r="BK37" s="185"/>
      <c r="BL37" s="185">
        <f>E37+W37+X37+Y37+Z37+AA37+AB37+AC37+AD37+AF37+AG37+AI37+AJ37+AK37+AL37+AM37+AN37+AO37+AP37+AQ37+AR37+AS37+AT37+AU37+AV37+AW37+AX37+AY37+AZ37+BA37+BB37+BC37+BD37+BE37+BF37+BG37+BH37</f>
        <v>0.15</v>
      </c>
      <c r="BM37" s="185">
        <f>AH67-BL37</f>
        <v>-0.15</v>
      </c>
      <c r="BN37" s="185">
        <f t="shared" si="28"/>
        <v>2.1367100000000003</v>
      </c>
      <c r="BO37" s="479"/>
      <c r="BP37" s="53"/>
    </row>
    <row r="38" spans="1:68" ht="20.100000000000001" customHeight="1">
      <c r="A38" s="14" t="s">
        <v>227</v>
      </c>
      <c r="B38" s="14" t="s">
        <v>481</v>
      </c>
      <c r="C38" s="30" t="s">
        <v>205</v>
      </c>
      <c r="D38" s="185">
        <f>#REF!</f>
        <v>0.49</v>
      </c>
      <c r="E38" s="185">
        <f t="shared" si="4"/>
        <v>0</v>
      </c>
      <c r="F38" s="185">
        <f t="shared" si="21"/>
        <v>0</v>
      </c>
      <c r="G38" s="185">
        <f t="shared" si="8"/>
        <v>0</v>
      </c>
      <c r="H38" s="185">
        <f t="shared" si="12"/>
        <v>0</v>
      </c>
      <c r="I38" s="185"/>
      <c r="J38" s="185"/>
      <c r="K38" s="185"/>
      <c r="L38" s="185"/>
      <c r="M38" s="185"/>
      <c r="N38" s="185"/>
      <c r="O38" s="185"/>
      <c r="P38" s="185"/>
      <c r="Q38" s="185"/>
      <c r="R38" s="185"/>
      <c r="S38" s="185"/>
      <c r="T38" s="185"/>
      <c r="U38" s="185"/>
      <c r="V38" s="570">
        <f t="shared" si="13"/>
        <v>0.49</v>
      </c>
      <c r="W38" s="185"/>
      <c r="X38" s="185"/>
      <c r="Y38" s="185"/>
      <c r="Z38" s="185"/>
      <c r="AA38" s="185"/>
      <c r="AB38" s="185"/>
      <c r="AC38" s="185"/>
      <c r="AD38" s="185"/>
      <c r="AE38" s="185">
        <f t="shared" si="27"/>
        <v>0.49</v>
      </c>
      <c r="AF38" s="185"/>
      <c r="AG38" s="185"/>
      <c r="AH38" s="185"/>
      <c r="AI38" s="185">
        <f>D38-BL38</f>
        <v>0.49</v>
      </c>
      <c r="AJ38" s="185"/>
      <c r="AK38" s="185"/>
      <c r="AL38" s="185"/>
      <c r="AM38" s="185"/>
      <c r="AN38" s="185"/>
      <c r="AO38" s="185"/>
      <c r="AP38" s="185"/>
      <c r="AQ38" s="185"/>
      <c r="AR38" s="185"/>
      <c r="AS38" s="185"/>
      <c r="AT38" s="185"/>
      <c r="AU38" s="185"/>
      <c r="AV38" s="185"/>
      <c r="AW38" s="185"/>
      <c r="AX38" s="185"/>
      <c r="AY38" s="185"/>
      <c r="AZ38" s="185"/>
      <c r="BA38" s="185"/>
      <c r="BB38" s="185"/>
      <c r="BC38" s="185"/>
      <c r="BD38" s="185"/>
      <c r="BE38" s="185"/>
      <c r="BF38" s="185"/>
      <c r="BG38" s="185"/>
      <c r="BH38" s="185">
        <f t="shared" si="22"/>
        <v>0</v>
      </c>
      <c r="BI38" s="185"/>
      <c r="BJ38" s="185"/>
      <c r="BK38" s="185"/>
      <c r="BL38" s="185">
        <f>E38+W38+X38+Y38+Z38+AA38+AB38+AC38+AD38+AF38+AG38+AH38+AJ38+AK38+AL38+AM38+AN38+AO38+AP38+AQ38+AR38+AS38+AT38+AU38+AV38+AW38+AX38+AY38+AZ38+BA38+BB38+BC38+BD38+BE38+BF38+BG38+BH38</f>
        <v>0</v>
      </c>
      <c r="BM38" s="185">
        <f>AI67-BL38</f>
        <v>0</v>
      </c>
      <c r="BN38" s="185">
        <f t="shared" si="28"/>
        <v>0.49</v>
      </c>
      <c r="BO38" s="479"/>
      <c r="BP38" s="53"/>
    </row>
    <row r="39" spans="1:68" ht="20.100000000000001" customHeight="1">
      <c r="A39" s="14" t="s">
        <v>228</v>
      </c>
      <c r="B39" s="14" t="s">
        <v>482</v>
      </c>
      <c r="C39" s="30" t="s">
        <v>206</v>
      </c>
      <c r="D39" s="185"/>
      <c r="E39" s="185">
        <f t="shared" si="4"/>
        <v>0</v>
      </c>
      <c r="F39" s="185">
        <f t="shared" si="21"/>
        <v>0</v>
      </c>
      <c r="G39" s="185">
        <f t="shared" si="8"/>
        <v>0</v>
      </c>
      <c r="H39" s="185">
        <f t="shared" si="12"/>
        <v>0</v>
      </c>
      <c r="I39" s="185"/>
      <c r="J39" s="185"/>
      <c r="K39" s="185"/>
      <c r="L39" s="185"/>
      <c r="M39" s="185"/>
      <c r="N39" s="185"/>
      <c r="O39" s="185"/>
      <c r="P39" s="185"/>
      <c r="Q39" s="185"/>
      <c r="R39" s="185"/>
      <c r="S39" s="185"/>
      <c r="T39" s="185"/>
      <c r="U39" s="185"/>
      <c r="V39" s="570">
        <f t="shared" si="13"/>
        <v>0</v>
      </c>
      <c r="W39" s="185"/>
      <c r="X39" s="185"/>
      <c r="Y39" s="185"/>
      <c r="Z39" s="185"/>
      <c r="AA39" s="185"/>
      <c r="AB39" s="185"/>
      <c r="AC39" s="185"/>
      <c r="AD39" s="185"/>
      <c r="AE39" s="185">
        <f t="shared" si="27"/>
        <v>0</v>
      </c>
      <c r="AF39" s="185"/>
      <c r="AG39" s="185"/>
      <c r="AH39" s="185"/>
      <c r="AI39" s="185"/>
      <c r="AJ39" s="185">
        <f>D39-BL39</f>
        <v>0</v>
      </c>
      <c r="AK39" s="185"/>
      <c r="AL39" s="185"/>
      <c r="AM39" s="185"/>
      <c r="AN39" s="185"/>
      <c r="AO39" s="185"/>
      <c r="AP39" s="185"/>
      <c r="AQ39" s="185"/>
      <c r="AR39" s="185"/>
      <c r="AS39" s="185"/>
      <c r="AT39" s="185"/>
      <c r="AU39" s="185"/>
      <c r="AV39" s="185"/>
      <c r="AW39" s="185"/>
      <c r="AX39" s="185"/>
      <c r="AY39" s="185"/>
      <c r="AZ39" s="185"/>
      <c r="BA39" s="185"/>
      <c r="BB39" s="185"/>
      <c r="BC39" s="185"/>
      <c r="BD39" s="185"/>
      <c r="BE39" s="185"/>
      <c r="BF39" s="185"/>
      <c r="BG39" s="185"/>
      <c r="BH39" s="185">
        <f t="shared" si="22"/>
        <v>0</v>
      </c>
      <c r="BI39" s="185"/>
      <c r="BJ39" s="185"/>
      <c r="BK39" s="185"/>
      <c r="BL39" s="185">
        <f>E39+W39+X39+Y39+Z39+AA39+AB39+AC39+AD39+AQ39+AR39+AS39+AT39+AU39+AV39+AW39+AX39+AY39+AZ39+BA39+BB39+BC39+BD39+BE39+BF39+BG39+BH39+AF39+AG39+AH39+AI39+AK39+AL39+AM39+AN39+AO39+AP39</f>
        <v>0</v>
      </c>
      <c r="BM39" s="185">
        <f>AJ67-BL39</f>
        <v>0</v>
      </c>
      <c r="BN39" s="185">
        <f t="shared" si="28"/>
        <v>0</v>
      </c>
      <c r="BO39" s="479"/>
      <c r="BP39" s="53"/>
    </row>
    <row r="40" spans="1:68" ht="20.100000000000001" customHeight="1">
      <c r="A40" s="14" t="s">
        <v>229</v>
      </c>
      <c r="B40" s="14" t="s">
        <v>483</v>
      </c>
      <c r="C40" s="30" t="s">
        <v>207</v>
      </c>
      <c r="D40" s="185"/>
      <c r="E40" s="185">
        <f t="shared" si="4"/>
        <v>0</v>
      </c>
      <c r="F40" s="185">
        <f t="shared" si="21"/>
        <v>0</v>
      </c>
      <c r="G40" s="185">
        <f t="shared" si="8"/>
        <v>0</v>
      </c>
      <c r="H40" s="185">
        <f t="shared" si="12"/>
        <v>0</v>
      </c>
      <c r="I40" s="185"/>
      <c r="J40" s="185"/>
      <c r="K40" s="185"/>
      <c r="L40" s="185"/>
      <c r="M40" s="185"/>
      <c r="N40" s="185"/>
      <c r="O40" s="185"/>
      <c r="P40" s="185"/>
      <c r="Q40" s="185"/>
      <c r="R40" s="185"/>
      <c r="S40" s="185"/>
      <c r="T40" s="185"/>
      <c r="U40" s="185"/>
      <c r="V40" s="570">
        <f t="shared" si="13"/>
        <v>0</v>
      </c>
      <c r="W40" s="185"/>
      <c r="X40" s="185"/>
      <c r="Y40" s="185"/>
      <c r="Z40" s="185"/>
      <c r="AA40" s="185"/>
      <c r="AB40" s="185"/>
      <c r="AC40" s="185"/>
      <c r="AD40" s="185"/>
      <c r="AE40" s="185">
        <f t="shared" si="27"/>
        <v>0</v>
      </c>
      <c r="AF40" s="185"/>
      <c r="AG40" s="185"/>
      <c r="AH40" s="185"/>
      <c r="AI40" s="185"/>
      <c r="AJ40" s="185"/>
      <c r="AK40" s="185">
        <f>D40-BL40</f>
        <v>0</v>
      </c>
      <c r="AL40" s="185"/>
      <c r="AM40" s="185"/>
      <c r="AN40" s="185"/>
      <c r="AO40" s="185"/>
      <c r="AP40" s="185"/>
      <c r="AQ40" s="185"/>
      <c r="AR40" s="185"/>
      <c r="AS40" s="185"/>
      <c r="AT40" s="185"/>
      <c r="AU40" s="185"/>
      <c r="AV40" s="185"/>
      <c r="AW40" s="185"/>
      <c r="AX40" s="185"/>
      <c r="AY40" s="185"/>
      <c r="AZ40" s="185"/>
      <c r="BA40" s="185"/>
      <c r="BB40" s="185"/>
      <c r="BC40" s="185"/>
      <c r="BD40" s="185"/>
      <c r="BE40" s="185"/>
      <c r="BF40" s="185"/>
      <c r="BG40" s="185"/>
      <c r="BH40" s="185">
        <f t="shared" si="22"/>
        <v>0</v>
      </c>
      <c r="BI40" s="185"/>
      <c r="BJ40" s="185"/>
      <c r="BK40" s="185"/>
      <c r="BL40" s="185">
        <f>E40+W40+X40+Y40+Z40+AA40+AB40+AC40+AD40+AF40+AG40+AH40+AI40+AJ40+AL40+AM40+AN40+AO40+AP40+AQ40+AR40+AS40+AT40+AU40+AV40+AW40+AX40+AY40+AZ40+BA40+BB40+BC40+BD40+BE40+BF40+BG40+BH40</f>
        <v>0</v>
      </c>
      <c r="BM40" s="185">
        <f>AK67-BL40</f>
        <v>0</v>
      </c>
      <c r="BN40" s="185">
        <f t="shared" si="28"/>
        <v>0</v>
      </c>
      <c r="BO40" s="479"/>
      <c r="BP40" s="53"/>
    </row>
    <row r="41" spans="1:68" ht="20.100000000000001" customHeight="1">
      <c r="A41" s="14" t="s">
        <v>230</v>
      </c>
      <c r="B41" s="14" t="s">
        <v>484</v>
      </c>
      <c r="C41" s="30" t="s">
        <v>199</v>
      </c>
      <c r="D41" s="185">
        <f>#REF!</f>
        <v>44.97099</v>
      </c>
      <c r="E41" s="185">
        <f t="shared" si="4"/>
        <v>0</v>
      </c>
      <c r="F41" s="185">
        <f t="shared" si="21"/>
        <v>0</v>
      </c>
      <c r="G41" s="185">
        <f t="shared" si="8"/>
        <v>0</v>
      </c>
      <c r="H41" s="185">
        <f t="shared" si="12"/>
        <v>0</v>
      </c>
      <c r="I41" s="185"/>
      <c r="J41" s="185"/>
      <c r="K41" s="185"/>
      <c r="L41" s="185"/>
      <c r="M41" s="185"/>
      <c r="N41" s="185"/>
      <c r="O41" s="185"/>
      <c r="P41" s="185"/>
      <c r="Q41" s="185"/>
      <c r="R41" s="185"/>
      <c r="S41" s="185"/>
      <c r="T41" s="185"/>
      <c r="U41" s="185"/>
      <c r="V41" s="570">
        <f t="shared" si="13"/>
        <v>44.97099</v>
      </c>
      <c r="W41" s="185"/>
      <c r="X41" s="185"/>
      <c r="Y41" s="185"/>
      <c r="Z41" s="185"/>
      <c r="AA41" s="185"/>
      <c r="AB41" s="185"/>
      <c r="AC41" s="185"/>
      <c r="AD41" s="185"/>
      <c r="AE41" s="185">
        <f t="shared" si="27"/>
        <v>44.960990000000002</v>
      </c>
      <c r="AF41" s="185"/>
      <c r="AG41" s="185"/>
      <c r="AH41" s="185"/>
      <c r="AI41" s="185"/>
      <c r="AJ41" s="185"/>
      <c r="AK41" s="185"/>
      <c r="AL41" s="185">
        <f>D41-BL41</f>
        <v>44.960990000000002</v>
      </c>
      <c r="AM41" s="185"/>
      <c r="AN41" s="185"/>
      <c r="AO41" s="185"/>
      <c r="AP41" s="185"/>
      <c r="AQ41" s="185"/>
      <c r="AR41" s="185"/>
      <c r="AS41" s="185"/>
      <c r="AT41" s="185"/>
      <c r="AU41" s="185"/>
      <c r="AV41" s="185"/>
      <c r="AW41" s="185"/>
      <c r="AX41" s="185"/>
      <c r="AY41" s="185"/>
      <c r="AZ41" s="185"/>
      <c r="BA41" s="185">
        <v>0.01</v>
      </c>
      <c r="BB41" s="185"/>
      <c r="BC41" s="185"/>
      <c r="BD41" s="185"/>
      <c r="BE41" s="185"/>
      <c r="BF41" s="185"/>
      <c r="BG41" s="185"/>
      <c r="BH41" s="185">
        <f t="shared" si="22"/>
        <v>0</v>
      </c>
      <c r="BI41" s="185"/>
      <c r="BJ41" s="185"/>
      <c r="BK41" s="185"/>
      <c r="BL41" s="185">
        <f>E41+W41+X41+Y41+Z41+AA41+AB41+AC41+AD41+AF41+AG41+AH41+AI41+AJ41+AK41+AM41+AN41+AO41+AP41+AQ41+AR41+AS41+AT41+AU41+AV41+AW41+AX41+AY41+AZ41+BA41+BB41+BC41+BD41+BE41+BF41+BG41+BH41</f>
        <v>0.01</v>
      </c>
      <c r="BM41" s="185">
        <f>AL67-BL41</f>
        <v>-0.01</v>
      </c>
      <c r="BN41" s="185">
        <f t="shared" si="28"/>
        <v>44.960990000000002</v>
      </c>
      <c r="BO41" s="479"/>
      <c r="BP41" s="53"/>
    </row>
    <row r="42" spans="1:68" ht="20.100000000000001" customHeight="1">
      <c r="A42" s="14" t="s">
        <v>231</v>
      </c>
      <c r="B42" s="14" t="s">
        <v>485</v>
      </c>
      <c r="C42" s="30" t="s">
        <v>200</v>
      </c>
      <c r="D42" s="185">
        <f>#REF!</f>
        <v>10.05673</v>
      </c>
      <c r="E42" s="185">
        <f t="shared" si="4"/>
        <v>0</v>
      </c>
      <c r="F42" s="185">
        <f t="shared" si="21"/>
        <v>0</v>
      </c>
      <c r="G42" s="185">
        <f t="shared" si="8"/>
        <v>0</v>
      </c>
      <c r="H42" s="185">
        <f t="shared" si="12"/>
        <v>0</v>
      </c>
      <c r="I42" s="185"/>
      <c r="J42" s="185"/>
      <c r="K42" s="185"/>
      <c r="L42" s="185"/>
      <c r="M42" s="185"/>
      <c r="N42" s="185"/>
      <c r="O42" s="185"/>
      <c r="P42" s="185"/>
      <c r="Q42" s="185"/>
      <c r="R42" s="185"/>
      <c r="S42" s="185"/>
      <c r="T42" s="185"/>
      <c r="U42" s="185"/>
      <c r="V42" s="570">
        <f t="shared" si="13"/>
        <v>10.05673</v>
      </c>
      <c r="W42" s="185"/>
      <c r="X42" s="185"/>
      <c r="Y42" s="185"/>
      <c r="Z42" s="185"/>
      <c r="AA42" s="185"/>
      <c r="AB42" s="185"/>
      <c r="AC42" s="185"/>
      <c r="AD42" s="185"/>
      <c r="AE42" s="185">
        <f t="shared" si="27"/>
        <v>10.05673</v>
      </c>
      <c r="AF42" s="185"/>
      <c r="AG42" s="185"/>
      <c r="AH42" s="185"/>
      <c r="AI42" s="185"/>
      <c r="AJ42" s="185"/>
      <c r="AK42" s="185"/>
      <c r="AL42" s="185"/>
      <c r="AM42" s="185">
        <f>D42-BL42</f>
        <v>10.05673</v>
      </c>
      <c r="AN42" s="185"/>
      <c r="AO42" s="185"/>
      <c r="AP42" s="185"/>
      <c r="AQ42" s="185"/>
      <c r="AR42" s="185"/>
      <c r="AS42" s="185"/>
      <c r="AT42" s="185"/>
      <c r="AU42" s="185"/>
      <c r="AV42" s="185"/>
      <c r="AW42" s="185"/>
      <c r="AX42" s="185"/>
      <c r="AY42" s="185"/>
      <c r="AZ42" s="185"/>
      <c r="BA42" s="185"/>
      <c r="BB42" s="185"/>
      <c r="BC42" s="185"/>
      <c r="BD42" s="185"/>
      <c r="BE42" s="185"/>
      <c r="BF42" s="185"/>
      <c r="BG42" s="185"/>
      <c r="BH42" s="185">
        <f t="shared" si="22"/>
        <v>0</v>
      </c>
      <c r="BI42" s="185"/>
      <c r="BJ42" s="185"/>
      <c r="BK42" s="185"/>
      <c r="BL42" s="185">
        <f>E42+W42+X42+Y42+Z42+AA42+AB42+AC42+AD42+AF42+AG42+AH42+AI42+AJ42+AK42+AL42+AN42+AO42+AP42+AQ42+AR42+AS42+AT42+AU42+AV42+AW42+AX42+AY42+AZ42+BA42+BB42+BC42+BD42+BE42+BF42+BG42+BH42</f>
        <v>0</v>
      </c>
      <c r="BM42" s="185">
        <f>AM67-BL42</f>
        <v>0.15000000000000002</v>
      </c>
      <c r="BN42" s="185">
        <f t="shared" si="28"/>
        <v>10.20673</v>
      </c>
      <c r="BO42" s="479"/>
      <c r="BP42" s="53"/>
    </row>
    <row r="43" spans="1:68" ht="20.100000000000001" customHeight="1">
      <c r="A43" s="14" t="s">
        <v>232</v>
      </c>
      <c r="B43" s="14" t="s">
        <v>486</v>
      </c>
      <c r="C43" s="30" t="s">
        <v>223</v>
      </c>
      <c r="D43" s="185">
        <f>#REF!</f>
        <v>0.01</v>
      </c>
      <c r="E43" s="185">
        <f t="shared" si="4"/>
        <v>0</v>
      </c>
      <c r="F43" s="185">
        <f t="shared" si="21"/>
        <v>0</v>
      </c>
      <c r="G43" s="185">
        <f t="shared" si="8"/>
        <v>0</v>
      </c>
      <c r="H43" s="185">
        <f t="shared" si="12"/>
        <v>0</v>
      </c>
      <c r="I43" s="185"/>
      <c r="J43" s="185"/>
      <c r="K43" s="185"/>
      <c r="L43" s="185"/>
      <c r="M43" s="185"/>
      <c r="N43" s="185"/>
      <c r="O43" s="185"/>
      <c r="P43" s="185"/>
      <c r="Q43" s="185"/>
      <c r="R43" s="185"/>
      <c r="S43" s="185"/>
      <c r="T43" s="185"/>
      <c r="U43" s="185"/>
      <c r="V43" s="570">
        <f t="shared" si="13"/>
        <v>0.01</v>
      </c>
      <c r="W43" s="185"/>
      <c r="X43" s="185"/>
      <c r="Y43" s="185"/>
      <c r="Z43" s="185"/>
      <c r="AA43" s="185"/>
      <c r="AB43" s="185"/>
      <c r="AC43" s="185"/>
      <c r="AD43" s="185"/>
      <c r="AE43" s="185">
        <f t="shared" si="27"/>
        <v>0.01</v>
      </c>
      <c r="AF43" s="185"/>
      <c r="AG43" s="185"/>
      <c r="AH43" s="185"/>
      <c r="AI43" s="185"/>
      <c r="AJ43" s="185"/>
      <c r="AK43" s="185"/>
      <c r="AL43" s="185"/>
      <c r="AM43" s="185"/>
      <c r="AN43" s="185">
        <f>D43-BL43</f>
        <v>0.01</v>
      </c>
      <c r="AO43" s="185"/>
      <c r="AP43" s="185"/>
      <c r="AQ43" s="185"/>
      <c r="AR43" s="185"/>
      <c r="AS43" s="185"/>
      <c r="AT43" s="185"/>
      <c r="AU43" s="185"/>
      <c r="AV43" s="185"/>
      <c r="AW43" s="185"/>
      <c r="AX43" s="185"/>
      <c r="AY43" s="185"/>
      <c r="AZ43" s="185"/>
      <c r="BA43" s="185"/>
      <c r="BB43" s="185"/>
      <c r="BC43" s="185"/>
      <c r="BD43" s="185"/>
      <c r="BE43" s="185"/>
      <c r="BF43" s="185"/>
      <c r="BG43" s="185"/>
      <c r="BH43" s="185">
        <f t="shared" si="22"/>
        <v>0</v>
      </c>
      <c r="BI43" s="185"/>
      <c r="BJ43" s="185"/>
      <c r="BK43" s="185"/>
      <c r="BL43" s="185">
        <f>E43+W43+X43+Y43+Z43+AA43+AB43+AC43+AD43+AF43+AG43+AH43+AI43+AJ43+AK43+AL43+AM43+AO43+AP43+AQ43+AR43+AS43+AT43+AU43+AV43+AW43+AX43+AY43+AZ43+BA43+BB43+BC43+BD43+BE43+BF43+BG43+BH43</f>
        <v>0</v>
      </c>
      <c r="BM43" s="185">
        <f>AN67-BL43</f>
        <v>0</v>
      </c>
      <c r="BN43" s="185">
        <f t="shared" si="28"/>
        <v>0.01</v>
      </c>
      <c r="BO43" s="479"/>
      <c r="BP43" s="53"/>
    </row>
    <row r="44" spans="1:68" ht="20.100000000000001" customHeight="1">
      <c r="A44" s="14" t="s">
        <v>233</v>
      </c>
      <c r="B44" s="14" t="s">
        <v>487</v>
      </c>
      <c r="C44" s="30" t="s">
        <v>201</v>
      </c>
      <c r="D44" s="185">
        <f>#REF!</f>
        <v>1.255E-2</v>
      </c>
      <c r="E44" s="185">
        <f t="shared" si="4"/>
        <v>0</v>
      </c>
      <c r="F44" s="185">
        <f t="shared" si="21"/>
        <v>0</v>
      </c>
      <c r="G44" s="185">
        <f t="shared" si="8"/>
        <v>0</v>
      </c>
      <c r="H44" s="185">
        <f t="shared" si="12"/>
        <v>0</v>
      </c>
      <c r="I44" s="185"/>
      <c r="J44" s="185"/>
      <c r="K44" s="185"/>
      <c r="L44" s="185"/>
      <c r="M44" s="185"/>
      <c r="N44" s="185"/>
      <c r="O44" s="185"/>
      <c r="P44" s="185"/>
      <c r="Q44" s="185"/>
      <c r="R44" s="185"/>
      <c r="S44" s="185"/>
      <c r="T44" s="185"/>
      <c r="U44" s="185"/>
      <c r="V44" s="570">
        <f t="shared" si="13"/>
        <v>1.255E-2</v>
      </c>
      <c r="W44" s="185"/>
      <c r="X44" s="185"/>
      <c r="Y44" s="185"/>
      <c r="Z44" s="185"/>
      <c r="AA44" s="185"/>
      <c r="AB44" s="185"/>
      <c r="AC44" s="185"/>
      <c r="AD44" s="185"/>
      <c r="AE44" s="185">
        <f t="shared" si="27"/>
        <v>1.255E-2</v>
      </c>
      <c r="AF44" s="185"/>
      <c r="AG44" s="185"/>
      <c r="AH44" s="185"/>
      <c r="AI44" s="185"/>
      <c r="AJ44" s="185"/>
      <c r="AK44" s="185"/>
      <c r="AL44" s="185"/>
      <c r="AM44" s="185"/>
      <c r="AN44" s="185"/>
      <c r="AO44" s="185">
        <f>D44-BL44</f>
        <v>1.255E-2</v>
      </c>
      <c r="AP44" s="185"/>
      <c r="AQ44" s="185"/>
      <c r="AR44" s="185"/>
      <c r="AS44" s="185"/>
      <c r="AT44" s="185"/>
      <c r="AU44" s="185"/>
      <c r="AV44" s="185"/>
      <c r="AW44" s="185"/>
      <c r="AX44" s="185"/>
      <c r="AY44" s="185"/>
      <c r="AZ44" s="185"/>
      <c r="BA44" s="185"/>
      <c r="BB44" s="185"/>
      <c r="BC44" s="185"/>
      <c r="BD44" s="185"/>
      <c r="BE44" s="185"/>
      <c r="BF44" s="185"/>
      <c r="BG44" s="185"/>
      <c r="BH44" s="185">
        <f t="shared" si="22"/>
        <v>0</v>
      </c>
      <c r="BI44" s="185"/>
      <c r="BJ44" s="185"/>
      <c r="BK44" s="185"/>
      <c r="BL44" s="185">
        <f>E44+W44+X44+Y44+Z44+AA44+AB44+AC44+AD44+AF44+AG44+AH44+AI44+AJ44+AK44+AL44+AM44+AN44+AP44+AQ44+AR44+AS44+AT44+AU44+AV44+AW44+AX44+AY44+AZ44+BA44+BB44+BC44+BD44+BE44+BF44+BG44+BH44</f>
        <v>0</v>
      </c>
      <c r="BM44" s="185">
        <f>AO67-BL44</f>
        <v>0</v>
      </c>
      <c r="BN44" s="185">
        <f t="shared" si="28"/>
        <v>1.255E-2</v>
      </c>
      <c r="BO44" s="479"/>
      <c r="BP44" s="53"/>
    </row>
    <row r="45" spans="1:68" ht="20.100000000000001" customHeight="1">
      <c r="A45" s="14" t="s">
        <v>234</v>
      </c>
      <c r="B45" s="14" t="s">
        <v>488</v>
      </c>
      <c r="C45" s="30" t="s">
        <v>208</v>
      </c>
      <c r="D45" s="185">
        <f>#REF!</f>
        <v>0.22162000000000001</v>
      </c>
      <c r="E45" s="185">
        <f t="shared" si="4"/>
        <v>0</v>
      </c>
      <c r="F45" s="185">
        <f t="shared" si="21"/>
        <v>0</v>
      </c>
      <c r="G45" s="185">
        <f t="shared" si="8"/>
        <v>0</v>
      </c>
      <c r="H45" s="185">
        <f t="shared" si="12"/>
        <v>0</v>
      </c>
      <c r="I45" s="185"/>
      <c r="J45" s="185"/>
      <c r="K45" s="185"/>
      <c r="L45" s="185"/>
      <c r="M45" s="185"/>
      <c r="N45" s="185"/>
      <c r="O45" s="185"/>
      <c r="P45" s="185"/>
      <c r="Q45" s="185"/>
      <c r="R45" s="185"/>
      <c r="S45" s="185"/>
      <c r="T45" s="185"/>
      <c r="U45" s="185"/>
      <c r="V45" s="570">
        <f t="shared" si="13"/>
        <v>0.22162000000000001</v>
      </c>
      <c r="W45" s="185"/>
      <c r="X45" s="185"/>
      <c r="Y45" s="185"/>
      <c r="Z45" s="185"/>
      <c r="AA45" s="185"/>
      <c r="AB45" s="185"/>
      <c r="AC45" s="185"/>
      <c r="AD45" s="185"/>
      <c r="AE45" s="185">
        <f t="shared" si="27"/>
        <v>0.22162000000000001</v>
      </c>
      <c r="AF45" s="185"/>
      <c r="AG45" s="185"/>
      <c r="AH45" s="185"/>
      <c r="AI45" s="185"/>
      <c r="AJ45" s="185"/>
      <c r="AK45" s="185"/>
      <c r="AL45" s="185"/>
      <c r="AM45" s="185"/>
      <c r="AN45" s="185"/>
      <c r="AO45" s="185"/>
      <c r="AP45" s="185">
        <f>D45-BL45</f>
        <v>0.22162000000000001</v>
      </c>
      <c r="AQ45" s="185"/>
      <c r="AR45" s="185"/>
      <c r="AS45" s="185"/>
      <c r="AT45" s="185"/>
      <c r="AU45" s="185"/>
      <c r="AV45" s="185"/>
      <c r="AW45" s="185"/>
      <c r="AX45" s="185"/>
      <c r="AY45" s="185"/>
      <c r="AZ45" s="185"/>
      <c r="BA45" s="185"/>
      <c r="BB45" s="185"/>
      <c r="BC45" s="185"/>
      <c r="BD45" s="185"/>
      <c r="BE45" s="185"/>
      <c r="BF45" s="185"/>
      <c r="BG45" s="185"/>
      <c r="BH45" s="185">
        <f t="shared" si="22"/>
        <v>0</v>
      </c>
      <c r="BI45" s="185"/>
      <c r="BJ45" s="185"/>
      <c r="BK45" s="185"/>
      <c r="BL45" s="185">
        <f>E45+W45+X45+Y45+Z45+AA45+AB45+AC45+AD45+AF45+AG45+AH45+AI45+AJ45+AK45+AL45+AM45+AN45+AO45+AQ45+AR45+AS45+AT45+AU45+AV45+AW45+AX45+AY45+AZ45+BA45+BB45+BC45+BD45+BE45+BF45+BG45+BH45</f>
        <v>0</v>
      </c>
      <c r="BM45" s="185">
        <f>AP67-BL45</f>
        <v>0</v>
      </c>
      <c r="BN45" s="185">
        <f t="shared" si="28"/>
        <v>0.22162000000000001</v>
      </c>
      <c r="BO45" s="479"/>
      <c r="BP45" s="53"/>
    </row>
    <row r="46" spans="1:68" ht="20.100000000000001" customHeight="1">
      <c r="A46" s="19" t="s">
        <v>73</v>
      </c>
      <c r="B46" s="19" t="s">
        <v>74</v>
      </c>
      <c r="C46" s="30" t="s">
        <v>75</v>
      </c>
      <c r="D46" s="185"/>
      <c r="E46" s="185">
        <f t="shared" si="4"/>
        <v>0</v>
      </c>
      <c r="F46" s="185">
        <f t="shared" si="21"/>
        <v>0</v>
      </c>
      <c r="G46" s="185">
        <f t="shared" si="8"/>
        <v>0</v>
      </c>
      <c r="H46" s="185">
        <f t="shared" si="12"/>
        <v>0</v>
      </c>
      <c r="I46" s="185"/>
      <c r="J46" s="185"/>
      <c r="K46" s="185"/>
      <c r="L46" s="185"/>
      <c r="M46" s="185"/>
      <c r="N46" s="185"/>
      <c r="O46" s="185"/>
      <c r="P46" s="185"/>
      <c r="Q46" s="185"/>
      <c r="R46" s="185"/>
      <c r="S46" s="185"/>
      <c r="T46" s="185"/>
      <c r="U46" s="185"/>
      <c r="V46" s="570">
        <f t="shared" si="13"/>
        <v>0</v>
      </c>
      <c r="W46" s="185"/>
      <c r="X46" s="185"/>
      <c r="Y46" s="185"/>
      <c r="Z46" s="185"/>
      <c r="AA46" s="185"/>
      <c r="AB46" s="185"/>
      <c r="AC46" s="185"/>
      <c r="AD46" s="185"/>
      <c r="AE46" s="185">
        <f t="shared" si="27"/>
        <v>0</v>
      </c>
      <c r="AF46" s="185"/>
      <c r="AG46" s="185"/>
      <c r="AH46" s="185"/>
      <c r="AI46" s="185"/>
      <c r="AJ46" s="185"/>
      <c r="AK46" s="185"/>
      <c r="AL46" s="185"/>
      <c r="AM46" s="185"/>
      <c r="AN46" s="185"/>
      <c r="AO46" s="185"/>
      <c r="AP46" s="185"/>
      <c r="AQ46" s="185">
        <f>D46-BL46</f>
        <v>0</v>
      </c>
      <c r="AR46" s="185"/>
      <c r="AS46" s="185"/>
      <c r="AT46" s="185"/>
      <c r="AU46" s="185"/>
      <c r="AV46" s="185"/>
      <c r="AW46" s="185"/>
      <c r="AX46" s="185"/>
      <c r="AY46" s="185"/>
      <c r="AZ46" s="185"/>
      <c r="BA46" s="185"/>
      <c r="BB46" s="185"/>
      <c r="BC46" s="185"/>
      <c r="BD46" s="185"/>
      <c r="BE46" s="185"/>
      <c r="BF46" s="185"/>
      <c r="BG46" s="185"/>
      <c r="BH46" s="185">
        <f t="shared" si="22"/>
        <v>0</v>
      </c>
      <c r="BI46" s="185"/>
      <c r="BJ46" s="185"/>
      <c r="BK46" s="185"/>
      <c r="BL46" s="185">
        <f>E46+W46+X46+Y46+Z46+AA46+AB46+AC46+AD46+AE46+AR46+AS46+AT46+AU46+AV46+AW46+AX46+AY46+AZ46+BA46+BB46+BC46+BD46+BE46+BF46+BG46+BH46</f>
        <v>0</v>
      </c>
      <c r="BM46" s="185">
        <f>AQ67-BL46</f>
        <v>0</v>
      </c>
      <c r="BN46" s="185">
        <f>D46+BM46</f>
        <v>0</v>
      </c>
      <c r="BO46" s="479"/>
      <c r="BP46" s="53"/>
    </row>
    <row r="47" spans="1:68" ht="20.100000000000001" customHeight="1">
      <c r="A47" s="19" t="s">
        <v>76</v>
      </c>
      <c r="B47" s="19" t="s">
        <v>77</v>
      </c>
      <c r="C47" s="30" t="s">
        <v>78</v>
      </c>
      <c r="D47" s="185"/>
      <c r="E47" s="185">
        <f t="shared" si="4"/>
        <v>0</v>
      </c>
      <c r="F47" s="185">
        <f t="shared" si="21"/>
        <v>0</v>
      </c>
      <c r="G47" s="185">
        <f t="shared" si="8"/>
        <v>0</v>
      </c>
      <c r="H47" s="185">
        <f t="shared" si="12"/>
        <v>0</v>
      </c>
      <c r="I47" s="185"/>
      <c r="J47" s="185"/>
      <c r="K47" s="185"/>
      <c r="L47" s="185"/>
      <c r="M47" s="185"/>
      <c r="N47" s="185"/>
      <c r="O47" s="185"/>
      <c r="P47" s="185"/>
      <c r="Q47" s="185"/>
      <c r="R47" s="185"/>
      <c r="S47" s="185"/>
      <c r="T47" s="185"/>
      <c r="U47" s="185"/>
      <c r="V47" s="570">
        <f t="shared" si="13"/>
        <v>0</v>
      </c>
      <c r="W47" s="185"/>
      <c r="X47" s="185"/>
      <c r="Y47" s="185"/>
      <c r="Z47" s="185"/>
      <c r="AA47" s="185"/>
      <c r="AB47" s="185"/>
      <c r="AC47" s="185"/>
      <c r="AD47" s="185"/>
      <c r="AE47" s="185">
        <f t="shared" si="27"/>
        <v>0</v>
      </c>
      <c r="AF47" s="185"/>
      <c r="AG47" s="185"/>
      <c r="AH47" s="185"/>
      <c r="AI47" s="185"/>
      <c r="AJ47" s="185"/>
      <c r="AK47" s="185"/>
      <c r="AL47" s="185"/>
      <c r="AM47" s="185"/>
      <c r="AN47" s="185"/>
      <c r="AO47" s="185"/>
      <c r="AP47" s="185"/>
      <c r="AQ47" s="185"/>
      <c r="AR47" s="185">
        <f>D47-BL47</f>
        <v>0</v>
      </c>
      <c r="AS47" s="185"/>
      <c r="AT47" s="185"/>
      <c r="AU47" s="185"/>
      <c r="AV47" s="185"/>
      <c r="AW47" s="185"/>
      <c r="AX47" s="185"/>
      <c r="AY47" s="185"/>
      <c r="AZ47" s="185"/>
      <c r="BA47" s="185"/>
      <c r="BB47" s="185"/>
      <c r="BC47" s="185"/>
      <c r="BD47" s="185"/>
      <c r="BE47" s="185"/>
      <c r="BF47" s="185"/>
      <c r="BG47" s="185"/>
      <c r="BH47" s="185">
        <f t="shared" si="22"/>
        <v>0</v>
      </c>
      <c r="BI47" s="185"/>
      <c r="BJ47" s="185"/>
      <c r="BK47" s="185"/>
      <c r="BL47" s="185">
        <f>E47+W47+X47+Y47+Z47+AA47+AB47+AC47+AD47+AE47+AQ47+AS47+AT47+AU47+AV47+AW47+AX47+AY47+AZ47+BA47+BB47+BC47+BD47+BE47+BF47+BG47+BH47</f>
        <v>0</v>
      </c>
      <c r="BM47" s="185">
        <f>AR67-BL47</f>
        <v>0</v>
      </c>
      <c r="BN47" s="185">
        <f t="shared" ref="BN47:BN62" si="29">D47+BM47</f>
        <v>0</v>
      </c>
      <c r="BO47" s="479"/>
      <c r="BP47" s="53"/>
    </row>
    <row r="48" spans="1:68" ht="20.100000000000001" customHeight="1">
      <c r="A48" s="19" t="s">
        <v>79</v>
      </c>
      <c r="B48" s="19" t="s">
        <v>80</v>
      </c>
      <c r="C48" s="30" t="s">
        <v>81</v>
      </c>
      <c r="D48" s="185"/>
      <c r="E48" s="185">
        <f t="shared" si="4"/>
        <v>0</v>
      </c>
      <c r="F48" s="185">
        <f t="shared" si="21"/>
        <v>0</v>
      </c>
      <c r="G48" s="185">
        <f t="shared" si="8"/>
        <v>0</v>
      </c>
      <c r="H48" s="185">
        <f t="shared" si="12"/>
        <v>0</v>
      </c>
      <c r="I48" s="185"/>
      <c r="J48" s="185"/>
      <c r="K48" s="185"/>
      <c r="L48" s="185"/>
      <c r="M48" s="185"/>
      <c r="N48" s="185"/>
      <c r="O48" s="185"/>
      <c r="P48" s="185"/>
      <c r="Q48" s="185"/>
      <c r="R48" s="185"/>
      <c r="S48" s="185"/>
      <c r="T48" s="185"/>
      <c r="U48" s="185"/>
      <c r="V48" s="570">
        <f t="shared" si="13"/>
        <v>0</v>
      </c>
      <c r="W48" s="185"/>
      <c r="X48" s="185"/>
      <c r="Y48" s="185"/>
      <c r="Z48" s="185"/>
      <c r="AA48" s="185"/>
      <c r="AB48" s="185"/>
      <c r="AC48" s="185"/>
      <c r="AD48" s="185"/>
      <c r="AE48" s="185">
        <f t="shared" si="27"/>
        <v>0</v>
      </c>
      <c r="AF48" s="185"/>
      <c r="AG48" s="185"/>
      <c r="AH48" s="185"/>
      <c r="AI48" s="185"/>
      <c r="AJ48" s="185"/>
      <c r="AK48" s="185"/>
      <c r="AL48" s="185"/>
      <c r="AM48" s="185"/>
      <c r="AN48" s="185"/>
      <c r="AO48" s="185"/>
      <c r="AP48" s="185"/>
      <c r="AQ48" s="185"/>
      <c r="AR48" s="185"/>
      <c r="AS48" s="185">
        <f>D48-BL48</f>
        <v>0</v>
      </c>
      <c r="AT48" s="185"/>
      <c r="AU48" s="185"/>
      <c r="AV48" s="185"/>
      <c r="AW48" s="185"/>
      <c r="AX48" s="185"/>
      <c r="AY48" s="185"/>
      <c r="AZ48" s="185"/>
      <c r="BA48" s="185"/>
      <c r="BB48" s="185"/>
      <c r="BC48" s="185"/>
      <c r="BD48" s="185"/>
      <c r="BE48" s="185"/>
      <c r="BF48" s="185"/>
      <c r="BG48" s="185"/>
      <c r="BH48" s="185">
        <f t="shared" si="22"/>
        <v>0</v>
      </c>
      <c r="BI48" s="185"/>
      <c r="BJ48" s="185"/>
      <c r="BK48" s="185"/>
      <c r="BL48" s="185">
        <f>E48+W48+X48+Y48+Z48+AA48+AB48+AC48+AD48+AQ48+AR48+AT48+AU48+AV48+AW48+AX48+AY48+AZ48+BA48+BB48+BC48+BD48+BE48+BF48+BG48+BH48</f>
        <v>0</v>
      </c>
      <c r="BM48" s="185">
        <f>AS67-BL48</f>
        <v>0</v>
      </c>
      <c r="BN48" s="185">
        <f t="shared" si="29"/>
        <v>0</v>
      </c>
      <c r="BO48" s="479"/>
      <c r="BP48" s="53"/>
    </row>
    <row r="49" spans="1:68" ht="20.100000000000001" customHeight="1">
      <c r="A49" s="19" t="s">
        <v>82</v>
      </c>
      <c r="B49" s="19" t="s">
        <v>83</v>
      </c>
      <c r="C49" s="30" t="s">
        <v>84</v>
      </c>
      <c r="D49" s="185">
        <f>#REF!</f>
        <v>12.929549999999999</v>
      </c>
      <c r="E49" s="185">
        <f t="shared" si="4"/>
        <v>0</v>
      </c>
      <c r="F49" s="185">
        <f t="shared" si="21"/>
        <v>0</v>
      </c>
      <c r="G49" s="185">
        <f t="shared" si="8"/>
        <v>0</v>
      </c>
      <c r="H49" s="185">
        <f t="shared" si="12"/>
        <v>0</v>
      </c>
      <c r="I49" s="185"/>
      <c r="J49" s="185"/>
      <c r="K49" s="185"/>
      <c r="L49" s="185"/>
      <c r="M49" s="185"/>
      <c r="N49" s="185"/>
      <c r="O49" s="185"/>
      <c r="P49" s="185"/>
      <c r="Q49" s="185"/>
      <c r="R49" s="185"/>
      <c r="S49" s="185"/>
      <c r="T49" s="185"/>
      <c r="U49" s="185"/>
      <c r="V49" s="570">
        <f t="shared" si="13"/>
        <v>12.929549999999999</v>
      </c>
      <c r="W49" s="185"/>
      <c r="X49" s="185"/>
      <c r="Y49" s="185"/>
      <c r="Z49" s="185"/>
      <c r="AA49" s="185"/>
      <c r="AB49" s="185"/>
      <c r="AC49" s="185"/>
      <c r="AD49" s="185"/>
      <c r="AE49" s="185">
        <f t="shared" si="27"/>
        <v>0</v>
      </c>
      <c r="AF49" s="185"/>
      <c r="AG49" s="185"/>
      <c r="AH49" s="185"/>
      <c r="AI49" s="185"/>
      <c r="AJ49" s="185"/>
      <c r="AK49" s="185"/>
      <c r="AL49" s="185"/>
      <c r="AM49" s="185"/>
      <c r="AN49" s="185"/>
      <c r="AO49" s="185"/>
      <c r="AP49" s="185"/>
      <c r="AQ49" s="185"/>
      <c r="AR49" s="185"/>
      <c r="AS49" s="185"/>
      <c r="AT49" s="185">
        <f>D49-BL49</f>
        <v>12.929549999999999</v>
      </c>
      <c r="AU49" s="185"/>
      <c r="AV49" s="185"/>
      <c r="AW49" s="185"/>
      <c r="AX49" s="185"/>
      <c r="AY49" s="185"/>
      <c r="AZ49" s="185"/>
      <c r="BA49" s="185"/>
      <c r="BB49" s="185"/>
      <c r="BC49" s="185"/>
      <c r="BD49" s="185"/>
      <c r="BE49" s="185"/>
      <c r="BF49" s="185"/>
      <c r="BG49" s="185"/>
      <c r="BH49" s="185">
        <f t="shared" si="22"/>
        <v>0</v>
      </c>
      <c r="BI49" s="185"/>
      <c r="BJ49" s="185"/>
      <c r="BK49" s="185"/>
      <c r="BL49" s="185">
        <f>E49+W49+X49+Y49+Z49+AA49+AB49+AC49+AD49+AE49+AQ49+AR49+AS49+AU49+AV49+AW49+AX49+AY49+AZ49+BA49+BB49+BC49+BD49+BE49+BF49+BG49+BH49</f>
        <v>0</v>
      </c>
      <c r="BM49" s="185">
        <f>AT67-BL49</f>
        <v>0.44999999999999996</v>
      </c>
      <c r="BN49" s="185">
        <f t="shared" si="29"/>
        <v>13.379549999999998</v>
      </c>
      <c r="BO49" s="479"/>
      <c r="BP49" s="53"/>
    </row>
    <row r="50" spans="1:68" ht="20.100000000000001" customHeight="1">
      <c r="A50" s="19" t="s">
        <v>85</v>
      </c>
      <c r="B50" s="19" t="s">
        <v>86</v>
      </c>
      <c r="C50" s="30" t="s">
        <v>87</v>
      </c>
      <c r="D50" s="185"/>
      <c r="E50" s="185">
        <f t="shared" si="4"/>
        <v>0</v>
      </c>
      <c r="F50" s="185">
        <f t="shared" si="21"/>
        <v>0</v>
      </c>
      <c r="G50" s="185">
        <f t="shared" si="8"/>
        <v>0</v>
      </c>
      <c r="H50" s="185">
        <f t="shared" si="12"/>
        <v>0</v>
      </c>
      <c r="I50" s="185"/>
      <c r="J50" s="185"/>
      <c r="K50" s="185"/>
      <c r="L50" s="185"/>
      <c r="M50" s="185"/>
      <c r="N50" s="185"/>
      <c r="O50" s="185"/>
      <c r="P50" s="185"/>
      <c r="Q50" s="185"/>
      <c r="R50" s="185"/>
      <c r="S50" s="185"/>
      <c r="T50" s="185"/>
      <c r="U50" s="185"/>
      <c r="V50" s="570">
        <f t="shared" si="13"/>
        <v>0</v>
      </c>
      <c r="W50" s="185"/>
      <c r="X50" s="185"/>
      <c r="Y50" s="185"/>
      <c r="Z50" s="185"/>
      <c r="AA50" s="185"/>
      <c r="AB50" s="185"/>
      <c r="AC50" s="185"/>
      <c r="AD50" s="185"/>
      <c r="AE50" s="185">
        <f t="shared" si="27"/>
        <v>0</v>
      </c>
      <c r="AF50" s="185"/>
      <c r="AG50" s="185"/>
      <c r="AH50" s="185"/>
      <c r="AI50" s="185"/>
      <c r="AJ50" s="185"/>
      <c r="AK50" s="185"/>
      <c r="AL50" s="185"/>
      <c r="AM50" s="185"/>
      <c r="AN50" s="185"/>
      <c r="AO50" s="185"/>
      <c r="AP50" s="185"/>
      <c r="AQ50" s="185"/>
      <c r="AR50" s="185"/>
      <c r="AS50" s="185"/>
      <c r="AT50" s="185"/>
      <c r="AU50" s="185">
        <f>D50-BL50</f>
        <v>0</v>
      </c>
      <c r="AV50" s="185"/>
      <c r="AW50" s="185"/>
      <c r="AX50" s="185"/>
      <c r="AY50" s="185"/>
      <c r="AZ50" s="185"/>
      <c r="BA50" s="185"/>
      <c r="BB50" s="185"/>
      <c r="BC50" s="185"/>
      <c r="BD50" s="185"/>
      <c r="BE50" s="185"/>
      <c r="BF50" s="185"/>
      <c r="BG50" s="185"/>
      <c r="BH50" s="185">
        <f t="shared" si="22"/>
        <v>0</v>
      </c>
      <c r="BI50" s="185"/>
      <c r="BJ50" s="185"/>
      <c r="BK50" s="185"/>
      <c r="BL50" s="185">
        <f>E50+W50+X50+Y50+Z50+AA50+AB50+AC50+AD50+AE50+AQ50+AR50+AS50+AT50+AV50+AW50+AX50+AY50+AZ50+BA50+BB50+BC50+BD50+BE50+BF50+BG50+BH50</f>
        <v>0</v>
      </c>
      <c r="BM50" s="185">
        <f>AU67-BL50</f>
        <v>0</v>
      </c>
      <c r="BN50" s="185">
        <f t="shared" si="29"/>
        <v>0</v>
      </c>
      <c r="BO50" s="479"/>
      <c r="BP50" s="53"/>
    </row>
    <row r="51" spans="1:68" ht="20.100000000000001" customHeight="1">
      <c r="A51" s="19" t="s">
        <v>88</v>
      </c>
      <c r="B51" s="19" t="s">
        <v>89</v>
      </c>
      <c r="C51" s="30" t="s">
        <v>90</v>
      </c>
      <c r="D51" s="185">
        <f>#REF!</f>
        <v>0.45577999999999996</v>
      </c>
      <c r="E51" s="185">
        <f t="shared" si="4"/>
        <v>0</v>
      </c>
      <c r="F51" s="185">
        <f t="shared" si="21"/>
        <v>0</v>
      </c>
      <c r="G51" s="185">
        <f t="shared" si="8"/>
        <v>0</v>
      </c>
      <c r="H51" s="185">
        <f t="shared" si="12"/>
        <v>0</v>
      </c>
      <c r="I51" s="185"/>
      <c r="J51" s="185"/>
      <c r="K51" s="185"/>
      <c r="L51" s="185"/>
      <c r="M51" s="185"/>
      <c r="N51" s="185"/>
      <c r="O51" s="185"/>
      <c r="P51" s="185"/>
      <c r="Q51" s="185"/>
      <c r="R51" s="185"/>
      <c r="S51" s="185"/>
      <c r="T51" s="185"/>
      <c r="U51" s="185"/>
      <c r="V51" s="570">
        <f t="shared" si="13"/>
        <v>0.45577999999999996</v>
      </c>
      <c r="W51" s="185"/>
      <c r="X51" s="185"/>
      <c r="Y51" s="185"/>
      <c r="Z51" s="185"/>
      <c r="AA51" s="185"/>
      <c r="AB51" s="185"/>
      <c r="AC51" s="185"/>
      <c r="AD51" s="185"/>
      <c r="AE51" s="185">
        <f t="shared" si="27"/>
        <v>0</v>
      </c>
      <c r="AF51" s="185"/>
      <c r="AG51" s="185"/>
      <c r="AH51" s="185"/>
      <c r="AI51" s="185"/>
      <c r="AJ51" s="185"/>
      <c r="AK51" s="185"/>
      <c r="AL51" s="185"/>
      <c r="AM51" s="185"/>
      <c r="AN51" s="185"/>
      <c r="AO51" s="185"/>
      <c r="AP51" s="185"/>
      <c r="AQ51" s="185"/>
      <c r="AR51" s="185"/>
      <c r="AS51" s="185"/>
      <c r="AT51" s="185"/>
      <c r="AU51" s="185"/>
      <c r="AV51" s="185">
        <f>D51-BL51</f>
        <v>0.45577999999999996</v>
      </c>
      <c r="AW51" s="185"/>
      <c r="AX51" s="185"/>
      <c r="AY51" s="185"/>
      <c r="AZ51" s="185"/>
      <c r="BA51" s="185"/>
      <c r="BB51" s="185"/>
      <c r="BC51" s="185"/>
      <c r="BD51" s="185"/>
      <c r="BE51" s="185"/>
      <c r="BF51" s="185"/>
      <c r="BG51" s="185"/>
      <c r="BH51" s="185">
        <f t="shared" si="22"/>
        <v>0</v>
      </c>
      <c r="BI51" s="185"/>
      <c r="BJ51" s="185"/>
      <c r="BK51" s="185"/>
      <c r="BL51" s="185">
        <f>E51+W51+X51+Y51+Z51+AA51+AB51+AC51+AD51+AE51+AQ51+AR51+AS51+AT51+AU51+AW51+AX51+AY51+AZ51+BA51+BB51+BC51+BD51+BE51+BF51+BG51+BH51</f>
        <v>0</v>
      </c>
      <c r="BM51" s="185">
        <f>AV67-BL51</f>
        <v>0</v>
      </c>
      <c r="BN51" s="185">
        <f t="shared" si="29"/>
        <v>0.45577999999999996</v>
      </c>
      <c r="BO51" s="479"/>
      <c r="BP51" s="53"/>
    </row>
    <row r="52" spans="1:68" ht="20.100000000000001" customHeight="1">
      <c r="A52" s="19" t="s">
        <v>91</v>
      </c>
      <c r="B52" s="19" t="s">
        <v>489</v>
      </c>
      <c r="C52" s="30" t="s">
        <v>93</v>
      </c>
      <c r="D52" s="185"/>
      <c r="E52" s="185">
        <f t="shared" si="4"/>
        <v>0</v>
      </c>
      <c r="F52" s="185">
        <f t="shared" si="21"/>
        <v>0</v>
      </c>
      <c r="G52" s="185">
        <f t="shared" si="8"/>
        <v>0</v>
      </c>
      <c r="H52" s="185">
        <f t="shared" si="12"/>
        <v>0</v>
      </c>
      <c r="I52" s="185"/>
      <c r="J52" s="185"/>
      <c r="K52" s="185"/>
      <c r="L52" s="185"/>
      <c r="M52" s="185"/>
      <c r="N52" s="185"/>
      <c r="O52" s="185"/>
      <c r="P52" s="185"/>
      <c r="Q52" s="185"/>
      <c r="R52" s="185"/>
      <c r="S52" s="185"/>
      <c r="T52" s="185"/>
      <c r="U52" s="185"/>
      <c r="V52" s="570">
        <f t="shared" si="13"/>
        <v>0</v>
      </c>
      <c r="W52" s="185"/>
      <c r="X52" s="185"/>
      <c r="Y52" s="185"/>
      <c r="Z52" s="185"/>
      <c r="AA52" s="185"/>
      <c r="AB52" s="185"/>
      <c r="AC52" s="185"/>
      <c r="AD52" s="185"/>
      <c r="AE52" s="185">
        <f t="shared" si="27"/>
        <v>0</v>
      </c>
      <c r="AF52" s="185"/>
      <c r="AG52" s="185"/>
      <c r="AH52" s="185"/>
      <c r="AI52" s="185"/>
      <c r="AJ52" s="185"/>
      <c r="AK52" s="185"/>
      <c r="AL52" s="185"/>
      <c r="AM52" s="185"/>
      <c r="AN52" s="185"/>
      <c r="AO52" s="185"/>
      <c r="AP52" s="185"/>
      <c r="AQ52" s="185"/>
      <c r="AR52" s="185"/>
      <c r="AS52" s="185"/>
      <c r="AT52" s="185"/>
      <c r="AU52" s="185"/>
      <c r="AV52" s="185"/>
      <c r="AW52" s="185">
        <f>D52-BL52</f>
        <v>0</v>
      </c>
      <c r="AX52" s="185"/>
      <c r="AY52" s="185"/>
      <c r="AZ52" s="185"/>
      <c r="BA52" s="185"/>
      <c r="BB52" s="185"/>
      <c r="BC52" s="185"/>
      <c r="BD52" s="185"/>
      <c r="BE52" s="185"/>
      <c r="BF52" s="185"/>
      <c r="BG52" s="185"/>
      <c r="BH52" s="185">
        <f t="shared" si="22"/>
        <v>0</v>
      </c>
      <c r="BI52" s="185"/>
      <c r="BJ52" s="185"/>
      <c r="BK52" s="185"/>
      <c r="BL52" s="185">
        <f>E52+W52+X52+Y52+Z52+AA52+AB52+AC52+AD52+AE52+AQ52+AR52+AS52+AT52+AU52+AV52+AX52+AY52+AZ52+BA52+BB52+BC52+BD52+BE52+BF52+BG52+BH52</f>
        <v>0</v>
      </c>
      <c r="BM52" s="185">
        <f>AW67-BL52</f>
        <v>0</v>
      </c>
      <c r="BN52" s="185">
        <f t="shared" si="29"/>
        <v>0</v>
      </c>
      <c r="BO52" s="479"/>
      <c r="BP52" s="53"/>
    </row>
    <row r="53" spans="1:68" ht="20.100000000000001" customHeight="1">
      <c r="A53" s="19" t="s">
        <v>94</v>
      </c>
      <c r="B53" s="19" t="s">
        <v>95</v>
      </c>
      <c r="C53" s="30" t="s">
        <v>96</v>
      </c>
      <c r="D53" s="185"/>
      <c r="E53" s="185">
        <f t="shared" si="4"/>
        <v>0</v>
      </c>
      <c r="F53" s="185">
        <f t="shared" si="21"/>
        <v>0</v>
      </c>
      <c r="G53" s="185">
        <f t="shared" si="8"/>
        <v>0</v>
      </c>
      <c r="H53" s="185">
        <f t="shared" si="12"/>
        <v>0</v>
      </c>
      <c r="I53" s="185"/>
      <c r="J53" s="185"/>
      <c r="K53" s="185"/>
      <c r="L53" s="185"/>
      <c r="M53" s="185"/>
      <c r="N53" s="185"/>
      <c r="O53" s="185"/>
      <c r="P53" s="185"/>
      <c r="Q53" s="185"/>
      <c r="R53" s="185"/>
      <c r="S53" s="185"/>
      <c r="T53" s="185"/>
      <c r="U53" s="185"/>
      <c r="V53" s="570">
        <f t="shared" si="13"/>
        <v>0</v>
      </c>
      <c r="W53" s="185"/>
      <c r="X53" s="185"/>
      <c r="Y53" s="185"/>
      <c r="Z53" s="185"/>
      <c r="AA53" s="185"/>
      <c r="AB53" s="185"/>
      <c r="AC53" s="185"/>
      <c r="AD53" s="185"/>
      <c r="AE53" s="185">
        <f t="shared" si="27"/>
        <v>0</v>
      </c>
      <c r="AF53" s="185"/>
      <c r="AG53" s="185"/>
      <c r="AH53" s="185"/>
      <c r="AI53" s="185"/>
      <c r="AJ53" s="185"/>
      <c r="AK53" s="185"/>
      <c r="AL53" s="185"/>
      <c r="AM53" s="185"/>
      <c r="AN53" s="185"/>
      <c r="AO53" s="185"/>
      <c r="AP53" s="185"/>
      <c r="AQ53" s="185"/>
      <c r="AR53" s="185"/>
      <c r="AS53" s="185"/>
      <c r="AT53" s="185"/>
      <c r="AU53" s="185"/>
      <c r="AV53" s="185"/>
      <c r="AW53" s="185"/>
      <c r="AX53" s="185">
        <f>D53-BL53</f>
        <v>0</v>
      </c>
      <c r="AY53" s="185"/>
      <c r="AZ53" s="185"/>
      <c r="BA53" s="185"/>
      <c r="BB53" s="185"/>
      <c r="BC53" s="185"/>
      <c r="BD53" s="185"/>
      <c r="BE53" s="185"/>
      <c r="BF53" s="185"/>
      <c r="BG53" s="185"/>
      <c r="BH53" s="185">
        <f t="shared" si="22"/>
        <v>0</v>
      </c>
      <c r="BI53" s="185"/>
      <c r="BJ53" s="185"/>
      <c r="BK53" s="185"/>
      <c r="BL53" s="185">
        <f>E53+W53+X53+Y53+Z53+AA53+AB53+AC53+AD53+AE53+AQ53+AR53+AS53+AT53+AU53+AV53+AW53+AY53+AZ53+BA53+BB53+BC53+BD53+BE53+BF53+BG53+BH53</f>
        <v>0</v>
      </c>
      <c r="BM53" s="185">
        <f>AX67-BL53</f>
        <v>0</v>
      </c>
      <c r="BN53" s="185">
        <f t="shared" si="29"/>
        <v>0</v>
      </c>
      <c r="BO53" s="479"/>
      <c r="BP53" s="53"/>
    </row>
    <row r="54" spans="1:68" ht="20.100000000000001" customHeight="1">
      <c r="A54" s="19" t="s">
        <v>97</v>
      </c>
      <c r="B54" s="19" t="s">
        <v>98</v>
      </c>
      <c r="C54" s="30" t="s">
        <v>99</v>
      </c>
      <c r="D54" s="185"/>
      <c r="E54" s="185">
        <f t="shared" si="4"/>
        <v>0</v>
      </c>
      <c r="F54" s="185">
        <f t="shared" si="21"/>
        <v>0</v>
      </c>
      <c r="G54" s="185">
        <f t="shared" si="8"/>
        <v>0</v>
      </c>
      <c r="H54" s="185">
        <f t="shared" si="12"/>
        <v>0</v>
      </c>
      <c r="I54" s="185"/>
      <c r="J54" s="185"/>
      <c r="K54" s="185"/>
      <c r="L54" s="185"/>
      <c r="M54" s="185"/>
      <c r="N54" s="185"/>
      <c r="O54" s="185"/>
      <c r="P54" s="185"/>
      <c r="Q54" s="185"/>
      <c r="R54" s="185"/>
      <c r="S54" s="185"/>
      <c r="T54" s="185"/>
      <c r="U54" s="185"/>
      <c r="V54" s="570">
        <f t="shared" si="13"/>
        <v>0</v>
      </c>
      <c r="W54" s="185"/>
      <c r="X54" s="185"/>
      <c r="Y54" s="185"/>
      <c r="Z54" s="185"/>
      <c r="AA54" s="185"/>
      <c r="AB54" s="185"/>
      <c r="AC54" s="185"/>
      <c r="AD54" s="185"/>
      <c r="AE54" s="185">
        <f t="shared" si="27"/>
        <v>0</v>
      </c>
      <c r="AF54" s="185"/>
      <c r="AG54" s="185"/>
      <c r="AH54" s="185"/>
      <c r="AI54" s="185"/>
      <c r="AJ54" s="185"/>
      <c r="AK54" s="185"/>
      <c r="AL54" s="185"/>
      <c r="AM54" s="185"/>
      <c r="AN54" s="185"/>
      <c r="AO54" s="185"/>
      <c r="AP54" s="185"/>
      <c r="AQ54" s="185"/>
      <c r="AR54" s="185"/>
      <c r="AS54" s="185"/>
      <c r="AT54" s="185"/>
      <c r="AU54" s="185"/>
      <c r="AV54" s="185"/>
      <c r="AW54" s="185"/>
      <c r="AX54" s="185"/>
      <c r="AY54" s="185">
        <f>D54-BL54</f>
        <v>0</v>
      </c>
      <c r="AZ54" s="185"/>
      <c r="BA54" s="185"/>
      <c r="BB54" s="185"/>
      <c r="BC54" s="185"/>
      <c r="BD54" s="185"/>
      <c r="BE54" s="185"/>
      <c r="BF54" s="185"/>
      <c r="BG54" s="185"/>
      <c r="BH54" s="185">
        <f t="shared" si="22"/>
        <v>0</v>
      </c>
      <c r="BI54" s="185"/>
      <c r="BJ54" s="185"/>
      <c r="BK54" s="185"/>
      <c r="BL54" s="185">
        <f>E54+W54+X54+Y54+Z54+AA54+AB54+AC54+AD54+AE54+AQ54+AR54+AS54+AT54+AU54+AV54+AW54+AX54+AZ54+BA54+BB54+BC54+BD54+BE54+BF54+BG54+BH54</f>
        <v>0</v>
      </c>
      <c r="BM54" s="185">
        <f>AY67-BL54</f>
        <v>0</v>
      </c>
      <c r="BN54" s="185">
        <f t="shared" si="29"/>
        <v>0</v>
      </c>
      <c r="BO54" s="479"/>
      <c r="BP54" s="53"/>
    </row>
    <row r="55" spans="1:68" ht="20.100000000000001" customHeight="1">
      <c r="A55" s="19" t="s">
        <v>100</v>
      </c>
      <c r="B55" s="19" t="s">
        <v>490</v>
      </c>
      <c r="C55" s="30" t="s">
        <v>101</v>
      </c>
      <c r="D55" s="185"/>
      <c r="E55" s="185">
        <f t="shared" si="4"/>
        <v>0</v>
      </c>
      <c r="F55" s="185">
        <f t="shared" si="21"/>
        <v>0</v>
      </c>
      <c r="G55" s="185">
        <f t="shared" si="8"/>
        <v>0</v>
      </c>
      <c r="H55" s="185">
        <f t="shared" si="12"/>
        <v>0</v>
      </c>
      <c r="I55" s="185"/>
      <c r="J55" s="185"/>
      <c r="K55" s="185"/>
      <c r="L55" s="185"/>
      <c r="M55" s="185"/>
      <c r="N55" s="185"/>
      <c r="O55" s="185"/>
      <c r="P55" s="185"/>
      <c r="Q55" s="185"/>
      <c r="R55" s="185"/>
      <c r="S55" s="185"/>
      <c r="T55" s="185"/>
      <c r="U55" s="185"/>
      <c r="V55" s="570">
        <f t="shared" si="13"/>
        <v>0</v>
      </c>
      <c r="W55" s="185"/>
      <c r="X55" s="185"/>
      <c r="Y55" s="185"/>
      <c r="Z55" s="185"/>
      <c r="AA55" s="185"/>
      <c r="AB55" s="185"/>
      <c r="AC55" s="185"/>
      <c r="AD55" s="185"/>
      <c r="AE55" s="185">
        <f t="shared" si="27"/>
        <v>0</v>
      </c>
      <c r="AF55" s="185"/>
      <c r="AG55" s="185"/>
      <c r="AH55" s="185"/>
      <c r="AI55" s="185"/>
      <c r="AJ55" s="185"/>
      <c r="AK55" s="185"/>
      <c r="AL55" s="185"/>
      <c r="AM55" s="185"/>
      <c r="AN55" s="185"/>
      <c r="AO55" s="185"/>
      <c r="AP55" s="185"/>
      <c r="AQ55" s="185"/>
      <c r="AR55" s="185"/>
      <c r="AS55" s="185"/>
      <c r="AT55" s="185"/>
      <c r="AU55" s="185"/>
      <c r="AV55" s="185"/>
      <c r="AW55" s="185"/>
      <c r="AX55" s="185"/>
      <c r="AY55" s="185"/>
      <c r="AZ55" s="185">
        <f>D55-BL55</f>
        <v>0</v>
      </c>
      <c r="BA55" s="185"/>
      <c r="BB55" s="185"/>
      <c r="BC55" s="185"/>
      <c r="BD55" s="185"/>
      <c r="BE55" s="185"/>
      <c r="BF55" s="185"/>
      <c r="BG55" s="185"/>
      <c r="BH55" s="185">
        <f t="shared" si="22"/>
        <v>0</v>
      </c>
      <c r="BI55" s="185"/>
      <c r="BJ55" s="185"/>
      <c r="BK55" s="185"/>
      <c r="BL55" s="185">
        <f>E55+W55+X55+Y55+Z55+AA55+AB55+AC55+AD55+AE55+AQ55+AR55+AS55+AT55+AU55+AV55+AW55+AX55+AY55+BA55+BB55+BC55+BD55+BE55+BF55+BG55+BH55</f>
        <v>0</v>
      </c>
      <c r="BM55" s="185">
        <f>AZ67-BL55</f>
        <v>0</v>
      </c>
      <c r="BN55" s="185">
        <f t="shared" si="29"/>
        <v>0</v>
      </c>
      <c r="BO55" s="479"/>
      <c r="BP55" s="53"/>
    </row>
    <row r="56" spans="1:68" ht="20.100000000000001" customHeight="1">
      <c r="A56" s="19" t="s">
        <v>102</v>
      </c>
      <c r="B56" s="19" t="s">
        <v>103</v>
      </c>
      <c r="C56" s="30" t="s">
        <v>104</v>
      </c>
      <c r="D56" s="185"/>
      <c r="E56" s="185">
        <f t="shared" si="4"/>
        <v>0</v>
      </c>
      <c r="F56" s="185">
        <f t="shared" si="21"/>
        <v>0</v>
      </c>
      <c r="G56" s="185">
        <f t="shared" si="8"/>
        <v>0</v>
      </c>
      <c r="H56" s="185">
        <f t="shared" si="12"/>
        <v>0</v>
      </c>
      <c r="I56" s="185"/>
      <c r="J56" s="185"/>
      <c r="K56" s="185"/>
      <c r="L56" s="185"/>
      <c r="M56" s="185"/>
      <c r="N56" s="185"/>
      <c r="O56" s="185"/>
      <c r="P56" s="185"/>
      <c r="Q56" s="185"/>
      <c r="R56" s="185"/>
      <c r="S56" s="185"/>
      <c r="T56" s="185"/>
      <c r="U56" s="185"/>
      <c r="V56" s="570">
        <f t="shared" si="13"/>
        <v>0</v>
      </c>
      <c r="W56" s="185"/>
      <c r="X56" s="185"/>
      <c r="Y56" s="185"/>
      <c r="Z56" s="185"/>
      <c r="AA56" s="185"/>
      <c r="AB56" s="185"/>
      <c r="AC56" s="185"/>
      <c r="AD56" s="185"/>
      <c r="AE56" s="185">
        <f t="shared" si="27"/>
        <v>0</v>
      </c>
      <c r="AF56" s="185"/>
      <c r="AG56" s="185"/>
      <c r="AH56" s="185"/>
      <c r="AI56" s="185"/>
      <c r="AJ56" s="185"/>
      <c r="AK56" s="185"/>
      <c r="AL56" s="185"/>
      <c r="AM56" s="185"/>
      <c r="AN56" s="185"/>
      <c r="AO56" s="185"/>
      <c r="AP56" s="185"/>
      <c r="AQ56" s="185"/>
      <c r="AR56" s="185"/>
      <c r="AS56" s="185"/>
      <c r="AT56" s="185"/>
      <c r="AU56" s="185"/>
      <c r="AV56" s="185"/>
      <c r="AW56" s="185"/>
      <c r="AX56" s="185"/>
      <c r="AY56" s="185"/>
      <c r="AZ56" s="185"/>
      <c r="BA56" s="185">
        <f>D56-BL56</f>
        <v>0</v>
      </c>
      <c r="BB56" s="185"/>
      <c r="BC56" s="185"/>
      <c r="BD56" s="185"/>
      <c r="BE56" s="185"/>
      <c r="BF56" s="185"/>
      <c r="BG56" s="185"/>
      <c r="BH56" s="185">
        <f t="shared" si="22"/>
        <v>0</v>
      </c>
      <c r="BI56" s="185"/>
      <c r="BJ56" s="185"/>
      <c r="BK56" s="185"/>
      <c r="BL56" s="185">
        <f>E56+W56+X56+Y56+Z56+AA56+AB56+AC56+AD56+AE56+AQ56+AR56+AS56+AT56+AU56+AV56+AW56+AX56+AY56+AZ56+BB56+BC56+BD56+BE56+BF56+BG56+BH56</f>
        <v>0</v>
      </c>
      <c r="BM56" s="185">
        <f>BA67-BL56</f>
        <v>6.4999999999999991</v>
      </c>
      <c r="BN56" s="185">
        <f t="shared" si="29"/>
        <v>6.4999999999999991</v>
      </c>
      <c r="BO56" s="479"/>
      <c r="BP56" s="53"/>
    </row>
    <row r="57" spans="1:68" ht="20.100000000000001" customHeight="1">
      <c r="A57" s="19" t="s">
        <v>105</v>
      </c>
      <c r="B57" s="19" t="s">
        <v>106</v>
      </c>
      <c r="C57" s="30" t="s">
        <v>107</v>
      </c>
      <c r="D57" s="185">
        <f>#REF!</f>
        <v>0.62</v>
      </c>
      <c r="E57" s="185">
        <f t="shared" si="4"/>
        <v>0</v>
      </c>
      <c r="F57" s="185">
        <f t="shared" si="21"/>
        <v>0</v>
      </c>
      <c r="G57" s="185">
        <f t="shared" si="8"/>
        <v>0</v>
      </c>
      <c r="H57" s="185">
        <f t="shared" si="12"/>
        <v>0</v>
      </c>
      <c r="I57" s="185"/>
      <c r="J57" s="185"/>
      <c r="K57" s="185"/>
      <c r="L57" s="185"/>
      <c r="M57" s="185"/>
      <c r="N57" s="185"/>
      <c r="O57" s="185"/>
      <c r="P57" s="185"/>
      <c r="Q57" s="185"/>
      <c r="R57" s="185"/>
      <c r="S57" s="185"/>
      <c r="T57" s="185"/>
      <c r="U57" s="185"/>
      <c r="V57" s="570">
        <f t="shared" si="13"/>
        <v>0.62</v>
      </c>
      <c r="W57" s="185"/>
      <c r="X57" s="185"/>
      <c r="Y57" s="185"/>
      <c r="Z57" s="185"/>
      <c r="AA57" s="185"/>
      <c r="AB57" s="185"/>
      <c r="AC57" s="185"/>
      <c r="AD57" s="185"/>
      <c r="AE57" s="185">
        <f>SUM(AF57:AP57)</f>
        <v>0</v>
      </c>
      <c r="AF57" s="185"/>
      <c r="AG57" s="185"/>
      <c r="AH57" s="185"/>
      <c r="AI57" s="185"/>
      <c r="AJ57" s="185"/>
      <c r="AK57" s="185"/>
      <c r="AL57" s="185"/>
      <c r="AM57" s="185"/>
      <c r="AN57" s="185"/>
      <c r="AO57" s="185"/>
      <c r="AP57" s="185"/>
      <c r="AQ57" s="185"/>
      <c r="AR57" s="185"/>
      <c r="AS57" s="185"/>
      <c r="AT57" s="185"/>
      <c r="AU57" s="185"/>
      <c r="AV57" s="185"/>
      <c r="AW57" s="185"/>
      <c r="AX57" s="185"/>
      <c r="AY57" s="185"/>
      <c r="AZ57" s="185"/>
      <c r="BA57" s="185"/>
      <c r="BB57" s="185">
        <f>D57-BL57</f>
        <v>0.62</v>
      </c>
      <c r="BC57" s="185"/>
      <c r="BD57" s="185"/>
      <c r="BE57" s="185"/>
      <c r="BF57" s="185"/>
      <c r="BG57" s="185"/>
      <c r="BH57" s="185">
        <f t="shared" si="22"/>
        <v>0</v>
      </c>
      <c r="BI57" s="185"/>
      <c r="BJ57" s="185"/>
      <c r="BK57" s="185"/>
      <c r="BL57" s="185">
        <f>E57+W57+X57+Y57+Z57+AA57+AB57+AC57+AD57+AE57+AQ57+AR57+AS57+AT57+AU57+AV57+AW57+AX57+AY57+AZ57+BA57+BC57+BD57+BE57+BF57+BG57+BH57</f>
        <v>0</v>
      </c>
      <c r="BM57" s="185">
        <f>BB67-BL57</f>
        <v>0</v>
      </c>
      <c r="BN57" s="185">
        <f t="shared" si="29"/>
        <v>0.62</v>
      </c>
      <c r="BO57" s="479"/>
      <c r="BP57" s="53"/>
    </row>
    <row r="58" spans="1:68" ht="20.100000000000001" customHeight="1">
      <c r="A58" s="19" t="s">
        <v>108</v>
      </c>
      <c r="B58" s="19" t="s">
        <v>491</v>
      </c>
      <c r="C58" s="30" t="s">
        <v>110</v>
      </c>
      <c r="D58" s="185">
        <f>#REF!</f>
        <v>0.08</v>
      </c>
      <c r="E58" s="185">
        <f t="shared" si="4"/>
        <v>0</v>
      </c>
      <c r="F58" s="185">
        <f t="shared" si="21"/>
        <v>0</v>
      </c>
      <c r="G58" s="185">
        <f t="shared" si="8"/>
        <v>0</v>
      </c>
      <c r="H58" s="185">
        <f t="shared" si="12"/>
        <v>0</v>
      </c>
      <c r="I58" s="185"/>
      <c r="J58" s="185"/>
      <c r="K58" s="185"/>
      <c r="L58" s="185"/>
      <c r="M58" s="185"/>
      <c r="N58" s="185"/>
      <c r="O58" s="185"/>
      <c r="P58" s="185"/>
      <c r="Q58" s="185"/>
      <c r="R58" s="185"/>
      <c r="S58" s="185"/>
      <c r="T58" s="185"/>
      <c r="U58" s="185"/>
      <c r="V58" s="570">
        <f t="shared" si="13"/>
        <v>0.08</v>
      </c>
      <c r="W58" s="185"/>
      <c r="X58" s="185"/>
      <c r="Y58" s="185"/>
      <c r="Z58" s="185"/>
      <c r="AA58" s="185"/>
      <c r="AB58" s="185"/>
      <c r="AC58" s="185"/>
      <c r="AD58" s="185"/>
      <c r="AE58" s="185">
        <f t="shared" si="27"/>
        <v>0</v>
      </c>
      <c r="AF58" s="185"/>
      <c r="AG58" s="185"/>
      <c r="AH58" s="185"/>
      <c r="AI58" s="185"/>
      <c r="AJ58" s="185"/>
      <c r="AK58" s="185"/>
      <c r="AL58" s="185"/>
      <c r="AM58" s="185"/>
      <c r="AN58" s="185"/>
      <c r="AO58" s="185"/>
      <c r="AP58" s="185"/>
      <c r="AQ58" s="185"/>
      <c r="AR58" s="185"/>
      <c r="AS58" s="185"/>
      <c r="AT58" s="185"/>
      <c r="AU58" s="185"/>
      <c r="AV58" s="185"/>
      <c r="AW58" s="185"/>
      <c r="AX58" s="185"/>
      <c r="AY58" s="185"/>
      <c r="AZ58" s="185"/>
      <c r="BA58" s="185"/>
      <c r="BB58" s="185"/>
      <c r="BC58" s="185">
        <f>D58-BL58</f>
        <v>0.08</v>
      </c>
      <c r="BD58" s="185"/>
      <c r="BE58" s="185"/>
      <c r="BF58" s="185"/>
      <c r="BG58" s="185"/>
      <c r="BH58" s="185">
        <f t="shared" si="22"/>
        <v>0</v>
      </c>
      <c r="BI58" s="185"/>
      <c r="BJ58" s="185"/>
      <c r="BK58" s="185"/>
      <c r="BL58" s="185">
        <f>E58+W58+X58+Y58+Z58+AA58+AB58+AC58+AD58+AE58+AQ58+AR58+AS58+AT58+AU58+AV58+AW58+AX58+AY58+AZ58+BA58+BB58+BD58+BE58+BF58+BG58+BH58</f>
        <v>0</v>
      </c>
      <c r="BM58" s="185">
        <f>BC67-BL58</f>
        <v>0</v>
      </c>
      <c r="BN58" s="185">
        <f t="shared" si="29"/>
        <v>0.08</v>
      </c>
      <c r="BO58" s="479"/>
      <c r="BP58" s="53"/>
    </row>
    <row r="59" spans="1:68" ht="20.100000000000001" customHeight="1">
      <c r="A59" s="19" t="s">
        <v>111</v>
      </c>
      <c r="B59" s="19" t="s">
        <v>112</v>
      </c>
      <c r="C59" s="30" t="s">
        <v>113</v>
      </c>
      <c r="D59" s="185"/>
      <c r="E59" s="185">
        <f t="shared" si="4"/>
        <v>0</v>
      </c>
      <c r="F59" s="185">
        <f t="shared" si="21"/>
        <v>0</v>
      </c>
      <c r="G59" s="185">
        <f t="shared" si="8"/>
        <v>0</v>
      </c>
      <c r="H59" s="185">
        <f t="shared" si="12"/>
        <v>0</v>
      </c>
      <c r="I59" s="185"/>
      <c r="J59" s="185"/>
      <c r="K59" s="185"/>
      <c r="L59" s="185"/>
      <c r="M59" s="185"/>
      <c r="N59" s="185"/>
      <c r="O59" s="185"/>
      <c r="P59" s="185"/>
      <c r="Q59" s="185"/>
      <c r="R59" s="185"/>
      <c r="S59" s="185"/>
      <c r="T59" s="185"/>
      <c r="U59" s="185"/>
      <c r="V59" s="570">
        <f t="shared" si="13"/>
        <v>0</v>
      </c>
      <c r="W59" s="185"/>
      <c r="X59" s="185"/>
      <c r="Y59" s="185"/>
      <c r="Z59" s="185"/>
      <c r="AA59" s="185"/>
      <c r="AB59" s="185"/>
      <c r="AC59" s="185"/>
      <c r="AD59" s="185"/>
      <c r="AE59" s="185">
        <f t="shared" si="27"/>
        <v>0</v>
      </c>
      <c r="AF59" s="185"/>
      <c r="AG59" s="185"/>
      <c r="AH59" s="185"/>
      <c r="AI59" s="185"/>
      <c r="AJ59" s="185"/>
      <c r="AK59" s="185"/>
      <c r="AL59" s="185"/>
      <c r="AM59" s="185"/>
      <c r="AN59" s="185"/>
      <c r="AO59" s="185"/>
      <c r="AP59" s="185"/>
      <c r="AQ59" s="185"/>
      <c r="AR59" s="185"/>
      <c r="AS59" s="185"/>
      <c r="AT59" s="185"/>
      <c r="AU59" s="185"/>
      <c r="AV59" s="185"/>
      <c r="AW59" s="185"/>
      <c r="AX59" s="185"/>
      <c r="AY59" s="185"/>
      <c r="AZ59" s="185"/>
      <c r="BA59" s="185"/>
      <c r="BB59" s="185"/>
      <c r="BC59" s="185"/>
      <c r="BD59" s="185">
        <f>D59-BL59</f>
        <v>0</v>
      </c>
      <c r="BE59" s="185"/>
      <c r="BF59" s="185"/>
      <c r="BG59" s="185"/>
      <c r="BH59" s="185">
        <f t="shared" si="22"/>
        <v>0</v>
      </c>
      <c r="BI59" s="185"/>
      <c r="BJ59" s="185"/>
      <c r="BK59" s="185"/>
      <c r="BL59" s="185">
        <f>E59+W59+X59+Y59+Z59+AA59+AB59+AC59+AD59+AE59+AQ59+AR59+AS59+AT59+AU59+AV59+AW59+AX59+AY59+AZ59+BA59+BB59+BC59+BE59+BF59+BG59+BH59</f>
        <v>0</v>
      </c>
      <c r="BM59" s="185">
        <f>BD67-BL59</f>
        <v>0</v>
      </c>
      <c r="BN59" s="185">
        <f t="shared" si="29"/>
        <v>0</v>
      </c>
      <c r="BO59" s="479"/>
      <c r="BP59" s="53"/>
    </row>
    <row r="60" spans="1:68" ht="20.100000000000001" customHeight="1">
      <c r="A60" s="19" t="s">
        <v>114</v>
      </c>
      <c r="B60" s="19" t="s">
        <v>115</v>
      </c>
      <c r="C60" s="30" t="s">
        <v>116</v>
      </c>
      <c r="D60" s="185">
        <f>#REF!</f>
        <v>66.81</v>
      </c>
      <c r="E60" s="185">
        <f t="shared" si="4"/>
        <v>0</v>
      </c>
      <c r="F60" s="185">
        <f t="shared" si="21"/>
        <v>0</v>
      </c>
      <c r="G60" s="185">
        <f t="shared" si="8"/>
        <v>0</v>
      </c>
      <c r="H60" s="185">
        <f t="shared" si="12"/>
        <v>0</v>
      </c>
      <c r="I60" s="185"/>
      <c r="J60" s="185"/>
      <c r="K60" s="185"/>
      <c r="L60" s="185"/>
      <c r="M60" s="185"/>
      <c r="N60" s="185"/>
      <c r="O60" s="185"/>
      <c r="P60" s="185"/>
      <c r="Q60" s="185"/>
      <c r="R60" s="185"/>
      <c r="S60" s="185"/>
      <c r="T60" s="185"/>
      <c r="U60" s="185"/>
      <c r="V60" s="570">
        <f t="shared" si="13"/>
        <v>66.81</v>
      </c>
      <c r="W60" s="185"/>
      <c r="X60" s="185"/>
      <c r="Y60" s="185"/>
      <c r="Z60" s="185"/>
      <c r="AA60" s="185"/>
      <c r="AB60" s="185"/>
      <c r="AC60" s="185"/>
      <c r="AD60" s="185"/>
      <c r="AE60" s="185">
        <f t="shared" si="27"/>
        <v>0</v>
      </c>
      <c r="AF60" s="185"/>
      <c r="AG60" s="185"/>
      <c r="AH60" s="185"/>
      <c r="AI60" s="185"/>
      <c r="AJ60" s="185"/>
      <c r="AK60" s="185"/>
      <c r="AL60" s="185"/>
      <c r="AM60" s="185"/>
      <c r="AN60" s="185"/>
      <c r="AO60" s="185"/>
      <c r="AP60" s="185"/>
      <c r="AQ60" s="185"/>
      <c r="AR60" s="185"/>
      <c r="AS60" s="185"/>
      <c r="AT60" s="185"/>
      <c r="AU60" s="185"/>
      <c r="AV60" s="185"/>
      <c r="AW60" s="185"/>
      <c r="AX60" s="185"/>
      <c r="AY60" s="185"/>
      <c r="AZ60" s="185"/>
      <c r="BA60" s="185">
        <v>0.02</v>
      </c>
      <c r="BB60" s="185"/>
      <c r="BC60" s="185"/>
      <c r="BD60" s="185"/>
      <c r="BE60" s="185">
        <f>D60-BL60</f>
        <v>66.790000000000006</v>
      </c>
      <c r="BF60" s="185"/>
      <c r="BG60" s="185"/>
      <c r="BH60" s="185">
        <f t="shared" si="22"/>
        <v>0</v>
      </c>
      <c r="BI60" s="185"/>
      <c r="BJ60" s="185"/>
      <c r="BK60" s="185"/>
      <c r="BL60" s="185">
        <f>E60+W60+X60+Y60+Z60+AA60+AB60+AC60+AD60+AE60+AQ60+AR60+AS60+AT60+AU60+AV60+AW60+AX60+AY60+AZ60+BA60+BB60+BC60+BD60+BF60+BG60+BH60</f>
        <v>0.02</v>
      </c>
      <c r="BM60" s="185">
        <f>BE67-BL60</f>
        <v>-0.02</v>
      </c>
      <c r="BN60" s="185">
        <f t="shared" si="29"/>
        <v>66.790000000000006</v>
      </c>
      <c r="BO60" s="479"/>
      <c r="BP60" s="53"/>
    </row>
    <row r="61" spans="1:68" ht="20.100000000000001" customHeight="1">
      <c r="A61" s="19" t="s">
        <v>117</v>
      </c>
      <c r="B61" s="19" t="s">
        <v>118</v>
      </c>
      <c r="C61" s="30" t="s">
        <v>119</v>
      </c>
      <c r="D61" s="185">
        <f>#REF!</f>
        <v>358.67</v>
      </c>
      <c r="E61" s="185">
        <f t="shared" si="4"/>
        <v>0</v>
      </c>
      <c r="F61" s="185">
        <f t="shared" si="21"/>
        <v>0</v>
      </c>
      <c r="G61" s="185">
        <f t="shared" si="8"/>
        <v>0</v>
      </c>
      <c r="H61" s="185">
        <f t="shared" si="12"/>
        <v>0</v>
      </c>
      <c r="I61" s="185"/>
      <c r="J61" s="185"/>
      <c r="K61" s="185"/>
      <c r="L61" s="185"/>
      <c r="M61" s="185"/>
      <c r="N61" s="185"/>
      <c r="O61" s="185"/>
      <c r="P61" s="185"/>
      <c r="Q61" s="185"/>
      <c r="R61" s="185"/>
      <c r="S61" s="185"/>
      <c r="T61" s="185"/>
      <c r="U61" s="185"/>
      <c r="V61" s="570">
        <f t="shared" si="13"/>
        <v>358.67</v>
      </c>
      <c r="W61" s="185"/>
      <c r="X61" s="185"/>
      <c r="Y61" s="185"/>
      <c r="Z61" s="185"/>
      <c r="AA61" s="185"/>
      <c r="AB61" s="185"/>
      <c r="AC61" s="185"/>
      <c r="AD61" s="185"/>
      <c r="AE61" s="185">
        <f t="shared" si="27"/>
        <v>0</v>
      </c>
      <c r="AF61" s="185"/>
      <c r="AG61" s="185"/>
      <c r="AH61" s="185"/>
      <c r="AI61" s="185"/>
      <c r="AJ61" s="185"/>
      <c r="AK61" s="185"/>
      <c r="AL61" s="185"/>
      <c r="AM61" s="185"/>
      <c r="AN61" s="185"/>
      <c r="AO61" s="185"/>
      <c r="AP61" s="185"/>
      <c r="AQ61" s="185"/>
      <c r="AR61" s="185"/>
      <c r="AS61" s="185"/>
      <c r="AT61" s="185"/>
      <c r="AU61" s="185"/>
      <c r="AV61" s="185"/>
      <c r="AW61" s="185"/>
      <c r="AX61" s="185"/>
      <c r="AY61" s="185"/>
      <c r="AZ61" s="185"/>
      <c r="BA61" s="185"/>
      <c r="BB61" s="185"/>
      <c r="BC61" s="185"/>
      <c r="BD61" s="185"/>
      <c r="BE61" s="185"/>
      <c r="BF61" s="185">
        <f>D61-BL61</f>
        <v>358.67</v>
      </c>
      <c r="BG61" s="185"/>
      <c r="BH61" s="185">
        <f t="shared" si="22"/>
        <v>0</v>
      </c>
      <c r="BI61" s="185"/>
      <c r="BJ61" s="185"/>
      <c r="BK61" s="185"/>
      <c r="BL61" s="185">
        <f>E61+W61+X61+Y61+Z61+AA61+AB61+AC61+AD61+AE61+AQ61+AR61+AS61+AT61+AU61+AV61+AW61+AX61+AY61+AZ61+BA61+BB61+BC61+BD61+BE61+BG61+BH61</f>
        <v>0</v>
      </c>
      <c r="BM61" s="185">
        <f>BF67-BL61</f>
        <v>0</v>
      </c>
      <c r="BN61" s="185">
        <f t="shared" si="29"/>
        <v>358.67</v>
      </c>
      <c r="BO61" s="479"/>
      <c r="BP61" s="53"/>
    </row>
    <row r="62" spans="1:68" ht="20.100000000000001" customHeight="1">
      <c r="A62" s="19" t="s">
        <v>120</v>
      </c>
      <c r="B62" s="19" t="s">
        <v>121</v>
      </c>
      <c r="C62" s="30" t="s">
        <v>122</v>
      </c>
      <c r="D62" s="185"/>
      <c r="E62" s="185">
        <f t="shared" si="4"/>
        <v>0</v>
      </c>
      <c r="F62" s="185">
        <f t="shared" si="21"/>
        <v>0</v>
      </c>
      <c r="G62" s="185">
        <f t="shared" si="8"/>
        <v>0</v>
      </c>
      <c r="H62" s="185">
        <f t="shared" si="12"/>
        <v>0</v>
      </c>
      <c r="I62" s="185"/>
      <c r="J62" s="185"/>
      <c r="K62" s="185"/>
      <c r="L62" s="185"/>
      <c r="M62" s="185"/>
      <c r="N62" s="185"/>
      <c r="O62" s="185"/>
      <c r="P62" s="185"/>
      <c r="Q62" s="185"/>
      <c r="R62" s="185"/>
      <c r="S62" s="185"/>
      <c r="T62" s="185"/>
      <c r="U62" s="185"/>
      <c r="V62" s="570">
        <f t="shared" si="13"/>
        <v>0</v>
      </c>
      <c r="W62" s="185"/>
      <c r="X62" s="185"/>
      <c r="Y62" s="185"/>
      <c r="Z62" s="185"/>
      <c r="AA62" s="185"/>
      <c r="AB62" s="185"/>
      <c r="AC62" s="185"/>
      <c r="AD62" s="185"/>
      <c r="AE62" s="185">
        <f t="shared" si="27"/>
        <v>0</v>
      </c>
      <c r="AF62" s="185"/>
      <c r="AG62" s="185"/>
      <c r="AH62" s="185"/>
      <c r="AI62" s="185"/>
      <c r="AJ62" s="185"/>
      <c r="AK62" s="185"/>
      <c r="AL62" s="185"/>
      <c r="AM62" s="185"/>
      <c r="AN62" s="185"/>
      <c r="AO62" s="185"/>
      <c r="AP62" s="185"/>
      <c r="AQ62" s="185"/>
      <c r="AR62" s="185"/>
      <c r="AS62" s="185"/>
      <c r="AT62" s="185"/>
      <c r="AU62" s="185"/>
      <c r="AV62" s="185"/>
      <c r="AW62" s="185"/>
      <c r="AX62" s="185"/>
      <c r="AY62" s="185"/>
      <c r="AZ62" s="185"/>
      <c r="BA62" s="185"/>
      <c r="BB62" s="185"/>
      <c r="BC62" s="185"/>
      <c r="BD62" s="185"/>
      <c r="BE62" s="185"/>
      <c r="BF62" s="185"/>
      <c r="BG62" s="185">
        <f>D62-BL62</f>
        <v>0</v>
      </c>
      <c r="BH62" s="185">
        <f t="shared" si="22"/>
        <v>0</v>
      </c>
      <c r="BI62" s="185"/>
      <c r="BJ62" s="185"/>
      <c r="BK62" s="185"/>
      <c r="BL62" s="185">
        <f>E62+W62+X62+Y62+Z62+AA62+AB62+AC62+AD62+AE62+AQ62+AR62+AS62+AT62+AU62+AV62+AW62+AX62+AY62+AZ62+BA62+BB62+BC62+BD62+BE62+BF62+BH62</f>
        <v>0</v>
      </c>
      <c r="BM62" s="185">
        <f>BG67-BL62</f>
        <v>0</v>
      </c>
      <c r="BN62" s="185">
        <f t="shared" si="29"/>
        <v>0</v>
      </c>
      <c r="BO62" s="479"/>
      <c r="BP62" s="53"/>
    </row>
    <row r="63" spans="1:68" s="115" customFormat="1" ht="21.75" customHeight="1">
      <c r="A63" s="15">
        <v>3</v>
      </c>
      <c r="B63" s="15" t="s">
        <v>123</v>
      </c>
      <c r="C63" s="158" t="s">
        <v>124</v>
      </c>
      <c r="D63" s="420">
        <f>D64+D65+D66</f>
        <v>75.067039999999992</v>
      </c>
      <c r="E63" s="420">
        <f>E64+E65+E66</f>
        <v>0</v>
      </c>
      <c r="F63" s="420">
        <f t="shared" ref="F63:U63" si="30">F64+F65+F66</f>
        <v>0</v>
      </c>
      <c r="G63" s="420">
        <f t="shared" si="30"/>
        <v>0</v>
      </c>
      <c r="H63" s="420">
        <f t="shared" si="30"/>
        <v>0</v>
      </c>
      <c r="I63" s="420">
        <f t="shared" si="30"/>
        <v>0</v>
      </c>
      <c r="J63" s="420">
        <f t="shared" si="30"/>
        <v>0</v>
      </c>
      <c r="K63" s="420">
        <f t="shared" si="30"/>
        <v>0</v>
      </c>
      <c r="L63" s="420">
        <f t="shared" si="30"/>
        <v>0</v>
      </c>
      <c r="M63" s="420">
        <f t="shared" si="30"/>
        <v>0</v>
      </c>
      <c r="N63" s="420">
        <f t="shared" si="30"/>
        <v>0</v>
      </c>
      <c r="O63" s="420">
        <f>O64+O65+O66</f>
        <v>0</v>
      </c>
      <c r="P63" s="420">
        <f t="shared" si="30"/>
        <v>0</v>
      </c>
      <c r="Q63" s="420">
        <f t="shared" si="30"/>
        <v>0</v>
      </c>
      <c r="R63" s="420">
        <f t="shared" si="30"/>
        <v>0</v>
      </c>
      <c r="S63" s="420">
        <f t="shared" si="30"/>
        <v>0</v>
      </c>
      <c r="T63" s="420">
        <f t="shared" si="30"/>
        <v>0</v>
      </c>
      <c r="U63" s="420">
        <f t="shared" si="30"/>
        <v>0</v>
      </c>
      <c r="V63" s="454">
        <f>V64+V65+V66</f>
        <v>0.08</v>
      </c>
      <c r="W63" s="420">
        <f t="shared" ref="W63:BG63" si="31">W64+W65+W66</f>
        <v>0</v>
      </c>
      <c r="X63" s="420">
        <f t="shared" si="31"/>
        <v>0</v>
      </c>
      <c r="Y63" s="420">
        <f t="shared" si="31"/>
        <v>0</v>
      </c>
      <c r="Z63" s="420">
        <f t="shared" si="31"/>
        <v>0</v>
      </c>
      <c r="AA63" s="420">
        <f t="shared" si="31"/>
        <v>0</v>
      </c>
      <c r="AB63" s="420">
        <f t="shared" si="31"/>
        <v>0</v>
      </c>
      <c r="AC63" s="420">
        <f t="shared" si="31"/>
        <v>0</v>
      </c>
      <c r="AD63" s="420">
        <f t="shared" si="31"/>
        <v>0</v>
      </c>
      <c r="AE63" s="420">
        <f t="shared" si="31"/>
        <v>0.08</v>
      </c>
      <c r="AF63" s="420">
        <f t="shared" si="31"/>
        <v>0</v>
      </c>
      <c r="AG63" s="420">
        <f t="shared" si="31"/>
        <v>0</v>
      </c>
      <c r="AH63" s="420">
        <f t="shared" si="31"/>
        <v>0</v>
      </c>
      <c r="AI63" s="420">
        <f t="shared" si="31"/>
        <v>0</v>
      </c>
      <c r="AJ63" s="420">
        <f t="shared" si="31"/>
        <v>0</v>
      </c>
      <c r="AK63" s="420">
        <f t="shared" si="31"/>
        <v>0</v>
      </c>
      <c r="AL63" s="420">
        <f t="shared" si="31"/>
        <v>0</v>
      </c>
      <c r="AM63" s="420">
        <f t="shared" si="31"/>
        <v>0.08</v>
      </c>
      <c r="AN63" s="420">
        <f t="shared" si="31"/>
        <v>0</v>
      </c>
      <c r="AO63" s="420">
        <f t="shared" si="31"/>
        <v>0</v>
      </c>
      <c r="AP63" s="420">
        <f t="shared" si="31"/>
        <v>0</v>
      </c>
      <c r="AQ63" s="420">
        <f t="shared" si="31"/>
        <v>0</v>
      </c>
      <c r="AR63" s="420">
        <f t="shared" si="31"/>
        <v>0</v>
      </c>
      <c r="AS63" s="420">
        <f t="shared" si="31"/>
        <v>0</v>
      </c>
      <c r="AT63" s="420">
        <f t="shared" si="31"/>
        <v>0</v>
      </c>
      <c r="AU63" s="420">
        <f t="shared" si="31"/>
        <v>0</v>
      </c>
      <c r="AV63" s="420">
        <f t="shared" si="31"/>
        <v>0</v>
      </c>
      <c r="AW63" s="420">
        <f t="shared" si="31"/>
        <v>0</v>
      </c>
      <c r="AX63" s="420">
        <f t="shared" si="31"/>
        <v>0</v>
      </c>
      <c r="AY63" s="420">
        <f t="shared" si="31"/>
        <v>0</v>
      </c>
      <c r="AZ63" s="420">
        <f t="shared" si="31"/>
        <v>0</v>
      </c>
      <c r="BA63" s="420">
        <f t="shared" si="31"/>
        <v>0</v>
      </c>
      <c r="BB63" s="420">
        <f t="shared" si="31"/>
        <v>0</v>
      </c>
      <c r="BC63" s="420">
        <f t="shared" si="31"/>
        <v>0</v>
      </c>
      <c r="BD63" s="420">
        <f t="shared" si="31"/>
        <v>0</v>
      </c>
      <c r="BE63" s="420">
        <f t="shared" si="31"/>
        <v>0</v>
      </c>
      <c r="BF63" s="420">
        <f t="shared" si="31"/>
        <v>0</v>
      </c>
      <c r="BG63" s="420">
        <f t="shared" si="31"/>
        <v>0</v>
      </c>
      <c r="BH63" s="420">
        <f>D63-BL63</f>
        <v>74.987039999999993</v>
      </c>
      <c r="BI63" s="420">
        <f t="shared" ref="BI63:BN63" si="32">BI64+BI65+BI66</f>
        <v>0</v>
      </c>
      <c r="BJ63" s="420">
        <f t="shared" si="32"/>
        <v>65.27</v>
      </c>
      <c r="BK63" s="420">
        <f t="shared" si="32"/>
        <v>0</v>
      </c>
      <c r="BL63" s="420">
        <f t="shared" si="32"/>
        <v>0.08</v>
      </c>
      <c r="BM63" s="420">
        <f t="shared" si="32"/>
        <v>-0.08</v>
      </c>
      <c r="BN63" s="420">
        <f t="shared" si="32"/>
        <v>74.987039999999993</v>
      </c>
      <c r="BO63" s="480"/>
    </row>
    <row r="64" spans="1:68" ht="21.75" customHeight="1">
      <c r="A64" s="14" t="s">
        <v>220</v>
      </c>
      <c r="B64" s="14" t="s">
        <v>461</v>
      </c>
      <c r="C64" s="30" t="s">
        <v>209</v>
      </c>
      <c r="D64" s="185">
        <f>#REF!</f>
        <v>9.7970400000000009</v>
      </c>
      <c r="E64" s="185">
        <f t="shared" si="4"/>
        <v>0</v>
      </c>
      <c r="F64" s="185">
        <f t="shared" si="21"/>
        <v>0</v>
      </c>
      <c r="G64" s="185">
        <f t="shared" si="8"/>
        <v>0</v>
      </c>
      <c r="H64" s="185">
        <f t="shared" si="12"/>
        <v>0</v>
      </c>
      <c r="I64" s="185"/>
      <c r="J64" s="185"/>
      <c r="K64" s="185"/>
      <c r="L64" s="185"/>
      <c r="M64" s="185"/>
      <c r="N64" s="185"/>
      <c r="O64" s="185">
        <f>SUM(P64:R64)</f>
        <v>0</v>
      </c>
      <c r="P64" s="185"/>
      <c r="Q64" s="185"/>
      <c r="R64" s="185"/>
      <c r="S64" s="185"/>
      <c r="T64" s="185"/>
      <c r="U64" s="185"/>
      <c r="V64" s="570">
        <f t="shared" si="13"/>
        <v>0.08</v>
      </c>
      <c r="W64" s="185"/>
      <c r="X64" s="185"/>
      <c r="Y64" s="185"/>
      <c r="Z64" s="185"/>
      <c r="AA64" s="185"/>
      <c r="AB64" s="185"/>
      <c r="AC64" s="185"/>
      <c r="AD64" s="185"/>
      <c r="AE64" s="185">
        <f t="shared" si="27"/>
        <v>0.08</v>
      </c>
      <c r="AF64" s="185"/>
      <c r="AG64" s="185"/>
      <c r="AH64" s="185"/>
      <c r="AI64" s="185"/>
      <c r="AJ64" s="185"/>
      <c r="AK64" s="185"/>
      <c r="AL64" s="185"/>
      <c r="AM64" s="185">
        <v>0.08</v>
      </c>
      <c r="AN64" s="185"/>
      <c r="AO64" s="185"/>
      <c r="AP64" s="185"/>
      <c r="AQ64" s="185"/>
      <c r="AR64" s="185"/>
      <c r="AS64" s="185"/>
      <c r="AT64" s="185"/>
      <c r="AU64" s="185"/>
      <c r="AV64" s="185"/>
      <c r="AW64" s="185"/>
      <c r="AX64" s="185"/>
      <c r="AY64" s="185"/>
      <c r="AZ64" s="185"/>
      <c r="BA64" s="185"/>
      <c r="BB64" s="185"/>
      <c r="BC64" s="185"/>
      <c r="BD64" s="185"/>
      <c r="BE64" s="185"/>
      <c r="BF64" s="185"/>
      <c r="BG64" s="185"/>
      <c r="BH64" s="185">
        <f>BI64+BJ64+BK64</f>
        <v>0</v>
      </c>
      <c r="BI64" s="185"/>
      <c r="BJ64" s="185"/>
      <c r="BK64" s="185"/>
      <c r="BL64" s="185">
        <f>E64+V64</f>
        <v>0.08</v>
      </c>
      <c r="BM64" s="185">
        <f>BI67-BL64</f>
        <v>-0.08</v>
      </c>
      <c r="BN64" s="185">
        <f>D64+BM64</f>
        <v>9.7170400000000008</v>
      </c>
      <c r="BO64" s="479"/>
      <c r="BP64" s="53"/>
    </row>
    <row r="65" spans="1:68" ht="21.75" customHeight="1">
      <c r="A65" s="14" t="s">
        <v>221</v>
      </c>
      <c r="B65" s="14" t="s">
        <v>462</v>
      </c>
      <c r="C65" s="30" t="s">
        <v>210</v>
      </c>
      <c r="D65" s="185">
        <f>#REF!</f>
        <v>65.27</v>
      </c>
      <c r="E65" s="185"/>
      <c r="F65" s="185">
        <f t="shared" si="21"/>
        <v>0</v>
      </c>
      <c r="G65" s="185">
        <f t="shared" si="8"/>
        <v>0</v>
      </c>
      <c r="H65" s="185">
        <f t="shared" si="12"/>
        <v>0</v>
      </c>
      <c r="I65" s="185"/>
      <c r="J65" s="185"/>
      <c r="K65" s="185"/>
      <c r="L65" s="185"/>
      <c r="M65" s="185"/>
      <c r="N65" s="185"/>
      <c r="O65" s="185">
        <f>SUM(P65:R65)</f>
        <v>0</v>
      </c>
      <c r="P65" s="185"/>
      <c r="Q65" s="185"/>
      <c r="R65" s="185"/>
      <c r="S65" s="185"/>
      <c r="T65" s="185"/>
      <c r="U65" s="185"/>
      <c r="V65" s="570">
        <f t="shared" si="13"/>
        <v>0</v>
      </c>
      <c r="W65" s="185"/>
      <c r="X65" s="185"/>
      <c r="Y65" s="185"/>
      <c r="Z65" s="185"/>
      <c r="AA65" s="185"/>
      <c r="AB65" s="185"/>
      <c r="AC65" s="185"/>
      <c r="AD65" s="185"/>
      <c r="AE65" s="185">
        <f t="shared" si="27"/>
        <v>0</v>
      </c>
      <c r="AF65" s="185"/>
      <c r="AG65" s="185"/>
      <c r="AH65" s="185"/>
      <c r="AI65" s="185"/>
      <c r="AJ65" s="185"/>
      <c r="AK65" s="185"/>
      <c r="AL65" s="185"/>
      <c r="AM65" s="185"/>
      <c r="AN65" s="185"/>
      <c r="AO65" s="185"/>
      <c r="AP65" s="185"/>
      <c r="AQ65" s="185"/>
      <c r="AR65" s="185"/>
      <c r="AS65" s="185"/>
      <c r="AT65" s="185"/>
      <c r="AU65" s="185"/>
      <c r="AV65" s="185"/>
      <c r="AW65" s="185"/>
      <c r="AX65" s="185"/>
      <c r="AY65" s="185"/>
      <c r="AZ65" s="185"/>
      <c r="BA65" s="185"/>
      <c r="BB65" s="185"/>
      <c r="BC65" s="185"/>
      <c r="BD65" s="185"/>
      <c r="BE65" s="185"/>
      <c r="BF65" s="185"/>
      <c r="BG65" s="185"/>
      <c r="BH65" s="185">
        <f>BI65+BJ65+BK65</f>
        <v>65.27</v>
      </c>
      <c r="BI65" s="185"/>
      <c r="BJ65" s="185">
        <f>D65-BL65</f>
        <v>65.27</v>
      </c>
      <c r="BK65" s="185"/>
      <c r="BL65" s="185">
        <f>E65+V65</f>
        <v>0</v>
      </c>
      <c r="BM65" s="185">
        <f>BJ67-BL65</f>
        <v>0</v>
      </c>
      <c r="BN65" s="185">
        <f>D65+BM65</f>
        <v>65.27</v>
      </c>
      <c r="BO65" s="479"/>
      <c r="BP65" s="53"/>
    </row>
    <row r="66" spans="1:68" ht="21.75" customHeight="1">
      <c r="A66" s="165" t="s">
        <v>222</v>
      </c>
      <c r="B66" s="165" t="s">
        <v>492</v>
      </c>
      <c r="C66" s="156" t="s">
        <v>211</v>
      </c>
      <c r="D66" s="455"/>
      <c r="E66" s="455">
        <f t="shared" si="4"/>
        <v>0</v>
      </c>
      <c r="F66" s="455">
        <f t="shared" si="21"/>
        <v>0</v>
      </c>
      <c r="G66" s="455">
        <f t="shared" si="8"/>
        <v>0</v>
      </c>
      <c r="H66" s="455">
        <f t="shared" si="12"/>
        <v>0</v>
      </c>
      <c r="I66" s="455"/>
      <c r="J66" s="455"/>
      <c r="K66" s="455"/>
      <c r="L66" s="455"/>
      <c r="M66" s="455"/>
      <c r="N66" s="455"/>
      <c r="O66" s="455"/>
      <c r="P66" s="455"/>
      <c r="Q66" s="455"/>
      <c r="R66" s="455"/>
      <c r="S66" s="455"/>
      <c r="T66" s="455"/>
      <c r="U66" s="455"/>
      <c r="V66" s="669">
        <f t="shared" si="13"/>
        <v>0</v>
      </c>
      <c r="W66" s="455"/>
      <c r="X66" s="455"/>
      <c r="Y66" s="455"/>
      <c r="Z66" s="455"/>
      <c r="AA66" s="455"/>
      <c r="AB66" s="455"/>
      <c r="AC66" s="455"/>
      <c r="AD66" s="455"/>
      <c r="AE66" s="455">
        <f t="shared" si="27"/>
        <v>0</v>
      </c>
      <c r="AF66" s="455"/>
      <c r="AG66" s="455"/>
      <c r="AH66" s="455"/>
      <c r="AI66" s="455"/>
      <c r="AJ66" s="455"/>
      <c r="AK66" s="455"/>
      <c r="AL66" s="455"/>
      <c r="AM66" s="455"/>
      <c r="AN66" s="455"/>
      <c r="AO66" s="455"/>
      <c r="AP66" s="455"/>
      <c r="AQ66" s="455"/>
      <c r="AR66" s="455"/>
      <c r="AS66" s="455"/>
      <c r="AT66" s="455"/>
      <c r="AU66" s="455"/>
      <c r="AV66" s="455"/>
      <c r="AW66" s="455"/>
      <c r="AX66" s="455"/>
      <c r="AY66" s="455"/>
      <c r="AZ66" s="455"/>
      <c r="BA66" s="455"/>
      <c r="BB66" s="455"/>
      <c r="BC66" s="455"/>
      <c r="BD66" s="455"/>
      <c r="BE66" s="455"/>
      <c r="BF66" s="455"/>
      <c r="BG66" s="455"/>
      <c r="BH66" s="455">
        <f>BI66+BJ66+BK66</f>
        <v>0</v>
      </c>
      <c r="BI66" s="455"/>
      <c r="BJ66" s="455"/>
      <c r="BK66" s="455">
        <f>D66-BL66</f>
        <v>0</v>
      </c>
      <c r="BL66" s="455">
        <f>E66+V66</f>
        <v>0</v>
      </c>
      <c r="BM66" s="455">
        <f>D66-BL66</f>
        <v>0</v>
      </c>
      <c r="BN66" s="455">
        <f>D66+BM66</f>
        <v>0</v>
      </c>
      <c r="BO66" s="479"/>
      <c r="BP66" s="53"/>
    </row>
    <row r="67" spans="1:68" s="115" customFormat="1" ht="24.75" customHeight="1">
      <c r="A67" s="17"/>
      <c r="B67" s="146" t="s">
        <v>190</v>
      </c>
      <c r="C67" s="17"/>
      <c r="D67" s="399"/>
      <c r="E67" s="399">
        <f>E25+E63</f>
        <v>0</v>
      </c>
      <c r="F67" s="399">
        <f>F18+F22+F23+F24+F25+F63</f>
        <v>0</v>
      </c>
      <c r="G67" s="399">
        <f>G17+G18+G22+G23+G24+G25+G63</f>
        <v>0</v>
      </c>
      <c r="H67" s="399">
        <f>H15+H16+H17+H18+H22+H23+H24+H25+H63</f>
        <v>0</v>
      </c>
      <c r="I67" s="399">
        <f>I13+I14+I15+I16+I17+I18+I22+I23+I24+I25+I63</f>
        <v>0</v>
      </c>
      <c r="J67" s="399">
        <f>J12+J14+J15+J16+J17+J18+J22+J23+J24+J25+J63</f>
        <v>0</v>
      </c>
      <c r="K67" s="399">
        <f>K12+K13+K15+K16+K17+K18+K22+K23+K24+K25+K63</f>
        <v>0</v>
      </c>
      <c r="L67" s="399">
        <f>L12+L13+L14+L16+L17+L18+L22+L23+L24+L25+L63</f>
        <v>0</v>
      </c>
      <c r="M67" s="399">
        <f>M12+M13+M14+M15+M17+M18+M22+M23+M24+M25+M63</f>
        <v>0</v>
      </c>
      <c r="N67" s="399">
        <f>N12+N13+N14+N15+N16+N18+N22+N23+N24+N25+N63</f>
        <v>0</v>
      </c>
      <c r="O67" s="399">
        <f>O9+O22+O23+O24+O25+O63</f>
        <v>0</v>
      </c>
      <c r="P67" s="399">
        <f>P10+P17+P20+P21+P22+P23+P24+P25+P63</f>
        <v>0</v>
      </c>
      <c r="Q67" s="399">
        <f>Q12+Q13+Q14+Q15+Q16+Q17+Q19+Q21+Q22+Q23+Q24+Q25+Q63</f>
        <v>0</v>
      </c>
      <c r="R67" s="399">
        <f>R12+R13+R14+R15+R16+R17+R19+R20+R22+R23+R24+R25+R63</f>
        <v>0</v>
      </c>
      <c r="S67" s="399">
        <f>S9+S18+S23+S24+S25+S63</f>
        <v>0</v>
      </c>
      <c r="T67" s="399">
        <f>T9+T18+T22+T24+T25+T63</f>
        <v>0</v>
      </c>
      <c r="U67" s="399">
        <f>U9+U18+U22+U23+U25+U63</f>
        <v>0</v>
      </c>
      <c r="V67" s="456">
        <f>V8+V63</f>
        <v>6.92</v>
      </c>
      <c r="W67" s="399">
        <f>W8+W27+W28+W29+W30+W31+W32+W33+W34+W46+W47+W48+W49+W50+W51+W52+W53+W54+W55+W56+W57+W58+W59+W60+W61+W62+W63</f>
        <v>0</v>
      </c>
      <c r="X67" s="399">
        <f>X8+X26+X28+X29+X30+X31+X32+X33+X34+X46+X47+X48+X49+X50+X51+X52+X53+X54+X55+X56+X57+X58+X59+X60+X61+X62+X63</f>
        <v>0</v>
      </c>
      <c r="Y67" s="399">
        <f>Y8+Y26+Y27+Y29+Y30+Y31+Y32+Y33+Y34+Y46+Y47+Y48+Y49+Y50+Y51+Y52+Y53+Y54+Y55+Y56+Y57+Y58+Y59+Y60+Y61+Y62+Y63</f>
        <v>0</v>
      </c>
      <c r="Z67" s="399">
        <f>Z8+Z26+Z27+Z28+Z30+Z31+Z32+Z33+Z34+Z46+Z47+Z48+Z49+Z50+Z51+Z52+Z53+Z54+Z55+Z56+Z57+Z58+Z59+Z60+Z61+Z62+Z63</f>
        <v>0</v>
      </c>
      <c r="AA67" s="399">
        <f>AA8+AA26+AA27+AA28+AA29+AA31+AA32+AA33+AA34+AA46+AA47+AA48+AA49+AA50+AA51+AA52+AA53+AA54+AA55+AA56+AA57+AA58+AA59+AA60+AA61+AA62+AA63</f>
        <v>0</v>
      </c>
      <c r="AB67" s="399">
        <f>AB8+AB26+AB27+AB28+AB29+AB30+AB32+AB33+AB34+AB46+AB47+AB48+AB49+AB50+AB51+AB52+AB53+AB54+AB55+AB56+AB57+AB58+AB59+AB60+AB61+AB62+AB63</f>
        <v>0</v>
      </c>
      <c r="AC67" s="399">
        <f>AC8+AC26+AC27+AC28+AC29+AC30+AC31+AC33+AC34+AC46+AC47+AC48+AC49+AC50+AC51+AC52+AC53+AC54+AC55+AC56+AC57+AC58+AC59+AC60+AC61+AC62+AC63</f>
        <v>0</v>
      </c>
      <c r="AD67" s="733">
        <f>AD8+AD26+AD27+AD28+AD29+AD30+AD31+AD32+AD34+AD46+AD47+AD48+AD49+AD50+AD51+AD52+AD53+AD54+AD55+AD56+AD57+AD58+AD59+AD60+AD61+AD62+AD63</f>
        <v>0</v>
      </c>
      <c r="AE67" s="733">
        <f>AE8+AE26+AE27+AE28+AE29+AE30+AE31+AE32+AE33+AE46+AE47+AE48+AE49+AE50+AE51+AE52+AE53+AE54+AE55+AE56+AE57+AE58+AE59+AE60+AE61+AE62+AE63</f>
        <v>0.15000000000000002</v>
      </c>
      <c r="AF67" s="729">
        <f>AF8+AF26+AF27+AF28+AF29+AF30+AF31+AF32+AF33+AF3+AF36+AF37+AF38+AF39+AF40+AF41+AF42+AF43+AF44+AF45+AF46+AF47+AF48+AF49+AF50+AF51+AF52+AF53+AF54+AF55+AF56+AF57+AF58+AF59+AF60+AF61+AF62+AF63</f>
        <v>0</v>
      </c>
      <c r="AG67" s="733">
        <f>AG8+AG26+AG27+AG28+AG29+AG30+AG31+AG32+AG33+AG35+AG37+AG38+AG39+AG40+AG41+AG42+AG43+AG44+AG45+AG46+AG47+AG48+AG49+AG50+AG51+AG52+AG53+AG54+AG55+AG56+AG57+AG58+AG59+AG60+AG61+AG62+AG63</f>
        <v>0</v>
      </c>
      <c r="AH67" s="733">
        <f>AH8+AH26+AH27+AH28+AH29+AH30+AH31+AH32+AH33+AH35+AH36+AH38+AH39+AH40+AH41+AH42+AH43+AH44+AH45+AH46+AH47+AH48+AH49+AH50+AH51+AH52+AH53+AH54+AH55+AH56+AH57+AH58+AH59+AH60+AH61+AH62+AH63</f>
        <v>0</v>
      </c>
      <c r="AI67" s="733">
        <f>AI8+AI26+AI27+AI28+AI29+AI30+AI31+AI32+AI33+AI35+AI36+AI37+AI39+AI40+AI41+AI42+AI43+AI44+AI45+AI46+AI47+AI48+AI49+AI50+AI51+AI52+AI53+AI54+AI55+AI56+AI57+AI58+AI59+AI60+AI61+AI62+AI63</f>
        <v>0</v>
      </c>
      <c r="AJ67" s="733">
        <f>AJ8+AJ26+AJ27+AJ28+AJ29+AJ30+AJ31+AJ32+AJ33+AJ35+AJ36+AJ37+AJ38+AJ40+AJ41+AJ42+AJ43+AJ44+AJ45+AJ46+AJ47+AJ48+AJ49+AJ50+AJ51+AJ52+AJ53+AJ54+AJ55+AJ56+AJ57+AJ58+AJ59+AJ60+AJ61+AJ62+AJ63</f>
        <v>0</v>
      </c>
      <c r="AK67" s="733">
        <f>AK8+AK26+AK27+AK28+AK29+AK30+AK31+AK32+AK33+AK35+AK36+AK37+AK38+AK39+AK41+AK42+AK43+AK44+AK45+AK46+AK47+AK48+AK49+AK50+AK51+AK52+AK53+AK54+AK55+AK56+AK57+AK58+AK59+AK60+AK61+AK62+AK63</f>
        <v>0</v>
      </c>
      <c r="AL67" s="729">
        <f>AL8+AL26+AL27+AL28+AL29+AL30+AL31+AL32+AL33+AL35+AL36+AL37+AL38+AL39+AL40+AL42+AL43+AL44+AL45+AL46+AL47+AL48+AL49+AL50+AL51+AL52+AL53+AL54+AL55+AL56+AL57+AL58+AL59+AL60+AL61+AL62+AL63</f>
        <v>0</v>
      </c>
      <c r="AM67" s="729">
        <f>AM8+AM26+AM27+AM28+AM29+AM30+AM31+AM32+AM33+AM35+AM36+AM37+AM38+AM39+AM40+AM41+AM43+AM44+AM45+AM46+AM47+AM48+AM49+AM50+AM51+AM52+AM53+AM54+AM55+AM56+AM57+AM58+AM59+AM60+AM61+AM62+AM63</f>
        <v>0.15000000000000002</v>
      </c>
      <c r="AN67" s="733">
        <f>AN8+AN26+AN27+AN28+AN29+AN30+AN31+AN32+AN33+AN35+AN36+AN37+AN38+AN39+AN40+AN41+AN42+AN44+AN45+AN46+AN47+AN48+AN49+AN50+AN51+AN52+AN53+AN54+AN55+AN56+AN57+AN58+AN59+AN60+AN61+AN62+AN63</f>
        <v>0</v>
      </c>
      <c r="AO67" s="733">
        <f>AO8+AO26+AO27+AO28+AO29+AO30+AO31+AO32+AO33+AO35+AO36+AO37+AO38+AO39+AO40+AO41+AO42+AO43+AO45+AO46+AO47+AO48+AO49+AO50+AO51+AO52+AO53+AO54+AO55+AO56+AO57+AO58+AO59+AO60+AO61+AO62+AO63</f>
        <v>0</v>
      </c>
      <c r="AP67" s="733">
        <f>AP8+AP26+AP27+AP28+AP29+AP30+AP31+AP32+AP33+AP35+AP36+AP37+AP38+AP39+AP40+AP41+AP42+AP43+AP44+AP46+AP47+AP48+AP49+AP50+AP51+AP52+AP53+AP54+AP55+AP56+AP57+AP58+AP59+AP60+AP61+AP62+AP63</f>
        <v>0</v>
      </c>
      <c r="AQ67" s="733">
        <f>AQ8+AQ26+AQ27+AQ28+AQ29+AQ30+AQ31+AQ32+AQ33+AQ34+AQ47+AQ48+AQ49+AQ50+AQ51+AQ52+AQ53+AQ54+AQ55+AQ56+AQ57+AQ58+AQ59+AQ60+AQ61+AQ62+AQ63</f>
        <v>0</v>
      </c>
      <c r="AR67" s="733">
        <f>AR8+AR26+AR27+AR28+AR29+AR30+AR31+AR32+AR33+AR34+AR46+AR48+AR49+AR50+AR51+AR52+AR53+AR54+AR55+AR56+AR57+AR58+AR59+AR60+AR61+AR62+AR63</f>
        <v>0</v>
      </c>
      <c r="AS67" s="733">
        <f>AS8+AS26+AS27+AS28+AS29+AS30+AS31+AS32+AS33+AS34+AS46+AS47+AS49+AS50+AS51+AS52+AS53+AS54+AS55+AS56+AS57+AS58+AS59+AS60+AS61+AS62+AS63</f>
        <v>0</v>
      </c>
      <c r="AT67" s="729">
        <f>AT8+AT26+AT27+AT28+AT29+AT30+AT31+AT32+AT33+AT34+AT46+AT47+AT48+AT50+AT51+AT52+AT53+AT54+AT55+AT56+AT57+AT58+AT59+AT60+AT61+AT62+AT63</f>
        <v>0.44999999999999996</v>
      </c>
      <c r="AU67" s="733">
        <f>AU8+AU26+AU27+AU28+AU29+AU30+AU31+AU32+AU33+AU34+AU46+AU47+AU48+AU49+AU51+AU52+AU53+AU54+AU55+AU56+AU57+AU58+AU59+AU60+AU61+AU62+AU63</f>
        <v>0</v>
      </c>
      <c r="AV67" s="733">
        <f>AV8+AV26+AV27+AV28+AV29+AV30+AV31+AV32+AV33+AV34+AV46+AV47+AV48+AV49+AV50+AV52+AV53+AV54+AV55+AV56+AV57+AV58+AV59+AV60+AV61+AV62+AV63</f>
        <v>0</v>
      </c>
      <c r="AW67" s="733">
        <f>AW8+AW26+AW27+AW28+AW29+AW30+AW31+AW32+AW33+AW34+AW46+AW47+AW48+AW49+AW50+AW51+AW53+AW54+AW55+AW56+AW57+AW58+AW59+AW60+AW61+AW62+AW63</f>
        <v>0</v>
      </c>
      <c r="AX67" s="733">
        <f>AX8+AX26+AX27+AX28+AX29+AX30+AX31+AX32+AX33+AX34+AX46+AX47+AX48+AX49+AX50+AX51+AX52+AX54+AX55+AX56+AX57+AX58+AX59+AX60+AX61+AX62+AX63</f>
        <v>0</v>
      </c>
      <c r="AY67" s="733">
        <f>AY8+AY26+AY27+AY28+AY29+AY30+AY31+AY32+AY33+AY34+AY46+AY47+AY48+AY49+AY50+AY51+AY52+AY53+AY55+AY56+AY57+AY58+AY59+AY60+AY61+AY62+AY63</f>
        <v>0</v>
      </c>
      <c r="AZ67" s="733">
        <f>AZ8+AZ26+AZ27+AZ28+AZ29+AZ30+AZ31+AZ32+AZ33+AZ34+AZ46+AZ47+AZ48+AZ49+AZ50+AZ51+AZ52+AZ53+AZ54+AZ56+AZ57+AZ58+AZ59+AZ60+AZ61+AZ62+AZ63</f>
        <v>0</v>
      </c>
      <c r="BA67" s="729">
        <f>BA8+BA26+BA27+BA28+BA29+BA30+BA31+BA32+BA33+BA34+BA46+BA47+BA48+BA49+BA50+BA51+BA52+BA53+BA54+BA55+BA57+BA58+BA59+BA60+BA61+BA62+BA63</f>
        <v>6.4999999999999991</v>
      </c>
      <c r="BB67" s="733">
        <f>BB8+BB26+BB27+BB28+BB29+BB30+BB31+BB32+BB33+BB34+BB46+BB47+BB48+BB49+BB50+BB51+BB52+BB53+BB54+BB55+BB56+BB58+BB59+BB60+BB61+BB62+BB63</f>
        <v>0</v>
      </c>
      <c r="BC67" s="733">
        <f>BC8+BC26+BC27+BC28+BC29+BC30+BC31+BC32+BC33+BC34+BC46+BC47+BC48+BC49+BC50+BC51+BC52+BC53+BC54+BC55+BC56+BC57+BC59+BC60+BC61+BC62+BC63</f>
        <v>0</v>
      </c>
      <c r="BD67" s="733">
        <f>BD8+BD26+BD27+BD28+BD29+BD30+BD31+BD32+BD33+BD34+BD46+BD47+BD48+BD49+BD50+BD51+BD52+BD53+BD54+BD55+BD56+BD57+BD58+BD60+BD61+BD62+BD63</f>
        <v>0</v>
      </c>
      <c r="BE67" s="733">
        <f>BE8+BE26+BE27+BE28+BE29+BE30+BE31+BE32+BE33+BE34+BE46+BE47+BE48+BE49+BE50+BE51+BE52+BE53+BE54+BE55+BE56+BE57+BE58+BE59+BE61+BE62+BE63</f>
        <v>0</v>
      </c>
      <c r="BF67" s="399">
        <f>BF8+BF26+BF27+BF28+BF29+BF30+BF31+BF32+BF33+BF34+BF46+BF47+BF48+BF49+BF50+BF51+BF52+BF53+BF54+BF55+BF56+BF57+BF58+BF59+BF60+BF62+BF63</f>
        <v>0</v>
      </c>
      <c r="BG67" s="399">
        <f>BG8+BG26+BG27+BG28+BG29+BG30+BG31+BG32+BG33+BG34+BG46+BG47+BG48+BG49+BG50+BG51+BG52+BG53+BG54+BG55+BG56+BG57+BG58+BG59+BG60+BG61+BG63</f>
        <v>0</v>
      </c>
      <c r="BH67" s="399">
        <f>BH8+BH25</f>
        <v>0</v>
      </c>
      <c r="BI67" s="399">
        <f>BI8+BI25+BI65+BI66</f>
        <v>0</v>
      </c>
      <c r="BJ67" s="399">
        <f>BJ8+BJ25+BJ64+BJ66</f>
        <v>0</v>
      </c>
      <c r="BK67" s="399">
        <f>BK8+BK25+BK64+BK65</f>
        <v>0</v>
      </c>
      <c r="BL67" s="399"/>
      <c r="BM67" s="399"/>
      <c r="BN67" s="399"/>
      <c r="BO67" s="478"/>
    </row>
    <row r="68" spans="1:68" s="117" customFormat="1" ht="31.5" customHeight="1">
      <c r="A68" s="18"/>
      <c r="B68" s="149" t="s">
        <v>695</v>
      </c>
      <c r="C68" s="157"/>
      <c r="D68" s="456">
        <f>BN7</f>
        <v>8173.06</v>
      </c>
      <c r="E68" s="456">
        <f>BN8</f>
        <v>7525.7651900000001</v>
      </c>
      <c r="F68" s="456">
        <f>BN9</f>
        <v>295.35909000000004</v>
      </c>
      <c r="G68" s="456">
        <f>BN10</f>
        <v>204.55675000000002</v>
      </c>
      <c r="H68" s="456">
        <f>BN11</f>
        <v>140.55225000000002</v>
      </c>
      <c r="I68" s="456">
        <f>BN12</f>
        <v>0</v>
      </c>
      <c r="J68" s="456">
        <f>BN13</f>
        <v>140.55225000000002</v>
      </c>
      <c r="K68" s="456">
        <f>BN14</f>
        <v>0</v>
      </c>
      <c r="L68" s="456">
        <f>BN15</f>
        <v>0</v>
      </c>
      <c r="M68" s="456">
        <f>BN16</f>
        <v>64.004499999999993</v>
      </c>
      <c r="N68" s="456">
        <f>BN17</f>
        <v>90.802340000000001</v>
      </c>
      <c r="O68" s="456">
        <f>BN18</f>
        <v>7229.4561000000003</v>
      </c>
      <c r="P68" s="456">
        <f>BN19</f>
        <v>4319.0600000000004</v>
      </c>
      <c r="Q68" s="456">
        <f>BN20</f>
        <v>0</v>
      </c>
      <c r="R68" s="456">
        <f>BN21</f>
        <v>2910.3960999999999</v>
      </c>
      <c r="S68" s="456">
        <f>BN22</f>
        <v>0.95</v>
      </c>
      <c r="T68" s="456">
        <f>BN23</f>
        <v>0</v>
      </c>
      <c r="U68" s="456">
        <f>BN24</f>
        <v>0</v>
      </c>
      <c r="V68" s="456">
        <f>BN25</f>
        <v>572.30777000000012</v>
      </c>
      <c r="W68" s="456">
        <f>BN26</f>
        <v>63.778669999999998</v>
      </c>
      <c r="X68" s="456">
        <f>BN27</f>
        <v>0</v>
      </c>
      <c r="Y68" s="456">
        <f>BN28</f>
        <v>0</v>
      </c>
      <c r="Z68" s="456">
        <f>BN29</f>
        <v>0</v>
      </c>
      <c r="AA68" s="456">
        <f>BN30</f>
        <v>0</v>
      </c>
      <c r="AB68" s="456">
        <f>BN31</f>
        <v>0.32517000000000001</v>
      </c>
      <c r="AC68" s="456">
        <f>BN32</f>
        <v>3.47</v>
      </c>
      <c r="AD68" s="456">
        <f>BN33</f>
        <v>0</v>
      </c>
      <c r="AE68" s="456">
        <f>BN34</f>
        <v>58.238599999999998</v>
      </c>
      <c r="AF68" s="456">
        <f>BN35</f>
        <v>0</v>
      </c>
      <c r="AG68" s="456">
        <f>BN36</f>
        <v>0.2</v>
      </c>
      <c r="AH68" s="456">
        <f>BN37</f>
        <v>2.1367100000000003</v>
      </c>
      <c r="AI68" s="456">
        <f>BN38</f>
        <v>0.49</v>
      </c>
      <c r="AJ68" s="456">
        <f>BN39</f>
        <v>0</v>
      </c>
      <c r="AK68" s="456">
        <f>BN40</f>
        <v>0</v>
      </c>
      <c r="AL68" s="456">
        <f>BN41</f>
        <v>44.960990000000002</v>
      </c>
      <c r="AM68" s="456">
        <f>BN42</f>
        <v>10.20673</v>
      </c>
      <c r="AN68" s="456">
        <f>BN43</f>
        <v>0.01</v>
      </c>
      <c r="AO68" s="456">
        <f>BN44</f>
        <v>1.255E-2</v>
      </c>
      <c r="AP68" s="456">
        <f>BN45</f>
        <v>0.22162000000000001</v>
      </c>
      <c r="AQ68" s="456">
        <f>BN46</f>
        <v>0</v>
      </c>
      <c r="AR68" s="456">
        <f>BN47</f>
        <v>0</v>
      </c>
      <c r="AS68" s="456">
        <f>BN48</f>
        <v>0</v>
      </c>
      <c r="AT68" s="456">
        <f>BN49</f>
        <v>13.379549999999998</v>
      </c>
      <c r="AU68" s="456">
        <f>BN50</f>
        <v>0</v>
      </c>
      <c r="AV68" s="456">
        <f>BN51</f>
        <v>0.45577999999999996</v>
      </c>
      <c r="AW68" s="456">
        <f>BN52</f>
        <v>0</v>
      </c>
      <c r="AX68" s="456">
        <f>BN53</f>
        <v>0</v>
      </c>
      <c r="AY68" s="456">
        <f>BN54</f>
        <v>0</v>
      </c>
      <c r="AZ68" s="456">
        <f>BN55</f>
        <v>0</v>
      </c>
      <c r="BA68" s="456">
        <f>BN56</f>
        <v>6.4999999999999991</v>
      </c>
      <c r="BB68" s="456">
        <f>BN57</f>
        <v>0.62</v>
      </c>
      <c r="BC68" s="456">
        <f>BN58</f>
        <v>0.08</v>
      </c>
      <c r="BD68" s="456">
        <f>BN59</f>
        <v>0</v>
      </c>
      <c r="BE68" s="456">
        <f>BN60</f>
        <v>66.790000000000006</v>
      </c>
      <c r="BF68" s="456">
        <f>BN61</f>
        <v>358.67</v>
      </c>
      <c r="BG68" s="456">
        <f>BN62</f>
        <v>0</v>
      </c>
      <c r="BH68" s="456">
        <f>BN63</f>
        <v>74.987039999999993</v>
      </c>
      <c r="BI68" s="456">
        <f>BN64</f>
        <v>9.7170400000000008</v>
      </c>
      <c r="BJ68" s="456">
        <f>BN65</f>
        <v>65.27</v>
      </c>
      <c r="BK68" s="456">
        <f>BN66</f>
        <v>0</v>
      </c>
      <c r="BL68" s="456"/>
      <c r="BM68" s="456"/>
      <c r="BN68" s="456"/>
      <c r="BO68" s="481"/>
    </row>
    <row r="69" spans="1:68" ht="24.95" customHeight="1">
      <c r="Y69">
        <v>167.86</v>
      </c>
      <c r="Z69">
        <f>Y69+Y70</f>
        <v>168.81</v>
      </c>
    </row>
    <row r="70" spans="1:68" ht="18" customHeight="1">
      <c r="A70" s="1300" t="s">
        <v>10</v>
      </c>
      <c r="B70" s="1300"/>
      <c r="Y70">
        <v>0.95</v>
      </c>
      <c r="Z70" t="s">
        <v>468</v>
      </c>
    </row>
    <row r="71" spans="1:68" ht="28.5" customHeight="1">
      <c r="A71" s="1300" t="s">
        <v>321</v>
      </c>
      <c r="B71" s="1300"/>
      <c r="C71" s="1300"/>
      <c r="D71" s="1300"/>
      <c r="E71" s="1300"/>
      <c r="F71" s="1300"/>
      <c r="G71" s="1300"/>
      <c r="H71" s="1300"/>
      <c r="I71" s="1300"/>
      <c r="J71" s="1300"/>
      <c r="K71" s="1300"/>
      <c r="L71" s="1300"/>
      <c r="M71" s="1300"/>
      <c r="N71" s="1300"/>
      <c r="O71" s="1300"/>
      <c r="P71" s="1300"/>
      <c r="Q71" s="1300"/>
      <c r="R71" s="1300"/>
      <c r="S71" s="1300"/>
      <c r="T71" s="1300"/>
      <c r="U71" s="1300"/>
      <c r="V71" s="1300"/>
      <c r="W71" s="1300"/>
      <c r="X71" s="1300"/>
      <c r="Y71" s="1300"/>
      <c r="Z71" s="1300"/>
      <c r="AA71" s="1300"/>
      <c r="AB71" s="1300"/>
      <c r="AC71" s="1300"/>
      <c r="AD71" s="1300"/>
      <c r="AE71" s="1300"/>
      <c r="AF71" s="1300"/>
      <c r="AG71" s="1300"/>
      <c r="AH71" s="1300"/>
      <c r="AI71" s="1300"/>
      <c r="AJ71" s="1300"/>
      <c r="AK71" s="1300"/>
      <c r="AL71" s="1300"/>
      <c r="AM71" s="1300"/>
      <c r="AN71" s="1300"/>
      <c r="AO71" s="1300"/>
      <c r="AP71" s="1300"/>
      <c r="AQ71" s="1300"/>
      <c r="AR71" s="1300"/>
      <c r="AS71" s="1300"/>
    </row>
    <row r="72" spans="1:68" ht="24.75" customHeight="1">
      <c r="A72" s="1300" t="s">
        <v>322</v>
      </c>
      <c r="B72" s="1300"/>
      <c r="C72" s="1300"/>
      <c r="D72" s="1300"/>
      <c r="E72" s="1300"/>
      <c r="F72" s="1300"/>
      <c r="G72" s="1300"/>
      <c r="H72" s="1300"/>
      <c r="I72" s="1300"/>
      <c r="J72" s="1300"/>
      <c r="K72" s="1300"/>
      <c r="L72" s="1300"/>
      <c r="M72" s="1300"/>
      <c r="N72" s="1300"/>
      <c r="O72" s="1300"/>
      <c r="P72" s="1300"/>
      <c r="Q72" s="1300"/>
      <c r="R72" s="1300"/>
      <c r="S72" s="1300"/>
      <c r="T72" s="1300"/>
      <c r="U72" s="1300"/>
      <c r="V72" s="1300"/>
      <c r="W72" s="1300"/>
      <c r="X72" s="1300"/>
      <c r="Y72" s="1300"/>
      <c r="Z72" s="1300"/>
      <c r="AA72" s="1300"/>
      <c r="AB72" s="1300"/>
      <c r="AC72" s="1300"/>
      <c r="AD72" s="1300"/>
      <c r="AE72" s="1300"/>
      <c r="AF72" s="1300"/>
      <c r="AG72" s="1300"/>
      <c r="AH72" s="1300"/>
      <c r="AI72" s="1300"/>
      <c r="AJ72" s="1300"/>
      <c r="AK72" s="1300"/>
      <c r="AL72" s="1300"/>
      <c r="AM72" s="1300"/>
      <c r="AN72" s="1300"/>
      <c r="AO72" s="1300"/>
      <c r="AP72" s="1300"/>
      <c r="AQ72" s="1300"/>
      <c r="AR72" s="1300"/>
      <c r="AS72" s="1300"/>
    </row>
    <row r="73" spans="1:68" ht="21.75" customHeight="1">
      <c r="AR73" s="1300" t="s">
        <v>138</v>
      </c>
      <c r="AS73" s="1300"/>
    </row>
    <row r="74" spans="1:68" ht="31.5" customHeight="1">
      <c r="A74" s="1300" t="s">
        <v>0</v>
      </c>
      <c r="B74" s="1300" t="s">
        <v>12</v>
      </c>
      <c r="C74" s="1300" t="s">
        <v>13</v>
      </c>
      <c r="D74" s="1300" t="s">
        <v>324</v>
      </c>
      <c r="E74" s="1300" t="s">
        <v>326</v>
      </c>
      <c r="F74" s="1300"/>
      <c r="G74" s="1300"/>
      <c r="H74" s="1300"/>
      <c r="I74" s="1300"/>
      <c r="J74" s="1300"/>
      <c r="K74" s="1300"/>
      <c r="L74" s="1300"/>
      <c r="M74" s="1300"/>
      <c r="N74" s="1300"/>
      <c r="O74" s="1300"/>
      <c r="P74" s="1300"/>
      <c r="Q74" s="1300"/>
      <c r="R74" s="1300"/>
      <c r="S74" s="1300"/>
      <c r="T74" s="1300"/>
      <c r="U74" s="1300"/>
      <c r="V74" s="1300"/>
      <c r="W74" s="1300"/>
      <c r="X74" s="1300"/>
      <c r="Y74" s="1300"/>
      <c r="Z74" s="1300"/>
      <c r="AA74" s="1300"/>
      <c r="AB74" s="1300"/>
      <c r="AC74" s="1300"/>
      <c r="AD74" s="1300"/>
      <c r="AE74" s="1300"/>
      <c r="AF74" s="1300"/>
      <c r="AG74" s="1300"/>
      <c r="AH74" s="1300"/>
      <c r="AI74" s="1300"/>
      <c r="AJ74" s="1300"/>
      <c r="AK74" s="1300"/>
      <c r="AL74" s="1300"/>
      <c r="AM74" s="1300"/>
      <c r="AN74" s="1300"/>
      <c r="AO74" s="1300"/>
      <c r="AP74" s="1300"/>
      <c r="AQ74" s="1300"/>
      <c r="AR74" s="1300" t="s">
        <v>191</v>
      </c>
      <c r="AS74" s="1300" t="s">
        <v>323</v>
      </c>
    </row>
    <row r="75" spans="1:68" ht="30" customHeight="1">
      <c r="A75" s="1300"/>
      <c r="B75" s="1300"/>
      <c r="C75" s="1300"/>
      <c r="D75" s="1300"/>
      <c r="E75" t="s">
        <v>15</v>
      </c>
      <c r="F75" t="s">
        <v>18</v>
      </c>
      <c r="G75" t="s">
        <v>20</v>
      </c>
      <c r="H75" t="s">
        <v>23</v>
      </c>
      <c r="I75" t="s">
        <v>26</v>
      </c>
      <c r="J75" t="s">
        <v>29</v>
      </c>
      <c r="K75" t="s">
        <v>32</v>
      </c>
      <c r="L75" t="s">
        <v>35</v>
      </c>
      <c r="M75" t="s">
        <v>38</v>
      </c>
      <c r="N75" t="s">
        <v>41</v>
      </c>
      <c r="O75" t="s">
        <v>44</v>
      </c>
      <c r="P75" t="s">
        <v>46</v>
      </c>
      <c r="Q75" t="s">
        <v>49</v>
      </c>
      <c r="R75" t="s">
        <v>52</v>
      </c>
      <c r="S75" t="s">
        <v>55</v>
      </c>
      <c r="T75" t="s">
        <v>58</v>
      </c>
      <c r="U75" t="s">
        <v>61</v>
      </c>
      <c r="V75" s="103" t="s">
        <v>64</v>
      </c>
      <c r="W75" t="s">
        <v>67</v>
      </c>
      <c r="X75" t="s">
        <v>70</v>
      </c>
      <c r="Y75" t="s">
        <v>72</v>
      </c>
      <c r="Z75" t="s">
        <v>75</v>
      </c>
      <c r="AA75" t="s">
        <v>78</v>
      </c>
      <c r="AB75" t="s">
        <v>81</v>
      </c>
      <c r="AC75" t="s">
        <v>84</v>
      </c>
      <c r="AD75" t="s">
        <v>87</v>
      </c>
      <c r="AE75" t="s">
        <v>90</v>
      </c>
      <c r="AF75" t="s">
        <v>93</v>
      </c>
      <c r="AG75" t="s">
        <v>96</v>
      </c>
      <c r="AH75" t="s">
        <v>99</v>
      </c>
      <c r="AI75" t="s">
        <v>101</v>
      </c>
      <c r="AJ75" t="s">
        <v>104</v>
      </c>
      <c r="AK75" t="s">
        <v>107</v>
      </c>
      <c r="AL75" t="s">
        <v>110</v>
      </c>
      <c r="AM75" t="s">
        <v>113</v>
      </c>
      <c r="AN75" t="s">
        <v>116</v>
      </c>
      <c r="AO75" t="s">
        <v>119</v>
      </c>
      <c r="AP75" t="s">
        <v>122</v>
      </c>
      <c r="AQ75" t="s">
        <v>124</v>
      </c>
      <c r="AR75" s="1300"/>
      <c r="AS75" s="1300"/>
    </row>
    <row r="76" spans="1:68" ht="27.75" customHeight="1">
      <c r="B76" t="s">
        <v>189</v>
      </c>
      <c r="D76">
        <f>D77+D88+D115</f>
        <v>8173.0599999999995</v>
      </c>
      <c r="E76">
        <f t="shared" ref="E76:AS76" si="33">E77+E88+E115</f>
        <v>7525.7651899999992</v>
      </c>
      <c r="F76">
        <f t="shared" si="33"/>
        <v>140.55225000000002</v>
      </c>
      <c r="G76">
        <f t="shared" si="33"/>
        <v>0</v>
      </c>
      <c r="H76">
        <f t="shared" si="33"/>
        <v>64.004499999999993</v>
      </c>
      <c r="I76">
        <f t="shared" si="33"/>
        <v>90.802340000000001</v>
      </c>
      <c r="J76">
        <f>J77+J88+J115</f>
        <v>4319.0600000000004</v>
      </c>
      <c r="K76">
        <f t="shared" si="33"/>
        <v>-6.47</v>
      </c>
      <c r="L76">
        <f t="shared" si="33"/>
        <v>2916.8660999999997</v>
      </c>
      <c r="M76">
        <f t="shared" si="33"/>
        <v>0.95</v>
      </c>
      <c r="N76">
        <f t="shared" si="33"/>
        <v>0</v>
      </c>
      <c r="O76">
        <f t="shared" si="33"/>
        <v>0</v>
      </c>
      <c r="P76">
        <f t="shared" si="33"/>
        <v>572.30777000000012</v>
      </c>
      <c r="Q76">
        <f t="shared" si="33"/>
        <v>63.778669999999998</v>
      </c>
      <c r="R76">
        <f t="shared" si="33"/>
        <v>0</v>
      </c>
      <c r="S76">
        <f t="shared" si="33"/>
        <v>0</v>
      </c>
      <c r="T76">
        <f t="shared" si="33"/>
        <v>0</v>
      </c>
      <c r="U76">
        <f t="shared" si="33"/>
        <v>0</v>
      </c>
      <c r="V76" s="103">
        <f t="shared" si="33"/>
        <v>0.32517000000000001</v>
      </c>
      <c r="W76">
        <f t="shared" si="33"/>
        <v>3.47</v>
      </c>
      <c r="X76">
        <f t="shared" si="33"/>
        <v>0</v>
      </c>
      <c r="Y76">
        <f t="shared" si="33"/>
        <v>58.238599999999998</v>
      </c>
      <c r="Z76">
        <f t="shared" si="33"/>
        <v>0</v>
      </c>
      <c r="AA76">
        <f t="shared" si="33"/>
        <v>0</v>
      </c>
      <c r="AB76">
        <f t="shared" si="33"/>
        <v>0</v>
      </c>
      <c r="AC76">
        <f t="shared" si="33"/>
        <v>13.37955</v>
      </c>
      <c r="AD76">
        <f t="shared" si="33"/>
        <v>0</v>
      </c>
      <c r="AE76">
        <f t="shared" si="33"/>
        <v>0.45577999999999996</v>
      </c>
      <c r="AF76">
        <f t="shared" si="33"/>
        <v>0</v>
      </c>
      <c r="AG76">
        <f t="shared" si="33"/>
        <v>0</v>
      </c>
      <c r="AH76">
        <f t="shared" si="33"/>
        <v>0</v>
      </c>
      <c r="AI76">
        <f t="shared" si="33"/>
        <v>0</v>
      </c>
      <c r="AJ76">
        <f t="shared" si="33"/>
        <v>6.5</v>
      </c>
      <c r="AK76">
        <f t="shared" si="33"/>
        <v>0.62</v>
      </c>
      <c r="AL76">
        <f t="shared" si="33"/>
        <v>0.08</v>
      </c>
      <c r="AM76">
        <f t="shared" si="33"/>
        <v>0</v>
      </c>
      <c r="AN76">
        <f t="shared" si="33"/>
        <v>66.790000000000006</v>
      </c>
      <c r="AO76">
        <f t="shared" si="33"/>
        <v>358.67</v>
      </c>
      <c r="AP76">
        <f t="shared" si="33"/>
        <v>0</v>
      </c>
      <c r="AQ76">
        <f t="shared" si="33"/>
        <v>0.08</v>
      </c>
      <c r="AS76">
        <f t="shared" si="33"/>
        <v>8173.0599999999995</v>
      </c>
    </row>
    <row r="77" spans="1:68" ht="20.25" customHeight="1">
      <c r="A77">
        <v>1</v>
      </c>
      <c r="B77" t="s">
        <v>14</v>
      </c>
      <c r="C77" t="s">
        <v>15</v>
      </c>
      <c r="D77">
        <f>D78+D80+D81+D82+D83+D84+D85+D86+D87</f>
        <v>7532.6051899999993</v>
      </c>
      <c r="E77">
        <f t="shared" ref="E77:AS77" si="34">E78+E80+E81+E82+E83+E84+E85+E86+E87</f>
        <v>7525.7651899999992</v>
      </c>
      <c r="F77">
        <f t="shared" si="34"/>
        <v>140.55225000000002</v>
      </c>
      <c r="G77">
        <f t="shared" si="34"/>
        <v>0</v>
      </c>
      <c r="H77">
        <f t="shared" si="34"/>
        <v>64.004499999999993</v>
      </c>
      <c r="I77">
        <f t="shared" si="34"/>
        <v>90.802340000000001</v>
      </c>
      <c r="J77">
        <f t="shared" si="34"/>
        <v>4319.0600000000004</v>
      </c>
      <c r="K77">
        <f t="shared" si="34"/>
        <v>-6.47</v>
      </c>
      <c r="L77">
        <f t="shared" si="34"/>
        <v>2916.8660999999997</v>
      </c>
      <c r="M77">
        <f t="shared" si="34"/>
        <v>0.95</v>
      </c>
      <c r="N77">
        <f t="shared" si="34"/>
        <v>0</v>
      </c>
      <c r="O77">
        <f t="shared" si="34"/>
        <v>0</v>
      </c>
      <c r="P77">
        <f>P78+P80+P81+P82+P83+P84+P85+P86+P87</f>
        <v>6.84</v>
      </c>
      <c r="Q77">
        <f t="shared" si="34"/>
        <v>0</v>
      </c>
      <c r="R77">
        <f t="shared" si="34"/>
        <v>0</v>
      </c>
      <c r="S77">
        <f t="shared" si="34"/>
        <v>0</v>
      </c>
      <c r="T77">
        <f t="shared" si="34"/>
        <v>0</v>
      </c>
      <c r="U77">
        <f t="shared" si="34"/>
        <v>0</v>
      </c>
      <c r="V77" s="103">
        <f t="shared" si="34"/>
        <v>0</v>
      </c>
      <c r="W77">
        <f t="shared" si="34"/>
        <v>0</v>
      </c>
      <c r="X77">
        <f t="shared" si="34"/>
        <v>0</v>
      </c>
      <c r="Y77">
        <f t="shared" si="34"/>
        <v>7.0000000000000007E-2</v>
      </c>
      <c r="Z77">
        <f t="shared" si="34"/>
        <v>0</v>
      </c>
      <c r="AA77">
        <f t="shared" si="34"/>
        <v>0</v>
      </c>
      <c r="AB77">
        <f t="shared" si="34"/>
        <v>0</v>
      </c>
      <c r="AC77">
        <f t="shared" si="34"/>
        <v>0.3</v>
      </c>
      <c r="AD77">
        <f t="shared" si="34"/>
        <v>0</v>
      </c>
      <c r="AE77">
        <f t="shared" si="34"/>
        <v>0</v>
      </c>
      <c r="AF77">
        <f t="shared" si="34"/>
        <v>0</v>
      </c>
      <c r="AG77">
        <f t="shared" si="34"/>
        <v>0</v>
      </c>
      <c r="AH77">
        <f t="shared" si="34"/>
        <v>0</v>
      </c>
      <c r="AI77">
        <f t="shared" si="34"/>
        <v>0</v>
      </c>
      <c r="AJ77">
        <f t="shared" si="34"/>
        <v>6.47</v>
      </c>
      <c r="AK77">
        <f t="shared" si="34"/>
        <v>0</v>
      </c>
      <c r="AL77">
        <f t="shared" si="34"/>
        <v>0</v>
      </c>
      <c r="AM77">
        <f t="shared" si="34"/>
        <v>0</v>
      </c>
      <c r="AN77">
        <f t="shared" si="34"/>
        <v>0</v>
      </c>
      <c r="AO77">
        <f t="shared" si="34"/>
        <v>0</v>
      </c>
      <c r="AP77">
        <f t="shared" si="34"/>
        <v>0</v>
      </c>
      <c r="AQ77">
        <f t="shared" si="34"/>
        <v>0</v>
      </c>
      <c r="AR77">
        <f>P77</f>
        <v>6.84</v>
      </c>
      <c r="AS77">
        <f t="shared" si="34"/>
        <v>7525.7651899999992</v>
      </c>
    </row>
    <row r="78" spans="1:68" ht="20.25" customHeight="1">
      <c r="A78" t="s">
        <v>16</v>
      </c>
      <c r="B78" t="s">
        <v>17</v>
      </c>
      <c r="C78" t="s">
        <v>18</v>
      </c>
      <c r="D78">
        <f>D11</f>
        <v>140.62225000000001</v>
      </c>
      <c r="E78">
        <f>F78+H78+I78+J78+K78+L78+M78+N78+O78</f>
        <v>140.55225000000002</v>
      </c>
      <c r="F78">
        <f>D78-AR78</f>
        <v>140.55225000000002</v>
      </c>
      <c r="G78">
        <f>I13</f>
        <v>0</v>
      </c>
      <c r="H78">
        <f>M11</f>
        <v>0</v>
      </c>
      <c r="I78">
        <f>N11</f>
        <v>0</v>
      </c>
      <c r="J78">
        <f t="shared" ref="J78:O79" si="35">P11</f>
        <v>0</v>
      </c>
      <c r="K78">
        <f t="shared" si="35"/>
        <v>0</v>
      </c>
      <c r="L78">
        <f t="shared" si="35"/>
        <v>0</v>
      </c>
      <c r="M78">
        <f t="shared" si="35"/>
        <v>0</v>
      </c>
      <c r="N78">
        <f t="shared" si="35"/>
        <v>0</v>
      </c>
      <c r="O78">
        <f t="shared" si="35"/>
        <v>0</v>
      </c>
      <c r="P78">
        <f>SUM(Q78:AP78)</f>
        <v>7.0000000000000007E-2</v>
      </c>
      <c r="Q78">
        <f t="shared" ref="Q78:Y79" si="36">W11</f>
        <v>0</v>
      </c>
      <c r="R78">
        <f t="shared" si="36"/>
        <v>0</v>
      </c>
      <c r="S78">
        <f t="shared" si="36"/>
        <v>0</v>
      </c>
      <c r="T78">
        <f t="shared" si="36"/>
        <v>0</v>
      </c>
      <c r="U78">
        <f t="shared" si="36"/>
        <v>0</v>
      </c>
      <c r="V78" s="103">
        <f t="shared" si="36"/>
        <v>0</v>
      </c>
      <c r="W78">
        <f t="shared" si="36"/>
        <v>0</v>
      </c>
      <c r="X78">
        <f t="shared" si="36"/>
        <v>0</v>
      </c>
      <c r="Y78">
        <f t="shared" si="36"/>
        <v>7.0000000000000007E-2</v>
      </c>
      <c r="Z78">
        <f>AQ11</f>
        <v>0</v>
      </c>
      <c r="AA78">
        <f t="shared" ref="AA78:AQ79" si="37">AR11</f>
        <v>0</v>
      </c>
      <c r="AB78">
        <f t="shared" si="37"/>
        <v>0</v>
      </c>
      <c r="AC78">
        <f t="shared" si="37"/>
        <v>0</v>
      </c>
      <c r="AD78">
        <f t="shared" si="37"/>
        <v>0</v>
      </c>
      <c r="AE78">
        <f t="shared" si="37"/>
        <v>0</v>
      </c>
      <c r="AF78">
        <f t="shared" si="37"/>
        <v>0</v>
      </c>
      <c r="AG78">
        <f t="shared" si="37"/>
        <v>0</v>
      </c>
      <c r="AH78">
        <f t="shared" si="37"/>
        <v>0</v>
      </c>
      <c r="AI78">
        <f t="shared" si="37"/>
        <v>0</v>
      </c>
      <c r="AJ78">
        <f t="shared" si="37"/>
        <v>0</v>
      </c>
      <c r="AK78">
        <f t="shared" si="37"/>
        <v>0</v>
      </c>
      <c r="AL78">
        <f t="shared" si="37"/>
        <v>0</v>
      </c>
      <c r="AM78">
        <f t="shared" si="37"/>
        <v>0</v>
      </c>
      <c r="AN78">
        <f t="shared" si="37"/>
        <v>0</v>
      </c>
      <c r="AO78">
        <f t="shared" si="37"/>
        <v>0</v>
      </c>
      <c r="AP78">
        <f t="shared" si="37"/>
        <v>0</v>
      </c>
      <c r="AQ78">
        <f t="shared" si="37"/>
        <v>0</v>
      </c>
      <c r="AR78">
        <f>H78+I78+J78+K78+L78+M78+N78+O78+P78+AQ78</f>
        <v>7.0000000000000007E-2</v>
      </c>
      <c r="AS78">
        <f>D78+F116-AR78</f>
        <v>140.55225000000002</v>
      </c>
    </row>
    <row r="79" spans="1:68" ht="20.25" customHeight="1">
      <c r="B79" t="s">
        <v>19</v>
      </c>
      <c r="C79" t="s">
        <v>20</v>
      </c>
      <c r="D79">
        <f>D12</f>
        <v>0</v>
      </c>
      <c r="E79">
        <f t="shared" ref="E79:E114" si="38">F79+H79+I79+J79+K79+L79+M79+N79+O79</f>
        <v>0</v>
      </c>
      <c r="G79">
        <f>D79-AR79</f>
        <v>0</v>
      </c>
      <c r="H79">
        <f>M12</f>
        <v>0</v>
      </c>
      <c r="I79">
        <f>N12</f>
        <v>0</v>
      </c>
      <c r="J79">
        <f t="shared" si="35"/>
        <v>0</v>
      </c>
      <c r="K79">
        <f t="shared" si="35"/>
        <v>0</v>
      </c>
      <c r="L79">
        <f t="shared" si="35"/>
        <v>0</v>
      </c>
      <c r="M79">
        <f t="shared" si="35"/>
        <v>0</v>
      </c>
      <c r="N79">
        <f t="shared" si="35"/>
        <v>0</v>
      </c>
      <c r="O79">
        <f t="shared" si="35"/>
        <v>0</v>
      </c>
      <c r="P79">
        <f t="shared" ref="P79:P87" si="39">SUM(Q79:AP79)</f>
        <v>0</v>
      </c>
      <c r="Q79">
        <f t="shared" si="36"/>
        <v>0</v>
      </c>
      <c r="R79">
        <f t="shared" si="36"/>
        <v>0</v>
      </c>
      <c r="S79">
        <f t="shared" si="36"/>
        <v>0</v>
      </c>
      <c r="T79">
        <f t="shared" si="36"/>
        <v>0</v>
      </c>
      <c r="U79">
        <f t="shared" si="36"/>
        <v>0</v>
      </c>
      <c r="V79" s="103">
        <f t="shared" si="36"/>
        <v>0</v>
      </c>
      <c r="W79">
        <f t="shared" si="36"/>
        <v>0</v>
      </c>
      <c r="X79">
        <f t="shared" si="36"/>
        <v>0</v>
      </c>
      <c r="Y79">
        <f t="shared" si="36"/>
        <v>0</v>
      </c>
      <c r="Z79">
        <f>AQ12</f>
        <v>0</v>
      </c>
      <c r="AA79">
        <f t="shared" si="37"/>
        <v>0</v>
      </c>
      <c r="AB79">
        <f t="shared" si="37"/>
        <v>0</v>
      </c>
      <c r="AC79">
        <f t="shared" si="37"/>
        <v>0</v>
      </c>
      <c r="AD79">
        <f t="shared" si="37"/>
        <v>0</v>
      </c>
      <c r="AE79">
        <f t="shared" si="37"/>
        <v>0</v>
      </c>
      <c r="AF79">
        <f t="shared" si="37"/>
        <v>0</v>
      </c>
      <c r="AG79">
        <f t="shared" si="37"/>
        <v>0</v>
      </c>
      <c r="AH79">
        <f t="shared" si="37"/>
        <v>0</v>
      </c>
      <c r="AI79">
        <f t="shared" si="37"/>
        <v>0</v>
      </c>
      <c r="AJ79">
        <f t="shared" si="37"/>
        <v>0</v>
      </c>
      <c r="AK79">
        <f t="shared" si="37"/>
        <v>0</v>
      </c>
      <c r="AL79">
        <f t="shared" si="37"/>
        <v>0</v>
      </c>
      <c r="AM79">
        <f t="shared" si="37"/>
        <v>0</v>
      </c>
      <c r="AN79">
        <f t="shared" si="37"/>
        <v>0</v>
      </c>
      <c r="AO79">
        <f t="shared" si="37"/>
        <v>0</v>
      </c>
      <c r="AP79">
        <f t="shared" si="37"/>
        <v>0</v>
      </c>
      <c r="AQ79">
        <f t="shared" si="37"/>
        <v>0</v>
      </c>
      <c r="AR79">
        <f>F79+H79+I79+J79+K79+L79+M79+N79+O79+P79</f>
        <v>0</v>
      </c>
      <c r="AS79">
        <f>D79+G116-AR79</f>
        <v>0</v>
      </c>
    </row>
    <row r="80" spans="1:68" ht="20.25" customHeight="1">
      <c r="A80" t="s">
        <v>21</v>
      </c>
      <c r="B80" t="s">
        <v>22</v>
      </c>
      <c r="C80" t="s">
        <v>23</v>
      </c>
      <c r="D80">
        <f>D16</f>
        <v>64.004499999999993</v>
      </c>
      <c r="E80">
        <f t="shared" si="38"/>
        <v>64.004499999999993</v>
      </c>
      <c r="F80">
        <f>H16</f>
        <v>0</v>
      </c>
      <c r="G80">
        <f>I16</f>
        <v>0</v>
      </c>
      <c r="H80">
        <f>D80-AR80</f>
        <v>64.004499999999993</v>
      </c>
      <c r="I80">
        <f>N16</f>
        <v>0</v>
      </c>
      <c r="J80">
        <f t="shared" ref="J80:O81" si="40">P16</f>
        <v>0</v>
      </c>
      <c r="K80">
        <f t="shared" si="40"/>
        <v>0</v>
      </c>
      <c r="L80">
        <f t="shared" si="40"/>
        <v>0</v>
      </c>
      <c r="M80">
        <f t="shared" si="40"/>
        <v>0</v>
      </c>
      <c r="N80">
        <f t="shared" si="40"/>
        <v>0</v>
      </c>
      <c r="O80">
        <f t="shared" si="40"/>
        <v>0</v>
      </c>
      <c r="P80">
        <f t="shared" si="39"/>
        <v>0</v>
      </c>
      <c r="Q80">
        <f t="shared" ref="Q80:Y81" si="41">W16</f>
        <v>0</v>
      </c>
      <c r="R80">
        <f t="shared" si="41"/>
        <v>0</v>
      </c>
      <c r="S80">
        <f t="shared" si="41"/>
        <v>0</v>
      </c>
      <c r="T80">
        <f t="shared" si="41"/>
        <v>0</v>
      </c>
      <c r="U80">
        <f t="shared" si="41"/>
        <v>0</v>
      </c>
      <c r="V80" s="103">
        <f t="shared" si="41"/>
        <v>0</v>
      </c>
      <c r="W80">
        <f t="shared" si="41"/>
        <v>0</v>
      </c>
      <c r="X80">
        <f t="shared" si="41"/>
        <v>0</v>
      </c>
      <c r="Y80">
        <f t="shared" si="41"/>
        <v>0</v>
      </c>
      <c r="Z80">
        <f>AQ16</f>
        <v>0</v>
      </c>
      <c r="AA80">
        <f t="shared" ref="AA80:AQ81" si="42">AR16</f>
        <v>0</v>
      </c>
      <c r="AB80">
        <f t="shared" si="42"/>
        <v>0</v>
      </c>
      <c r="AC80">
        <f t="shared" si="42"/>
        <v>0</v>
      </c>
      <c r="AD80">
        <f t="shared" si="42"/>
        <v>0</v>
      </c>
      <c r="AE80">
        <f t="shared" si="42"/>
        <v>0</v>
      </c>
      <c r="AF80">
        <f t="shared" si="42"/>
        <v>0</v>
      </c>
      <c r="AG80">
        <f t="shared" si="42"/>
        <v>0</v>
      </c>
      <c r="AH80">
        <f t="shared" si="42"/>
        <v>0</v>
      </c>
      <c r="AI80">
        <f t="shared" si="42"/>
        <v>0</v>
      </c>
      <c r="AJ80">
        <f t="shared" si="42"/>
        <v>0</v>
      </c>
      <c r="AK80">
        <f t="shared" si="42"/>
        <v>0</v>
      </c>
      <c r="AL80">
        <f t="shared" si="42"/>
        <v>0</v>
      </c>
      <c r="AM80">
        <f t="shared" si="42"/>
        <v>0</v>
      </c>
      <c r="AN80">
        <f t="shared" si="42"/>
        <v>0</v>
      </c>
      <c r="AO80">
        <f t="shared" si="42"/>
        <v>0</v>
      </c>
      <c r="AP80">
        <f t="shared" si="42"/>
        <v>0</v>
      </c>
      <c r="AQ80">
        <f t="shared" si="42"/>
        <v>0</v>
      </c>
      <c r="AR80">
        <f>F80+I80+J80+K80+L80+M80+N80+O80+P80</f>
        <v>0</v>
      </c>
      <c r="AS80">
        <f>D80+H116-AR80</f>
        <v>64.004499999999993</v>
      </c>
    </row>
    <row r="81" spans="1:45" ht="20.25" customHeight="1">
      <c r="A81" t="s">
        <v>24</v>
      </c>
      <c r="B81" t="s">
        <v>25</v>
      </c>
      <c r="C81" t="s">
        <v>26</v>
      </c>
      <c r="D81">
        <f>D17</f>
        <v>91.102339999999998</v>
      </c>
      <c r="E81">
        <f t="shared" si="38"/>
        <v>90.802340000000001</v>
      </c>
      <c r="F81">
        <f>H17</f>
        <v>0</v>
      </c>
      <c r="G81">
        <f>I17</f>
        <v>0</v>
      </c>
      <c r="H81">
        <f>M17</f>
        <v>0</v>
      </c>
      <c r="I81">
        <f>D81-AR81</f>
        <v>90.802340000000001</v>
      </c>
      <c r="J81">
        <f t="shared" si="40"/>
        <v>0</v>
      </c>
      <c r="K81">
        <f t="shared" si="40"/>
        <v>0</v>
      </c>
      <c r="L81">
        <f t="shared" si="40"/>
        <v>0</v>
      </c>
      <c r="M81">
        <f t="shared" si="40"/>
        <v>0</v>
      </c>
      <c r="N81">
        <f t="shared" si="40"/>
        <v>0</v>
      </c>
      <c r="O81">
        <f t="shared" si="40"/>
        <v>0</v>
      </c>
      <c r="P81">
        <f t="shared" si="39"/>
        <v>0.3</v>
      </c>
      <c r="Q81">
        <f t="shared" si="41"/>
        <v>0</v>
      </c>
      <c r="R81">
        <f t="shared" si="41"/>
        <v>0</v>
      </c>
      <c r="S81">
        <f t="shared" si="41"/>
        <v>0</v>
      </c>
      <c r="T81">
        <f t="shared" si="41"/>
        <v>0</v>
      </c>
      <c r="U81">
        <f t="shared" si="41"/>
        <v>0</v>
      </c>
      <c r="V81" s="103">
        <f t="shared" si="41"/>
        <v>0</v>
      </c>
      <c r="W81">
        <f t="shared" si="41"/>
        <v>0</v>
      </c>
      <c r="X81">
        <f t="shared" si="41"/>
        <v>0</v>
      </c>
      <c r="Y81">
        <f t="shared" si="41"/>
        <v>0</v>
      </c>
      <c r="Z81">
        <f>AQ17</f>
        <v>0</v>
      </c>
      <c r="AA81">
        <f t="shared" si="42"/>
        <v>0</v>
      </c>
      <c r="AB81">
        <f t="shared" si="42"/>
        <v>0</v>
      </c>
      <c r="AC81">
        <f t="shared" si="42"/>
        <v>0.3</v>
      </c>
      <c r="AD81">
        <f t="shared" si="42"/>
        <v>0</v>
      </c>
      <c r="AE81">
        <f t="shared" si="42"/>
        <v>0</v>
      </c>
      <c r="AF81">
        <f t="shared" si="42"/>
        <v>0</v>
      </c>
      <c r="AG81">
        <f t="shared" si="42"/>
        <v>0</v>
      </c>
      <c r="AH81">
        <f t="shared" si="42"/>
        <v>0</v>
      </c>
      <c r="AI81">
        <f t="shared" si="42"/>
        <v>0</v>
      </c>
      <c r="AJ81">
        <f t="shared" si="42"/>
        <v>0</v>
      </c>
      <c r="AK81">
        <f t="shared" si="42"/>
        <v>0</v>
      </c>
      <c r="AL81">
        <f t="shared" si="42"/>
        <v>0</v>
      </c>
      <c r="AM81">
        <f t="shared" si="42"/>
        <v>0</v>
      </c>
      <c r="AN81">
        <f t="shared" si="42"/>
        <v>0</v>
      </c>
      <c r="AO81">
        <f t="shared" si="42"/>
        <v>0</v>
      </c>
      <c r="AP81">
        <f t="shared" si="42"/>
        <v>0</v>
      </c>
      <c r="AQ81">
        <f t="shared" si="42"/>
        <v>0</v>
      </c>
      <c r="AR81">
        <f>F81+H81+J81+K81+L81+M81+N81+O81+P81</f>
        <v>0.3</v>
      </c>
      <c r="AS81">
        <f>D81+I116-AR81</f>
        <v>90.802340000000001</v>
      </c>
    </row>
    <row r="82" spans="1:45" ht="20.25" customHeight="1">
      <c r="A82" t="s">
        <v>27</v>
      </c>
      <c r="B82" t="s">
        <v>28</v>
      </c>
      <c r="C82" t="s">
        <v>29</v>
      </c>
      <c r="D82">
        <f t="shared" ref="D82:D87" si="43">D19</f>
        <v>4319.0600000000004</v>
      </c>
      <c r="E82">
        <f t="shared" si="38"/>
        <v>4319.0600000000004</v>
      </c>
      <c r="F82">
        <f>H20</f>
        <v>0</v>
      </c>
      <c r="G82">
        <f>I20</f>
        <v>0</v>
      </c>
      <c r="H82">
        <f>M20</f>
        <v>0</v>
      </c>
      <c r="I82">
        <f>N20</f>
        <v>0</v>
      </c>
      <c r="J82">
        <f>D82-AR82</f>
        <v>4319.0600000000004</v>
      </c>
      <c r="K82">
        <f>Q19</f>
        <v>0</v>
      </c>
      <c r="L82">
        <f>R19</f>
        <v>0</v>
      </c>
      <c r="M82">
        <f t="shared" ref="M82:O83" si="44">S20</f>
        <v>0</v>
      </c>
      <c r="N82">
        <f t="shared" si="44"/>
        <v>0</v>
      </c>
      <c r="O82">
        <f t="shared" si="44"/>
        <v>0</v>
      </c>
      <c r="P82">
        <f t="shared" si="39"/>
        <v>0</v>
      </c>
      <c r="Q82">
        <f>W20</f>
        <v>0</v>
      </c>
      <c r="R82">
        <f>X20</f>
        <v>0</v>
      </c>
      <c r="S82">
        <f>Z20</f>
        <v>0</v>
      </c>
      <c r="T82">
        <f t="shared" ref="T82:Y83" si="45">Z20</f>
        <v>0</v>
      </c>
      <c r="U82">
        <f t="shared" si="45"/>
        <v>0</v>
      </c>
      <c r="V82" s="103">
        <f t="shared" si="45"/>
        <v>0</v>
      </c>
      <c r="W82">
        <f t="shared" si="45"/>
        <v>0</v>
      </c>
      <c r="X82">
        <f t="shared" si="45"/>
        <v>0</v>
      </c>
      <c r="Y82">
        <f t="shared" si="45"/>
        <v>0</v>
      </c>
      <c r="Z82">
        <f>AQ20</f>
        <v>0</v>
      </c>
      <c r="AA82">
        <f t="shared" ref="AA82:AQ83" si="46">AR20</f>
        <v>0</v>
      </c>
      <c r="AB82">
        <f t="shared" si="46"/>
        <v>0</v>
      </c>
      <c r="AC82">
        <f t="shared" si="46"/>
        <v>0</v>
      </c>
      <c r="AD82">
        <f t="shared" si="46"/>
        <v>0</v>
      </c>
      <c r="AE82">
        <f t="shared" si="46"/>
        <v>0</v>
      </c>
      <c r="AF82">
        <f t="shared" si="46"/>
        <v>0</v>
      </c>
      <c r="AG82">
        <f t="shared" si="46"/>
        <v>0</v>
      </c>
      <c r="AH82">
        <f t="shared" si="46"/>
        <v>0</v>
      </c>
      <c r="AI82">
        <f t="shared" si="46"/>
        <v>0</v>
      </c>
      <c r="AJ82">
        <f t="shared" si="46"/>
        <v>0</v>
      </c>
      <c r="AK82">
        <f t="shared" si="46"/>
        <v>0</v>
      </c>
      <c r="AL82">
        <f t="shared" si="46"/>
        <v>0</v>
      </c>
      <c r="AM82">
        <f t="shared" si="46"/>
        <v>0</v>
      </c>
      <c r="AN82">
        <f t="shared" si="46"/>
        <v>0</v>
      </c>
      <c r="AO82">
        <f t="shared" si="46"/>
        <v>0</v>
      </c>
      <c r="AP82">
        <f t="shared" si="46"/>
        <v>0</v>
      </c>
      <c r="AQ82">
        <f t="shared" si="46"/>
        <v>0</v>
      </c>
      <c r="AR82">
        <f>F82+H82+I82+K82+L82+M82+N82+O82+P82</f>
        <v>0</v>
      </c>
      <c r="AS82">
        <f>D82+J116-AR82</f>
        <v>4319.0600000000004</v>
      </c>
    </row>
    <row r="83" spans="1:45" ht="20.25" customHeight="1">
      <c r="A83" t="s">
        <v>30</v>
      </c>
      <c r="B83" t="s">
        <v>31</v>
      </c>
      <c r="C83" t="s">
        <v>32</v>
      </c>
      <c r="D83">
        <f t="shared" si="43"/>
        <v>0</v>
      </c>
      <c r="E83">
        <f t="shared" si="38"/>
        <v>-6.47</v>
      </c>
      <c r="F83">
        <f>H21</f>
        <v>0</v>
      </c>
      <c r="G83">
        <f>I21</f>
        <v>0</v>
      </c>
      <c r="H83">
        <f>M21</f>
        <v>0</v>
      </c>
      <c r="I83">
        <f>N21</f>
        <v>0</v>
      </c>
      <c r="J83">
        <f>P20</f>
        <v>0</v>
      </c>
      <c r="K83">
        <f>D83-AR83</f>
        <v>-6.47</v>
      </c>
      <c r="L83">
        <f>R20</f>
        <v>0</v>
      </c>
      <c r="M83">
        <f t="shared" si="44"/>
        <v>0</v>
      </c>
      <c r="N83">
        <f t="shared" si="44"/>
        <v>0</v>
      </c>
      <c r="O83">
        <f t="shared" si="44"/>
        <v>0</v>
      </c>
      <c r="P83">
        <f t="shared" si="39"/>
        <v>6.47</v>
      </c>
      <c r="Q83">
        <f>W21</f>
        <v>0</v>
      </c>
      <c r="R83">
        <f>X21</f>
        <v>0</v>
      </c>
      <c r="S83">
        <f>Z21</f>
        <v>0</v>
      </c>
      <c r="T83">
        <f t="shared" si="45"/>
        <v>0</v>
      </c>
      <c r="U83">
        <f t="shared" si="45"/>
        <v>0</v>
      </c>
      <c r="V83" s="103">
        <f t="shared" si="45"/>
        <v>0</v>
      </c>
      <c r="W83">
        <f t="shared" si="45"/>
        <v>0</v>
      </c>
      <c r="X83">
        <f t="shared" si="45"/>
        <v>0</v>
      </c>
      <c r="Y83">
        <f t="shared" si="45"/>
        <v>0</v>
      </c>
      <c r="Z83">
        <f>AQ21</f>
        <v>0</v>
      </c>
      <c r="AA83">
        <f t="shared" si="46"/>
        <v>0</v>
      </c>
      <c r="AB83">
        <f t="shared" si="46"/>
        <v>0</v>
      </c>
      <c r="AC83">
        <f t="shared" si="46"/>
        <v>0</v>
      </c>
      <c r="AD83">
        <f t="shared" si="46"/>
        <v>0</v>
      </c>
      <c r="AE83">
        <f t="shared" si="46"/>
        <v>0</v>
      </c>
      <c r="AF83">
        <f t="shared" si="46"/>
        <v>0</v>
      </c>
      <c r="AG83">
        <f t="shared" si="46"/>
        <v>0</v>
      </c>
      <c r="AH83">
        <f t="shared" si="46"/>
        <v>0</v>
      </c>
      <c r="AI83">
        <f t="shared" si="46"/>
        <v>0</v>
      </c>
      <c r="AJ83">
        <f t="shared" si="46"/>
        <v>6.47</v>
      </c>
      <c r="AK83">
        <f t="shared" si="46"/>
        <v>0</v>
      </c>
      <c r="AL83">
        <f t="shared" si="46"/>
        <v>0</v>
      </c>
      <c r="AM83">
        <f t="shared" si="46"/>
        <v>0</v>
      </c>
      <c r="AN83">
        <f t="shared" si="46"/>
        <v>0</v>
      </c>
      <c r="AO83">
        <f t="shared" si="46"/>
        <v>0</v>
      </c>
      <c r="AP83">
        <f t="shared" si="46"/>
        <v>0</v>
      </c>
      <c r="AQ83">
        <f t="shared" si="46"/>
        <v>0</v>
      </c>
      <c r="AR83">
        <f>F83+H83+I83+J83+L83+M83+N83+O83+P83</f>
        <v>6.47</v>
      </c>
      <c r="AS83">
        <f>D83+K116-AR83</f>
        <v>-6.47</v>
      </c>
    </row>
    <row r="84" spans="1:45" ht="20.25" customHeight="1">
      <c r="A84" t="s">
        <v>33</v>
      </c>
      <c r="B84" t="s">
        <v>34</v>
      </c>
      <c r="C84" t="s">
        <v>35</v>
      </c>
      <c r="D84">
        <f t="shared" si="43"/>
        <v>2916.8660999999997</v>
      </c>
      <c r="E84">
        <f t="shared" si="38"/>
        <v>2916.8660999999997</v>
      </c>
      <c r="F84">
        <f>H19</f>
        <v>0</v>
      </c>
      <c r="G84">
        <f>I19</f>
        <v>0</v>
      </c>
      <c r="H84">
        <f>M19</f>
        <v>0</v>
      </c>
      <c r="I84">
        <f>N19</f>
        <v>0</v>
      </c>
      <c r="J84">
        <f>P21</f>
        <v>0</v>
      </c>
      <c r="K84">
        <f>Q21</f>
        <v>0</v>
      </c>
      <c r="L84">
        <f>D84-AR84</f>
        <v>2916.8660999999997</v>
      </c>
      <c r="M84">
        <f>S19</f>
        <v>0</v>
      </c>
      <c r="N84">
        <f>T19</f>
        <v>0</v>
      </c>
      <c r="O84">
        <f>U19</f>
        <v>0</v>
      </c>
      <c r="P84">
        <f t="shared" si="39"/>
        <v>0</v>
      </c>
      <c r="Q84">
        <f t="shared" ref="Q84:Y84" si="47">W19</f>
        <v>0</v>
      </c>
      <c r="R84">
        <f t="shared" si="47"/>
        <v>0</v>
      </c>
      <c r="S84">
        <f t="shared" si="47"/>
        <v>0</v>
      </c>
      <c r="T84">
        <f t="shared" si="47"/>
        <v>0</v>
      </c>
      <c r="U84">
        <f t="shared" si="47"/>
        <v>0</v>
      </c>
      <c r="V84" s="103">
        <f t="shared" si="47"/>
        <v>0</v>
      </c>
      <c r="W84">
        <f t="shared" si="47"/>
        <v>0</v>
      </c>
      <c r="X84">
        <f t="shared" si="47"/>
        <v>0</v>
      </c>
      <c r="Y84">
        <f t="shared" si="47"/>
        <v>0</v>
      </c>
      <c r="Z84">
        <f>AQ19</f>
        <v>0</v>
      </c>
      <c r="AA84">
        <f t="shared" ref="AA84:AQ84" si="48">AR19</f>
        <v>0</v>
      </c>
      <c r="AB84">
        <f t="shared" si="48"/>
        <v>0</v>
      </c>
      <c r="AC84">
        <f t="shared" si="48"/>
        <v>0</v>
      </c>
      <c r="AD84">
        <f t="shared" si="48"/>
        <v>0</v>
      </c>
      <c r="AE84">
        <f t="shared" si="48"/>
        <v>0</v>
      </c>
      <c r="AF84">
        <f t="shared" si="48"/>
        <v>0</v>
      </c>
      <c r="AG84">
        <f t="shared" si="48"/>
        <v>0</v>
      </c>
      <c r="AH84">
        <f t="shared" si="48"/>
        <v>0</v>
      </c>
      <c r="AI84">
        <f t="shared" si="48"/>
        <v>0</v>
      </c>
      <c r="AJ84">
        <f t="shared" si="48"/>
        <v>0</v>
      </c>
      <c r="AK84">
        <f t="shared" si="48"/>
        <v>0</v>
      </c>
      <c r="AL84">
        <f t="shared" si="48"/>
        <v>0</v>
      </c>
      <c r="AM84">
        <f t="shared" si="48"/>
        <v>0</v>
      </c>
      <c r="AN84">
        <f t="shared" si="48"/>
        <v>0</v>
      </c>
      <c r="AO84">
        <f t="shared" si="48"/>
        <v>0</v>
      </c>
      <c r="AP84">
        <f t="shared" si="48"/>
        <v>0</v>
      </c>
      <c r="AQ84">
        <f t="shared" si="48"/>
        <v>0</v>
      </c>
      <c r="AR84">
        <f>F84+H84+I84+J84+K84+M84+N84+O84+P84</f>
        <v>0</v>
      </c>
      <c r="AS84">
        <f>D84+L116-AR84</f>
        <v>2916.8660999999997</v>
      </c>
    </row>
    <row r="85" spans="1:45" ht="20.25" customHeight="1">
      <c r="A85" t="s">
        <v>36</v>
      </c>
      <c r="B85" t="s">
        <v>37</v>
      </c>
      <c r="C85" t="s">
        <v>38</v>
      </c>
      <c r="D85">
        <f t="shared" si="43"/>
        <v>0.95</v>
      </c>
      <c r="E85">
        <f t="shared" si="38"/>
        <v>0.95</v>
      </c>
      <c r="F85">
        <f t="shared" ref="F85:G87" si="49">H22</f>
        <v>0</v>
      </c>
      <c r="G85">
        <f t="shared" si="49"/>
        <v>0</v>
      </c>
      <c r="H85">
        <f t="shared" ref="H85:I87" si="50">M22</f>
        <v>0</v>
      </c>
      <c r="I85">
        <f t="shared" si="50"/>
        <v>0</v>
      </c>
      <c r="J85">
        <f>P22</f>
        <v>0</v>
      </c>
      <c r="K85">
        <f>Q22</f>
        <v>0</v>
      </c>
      <c r="L85">
        <f>R22</f>
        <v>0</v>
      </c>
      <c r="M85">
        <f>D85-AR85</f>
        <v>0.95</v>
      </c>
      <c r="N85">
        <f>T22</f>
        <v>0</v>
      </c>
      <c r="O85">
        <f>U22</f>
        <v>0</v>
      </c>
      <c r="P85">
        <f>SUM(Q85:AP85)</f>
        <v>0</v>
      </c>
      <c r="Q85">
        <f t="shared" ref="Q85:Y87" si="51">W22</f>
        <v>0</v>
      </c>
      <c r="R85">
        <f t="shared" si="51"/>
        <v>0</v>
      </c>
      <c r="S85">
        <f t="shared" si="51"/>
        <v>0</v>
      </c>
      <c r="T85">
        <f t="shared" si="51"/>
        <v>0</v>
      </c>
      <c r="U85">
        <f t="shared" si="51"/>
        <v>0</v>
      </c>
      <c r="V85" s="103">
        <f t="shared" si="51"/>
        <v>0</v>
      </c>
      <c r="W85">
        <f t="shared" si="51"/>
        <v>0</v>
      </c>
      <c r="X85">
        <f t="shared" si="51"/>
        <v>0</v>
      </c>
      <c r="Y85">
        <f t="shared" si="51"/>
        <v>0</v>
      </c>
      <c r="Z85">
        <f t="shared" ref="Z85:AP85" si="52">AQ22</f>
        <v>0</v>
      </c>
      <c r="AA85">
        <f t="shared" si="52"/>
        <v>0</v>
      </c>
      <c r="AB85">
        <f t="shared" si="52"/>
        <v>0</v>
      </c>
      <c r="AC85">
        <f t="shared" si="52"/>
        <v>0</v>
      </c>
      <c r="AD85">
        <f t="shared" si="52"/>
        <v>0</v>
      </c>
      <c r="AE85">
        <f t="shared" si="52"/>
        <v>0</v>
      </c>
      <c r="AF85">
        <f t="shared" si="52"/>
        <v>0</v>
      </c>
      <c r="AG85">
        <f t="shared" si="52"/>
        <v>0</v>
      </c>
      <c r="AH85">
        <f t="shared" si="52"/>
        <v>0</v>
      </c>
      <c r="AI85">
        <f t="shared" si="52"/>
        <v>0</v>
      </c>
      <c r="AJ85">
        <f t="shared" si="52"/>
        <v>0</v>
      </c>
      <c r="AK85">
        <f t="shared" si="52"/>
        <v>0</v>
      </c>
      <c r="AL85">
        <f t="shared" si="52"/>
        <v>0</v>
      </c>
      <c r="AM85">
        <f t="shared" si="52"/>
        <v>0</v>
      </c>
      <c r="AN85">
        <f t="shared" si="52"/>
        <v>0</v>
      </c>
      <c r="AO85">
        <f t="shared" si="52"/>
        <v>0</v>
      </c>
      <c r="AP85">
        <f t="shared" si="52"/>
        <v>0</v>
      </c>
      <c r="AQ85">
        <f t="shared" ref="AA85:AQ87" si="53">BH22</f>
        <v>0</v>
      </c>
      <c r="AR85">
        <f>F85+H85+I85+J85+K85+L85+N85+O85+P85</f>
        <v>0</v>
      </c>
      <c r="AS85">
        <f>D85+M116-AR85</f>
        <v>0.95</v>
      </c>
    </row>
    <row r="86" spans="1:45" ht="20.25" customHeight="1">
      <c r="A86" t="s">
        <v>39</v>
      </c>
      <c r="B86" t="s">
        <v>40</v>
      </c>
      <c r="C86" t="s">
        <v>41</v>
      </c>
      <c r="D86">
        <f t="shared" si="43"/>
        <v>0</v>
      </c>
      <c r="E86">
        <f t="shared" si="38"/>
        <v>0</v>
      </c>
      <c r="F86">
        <f t="shared" si="49"/>
        <v>0</v>
      </c>
      <c r="G86">
        <f t="shared" si="49"/>
        <v>0</v>
      </c>
      <c r="H86">
        <f t="shared" si="50"/>
        <v>0</v>
      </c>
      <c r="I86">
        <f t="shared" si="50"/>
        <v>0</v>
      </c>
      <c r="J86">
        <f>P23</f>
        <v>0</v>
      </c>
      <c r="K86">
        <f>Q23</f>
        <v>0</v>
      </c>
      <c r="L86">
        <f>R23</f>
        <v>0</v>
      </c>
      <c r="M86">
        <f>S23</f>
        <v>0</v>
      </c>
      <c r="N86">
        <f>D86-AR86</f>
        <v>0</v>
      </c>
      <c r="O86">
        <f>U23</f>
        <v>0</v>
      </c>
      <c r="P86">
        <f t="shared" si="39"/>
        <v>0</v>
      </c>
      <c r="Q86">
        <f t="shared" si="51"/>
        <v>0</v>
      </c>
      <c r="R86">
        <f t="shared" si="51"/>
        <v>0</v>
      </c>
      <c r="S86">
        <f t="shared" si="51"/>
        <v>0</v>
      </c>
      <c r="T86">
        <f t="shared" si="51"/>
        <v>0</v>
      </c>
      <c r="U86">
        <f t="shared" si="51"/>
        <v>0</v>
      </c>
      <c r="V86" s="103">
        <f t="shared" si="51"/>
        <v>0</v>
      </c>
      <c r="W86">
        <f t="shared" si="51"/>
        <v>0</v>
      </c>
      <c r="X86">
        <f t="shared" si="51"/>
        <v>0</v>
      </c>
      <c r="Y86">
        <f t="shared" si="51"/>
        <v>0</v>
      </c>
      <c r="Z86">
        <f>AQ23</f>
        <v>0</v>
      </c>
      <c r="AA86">
        <f t="shared" si="53"/>
        <v>0</v>
      </c>
      <c r="AB86">
        <f t="shared" si="53"/>
        <v>0</v>
      </c>
      <c r="AC86">
        <f t="shared" si="53"/>
        <v>0</v>
      </c>
      <c r="AD86">
        <f t="shared" si="53"/>
        <v>0</v>
      </c>
      <c r="AE86">
        <f t="shared" si="53"/>
        <v>0</v>
      </c>
      <c r="AF86">
        <f t="shared" si="53"/>
        <v>0</v>
      </c>
      <c r="AG86">
        <f t="shared" si="53"/>
        <v>0</v>
      </c>
      <c r="AH86">
        <f t="shared" si="53"/>
        <v>0</v>
      </c>
      <c r="AI86">
        <f t="shared" si="53"/>
        <v>0</v>
      </c>
      <c r="AJ86">
        <f t="shared" si="53"/>
        <v>0</v>
      </c>
      <c r="AK86">
        <f t="shared" si="53"/>
        <v>0</v>
      </c>
      <c r="AL86">
        <f t="shared" si="53"/>
        <v>0</v>
      </c>
      <c r="AM86">
        <f t="shared" si="53"/>
        <v>0</v>
      </c>
      <c r="AN86">
        <f t="shared" si="53"/>
        <v>0</v>
      </c>
      <c r="AO86">
        <f t="shared" si="53"/>
        <v>0</v>
      </c>
      <c r="AP86">
        <f t="shared" si="53"/>
        <v>0</v>
      </c>
      <c r="AQ86">
        <f t="shared" si="53"/>
        <v>0</v>
      </c>
      <c r="AR86">
        <f>F86+H86+I86+J86+K86+L86+M86+O86+P86</f>
        <v>0</v>
      </c>
      <c r="AS86">
        <f>D86+N116-AR86</f>
        <v>0</v>
      </c>
    </row>
    <row r="87" spans="1:45" ht="20.25" customHeight="1">
      <c r="A87">
        <v>2</v>
      </c>
      <c r="B87" t="s">
        <v>43</v>
      </c>
      <c r="C87" t="s">
        <v>44</v>
      </c>
      <c r="D87">
        <f t="shared" si="43"/>
        <v>0</v>
      </c>
      <c r="E87">
        <f t="shared" si="38"/>
        <v>0</v>
      </c>
      <c r="F87">
        <f t="shared" si="49"/>
        <v>0</v>
      </c>
      <c r="G87">
        <f t="shared" si="49"/>
        <v>0</v>
      </c>
      <c r="H87">
        <f t="shared" si="50"/>
        <v>0</v>
      </c>
      <c r="I87">
        <f t="shared" si="50"/>
        <v>0</v>
      </c>
      <c r="J87">
        <f>P24</f>
        <v>0</v>
      </c>
      <c r="K87">
        <f>Q24</f>
        <v>0</v>
      </c>
      <c r="L87">
        <f>R24</f>
        <v>0</v>
      </c>
      <c r="M87">
        <f>S24</f>
        <v>0</v>
      </c>
      <c r="N87">
        <f>T24</f>
        <v>0</v>
      </c>
      <c r="O87">
        <f>D87-AR87</f>
        <v>0</v>
      </c>
      <c r="P87">
        <f t="shared" si="39"/>
        <v>0</v>
      </c>
      <c r="Q87">
        <f t="shared" si="51"/>
        <v>0</v>
      </c>
      <c r="R87">
        <f t="shared" si="51"/>
        <v>0</v>
      </c>
      <c r="S87">
        <f t="shared" si="51"/>
        <v>0</v>
      </c>
      <c r="T87">
        <f t="shared" si="51"/>
        <v>0</v>
      </c>
      <c r="U87">
        <f t="shared" si="51"/>
        <v>0</v>
      </c>
      <c r="V87" s="103">
        <f t="shared" si="51"/>
        <v>0</v>
      </c>
      <c r="W87">
        <f t="shared" si="51"/>
        <v>0</v>
      </c>
      <c r="X87">
        <f t="shared" si="51"/>
        <v>0</v>
      </c>
      <c r="Y87">
        <f t="shared" si="51"/>
        <v>0</v>
      </c>
      <c r="Z87">
        <f>AQ24</f>
        <v>0</v>
      </c>
      <c r="AA87">
        <f t="shared" si="53"/>
        <v>0</v>
      </c>
      <c r="AB87">
        <f t="shared" si="53"/>
        <v>0</v>
      </c>
      <c r="AC87">
        <f t="shared" si="53"/>
        <v>0</v>
      </c>
      <c r="AD87">
        <f t="shared" si="53"/>
        <v>0</v>
      </c>
      <c r="AE87">
        <f t="shared" si="53"/>
        <v>0</v>
      </c>
      <c r="AF87">
        <f t="shared" si="53"/>
        <v>0</v>
      </c>
      <c r="AG87">
        <f t="shared" si="53"/>
        <v>0</v>
      </c>
      <c r="AH87">
        <f t="shared" si="53"/>
        <v>0</v>
      </c>
      <c r="AI87">
        <f t="shared" si="53"/>
        <v>0</v>
      </c>
      <c r="AJ87">
        <f t="shared" si="53"/>
        <v>0</v>
      </c>
      <c r="AK87">
        <f t="shared" si="53"/>
        <v>0</v>
      </c>
      <c r="AL87">
        <f t="shared" si="53"/>
        <v>0</v>
      </c>
      <c r="AM87">
        <f t="shared" si="53"/>
        <v>0</v>
      </c>
      <c r="AN87">
        <f t="shared" si="53"/>
        <v>0</v>
      </c>
      <c r="AO87">
        <f t="shared" si="53"/>
        <v>0</v>
      </c>
      <c r="AP87">
        <f t="shared" si="53"/>
        <v>0</v>
      </c>
      <c r="AQ87">
        <f t="shared" si="53"/>
        <v>0</v>
      </c>
      <c r="AR87">
        <f>F87+H87+I87+J87+K87+L87+M87+N87+P87</f>
        <v>0</v>
      </c>
      <c r="AS87">
        <f>D87+O116-AR87</f>
        <v>0</v>
      </c>
    </row>
    <row r="88" spans="1:45" ht="20.25" customHeight="1">
      <c r="A88">
        <v>2</v>
      </c>
      <c r="B88" t="s">
        <v>45</v>
      </c>
      <c r="C88" t="s">
        <v>46</v>
      </c>
      <c r="D88">
        <f>SUM(D89:D114)</f>
        <v>565.38777000000005</v>
      </c>
      <c r="E88">
        <f t="shared" ref="E88:AS88" si="54">SUM(E89:E114)</f>
        <v>0</v>
      </c>
      <c r="F88">
        <f t="shared" si="54"/>
        <v>0</v>
      </c>
      <c r="G88">
        <f t="shared" si="54"/>
        <v>0</v>
      </c>
      <c r="H88">
        <f t="shared" si="54"/>
        <v>0</v>
      </c>
      <c r="I88">
        <f t="shared" si="54"/>
        <v>0</v>
      </c>
      <c r="J88">
        <f t="shared" si="54"/>
        <v>0</v>
      </c>
      <c r="K88">
        <f t="shared" si="54"/>
        <v>0</v>
      </c>
      <c r="L88">
        <f t="shared" si="54"/>
        <v>0</v>
      </c>
      <c r="M88">
        <f t="shared" si="54"/>
        <v>0</v>
      </c>
      <c r="N88">
        <f t="shared" si="54"/>
        <v>0</v>
      </c>
      <c r="O88">
        <f t="shared" si="54"/>
        <v>0</v>
      </c>
      <c r="P88">
        <f t="shared" si="54"/>
        <v>565.38777000000005</v>
      </c>
      <c r="Q88">
        <f t="shared" si="54"/>
        <v>63.778669999999998</v>
      </c>
      <c r="R88">
        <f t="shared" si="54"/>
        <v>0</v>
      </c>
      <c r="S88">
        <f t="shared" si="54"/>
        <v>0</v>
      </c>
      <c r="T88">
        <f t="shared" si="54"/>
        <v>0</v>
      </c>
      <c r="U88">
        <f t="shared" si="54"/>
        <v>0</v>
      </c>
      <c r="V88" s="103">
        <f t="shared" si="54"/>
        <v>0.32517000000000001</v>
      </c>
      <c r="W88">
        <f t="shared" si="54"/>
        <v>3.47</v>
      </c>
      <c r="X88">
        <f t="shared" si="54"/>
        <v>0</v>
      </c>
      <c r="Y88">
        <f t="shared" si="54"/>
        <v>58.0886</v>
      </c>
      <c r="Z88">
        <f t="shared" si="54"/>
        <v>0</v>
      </c>
      <c r="AA88">
        <f t="shared" si="54"/>
        <v>0</v>
      </c>
      <c r="AB88">
        <f t="shared" si="54"/>
        <v>0</v>
      </c>
      <c r="AC88">
        <f t="shared" si="54"/>
        <v>13.079549999999999</v>
      </c>
      <c r="AD88">
        <f t="shared" si="54"/>
        <v>0</v>
      </c>
      <c r="AE88">
        <f t="shared" si="54"/>
        <v>0.45577999999999996</v>
      </c>
      <c r="AF88">
        <f t="shared" si="54"/>
        <v>0</v>
      </c>
      <c r="AG88">
        <f t="shared" si="54"/>
        <v>0</v>
      </c>
      <c r="AH88">
        <f t="shared" si="54"/>
        <v>0</v>
      </c>
      <c r="AI88">
        <f t="shared" si="54"/>
        <v>0</v>
      </c>
      <c r="AJ88">
        <f t="shared" si="54"/>
        <v>0.03</v>
      </c>
      <c r="AK88">
        <f t="shared" si="54"/>
        <v>0.62</v>
      </c>
      <c r="AL88">
        <f t="shared" si="54"/>
        <v>0.08</v>
      </c>
      <c r="AM88">
        <f t="shared" si="54"/>
        <v>0</v>
      </c>
      <c r="AN88">
        <f t="shared" si="54"/>
        <v>66.790000000000006</v>
      </c>
      <c r="AO88">
        <f t="shared" si="54"/>
        <v>358.67</v>
      </c>
      <c r="AP88">
        <f t="shared" si="54"/>
        <v>0</v>
      </c>
      <c r="AQ88">
        <f t="shared" si="54"/>
        <v>0</v>
      </c>
      <c r="AR88">
        <f>E88+AQ88</f>
        <v>0</v>
      </c>
      <c r="AS88">
        <f t="shared" si="54"/>
        <v>572.30777000000012</v>
      </c>
    </row>
    <row r="89" spans="1:45" ht="20.25" customHeight="1">
      <c r="A89" t="s">
        <v>47</v>
      </c>
      <c r="B89" t="s">
        <v>48</v>
      </c>
      <c r="C89" t="s">
        <v>49</v>
      </c>
      <c r="D89">
        <f>D26</f>
        <v>63.778669999999998</v>
      </c>
      <c r="E89">
        <f t="shared" si="38"/>
        <v>0</v>
      </c>
      <c r="F89">
        <f>H26</f>
        <v>0</v>
      </c>
      <c r="G89">
        <f>I26</f>
        <v>0</v>
      </c>
      <c r="H89">
        <f>M26</f>
        <v>0</v>
      </c>
      <c r="I89">
        <f>N26</f>
        <v>0</v>
      </c>
      <c r="J89">
        <f t="shared" ref="J89:O97" si="55">P26</f>
        <v>0</v>
      </c>
      <c r="K89">
        <f t="shared" si="55"/>
        <v>0</v>
      </c>
      <c r="L89">
        <f t="shared" si="55"/>
        <v>0</v>
      </c>
      <c r="M89">
        <f t="shared" si="55"/>
        <v>0</v>
      </c>
      <c r="N89">
        <f t="shared" si="55"/>
        <v>0</v>
      </c>
      <c r="O89">
        <f t="shared" si="55"/>
        <v>0</v>
      </c>
      <c r="P89">
        <f>SUM(Q89:AP89)</f>
        <v>63.778669999999998</v>
      </c>
      <c r="Q89">
        <f>D89-AR89</f>
        <v>63.778669999999998</v>
      </c>
      <c r="R89">
        <f t="shared" ref="R89:Y89" si="56">X26</f>
        <v>0</v>
      </c>
      <c r="S89">
        <f t="shared" si="56"/>
        <v>0</v>
      </c>
      <c r="T89">
        <f t="shared" si="56"/>
        <v>0</v>
      </c>
      <c r="U89">
        <f t="shared" si="56"/>
        <v>0</v>
      </c>
      <c r="V89" s="103">
        <f t="shared" si="56"/>
        <v>0</v>
      </c>
      <c r="W89">
        <f t="shared" si="56"/>
        <v>0</v>
      </c>
      <c r="X89">
        <f t="shared" si="56"/>
        <v>0</v>
      </c>
      <c r="Y89">
        <f t="shared" si="56"/>
        <v>0</v>
      </c>
      <c r="Z89">
        <f t="shared" ref="Z89:AP89" si="57">AQ26</f>
        <v>0</v>
      </c>
      <c r="AA89">
        <f t="shared" si="57"/>
        <v>0</v>
      </c>
      <c r="AB89">
        <f t="shared" si="57"/>
        <v>0</v>
      </c>
      <c r="AC89">
        <f t="shared" si="57"/>
        <v>0</v>
      </c>
      <c r="AD89">
        <f t="shared" si="57"/>
        <v>0</v>
      </c>
      <c r="AE89">
        <f t="shared" si="57"/>
        <v>0</v>
      </c>
      <c r="AF89">
        <f t="shared" si="57"/>
        <v>0</v>
      </c>
      <c r="AG89">
        <f t="shared" si="57"/>
        <v>0</v>
      </c>
      <c r="AH89">
        <f t="shared" si="57"/>
        <v>0</v>
      </c>
      <c r="AI89">
        <f t="shared" si="57"/>
        <v>0</v>
      </c>
      <c r="AJ89">
        <f t="shared" si="57"/>
        <v>0</v>
      </c>
      <c r="AK89">
        <f t="shared" si="57"/>
        <v>0</v>
      </c>
      <c r="AL89">
        <f t="shared" si="57"/>
        <v>0</v>
      </c>
      <c r="AM89">
        <f t="shared" si="57"/>
        <v>0</v>
      </c>
      <c r="AN89">
        <f t="shared" si="57"/>
        <v>0</v>
      </c>
      <c r="AO89">
        <f t="shared" si="57"/>
        <v>0</v>
      </c>
      <c r="AP89">
        <f t="shared" si="57"/>
        <v>0</v>
      </c>
      <c r="AQ89">
        <f t="shared" ref="AA89:AQ97" si="58">BH26</f>
        <v>0</v>
      </c>
      <c r="AR89">
        <f>E89+R89+S89+T89+U89+V89+W89+X89+Y89+Z89+AA89+AB89+AC89+AD89+AE89+AF89+AG89+AH89+AI89+AJ89+AK89+AL89+AM89+AN89+AO89+AP89+AQ89</f>
        <v>0</v>
      </c>
      <c r="AS89">
        <f>D89+Q116-AR89</f>
        <v>63.778669999999998</v>
      </c>
    </row>
    <row r="90" spans="1:45" ht="20.25" customHeight="1">
      <c r="A90" t="s">
        <v>50</v>
      </c>
      <c r="B90" t="s">
        <v>51</v>
      </c>
      <c r="C90" t="s">
        <v>52</v>
      </c>
      <c r="D90">
        <f t="shared" ref="D90:D97" si="59">D27</f>
        <v>0</v>
      </c>
      <c r="E90">
        <f t="shared" si="38"/>
        <v>0</v>
      </c>
      <c r="F90">
        <f t="shared" ref="F90:G97" si="60">H27</f>
        <v>0</v>
      </c>
      <c r="G90">
        <f t="shared" si="60"/>
        <v>0</v>
      </c>
      <c r="H90">
        <f t="shared" ref="H90:I97" si="61">M27</f>
        <v>0</v>
      </c>
      <c r="I90">
        <f t="shared" si="61"/>
        <v>0</v>
      </c>
      <c r="J90">
        <f t="shared" si="55"/>
        <v>0</v>
      </c>
      <c r="K90">
        <f t="shared" si="55"/>
        <v>0</v>
      </c>
      <c r="L90">
        <f t="shared" si="55"/>
        <v>0</v>
      </c>
      <c r="M90">
        <f t="shared" si="55"/>
        <v>0</v>
      </c>
      <c r="N90">
        <f t="shared" si="55"/>
        <v>0</v>
      </c>
      <c r="O90">
        <f t="shared" si="55"/>
        <v>0</v>
      </c>
      <c r="P90">
        <f t="shared" ref="P90:P114" si="62">SUM(Q90:AP90)</f>
        <v>0</v>
      </c>
      <c r="Q90">
        <f>W27</f>
        <v>0</v>
      </c>
      <c r="R90">
        <f>D90-AR90</f>
        <v>0</v>
      </c>
      <c r="S90">
        <f t="shared" ref="S90:Y90" si="63">Y27</f>
        <v>0</v>
      </c>
      <c r="T90">
        <f t="shared" si="63"/>
        <v>0</v>
      </c>
      <c r="U90">
        <f t="shared" si="63"/>
        <v>0</v>
      </c>
      <c r="V90" s="103">
        <f t="shared" si="63"/>
        <v>0</v>
      </c>
      <c r="W90">
        <f t="shared" si="63"/>
        <v>0</v>
      </c>
      <c r="X90">
        <f t="shared" si="63"/>
        <v>0</v>
      </c>
      <c r="Y90">
        <f t="shared" si="63"/>
        <v>0</v>
      </c>
      <c r="Z90">
        <f t="shared" ref="Z90:Z97" si="64">AQ27</f>
        <v>0</v>
      </c>
      <c r="AA90">
        <f t="shared" si="58"/>
        <v>0</v>
      </c>
      <c r="AB90">
        <f t="shared" si="58"/>
        <v>0</v>
      </c>
      <c r="AC90">
        <f t="shared" si="58"/>
        <v>0</v>
      </c>
      <c r="AD90">
        <f t="shared" si="58"/>
        <v>0</v>
      </c>
      <c r="AE90">
        <f t="shared" si="58"/>
        <v>0</v>
      </c>
      <c r="AF90">
        <f t="shared" si="58"/>
        <v>0</v>
      </c>
      <c r="AG90">
        <f t="shared" si="58"/>
        <v>0</v>
      </c>
      <c r="AH90">
        <f t="shared" si="58"/>
        <v>0</v>
      </c>
      <c r="AI90">
        <f t="shared" si="58"/>
        <v>0</v>
      </c>
      <c r="AJ90">
        <f t="shared" si="58"/>
        <v>0</v>
      </c>
      <c r="AK90">
        <f t="shared" si="58"/>
        <v>0</v>
      </c>
      <c r="AL90">
        <f t="shared" si="58"/>
        <v>0</v>
      </c>
      <c r="AM90">
        <f t="shared" si="58"/>
        <v>0</v>
      </c>
      <c r="AN90">
        <f t="shared" si="58"/>
        <v>0</v>
      </c>
      <c r="AO90">
        <f t="shared" si="58"/>
        <v>0</v>
      </c>
      <c r="AP90">
        <f t="shared" si="58"/>
        <v>0</v>
      </c>
      <c r="AQ90">
        <f t="shared" si="58"/>
        <v>0</v>
      </c>
      <c r="AR90">
        <f>E90+Q90+S90+T90+U90+V90+W90+X90+Y90+Z90+AA90+AB90+AC90+AD90+AE90+AF90+AG90+AH90+AI90+AJ90+AK90+AL90+AM90+AN90+AO90+AP90+AQ90</f>
        <v>0</v>
      </c>
      <c r="AS90">
        <f>D90+R116-AR90</f>
        <v>0</v>
      </c>
    </row>
    <row r="91" spans="1:45" ht="20.25" customHeight="1">
      <c r="A91" t="s">
        <v>53</v>
      </c>
      <c r="B91" t="s">
        <v>54</v>
      </c>
      <c r="C91" t="s">
        <v>55</v>
      </c>
      <c r="D91">
        <f t="shared" si="59"/>
        <v>0</v>
      </c>
      <c r="E91">
        <f t="shared" si="38"/>
        <v>0</v>
      </c>
      <c r="F91">
        <f t="shared" si="60"/>
        <v>0</v>
      </c>
      <c r="G91">
        <f t="shared" si="60"/>
        <v>0</v>
      </c>
      <c r="H91">
        <f t="shared" si="61"/>
        <v>0</v>
      </c>
      <c r="I91">
        <f t="shared" si="61"/>
        <v>0</v>
      </c>
      <c r="J91">
        <f t="shared" si="55"/>
        <v>0</v>
      </c>
      <c r="K91">
        <f t="shared" si="55"/>
        <v>0</v>
      </c>
      <c r="L91">
        <f t="shared" si="55"/>
        <v>0</v>
      </c>
      <c r="M91">
        <f t="shared" si="55"/>
        <v>0</v>
      </c>
      <c r="N91">
        <f t="shared" si="55"/>
        <v>0</v>
      </c>
      <c r="O91">
        <f t="shared" si="55"/>
        <v>0</v>
      </c>
      <c r="P91">
        <f t="shared" si="62"/>
        <v>0</v>
      </c>
      <c r="Q91">
        <f t="shared" ref="Q91:S97" si="65">W28</f>
        <v>0</v>
      </c>
      <c r="R91">
        <f>X28</f>
        <v>0</v>
      </c>
      <c r="S91">
        <f>D91-AR91</f>
        <v>0</v>
      </c>
      <c r="T91">
        <f t="shared" ref="T91:Y91" si="66">Z28</f>
        <v>0</v>
      </c>
      <c r="U91">
        <f t="shared" si="66"/>
        <v>0</v>
      </c>
      <c r="V91" s="103">
        <f t="shared" si="66"/>
        <v>0</v>
      </c>
      <c r="W91">
        <f t="shared" si="66"/>
        <v>0</v>
      </c>
      <c r="X91">
        <f t="shared" si="66"/>
        <v>0</v>
      </c>
      <c r="Y91">
        <f t="shared" si="66"/>
        <v>0</v>
      </c>
      <c r="Z91">
        <f t="shared" si="64"/>
        <v>0</v>
      </c>
      <c r="AA91">
        <f t="shared" si="58"/>
        <v>0</v>
      </c>
      <c r="AB91">
        <f t="shared" si="58"/>
        <v>0</v>
      </c>
      <c r="AC91">
        <f t="shared" si="58"/>
        <v>0</v>
      </c>
      <c r="AD91">
        <f t="shared" si="58"/>
        <v>0</v>
      </c>
      <c r="AE91">
        <f t="shared" si="58"/>
        <v>0</v>
      </c>
      <c r="AF91">
        <f t="shared" si="58"/>
        <v>0</v>
      </c>
      <c r="AG91">
        <f t="shared" si="58"/>
        <v>0</v>
      </c>
      <c r="AH91">
        <f t="shared" si="58"/>
        <v>0</v>
      </c>
      <c r="AI91">
        <f t="shared" si="58"/>
        <v>0</v>
      </c>
      <c r="AJ91">
        <f t="shared" si="58"/>
        <v>0</v>
      </c>
      <c r="AK91">
        <f t="shared" si="58"/>
        <v>0</v>
      </c>
      <c r="AL91">
        <f t="shared" si="58"/>
        <v>0</v>
      </c>
      <c r="AM91">
        <f t="shared" si="58"/>
        <v>0</v>
      </c>
      <c r="AN91">
        <f t="shared" si="58"/>
        <v>0</v>
      </c>
      <c r="AO91">
        <f t="shared" si="58"/>
        <v>0</v>
      </c>
      <c r="AP91">
        <f t="shared" si="58"/>
        <v>0</v>
      </c>
      <c r="AQ91">
        <f t="shared" si="58"/>
        <v>0</v>
      </c>
      <c r="AR91">
        <f>E91+Q91+R91+T91+U91+V91+W91+X91+Y91+Z91+AA91+AB91+AC91+AD91+AE91+AF91+AG91+AH91+AI91+AJ91+AK91+AL91+AM91+AN91+AO91+AP91+AQ91</f>
        <v>0</v>
      </c>
      <c r="AS91">
        <f>D91+S116-AR91</f>
        <v>0</v>
      </c>
    </row>
    <row r="92" spans="1:45" ht="20.25" customHeight="1">
      <c r="A92" t="s">
        <v>56</v>
      </c>
      <c r="B92" t="s">
        <v>57</v>
      </c>
      <c r="C92" t="s">
        <v>58</v>
      </c>
      <c r="D92">
        <f t="shared" si="59"/>
        <v>0</v>
      </c>
      <c r="E92">
        <f t="shared" si="38"/>
        <v>0</v>
      </c>
      <c r="F92">
        <f t="shared" si="60"/>
        <v>0</v>
      </c>
      <c r="G92">
        <f t="shared" si="60"/>
        <v>0</v>
      </c>
      <c r="H92">
        <f t="shared" si="61"/>
        <v>0</v>
      </c>
      <c r="I92">
        <f t="shared" si="61"/>
        <v>0</v>
      </c>
      <c r="J92">
        <f t="shared" si="55"/>
        <v>0</v>
      </c>
      <c r="K92">
        <f t="shared" si="55"/>
        <v>0</v>
      </c>
      <c r="L92">
        <f t="shared" si="55"/>
        <v>0</v>
      </c>
      <c r="M92">
        <f t="shared" si="55"/>
        <v>0</v>
      </c>
      <c r="N92">
        <f t="shared" si="55"/>
        <v>0</v>
      </c>
      <c r="O92">
        <f t="shared" si="55"/>
        <v>0</v>
      </c>
      <c r="P92">
        <f t="shared" si="62"/>
        <v>0</v>
      </c>
      <c r="Q92">
        <f t="shared" si="65"/>
        <v>0</v>
      </c>
      <c r="R92">
        <f t="shared" si="65"/>
        <v>0</v>
      </c>
      <c r="S92">
        <f t="shared" si="65"/>
        <v>0</v>
      </c>
      <c r="T92">
        <f>D92-AR92</f>
        <v>0</v>
      </c>
      <c r="U92">
        <f>AA29</f>
        <v>0</v>
      </c>
      <c r="V92" s="103">
        <f>AB29</f>
        <v>0</v>
      </c>
      <c r="W92">
        <f>AC29</f>
        <v>0</v>
      </c>
      <c r="X92">
        <f>AD29</f>
        <v>0</v>
      </c>
      <c r="Y92">
        <f>AE29</f>
        <v>0</v>
      </c>
      <c r="Z92">
        <f t="shared" si="64"/>
        <v>0</v>
      </c>
      <c r="AA92">
        <f t="shared" si="58"/>
        <v>0</v>
      </c>
      <c r="AB92">
        <f t="shared" si="58"/>
        <v>0</v>
      </c>
      <c r="AC92">
        <f t="shared" si="58"/>
        <v>0</v>
      </c>
      <c r="AD92">
        <f t="shared" si="58"/>
        <v>0</v>
      </c>
      <c r="AE92">
        <f t="shared" si="58"/>
        <v>0</v>
      </c>
      <c r="AF92">
        <f t="shared" si="58"/>
        <v>0</v>
      </c>
      <c r="AG92">
        <f t="shared" si="58"/>
        <v>0</v>
      </c>
      <c r="AH92">
        <f t="shared" si="58"/>
        <v>0</v>
      </c>
      <c r="AI92">
        <f t="shared" si="58"/>
        <v>0</v>
      </c>
      <c r="AJ92">
        <f t="shared" si="58"/>
        <v>0</v>
      </c>
      <c r="AK92">
        <f t="shared" si="58"/>
        <v>0</v>
      </c>
      <c r="AL92">
        <f t="shared" si="58"/>
        <v>0</v>
      </c>
      <c r="AM92">
        <f t="shared" si="58"/>
        <v>0</v>
      </c>
      <c r="AN92">
        <f t="shared" si="58"/>
        <v>0</v>
      </c>
      <c r="AO92">
        <f t="shared" si="58"/>
        <v>0</v>
      </c>
      <c r="AP92">
        <f t="shared" si="58"/>
        <v>0</v>
      </c>
      <c r="AQ92">
        <f t="shared" si="58"/>
        <v>0</v>
      </c>
      <c r="AR92">
        <f>E92+Q92+R92+S92+U92+V92+W92+X92+Y92+Z92+AA92+AB92+AC92+AD92+AE92+AF92+AG92+AH92+AI92+AJ92+AK92+AL92+AM92+AN92+AO92+AP92+AQ92</f>
        <v>0</v>
      </c>
      <c r="AS92">
        <f>D92+T116-AR92</f>
        <v>0</v>
      </c>
    </row>
    <row r="93" spans="1:45" ht="20.25" customHeight="1">
      <c r="A93" t="s">
        <v>59</v>
      </c>
      <c r="B93" t="s">
        <v>60</v>
      </c>
      <c r="C93" t="s">
        <v>61</v>
      </c>
      <c r="D93">
        <f t="shared" si="59"/>
        <v>0</v>
      </c>
      <c r="E93">
        <f t="shared" si="38"/>
        <v>0</v>
      </c>
      <c r="F93">
        <f t="shared" si="60"/>
        <v>0</v>
      </c>
      <c r="G93">
        <f t="shared" si="60"/>
        <v>0</v>
      </c>
      <c r="H93">
        <f t="shared" si="61"/>
        <v>0</v>
      </c>
      <c r="I93">
        <f t="shared" si="61"/>
        <v>0</v>
      </c>
      <c r="J93">
        <f t="shared" si="55"/>
        <v>0</v>
      </c>
      <c r="K93">
        <f t="shared" si="55"/>
        <v>0</v>
      </c>
      <c r="L93">
        <f t="shared" si="55"/>
        <v>0</v>
      </c>
      <c r="M93">
        <f t="shared" si="55"/>
        <v>0</v>
      </c>
      <c r="N93">
        <f t="shared" si="55"/>
        <v>0</v>
      </c>
      <c r="O93">
        <f t="shared" si="55"/>
        <v>0</v>
      </c>
      <c r="P93">
        <f t="shared" si="62"/>
        <v>0</v>
      </c>
      <c r="Q93">
        <f t="shared" si="65"/>
        <v>0</v>
      </c>
      <c r="R93">
        <f t="shared" si="65"/>
        <v>0</v>
      </c>
      <c r="S93">
        <f t="shared" si="65"/>
        <v>0</v>
      </c>
      <c r="T93">
        <f>Z30</f>
        <v>0</v>
      </c>
      <c r="U93">
        <f>D93-AR93</f>
        <v>0</v>
      </c>
      <c r="V93" s="103">
        <f>AB30</f>
        <v>0</v>
      </c>
      <c r="W93">
        <f>AC30</f>
        <v>0</v>
      </c>
      <c r="X93">
        <f>AD30</f>
        <v>0</v>
      </c>
      <c r="Y93">
        <f>AE30</f>
        <v>0</v>
      </c>
      <c r="Z93">
        <f t="shared" si="64"/>
        <v>0</v>
      </c>
      <c r="AA93">
        <f t="shared" si="58"/>
        <v>0</v>
      </c>
      <c r="AB93">
        <f t="shared" si="58"/>
        <v>0</v>
      </c>
      <c r="AC93">
        <f t="shared" si="58"/>
        <v>0</v>
      </c>
      <c r="AD93">
        <f t="shared" si="58"/>
        <v>0</v>
      </c>
      <c r="AE93">
        <f t="shared" si="58"/>
        <v>0</v>
      </c>
      <c r="AF93">
        <f t="shared" si="58"/>
        <v>0</v>
      </c>
      <c r="AG93">
        <f t="shared" si="58"/>
        <v>0</v>
      </c>
      <c r="AH93">
        <f t="shared" si="58"/>
        <v>0</v>
      </c>
      <c r="AI93">
        <f t="shared" si="58"/>
        <v>0</v>
      </c>
      <c r="AJ93">
        <f t="shared" si="58"/>
        <v>0</v>
      </c>
      <c r="AK93">
        <f t="shared" si="58"/>
        <v>0</v>
      </c>
      <c r="AL93">
        <f t="shared" si="58"/>
        <v>0</v>
      </c>
      <c r="AM93">
        <f t="shared" si="58"/>
        <v>0</v>
      </c>
      <c r="AN93">
        <f t="shared" si="58"/>
        <v>0</v>
      </c>
      <c r="AO93">
        <f t="shared" si="58"/>
        <v>0</v>
      </c>
      <c r="AP93">
        <f t="shared" si="58"/>
        <v>0</v>
      </c>
      <c r="AQ93">
        <f t="shared" si="58"/>
        <v>0</v>
      </c>
      <c r="AR93">
        <f>E93+Q93+R93+S93+T93+V93+W93+X93+Y93+Z93+AA93+AB93+AC93+AD93+AE93+AF93+AG93+AH93+AI93+AJ93+AK93+AL93+AM93+AN93+AO93+AP93+AQ93</f>
        <v>0</v>
      </c>
      <c r="AS93">
        <f>D93+U116-AR93</f>
        <v>0</v>
      </c>
    </row>
    <row r="94" spans="1:45" ht="20.25" customHeight="1">
      <c r="A94" t="s">
        <v>62</v>
      </c>
      <c r="B94" t="s">
        <v>63</v>
      </c>
      <c r="C94" t="s">
        <v>64</v>
      </c>
      <c r="D94">
        <f t="shared" si="59"/>
        <v>0.32517000000000001</v>
      </c>
      <c r="E94">
        <f t="shared" si="38"/>
        <v>0</v>
      </c>
      <c r="F94">
        <f t="shared" si="60"/>
        <v>0</v>
      </c>
      <c r="G94">
        <f t="shared" si="60"/>
        <v>0</v>
      </c>
      <c r="H94">
        <f t="shared" si="61"/>
        <v>0</v>
      </c>
      <c r="I94">
        <f t="shared" si="61"/>
        <v>0</v>
      </c>
      <c r="J94">
        <f t="shared" si="55"/>
        <v>0</v>
      </c>
      <c r="K94">
        <f t="shared" si="55"/>
        <v>0</v>
      </c>
      <c r="L94">
        <f t="shared" si="55"/>
        <v>0</v>
      </c>
      <c r="M94">
        <f t="shared" si="55"/>
        <v>0</v>
      </c>
      <c r="N94">
        <f t="shared" si="55"/>
        <v>0</v>
      </c>
      <c r="O94">
        <f t="shared" si="55"/>
        <v>0</v>
      </c>
      <c r="P94">
        <f t="shared" si="62"/>
        <v>0.32517000000000001</v>
      </c>
      <c r="Q94">
        <f t="shared" si="65"/>
        <v>0</v>
      </c>
      <c r="R94">
        <f t="shared" si="65"/>
        <v>0</v>
      </c>
      <c r="S94">
        <f t="shared" si="65"/>
        <v>0</v>
      </c>
      <c r="T94">
        <f>Z31</f>
        <v>0</v>
      </c>
      <c r="U94">
        <f>AA31</f>
        <v>0</v>
      </c>
      <c r="V94" s="103">
        <f>D94-AR94</f>
        <v>0.32517000000000001</v>
      </c>
      <c r="W94">
        <f>AC31</f>
        <v>0</v>
      </c>
      <c r="X94">
        <f>AD31</f>
        <v>0</v>
      </c>
      <c r="Y94">
        <f>AE31</f>
        <v>0</v>
      </c>
      <c r="Z94">
        <f t="shared" si="64"/>
        <v>0</v>
      </c>
      <c r="AA94">
        <f t="shared" si="58"/>
        <v>0</v>
      </c>
      <c r="AB94">
        <f t="shared" si="58"/>
        <v>0</v>
      </c>
      <c r="AC94">
        <f t="shared" si="58"/>
        <v>0</v>
      </c>
      <c r="AD94">
        <f t="shared" si="58"/>
        <v>0</v>
      </c>
      <c r="AE94">
        <f t="shared" si="58"/>
        <v>0</v>
      </c>
      <c r="AF94">
        <f t="shared" si="58"/>
        <v>0</v>
      </c>
      <c r="AG94">
        <f t="shared" si="58"/>
        <v>0</v>
      </c>
      <c r="AH94">
        <f t="shared" si="58"/>
        <v>0</v>
      </c>
      <c r="AI94">
        <f t="shared" si="58"/>
        <v>0</v>
      </c>
      <c r="AJ94">
        <f t="shared" si="58"/>
        <v>0</v>
      </c>
      <c r="AK94">
        <f t="shared" si="58"/>
        <v>0</v>
      </c>
      <c r="AL94">
        <f t="shared" si="58"/>
        <v>0</v>
      </c>
      <c r="AM94">
        <f t="shared" si="58"/>
        <v>0</v>
      </c>
      <c r="AN94">
        <f t="shared" si="58"/>
        <v>0</v>
      </c>
      <c r="AO94">
        <f t="shared" si="58"/>
        <v>0</v>
      </c>
      <c r="AP94">
        <f t="shared" si="58"/>
        <v>0</v>
      </c>
      <c r="AQ94">
        <f t="shared" si="58"/>
        <v>0</v>
      </c>
      <c r="AR94">
        <f>E94+Q94+R94+S94+T94+U94+W94+X94+Y94+Z94+AA94+AB94+AC94+AD94+AE94+AF94+AG94+AH94+AI94+AJ94+AK94+AL94+AM94+AN94+AO94+AP94+AQ94</f>
        <v>0</v>
      </c>
      <c r="AS94">
        <f>D94+V116-AR94</f>
        <v>0.32517000000000001</v>
      </c>
    </row>
    <row r="95" spans="1:45" ht="20.25" customHeight="1">
      <c r="A95" t="s">
        <v>65</v>
      </c>
      <c r="B95" t="s">
        <v>66</v>
      </c>
      <c r="C95" t="s">
        <v>67</v>
      </c>
      <c r="D95">
        <f t="shared" si="59"/>
        <v>3.47</v>
      </c>
      <c r="E95">
        <f t="shared" si="38"/>
        <v>0</v>
      </c>
      <c r="F95">
        <f t="shared" si="60"/>
        <v>0</v>
      </c>
      <c r="G95">
        <f t="shared" si="60"/>
        <v>0</v>
      </c>
      <c r="H95">
        <f t="shared" si="61"/>
        <v>0</v>
      </c>
      <c r="I95">
        <f t="shared" si="61"/>
        <v>0</v>
      </c>
      <c r="J95">
        <f t="shared" si="55"/>
        <v>0</v>
      </c>
      <c r="K95">
        <f t="shared" si="55"/>
        <v>0</v>
      </c>
      <c r="L95">
        <f t="shared" si="55"/>
        <v>0</v>
      </c>
      <c r="M95">
        <f t="shared" si="55"/>
        <v>0</v>
      </c>
      <c r="N95">
        <f t="shared" si="55"/>
        <v>0</v>
      </c>
      <c r="O95">
        <f t="shared" si="55"/>
        <v>0</v>
      </c>
      <c r="P95">
        <f t="shared" si="62"/>
        <v>3.47</v>
      </c>
      <c r="Q95">
        <f t="shared" si="65"/>
        <v>0</v>
      </c>
      <c r="R95">
        <f t="shared" si="65"/>
        <v>0</v>
      </c>
      <c r="S95">
        <f t="shared" si="65"/>
        <v>0</v>
      </c>
      <c r="T95">
        <f>Z32</f>
        <v>0</v>
      </c>
      <c r="U95">
        <f>AA32</f>
        <v>0</v>
      </c>
      <c r="V95" s="103">
        <f>AB32</f>
        <v>0</v>
      </c>
      <c r="W95">
        <f>D95-AR95</f>
        <v>3.47</v>
      </c>
      <c r="X95">
        <f>AD32</f>
        <v>0</v>
      </c>
      <c r="Y95">
        <f>AE32</f>
        <v>0</v>
      </c>
      <c r="Z95">
        <f t="shared" si="64"/>
        <v>0</v>
      </c>
      <c r="AA95">
        <f t="shared" si="58"/>
        <v>0</v>
      </c>
      <c r="AB95">
        <f t="shared" si="58"/>
        <v>0</v>
      </c>
      <c r="AC95">
        <f t="shared" si="58"/>
        <v>0</v>
      </c>
      <c r="AD95">
        <f t="shared" si="58"/>
        <v>0</v>
      </c>
      <c r="AE95">
        <f t="shared" si="58"/>
        <v>0</v>
      </c>
      <c r="AF95">
        <f t="shared" si="58"/>
        <v>0</v>
      </c>
      <c r="AG95">
        <f t="shared" si="58"/>
        <v>0</v>
      </c>
      <c r="AH95">
        <f t="shared" si="58"/>
        <v>0</v>
      </c>
      <c r="AI95">
        <f t="shared" si="58"/>
        <v>0</v>
      </c>
      <c r="AJ95">
        <f t="shared" si="58"/>
        <v>0</v>
      </c>
      <c r="AK95">
        <f t="shared" si="58"/>
        <v>0</v>
      </c>
      <c r="AL95">
        <f t="shared" si="58"/>
        <v>0</v>
      </c>
      <c r="AM95">
        <f t="shared" si="58"/>
        <v>0</v>
      </c>
      <c r="AN95">
        <f t="shared" si="58"/>
        <v>0</v>
      </c>
      <c r="AO95">
        <f t="shared" si="58"/>
        <v>0</v>
      </c>
      <c r="AP95">
        <f t="shared" si="58"/>
        <v>0</v>
      </c>
      <c r="AQ95">
        <f t="shared" si="58"/>
        <v>0</v>
      </c>
      <c r="AR95">
        <f>E95+Q95+R95+S95+T95+U95+V95+X95+Y95+Z95+AA95+AB95+AC95+AD95+AE95+AF95+AG95+AH95+AI95+AJ95+AK95+AL95+AM95+AN95+AO95+AP95+AQ95</f>
        <v>0</v>
      </c>
      <c r="AS95">
        <f>D95+W116-AR95</f>
        <v>3.47</v>
      </c>
    </row>
    <row r="96" spans="1:45" ht="20.25" customHeight="1">
      <c r="A96" t="s">
        <v>68</v>
      </c>
      <c r="B96" t="s">
        <v>69</v>
      </c>
      <c r="C96" t="s">
        <v>70</v>
      </c>
      <c r="D96">
        <f t="shared" si="59"/>
        <v>0</v>
      </c>
      <c r="E96">
        <f t="shared" si="38"/>
        <v>0</v>
      </c>
      <c r="F96">
        <f t="shared" si="60"/>
        <v>0</v>
      </c>
      <c r="G96">
        <f t="shared" si="60"/>
        <v>0</v>
      </c>
      <c r="H96">
        <f t="shared" si="61"/>
        <v>0</v>
      </c>
      <c r="I96">
        <f t="shared" si="61"/>
        <v>0</v>
      </c>
      <c r="J96">
        <f t="shared" si="55"/>
        <v>0</v>
      </c>
      <c r="K96">
        <f t="shared" si="55"/>
        <v>0</v>
      </c>
      <c r="L96">
        <f t="shared" si="55"/>
        <v>0</v>
      </c>
      <c r="M96">
        <f t="shared" si="55"/>
        <v>0</v>
      </c>
      <c r="N96">
        <f t="shared" si="55"/>
        <v>0</v>
      </c>
      <c r="O96">
        <f t="shared" si="55"/>
        <v>0</v>
      </c>
      <c r="P96">
        <f t="shared" si="62"/>
        <v>0</v>
      </c>
      <c r="Q96">
        <f t="shared" si="65"/>
        <v>0</v>
      </c>
      <c r="R96">
        <f t="shared" si="65"/>
        <v>0</v>
      </c>
      <c r="S96">
        <f t="shared" si="65"/>
        <v>0</v>
      </c>
      <c r="T96">
        <f>Z33</f>
        <v>0</v>
      </c>
      <c r="U96">
        <f>AA33</f>
        <v>0</v>
      </c>
      <c r="V96" s="103">
        <f>AB33</f>
        <v>0</v>
      </c>
      <c r="W96">
        <f>AC33</f>
        <v>0</v>
      </c>
      <c r="X96">
        <f>D96-AR96</f>
        <v>0</v>
      </c>
      <c r="Y96">
        <f>AE33</f>
        <v>0</v>
      </c>
      <c r="Z96">
        <f t="shared" si="64"/>
        <v>0</v>
      </c>
      <c r="AA96">
        <f t="shared" si="58"/>
        <v>0</v>
      </c>
      <c r="AB96">
        <f t="shared" si="58"/>
        <v>0</v>
      </c>
      <c r="AC96">
        <f t="shared" si="58"/>
        <v>0</v>
      </c>
      <c r="AD96">
        <f t="shared" si="58"/>
        <v>0</v>
      </c>
      <c r="AE96">
        <f t="shared" si="58"/>
        <v>0</v>
      </c>
      <c r="AF96">
        <f t="shared" si="58"/>
        <v>0</v>
      </c>
      <c r="AG96">
        <f t="shared" si="58"/>
        <v>0</v>
      </c>
      <c r="AH96">
        <f t="shared" si="58"/>
        <v>0</v>
      </c>
      <c r="AI96">
        <f t="shared" si="58"/>
        <v>0</v>
      </c>
      <c r="AJ96">
        <f t="shared" si="58"/>
        <v>0</v>
      </c>
      <c r="AK96">
        <f t="shared" si="58"/>
        <v>0</v>
      </c>
      <c r="AL96">
        <f t="shared" si="58"/>
        <v>0</v>
      </c>
      <c r="AM96">
        <f t="shared" si="58"/>
        <v>0</v>
      </c>
      <c r="AN96">
        <f t="shared" si="58"/>
        <v>0</v>
      </c>
      <c r="AO96">
        <f t="shared" si="58"/>
        <v>0</v>
      </c>
      <c r="AP96">
        <f t="shared" si="58"/>
        <v>0</v>
      </c>
      <c r="AQ96">
        <f t="shared" si="58"/>
        <v>0</v>
      </c>
      <c r="AR96">
        <f>E96+Q96+R96+S96+T96+U96+V96+W96+Y96+Z96+AA96+AB96+AC96+AD96+AE96+AF96+AG96+AH96+AI96+AJ96+AK96+AL96+AM96+AN96+AO96+AP96+AQ96</f>
        <v>0</v>
      </c>
      <c r="AS96">
        <f>D96+X116-AR96</f>
        <v>0</v>
      </c>
    </row>
    <row r="97" spans="1:45" ht="38.25" customHeight="1">
      <c r="A97" t="s">
        <v>71</v>
      </c>
      <c r="B97" t="s">
        <v>135</v>
      </c>
      <c r="C97" t="s">
        <v>72</v>
      </c>
      <c r="D97">
        <f t="shared" si="59"/>
        <v>58.248599999999996</v>
      </c>
      <c r="E97">
        <f t="shared" si="38"/>
        <v>0</v>
      </c>
      <c r="F97">
        <f t="shared" si="60"/>
        <v>0</v>
      </c>
      <c r="G97">
        <f t="shared" si="60"/>
        <v>0</v>
      </c>
      <c r="H97">
        <f t="shared" si="61"/>
        <v>0</v>
      </c>
      <c r="I97">
        <f t="shared" si="61"/>
        <v>0</v>
      </c>
      <c r="J97">
        <f>P34</f>
        <v>0</v>
      </c>
      <c r="K97">
        <f t="shared" si="55"/>
        <v>0</v>
      </c>
      <c r="L97">
        <f t="shared" si="55"/>
        <v>0</v>
      </c>
      <c r="M97">
        <f t="shared" si="55"/>
        <v>0</v>
      </c>
      <c r="N97">
        <f t="shared" si="55"/>
        <v>0</v>
      </c>
      <c r="O97">
        <f t="shared" si="55"/>
        <v>0</v>
      </c>
      <c r="P97">
        <f t="shared" si="62"/>
        <v>58.248599999999996</v>
      </c>
      <c r="Q97">
        <f t="shared" si="65"/>
        <v>0</v>
      </c>
      <c r="R97">
        <f t="shared" si="65"/>
        <v>0</v>
      </c>
      <c r="S97">
        <f t="shared" si="65"/>
        <v>0</v>
      </c>
      <c r="T97">
        <f>Z34</f>
        <v>0</v>
      </c>
      <c r="U97">
        <f>AA34</f>
        <v>0</v>
      </c>
      <c r="V97" s="103">
        <f>AB34</f>
        <v>0</v>
      </c>
      <c r="W97">
        <f>AC34</f>
        <v>0</v>
      </c>
      <c r="X97">
        <f>AD34</f>
        <v>0</v>
      </c>
      <c r="Y97">
        <f>D97-AR97</f>
        <v>58.0886</v>
      </c>
      <c r="Z97">
        <f t="shared" si="64"/>
        <v>0</v>
      </c>
      <c r="AA97">
        <f t="shared" si="58"/>
        <v>0</v>
      </c>
      <c r="AB97">
        <f t="shared" si="58"/>
        <v>0</v>
      </c>
      <c r="AC97">
        <f t="shared" si="58"/>
        <v>0.15</v>
      </c>
      <c r="AD97">
        <f t="shared" si="58"/>
        <v>0</v>
      </c>
      <c r="AE97">
        <f t="shared" si="58"/>
        <v>0</v>
      </c>
      <c r="AF97">
        <f t="shared" si="58"/>
        <v>0</v>
      </c>
      <c r="AG97">
        <f t="shared" si="58"/>
        <v>0</v>
      </c>
      <c r="AH97">
        <f t="shared" si="58"/>
        <v>0</v>
      </c>
      <c r="AI97">
        <f t="shared" si="58"/>
        <v>0</v>
      </c>
      <c r="AJ97">
        <f t="shared" si="58"/>
        <v>0.01</v>
      </c>
      <c r="AK97">
        <f t="shared" si="58"/>
        <v>0</v>
      </c>
      <c r="AL97">
        <f t="shared" si="58"/>
        <v>0</v>
      </c>
      <c r="AM97">
        <f t="shared" si="58"/>
        <v>0</v>
      </c>
      <c r="AN97">
        <f t="shared" si="58"/>
        <v>0</v>
      </c>
      <c r="AO97">
        <f t="shared" si="58"/>
        <v>0</v>
      </c>
      <c r="AP97">
        <f t="shared" si="58"/>
        <v>0</v>
      </c>
      <c r="AQ97">
        <f t="shared" si="58"/>
        <v>0</v>
      </c>
      <c r="AR97">
        <f>E97+Q97+R97+S97+T97+U97+V97+W97+X97+Z97+AA97+AB97+AC97+AD97+AE97+AF97+AG97+AH97+AI97+AJ97+AK97+AL97+AM97+AN97+AO97+AP97+AQ97</f>
        <v>0.16</v>
      </c>
      <c r="AS97">
        <f>D97+Y116-AR97</f>
        <v>58.238599999999998</v>
      </c>
    </row>
    <row r="98" spans="1:45" ht="20.25" customHeight="1">
      <c r="A98" t="s">
        <v>73</v>
      </c>
      <c r="B98" t="s">
        <v>74</v>
      </c>
      <c r="C98" t="s">
        <v>75</v>
      </c>
      <c r="D98">
        <f>D46</f>
        <v>0</v>
      </c>
      <c r="E98">
        <f t="shared" si="38"/>
        <v>0</v>
      </c>
      <c r="F98">
        <f>H46</f>
        <v>0</v>
      </c>
      <c r="G98">
        <f>I46</f>
        <v>0</v>
      </c>
      <c r="H98">
        <f>M46</f>
        <v>0</v>
      </c>
      <c r="I98">
        <f>N46</f>
        <v>0</v>
      </c>
      <c r="J98">
        <f t="shared" ref="J98:O113" si="67">P46</f>
        <v>0</v>
      </c>
      <c r="K98">
        <f t="shared" si="67"/>
        <v>0</v>
      </c>
      <c r="L98">
        <f t="shared" si="67"/>
        <v>0</v>
      </c>
      <c r="M98">
        <f t="shared" si="67"/>
        <v>0</v>
      </c>
      <c r="N98">
        <f t="shared" si="67"/>
        <v>0</v>
      </c>
      <c r="O98">
        <f t="shared" si="67"/>
        <v>0</v>
      </c>
      <c r="P98">
        <f t="shared" si="62"/>
        <v>0</v>
      </c>
      <c r="Q98">
        <f t="shared" ref="Q98:Y113" si="68">W46</f>
        <v>0</v>
      </c>
      <c r="R98">
        <f t="shared" si="68"/>
        <v>0</v>
      </c>
      <c r="S98">
        <f t="shared" si="68"/>
        <v>0</v>
      </c>
      <c r="T98">
        <f t="shared" si="68"/>
        <v>0</v>
      </c>
      <c r="U98">
        <f t="shared" si="68"/>
        <v>0</v>
      </c>
      <c r="V98" s="103">
        <f t="shared" si="68"/>
        <v>0</v>
      </c>
      <c r="W98">
        <f t="shared" si="68"/>
        <v>0</v>
      </c>
      <c r="X98">
        <f t="shared" si="68"/>
        <v>0</v>
      </c>
      <c r="Y98">
        <f t="shared" si="68"/>
        <v>0</v>
      </c>
      <c r="Z98">
        <f>D98-AR98</f>
        <v>0</v>
      </c>
      <c r="AA98">
        <f>AR46</f>
        <v>0</v>
      </c>
      <c r="AB98">
        <f t="shared" ref="AB98:AQ109" si="69">AS46</f>
        <v>0</v>
      </c>
      <c r="AC98">
        <f t="shared" si="69"/>
        <v>0</v>
      </c>
      <c r="AD98">
        <f t="shared" si="69"/>
        <v>0</v>
      </c>
      <c r="AE98">
        <f t="shared" si="69"/>
        <v>0</v>
      </c>
      <c r="AF98">
        <f t="shared" si="69"/>
        <v>0</v>
      </c>
      <c r="AG98">
        <f t="shared" si="69"/>
        <v>0</v>
      </c>
      <c r="AH98">
        <f t="shared" si="69"/>
        <v>0</v>
      </c>
      <c r="AI98">
        <f t="shared" si="69"/>
        <v>0</v>
      </c>
      <c r="AJ98">
        <f t="shared" si="69"/>
        <v>0</v>
      </c>
      <c r="AK98">
        <f t="shared" si="69"/>
        <v>0</v>
      </c>
      <c r="AL98">
        <f t="shared" si="69"/>
        <v>0</v>
      </c>
      <c r="AM98">
        <f t="shared" si="69"/>
        <v>0</v>
      </c>
      <c r="AN98">
        <f t="shared" si="69"/>
        <v>0</v>
      </c>
      <c r="AO98">
        <f t="shared" si="69"/>
        <v>0</v>
      </c>
      <c r="AP98">
        <f t="shared" si="69"/>
        <v>0</v>
      </c>
      <c r="AQ98">
        <f t="shared" si="69"/>
        <v>0</v>
      </c>
      <c r="AR98">
        <f>E98+Q98+R98+S98+T98+U98+V98+W98+X98+Y98+AA98+AB98+AC98+AD98+AE98+AF98+AG98+AH98+AI98+AJ98+AK98+AL98+AM98+AN98+AO98+AP98+AQ98</f>
        <v>0</v>
      </c>
      <c r="AS98">
        <f>D98+Z116-AR98</f>
        <v>0</v>
      </c>
    </row>
    <row r="99" spans="1:45" ht="20.25" customHeight="1">
      <c r="A99" t="s">
        <v>76</v>
      </c>
      <c r="B99" t="s">
        <v>77</v>
      </c>
      <c r="C99" t="s">
        <v>78</v>
      </c>
      <c r="D99">
        <f t="shared" ref="D99:D114" si="70">D47</f>
        <v>0</v>
      </c>
      <c r="E99">
        <f t="shared" si="38"/>
        <v>0</v>
      </c>
      <c r="F99">
        <f t="shared" ref="F99:G115" si="71">H47</f>
        <v>0</v>
      </c>
      <c r="G99">
        <f t="shared" si="71"/>
        <v>0</v>
      </c>
      <c r="H99">
        <f t="shared" ref="H99:I115" si="72">M47</f>
        <v>0</v>
      </c>
      <c r="I99">
        <f t="shared" si="72"/>
        <v>0</v>
      </c>
      <c r="J99">
        <f t="shared" si="67"/>
        <v>0</v>
      </c>
      <c r="K99">
        <f t="shared" si="67"/>
        <v>0</v>
      </c>
      <c r="L99">
        <f t="shared" si="67"/>
        <v>0</v>
      </c>
      <c r="M99">
        <f t="shared" si="67"/>
        <v>0</v>
      </c>
      <c r="N99">
        <f t="shared" si="67"/>
        <v>0</v>
      </c>
      <c r="O99">
        <f t="shared" si="67"/>
        <v>0</v>
      </c>
      <c r="P99">
        <f t="shared" si="62"/>
        <v>0</v>
      </c>
      <c r="Q99">
        <f t="shared" si="68"/>
        <v>0</v>
      </c>
      <c r="R99">
        <f t="shared" si="68"/>
        <v>0</v>
      </c>
      <c r="S99">
        <f t="shared" si="68"/>
        <v>0</v>
      </c>
      <c r="T99">
        <f t="shared" si="68"/>
        <v>0</v>
      </c>
      <c r="U99">
        <f t="shared" si="68"/>
        <v>0</v>
      </c>
      <c r="V99" s="103">
        <f t="shared" si="68"/>
        <v>0</v>
      </c>
      <c r="W99">
        <f t="shared" si="68"/>
        <v>0</v>
      </c>
      <c r="X99">
        <f t="shared" si="68"/>
        <v>0</v>
      </c>
      <c r="Y99">
        <f t="shared" si="68"/>
        <v>0</v>
      </c>
      <c r="Z99">
        <f>AQ47</f>
        <v>0</v>
      </c>
      <c r="AA99">
        <f>D99-AR99</f>
        <v>0</v>
      </c>
      <c r="AB99">
        <f>AS47</f>
        <v>0</v>
      </c>
      <c r="AC99">
        <f t="shared" si="69"/>
        <v>0</v>
      </c>
      <c r="AD99">
        <f t="shared" si="69"/>
        <v>0</v>
      </c>
      <c r="AE99">
        <f t="shared" si="69"/>
        <v>0</v>
      </c>
      <c r="AF99">
        <f t="shared" si="69"/>
        <v>0</v>
      </c>
      <c r="AG99">
        <f t="shared" si="69"/>
        <v>0</v>
      </c>
      <c r="AH99">
        <f t="shared" si="69"/>
        <v>0</v>
      </c>
      <c r="AI99">
        <f t="shared" si="69"/>
        <v>0</v>
      </c>
      <c r="AJ99">
        <f t="shared" si="69"/>
        <v>0</v>
      </c>
      <c r="AK99">
        <f t="shared" si="69"/>
        <v>0</v>
      </c>
      <c r="AL99">
        <f t="shared" si="69"/>
        <v>0</v>
      </c>
      <c r="AM99">
        <f t="shared" si="69"/>
        <v>0</v>
      </c>
      <c r="AN99">
        <f t="shared" si="69"/>
        <v>0</v>
      </c>
      <c r="AO99">
        <f t="shared" si="69"/>
        <v>0</v>
      </c>
      <c r="AP99">
        <f t="shared" si="69"/>
        <v>0</v>
      </c>
      <c r="AQ99">
        <f t="shared" si="69"/>
        <v>0</v>
      </c>
      <c r="AR99">
        <f>E99+Q99+R99+S99+T99+U99+V99+W99+X99+Y99+Z99+AB99+AC99+AD99+AE99+AF99+AG99+AH99+AI99+AJ99+AK99+AL99+AM99+AN99+AO99+AP99+AQ99</f>
        <v>0</v>
      </c>
      <c r="AS99">
        <f>D99+AA116-AR99</f>
        <v>0</v>
      </c>
    </row>
    <row r="100" spans="1:45" ht="20.25" customHeight="1">
      <c r="A100" t="s">
        <v>79</v>
      </c>
      <c r="B100" t="s">
        <v>80</v>
      </c>
      <c r="C100" t="s">
        <v>81</v>
      </c>
      <c r="D100">
        <f t="shared" si="70"/>
        <v>0</v>
      </c>
      <c r="E100">
        <f t="shared" si="38"/>
        <v>0</v>
      </c>
      <c r="F100">
        <f t="shared" si="71"/>
        <v>0</v>
      </c>
      <c r="G100">
        <f t="shared" si="71"/>
        <v>0</v>
      </c>
      <c r="H100">
        <f t="shared" si="72"/>
        <v>0</v>
      </c>
      <c r="I100">
        <f t="shared" si="72"/>
        <v>0</v>
      </c>
      <c r="J100">
        <f t="shared" si="67"/>
        <v>0</v>
      </c>
      <c r="K100">
        <f t="shared" si="67"/>
        <v>0</v>
      </c>
      <c r="L100">
        <f t="shared" si="67"/>
        <v>0</v>
      </c>
      <c r="M100">
        <f t="shared" si="67"/>
        <v>0</v>
      </c>
      <c r="N100">
        <f t="shared" si="67"/>
        <v>0</v>
      </c>
      <c r="O100">
        <f t="shared" si="67"/>
        <v>0</v>
      </c>
      <c r="P100">
        <f t="shared" si="62"/>
        <v>0</v>
      </c>
      <c r="Q100">
        <f t="shared" si="68"/>
        <v>0</v>
      </c>
      <c r="R100">
        <f t="shared" si="68"/>
        <v>0</v>
      </c>
      <c r="S100">
        <f t="shared" si="68"/>
        <v>0</v>
      </c>
      <c r="T100">
        <f t="shared" si="68"/>
        <v>0</v>
      </c>
      <c r="U100">
        <f t="shared" si="68"/>
        <v>0</v>
      </c>
      <c r="V100" s="103">
        <f t="shared" si="68"/>
        <v>0</v>
      </c>
      <c r="W100">
        <f t="shared" si="68"/>
        <v>0</v>
      </c>
      <c r="X100">
        <f t="shared" si="68"/>
        <v>0</v>
      </c>
      <c r="Y100">
        <f t="shared" si="68"/>
        <v>0</v>
      </c>
      <c r="Z100">
        <f t="shared" ref="Z100:AK115" si="73">AQ48</f>
        <v>0</v>
      </c>
      <c r="AA100">
        <f t="shared" si="73"/>
        <v>0</v>
      </c>
      <c r="AB100">
        <f>D100-AR100</f>
        <v>0</v>
      </c>
      <c r="AC100">
        <f>AT48</f>
        <v>0</v>
      </c>
      <c r="AD100">
        <f t="shared" si="69"/>
        <v>0</v>
      </c>
      <c r="AE100">
        <f t="shared" si="69"/>
        <v>0</v>
      </c>
      <c r="AF100">
        <f t="shared" si="69"/>
        <v>0</v>
      </c>
      <c r="AG100">
        <f t="shared" si="69"/>
        <v>0</v>
      </c>
      <c r="AH100">
        <f t="shared" si="69"/>
        <v>0</v>
      </c>
      <c r="AI100">
        <f t="shared" si="69"/>
        <v>0</v>
      </c>
      <c r="AJ100">
        <f t="shared" si="69"/>
        <v>0</v>
      </c>
      <c r="AK100">
        <f t="shared" si="69"/>
        <v>0</v>
      </c>
      <c r="AL100">
        <f t="shared" si="69"/>
        <v>0</v>
      </c>
      <c r="AM100">
        <f t="shared" si="69"/>
        <v>0</v>
      </c>
      <c r="AN100">
        <f t="shared" si="69"/>
        <v>0</v>
      </c>
      <c r="AO100">
        <f t="shared" si="69"/>
        <v>0</v>
      </c>
      <c r="AP100">
        <f t="shared" si="69"/>
        <v>0</v>
      </c>
      <c r="AQ100">
        <f t="shared" si="69"/>
        <v>0</v>
      </c>
      <c r="AR100">
        <f>E100+Q100+R100+S100+T100+U100+V100+W100+X100+Y100+Z100+AA100+AC100+AD100+AE100+AF100+AG100+AH100+AI100+AJ100+AK100+AL100+AM100+AN100+AO100+AP100+AQ100</f>
        <v>0</v>
      </c>
      <c r="AS100">
        <f>D100+AB116-AR100</f>
        <v>0</v>
      </c>
    </row>
    <row r="101" spans="1:45" ht="20.25" customHeight="1">
      <c r="A101" t="s">
        <v>82</v>
      </c>
      <c r="B101" t="s">
        <v>83</v>
      </c>
      <c r="C101" t="s">
        <v>84</v>
      </c>
      <c r="D101">
        <f t="shared" si="70"/>
        <v>12.929549999999999</v>
      </c>
      <c r="E101">
        <f t="shared" si="38"/>
        <v>0</v>
      </c>
      <c r="F101">
        <f t="shared" si="71"/>
        <v>0</v>
      </c>
      <c r="G101">
        <f t="shared" si="71"/>
        <v>0</v>
      </c>
      <c r="H101">
        <f t="shared" si="72"/>
        <v>0</v>
      </c>
      <c r="I101">
        <f t="shared" si="72"/>
        <v>0</v>
      </c>
      <c r="J101">
        <f t="shared" si="67"/>
        <v>0</v>
      </c>
      <c r="K101">
        <f t="shared" si="67"/>
        <v>0</v>
      </c>
      <c r="L101">
        <f t="shared" si="67"/>
        <v>0</v>
      </c>
      <c r="M101">
        <f t="shared" si="67"/>
        <v>0</v>
      </c>
      <c r="N101">
        <f t="shared" si="67"/>
        <v>0</v>
      </c>
      <c r="O101">
        <f t="shared" si="67"/>
        <v>0</v>
      </c>
      <c r="P101">
        <f t="shared" si="62"/>
        <v>12.929549999999999</v>
      </c>
      <c r="Q101">
        <f t="shared" si="68"/>
        <v>0</v>
      </c>
      <c r="R101">
        <f t="shared" si="68"/>
        <v>0</v>
      </c>
      <c r="S101">
        <f t="shared" si="68"/>
        <v>0</v>
      </c>
      <c r="T101">
        <f t="shared" si="68"/>
        <v>0</v>
      </c>
      <c r="U101">
        <f t="shared" si="68"/>
        <v>0</v>
      </c>
      <c r="V101" s="103">
        <f t="shared" si="68"/>
        <v>0</v>
      </c>
      <c r="W101">
        <f t="shared" si="68"/>
        <v>0</v>
      </c>
      <c r="X101">
        <f t="shared" si="68"/>
        <v>0</v>
      </c>
      <c r="Y101">
        <f t="shared" si="68"/>
        <v>0</v>
      </c>
      <c r="Z101">
        <f t="shared" si="73"/>
        <v>0</v>
      </c>
      <c r="AA101">
        <f t="shared" si="73"/>
        <v>0</v>
      </c>
      <c r="AB101">
        <f t="shared" si="73"/>
        <v>0</v>
      </c>
      <c r="AC101">
        <f>D101-AR101</f>
        <v>12.929549999999999</v>
      </c>
      <c r="AD101">
        <f>AU49</f>
        <v>0</v>
      </c>
      <c r="AE101">
        <f t="shared" si="69"/>
        <v>0</v>
      </c>
      <c r="AF101">
        <f t="shared" si="69"/>
        <v>0</v>
      </c>
      <c r="AG101">
        <f t="shared" si="69"/>
        <v>0</v>
      </c>
      <c r="AH101">
        <f t="shared" si="69"/>
        <v>0</v>
      </c>
      <c r="AI101">
        <f t="shared" si="69"/>
        <v>0</v>
      </c>
      <c r="AJ101">
        <f t="shared" si="69"/>
        <v>0</v>
      </c>
      <c r="AK101">
        <f t="shared" si="69"/>
        <v>0</v>
      </c>
      <c r="AL101">
        <f t="shared" si="69"/>
        <v>0</v>
      </c>
      <c r="AM101">
        <f t="shared" si="69"/>
        <v>0</v>
      </c>
      <c r="AN101">
        <f t="shared" si="69"/>
        <v>0</v>
      </c>
      <c r="AO101">
        <f t="shared" si="69"/>
        <v>0</v>
      </c>
      <c r="AP101">
        <f t="shared" si="69"/>
        <v>0</v>
      </c>
      <c r="AQ101">
        <f t="shared" si="69"/>
        <v>0</v>
      </c>
      <c r="AR101">
        <f>E101+Q101+R101+S101+T101+U101+V101+W101+X101+Y101+Z101+AA101+AB101+AD101+AE101+AF101+AG101+AH101+AI101+AJ101+AK101+AL101+AM101+AN101+AO101+AP101+AQ101</f>
        <v>0</v>
      </c>
      <c r="AS101">
        <f>D101+AC116-AR101</f>
        <v>13.379549999999998</v>
      </c>
    </row>
    <row r="102" spans="1:45" ht="20.25" customHeight="1">
      <c r="A102" t="s">
        <v>85</v>
      </c>
      <c r="B102" t="s">
        <v>86</v>
      </c>
      <c r="C102" t="s">
        <v>87</v>
      </c>
      <c r="D102">
        <f t="shared" si="70"/>
        <v>0</v>
      </c>
      <c r="E102">
        <f t="shared" si="38"/>
        <v>0</v>
      </c>
      <c r="F102">
        <f t="shared" si="71"/>
        <v>0</v>
      </c>
      <c r="G102">
        <f t="shared" si="71"/>
        <v>0</v>
      </c>
      <c r="H102">
        <f t="shared" si="72"/>
        <v>0</v>
      </c>
      <c r="I102">
        <f t="shared" si="72"/>
        <v>0</v>
      </c>
      <c r="J102">
        <f t="shared" si="67"/>
        <v>0</v>
      </c>
      <c r="K102">
        <f t="shared" si="67"/>
        <v>0</v>
      </c>
      <c r="L102">
        <f t="shared" si="67"/>
        <v>0</v>
      </c>
      <c r="M102">
        <f t="shared" si="67"/>
        <v>0</v>
      </c>
      <c r="N102">
        <f t="shared" si="67"/>
        <v>0</v>
      </c>
      <c r="O102">
        <f t="shared" si="67"/>
        <v>0</v>
      </c>
      <c r="P102">
        <f t="shared" si="62"/>
        <v>0</v>
      </c>
      <c r="Q102">
        <f t="shared" si="68"/>
        <v>0</v>
      </c>
      <c r="R102">
        <f t="shared" si="68"/>
        <v>0</v>
      </c>
      <c r="S102">
        <f t="shared" si="68"/>
        <v>0</v>
      </c>
      <c r="T102">
        <f t="shared" si="68"/>
        <v>0</v>
      </c>
      <c r="U102">
        <f t="shared" si="68"/>
        <v>0</v>
      </c>
      <c r="V102" s="103">
        <f t="shared" si="68"/>
        <v>0</v>
      </c>
      <c r="W102">
        <f t="shared" si="68"/>
        <v>0</v>
      </c>
      <c r="X102">
        <f t="shared" si="68"/>
        <v>0</v>
      </c>
      <c r="Y102">
        <f t="shared" si="68"/>
        <v>0</v>
      </c>
      <c r="Z102">
        <f t="shared" si="73"/>
        <v>0</v>
      </c>
      <c r="AA102">
        <f t="shared" si="73"/>
        <v>0</v>
      </c>
      <c r="AB102">
        <f t="shared" si="73"/>
        <v>0</v>
      </c>
      <c r="AC102">
        <f t="shared" si="73"/>
        <v>0</v>
      </c>
      <c r="AD102">
        <f>D102-AR102</f>
        <v>0</v>
      </c>
      <c r="AE102">
        <f>AV50</f>
        <v>0</v>
      </c>
      <c r="AF102">
        <f t="shared" si="69"/>
        <v>0</v>
      </c>
      <c r="AG102">
        <f t="shared" si="69"/>
        <v>0</v>
      </c>
      <c r="AH102">
        <f t="shared" si="69"/>
        <v>0</v>
      </c>
      <c r="AI102">
        <f t="shared" si="69"/>
        <v>0</v>
      </c>
      <c r="AJ102">
        <f t="shared" si="69"/>
        <v>0</v>
      </c>
      <c r="AK102">
        <f t="shared" si="69"/>
        <v>0</v>
      </c>
      <c r="AL102">
        <f t="shared" si="69"/>
        <v>0</v>
      </c>
      <c r="AM102">
        <f t="shared" si="69"/>
        <v>0</v>
      </c>
      <c r="AN102">
        <f t="shared" si="69"/>
        <v>0</v>
      </c>
      <c r="AO102">
        <f t="shared" si="69"/>
        <v>0</v>
      </c>
      <c r="AP102">
        <f t="shared" si="69"/>
        <v>0</v>
      </c>
      <c r="AQ102">
        <f t="shared" si="69"/>
        <v>0</v>
      </c>
      <c r="AR102">
        <f>E102+Q102+R102+S102+T102+U102+V102+W102+X102+Y102+Z102+AA102+AB102+AC102+AE102+AF102+AG102+AH102+AI102+AJ102+AK102+AL102+AM102+AN102+AO102+AP102+AQ102</f>
        <v>0</v>
      </c>
      <c r="AS102">
        <f>D102+AD116-AR102</f>
        <v>0</v>
      </c>
    </row>
    <row r="103" spans="1:45" ht="20.25" customHeight="1">
      <c r="A103" t="s">
        <v>88</v>
      </c>
      <c r="B103" t="s">
        <v>89</v>
      </c>
      <c r="C103" t="s">
        <v>90</v>
      </c>
      <c r="D103">
        <f t="shared" si="70"/>
        <v>0.45577999999999996</v>
      </c>
      <c r="E103">
        <f t="shared" si="38"/>
        <v>0</v>
      </c>
      <c r="F103">
        <f t="shared" si="71"/>
        <v>0</v>
      </c>
      <c r="G103">
        <f t="shared" si="71"/>
        <v>0</v>
      </c>
      <c r="H103">
        <f t="shared" si="72"/>
        <v>0</v>
      </c>
      <c r="I103">
        <f t="shared" si="72"/>
        <v>0</v>
      </c>
      <c r="J103">
        <f t="shared" si="67"/>
        <v>0</v>
      </c>
      <c r="K103">
        <f t="shared" si="67"/>
        <v>0</v>
      </c>
      <c r="L103">
        <f t="shared" si="67"/>
        <v>0</v>
      </c>
      <c r="M103">
        <f t="shared" si="67"/>
        <v>0</v>
      </c>
      <c r="N103">
        <f t="shared" si="67"/>
        <v>0</v>
      </c>
      <c r="O103">
        <f t="shared" si="67"/>
        <v>0</v>
      </c>
      <c r="P103">
        <f t="shared" si="62"/>
        <v>0.45577999999999996</v>
      </c>
      <c r="Q103">
        <f t="shared" si="68"/>
        <v>0</v>
      </c>
      <c r="R103">
        <f t="shared" si="68"/>
        <v>0</v>
      </c>
      <c r="S103">
        <f t="shared" si="68"/>
        <v>0</v>
      </c>
      <c r="T103">
        <f t="shared" si="68"/>
        <v>0</v>
      </c>
      <c r="U103">
        <f t="shared" si="68"/>
        <v>0</v>
      </c>
      <c r="V103" s="103">
        <f t="shared" si="68"/>
        <v>0</v>
      </c>
      <c r="W103">
        <f t="shared" si="68"/>
        <v>0</v>
      </c>
      <c r="X103">
        <f t="shared" si="68"/>
        <v>0</v>
      </c>
      <c r="Y103">
        <f t="shared" si="68"/>
        <v>0</v>
      </c>
      <c r="Z103">
        <f t="shared" si="73"/>
        <v>0</v>
      </c>
      <c r="AA103">
        <f t="shared" si="73"/>
        <v>0</v>
      </c>
      <c r="AB103">
        <f t="shared" si="73"/>
        <v>0</v>
      </c>
      <c r="AC103">
        <f t="shared" si="73"/>
        <v>0</v>
      </c>
      <c r="AD103">
        <f t="shared" si="73"/>
        <v>0</v>
      </c>
      <c r="AE103">
        <f>D103-AR103</f>
        <v>0.45577999999999996</v>
      </c>
      <c r="AF103">
        <f>AW51</f>
        <v>0</v>
      </c>
      <c r="AG103">
        <f t="shared" si="69"/>
        <v>0</v>
      </c>
      <c r="AH103">
        <f t="shared" si="69"/>
        <v>0</v>
      </c>
      <c r="AI103">
        <f t="shared" si="69"/>
        <v>0</v>
      </c>
      <c r="AJ103">
        <f t="shared" si="69"/>
        <v>0</v>
      </c>
      <c r="AK103">
        <f t="shared" si="69"/>
        <v>0</v>
      </c>
      <c r="AL103">
        <f t="shared" si="69"/>
        <v>0</v>
      </c>
      <c r="AM103">
        <f t="shared" si="69"/>
        <v>0</v>
      </c>
      <c r="AN103">
        <f t="shared" si="69"/>
        <v>0</v>
      </c>
      <c r="AO103">
        <f t="shared" si="69"/>
        <v>0</v>
      </c>
      <c r="AP103">
        <f t="shared" si="69"/>
        <v>0</v>
      </c>
      <c r="AQ103">
        <f t="shared" si="69"/>
        <v>0</v>
      </c>
      <c r="AR103">
        <f>E103+Q103+R103+S103+T103+U103+V103+W103+X103+Y103+Z103+AA103+AB103+AC103+AD103+AF103+AG103+AH103+AI103+AJ103+AK103+AL103+AM103+AN103+AO103+AP103+AQ103</f>
        <v>0</v>
      </c>
      <c r="AS103">
        <f>D103+AE116-AR103</f>
        <v>0.45577999999999996</v>
      </c>
    </row>
    <row r="104" spans="1:45" ht="37.5" customHeight="1">
      <c r="A104" t="s">
        <v>91</v>
      </c>
      <c r="B104" t="s">
        <v>92</v>
      </c>
      <c r="C104" t="s">
        <v>93</v>
      </c>
      <c r="D104">
        <f t="shared" si="70"/>
        <v>0</v>
      </c>
      <c r="E104">
        <f t="shared" si="38"/>
        <v>0</v>
      </c>
      <c r="F104">
        <f t="shared" si="71"/>
        <v>0</v>
      </c>
      <c r="G104">
        <f t="shared" si="71"/>
        <v>0</v>
      </c>
      <c r="H104">
        <f t="shared" si="72"/>
        <v>0</v>
      </c>
      <c r="I104">
        <f t="shared" si="72"/>
        <v>0</v>
      </c>
      <c r="J104">
        <f t="shared" si="67"/>
        <v>0</v>
      </c>
      <c r="K104">
        <f t="shared" si="67"/>
        <v>0</v>
      </c>
      <c r="L104">
        <f t="shared" si="67"/>
        <v>0</v>
      </c>
      <c r="M104">
        <f t="shared" si="67"/>
        <v>0</v>
      </c>
      <c r="N104">
        <f t="shared" si="67"/>
        <v>0</v>
      </c>
      <c r="O104">
        <f t="shared" si="67"/>
        <v>0</v>
      </c>
      <c r="P104">
        <f t="shared" si="62"/>
        <v>0</v>
      </c>
      <c r="Q104">
        <f t="shared" si="68"/>
        <v>0</v>
      </c>
      <c r="R104">
        <f t="shared" si="68"/>
        <v>0</v>
      </c>
      <c r="S104">
        <f t="shared" si="68"/>
        <v>0</v>
      </c>
      <c r="T104">
        <f t="shared" si="68"/>
        <v>0</v>
      </c>
      <c r="U104">
        <f t="shared" si="68"/>
        <v>0</v>
      </c>
      <c r="V104" s="103">
        <f t="shared" si="68"/>
        <v>0</v>
      </c>
      <c r="W104">
        <f t="shared" si="68"/>
        <v>0</v>
      </c>
      <c r="X104">
        <f t="shared" si="68"/>
        <v>0</v>
      </c>
      <c r="Y104">
        <f t="shared" si="68"/>
        <v>0</v>
      </c>
      <c r="Z104">
        <f t="shared" si="73"/>
        <v>0</v>
      </c>
      <c r="AA104">
        <f t="shared" si="73"/>
        <v>0</v>
      </c>
      <c r="AB104">
        <f t="shared" si="73"/>
        <v>0</v>
      </c>
      <c r="AC104">
        <f t="shared" si="73"/>
        <v>0</v>
      </c>
      <c r="AD104">
        <f t="shared" si="73"/>
        <v>0</v>
      </c>
      <c r="AE104">
        <f t="shared" si="73"/>
        <v>0</v>
      </c>
      <c r="AF104">
        <f>D104-AR104</f>
        <v>0</v>
      </c>
      <c r="AG104">
        <f>AX52</f>
        <v>0</v>
      </c>
      <c r="AH104">
        <f t="shared" si="69"/>
        <v>0</v>
      </c>
      <c r="AI104">
        <f t="shared" si="69"/>
        <v>0</v>
      </c>
      <c r="AJ104">
        <f t="shared" si="69"/>
        <v>0</v>
      </c>
      <c r="AK104">
        <f t="shared" si="69"/>
        <v>0</v>
      </c>
      <c r="AL104">
        <f t="shared" si="69"/>
        <v>0</v>
      </c>
      <c r="AM104">
        <f t="shared" si="69"/>
        <v>0</v>
      </c>
      <c r="AN104">
        <f t="shared" si="69"/>
        <v>0</v>
      </c>
      <c r="AO104">
        <f t="shared" si="69"/>
        <v>0</v>
      </c>
      <c r="AP104">
        <f t="shared" si="69"/>
        <v>0</v>
      </c>
      <c r="AQ104">
        <f t="shared" si="69"/>
        <v>0</v>
      </c>
      <c r="AR104">
        <f>E104+Q104+R104+S104+T104+U104+V104+W104+X104+Y104+Z104+AA104+AB104+AC104+AD104+AE104+AG104+AH104+AI104+AJ104+AK104+AL104+AM104+AN104+AO104+AP104+AQ104</f>
        <v>0</v>
      </c>
      <c r="AS104">
        <f>D104+AF116-AR104</f>
        <v>0</v>
      </c>
    </row>
    <row r="105" spans="1:45" ht="20.25" customHeight="1">
      <c r="A105" t="s">
        <v>94</v>
      </c>
      <c r="B105" t="s">
        <v>95</v>
      </c>
      <c r="C105" t="s">
        <v>96</v>
      </c>
      <c r="D105">
        <f t="shared" si="70"/>
        <v>0</v>
      </c>
      <c r="E105">
        <f t="shared" si="38"/>
        <v>0</v>
      </c>
      <c r="F105">
        <f t="shared" si="71"/>
        <v>0</v>
      </c>
      <c r="G105">
        <f t="shared" si="71"/>
        <v>0</v>
      </c>
      <c r="H105">
        <f t="shared" si="72"/>
        <v>0</v>
      </c>
      <c r="I105">
        <f t="shared" si="72"/>
        <v>0</v>
      </c>
      <c r="J105">
        <f t="shared" si="67"/>
        <v>0</v>
      </c>
      <c r="K105">
        <f t="shared" si="67"/>
        <v>0</v>
      </c>
      <c r="L105">
        <f t="shared" si="67"/>
        <v>0</v>
      </c>
      <c r="M105">
        <f t="shared" si="67"/>
        <v>0</v>
      </c>
      <c r="N105">
        <f t="shared" si="67"/>
        <v>0</v>
      </c>
      <c r="O105">
        <f t="shared" si="67"/>
        <v>0</v>
      </c>
      <c r="P105">
        <f t="shared" si="62"/>
        <v>0</v>
      </c>
      <c r="Q105">
        <f t="shared" si="68"/>
        <v>0</v>
      </c>
      <c r="R105">
        <f t="shared" si="68"/>
        <v>0</v>
      </c>
      <c r="S105">
        <f t="shared" si="68"/>
        <v>0</v>
      </c>
      <c r="T105">
        <f t="shared" si="68"/>
        <v>0</v>
      </c>
      <c r="U105">
        <f t="shared" si="68"/>
        <v>0</v>
      </c>
      <c r="V105" s="103">
        <f t="shared" si="68"/>
        <v>0</v>
      </c>
      <c r="W105">
        <f t="shared" si="68"/>
        <v>0</v>
      </c>
      <c r="X105">
        <f t="shared" si="68"/>
        <v>0</v>
      </c>
      <c r="Y105">
        <f t="shared" si="68"/>
        <v>0</v>
      </c>
      <c r="Z105">
        <f t="shared" si="73"/>
        <v>0</v>
      </c>
      <c r="AA105">
        <f t="shared" si="73"/>
        <v>0</v>
      </c>
      <c r="AB105">
        <f t="shared" si="73"/>
        <v>0</v>
      </c>
      <c r="AC105">
        <f t="shared" si="73"/>
        <v>0</v>
      </c>
      <c r="AD105">
        <f t="shared" si="73"/>
        <v>0</v>
      </c>
      <c r="AE105">
        <f t="shared" si="73"/>
        <v>0</v>
      </c>
      <c r="AF105">
        <f t="shared" si="73"/>
        <v>0</v>
      </c>
      <c r="AG105">
        <f>D105-AR105</f>
        <v>0</v>
      </c>
      <c r="AH105">
        <f>AY53</f>
        <v>0</v>
      </c>
      <c r="AI105">
        <f t="shared" si="69"/>
        <v>0</v>
      </c>
      <c r="AJ105">
        <f t="shared" si="69"/>
        <v>0</v>
      </c>
      <c r="AK105">
        <f t="shared" si="69"/>
        <v>0</v>
      </c>
      <c r="AL105">
        <f t="shared" si="69"/>
        <v>0</v>
      </c>
      <c r="AM105">
        <f t="shared" si="69"/>
        <v>0</v>
      </c>
      <c r="AN105">
        <f t="shared" si="69"/>
        <v>0</v>
      </c>
      <c r="AO105">
        <f t="shared" si="69"/>
        <v>0</v>
      </c>
      <c r="AP105">
        <f t="shared" si="69"/>
        <v>0</v>
      </c>
      <c r="AQ105">
        <f t="shared" si="69"/>
        <v>0</v>
      </c>
      <c r="AR105">
        <f>E105+Q105+R105+S105+T105+U105+V105+W105+X105+Y105+Z105+AA105+AB105+AC105+AD105+AE105+AF105+AH105+AI105+AJ105+AK105+AL105+AM105+AN105+AO105+AP105+AQ105</f>
        <v>0</v>
      </c>
      <c r="AS105">
        <f>D105+AG116-AR105</f>
        <v>0</v>
      </c>
    </row>
    <row r="106" spans="1:45" ht="20.25" customHeight="1">
      <c r="A106" t="s">
        <v>97</v>
      </c>
      <c r="B106" t="s">
        <v>98</v>
      </c>
      <c r="C106" t="s">
        <v>99</v>
      </c>
      <c r="D106">
        <f t="shared" si="70"/>
        <v>0</v>
      </c>
      <c r="E106">
        <f t="shared" si="38"/>
        <v>0</v>
      </c>
      <c r="F106">
        <f t="shared" si="71"/>
        <v>0</v>
      </c>
      <c r="G106">
        <f t="shared" si="71"/>
        <v>0</v>
      </c>
      <c r="H106">
        <f t="shared" si="72"/>
        <v>0</v>
      </c>
      <c r="I106">
        <f t="shared" si="72"/>
        <v>0</v>
      </c>
      <c r="J106">
        <f t="shared" si="67"/>
        <v>0</v>
      </c>
      <c r="K106">
        <f t="shared" si="67"/>
        <v>0</v>
      </c>
      <c r="L106">
        <f t="shared" si="67"/>
        <v>0</v>
      </c>
      <c r="M106">
        <f t="shared" si="67"/>
        <v>0</v>
      </c>
      <c r="N106">
        <f t="shared" si="67"/>
        <v>0</v>
      </c>
      <c r="O106">
        <f t="shared" si="67"/>
        <v>0</v>
      </c>
      <c r="P106">
        <f t="shared" si="62"/>
        <v>0</v>
      </c>
      <c r="Q106">
        <f t="shared" si="68"/>
        <v>0</v>
      </c>
      <c r="R106">
        <f t="shared" si="68"/>
        <v>0</v>
      </c>
      <c r="S106">
        <f t="shared" si="68"/>
        <v>0</v>
      </c>
      <c r="T106">
        <f t="shared" si="68"/>
        <v>0</v>
      </c>
      <c r="U106">
        <f t="shared" si="68"/>
        <v>0</v>
      </c>
      <c r="V106" s="103">
        <f t="shared" si="68"/>
        <v>0</v>
      </c>
      <c r="W106">
        <f t="shared" si="68"/>
        <v>0</v>
      </c>
      <c r="X106">
        <f t="shared" si="68"/>
        <v>0</v>
      </c>
      <c r="Y106">
        <f t="shared" si="68"/>
        <v>0</v>
      </c>
      <c r="Z106">
        <f t="shared" si="73"/>
        <v>0</v>
      </c>
      <c r="AA106">
        <f t="shared" si="73"/>
        <v>0</v>
      </c>
      <c r="AB106">
        <f t="shared" si="73"/>
        <v>0</v>
      </c>
      <c r="AC106">
        <f t="shared" si="73"/>
        <v>0</v>
      </c>
      <c r="AD106">
        <f t="shared" si="73"/>
        <v>0</v>
      </c>
      <c r="AE106">
        <f t="shared" si="73"/>
        <v>0</v>
      </c>
      <c r="AF106">
        <f t="shared" si="73"/>
        <v>0</v>
      </c>
      <c r="AG106">
        <f t="shared" si="73"/>
        <v>0</v>
      </c>
      <c r="AH106">
        <f>D106-AR106</f>
        <v>0</v>
      </c>
      <c r="AI106">
        <f>AZ54</f>
        <v>0</v>
      </c>
      <c r="AJ106">
        <f t="shared" si="69"/>
        <v>0</v>
      </c>
      <c r="AK106">
        <f t="shared" si="69"/>
        <v>0</v>
      </c>
      <c r="AL106">
        <f t="shared" si="69"/>
        <v>0</v>
      </c>
      <c r="AM106">
        <f t="shared" si="69"/>
        <v>0</v>
      </c>
      <c r="AN106">
        <f t="shared" si="69"/>
        <v>0</v>
      </c>
      <c r="AO106">
        <f t="shared" si="69"/>
        <v>0</v>
      </c>
      <c r="AP106">
        <f t="shared" si="69"/>
        <v>0</v>
      </c>
      <c r="AQ106">
        <f t="shared" si="69"/>
        <v>0</v>
      </c>
      <c r="AR106">
        <f>E106+Q106+R106+S106+T106+U106+V106+W106+X106+Y106+Z106+AA106+AB106+AC106+AD106+AE106+AF106+AG106+AI106+AJ106+AK106+AL106+AM106+AN106+AO106+AP106+AQ106</f>
        <v>0</v>
      </c>
      <c r="AS106">
        <f>D106+AH116-AR106</f>
        <v>0</v>
      </c>
    </row>
    <row r="107" spans="1:45" ht="31.5" customHeight="1">
      <c r="A107" t="s">
        <v>100</v>
      </c>
      <c r="B107" t="s">
        <v>134</v>
      </c>
      <c r="C107" t="s">
        <v>101</v>
      </c>
      <c r="D107">
        <f t="shared" si="70"/>
        <v>0</v>
      </c>
      <c r="E107">
        <f t="shared" si="38"/>
        <v>0</v>
      </c>
      <c r="F107">
        <f t="shared" si="71"/>
        <v>0</v>
      </c>
      <c r="G107">
        <f t="shared" si="71"/>
        <v>0</v>
      </c>
      <c r="H107">
        <f t="shared" si="72"/>
        <v>0</v>
      </c>
      <c r="I107">
        <f t="shared" si="72"/>
        <v>0</v>
      </c>
      <c r="J107">
        <f t="shared" si="67"/>
        <v>0</v>
      </c>
      <c r="K107">
        <f t="shared" si="67"/>
        <v>0</v>
      </c>
      <c r="L107">
        <f t="shared" si="67"/>
        <v>0</v>
      </c>
      <c r="M107">
        <f t="shared" si="67"/>
        <v>0</v>
      </c>
      <c r="N107">
        <f t="shared" si="67"/>
        <v>0</v>
      </c>
      <c r="O107">
        <f t="shared" si="67"/>
        <v>0</v>
      </c>
      <c r="P107">
        <f t="shared" si="62"/>
        <v>0</v>
      </c>
      <c r="Q107">
        <f t="shared" si="68"/>
        <v>0</v>
      </c>
      <c r="R107">
        <f t="shared" si="68"/>
        <v>0</v>
      </c>
      <c r="S107">
        <f t="shared" si="68"/>
        <v>0</v>
      </c>
      <c r="T107">
        <f t="shared" si="68"/>
        <v>0</v>
      </c>
      <c r="U107">
        <f t="shared" si="68"/>
        <v>0</v>
      </c>
      <c r="V107" s="103">
        <f t="shared" si="68"/>
        <v>0</v>
      </c>
      <c r="W107">
        <f t="shared" si="68"/>
        <v>0</v>
      </c>
      <c r="X107">
        <f t="shared" si="68"/>
        <v>0</v>
      </c>
      <c r="Y107">
        <f t="shared" si="68"/>
        <v>0</v>
      </c>
      <c r="Z107">
        <f t="shared" si="73"/>
        <v>0</v>
      </c>
      <c r="AA107">
        <f t="shared" si="73"/>
        <v>0</v>
      </c>
      <c r="AB107">
        <f t="shared" si="73"/>
        <v>0</v>
      </c>
      <c r="AC107">
        <f t="shared" si="73"/>
        <v>0</v>
      </c>
      <c r="AD107">
        <f t="shared" si="73"/>
        <v>0</v>
      </c>
      <c r="AE107">
        <f t="shared" si="73"/>
        <v>0</v>
      </c>
      <c r="AF107">
        <f t="shared" si="73"/>
        <v>0</v>
      </c>
      <c r="AG107">
        <f t="shared" si="73"/>
        <v>0</v>
      </c>
      <c r="AH107">
        <f t="shared" si="73"/>
        <v>0</v>
      </c>
      <c r="AI107">
        <f>D107-AR107</f>
        <v>0</v>
      </c>
      <c r="AJ107">
        <f>BA55</f>
        <v>0</v>
      </c>
      <c r="AK107">
        <f t="shared" si="69"/>
        <v>0</v>
      </c>
      <c r="AL107">
        <f t="shared" si="69"/>
        <v>0</v>
      </c>
      <c r="AM107">
        <f t="shared" si="69"/>
        <v>0</v>
      </c>
      <c r="AN107">
        <f t="shared" si="69"/>
        <v>0</v>
      </c>
      <c r="AO107">
        <f t="shared" si="69"/>
        <v>0</v>
      </c>
      <c r="AP107">
        <f t="shared" si="69"/>
        <v>0</v>
      </c>
      <c r="AQ107">
        <f t="shared" si="69"/>
        <v>0</v>
      </c>
      <c r="AR107">
        <f>E107+Q107+R107+S107+T107+U107+V107+W107+X107+Y107+Z107+AA107+AB107+AC107+AD107+AE107+AF107+AG107+AH107+AJ107+AK107+AL107+AM107+AN107+AO107+AP107+AQ107</f>
        <v>0</v>
      </c>
      <c r="AS107">
        <f>D107+AI116-AR107</f>
        <v>0</v>
      </c>
    </row>
    <row r="108" spans="1:45" ht="20.25" customHeight="1">
      <c r="A108" t="s">
        <v>102</v>
      </c>
      <c r="B108" t="s">
        <v>103</v>
      </c>
      <c r="C108" t="s">
        <v>104</v>
      </c>
      <c r="D108">
        <f t="shared" si="70"/>
        <v>0</v>
      </c>
      <c r="E108">
        <f t="shared" si="38"/>
        <v>0</v>
      </c>
      <c r="F108">
        <f t="shared" si="71"/>
        <v>0</v>
      </c>
      <c r="G108">
        <f t="shared" si="71"/>
        <v>0</v>
      </c>
      <c r="H108">
        <f t="shared" si="72"/>
        <v>0</v>
      </c>
      <c r="I108">
        <f t="shared" si="72"/>
        <v>0</v>
      </c>
      <c r="J108">
        <f t="shared" si="67"/>
        <v>0</v>
      </c>
      <c r="K108">
        <f t="shared" si="67"/>
        <v>0</v>
      </c>
      <c r="L108">
        <f t="shared" si="67"/>
        <v>0</v>
      </c>
      <c r="M108">
        <f t="shared" si="67"/>
        <v>0</v>
      </c>
      <c r="N108">
        <f t="shared" si="67"/>
        <v>0</v>
      </c>
      <c r="O108">
        <f t="shared" si="67"/>
        <v>0</v>
      </c>
      <c r="P108">
        <f t="shared" si="62"/>
        <v>0</v>
      </c>
      <c r="Q108">
        <f t="shared" si="68"/>
        <v>0</v>
      </c>
      <c r="R108">
        <f t="shared" si="68"/>
        <v>0</v>
      </c>
      <c r="S108">
        <f t="shared" si="68"/>
        <v>0</v>
      </c>
      <c r="T108">
        <f t="shared" si="68"/>
        <v>0</v>
      </c>
      <c r="U108">
        <f t="shared" si="68"/>
        <v>0</v>
      </c>
      <c r="V108" s="103">
        <f t="shared" si="68"/>
        <v>0</v>
      </c>
      <c r="W108">
        <f t="shared" si="68"/>
        <v>0</v>
      </c>
      <c r="X108">
        <f t="shared" si="68"/>
        <v>0</v>
      </c>
      <c r="Y108">
        <f t="shared" si="68"/>
        <v>0</v>
      </c>
      <c r="Z108">
        <f t="shared" si="73"/>
        <v>0</v>
      </c>
      <c r="AA108">
        <f t="shared" si="73"/>
        <v>0</v>
      </c>
      <c r="AB108">
        <f t="shared" si="73"/>
        <v>0</v>
      </c>
      <c r="AC108">
        <f t="shared" si="73"/>
        <v>0</v>
      </c>
      <c r="AD108">
        <f t="shared" si="73"/>
        <v>0</v>
      </c>
      <c r="AE108">
        <f t="shared" si="73"/>
        <v>0</v>
      </c>
      <c r="AF108">
        <f t="shared" si="73"/>
        <v>0</v>
      </c>
      <c r="AG108">
        <f t="shared" si="73"/>
        <v>0</v>
      </c>
      <c r="AH108">
        <f t="shared" si="73"/>
        <v>0</v>
      </c>
      <c r="AI108">
        <f t="shared" si="73"/>
        <v>0</v>
      </c>
      <c r="AJ108">
        <f>D108-AR108</f>
        <v>0</v>
      </c>
      <c r="AK108">
        <f>BB56</f>
        <v>0</v>
      </c>
      <c r="AL108">
        <f t="shared" si="69"/>
        <v>0</v>
      </c>
      <c r="AM108">
        <f t="shared" si="69"/>
        <v>0</v>
      </c>
      <c r="AN108">
        <f t="shared" si="69"/>
        <v>0</v>
      </c>
      <c r="AO108">
        <f t="shared" si="69"/>
        <v>0</v>
      </c>
      <c r="AP108">
        <f t="shared" si="69"/>
        <v>0</v>
      </c>
      <c r="AQ108">
        <f t="shared" si="69"/>
        <v>0</v>
      </c>
      <c r="AR108">
        <f>E108+Q108+R108+S108+T108+U108+V108+W108+X108+Y108+Z108+AA108+AB108+AC108+AD108+AE108+AF108+AG108+AH108+AI108+AK108+AL108+AM108+AN108+AO108+AP108+AQ108</f>
        <v>0</v>
      </c>
      <c r="AS108">
        <f>D108+AJ116-AR108</f>
        <v>6.4999999999999991</v>
      </c>
    </row>
    <row r="109" spans="1:45" ht="20.25" customHeight="1">
      <c r="A109" t="s">
        <v>105</v>
      </c>
      <c r="B109" t="s">
        <v>106</v>
      </c>
      <c r="C109" t="s">
        <v>107</v>
      </c>
      <c r="D109">
        <f t="shared" si="70"/>
        <v>0.62</v>
      </c>
      <c r="E109">
        <f t="shared" si="38"/>
        <v>0</v>
      </c>
      <c r="F109">
        <f t="shared" si="71"/>
        <v>0</v>
      </c>
      <c r="G109">
        <f t="shared" si="71"/>
        <v>0</v>
      </c>
      <c r="H109">
        <f t="shared" si="72"/>
        <v>0</v>
      </c>
      <c r="I109">
        <f t="shared" si="72"/>
        <v>0</v>
      </c>
      <c r="J109">
        <f t="shared" si="67"/>
        <v>0</v>
      </c>
      <c r="K109">
        <f t="shared" si="67"/>
        <v>0</v>
      </c>
      <c r="L109">
        <f t="shared" si="67"/>
        <v>0</v>
      </c>
      <c r="M109">
        <f t="shared" si="67"/>
        <v>0</v>
      </c>
      <c r="N109">
        <f t="shared" si="67"/>
        <v>0</v>
      </c>
      <c r="O109">
        <f t="shared" si="67"/>
        <v>0</v>
      </c>
      <c r="P109">
        <f t="shared" si="62"/>
        <v>0.62</v>
      </c>
      <c r="Q109">
        <f t="shared" si="68"/>
        <v>0</v>
      </c>
      <c r="R109">
        <f t="shared" si="68"/>
        <v>0</v>
      </c>
      <c r="S109">
        <f t="shared" si="68"/>
        <v>0</v>
      </c>
      <c r="T109">
        <f t="shared" si="68"/>
        <v>0</v>
      </c>
      <c r="U109">
        <f t="shared" si="68"/>
        <v>0</v>
      </c>
      <c r="V109" s="103">
        <f t="shared" si="68"/>
        <v>0</v>
      </c>
      <c r="W109">
        <f t="shared" si="68"/>
        <v>0</v>
      </c>
      <c r="X109">
        <f t="shared" si="68"/>
        <v>0</v>
      </c>
      <c r="Y109">
        <f t="shared" si="68"/>
        <v>0</v>
      </c>
      <c r="Z109">
        <f t="shared" si="73"/>
        <v>0</v>
      </c>
      <c r="AA109">
        <f t="shared" si="73"/>
        <v>0</v>
      </c>
      <c r="AB109">
        <f t="shared" si="73"/>
        <v>0</v>
      </c>
      <c r="AC109">
        <f t="shared" si="73"/>
        <v>0</v>
      </c>
      <c r="AD109">
        <f t="shared" si="73"/>
        <v>0</v>
      </c>
      <c r="AE109">
        <f t="shared" si="73"/>
        <v>0</v>
      </c>
      <c r="AF109">
        <f t="shared" si="73"/>
        <v>0</v>
      </c>
      <c r="AG109">
        <f t="shared" si="73"/>
        <v>0</v>
      </c>
      <c r="AH109">
        <f t="shared" si="73"/>
        <v>0</v>
      </c>
      <c r="AI109">
        <f t="shared" si="73"/>
        <v>0</v>
      </c>
      <c r="AJ109">
        <f t="shared" si="73"/>
        <v>0</v>
      </c>
      <c r="AK109">
        <f>D109-AR109</f>
        <v>0.62</v>
      </c>
      <c r="AL109">
        <f t="shared" si="69"/>
        <v>0</v>
      </c>
      <c r="AM109">
        <f t="shared" si="69"/>
        <v>0</v>
      </c>
      <c r="AN109">
        <f t="shared" si="69"/>
        <v>0</v>
      </c>
      <c r="AO109">
        <f t="shared" si="69"/>
        <v>0</v>
      </c>
      <c r="AP109">
        <f t="shared" si="69"/>
        <v>0</v>
      </c>
      <c r="AQ109">
        <f t="shared" si="69"/>
        <v>0</v>
      </c>
      <c r="AR109">
        <f>E109+Q109+R109+S109+T109+U109+V109+W109+X109+Y109+Z109+AA109+AB109+AC109+AD109+AE109+AF109+AG109+AH109+AI109+AJ109+AL109+AM109+AN109+AO109+AP109+AQ109</f>
        <v>0</v>
      </c>
      <c r="AS109">
        <f>D109+AK116-AR109</f>
        <v>0.62</v>
      </c>
    </row>
    <row r="110" spans="1:45" ht="20.25" customHeight="1">
      <c r="A110" t="s">
        <v>108</v>
      </c>
      <c r="B110" t="s">
        <v>109</v>
      </c>
      <c r="C110" t="s">
        <v>110</v>
      </c>
      <c r="D110">
        <f t="shared" si="70"/>
        <v>0.08</v>
      </c>
      <c r="E110">
        <f t="shared" si="38"/>
        <v>0</v>
      </c>
      <c r="F110">
        <f t="shared" si="71"/>
        <v>0</v>
      </c>
      <c r="G110">
        <f t="shared" si="71"/>
        <v>0</v>
      </c>
      <c r="H110">
        <f t="shared" si="72"/>
        <v>0</v>
      </c>
      <c r="I110">
        <f t="shared" si="72"/>
        <v>0</v>
      </c>
      <c r="J110">
        <f t="shared" si="67"/>
        <v>0</v>
      </c>
      <c r="K110">
        <f t="shared" si="67"/>
        <v>0</v>
      </c>
      <c r="L110">
        <f t="shared" si="67"/>
        <v>0</v>
      </c>
      <c r="M110">
        <f t="shared" si="67"/>
        <v>0</v>
      </c>
      <c r="N110">
        <f t="shared" si="67"/>
        <v>0</v>
      </c>
      <c r="O110">
        <f t="shared" si="67"/>
        <v>0</v>
      </c>
      <c r="P110">
        <f t="shared" si="62"/>
        <v>0.08</v>
      </c>
      <c r="Q110">
        <f t="shared" si="68"/>
        <v>0</v>
      </c>
      <c r="R110">
        <f t="shared" si="68"/>
        <v>0</v>
      </c>
      <c r="S110">
        <f t="shared" si="68"/>
        <v>0</v>
      </c>
      <c r="T110">
        <f t="shared" si="68"/>
        <v>0</v>
      </c>
      <c r="U110">
        <f t="shared" si="68"/>
        <v>0</v>
      </c>
      <c r="V110" s="103">
        <f t="shared" si="68"/>
        <v>0</v>
      </c>
      <c r="W110">
        <f t="shared" si="68"/>
        <v>0</v>
      </c>
      <c r="X110">
        <f t="shared" si="68"/>
        <v>0</v>
      </c>
      <c r="Y110">
        <f t="shared" si="68"/>
        <v>0</v>
      </c>
      <c r="Z110">
        <f t="shared" si="73"/>
        <v>0</v>
      </c>
      <c r="AA110">
        <f t="shared" si="73"/>
        <v>0</v>
      </c>
      <c r="AB110">
        <f t="shared" si="73"/>
        <v>0</v>
      </c>
      <c r="AC110">
        <f t="shared" si="73"/>
        <v>0</v>
      </c>
      <c r="AD110">
        <f t="shared" si="73"/>
        <v>0</v>
      </c>
      <c r="AE110">
        <f t="shared" si="73"/>
        <v>0</v>
      </c>
      <c r="AF110">
        <f t="shared" si="73"/>
        <v>0</v>
      </c>
      <c r="AG110">
        <f t="shared" si="73"/>
        <v>0</v>
      </c>
      <c r="AH110">
        <f t="shared" si="73"/>
        <v>0</v>
      </c>
      <c r="AI110">
        <f t="shared" si="73"/>
        <v>0</v>
      </c>
      <c r="AJ110">
        <f t="shared" si="73"/>
        <v>0</v>
      </c>
      <c r="AK110">
        <f t="shared" si="73"/>
        <v>0</v>
      </c>
      <c r="AL110">
        <f>D110-AR110</f>
        <v>0.08</v>
      </c>
      <c r="AM110">
        <f>BD58</f>
        <v>0</v>
      </c>
      <c r="AN110">
        <f>BE58</f>
        <v>0</v>
      </c>
      <c r="AO110">
        <f>BF58</f>
        <v>0</v>
      </c>
      <c r="AP110">
        <f>BG58</f>
        <v>0</v>
      </c>
      <c r="AQ110">
        <f>BH58</f>
        <v>0</v>
      </c>
      <c r="AR110">
        <f>E110+Q110+R110+S110+T110+U110+V110+W110+X110+Y110+Z110+AA110+AB110+AC110+AD110+AE110+AF110+AG110+AH110+AI110+AJ110+AK110+AM110+AN110+AO110+AP110+AQ110</f>
        <v>0</v>
      </c>
      <c r="AS110">
        <f>D110+AL116-AR110</f>
        <v>0.08</v>
      </c>
    </row>
    <row r="111" spans="1:45" ht="20.25" customHeight="1">
      <c r="A111" t="s">
        <v>111</v>
      </c>
      <c r="B111" t="s">
        <v>112</v>
      </c>
      <c r="C111" t="s">
        <v>113</v>
      </c>
      <c r="D111">
        <f t="shared" si="70"/>
        <v>0</v>
      </c>
      <c r="E111">
        <f t="shared" si="38"/>
        <v>0</v>
      </c>
      <c r="F111">
        <f t="shared" si="71"/>
        <v>0</v>
      </c>
      <c r="G111">
        <f t="shared" si="71"/>
        <v>0</v>
      </c>
      <c r="H111">
        <f t="shared" si="72"/>
        <v>0</v>
      </c>
      <c r="I111">
        <f t="shared" si="72"/>
        <v>0</v>
      </c>
      <c r="J111">
        <f t="shared" si="67"/>
        <v>0</v>
      </c>
      <c r="K111">
        <f t="shared" si="67"/>
        <v>0</v>
      </c>
      <c r="L111">
        <f t="shared" si="67"/>
        <v>0</v>
      </c>
      <c r="M111">
        <f t="shared" si="67"/>
        <v>0</v>
      </c>
      <c r="N111">
        <f t="shared" si="67"/>
        <v>0</v>
      </c>
      <c r="O111">
        <f t="shared" si="67"/>
        <v>0</v>
      </c>
      <c r="P111">
        <f t="shared" si="62"/>
        <v>0</v>
      </c>
      <c r="Q111">
        <f t="shared" si="68"/>
        <v>0</v>
      </c>
      <c r="R111">
        <f t="shared" si="68"/>
        <v>0</v>
      </c>
      <c r="S111">
        <f t="shared" si="68"/>
        <v>0</v>
      </c>
      <c r="T111">
        <f t="shared" si="68"/>
        <v>0</v>
      </c>
      <c r="U111">
        <f t="shared" si="68"/>
        <v>0</v>
      </c>
      <c r="V111" s="103">
        <f t="shared" si="68"/>
        <v>0</v>
      </c>
      <c r="W111">
        <f t="shared" si="68"/>
        <v>0</v>
      </c>
      <c r="X111">
        <f t="shared" si="68"/>
        <v>0</v>
      </c>
      <c r="Y111">
        <f t="shared" si="68"/>
        <v>0</v>
      </c>
      <c r="Z111">
        <f t="shared" si="73"/>
        <v>0</v>
      </c>
      <c r="AA111">
        <f t="shared" si="73"/>
        <v>0</v>
      </c>
      <c r="AB111">
        <f t="shared" si="73"/>
        <v>0</v>
      </c>
      <c r="AC111">
        <f t="shared" si="73"/>
        <v>0</v>
      </c>
      <c r="AD111">
        <f t="shared" si="73"/>
        <v>0</v>
      </c>
      <c r="AE111">
        <f t="shared" si="73"/>
        <v>0</v>
      </c>
      <c r="AF111">
        <f t="shared" si="73"/>
        <v>0</v>
      </c>
      <c r="AG111">
        <f t="shared" si="73"/>
        <v>0</v>
      </c>
      <c r="AH111">
        <f t="shared" si="73"/>
        <v>0</v>
      </c>
      <c r="AI111">
        <f t="shared" si="73"/>
        <v>0</v>
      </c>
      <c r="AJ111">
        <f t="shared" si="73"/>
        <v>0</v>
      </c>
      <c r="AK111">
        <f t="shared" si="73"/>
        <v>0</v>
      </c>
      <c r="AL111">
        <f>BC59</f>
        <v>0</v>
      </c>
      <c r="AM111">
        <f>D111-AR111</f>
        <v>0</v>
      </c>
      <c r="AN111">
        <f>BE59</f>
        <v>0</v>
      </c>
      <c r="AO111">
        <f>BF59</f>
        <v>0</v>
      </c>
      <c r="AP111">
        <f>BG59</f>
        <v>0</v>
      </c>
      <c r="AQ111">
        <f>BH59</f>
        <v>0</v>
      </c>
      <c r="AR111">
        <f>E111+Q111+R111+S111+T111+U111+V111+W111+X111+Y111+Z111+AA111+AB111+AC111+AD111+AE111+AF111+AG111+AH111+AI111+AJ111+AK111+AL111+AN111+AO111+AP111+AQ111</f>
        <v>0</v>
      </c>
      <c r="AS111">
        <f>D111+AM116-AR111</f>
        <v>0</v>
      </c>
    </row>
    <row r="112" spans="1:45" ht="20.25" customHeight="1">
      <c r="A112" t="s">
        <v>114</v>
      </c>
      <c r="B112" t="s">
        <v>115</v>
      </c>
      <c r="C112" t="s">
        <v>116</v>
      </c>
      <c r="D112">
        <f t="shared" si="70"/>
        <v>66.81</v>
      </c>
      <c r="E112">
        <f t="shared" si="38"/>
        <v>0</v>
      </c>
      <c r="F112">
        <f t="shared" si="71"/>
        <v>0</v>
      </c>
      <c r="G112">
        <f t="shared" si="71"/>
        <v>0</v>
      </c>
      <c r="H112">
        <f t="shared" si="72"/>
        <v>0</v>
      </c>
      <c r="I112">
        <f t="shared" si="72"/>
        <v>0</v>
      </c>
      <c r="J112">
        <f t="shared" si="67"/>
        <v>0</v>
      </c>
      <c r="K112">
        <f t="shared" si="67"/>
        <v>0</v>
      </c>
      <c r="L112">
        <f t="shared" si="67"/>
        <v>0</v>
      </c>
      <c r="M112">
        <f t="shared" si="67"/>
        <v>0</v>
      </c>
      <c r="N112">
        <f t="shared" si="67"/>
        <v>0</v>
      </c>
      <c r="O112">
        <f t="shared" si="67"/>
        <v>0</v>
      </c>
      <c r="P112">
        <f t="shared" si="62"/>
        <v>66.81</v>
      </c>
      <c r="Q112">
        <f t="shared" si="68"/>
        <v>0</v>
      </c>
      <c r="R112">
        <f t="shared" si="68"/>
        <v>0</v>
      </c>
      <c r="S112">
        <f t="shared" si="68"/>
        <v>0</v>
      </c>
      <c r="T112">
        <f t="shared" si="68"/>
        <v>0</v>
      </c>
      <c r="U112">
        <f t="shared" si="68"/>
        <v>0</v>
      </c>
      <c r="V112" s="103">
        <f t="shared" si="68"/>
        <v>0</v>
      </c>
      <c r="W112">
        <f t="shared" si="68"/>
        <v>0</v>
      </c>
      <c r="X112">
        <f t="shared" si="68"/>
        <v>0</v>
      </c>
      <c r="Y112">
        <f t="shared" si="68"/>
        <v>0</v>
      </c>
      <c r="Z112">
        <f t="shared" si="73"/>
        <v>0</v>
      </c>
      <c r="AA112">
        <f t="shared" si="73"/>
        <v>0</v>
      </c>
      <c r="AB112">
        <f t="shared" si="73"/>
        <v>0</v>
      </c>
      <c r="AC112">
        <f t="shared" si="73"/>
        <v>0</v>
      </c>
      <c r="AD112">
        <f t="shared" si="73"/>
        <v>0</v>
      </c>
      <c r="AE112">
        <f t="shared" si="73"/>
        <v>0</v>
      </c>
      <c r="AF112">
        <f t="shared" si="73"/>
        <v>0</v>
      </c>
      <c r="AG112">
        <f t="shared" si="73"/>
        <v>0</v>
      </c>
      <c r="AH112">
        <f t="shared" si="73"/>
        <v>0</v>
      </c>
      <c r="AI112">
        <f t="shared" si="73"/>
        <v>0</v>
      </c>
      <c r="AJ112">
        <f t="shared" si="73"/>
        <v>0.02</v>
      </c>
      <c r="AK112">
        <f t="shared" si="73"/>
        <v>0</v>
      </c>
      <c r="AL112">
        <f>BC60</f>
        <v>0</v>
      </c>
      <c r="AM112">
        <f>BD60</f>
        <v>0</v>
      </c>
      <c r="AN112">
        <f>D112-AR112</f>
        <v>66.790000000000006</v>
      </c>
      <c r="AO112">
        <f>BF60</f>
        <v>0</v>
      </c>
      <c r="AP112">
        <f>BG60</f>
        <v>0</v>
      </c>
      <c r="AQ112">
        <f>BH60</f>
        <v>0</v>
      </c>
      <c r="AR112">
        <f>E112+Q112+R112+S112+T112+U112+V112+W112+X112+Y112+Z112+AA112+AB112+AC112+AD112+AE112+AF112+AG112+AH112+AI112+AJ112+AK112+AL112+AM112+AO112+AP112+AQ112</f>
        <v>0.02</v>
      </c>
      <c r="AS112">
        <f>D112+AN116-AR112</f>
        <v>66.790000000000006</v>
      </c>
    </row>
    <row r="113" spans="1:45" ht="20.25" customHeight="1">
      <c r="A113" t="s">
        <v>117</v>
      </c>
      <c r="B113" t="s">
        <v>118</v>
      </c>
      <c r="C113" t="s">
        <v>119</v>
      </c>
      <c r="D113">
        <f t="shared" si="70"/>
        <v>358.67</v>
      </c>
      <c r="E113">
        <f t="shared" si="38"/>
        <v>0</v>
      </c>
      <c r="F113">
        <f t="shared" si="71"/>
        <v>0</v>
      </c>
      <c r="G113">
        <f t="shared" si="71"/>
        <v>0</v>
      </c>
      <c r="H113">
        <f t="shared" si="72"/>
        <v>0</v>
      </c>
      <c r="I113">
        <f t="shared" si="72"/>
        <v>0</v>
      </c>
      <c r="J113">
        <f t="shared" si="67"/>
        <v>0</v>
      </c>
      <c r="K113">
        <f t="shared" si="67"/>
        <v>0</v>
      </c>
      <c r="L113">
        <f t="shared" si="67"/>
        <v>0</v>
      </c>
      <c r="M113">
        <f t="shared" si="67"/>
        <v>0</v>
      </c>
      <c r="N113">
        <f t="shared" si="67"/>
        <v>0</v>
      </c>
      <c r="O113">
        <f t="shared" si="67"/>
        <v>0</v>
      </c>
      <c r="P113">
        <f t="shared" si="62"/>
        <v>358.67</v>
      </c>
      <c r="Q113">
        <f t="shared" si="68"/>
        <v>0</v>
      </c>
      <c r="R113">
        <f t="shared" si="68"/>
        <v>0</v>
      </c>
      <c r="S113">
        <f t="shared" si="68"/>
        <v>0</v>
      </c>
      <c r="T113">
        <f t="shared" si="68"/>
        <v>0</v>
      </c>
      <c r="U113">
        <f t="shared" si="68"/>
        <v>0</v>
      </c>
      <c r="V113" s="103">
        <f t="shared" si="68"/>
        <v>0</v>
      </c>
      <c r="W113">
        <f t="shared" si="68"/>
        <v>0</v>
      </c>
      <c r="X113">
        <f t="shared" si="68"/>
        <v>0</v>
      </c>
      <c r="Y113">
        <f t="shared" si="68"/>
        <v>0</v>
      </c>
      <c r="Z113">
        <f t="shared" si="73"/>
        <v>0</v>
      </c>
      <c r="AA113">
        <f t="shared" si="73"/>
        <v>0</v>
      </c>
      <c r="AB113">
        <f t="shared" si="73"/>
        <v>0</v>
      </c>
      <c r="AC113">
        <f t="shared" si="73"/>
        <v>0</v>
      </c>
      <c r="AD113">
        <f t="shared" si="73"/>
        <v>0</v>
      </c>
      <c r="AE113">
        <f t="shared" si="73"/>
        <v>0</v>
      </c>
      <c r="AF113">
        <f t="shared" si="73"/>
        <v>0</v>
      </c>
      <c r="AG113">
        <f t="shared" si="73"/>
        <v>0</v>
      </c>
      <c r="AH113">
        <f t="shared" si="73"/>
        <v>0</v>
      </c>
      <c r="AI113">
        <f t="shared" si="73"/>
        <v>0</v>
      </c>
      <c r="AJ113">
        <f t="shared" si="73"/>
        <v>0</v>
      </c>
      <c r="AK113">
        <f t="shared" si="73"/>
        <v>0</v>
      </c>
      <c r="AL113">
        <f>BC61</f>
        <v>0</v>
      </c>
      <c r="AM113">
        <f>BD61</f>
        <v>0</v>
      </c>
      <c r="AN113">
        <f>BE61</f>
        <v>0</v>
      </c>
      <c r="AO113">
        <f>D113-AR113</f>
        <v>358.67</v>
      </c>
      <c r="AP113">
        <f>BG61</f>
        <v>0</v>
      </c>
      <c r="AQ113">
        <f>BH61</f>
        <v>0</v>
      </c>
      <c r="AR113">
        <f>E113+Q113+R113+S113+T113+U113+V113+W113+X113+Y113+Z113+AA113+AB113+AC113+AD113+AE113+AF113+AG113+AH113+AI113+AJ113+AK113+AL113+AM113+AN113+AP113+AQ113</f>
        <v>0</v>
      </c>
      <c r="AS113">
        <f>D113+AO116-AR113</f>
        <v>358.67</v>
      </c>
    </row>
    <row r="114" spans="1:45" ht="20.25" customHeight="1">
      <c r="A114" t="s">
        <v>120</v>
      </c>
      <c r="B114" t="s">
        <v>121</v>
      </c>
      <c r="C114" t="s">
        <v>122</v>
      </c>
      <c r="D114">
        <f t="shared" si="70"/>
        <v>0</v>
      </c>
      <c r="E114">
        <f t="shared" si="38"/>
        <v>0</v>
      </c>
      <c r="F114">
        <f t="shared" si="71"/>
        <v>0</v>
      </c>
      <c r="G114">
        <f t="shared" si="71"/>
        <v>0</v>
      </c>
      <c r="H114">
        <f t="shared" si="72"/>
        <v>0</v>
      </c>
      <c r="I114">
        <f t="shared" si="72"/>
        <v>0</v>
      </c>
      <c r="J114">
        <f t="shared" ref="J114:O115" si="74">P62</f>
        <v>0</v>
      </c>
      <c r="K114">
        <f t="shared" si="74"/>
        <v>0</v>
      </c>
      <c r="L114">
        <f t="shared" si="74"/>
        <v>0</v>
      </c>
      <c r="M114">
        <f t="shared" si="74"/>
        <v>0</v>
      </c>
      <c r="N114">
        <f t="shared" si="74"/>
        <v>0</v>
      </c>
      <c r="O114">
        <f t="shared" si="74"/>
        <v>0</v>
      </c>
      <c r="P114">
        <f t="shared" si="62"/>
        <v>0</v>
      </c>
      <c r="Q114">
        <f t="shared" ref="Q114:Y115" si="75">W62</f>
        <v>0</v>
      </c>
      <c r="R114">
        <f t="shared" si="75"/>
        <v>0</v>
      </c>
      <c r="S114">
        <f t="shared" si="75"/>
        <v>0</v>
      </c>
      <c r="T114">
        <f t="shared" si="75"/>
        <v>0</v>
      </c>
      <c r="U114">
        <f t="shared" si="75"/>
        <v>0</v>
      </c>
      <c r="V114" s="103">
        <f t="shared" si="75"/>
        <v>0</v>
      </c>
      <c r="W114">
        <f t="shared" si="75"/>
        <v>0</v>
      </c>
      <c r="X114">
        <f t="shared" si="75"/>
        <v>0</v>
      </c>
      <c r="Y114">
        <f t="shared" si="75"/>
        <v>0</v>
      </c>
      <c r="Z114">
        <f t="shared" si="73"/>
        <v>0</v>
      </c>
      <c r="AA114">
        <f t="shared" si="73"/>
        <v>0</v>
      </c>
      <c r="AB114">
        <f t="shared" si="73"/>
        <v>0</v>
      </c>
      <c r="AC114">
        <f t="shared" si="73"/>
        <v>0</v>
      </c>
      <c r="AD114">
        <f t="shared" si="73"/>
        <v>0</v>
      </c>
      <c r="AE114">
        <f t="shared" si="73"/>
        <v>0</v>
      </c>
      <c r="AF114">
        <f t="shared" si="73"/>
        <v>0</v>
      </c>
      <c r="AG114">
        <f t="shared" si="73"/>
        <v>0</v>
      </c>
      <c r="AH114">
        <f t="shared" si="73"/>
        <v>0</v>
      </c>
      <c r="AI114">
        <f t="shared" si="73"/>
        <v>0</v>
      </c>
      <c r="AJ114">
        <f t="shared" si="73"/>
        <v>0</v>
      </c>
      <c r="AK114">
        <f t="shared" si="73"/>
        <v>0</v>
      </c>
      <c r="AL114">
        <f>BC62</f>
        <v>0</v>
      </c>
      <c r="AM114">
        <f>BD62</f>
        <v>0</v>
      </c>
      <c r="AN114">
        <f>BE62</f>
        <v>0</v>
      </c>
      <c r="AO114">
        <f>BF62</f>
        <v>0</v>
      </c>
      <c r="AP114">
        <f>D114-AR114</f>
        <v>0</v>
      </c>
      <c r="AQ114">
        <f>BH62</f>
        <v>0</v>
      </c>
      <c r="AR114">
        <f>E114+Q114+R114+S114+T114+U114+V114+W114+X114+Y114+Z114+AA114+AB114+AC114+AD114+AE114+AF114+AG114+AH114+AI114+AJ114+AK114+AL114+AM114+AN114+AO114+AQ114</f>
        <v>0</v>
      </c>
      <c r="AS114">
        <f>D114+AP116-AR114</f>
        <v>0</v>
      </c>
    </row>
    <row r="115" spans="1:45" ht="20.25" customHeight="1">
      <c r="A115">
        <v>3</v>
      </c>
      <c r="B115" t="s">
        <v>123</v>
      </c>
      <c r="C115" t="s">
        <v>124</v>
      </c>
      <c r="D115">
        <f>D63</f>
        <v>75.067039999999992</v>
      </c>
      <c r="E115">
        <f>F115+H115+I115+J115+K115+L115+M115+N115+O115</f>
        <v>0</v>
      </c>
      <c r="F115">
        <f t="shared" si="71"/>
        <v>0</v>
      </c>
      <c r="G115">
        <f t="shared" si="71"/>
        <v>0</v>
      </c>
      <c r="H115">
        <f t="shared" si="72"/>
        <v>0</v>
      </c>
      <c r="I115">
        <f t="shared" si="72"/>
        <v>0</v>
      </c>
      <c r="J115">
        <f t="shared" si="74"/>
        <v>0</v>
      </c>
      <c r="K115">
        <f t="shared" si="74"/>
        <v>0</v>
      </c>
      <c r="L115">
        <f t="shared" si="74"/>
        <v>0</v>
      </c>
      <c r="M115">
        <f t="shared" si="74"/>
        <v>0</v>
      </c>
      <c r="N115">
        <f t="shared" si="74"/>
        <v>0</v>
      </c>
      <c r="O115">
        <f t="shared" si="74"/>
        <v>0</v>
      </c>
      <c r="P115">
        <f>SUM(Q115:AP115)</f>
        <v>0.08</v>
      </c>
      <c r="Q115">
        <f t="shared" si="75"/>
        <v>0</v>
      </c>
      <c r="R115">
        <f t="shared" si="75"/>
        <v>0</v>
      </c>
      <c r="S115">
        <f t="shared" si="75"/>
        <v>0</v>
      </c>
      <c r="T115">
        <f t="shared" si="75"/>
        <v>0</v>
      </c>
      <c r="U115">
        <f t="shared" si="75"/>
        <v>0</v>
      </c>
      <c r="V115" s="103">
        <f t="shared" si="75"/>
        <v>0</v>
      </c>
      <c r="W115">
        <f t="shared" si="75"/>
        <v>0</v>
      </c>
      <c r="X115">
        <f t="shared" si="75"/>
        <v>0</v>
      </c>
      <c r="Y115">
        <f t="shared" si="75"/>
        <v>0.08</v>
      </c>
      <c r="Z115">
        <f t="shared" si="73"/>
        <v>0</v>
      </c>
      <c r="AA115">
        <f t="shared" si="73"/>
        <v>0</v>
      </c>
      <c r="AB115">
        <f t="shared" si="73"/>
        <v>0</v>
      </c>
      <c r="AC115">
        <f t="shared" si="73"/>
        <v>0</v>
      </c>
      <c r="AD115">
        <f t="shared" si="73"/>
        <v>0</v>
      </c>
      <c r="AE115">
        <f t="shared" si="73"/>
        <v>0</v>
      </c>
      <c r="AF115">
        <f t="shared" si="73"/>
        <v>0</v>
      </c>
      <c r="AG115">
        <f t="shared" si="73"/>
        <v>0</v>
      </c>
      <c r="AH115">
        <f t="shared" si="73"/>
        <v>0</v>
      </c>
      <c r="AI115">
        <f t="shared" si="73"/>
        <v>0</v>
      </c>
      <c r="AJ115">
        <f t="shared" si="73"/>
        <v>0</v>
      </c>
      <c r="AK115">
        <f t="shared" si="73"/>
        <v>0</v>
      </c>
      <c r="AL115">
        <f>BC63</f>
        <v>0</v>
      </c>
      <c r="AM115">
        <f>BD63</f>
        <v>0</v>
      </c>
      <c r="AN115">
        <f>BE63</f>
        <v>0</v>
      </c>
      <c r="AO115">
        <f>BF63</f>
        <v>0</v>
      </c>
      <c r="AP115">
        <f>BG63</f>
        <v>0</v>
      </c>
      <c r="AQ115">
        <f>AR115</f>
        <v>0.08</v>
      </c>
      <c r="AR115">
        <f>E115+Q115+R115+S115+T115+U115+V115+W115+X115+Y115+Z115+AA115+AB115+AC115+AD115+AE115+AF115+AG115+AH115+AI115+AJ115+AL115+AM115+AN115+AO115+AP115</f>
        <v>0.08</v>
      </c>
      <c r="AS115">
        <f>D115+AQ116-AR115</f>
        <v>74.987039999999993</v>
      </c>
    </row>
    <row r="116" spans="1:45" ht="20.25" customHeight="1">
      <c r="B116" t="s">
        <v>190</v>
      </c>
      <c r="E116">
        <f>E88+E115</f>
        <v>0</v>
      </c>
      <c r="F116">
        <f>F80+F81+F82+F83+F84+F85+F86+F87+F88+F115</f>
        <v>0</v>
      </c>
      <c r="G116">
        <f>G78+G80+G81+G82+G83+G84+G85+G86+G87+G88+G115</f>
        <v>0</v>
      </c>
      <c r="H116">
        <f>H78+H81+H82+H83+H84+H85+H86+H87+H88+H115</f>
        <v>0</v>
      </c>
      <c r="I116">
        <f>I78+I80+I82+I83+I84+I85+I86+I87+I88+I115</f>
        <v>0</v>
      </c>
      <c r="J116">
        <f>J78+J80+J81+J83+J84+J85+J86+J87+J88+J115</f>
        <v>0</v>
      </c>
      <c r="K116">
        <f>K78+K80+K81+K82+K84+K85+K86+K87+K88+K115</f>
        <v>0</v>
      </c>
      <c r="L116">
        <f>L78+L80+L81+L82+L83+L85+L86+L87+L88+L115</f>
        <v>0</v>
      </c>
      <c r="M116">
        <f>M78+M80+M81+M82+M83+M84+M86+M87+M88+M115</f>
        <v>0</v>
      </c>
      <c r="N116">
        <f>N78+N80+N81+N82+N83+N84+N85+N87+N88+N115</f>
        <v>0</v>
      </c>
      <c r="O116">
        <f>O78+O80+O81+O82+O83+O84+O85+O86+O88+O115</f>
        <v>0</v>
      </c>
      <c r="P116">
        <f>P77+P115</f>
        <v>6.92</v>
      </c>
      <c r="Q116">
        <f>Q77+Q90+Q91+Q92+Q93+Q94+Q95+Q96+Q97+Q98+Q99+Q100+Q101+Q102+Q103+Q104+Q105+Q106+Q107+Q108+Q109+Q110+Q111+Q112+Q113+Q114+Q115</f>
        <v>0</v>
      </c>
      <c r="R116">
        <f>R77+R89+R91+R92+R93+R94+R95+R96+R97+R98+R99+R100+R101+R102+R103+R104+R105+R106+R107+R108+R109+R110+R111+R112+R113+R114+R115</f>
        <v>0</v>
      </c>
      <c r="S116">
        <f>S77+S89+S90+S92+S93+S94+S95+S96+S97+S98+S99+S100+S101+S102+S103+S104+S105+S106+S107+S108+S109+S110+S111+S112+S113+S114+S115</f>
        <v>0</v>
      </c>
      <c r="T116">
        <f>T77+T89+T90+T91+T93+T94+T95+T96+T97+T98+T99+T100+T101+T102+T103+T104+T105+T106+T107+T108+T109+T110+T111+T112+T113+T114+T115</f>
        <v>0</v>
      </c>
      <c r="U116">
        <f>U77+U89+U90+U91+U92+U94+U95+U96+U97+U98+U99+U100+U101+U102+U103+U104+U105+U106+U107+U108+U109+U110+U111+U112+U113+U114+U115</f>
        <v>0</v>
      </c>
      <c r="V116" s="103">
        <f>V77+V89+V90+V91+V92+V93+V95+V96+V97+V98+V99+V100+V101+V102+V103+V104+V105+V106+V107+V108+V109+V110+V111+V112+V113+V114+V115</f>
        <v>0</v>
      </c>
      <c r="W116">
        <f>W77+W89+W90+W91+W92+W93+W94+W96+W97+W98+W99+W100+W101+W102+W103+W104+W105+W106+W107+W108+W109+W110+W111+W112+W113+W114+W115</f>
        <v>0</v>
      </c>
      <c r="X116">
        <f>X77+X89+X90+X91+X92+X93+X94+X95+X97+X98+X99+X100+X101+X102+X103+X104+X105+X106+X107+X108+X109+X110+X111+X112+X113+X114+X115</f>
        <v>0</v>
      </c>
      <c r="Y116">
        <f>Y77+Y89+Y90+Y91+Y92+Y93+Y94+Y95+Y96+Y98+Y99+Y100+Y101+Y102+Y103+Y104+Y105+Y106+Y107+Y108+Y109+Y110+Y111+Y112+Y113+Y114+Y115</f>
        <v>0.15000000000000002</v>
      </c>
      <c r="Z116">
        <f>Z77+Z89+Z90+Z91+Z92+Z93+Z94+Z95+Z96+Z97+Z99+Z100+Z101+Z102+Z103+Z104+Z105+Z106+Z107+Z108+Z109+Z110+Z111+Z112+Z113+Z114+Z115</f>
        <v>0</v>
      </c>
      <c r="AA116">
        <f>AA77+AA89+AA90+AA91+AA92+AA93+AA94+AA95+AA96+AA97+AA98+AA100+AA101+AA102+AA103+AA104+AA105+AA106+AA107+AA108+AA109+AA110+AA111+AA112+AA113+AA114+AA115</f>
        <v>0</v>
      </c>
      <c r="AB116">
        <f>AB77+AB89+AB90+AB91+AB92+AB93+AB94+AB95+AB96+AB97+AB98+AB99+AB101+AB102+AB103+AB104+AB105+AB106+AB107+AB108+AB109+AB110+AB111+AB112+AB113+AB114+AB115</f>
        <v>0</v>
      </c>
      <c r="AC116">
        <f>AC77+AC89+AC90+AC91+AC92+AC93+AC94+AC95+AC96+AC97+AC98+AC99+AC100+AC102+AC103+AC104+AC105+AC106+AC107+AC108+AC109+AC110+AC111+AC112+AC113+AC114+AC115</f>
        <v>0.44999999999999996</v>
      </c>
      <c r="AD116">
        <f>AD77+AD89+AD90+AD91+AD92+AD93+AD94+AD95+AD96+AD97+AD98+AD99+AD100+AD101+AD103+AD104+AD105+AD106+AD107+AD108+AD109+AD110+AD111+AD112+AD113+AD114+AD115</f>
        <v>0</v>
      </c>
      <c r="AE116">
        <f>AE77+AE89+AE90+AE91+AE92+AE93+AE94+AE95+AE96+AE97+AE98+AE99+AE100+AE101+AE102+AE104+AE105+AE106+AE107+AE108+AE109+AE110+AE111+AE112+AE113+AE114+AE115</f>
        <v>0</v>
      </c>
      <c r="AF116">
        <f>AF77+AF89+AF90+AF91+AF92+AF93+AF94+AF95+AF96+AF97+AF98+AF99+AF100+AF101+AF102+AF103+AF105+AF106+AF107+AF108+AF109+AF110+AF111+AF112+AF113+AF114+AF115</f>
        <v>0</v>
      </c>
      <c r="AG116">
        <f>AG77+AG89+AG90+AG91+AG92+AG93+AG94+AG95+AG96+AG97+AG98+AG99+AG100+AG101+AG102+AG103+AG104+AG106+AG107+AG108+AG109+AG110+AG111+AG112+AG113+AG114+AG115</f>
        <v>0</v>
      </c>
      <c r="AH116">
        <f>AH77+AH89+AH90+AH91+AH92+AH93+AH94+AH95+AH96+AH97+AH98+AH99+AH100+AH101+AH102+AH103+AH104+AH105+AH107+AH108+AH109+AH110+AH111+AH112+AH113+AH114+AH115</f>
        <v>0</v>
      </c>
      <c r="AI116">
        <f>AI77+AI89+AI90+AI91+AI92+AI93+AI94+AI95+AI96+AI97+AI98+AI99+AI100+AI101+AI102+AI103+AI104+AI105+AI106+AI108+AI109+AI110+AI111+AI112+AI113+AI114+AI115</f>
        <v>0</v>
      </c>
      <c r="AJ116">
        <f>AJ77+AJ89+AJ90+AJ91+AJ92+AJ93+AJ94+AJ95+AJ96+AJ97+AJ98+AJ99+AJ100+AJ101+AJ102+AJ103+AJ104+AJ105+AJ106+AJ107+AJ109+AJ110+AJ111+AJ112+AJ113+AJ114+AJ115</f>
        <v>6.4999999999999991</v>
      </c>
      <c r="AK116">
        <f>AK77+AK89+AK90+AK91+AK92+AK93+AK94+AK95+AK96+AK97+AK98+AK99+AK100+AK101+AK102+AK103+AK104+AK105+AK106+AK107+AK108+AK110+AK111+AK112+AK113+AK114+AK115</f>
        <v>0</v>
      </c>
      <c r="AL116">
        <f>AL77+AL89+AL90+AL91+AL92+AL93+AL94+AL95+AL96+AL97+AL98+AL99+AL100+AL101+AL102+AL103+AL104+AL105+AL106+AL107+AL108+AL109+AL111+AL112+AL113+AL114+AL115</f>
        <v>0</v>
      </c>
      <c r="AM116">
        <f>AM77+AM89+AM90+AM91+AM92+AM93+AM94+AM95+AM96+AM97+AM98+AM99+AM100+AM101+AM102+AM103+AM104+AM105+AM106+AM107+AM108+AM109+AM110+AM112+AM113+AM114+AM115</f>
        <v>0</v>
      </c>
      <c r="AN116">
        <f>AN77+AN89+AN90+AN91+AN92+AN93+AN94+AN95+AN96+AN97+AN98+AN99+AN100+AN101+AN102+AN103+AN104+AN105+AN106+AN107+AN108+AN109+AN110+AN111+AN113+AN114+AN115</f>
        <v>0</v>
      </c>
      <c r="AO116">
        <f>AO77+AO89+AO90+AO91+AO92+AO93+AO94+AO95+AO96+AO97+AO98+AO99+AO100+AO101+AO102+AO103+AO104+AO105+AO106+AO107+AO108+AO109+AO110+AO111+AO112+AO114+AO115</f>
        <v>0</v>
      </c>
      <c r="AP116">
        <f>AP77+AP89+AP90+AP91+AP92+AP93+AP94+AP95+AP96+AP97+AP98+AP99+AP100+AP101+AP102+AP103+AP104+AP105+AP106+AP107+AP108+AP109+AP110+AP111+AP112+AP113+AP115</f>
        <v>0</v>
      </c>
      <c r="AQ116">
        <f>AQ77+AQ88</f>
        <v>0</v>
      </c>
    </row>
    <row r="117" spans="1:45" ht="25.5" customHeight="1">
      <c r="B117" t="s">
        <v>325</v>
      </c>
      <c r="D117">
        <f>AS76</f>
        <v>8173.0599999999995</v>
      </c>
      <c r="E117">
        <f>AS77</f>
        <v>7525.7651899999992</v>
      </c>
      <c r="F117">
        <f>AS78</f>
        <v>140.55225000000002</v>
      </c>
      <c r="G117">
        <f>AS79</f>
        <v>0</v>
      </c>
      <c r="H117">
        <f>AS80</f>
        <v>64.004499999999993</v>
      </c>
      <c r="I117">
        <f>AS81</f>
        <v>90.802340000000001</v>
      </c>
      <c r="J117">
        <f>AS82</f>
        <v>4319.0600000000004</v>
      </c>
      <c r="K117">
        <f>AS83</f>
        <v>-6.47</v>
      </c>
      <c r="L117">
        <f>AS84</f>
        <v>2916.8660999999997</v>
      </c>
      <c r="M117">
        <f>AS85</f>
        <v>0.95</v>
      </c>
      <c r="N117">
        <f>AS86</f>
        <v>0</v>
      </c>
      <c r="O117">
        <f>AS87</f>
        <v>0</v>
      </c>
      <c r="P117">
        <f>AS88</f>
        <v>572.30777000000012</v>
      </c>
      <c r="Q117">
        <f>AS89</f>
        <v>63.778669999999998</v>
      </c>
      <c r="R117">
        <f>AS90</f>
        <v>0</v>
      </c>
      <c r="S117">
        <f>AS91</f>
        <v>0</v>
      </c>
      <c r="T117">
        <f>AS92</f>
        <v>0</v>
      </c>
      <c r="U117">
        <f>AS93</f>
        <v>0</v>
      </c>
      <c r="V117" s="103">
        <f>AS94</f>
        <v>0.32517000000000001</v>
      </c>
      <c r="W117">
        <f>AS95</f>
        <v>3.47</v>
      </c>
      <c r="X117">
        <f>AS96</f>
        <v>0</v>
      </c>
      <c r="Y117">
        <f>AS97</f>
        <v>58.238599999999998</v>
      </c>
      <c r="Z117">
        <f>AS98</f>
        <v>0</v>
      </c>
      <c r="AA117">
        <f>AS99</f>
        <v>0</v>
      </c>
      <c r="AB117">
        <f>AS100</f>
        <v>0</v>
      </c>
      <c r="AC117">
        <f>AS101</f>
        <v>13.379549999999998</v>
      </c>
      <c r="AD117">
        <f>AS102</f>
        <v>0</v>
      </c>
      <c r="AE117">
        <f>AS103</f>
        <v>0.45577999999999996</v>
      </c>
      <c r="AF117">
        <f>AS104</f>
        <v>0</v>
      </c>
      <c r="AG117">
        <f>AS105</f>
        <v>0</v>
      </c>
      <c r="AH117">
        <f>AS106</f>
        <v>0</v>
      </c>
      <c r="AI117">
        <f>AS107</f>
        <v>0</v>
      </c>
      <c r="AJ117">
        <f>AS108</f>
        <v>6.4999999999999991</v>
      </c>
      <c r="AK117">
        <f>AS109</f>
        <v>0.62</v>
      </c>
      <c r="AL117">
        <f>AS110</f>
        <v>0.08</v>
      </c>
      <c r="AM117">
        <f>AS111</f>
        <v>0</v>
      </c>
      <c r="AN117">
        <f>AS112</f>
        <v>66.790000000000006</v>
      </c>
      <c r="AO117">
        <f>AS113</f>
        <v>358.67</v>
      </c>
      <c r="AP117">
        <f>AS114</f>
        <v>0</v>
      </c>
      <c r="AQ117">
        <f>AS115</f>
        <v>74.987039999999993</v>
      </c>
    </row>
  </sheetData>
  <mergeCells count="22">
    <mergeCell ref="AR74:AR75"/>
    <mergeCell ref="A1:B1"/>
    <mergeCell ref="A2:BN2"/>
    <mergeCell ref="A4:A5"/>
    <mergeCell ref="B4:B5"/>
    <mergeCell ref="C4:C5"/>
    <mergeCell ref="BO4:BO5"/>
    <mergeCell ref="A74:A75"/>
    <mergeCell ref="BN4:BN5"/>
    <mergeCell ref="A70:B70"/>
    <mergeCell ref="BM4:BM5"/>
    <mergeCell ref="A72:AS72"/>
    <mergeCell ref="AS74:AS75"/>
    <mergeCell ref="D4:D5"/>
    <mergeCell ref="C74:C75"/>
    <mergeCell ref="A71:AS71"/>
    <mergeCell ref="E74:AQ74"/>
    <mergeCell ref="D74:D75"/>
    <mergeCell ref="E4:BK4"/>
    <mergeCell ref="AR73:AS73"/>
    <mergeCell ref="BL4:BL5"/>
    <mergeCell ref="B74:B75"/>
  </mergeCells>
  <phoneticPr fontId="4" type="noConversion"/>
  <pageMargins left="0.75" right="0.75" top="1" bottom="1" header="0.5" footer="0.5"/>
  <pageSetup paperSize="9" scale="45" orientation="portrait" r:id="rId1"/>
  <headerFooter alignWithMargins="0"/>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dimension ref="A1:BP117"/>
  <sheetViews>
    <sheetView showZeros="0" topLeftCell="A4" zoomScale="75" workbookViewId="0">
      <pane xSplit="4" ySplit="4" topLeftCell="E8" activePane="bottomRight" state="frozen"/>
      <selection activeCell="A4" sqref="A4"/>
      <selection pane="topRight" activeCell="E4" sqref="E4"/>
      <selection pane="bottomLeft" activeCell="A8" sqref="A8"/>
      <selection pane="bottomRight" activeCell="V12" sqref="V12"/>
    </sheetView>
  </sheetViews>
  <sheetFormatPr defaultRowHeight="24.95" customHeight="1"/>
  <cols>
    <col min="1" max="1" width="9.140625" customWidth="1"/>
    <col min="2" max="2" width="47.140625" customWidth="1"/>
    <col min="3" max="3" width="8.28515625" customWidth="1"/>
    <col min="4" max="4" width="13.5703125" customWidth="1"/>
    <col min="5" max="6" width="11.85546875" customWidth="1"/>
    <col min="7" max="7" width="11.28515625" customWidth="1"/>
    <col min="8" max="8" width="10.85546875" customWidth="1"/>
    <col min="9" max="9" width="11.140625" customWidth="1"/>
    <col min="10" max="10" width="11" customWidth="1"/>
    <col min="11" max="11" width="10" hidden="1" customWidth="1"/>
    <col min="12" max="12" width="11.140625" hidden="1" customWidth="1"/>
    <col min="13" max="13" width="11.85546875" customWidth="1"/>
    <col min="14" max="14" width="11.28515625" customWidth="1"/>
    <col min="15" max="15" width="11.28515625" hidden="1" customWidth="1"/>
    <col min="16" max="16" width="12.85546875" customWidth="1"/>
    <col min="17" max="17" width="12.28515625" customWidth="1"/>
    <col min="18" max="18" width="10.85546875" customWidth="1"/>
    <col min="20" max="20" width="10.140625" hidden="1" customWidth="1"/>
    <col min="21" max="21" width="9.85546875" customWidth="1"/>
    <col min="22" max="22" width="11.5703125" customWidth="1"/>
    <col min="23" max="23" width="11.140625" customWidth="1"/>
    <col min="24" max="24" width="10.7109375" customWidth="1"/>
    <col min="25" max="25" width="10.42578125" customWidth="1"/>
    <col min="26" max="26" width="11.140625" customWidth="1"/>
    <col min="27" max="27" width="9.85546875" customWidth="1"/>
    <col min="28" max="39" width="10.42578125" customWidth="1"/>
    <col min="40" max="40" width="11" customWidth="1"/>
    <col min="41" max="43" width="9.42578125" customWidth="1"/>
    <col min="44" max="44" width="10.85546875" customWidth="1"/>
    <col min="45" max="45" width="11" customWidth="1"/>
    <col min="46" max="47" width="9.42578125" customWidth="1"/>
    <col min="48" max="48" width="11.5703125" customWidth="1"/>
    <col min="49" max="59" width="9" customWidth="1"/>
    <col min="60" max="60" width="10.140625" customWidth="1"/>
    <col min="61" max="62" width="9.85546875" customWidth="1"/>
    <col min="64" max="64" width="10.5703125" customWidth="1"/>
    <col min="65" max="65" width="12.140625" customWidth="1"/>
    <col min="66" max="66" width="13" customWidth="1"/>
    <col min="67" max="67" width="10.7109375" customWidth="1"/>
  </cols>
  <sheetData>
    <row r="1" spans="1:68" ht="24.95" customHeight="1">
      <c r="A1" s="1300" t="s">
        <v>301</v>
      </c>
      <c r="B1" s="1300"/>
    </row>
    <row r="2" spans="1:68" ht="36.75" customHeight="1">
      <c r="A2" s="1282" t="s">
        <v>959</v>
      </c>
      <c r="B2" s="1282"/>
      <c r="C2" s="1282"/>
      <c r="D2" s="1282"/>
      <c r="E2" s="1282"/>
      <c r="F2" s="1282"/>
      <c r="G2" s="1282"/>
      <c r="H2" s="1282"/>
      <c r="I2" s="1282"/>
      <c r="J2" s="1282"/>
      <c r="K2" s="1282"/>
      <c r="L2" s="1282"/>
      <c r="M2" s="1282"/>
      <c r="N2" s="1282"/>
      <c r="O2" s="1282"/>
      <c r="P2" s="1282"/>
      <c r="Q2" s="1282"/>
      <c r="R2" s="1282"/>
      <c r="S2" s="1282"/>
      <c r="T2" s="1282"/>
      <c r="U2" s="1282"/>
      <c r="V2" s="1282"/>
      <c r="W2" s="1282"/>
      <c r="X2" s="1282"/>
      <c r="Y2" s="1282"/>
      <c r="Z2" s="1282"/>
      <c r="AA2" s="1282"/>
      <c r="AB2" s="1282"/>
      <c r="AC2" s="1282"/>
      <c r="AD2" s="1282"/>
      <c r="AE2" s="1282"/>
      <c r="AF2" s="1282"/>
      <c r="AG2" s="1282"/>
      <c r="AH2" s="1282"/>
      <c r="AI2" s="1282"/>
      <c r="AJ2" s="1282"/>
      <c r="AK2" s="1282"/>
      <c r="AL2" s="1282"/>
      <c r="AM2" s="1282"/>
      <c r="AN2" s="1282"/>
      <c r="AO2" s="1282"/>
      <c r="AP2" s="1282"/>
      <c r="AQ2" s="1282"/>
      <c r="AR2" s="1282"/>
      <c r="AS2" s="1282"/>
      <c r="AT2" s="1282"/>
      <c r="AU2" s="1282"/>
      <c r="AV2" s="1282"/>
      <c r="AW2" s="1282"/>
      <c r="AX2" s="1282"/>
      <c r="AY2" s="1282"/>
      <c r="AZ2" s="1282"/>
      <c r="BA2" s="1282"/>
      <c r="BB2" s="1282"/>
      <c r="BC2" s="1282"/>
      <c r="BD2" s="1282"/>
      <c r="BE2" s="1282"/>
      <c r="BF2" s="1282"/>
      <c r="BG2" s="1282"/>
      <c r="BH2" s="1282"/>
      <c r="BI2" s="1282"/>
      <c r="BJ2" s="1282"/>
      <c r="BK2" s="1282"/>
      <c r="BL2" s="1282"/>
      <c r="BM2" s="1282"/>
      <c r="BN2" s="1282"/>
    </row>
    <row r="4" spans="1:68" ht="33" customHeight="1">
      <c r="A4" s="1275" t="s">
        <v>136</v>
      </c>
      <c r="B4" s="1275" t="s">
        <v>469</v>
      </c>
      <c r="C4" s="1275" t="s">
        <v>13</v>
      </c>
      <c r="D4" s="1275" t="s">
        <v>693</v>
      </c>
      <c r="E4" s="1368" t="s">
        <v>694</v>
      </c>
      <c r="F4" s="1368"/>
      <c r="G4" s="1368"/>
      <c r="H4" s="1368"/>
      <c r="I4" s="1368"/>
      <c r="J4" s="1368"/>
      <c r="K4" s="1368"/>
      <c r="L4" s="1368"/>
      <c r="M4" s="1368"/>
      <c r="N4" s="1368"/>
      <c r="O4" s="1368"/>
      <c r="P4" s="1368"/>
      <c r="Q4" s="1368"/>
      <c r="R4" s="1368"/>
      <c r="S4" s="1368"/>
      <c r="T4" s="1368"/>
      <c r="U4" s="1368"/>
      <c r="V4" s="1368"/>
      <c r="W4" s="1368"/>
      <c r="X4" s="1368"/>
      <c r="Y4" s="1368"/>
      <c r="Z4" s="1368"/>
      <c r="AA4" s="1368"/>
      <c r="AB4" s="1368"/>
      <c r="AC4" s="1368"/>
      <c r="AD4" s="1368"/>
      <c r="AE4" s="1368"/>
      <c r="AF4" s="1368"/>
      <c r="AG4" s="1368"/>
      <c r="AH4" s="1368"/>
      <c r="AI4" s="1368"/>
      <c r="AJ4" s="1368"/>
      <c r="AK4" s="1368"/>
      <c r="AL4" s="1368"/>
      <c r="AM4" s="1368"/>
      <c r="AN4" s="1368"/>
      <c r="AO4" s="1368"/>
      <c r="AP4" s="1368"/>
      <c r="AQ4" s="1368"/>
      <c r="AR4" s="1368"/>
      <c r="AS4" s="1368"/>
      <c r="AT4" s="1368"/>
      <c r="AU4" s="1368"/>
      <c r="AV4" s="1368"/>
      <c r="AW4" s="1368"/>
      <c r="AX4" s="1368"/>
      <c r="AY4" s="1368"/>
      <c r="AZ4" s="1368"/>
      <c r="BA4" s="1368"/>
      <c r="BB4" s="1368"/>
      <c r="BC4" s="1368"/>
      <c r="BD4" s="1368"/>
      <c r="BE4" s="1368"/>
      <c r="BF4" s="1368"/>
      <c r="BG4" s="1368"/>
      <c r="BH4" s="1368"/>
      <c r="BI4" s="1368"/>
      <c r="BJ4" s="1368"/>
      <c r="BK4" s="1368"/>
      <c r="BL4" s="1365" t="s">
        <v>191</v>
      </c>
      <c r="BM4" s="1365" t="s">
        <v>493</v>
      </c>
      <c r="BN4" s="1365" t="s">
        <v>695</v>
      </c>
      <c r="BO4" t="s">
        <v>328</v>
      </c>
    </row>
    <row r="5" spans="1:68" ht="35.25" customHeight="1">
      <c r="A5" s="1275"/>
      <c r="B5" s="1275"/>
      <c r="C5" s="1275"/>
      <c r="D5" s="1275"/>
      <c r="E5" s="128" t="s">
        <v>15</v>
      </c>
      <c r="F5" s="128" t="s">
        <v>193</v>
      </c>
      <c r="G5" s="128" t="s">
        <v>194</v>
      </c>
      <c r="H5" s="128" t="s">
        <v>18</v>
      </c>
      <c r="I5" s="128" t="s">
        <v>20</v>
      </c>
      <c r="J5" s="128" t="s">
        <v>195</v>
      </c>
      <c r="K5" s="128" t="s">
        <v>196</v>
      </c>
      <c r="L5" s="128" t="s">
        <v>197</v>
      </c>
      <c r="M5" s="128" t="s">
        <v>23</v>
      </c>
      <c r="N5" s="128" t="s">
        <v>26</v>
      </c>
      <c r="O5" s="128" t="s">
        <v>198</v>
      </c>
      <c r="P5" s="128" t="s">
        <v>29</v>
      </c>
      <c r="Q5" s="128" t="s">
        <v>32</v>
      </c>
      <c r="R5" s="128" t="s">
        <v>35</v>
      </c>
      <c r="S5" s="128" t="s">
        <v>38</v>
      </c>
      <c r="T5" s="128" t="s">
        <v>41</v>
      </c>
      <c r="U5" s="128" t="s">
        <v>44</v>
      </c>
      <c r="V5" s="128" t="s">
        <v>46</v>
      </c>
      <c r="W5" s="128" t="s">
        <v>49</v>
      </c>
      <c r="X5" s="128" t="s">
        <v>52</v>
      </c>
      <c r="Y5" s="128" t="s">
        <v>55</v>
      </c>
      <c r="Z5" s="128" t="s">
        <v>58</v>
      </c>
      <c r="AA5" s="128" t="s">
        <v>61</v>
      </c>
      <c r="AB5" s="128" t="s">
        <v>64</v>
      </c>
      <c r="AC5" s="128" t="s">
        <v>67</v>
      </c>
      <c r="AD5" s="128" t="s">
        <v>70</v>
      </c>
      <c r="AE5" s="128" t="s">
        <v>72</v>
      </c>
      <c r="AF5" s="128" t="s">
        <v>202</v>
      </c>
      <c r="AG5" s="128" t="s">
        <v>203</v>
      </c>
      <c r="AH5" s="128" t="s">
        <v>204</v>
      </c>
      <c r="AI5" s="128" t="s">
        <v>205</v>
      </c>
      <c r="AJ5" s="128" t="s">
        <v>206</v>
      </c>
      <c r="AK5" s="128" t="s">
        <v>207</v>
      </c>
      <c r="AL5" s="128" t="s">
        <v>199</v>
      </c>
      <c r="AM5" s="128" t="s">
        <v>200</v>
      </c>
      <c r="AN5" s="128" t="s">
        <v>223</v>
      </c>
      <c r="AO5" s="128" t="s">
        <v>201</v>
      </c>
      <c r="AP5" s="128" t="s">
        <v>208</v>
      </c>
      <c r="AQ5" s="128" t="s">
        <v>75</v>
      </c>
      <c r="AR5" s="128" t="s">
        <v>78</v>
      </c>
      <c r="AS5" s="128" t="s">
        <v>81</v>
      </c>
      <c r="AT5" s="128" t="s">
        <v>84</v>
      </c>
      <c r="AU5" s="128" t="s">
        <v>87</v>
      </c>
      <c r="AV5" s="128" t="s">
        <v>90</v>
      </c>
      <c r="AW5" s="128" t="s">
        <v>93</v>
      </c>
      <c r="AX5" s="128" t="s">
        <v>96</v>
      </c>
      <c r="AY5" s="128" t="s">
        <v>99</v>
      </c>
      <c r="AZ5" s="128" t="s">
        <v>101</v>
      </c>
      <c r="BA5" s="128" t="s">
        <v>104</v>
      </c>
      <c r="BB5" s="128" t="s">
        <v>107</v>
      </c>
      <c r="BC5" s="128" t="s">
        <v>110</v>
      </c>
      <c r="BD5" s="128" t="s">
        <v>113</v>
      </c>
      <c r="BE5" s="128" t="s">
        <v>116</v>
      </c>
      <c r="BF5" s="128" t="s">
        <v>119</v>
      </c>
      <c r="BG5" s="128" t="s">
        <v>122</v>
      </c>
      <c r="BH5" s="128" t="s">
        <v>124</v>
      </c>
      <c r="BI5" s="128" t="s">
        <v>209</v>
      </c>
      <c r="BJ5" s="128" t="s">
        <v>210</v>
      </c>
      <c r="BK5" s="128" t="s">
        <v>211</v>
      </c>
      <c r="BL5" s="1366"/>
      <c r="BM5" s="1366"/>
      <c r="BN5" s="1366"/>
    </row>
    <row r="6" spans="1:68" ht="24.95" customHeight="1">
      <c r="A6" t="s">
        <v>235</v>
      </c>
      <c r="B6" t="s">
        <v>236</v>
      </c>
      <c r="C6" s="155" t="s">
        <v>237</v>
      </c>
      <c r="D6" s="155" t="s">
        <v>238</v>
      </c>
      <c r="E6" s="155" t="s">
        <v>239</v>
      </c>
      <c r="F6" s="155" t="s">
        <v>240</v>
      </c>
      <c r="G6" s="155" t="s">
        <v>241</v>
      </c>
      <c r="H6" s="155" t="s">
        <v>242</v>
      </c>
      <c r="I6" s="155" t="s">
        <v>243</v>
      </c>
      <c r="J6" s="155" t="s">
        <v>244</v>
      </c>
      <c r="K6" s="155" t="s">
        <v>245</v>
      </c>
      <c r="L6" s="155" t="s">
        <v>246</v>
      </c>
      <c r="M6" s="155" t="s">
        <v>247</v>
      </c>
      <c r="N6" s="155" t="s">
        <v>248</v>
      </c>
      <c r="O6" s="155" t="s">
        <v>249</v>
      </c>
      <c r="P6" s="155" t="s">
        <v>250</v>
      </c>
      <c r="Q6" s="155" t="s">
        <v>251</v>
      </c>
      <c r="R6" s="155" t="s">
        <v>252</v>
      </c>
      <c r="S6" s="155" t="s">
        <v>253</v>
      </c>
      <c r="T6" s="155" t="s">
        <v>254</v>
      </c>
      <c r="U6" s="155" t="s">
        <v>255</v>
      </c>
      <c r="V6" s="155" t="s">
        <v>256</v>
      </c>
      <c r="W6" s="155" t="s">
        <v>257</v>
      </c>
      <c r="X6" s="155" t="s">
        <v>258</v>
      </c>
      <c r="Y6" s="155" t="s">
        <v>259</v>
      </c>
      <c r="Z6" s="155" t="s">
        <v>260</v>
      </c>
      <c r="AA6" s="155" t="s">
        <v>261</v>
      </c>
      <c r="AB6" s="155" t="s">
        <v>262</v>
      </c>
      <c r="AC6" s="155" t="s">
        <v>263</v>
      </c>
      <c r="AD6" s="155" t="s">
        <v>264</v>
      </c>
      <c r="AE6" s="155" t="s">
        <v>265</v>
      </c>
      <c r="AF6" s="155" t="s">
        <v>266</v>
      </c>
      <c r="AG6" s="155" t="s">
        <v>267</v>
      </c>
      <c r="AH6" s="155" t="s">
        <v>268</v>
      </c>
      <c r="AI6" s="155" t="s">
        <v>269</v>
      </c>
      <c r="AJ6" s="155" t="s">
        <v>270</v>
      </c>
      <c r="AK6" s="155" t="s">
        <v>271</v>
      </c>
      <c r="AL6" s="155" t="s">
        <v>272</v>
      </c>
      <c r="AM6" s="155" t="s">
        <v>273</v>
      </c>
      <c r="AN6" s="155" t="s">
        <v>274</v>
      </c>
      <c r="AO6" s="155" t="s">
        <v>275</v>
      </c>
      <c r="AP6" s="155" t="s">
        <v>276</v>
      </c>
      <c r="AQ6" s="155" t="s">
        <v>277</v>
      </c>
      <c r="AR6" s="155" t="s">
        <v>278</v>
      </c>
      <c r="AS6" s="155" t="s">
        <v>279</v>
      </c>
      <c r="AT6" s="155" t="s">
        <v>280</v>
      </c>
      <c r="AU6" s="155" t="s">
        <v>281</v>
      </c>
      <c r="AV6" s="155" t="s">
        <v>282</v>
      </c>
      <c r="AW6" s="155" t="s">
        <v>283</v>
      </c>
      <c r="AX6" s="155" t="s">
        <v>284</v>
      </c>
      <c r="AY6" s="155" t="s">
        <v>285</v>
      </c>
      <c r="AZ6" s="155" t="s">
        <v>286</v>
      </c>
      <c r="BA6" s="155" t="s">
        <v>287</v>
      </c>
      <c r="BB6" s="155" t="s">
        <v>288</v>
      </c>
      <c r="BC6" s="155" t="s">
        <v>289</v>
      </c>
      <c r="BD6" s="155" t="s">
        <v>290</v>
      </c>
      <c r="BE6" s="155" t="s">
        <v>291</v>
      </c>
      <c r="BF6" s="155" t="s">
        <v>292</v>
      </c>
      <c r="BG6" s="155" t="s">
        <v>293</v>
      </c>
      <c r="BH6" s="155" t="s">
        <v>294</v>
      </c>
      <c r="BI6" s="155" t="s">
        <v>295</v>
      </c>
      <c r="BJ6" s="155" t="s">
        <v>296</v>
      </c>
      <c r="BK6" s="155" t="s">
        <v>297</v>
      </c>
      <c r="BL6" s="155" t="s">
        <v>298</v>
      </c>
      <c r="BM6" s="155" t="s">
        <v>299</v>
      </c>
      <c r="BN6" s="155" t="s">
        <v>300</v>
      </c>
    </row>
    <row r="7" spans="1:68" s="117" customFormat="1" ht="31.5" customHeight="1">
      <c r="A7" s="12"/>
      <c r="B7" s="141" t="s">
        <v>470</v>
      </c>
      <c r="C7" s="159"/>
      <c r="D7" s="454">
        <f>D8+D25+D63</f>
        <v>5874.6894999999986</v>
      </c>
      <c r="E7" s="454">
        <f>E8+E25+E63</f>
        <v>4635.9299999999985</v>
      </c>
      <c r="F7" s="454">
        <f t="shared" ref="F7:BN7" si="0">F8+F25+F63</f>
        <v>515.52</v>
      </c>
      <c r="G7" s="454">
        <f t="shared" si="0"/>
        <v>390.35</v>
      </c>
      <c r="H7" s="454">
        <f t="shared" si="0"/>
        <v>230.79</v>
      </c>
      <c r="I7" s="454">
        <f t="shared" si="0"/>
        <v>43.129999999999995</v>
      </c>
      <c r="J7" s="454">
        <f t="shared" si="0"/>
        <v>187.66</v>
      </c>
      <c r="K7" s="454">
        <f t="shared" si="0"/>
        <v>0</v>
      </c>
      <c r="L7" s="454">
        <f t="shared" si="0"/>
        <v>0</v>
      </c>
      <c r="M7" s="454">
        <f t="shared" si="0"/>
        <v>159.56</v>
      </c>
      <c r="N7" s="454">
        <f t="shared" si="0"/>
        <v>125.17</v>
      </c>
      <c r="O7" s="454">
        <f t="shared" si="0"/>
        <v>3920.25</v>
      </c>
      <c r="P7" s="454">
        <f t="shared" si="0"/>
        <v>896.86</v>
      </c>
      <c r="Q7" s="454">
        <f t="shared" si="0"/>
        <v>0</v>
      </c>
      <c r="R7" s="454">
        <f t="shared" si="0"/>
        <v>3023.39</v>
      </c>
      <c r="S7" s="454">
        <f t="shared" si="0"/>
        <v>25.62</v>
      </c>
      <c r="T7" s="454">
        <f t="shared" si="0"/>
        <v>0</v>
      </c>
      <c r="U7" s="454">
        <f t="shared" si="0"/>
        <v>0</v>
      </c>
      <c r="V7" s="454">
        <f t="shared" si="0"/>
        <v>1179.6295</v>
      </c>
      <c r="W7" s="454">
        <f t="shared" si="0"/>
        <v>0.68</v>
      </c>
      <c r="X7" s="454">
        <f t="shared" si="0"/>
        <v>0</v>
      </c>
      <c r="Y7" s="454">
        <f t="shared" si="0"/>
        <v>0</v>
      </c>
      <c r="Z7" s="454">
        <f t="shared" si="0"/>
        <v>0</v>
      </c>
      <c r="AA7" s="454">
        <f t="shared" si="0"/>
        <v>0</v>
      </c>
      <c r="AB7" s="454">
        <f t="shared" si="0"/>
        <v>3.21</v>
      </c>
      <c r="AC7" s="454">
        <f t="shared" si="0"/>
        <v>6.8199999999999994</v>
      </c>
      <c r="AD7" s="454">
        <f t="shared" si="0"/>
        <v>0</v>
      </c>
      <c r="AE7" s="454">
        <f t="shared" si="0"/>
        <v>218.91950000000006</v>
      </c>
      <c r="AF7" s="454">
        <f t="shared" si="0"/>
        <v>0.22</v>
      </c>
      <c r="AG7" s="454">
        <f t="shared" si="0"/>
        <v>0.12</v>
      </c>
      <c r="AH7" s="454">
        <f t="shared" si="0"/>
        <v>3.33</v>
      </c>
      <c r="AI7" s="454">
        <f t="shared" si="0"/>
        <v>1.0794999999999999</v>
      </c>
      <c r="AJ7" s="454">
        <f t="shared" si="0"/>
        <v>0</v>
      </c>
      <c r="AK7" s="454">
        <f t="shared" si="0"/>
        <v>0</v>
      </c>
      <c r="AL7" s="454">
        <f t="shared" si="0"/>
        <v>186.35999999999999</v>
      </c>
      <c r="AM7" s="454">
        <f t="shared" si="0"/>
        <v>27.4</v>
      </c>
      <c r="AN7" s="454">
        <f t="shared" si="0"/>
        <v>0.03</v>
      </c>
      <c r="AO7" s="454">
        <f t="shared" si="0"/>
        <v>0.02</v>
      </c>
      <c r="AP7" s="454">
        <f t="shared" si="0"/>
        <v>0.36</v>
      </c>
      <c r="AQ7" s="454">
        <f t="shared" si="0"/>
        <v>0</v>
      </c>
      <c r="AR7" s="454">
        <f t="shared" si="0"/>
        <v>0</v>
      </c>
      <c r="AS7" s="454">
        <f t="shared" si="0"/>
        <v>36.15</v>
      </c>
      <c r="AT7" s="454">
        <f t="shared" si="0"/>
        <v>22.450000000000003</v>
      </c>
      <c r="AU7" s="454">
        <f t="shared" si="0"/>
        <v>0</v>
      </c>
      <c r="AV7" s="454">
        <f t="shared" si="0"/>
        <v>0.47</v>
      </c>
      <c r="AW7" s="454">
        <f t="shared" si="0"/>
        <v>0</v>
      </c>
      <c r="AX7" s="454">
        <f t="shared" si="0"/>
        <v>0</v>
      </c>
      <c r="AY7" s="454">
        <f t="shared" si="0"/>
        <v>0</v>
      </c>
      <c r="AZ7" s="454">
        <f t="shared" si="0"/>
        <v>16.57</v>
      </c>
      <c r="BA7" s="454">
        <f t="shared" si="0"/>
        <v>271.84000000000003</v>
      </c>
      <c r="BB7" s="454">
        <f t="shared" si="0"/>
        <v>0.37</v>
      </c>
      <c r="BC7" s="454">
        <f t="shared" si="0"/>
        <v>0.34</v>
      </c>
      <c r="BD7" s="454">
        <f t="shared" si="0"/>
        <v>0.56999999999999995</v>
      </c>
      <c r="BE7" s="454">
        <f t="shared" si="0"/>
        <v>601.24</v>
      </c>
      <c r="BF7" s="454">
        <f t="shared" si="0"/>
        <v>0</v>
      </c>
      <c r="BG7" s="454">
        <f t="shared" si="0"/>
        <v>0</v>
      </c>
      <c r="BH7" s="454">
        <f t="shared" si="0"/>
        <v>59.13</v>
      </c>
      <c r="BI7" s="454">
        <f t="shared" si="0"/>
        <v>55.52</v>
      </c>
      <c r="BJ7" s="454">
        <f t="shared" si="0"/>
        <v>3.61</v>
      </c>
      <c r="BK7" s="454">
        <f t="shared" si="0"/>
        <v>0</v>
      </c>
      <c r="BL7" s="454"/>
      <c r="BM7" s="454">
        <f t="shared" si="0"/>
        <v>2.042810365310288E-14</v>
      </c>
      <c r="BN7" s="454">
        <f t="shared" si="0"/>
        <v>5874.6895000000004</v>
      </c>
    </row>
    <row r="8" spans="1:68" s="115" customFormat="1" ht="21" customHeight="1">
      <c r="A8" s="15">
        <v>1</v>
      </c>
      <c r="B8" s="142" t="s">
        <v>14</v>
      </c>
      <c r="C8" s="158" t="s">
        <v>15</v>
      </c>
      <c r="D8" s="420">
        <f>D9+D18+D22+D23+D24</f>
        <v>4919.5699999999988</v>
      </c>
      <c r="E8" s="420">
        <f>D8-BL8</f>
        <v>4622.9699999999984</v>
      </c>
      <c r="F8" s="420">
        <f>G8+N8</f>
        <v>515.52</v>
      </c>
      <c r="G8" s="420">
        <f>H8+L8+M8</f>
        <v>390.35</v>
      </c>
      <c r="H8" s="420">
        <f>I8+J8+K8</f>
        <v>230.79</v>
      </c>
      <c r="I8" s="420">
        <f>I9+I18+I22+I23+I24</f>
        <v>43.129999999999995</v>
      </c>
      <c r="J8" s="420">
        <f t="shared" ref="J8:BG8" si="1">J9+J18+J22+J23+J24</f>
        <v>187.66</v>
      </c>
      <c r="K8" s="420">
        <f t="shared" si="1"/>
        <v>0</v>
      </c>
      <c r="L8" s="420">
        <f t="shared" si="1"/>
        <v>0</v>
      </c>
      <c r="M8" s="420">
        <f t="shared" si="1"/>
        <v>159.56</v>
      </c>
      <c r="N8" s="420">
        <f t="shared" si="1"/>
        <v>125.17</v>
      </c>
      <c r="O8" s="420">
        <f>P8+Q8+R8</f>
        <v>3920.25</v>
      </c>
      <c r="P8" s="420">
        <f t="shared" si="1"/>
        <v>896.86</v>
      </c>
      <c r="Q8" s="420">
        <f t="shared" si="1"/>
        <v>0</v>
      </c>
      <c r="R8" s="420">
        <f t="shared" si="1"/>
        <v>3023.39</v>
      </c>
      <c r="S8" s="420">
        <f t="shared" si="1"/>
        <v>12.66</v>
      </c>
      <c r="T8" s="420">
        <f t="shared" si="1"/>
        <v>0</v>
      </c>
      <c r="U8" s="420">
        <f t="shared" si="1"/>
        <v>0</v>
      </c>
      <c r="V8" s="420">
        <f t="shared" si="1"/>
        <v>296.59999999999997</v>
      </c>
      <c r="W8" s="420">
        <f t="shared" si="1"/>
        <v>0</v>
      </c>
      <c r="X8" s="420">
        <f t="shared" si="1"/>
        <v>0</v>
      </c>
      <c r="Y8" s="420">
        <f t="shared" si="1"/>
        <v>0</v>
      </c>
      <c r="Z8" s="420">
        <f t="shared" si="1"/>
        <v>0</v>
      </c>
      <c r="AA8" s="420">
        <f t="shared" si="1"/>
        <v>0</v>
      </c>
      <c r="AB8" s="420">
        <f t="shared" si="1"/>
        <v>0</v>
      </c>
      <c r="AC8" s="420">
        <f t="shared" si="1"/>
        <v>1.94</v>
      </c>
      <c r="AD8" s="420">
        <f t="shared" si="1"/>
        <v>0</v>
      </c>
      <c r="AE8" s="420">
        <f t="shared" si="1"/>
        <v>25.340000000000003</v>
      </c>
      <c r="AF8" s="420">
        <f t="shared" si="1"/>
        <v>0</v>
      </c>
      <c r="AG8" s="420">
        <f t="shared" si="1"/>
        <v>0</v>
      </c>
      <c r="AH8" s="420">
        <f t="shared" si="1"/>
        <v>0</v>
      </c>
      <c r="AI8" s="420">
        <f t="shared" si="1"/>
        <v>0</v>
      </c>
      <c r="AJ8" s="420">
        <f t="shared" si="1"/>
        <v>0</v>
      </c>
      <c r="AK8" s="420">
        <f t="shared" si="1"/>
        <v>0</v>
      </c>
      <c r="AL8" s="420">
        <f t="shared" si="1"/>
        <v>25.340000000000003</v>
      </c>
      <c r="AM8" s="420">
        <f t="shared" si="1"/>
        <v>0</v>
      </c>
      <c r="AN8" s="420">
        <f t="shared" si="1"/>
        <v>0</v>
      </c>
      <c r="AO8" s="420">
        <f t="shared" si="1"/>
        <v>0</v>
      </c>
      <c r="AP8" s="420">
        <f t="shared" si="1"/>
        <v>0</v>
      </c>
      <c r="AQ8" s="420">
        <f t="shared" si="1"/>
        <v>0</v>
      </c>
      <c r="AR8" s="420">
        <f t="shared" si="1"/>
        <v>0</v>
      </c>
      <c r="AS8" s="420">
        <f t="shared" si="1"/>
        <v>0.78</v>
      </c>
      <c r="AT8" s="420">
        <f t="shared" si="1"/>
        <v>0.3</v>
      </c>
      <c r="AU8" s="420">
        <f t="shared" si="1"/>
        <v>0</v>
      </c>
      <c r="AV8" s="420">
        <f t="shared" si="1"/>
        <v>0</v>
      </c>
      <c r="AW8" s="420">
        <f t="shared" si="1"/>
        <v>0</v>
      </c>
      <c r="AX8" s="420">
        <f t="shared" si="1"/>
        <v>0</v>
      </c>
      <c r="AY8" s="420">
        <f t="shared" si="1"/>
        <v>0</v>
      </c>
      <c r="AZ8" s="420">
        <f t="shared" si="1"/>
        <v>0</v>
      </c>
      <c r="BA8" s="420">
        <f t="shared" si="1"/>
        <v>268.24</v>
      </c>
      <c r="BB8" s="420">
        <f t="shared" si="1"/>
        <v>0</v>
      </c>
      <c r="BC8" s="420">
        <f t="shared" si="1"/>
        <v>0</v>
      </c>
      <c r="BD8" s="420">
        <f t="shared" si="1"/>
        <v>0</v>
      </c>
      <c r="BE8" s="420">
        <f t="shared" si="1"/>
        <v>0</v>
      </c>
      <c r="BF8" s="420">
        <f t="shared" si="1"/>
        <v>0</v>
      </c>
      <c r="BG8" s="420">
        <f t="shared" si="1"/>
        <v>0</v>
      </c>
      <c r="BH8" s="420">
        <f>BH9+BH18+BH22+BH23+BH24</f>
        <v>0</v>
      </c>
      <c r="BI8" s="420">
        <f>BI9+BI18+BI22+BI23+BI24</f>
        <v>0</v>
      </c>
      <c r="BJ8" s="420">
        <f>BJ9+BJ18+BJ22+BJ23+BJ24</f>
        <v>0</v>
      </c>
      <c r="BK8" s="420">
        <f>BK9+BK18+BK22+BK23+BK24</f>
        <v>0</v>
      </c>
      <c r="BL8" s="420">
        <f>V8+BH8</f>
        <v>296.59999999999997</v>
      </c>
      <c r="BM8" s="420">
        <f>BM9+BM18+BM22+BM23+BM24</f>
        <v>-283.64</v>
      </c>
      <c r="BN8" s="420">
        <f>BN9+BN18+BN22+BN23+BN24</f>
        <v>4635.93</v>
      </c>
      <c r="BO8" s="164"/>
    </row>
    <row r="9" spans="1:68" ht="21.75" hidden="1" customHeight="1">
      <c r="A9" s="14" t="s">
        <v>16</v>
      </c>
      <c r="B9" s="143" t="s">
        <v>471</v>
      </c>
      <c r="C9" s="30" t="s">
        <v>193</v>
      </c>
      <c r="D9" s="185">
        <f>D10+D17</f>
        <v>531.56999999999994</v>
      </c>
      <c r="E9" s="185">
        <f>F9+O9+S9+T9+U9</f>
        <v>543.16</v>
      </c>
      <c r="F9" s="185">
        <f>D9-BK9</f>
        <v>531.56999999999994</v>
      </c>
      <c r="G9" s="185">
        <f>H9+L9+M9</f>
        <v>390.35</v>
      </c>
      <c r="H9" s="185">
        <f>I9+J9+K9</f>
        <v>230.79</v>
      </c>
      <c r="I9" s="185">
        <f>I10+I17</f>
        <v>43.129999999999995</v>
      </c>
      <c r="J9" s="185">
        <f t="shared" ref="J9:BG9" si="2">J10+J17</f>
        <v>187.66</v>
      </c>
      <c r="K9" s="185">
        <f t="shared" si="2"/>
        <v>0</v>
      </c>
      <c r="L9" s="185">
        <f t="shared" si="2"/>
        <v>0</v>
      </c>
      <c r="M9" s="185">
        <f t="shared" si="2"/>
        <v>159.56</v>
      </c>
      <c r="N9" s="185">
        <f t="shared" si="2"/>
        <v>125.17</v>
      </c>
      <c r="O9" s="185">
        <f t="shared" ref="O9:O17" si="3">P9+Q9+R9</f>
        <v>0</v>
      </c>
      <c r="P9" s="185">
        <f t="shared" si="2"/>
        <v>0</v>
      </c>
      <c r="Q9" s="185">
        <f t="shared" si="2"/>
        <v>0</v>
      </c>
      <c r="R9" s="185">
        <f t="shared" si="2"/>
        <v>0</v>
      </c>
      <c r="S9" s="185">
        <f t="shared" si="2"/>
        <v>11.59</v>
      </c>
      <c r="T9" s="185">
        <f t="shared" si="2"/>
        <v>0</v>
      </c>
      <c r="U9" s="185">
        <f t="shared" si="2"/>
        <v>0</v>
      </c>
      <c r="V9" s="185">
        <f t="shared" si="2"/>
        <v>4.46</v>
      </c>
      <c r="W9" s="185">
        <f t="shared" si="2"/>
        <v>0</v>
      </c>
      <c r="X9" s="185">
        <f t="shared" si="2"/>
        <v>0</v>
      </c>
      <c r="Y9" s="185">
        <f t="shared" si="2"/>
        <v>0</v>
      </c>
      <c r="Z9" s="185">
        <f t="shared" si="2"/>
        <v>0</v>
      </c>
      <c r="AA9" s="185">
        <f t="shared" si="2"/>
        <v>0</v>
      </c>
      <c r="AB9" s="185">
        <f t="shared" si="2"/>
        <v>0</v>
      </c>
      <c r="AC9" s="185">
        <f t="shared" si="2"/>
        <v>0.37</v>
      </c>
      <c r="AD9" s="185">
        <f t="shared" si="2"/>
        <v>0</v>
      </c>
      <c r="AE9" s="185">
        <f t="shared" si="2"/>
        <v>1.01</v>
      </c>
      <c r="AF9" s="185">
        <f t="shared" si="2"/>
        <v>0</v>
      </c>
      <c r="AG9" s="185">
        <f t="shared" si="2"/>
        <v>0</v>
      </c>
      <c r="AH9" s="185">
        <f t="shared" si="2"/>
        <v>0</v>
      </c>
      <c r="AI9" s="185">
        <f t="shared" si="2"/>
        <v>0</v>
      </c>
      <c r="AJ9" s="185">
        <f t="shared" si="2"/>
        <v>0</v>
      </c>
      <c r="AK9" s="185">
        <f t="shared" si="2"/>
        <v>0</v>
      </c>
      <c r="AL9" s="185">
        <f t="shared" si="2"/>
        <v>1.01</v>
      </c>
      <c r="AM9" s="185">
        <f t="shared" si="2"/>
        <v>0</v>
      </c>
      <c r="AN9" s="185">
        <f t="shared" si="2"/>
        <v>0</v>
      </c>
      <c r="AO9" s="185">
        <f t="shared" si="2"/>
        <v>0</v>
      </c>
      <c r="AP9" s="185">
        <f t="shared" si="2"/>
        <v>0</v>
      </c>
      <c r="AQ9" s="185">
        <f t="shared" si="2"/>
        <v>0</v>
      </c>
      <c r="AR9" s="185">
        <f t="shared" si="2"/>
        <v>0</v>
      </c>
      <c r="AS9" s="185">
        <f t="shared" si="2"/>
        <v>0</v>
      </c>
      <c r="AT9" s="185">
        <f t="shared" si="2"/>
        <v>0.3</v>
      </c>
      <c r="AU9" s="185">
        <f t="shared" si="2"/>
        <v>0</v>
      </c>
      <c r="AV9" s="185">
        <f t="shared" si="2"/>
        <v>0</v>
      </c>
      <c r="AW9" s="185">
        <f t="shared" si="2"/>
        <v>0</v>
      </c>
      <c r="AX9" s="185">
        <f t="shared" si="2"/>
        <v>0</v>
      </c>
      <c r="AY9" s="185">
        <f t="shared" si="2"/>
        <v>0</v>
      </c>
      <c r="AZ9" s="185">
        <f t="shared" si="2"/>
        <v>0</v>
      </c>
      <c r="BA9" s="185">
        <f t="shared" si="2"/>
        <v>2.78</v>
      </c>
      <c r="BB9" s="185">
        <f t="shared" si="2"/>
        <v>0</v>
      </c>
      <c r="BC9" s="185">
        <f t="shared" si="2"/>
        <v>0</v>
      </c>
      <c r="BD9" s="185">
        <f t="shared" si="2"/>
        <v>0</v>
      </c>
      <c r="BE9" s="185">
        <f t="shared" si="2"/>
        <v>0</v>
      </c>
      <c r="BF9" s="185">
        <f t="shared" si="2"/>
        <v>0</v>
      </c>
      <c r="BG9" s="185">
        <f t="shared" si="2"/>
        <v>0</v>
      </c>
      <c r="BH9" s="185">
        <f>BH10+BH17</f>
        <v>0</v>
      </c>
      <c r="BI9" s="185">
        <f>BI10+BI17</f>
        <v>0</v>
      </c>
      <c r="BJ9" s="185">
        <f>BJ10+BJ17</f>
        <v>0</v>
      </c>
      <c r="BK9" s="185">
        <f>BK10+BK17</f>
        <v>0</v>
      </c>
      <c r="BL9" s="185">
        <f>O9+S9+T9+U9+V9+BH9</f>
        <v>16.05</v>
      </c>
      <c r="BM9" s="185">
        <f>BM10+BM17</f>
        <v>-16.049999999999997</v>
      </c>
      <c r="BN9" s="185">
        <f>D9+BM9</f>
        <v>515.52</v>
      </c>
      <c r="BO9" s="125"/>
      <c r="BP9" s="53"/>
    </row>
    <row r="10" spans="1:68" ht="19.5" hidden="1" customHeight="1">
      <c r="A10" s="14" t="s">
        <v>212</v>
      </c>
      <c r="B10" s="143" t="s">
        <v>472</v>
      </c>
      <c r="C10" s="30" t="s">
        <v>194</v>
      </c>
      <c r="D10" s="185">
        <f>D11+D15+D16</f>
        <v>398.32</v>
      </c>
      <c r="E10" s="185">
        <f t="shared" ref="E10:E66" si="4">F10+O10+S10+T10+U10</f>
        <v>394.52</v>
      </c>
      <c r="F10" s="185">
        <f>G10+N10</f>
        <v>390.34999999999997</v>
      </c>
      <c r="G10" s="185">
        <f>D10-BL10</f>
        <v>390.34999999999997</v>
      </c>
      <c r="H10" s="185">
        <f>I10+J10+K10</f>
        <v>230.79</v>
      </c>
      <c r="I10" s="185">
        <f>I11+I15+I16</f>
        <v>43.129999999999995</v>
      </c>
      <c r="J10" s="185">
        <f t="shared" ref="J10:BG10" si="5">J11+J15+J16</f>
        <v>187.66</v>
      </c>
      <c r="K10" s="185">
        <f t="shared" si="5"/>
        <v>0</v>
      </c>
      <c r="L10" s="185">
        <f t="shared" si="5"/>
        <v>0</v>
      </c>
      <c r="M10" s="185">
        <f t="shared" si="5"/>
        <v>159.56</v>
      </c>
      <c r="N10" s="185">
        <f t="shared" si="5"/>
        <v>0</v>
      </c>
      <c r="O10" s="185">
        <f t="shared" si="3"/>
        <v>0</v>
      </c>
      <c r="P10" s="185">
        <f t="shared" si="5"/>
        <v>0</v>
      </c>
      <c r="Q10" s="185">
        <f t="shared" si="5"/>
        <v>0</v>
      </c>
      <c r="R10" s="185">
        <f t="shared" si="5"/>
        <v>0</v>
      </c>
      <c r="S10" s="185">
        <f t="shared" si="5"/>
        <v>4.17</v>
      </c>
      <c r="T10" s="185">
        <f t="shared" si="5"/>
        <v>0</v>
      </c>
      <c r="U10" s="185">
        <f t="shared" si="5"/>
        <v>0</v>
      </c>
      <c r="V10" s="185">
        <f t="shared" si="5"/>
        <v>3.8</v>
      </c>
      <c r="W10" s="185">
        <f t="shared" si="5"/>
        <v>0</v>
      </c>
      <c r="X10" s="185">
        <f t="shared" si="5"/>
        <v>0</v>
      </c>
      <c r="Y10" s="185">
        <f t="shared" si="5"/>
        <v>0</v>
      </c>
      <c r="Z10" s="185">
        <f t="shared" si="5"/>
        <v>0</v>
      </c>
      <c r="AA10" s="185">
        <f t="shared" si="5"/>
        <v>0</v>
      </c>
      <c r="AB10" s="185">
        <f t="shared" si="5"/>
        <v>0</v>
      </c>
      <c r="AC10" s="185">
        <f t="shared" si="5"/>
        <v>0.37</v>
      </c>
      <c r="AD10" s="185">
        <f t="shared" si="5"/>
        <v>0</v>
      </c>
      <c r="AE10" s="185">
        <f t="shared" si="5"/>
        <v>0.78</v>
      </c>
      <c r="AF10" s="185">
        <f t="shared" si="5"/>
        <v>0</v>
      </c>
      <c r="AG10" s="185">
        <f t="shared" si="5"/>
        <v>0</v>
      </c>
      <c r="AH10" s="185">
        <f t="shared" si="5"/>
        <v>0</v>
      </c>
      <c r="AI10" s="185">
        <f t="shared" si="5"/>
        <v>0</v>
      </c>
      <c r="AJ10" s="185">
        <f t="shared" si="5"/>
        <v>0</v>
      </c>
      <c r="AK10" s="185">
        <f t="shared" si="5"/>
        <v>0</v>
      </c>
      <c r="AL10" s="185">
        <f t="shared" si="5"/>
        <v>0.78</v>
      </c>
      <c r="AM10" s="185">
        <f t="shared" si="5"/>
        <v>0</v>
      </c>
      <c r="AN10" s="185">
        <f t="shared" si="5"/>
        <v>0</v>
      </c>
      <c r="AO10" s="185">
        <f t="shared" si="5"/>
        <v>0</v>
      </c>
      <c r="AP10" s="185">
        <f t="shared" si="5"/>
        <v>0</v>
      </c>
      <c r="AQ10" s="185">
        <f t="shared" si="5"/>
        <v>0</v>
      </c>
      <c r="AR10" s="185">
        <f t="shared" si="5"/>
        <v>0</v>
      </c>
      <c r="AS10" s="185">
        <f t="shared" si="5"/>
        <v>0</v>
      </c>
      <c r="AT10" s="185">
        <f t="shared" si="5"/>
        <v>0</v>
      </c>
      <c r="AU10" s="185">
        <f t="shared" si="5"/>
        <v>0</v>
      </c>
      <c r="AV10" s="185">
        <f t="shared" si="5"/>
        <v>0</v>
      </c>
      <c r="AW10" s="185">
        <f t="shared" si="5"/>
        <v>0</v>
      </c>
      <c r="AX10" s="185">
        <f t="shared" si="5"/>
        <v>0</v>
      </c>
      <c r="AY10" s="185">
        <f t="shared" si="5"/>
        <v>0</v>
      </c>
      <c r="AZ10" s="185">
        <f t="shared" si="5"/>
        <v>0</v>
      </c>
      <c r="BA10" s="185">
        <f t="shared" si="5"/>
        <v>2.65</v>
      </c>
      <c r="BB10" s="185">
        <f t="shared" si="5"/>
        <v>0</v>
      </c>
      <c r="BC10" s="185">
        <f t="shared" si="5"/>
        <v>0</v>
      </c>
      <c r="BD10" s="185">
        <f t="shared" si="5"/>
        <v>0</v>
      </c>
      <c r="BE10" s="185">
        <f t="shared" si="5"/>
        <v>0</v>
      </c>
      <c r="BF10" s="185">
        <f t="shared" si="5"/>
        <v>0</v>
      </c>
      <c r="BG10" s="185">
        <f t="shared" si="5"/>
        <v>0</v>
      </c>
      <c r="BH10" s="185">
        <f>BH11+BH15+BH16</f>
        <v>0</v>
      </c>
      <c r="BI10" s="185">
        <f>BI11+BI15+BI16</f>
        <v>0</v>
      </c>
      <c r="BJ10" s="185">
        <f>BJ11+BJ15+BJ16</f>
        <v>0</v>
      </c>
      <c r="BK10" s="185">
        <f>BK11+BK15+BK16</f>
        <v>0</v>
      </c>
      <c r="BL10" s="185">
        <f>N10+O10+S10+T10+U10+V10+BH10</f>
        <v>7.97</v>
      </c>
      <c r="BM10" s="185">
        <f>BM11+BM15+BM16</f>
        <v>-7.9699999999999989</v>
      </c>
      <c r="BN10" s="185">
        <f>BN11+BN15+BN16</f>
        <v>390.35</v>
      </c>
      <c r="BO10" s="125"/>
      <c r="BP10" s="53"/>
    </row>
    <row r="11" spans="1:68" ht="20.100000000000001" customHeight="1">
      <c r="A11" s="14" t="s">
        <v>213</v>
      </c>
      <c r="B11" s="143" t="s">
        <v>17</v>
      </c>
      <c r="C11" s="30" t="s">
        <v>18</v>
      </c>
      <c r="D11" s="185">
        <f>D12+D13+D14</f>
        <v>234.95</v>
      </c>
      <c r="E11" s="185">
        <f t="shared" si="4"/>
        <v>231.62</v>
      </c>
      <c r="F11" s="185">
        <f t="shared" ref="F11:F24" si="6">G11+N11</f>
        <v>230.79</v>
      </c>
      <c r="G11" s="185">
        <f>H11+L11+M11</f>
        <v>230.79</v>
      </c>
      <c r="H11" s="185">
        <f>D11-BL11</f>
        <v>230.79</v>
      </c>
      <c r="I11" s="185">
        <f>I12+I13+I14</f>
        <v>43.129999999999995</v>
      </c>
      <c r="J11" s="185">
        <f t="shared" ref="J11:BG11" si="7">J12+J13+J14</f>
        <v>187.66</v>
      </c>
      <c r="K11" s="185">
        <f t="shared" si="7"/>
        <v>0</v>
      </c>
      <c r="L11" s="185">
        <f t="shared" si="7"/>
        <v>0</v>
      </c>
      <c r="M11" s="185">
        <f t="shared" si="7"/>
        <v>0</v>
      </c>
      <c r="N11" s="185">
        <f t="shared" si="7"/>
        <v>0</v>
      </c>
      <c r="O11" s="185">
        <f t="shared" si="3"/>
        <v>0</v>
      </c>
      <c r="P11" s="185">
        <f t="shared" si="7"/>
        <v>0</v>
      </c>
      <c r="Q11" s="185">
        <f t="shared" si="7"/>
        <v>0</v>
      </c>
      <c r="R11" s="185">
        <f t="shared" si="7"/>
        <v>0</v>
      </c>
      <c r="S11" s="185">
        <f t="shared" si="7"/>
        <v>0.83</v>
      </c>
      <c r="T11" s="185">
        <f t="shared" si="7"/>
        <v>0</v>
      </c>
      <c r="U11" s="185">
        <f t="shared" si="7"/>
        <v>0</v>
      </c>
      <c r="V11" s="185">
        <f t="shared" si="7"/>
        <v>3.3299999999999996</v>
      </c>
      <c r="W11" s="185">
        <f t="shared" si="7"/>
        <v>0</v>
      </c>
      <c r="X11" s="185">
        <f t="shared" si="7"/>
        <v>0</v>
      </c>
      <c r="Y11" s="185">
        <f t="shared" si="7"/>
        <v>0</v>
      </c>
      <c r="Z11" s="185">
        <f t="shared" si="7"/>
        <v>0</v>
      </c>
      <c r="AA11" s="185">
        <f t="shared" si="7"/>
        <v>0</v>
      </c>
      <c r="AB11" s="185">
        <f t="shared" si="7"/>
        <v>0</v>
      </c>
      <c r="AC11" s="185">
        <f t="shared" si="7"/>
        <v>0</v>
      </c>
      <c r="AD11" s="185">
        <f t="shared" si="7"/>
        <v>0</v>
      </c>
      <c r="AE11" s="185">
        <f t="shared" si="7"/>
        <v>0.68</v>
      </c>
      <c r="AF11" s="185">
        <f t="shared" si="7"/>
        <v>0</v>
      </c>
      <c r="AG11" s="185">
        <f t="shared" si="7"/>
        <v>0</v>
      </c>
      <c r="AH11" s="185">
        <f t="shared" si="7"/>
        <v>0</v>
      </c>
      <c r="AI11" s="185">
        <f t="shared" si="7"/>
        <v>0</v>
      </c>
      <c r="AJ11" s="185">
        <f t="shared" si="7"/>
        <v>0</v>
      </c>
      <c r="AK11" s="185">
        <f t="shared" si="7"/>
        <v>0</v>
      </c>
      <c r="AL11" s="185">
        <f t="shared" si="7"/>
        <v>0.68</v>
      </c>
      <c r="AM11" s="185">
        <f t="shared" si="7"/>
        <v>0</v>
      </c>
      <c r="AN11" s="185">
        <f t="shared" si="7"/>
        <v>0</v>
      </c>
      <c r="AO11" s="185">
        <f t="shared" si="7"/>
        <v>0</v>
      </c>
      <c r="AP11" s="185">
        <f t="shared" si="7"/>
        <v>0</v>
      </c>
      <c r="AQ11" s="185">
        <f t="shared" si="7"/>
        <v>0</v>
      </c>
      <c r="AR11" s="185">
        <f t="shared" si="7"/>
        <v>0</v>
      </c>
      <c r="AS11" s="185">
        <f t="shared" si="7"/>
        <v>0</v>
      </c>
      <c r="AT11" s="185">
        <f t="shared" si="7"/>
        <v>0</v>
      </c>
      <c r="AU11" s="185">
        <f t="shared" si="7"/>
        <v>0</v>
      </c>
      <c r="AV11" s="185">
        <f t="shared" si="7"/>
        <v>0</v>
      </c>
      <c r="AW11" s="185">
        <f t="shared" si="7"/>
        <v>0</v>
      </c>
      <c r="AX11" s="185">
        <f t="shared" si="7"/>
        <v>0</v>
      </c>
      <c r="AY11" s="185">
        <f t="shared" si="7"/>
        <v>0</v>
      </c>
      <c r="AZ11" s="185">
        <f t="shared" si="7"/>
        <v>0</v>
      </c>
      <c r="BA11" s="185">
        <f t="shared" si="7"/>
        <v>2.65</v>
      </c>
      <c r="BB11" s="185">
        <f t="shared" si="7"/>
        <v>0</v>
      </c>
      <c r="BC11" s="185">
        <f t="shared" si="7"/>
        <v>0</v>
      </c>
      <c r="BD11" s="185">
        <f t="shared" si="7"/>
        <v>0</v>
      </c>
      <c r="BE11" s="185">
        <f t="shared" si="7"/>
        <v>0</v>
      </c>
      <c r="BF11" s="185">
        <f t="shared" si="7"/>
        <v>0</v>
      </c>
      <c r="BG11" s="185">
        <f t="shared" si="7"/>
        <v>0</v>
      </c>
      <c r="BH11" s="185">
        <f>BH12+BH13+BH14</f>
        <v>0</v>
      </c>
      <c r="BI11" s="185">
        <f>BI12+BI13+BI14</f>
        <v>0</v>
      </c>
      <c r="BJ11" s="185">
        <f>BJ12+BJ13+BJ14</f>
        <v>0</v>
      </c>
      <c r="BK11" s="185">
        <f>BK12+BK13+BK14</f>
        <v>0</v>
      </c>
      <c r="BL11" s="185">
        <f>L11+M11+N11+S11+T11+U11+V11+BH11</f>
        <v>4.1599999999999993</v>
      </c>
      <c r="BM11" s="185">
        <f>H67-BL11</f>
        <v>-4.1599999999999993</v>
      </c>
      <c r="BN11" s="185">
        <f>BN12+BN13+BN14</f>
        <v>230.79</v>
      </c>
      <c r="BO11" s="125"/>
      <c r="BP11" s="53"/>
    </row>
    <row r="12" spans="1:68" ht="20.100000000000001" customHeight="1">
      <c r="A12" s="14" t="s">
        <v>214</v>
      </c>
      <c r="B12" s="143" t="s">
        <v>473</v>
      </c>
      <c r="C12" s="30" t="s">
        <v>20</v>
      </c>
      <c r="D12" s="185">
        <f>#REF!</f>
        <v>43.16</v>
      </c>
      <c r="E12" s="185">
        <f t="shared" si="4"/>
        <v>43.129999999999995</v>
      </c>
      <c r="F12" s="185">
        <f t="shared" si="6"/>
        <v>43.129999999999995</v>
      </c>
      <c r="G12" s="185">
        <f t="shared" ref="G12:G66" si="8">H12+L12+M12</f>
        <v>43.129999999999995</v>
      </c>
      <c r="H12" s="185">
        <f>I12+J12+K12</f>
        <v>43.129999999999995</v>
      </c>
      <c r="I12" s="185">
        <f>D12-BL12</f>
        <v>43.129999999999995</v>
      </c>
      <c r="J12" s="185"/>
      <c r="K12" s="185"/>
      <c r="L12" s="185"/>
      <c r="M12" s="185"/>
      <c r="N12" s="185"/>
      <c r="O12" s="185">
        <f t="shared" si="3"/>
        <v>0</v>
      </c>
      <c r="P12" s="185"/>
      <c r="Q12" s="185"/>
      <c r="R12" s="185"/>
      <c r="S12" s="185"/>
      <c r="T12" s="185"/>
      <c r="U12" s="185"/>
      <c r="V12" s="185">
        <f>W12+X12+Y12+Z12+AA12+AB12+AC12+AD12+AE12+AQ12+AR12+AS12+AT12+AU12+AV12+AW12+AX12+AY12+AZ12+BA12+BB12+BC12+BD12+BE12+BF12+BG12</f>
        <v>0.03</v>
      </c>
      <c r="W12" s="185"/>
      <c r="X12" s="185"/>
      <c r="Y12" s="185"/>
      <c r="Z12" s="185"/>
      <c r="AA12" s="185"/>
      <c r="AB12" s="185"/>
      <c r="AC12" s="185"/>
      <c r="AD12" s="185"/>
      <c r="AE12" s="185">
        <f t="shared" ref="AE12:AE33" si="9">SUM(AF12:AP12)</f>
        <v>0.03</v>
      </c>
      <c r="AF12" s="185"/>
      <c r="AG12" s="185"/>
      <c r="AH12" s="185"/>
      <c r="AI12" s="185"/>
      <c r="AJ12" s="185"/>
      <c r="AK12" s="185"/>
      <c r="AL12" s="185">
        <v>0.03</v>
      </c>
      <c r="AM12" s="185"/>
      <c r="AN12" s="185"/>
      <c r="AO12" s="185"/>
      <c r="AP12" s="185"/>
      <c r="AQ12" s="185"/>
      <c r="AR12" s="185"/>
      <c r="AS12" s="185"/>
      <c r="AT12" s="185"/>
      <c r="AU12" s="185"/>
      <c r="AV12" s="185"/>
      <c r="AW12" s="185"/>
      <c r="AX12" s="185"/>
      <c r="AY12" s="185"/>
      <c r="AZ12" s="185"/>
      <c r="BA12" s="185"/>
      <c r="BB12" s="185"/>
      <c r="BC12" s="185"/>
      <c r="BD12" s="185"/>
      <c r="BE12" s="185"/>
      <c r="BF12" s="185"/>
      <c r="BG12" s="185"/>
      <c r="BH12" s="185"/>
      <c r="BI12" s="185"/>
      <c r="BJ12" s="185"/>
      <c r="BK12" s="185"/>
      <c r="BL12" s="185">
        <f>J12+K12+L12+M12+N12+O12+S12+T12+U12+V12+BH12</f>
        <v>0.03</v>
      </c>
      <c r="BM12" s="185">
        <f>I67-BL12</f>
        <v>-0.03</v>
      </c>
      <c r="BN12" s="185">
        <f t="shared" ref="BN12:BN17" si="10">D12+BM12</f>
        <v>43.129999999999995</v>
      </c>
      <c r="BO12" s="125"/>
      <c r="BP12" s="53"/>
    </row>
    <row r="13" spans="1:68" ht="18.75" customHeight="1">
      <c r="A13" s="14" t="s">
        <v>215</v>
      </c>
      <c r="B13" s="143" t="s">
        <v>474</v>
      </c>
      <c r="C13" s="30" t="s">
        <v>195</v>
      </c>
      <c r="D13" s="185">
        <f>#REF!</f>
        <v>191.79</v>
      </c>
      <c r="E13" s="185">
        <f t="shared" si="4"/>
        <v>188.49</v>
      </c>
      <c r="F13" s="185">
        <f t="shared" si="6"/>
        <v>187.66</v>
      </c>
      <c r="G13" s="185">
        <f t="shared" si="8"/>
        <v>187.66</v>
      </c>
      <c r="H13" s="185">
        <f t="shared" ref="H13:H66" si="11">I13+J13+K13</f>
        <v>187.66</v>
      </c>
      <c r="I13" s="185"/>
      <c r="J13" s="185">
        <f>D13-BL13</f>
        <v>187.66</v>
      </c>
      <c r="K13" s="185"/>
      <c r="L13" s="185"/>
      <c r="M13" s="185"/>
      <c r="N13" s="185"/>
      <c r="O13" s="185">
        <f t="shared" si="3"/>
        <v>0</v>
      </c>
      <c r="P13" s="185"/>
      <c r="Q13" s="185"/>
      <c r="R13" s="185"/>
      <c r="S13" s="185">
        <v>0.83</v>
      </c>
      <c r="T13" s="185"/>
      <c r="U13" s="185"/>
      <c r="V13" s="185">
        <f t="shared" ref="V13:V66" si="12">W13+X13+Y13+Z13+AA13+AB13+AC13+AD13+AE13+AQ13+AR13+AS13+AT13+AU13+AV13+AW13+AX13+AY13+AZ13+BA13+BB13+BC13+BD13+BE13+BF13+BG13</f>
        <v>3.3</v>
      </c>
      <c r="W13" s="185"/>
      <c r="X13" s="185"/>
      <c r="Y13" s="185"/>
      <c r="Z13" s="185"/>
      <c r="AA13" s="185"/>
      <c r="AB13" s="185"/>
      <c r="AC13" s="185"/>
      <c r="AD13" s="185"/>
      <c r="AE13" s="185">
        <f t="shared" si="9"/>
        <v>0.65</v>
      </c>
      <c r="AF13" s="185"/>
      <c r="AG13" s="185"/>
      <c r="AH13" s="185"/>
      <c r="AI13" s="185"/>
      <c r="AJ13" s="185"/>
      <c r="AK13" s="185"/>
      <c r="AL13" s="185">
        <v>0.65</v>
      </c>
      <c r="AM13" s="185"/>
      <c r="AN13" s="185"/>
      <c r="AO13" s="185"/>
      <c r="AP13" s="185"/>
      <c r="AQ13" s="185"/>
      <c r="AR13" s="185"/>
      <c r="AS13" s="185"/>
      <c r="AT13" s="185"/>
      <c r="AU13" s="185"/>
      <c r="AV13" s="185"/>
      <c r="AW13" s="185"/>
      <c r="AX13" s="185"/>
      <c r="AY13" s="185"/>
      <c r="AZ13" s="185"/>
      <c r="BA13" s="185">
        <v>2.65</v>
      </c>
      <c r="BB13" s="185"/>
      <c r="BC13" s="185"/>
      <c r="BD13" s="185"/>
      <c r="BE13" s="185"/>
      <c r="BF13" s="185"/>
      <c r="BG13" s="185"/>
      <c r="BH13" s="185"/>
      <c r="BI13" s="185"/>
      <c r="BJ13" s="185"/>
      <c r="BK13" s="185"/>
      <c r="BL13" s="185">
        <f>I13+K13+L13+M13+N13+O13+S13+T13+U13+V13+BH13</f>
        <v>4.13</v>
      </c>
      <c r="BM13" s="185">
        <f>J67-BL13</f>
        <v>-4.13</v>
      </c>
      <c r="BN13" s="185">
        <f t="shared" si="10"/>
        <v>187.66</v>
      </c>
      <c r="BO13" s="125"/>
      <c r="BP13" s="53"/>
    </row>
    <row r="14" spans="1:68" ht="19.5" hidden="1" customHeight="1">
      <c r="A14" s="14" t="s">
        <v>216</v>
      </c>
      <c r="B14" s="143" t="s">
        <v>475</v>
      </c>
      <c r="C14" s="30" t="s">
        <v>196</v>
      </c>
      <c r="D14" s="185"/>
      <c r="E14" s="185">
        <f t="shared" si="4"/>
        <v>0</v>
      </c>
      <c r="F14" s="185">
        <f t="shared" si="6"/>
        <v>0</v>
      </c>
      <c r="G14" s="185">
        <f t="shared" si="8"/>
        <v>0</v>
      </c>
      <c r="H14" s="185">
        <f t="shared" si="11"/>
        <v>0</v>
      </c>
      <c r="I14" s="185"/>
      <c r="J14" s="185"/>
      <c r="K14" s="185">
        <f>D14-BL14</f>
        <v>0</v>
      </c>
      <c r="L14" s="185"/>
      <c r="M14" s="185"/>
      <c r="N14" s="185"/>
      <c r="O14" s="185">
        <f t="shared" si="3"/>
        <v>0</v>
      </c>
      <c r="P14" s="185"/>
      <c r="Q14" s="185"/>
      <c r="R14" s="185"/>
      <c r="S14" s="185"/>
      <c r="T14" s="185"/>
      <c r="U14" s="185"/>
      <c r="V14" s="185">
        <f t="shared" si="12"/>
        <v>0</v>
      </c>
      <c r="W14" s="185"/>
      <c r="X14" s="185"/>
      <c r="Y14" s="185"/>
      <c r="Z14" s="185"/>
      <c r="AA14" s="185"/>
      <c r="AB14" s="185"/>
      <c r="AC14" s="185"/>
      <c r="AD14" s="185"/>
      <c r="AE14" s="185">
        <f t="shared" si="9"/>
        <v>0</v>
      </c>
      <c r="AF14" s="185"/>
      <c r="AG14" s="185"/>
      <c r="AH14" s="185"/>
      <c r="AI14" s="185"/>
      <c r="AJ14" s="185"/>
      <c r="AK14" s="185"/>
      <c r="AL14" s="185"/>
      <c r="AM14" s="185"/>
      <c r="AN14" s="185"/>
      <c r="AO14" s="185"/>
      <c r="AP14" s="185"/>
      <c r="AQ14" s="185"/>
      <c r="AR14" s="185"/>
      <c r="AS14" s="185"/>
      <c r="AT14" s="185"/>
      <c r="AU14" s="185"/>
      <c r="AV14" s="185"/>
      <c r="AW14" s="185"/>
      <c r="AX14" s="185"/>
      <c r="AY14" s="185"/>
      <c r="AZ14" s="185"/>
      <c r="BA14" s="185"/>
      <c r="BB14" s="185"/>
      <c r="BC14" s="185"/>
      <c r="BD14" s="185"/>
      <c r="BE14" s="185"/>
      <c r="BF14" s="185"/>
      <c r="BG14" s="185"/>
      <c r="BH14" s="185"/>
      <c r="BI14" s="185"/>
      <c r="BJ14" s="185"/>
      <c r="BK14" s="185"/>
      <c r="BL14" s="185">
        <f>I14+J14+L14+M14+N14+O14+S14+T14+U14+V14+BH14</f>
        <v>0</v>
      </c>
      <c r="BM14" s="185">
        <f>K67-BL14</f>
        <v>0</v>
      </c>
      <c r="BN14" s="185">
        <f t="shared" si="10"/>
        <v>0</v>
      </c>
      <c r="BO14" s="125"/>
      <c r="BP14" s="53"/>
    </row>
    <row r="15" spans="1:68" ht="19.5" hidden="1" customHeight="1">
      <c r="A15" s="14" t="s">
        <v>217</v>
      </c>
      <c r="B15" s="143" t="s">
        <v>476</v>
      </c>
      <c r="C15" s="30" t="s">
        <v>197</v>
      </c>
      <c r="D15" s="185"/>
      <c r="E15" s="185">
        <f t="shared" si="4"/>
        <v>0</v>
      </c>
      <c r="F15" s="185">
        <f t="shared" si="6"/>
        <v>0</v>
      </c>
      <c r="G15" s="185">
        <f t="shared" si="8"/>
        <v>0</v>
      </c>
      <c r="H15" s="185">
        <f t="shared" si="11"/>
        <v>0</v>
      </c>
      <c r="I15" s="185"/>
      <c r="J15" s="185"/>
      <c r="K15" s="185"/>
      <c r="L15" s="185">
        <f>D15-BL15</f>
        <v>0</v>
      </c>
      <c r="M15" s="185"/>
      <c r="N15" s="185"/>
      <c r="O15" s="185">
        <f t="shared" si="3"/>
        <v>0</v>
      </c>
      <c r="P15" s="185"/>
      <c r="Q15" s="185"/>
      <c r="R15" s="185"/>
      <c r="S15" s="185"/>
      <c r="T15" s="185"/>
      <c r="U15" s="185"/>
      <c r="V15" s="185">
        <f t="shared" si="12"/>
        <v>0</v>
      </c>
      <c r="W15" s="185"/>
      <c r="X15" s="185"/>
      <c r="Y15" s="185"/>
      <c r="Z15" s="185"/>
      <c r="AA15" s="185"/>
      <c r="AB15" s="185"/>
      <c r="AC15" s="185"/>
      <c r="AD15" s="185"/>
      <c r="AE15" s="185">
        <f t="shared" si="9"/>
        <v>0</v>
      </c>
      <c r="AF15" s="185"/>
      <c r="AG15" s="185"/>
      <c r="AH15" s="185"/>
      <c r="AI15" s="185"/>
      <c r="AJ15" s="185"/>
      <c r="AK15" s="185"/>
      <c r="AL15" s="185"/>
      <c r="AM15" s="185"/>
      <c r="AN15" s="185"/>
      <c r="AO15" s="185"/>
      <c r="AP15" s="185"/>
      <c r="AQ15" s="185"/>
      <c r="AR15" s="185"/>
      <c r="AS15" s="185"/>
      <c r="AT15" s="185"/>
      <c r="AU15" s="185"/>
      <c r="AV15" s="185"/>
      <c r="AW15" s="185"/>
      <c r="AX15" s="185"/>
      <c r="AY15" s="185"/>
      <c r="AZ15" s="185"/>
      <c r="BA15" s="185"/>
      <c r="BB15" s="185"/>
      <c r="BC15" s="185"/>
      <c r="BD15" s="185"/>
      <c r="BE15" s="185"/>
      <c r="BF15" s="185"/>
      <c r="BG15" s="185"/>
      <c r="BH15" s="185"/>
      <c r="BI15" s="185"/>
      <c r="BJ15" s="185"/>
      <c r="BK15" s="185"/>
      <c r="BL15" s="185">
        <f>H15+M15+N15+O15+S15+T15+U15+V15+BH15</f>
        <v>0</v>
      </c>
      <c r="BM15" s="185">
        <f>L67-BL15</f>
        <v>0</v>
      </c>
      <c r="BN15" s="185">
        <f t="shared" si="10"/>
        <v>0</v>
      </c>
      <c r="BO15" s="125"/>
      <c r="BP15" s="53"/>
    </row>
    <row r="16" spans="1:68" ht="20.100000000000001" customHeight="1">
      <c r="A16" s="14" t="s">
        <v>218</v>
      </c>
      <c r="B16" s="143" t="s">
        <v>22</v>
      </c>
      <c r="C16" s="30" t="s">
        <v>23</v>
      </c>
      <c r="D16" s="185">
        <f>#REF!</f>
        <v>163.37</v>
      </c>
      <c r="E16" s="185">
        <f t="shared" si="4"/>
        <v>162.9</v>
      </c>
      <c r="F16" s="185">
        <f t="shared" si="6"/>
        <v>159.56</v>
      </c>
      <c r="G16" s="185">
        <f t="shared" si="8"/>
        <v>159.56</v>
      </c>
      <c r="H16" s="185">
        <f t="shared" si="11"/>
        <v>0</v>
      </c>
      <c r="I16" s="185"/>
      <c r="J16" s="185"/>
      <c r="K16" s="185"/>
      <c r="L16" s="185"/>
      <c r="M16" s="185">
        <f>D16-BL16</f>
        <v>159.56</v>
      </c>
      <c r="N16" s="185"/>
      <c r="O16" s="185">
        <f t="shared" si="3"/>
        <v>0</v>
      </c>
      <c r="P16" s="185"/>
      <c r="Q16" s="185"/>
      <c r="R16" s="185"/>
      <c r="S16" s="185">
        <v>3.34</v>
      </c>
      <c r="T16" s="185"/>
      <c r="U16" s="185"/>
      <c r="V16" s="185">
        <f t="shared" si="12"/>
        <v>0.47</v>
      </c>
      <c r="W16" s="185"/>
      <c r="X16" s="185"/>
      <c r="Y16" s="185"/>
      <c r="Z16" s="185"/>
      <c r="AA16" s="185"/>
      <c r="AB16" s="185"/>
      <c r="AC16" s="185">
        <v>0.37</v>
      </c>
      <c r="AD16" s="185"/>
      <c r="AE16" s="185">
        <f t="shared" si="9"/>
        <v>0.1</v>
      </c>
      <c r="AF16" s="185"/>
      <c r="AG16" s="185"/>
      <c r="AH16" s="185"/>
      <c r="AI16" s="185"/>
      <c r="AJ16" s="185"/>
      <c r="AK16" s="185"/>
      <c r="AL16" s="185">
        <v>0.1</v>
      </c>
      <c r="AM16" s="185"/>
      <c r="AN16" s="185"/>
      <c r="AO16" s="185"/>
      <c r="AP16" s="185"/>
      <c r="AQ16" s="185"/>
      <c r="AR16" s="185"/>
      <c r="AS16" s="185"/>
      <c r="AT16" s="185"/>
      <c r="AU16" s="185"/>
      <c r="AV16" s="185"/>
      <c r="AW16" s="185"/>
      <c r="AX16" s="185"/>
      <c r="AY16" s="185"/>
      <c r="AZ16" s="185"/>
      <c r="BA16" s="185"/>
      <c r="BB16" s="185"/>
      <c r="BC16" s="185"/>
      <c r="BD16" s="185"/>
      <c r="BE16" s="185"/>
      <c r="BF16" s="185"/>
      <c r="BG16" s="185"/>
      <c r="BH16" s="185"/>
      <c r="BI16" s="185"/>
      <c r="BJ16" s="185"/>
      <c r="BK16" s="185"/>
      <c r="BL16" s="185">
        <f>H16+L16+N16+S16+T16+U16+V16+BH16</f>
        <v>3.8099999999999996</v>
      </c>
      <c r="BM16" s="185">
        <f>M67-BL16</f>
        <v>-3.8099999999999996</v>
      </c>
      <c r="BN16" s="185">
        <f t="shared" si="10"/>
        <v>159.56</v>
      </c>
      <c r="BO16" s="125"/>
      <c r="BP16" s="53"/>
    </row>
    <row r="17" spans="1:68" ht="18.75" customHeight="1">
      <c r="A17" s="14" t="s">
        <v>219</v>
      </c>
      <c r="B17" s="143" t="s">
        <v>25</v>
      </c>
      <c r="C17" s="30" t="s">
        <v>26</v>
      </c>
      <c r="D17" s="185">
        <f>#REF!</f>
        <v>133.25</v>
      </c>
      <c r="E17" s="185">
        <f t="shared" si="4"/>
        <v>132.59</v>
      </c>
      <c r="F17" s="185">
        <f t="shared" si="6"/>
        <v>125.17</v>
      </c>
      <c r="G17" s="185">
        <f t="shared" si="8"/>
        <v>0</v>
      </c>
      <c r="H17" s="185">
        <f t="shared" si="11"/>
        <v>0</v>
      </c>
      <c r="I17" s="185"/>
      <c r="J17" s="185"/>
      <c r="K17" s="185"/>
      <c r="L17" s="185"/>
      <c r="M17" s="185"/>
      <c r="N17" s="185">
        <f>D17-BL17</f>
        <v>125.17</v>
      </c>
      <c r="O17" s="185">
        <f t="shared" si="3"/>
        <v>0</v>
      </c>
      <c r="P17" s="185"/>
      <c r="Q17" s="185"/>
      <c r="R17" s="185"/>
      <c r="S17" s="185">
        <v>7.42</v>
      </c>
      <c r="T17" s="185"/>
      <c r="U17" s="185"/>
      <c r="V17" s="185">
        <f t="shared" si="12"/>
        <v>0.66</v>
      </c>
      <c r="W17" s="185"/>
      <c r="X17" s="185"/>
      <c r="Y17" s="185"/>
      <c r="Z17" s="185"/>
      <c r="AA17" s="185"/>
      <c r="AB17" s="185"/>
      <c r="AC17" s="185"/>
      <c r="AD17" s="185"/>
      <c r="AE17" s="185">
        <f t="shared" si="9"/>
        <v>0.23</v>
      </c>
      <c r="AF17" s="185"/>
      <c r="AG17" s="185"/>
      <c r="AH17" s="185"/>
      <c r="AI17" s="185"/>
      <c r="AJ17" s="185"/>
      <c r="AK17" s="185"/>
      <c r="AL17" s="185">
        <v>0.23</v>
      </c>
      <c r="AM17" s="185"/>
      <c r="AN17" s="185"/>
      <c r="AO17" s="185"/>
      <c r="AP17" s="185"/>
      <c r="AQ17" s="185"/>
      <c r="AR17" s="185"/>
      <c r="AS17" s="185"/>
      <c r="AT17" s="185">
        <v>0.3</v>
      </c>
      <c r="AU17" s="185"/>
      <c r="AV17" s="185"/>
      <c r="AW17" s="185"/>
      <c r="AX17" s="185"/>
      <c r="AY17" s="185"/>
      <c r="AZ17" s="185"/>
      <c r="BA17" s="185">
        <v>0.13</v>
      </c>
      <c r="BB17" s="185"/>
      <c r="BC17" s="185"/>
      <c r="BD17" s="185"/>
      <c r="BE17" s="185"/>
      <c r="BF17" s="185"/>
      <c r="BG17" s="185"/>
      <c r="BH17" s="185"/>
      <c r="BI17" s="185"/>
      <c r="BJ17" s="185"/>
      <c r="BK17" s="185"/>
      <c r="BL17" s="185">
        <f>H17+L17+M17+O17+S17+T17+U17+V17+BH17</f>
        <v>8.08</v>
      </c>
      <c r="BM17" s="185">
        <f>N67-BL17</f>
        <v>-8.08</v>
      </c>
      <c r="BN17" s="185">
        <f t="shared" si="10"/>
        <v>125.17</v>
      </c>
      <c r="BO17" s="125"/>
      <c r="BP17" s="53"/>
    </row>
    <row r="18" spans="1:68" ht="19.5" hidden="1" customHeight="1">
      <c r="A18" s="14" t="s">
        <v>21</v>
      </c>
      <c r="B18" s="143" t="s">
        <v>477</v>
      </c>
      <c r="C18" s="30" t="s">
        <v>198</v>
      </c>
      <c r="D18" s="185">
        <f>D19+D20+D21</f>
        <v>4209.0599999999995</v>
      </c>
      <c r="E18" s="185">
        <f t="shared" si="4"/>
        <v>3921.3199999999997</v>
      </c>
      <c r="F18" s="185">
        <f t="shared" si="6"/>
        <v>0</v>
      </c>
      <c r="G18" s="185">
        <f t="shared" si="8"/>
        <v>0</v>
      </c>
      <c r="H18" s="185">
        <f t="shared" si="11"/>
        <v>0</v>
      </c>
      <c r="I18" s="185">
        <f t="shared" ref="I18:N18" si="13">I19+I20+I21</f>
        <v>0</v>
      </c>
      <c r="J18" s="185">
        <f t="shared" si="13"/>
        <v>0</v>
      </c>
      <c r="K18" s="185">
        <f t="shared" si="13"/>
        <v>0</v>
      </c>
      <c r="L18" s="185">
        <f t="shared" si="13"/>
        <v>0</v>
      </c>
      <c r="M18" s="185">
        <f t="shared" si="13"/>
        <v>0</v>
      </c>
      <c r="N18" s="185">
        <f t="shared" si="13"/>
        <v>0</v>
      </c>
      <c r="O18" s="185">
        <f>D18-BL18</f>
        <v>3920.2499999999995</v>
      </c>
      <c r="P18" s="185">
        <f t="shared" ref="P18:BG18" si="14">P19+P20+P21</f>
        <v>896.86</v>
      </c>
      <c r="Q18" s="185">
        <f t="shared" si="14"/>
        <v>0</v>
      </c>
      <c r="R18" s="185">
        <f t="shared" si="14"/>
        <v>3023.39</v>
      </c>
      <c r="S18" s="185">
        <f t="shared" si="14"/>
        <v>1.07</v>
      </c>
      <c r="T18" s="185">
        <f t="shared" si="14"/>
        <v>0</v>
      </c>
      <c r="U18" s="185">
        <f t="shared" si="14"/>
        <v>0</v>
      </c>
      <c r="V18" s="185">
        <f t="shared" si="14"/>
        <v>287.74</v>
      </c>
      <c r="W18" s="185">
        <f t="shared" si="14"/>
        <v>0</v>
      </c>
      <c r="X18" s="185">
        <f t="shared" si="14"/>
        <v>0</v>
      </c>
      <c r="Y18" s="185">
        <f t="shared" si="14"/>
        <v>0</v>
      </c>
      <c r="Z18" s="185">
        <f t="shared" si="14"/>
        <v>0</v>
      </c>
      <c r="AA18" s="185">
        <f t="shared" si="14"/>
        <v>0</v>
      </c>
      <c r="AB18" s="185">
        <f t="shared" si="14"/>
        <v>0</v>
      </c>
      <c r="AC18" s="185">
        <f t="shared" si="14"/>
        <v>0</v>
      </c>
      <c r="AD18" s="185">
        <f t="shared" si="14"/>
        <v>0</v>
      </c>
      <c r="AE18" s="185">
        <f t="shared" si="14"/>
        <v>23.740000000000002</v>
      </c>
      <c r="AF18" s="185">
        <f t="shared" si="14"/>
        <v>0</v>
      </c>
      <c r="AG18" s="185">
        <f t="shared" si="14"/>
        <v>0</v>
      </c>
      <c r="AH18" s="185">
        <f t="shared" si="14"/>
        <v>0</v>
      </c>
      <c r="AI18" s="185">
        <f t="shared" si="14"/>
        <v>0</v>
      </c>
      <c r="AJ18" s="185">
        <f t="shared" si="14"/>
        <v>0</v>
      </c>
      <c r="AK18" s="185">
        <f t="shared" si="14"/>
        <v>0</v>
      </c>
      <c r="AL18" s="185">
        <f t="shared" si="14"/>
        <v>23.740000000000002</v>
      </c>
      <c r="AM18" s="185">
        <f t="shared" si="14"/>
        <v>0</v>
      </c>
      <c r="AN18" s="185">
        <f t="shared" si="14"/>
        <v>0</v>
      </c>
      <c r="AO18" s="185">
        <f t="shared" si="14"/>
        <v>0</v>
      </c>
      <c r="AP18" s="185">
        <f t="shared" si="14"/>
        <v>0</v>
      </c>
      <c r="AQ18" s="185">
        <f t="shared" si="14"/>
        <v>0</v>
      </c>
      <c r="AR18" s="185">
        <f t="shared" si="14"/>
        <v>0</v>
      </c>
      <c r="AS18" s="185">
        <f t="shared" si="14"/>
        <v>0.78</v>
      </c>
      <c r="AT18" s="185">
        <f t="shared" si="14"/>
        <v>0</v>
      </c>
      <c r="AU18" s="185">
        <f t="shared" si="14"/>
        <v>0</v>
      </c>
      <c r="AV18" s="185">
        <f t="shared" si="14"/>
        <v>0</v>
      </c>
      <c r="AW18" s="185">
        <f t="shared" si="14"/>
        <v>0</v>
      </c>
      <c r="AX18" s="185">
        <f t="shared" si="14"/>
        <v>0</v>
      </c>
      <c r="AY18" s="185">
        <f t="shared" si="14"/>
        <v>0</v>
      </c>
      <c r="AZ18" s="185">
        <f t="shared" si="14"/>
        <v>0</v>
      </c>
      <c r="BA18" s="185">
        <f t="shared" si="14"/>
        <v>263.22000000000003</v>
      </c>
      <c r="BB18" s="185">
        <f t="shared" si="14"/>
        <v>0</v>
      </c>
      <c r="BC18" s="185">
        <f t="shared" si="14"/>
        <v>0</v>
      </c>
      <c r="BD18" s="185">
        <f t="shared" si="14"/>
        <v>0</v>
      </c>
      <c r="BE18" s="185">
        <f t="shared" si="14"/>
        <v>0</v>
      </c>
      <c r="BF18" s="185">
        <f t="shared" si="14"/>
        <v>0</v>
      </c>
      <c r="BG18" s="185">
        <f t="shared" si="14"/>
        <v>0</v>
      </c>
      <c r="BH18" s="185">
        <f>BH19+BH20+BH21</f>
        <v>0</v>
      </c>
      <c r="BI18" s="185">
        <f>BI19+BI20+BI21</f>
        <v>0</v>
      </c>
      <c r="BJ18" s="185">
        <f>BJ19+BJ20+BJ21</f>
        <v>0</v>
      </c>
      <c r="BK18" s="185">
        <f>BK19+BK20+BK21</f>
        <v>0</v>
      </c>
      <c r="BL18" s="185">
        <f>F18+S18+T18+U18+BH18+V18</f>
        <v>288.81</v>
      </c>
      <c r="BM18" s="185">
        <f>O67-BL18</f>
        <v>-288.81</v>
      </c>
      <c r="BN18" s="185">
        <f>BN19+BN20+BN21</f>
        <v>3920.25</v>
      </c>
      <c r="BO18" s="125"/>
      <c r="BP18" s="53"/>
    </row>
    <row r="19" spans="1:68" ht="20.100000000000001" customHeight="1">
      <c r="A19" s="14" t="s">
        <v>182</v>
      </c>
      <c r="B19" s="143" t="s">
        <v>28</v>
      </c>
      <c r="C19" s="30" t="s">
        <v>29</v>
      </c>
      <c r="D19" s="185">
        <f>#REF!</f>
        <v>915.98</v>
      </c>
      <c r="E19" s="185">
        <f>F19+O19+S19+T19+U19</f>
        <v>897.64</v>
      </c>
      <c r="F19" s="185">
        <f>G19+N19</f>
        <v>0</v>
      </c>
      <c r="G19" s="185">
        <f>H19+L19+M19</f>
        <v>0</v>
      </c>
      <c r="H19" s="185">
        <f t="shared" si="11"/>
        <v>0</v>
      </c>
      <c r="I19" s="185"/>
      <c r="J19" s="185"/>
      <c r="K19" s="185"/>
      <c r="L19" s="185"/>
      <c r="M19" s="185"/>
      <c r="N19" s="185"/>
      <c r="O19" s="185">
        <f t="shared" ref="O19:O24" si="15">P19+Q19+R19</f>
        <v>896.86</v>
      </c>
      <c r="P19" s="185">
        <f>D19-BL19</f>
        <v>896.86</v>
      </c>
      <c r="Q19" s="185"/>
      <c r="R19" s="185"/>
      <c r="S19" s="185">
        <v>0.78</v>
      </c>
      <c r="T19" s="185"/>
      <c r="U19" s="185"/>
      <c r="V19" s="185">
        <f t="shared" si="12"/>
        <v>18.34</v>
      </c>
      <c r="W19" s="185"/>
      <c r="X19" s="185"/>
      <c r="Y19" s="185"/>
      <c r="Z19" s="185"/>
      <c r="AA19" s="185"/>
      <c r="AB19" s="185"/>
      <c r="AC19" s="185"/>
      <c r="AD19" s="185"/>
      <c r="AE19" s="185">
        <f t="shared" si="9"/>
        <v>18.34</v>
      </c>
      <c r="AF19" s="185"/>
      <c r="AG19" s="185"/>
      <c r="AH19" s="185"/>
      <c r="AI19" s="185"/>
      <c r="AJ19" s="185"/>
      <c r="AK19" s="185"/>
      <c r="AL19" s="185">
        <v>18.34</v>
      </c>
      <c r="AM19" s="185"/>
      <c r="AN19" s="185"/>
      <c r="AO19" s="185"/>
      <c r="AP19" s="185"/>
      <c r="AQ19" s="185"/>
      <c r="AR19" s="185"/>
      <c r="AS19" s="185"/>
      <c r="AT19" s="185"/>
      <c r="AU19" s="185"/>
      <c r="AV19" s="185"/>
      <c r="AW19" s="185"/>
      <c r="AX19" s="185"/>
      <c r="AY19" s="185"/>
      <c r="AZ19" s="185"/>
      <c r="BA19" s="185"/>
      <c r="BB19" s="185"/>
      <c r="BC19" s="185"/>
      <c r="BD19" s="185"/>
      <c r="BE19" s="185"/>
      <c r="BF19" s="185"/>
      <c r="BG19" s="185"/>
      <c r="BH19" s="185">
        <f t="shared" ref="BH19:BH24" si="16">BI19+BJ19+BK19</f>
        <v>0</v>
      </c>
      <c r="BI19" s="185"/>
      <c r="BJ19" s="185"/>
      <c r="BK19" s="185"/>
      <c r="BL19" s="185">
        <f>F19+Q19+R19+S19+T19+U19+V19+BH19</f>
        <v>19.12</v>
      </c>
      <c r="BM19" s="185">
        <f>P67-BL19</f>
        <v>-19.12</v>
      </c>
      <c r="BN19" s="185">
        <f t="shared" ref="BN19:BN24" si="17">D19+BM19</f>
        <v>896.86</v>
      </c>
      <c r="BO19" s="125"/>
      <c r="BP19" s="53"/>
    </row>
    <row r="20" spans="1:68" ht="20.100000000000001" customHeight="1">
      <c r="A20" s="14" t="s">
        <v>183</v>
      </c>
      <c r="B20" s="143" t="s">
        <v>31</v>
      </c>
      <c r="C20" s="30" t="s">
        <v>32</v>
      </c>
      <c r="D20" s="185"/>
      <c r="E20" s="185">
        <f t="shared" si="4"/>
        <v>0</v>
      </c>
      <c r="F20" s="185">
        <f t="shared" si="6"/>
        <v>0</v>
      </c>
      <c r="G20" s="185">
        <f t="shared" si="8"/>
        <v>0</v>
      </c>
      <c r="H20" s="185">
        <f t="shared" si="11"/>
        <v>0</v>
      </c>
      <c r="I20" s="185"/>
      <c r="J20" s="185"/>
      <c r="K20" s="185"/>
      <c r="L20" s="185"/>
      <c r="M20" s="185"/>
      <c r="N20" s="185"/>
      <c r="O20" s="185">
        <f t="shared" si="15"/>
        <v>0</v>
      </c>
      <c r="P20" s="185"/>
      <c r="Q20" s="185">
        <f>D20-BL20</f>
        <v>0</v>
      </c>
      <c r="R20" s="185"/>
      <c r="S20" s="185"/>
      <c r="T20" s="185"/>
      <c r="U20" s="185"/>
      <c r="V20" s="185">
        <f t="shared" si="12"/>
        <v>0</v>
      </c>
      <c r="W20" s="185"/>
      <c r="X20" s="185"/>
      <c r="Y20" s="185"/>
      <c r="Z20" s="185"/>
      <c r="AA20" s="185"/>
      <c r="AB20" s="185"/>
      <c r="AC20" s="185"/>
      <c r="AD20" s="185"/>
      <c r="AE20" s="185">
        <f t="shared" si="9"/>
        <v>0</v>
      </c>
      <c r="AF20" s="185"/>
      <c r="AG20" s="185"/>
      <c r="AH20" s="185"/>
      <c r="AI20" s="185"/>
      <c r="AJ20" s="185"/>
      <c r="AK20" s="185"/>
      <c r="AL20" s="185"/>
      <c r="AM20" s="185"/>
      <c r="AN20" s="185"/>
      <c r="AO20" s="185"/>
      <c r="AP20" s="185"/>
      <c r="AQ20" s="185"/>
      <c r="AR20" s="185"/>
      <c r="AS20" s="185"/>
      <c r="AT20" s="185"/>
      <c r="AU20" s="185"/>
      <c r="AV20" s="185"/>
      <c r="AW20" s="185"/>
      <c r="AX20" s="185"/>
      <c r="AY20" s="185"/>
      <c r="AZ20" s="185"/>
      <c r="BA20" s="185"/>
      <c r="BB20" s="185"/>
      <c r="BC20" s="185"/>
      <c r="BD20" s="185"/>
      <c r="BE20" s="185"/>
      <c r="BF20" s="185"/>
      <c r="BG20" s="185"/>
      <c r="BH20" s="185">
        <f t="shared" si="16"/>
        <v>0</v>
      </c>
      <c r="BI20" s="185"/>
      <c r="BJ20" s="185"/>
      <c r="BK20" s="185"/>
      <c r="BL20" s="185">
        <f>F20+P20+R20+S20+T20+U20+V20+BH20</f>
        <v>0</v>
      </c>
      <c r="BM20" s="185">
        <f>Q67-BL20</f>
        <v>0</v>
      </c>
      <c r="BN20" s="185">
        <f t="shared" si="17"/>
        <v>0</v>
      </c>
      <c r="BO20" s="125"/>
      <c r="BP20" s="53"/>
    </row>
    <row r="21" spans="1:68" ht="20.100000000000001" customHeight="1">
      <c r="A21" s="14" t="s">
        <v>184</v>
      </c>
      <c r="B21" s="143" t="s">
        <v>34</v>
      </c>
      <c r="C21" s="30" t="s">
        <v>35</v>
      </c>
      <c r="D21" s="185">
        <f>#REF!</f>
        <v>3293.08</v>
      </c>
      <c r="E21" s="185">
        <f t="shared" si="4"/>
        <v>3023.68</v>
      </c>
      <c r="F21" s="185">
        <f>G21+N21</f>
        <v>0</v>
      </c>
      <c r="G21" s="185">
        <f t="shared" si="8"/>
        <v>0</v>
      </c>
      <c r="H21" s="185">
        <f t="shared" si="11"/>
        <v>0</v>
      </c>
      <c r="I21" s="185"/>
      <c r="J21" s="185"/>
      <c r="K21" s="185"/>
      <c r="L21" s="185"/>
      <c r="M21" s="185"/>
      <c r="N21" s="185"/>
      <c r="O21" s="185">
        <f t="shared" si="15"/>
        <v>3023.39</v>
      </c>
      <c r="P21" s="185"/>
      <c r="Q21" s="185"/>
      <c r="R21" s="185">
        <f>D21-BL21</f>
        <v>3023.39</v>
      </c>
      <c r="S21" s="185">
        <v>0.28999999999999998</v>
      </c>
      <c r="T21" s="185"/>
      <c r="U21" s="185"/>
      <c r="V21" s="185">
        <f t="shared" si="12"/>
        <v>269.40000000000003</v>
      </c>
      <c r="W21" s="185"/>
      <c r="X21" s="185"/>
      <c r="Y21" s="185"/>
      <c r="Z21" s="185"/>
      <c r="AA21" s="185"/>
      <c r="AB21" s="185"/>
      <c r="AC21" s="185"/>
      <c r="AD21" s="185"/>
      <c r="AE21" s="185">
        <f t="shared" si="9"/>
        <v>5.4</v>
      </c>
      <c r="AF21" s="185"/>
      <c r="AG21" s="185"/>
      <c r="AH21" s="185"/>
      <c r="AI21" s="185"/>
      <c r="AJ21" s="185"/>
      <c r="AK21" s="185"/>
      <c r="AL21" s="185">
        <v>5.4</v>
      </c>
      <c r="AM21" s="185"/>
      <c r="AN21" s="185"/>
      <c r="AO21" s="185"/>
      <c r="AP21" s="185"/>
      <c r="AQ21" s="185"/>
      <c r="AR21" s="185"/>
      <c r="AS21" s="185">
        <v>0.78</v>
      </c>
      <c r="AT21" s="185"/>
      <c r="AU21" s="185"/>
      <c r="AV21" s="185"/>
      <c r="AW21" s="185"/>
      <c r="AX21" s="185"/>
      <c r="AY21" s="185"/>
      <c r="AZ21" s="185"/>
      <c r="BA21" s="185">
        <v>263.22000000000003</v>
      </c>
      <c r="BB21" s="185"/>
      <c r="BC21" s="185"/>
      <c r="BD21" s="185"/>
      <c r="BE21" s="185"/>
      <c r="BF21" s="185"/>
      <c r="BG21" s="185"/>
      <c r="BH21" s="185">
        <f t="shared" si="16"/>
        <v>0</v>
      </c>
      <c r="BI21" s="185"/>
      <c r="BJ21" s="185"/>
      <c r="BK21" s="185"/>
      <c r="BL21" s="185">
        <f>F21+P21+Q21+S21+T21+U21+V21+BH21</f>
        <v>269.69000000000005</v>
      </c>
      <c r="BM21" s="185">
        <f>R67-BL21</f>
        <v>-269.69000000000005</v>
      </c>
      <c r="BN21" s="185">
        <f t="shared" si="17"/>
        <v>3023.39</v>
      </c>
      <c r="BO21" s="125"/>
      <c r="BP21" s="53"/>
    </row>
    <row r="22" spans="1:68" ht="18" customHeight="1">
      <c r="A22" s="14" t="s">
        <v>24</v>
      </c>
      <c r="B22" s="143" t="s">
        <v>37</v>
      </c>
      <c r="C22" s="30" t="s">
        <v>38</v>
      </c>
      <c r="D22" s="185">
        <f>#REF!</f>
        <v>178.94</v>
      </c>
      <c r="E22" s="185">
        <f>F22+O22+S22+T22+U22</f>
        <v>0</v>
      </c>
      <c r="F22" s="185">
        <f t="shared" si="6"/>
        <v>0</v>
      </c>
      <c r="G22" s="185">
        <f t="shared" si="8"/>
        <v>0</v>
      </c>
      <c r="H22" s="185">
        <f t="shared" si="11"/>
        <v>0</v>
      </c>
      <c r="I22" s="185"/>
      <c r="J22" s="185"/>
      <c r="K22" s="185"/>
      <c r="L22" s="185"/>
      <c r="M22" s="185"/>
      <c r="N22" s="185"/>
      <c r="O22" s="185">
        <f t="shared" si="15"/>
        <v>0</v>
      </c>
      <c r="P22" s="185"/>
      <c r="Q22" s="185"/>
      <c r="R22" s="185"/>
      <c r="S22" s="185"/>
      <c r="T22" s="185"/>
      <c r="U22" s="185"/>
      <c r="V22" s="185">
        <f t="shared" si="12"/>
        <v>4.4000000000000004</v>
      </c>
      <c r="W22" s="185"/>
      <c r="X22" s="185"/>
      <c r="Y22" s="185"/>
      <c r="Z22" s="185"/>
      <c r="AA22" s="185"/>
      <c r="AB22" s="185"/>
      <c r="AC22" s="185">
        <v>1.57</v>
      </c>
      <c r="AD22" s="185"/>
      <c r="AE22" s="185">
        <f t="shared" si="9"/>
        <v>0.59</v>
      </c>
      <c r="AF22" s="185"/>
      <c r="AG22" s="185"/>
      <c r="AH22" s="185"/>
      <c r="AI22" s="185"/>
      <c r="AJ22" s="185"/>
      <c r="AK22" s="185"/>
      <c r="AL22" s="185">
        <v>0.59</v>
      </c>
      <c r="AM22" s="185"/>
      <c r="AN22" s="185"/>
      <c r="AO22" s="185"/>
      <c r="AP22" s="185"/>
      <c r="AQ22" s="185"/>
      <c r="AR22" s="185"/>
      <c r="AS22" s="185"/>
      <c r="AT22" s="185"/>
      <c r="AU22" s="185"/>
      <c r="AV22" s="185"/>
      <c r="AW22" s="185"/>
      <c r="AX22" s="185"/>
      <c r="AY22" s="185"/>
      <c r="AZ22" s="185"/>
      <c r="BA22" s="185">
        <v>2.2400000000000002</v>
      </c>
      <c r="BB22" s="185"/>
      <c r="BC22" s="185"/>
      <c r="BD22" s="185"/>
      <c r="BE22" s="185"/>
      <c r="BF22" s="185"/>
      <c r="BG22" s="185"/>
      <c r="BH22" s="185">
        <f t="shared" si="16"/>
        <v>0</v>
      </c>
      <c r="BI22" s="185"/>
      <c r="BJ22" s="185"/>
      <c r="BK22" s="185"/>
      <c r="BL22" s="185">
        <f>G22+O22+T22+U22+V22+BH22</f>
        <v>4.4000000000000004</v>
      </c>
      <c r="BM22" s="185">
        <f>S67-BL22</f>
        <v>21.22</v>
      </c>
      <c r="BN22" s="185">
        <f t="shared" si="17"/>
        <v>200.16</v>
      </c>
      <c r="BO22" s="125"/>
      <c r="BP22" s="53"/>
    </row>
    <row r="23" spans="1:68" ht="19.5" hidden="1" customHeight="1">
      <c r="A23" s="14" t="s">
        <v>27</v>
      </c>
      <c r="B23" s="143" t="s">
        <v>40</v>
      </c>
      <c r="C23" s="30" t="s">
        <v>41</v>
      </c>
      <c r="D23" s="185"/>
      <c r="E23" s="185">
        <f t="shared" si="4"/>
        <v>0</v>
      </c>
      <c r="F23" s="185">
        <f t="shared" si="6"/>
        <v>0</v>
      </c>
      <c r="G23" s="185">
        <f t="shared" si="8"/>
        <v>0</v>
      </c>
      <c r="H23" s="185">
        <f t="shared" si="11"/>
        <v>0</v>
      </c>
      <c r="I23" s="185"/>
      <c r="J23" s="185"/>
      <c r="K23" s="185"/>
      <c r="L23" s="185"/>
      <c r="M23" s="185"/>
      <c r="N23" s="185"/>
      <c r="O23" s="185">
        <f t="shared" si="15"/>
        <v>0</v>
      </c>
      <c r="P23" s="185"/>
      <c r="Q23" s="185"/>
      <c r="R23" s="185"/>
      <c r="S23" s="185"/>
      <c r="T23" s="185">
        <f>D23-BL23</f>
        <v>0</v>
      </c>
      <c r="U23" s="185"/>
      <c r="V23" s="185">
        <f t="shared" si="12"/>
        <v>0</v>
      </c>
      <c r="W23" s="185"/>
      <c r="X23" s="185"/>
      <c r="Y23" s="185"/>
      <c r="Z23" s="185"/>
      <c r="AA23" s="185"/>
      <c r="AB23" s="185"/>
      <c r="AC23" s="185"/>
      <c r="AD23" s="185"/>
      <c r="AE23" s="185">
        <f t="shared" si="9"/>
        <v>0</v>
      </c>
      <c r="AF23" s="185"/>
      <c r="AG23" s="185"/>
      <c r="AH23" s="185"/>
      <c r="AI23" s="185"/>
      <c r="AJ23" s="185"/>
      <c r="AK23" s="185"/>
      <c r="AL23" s="185"/>
      <c r="AM23" s="185"/>
      <c r="AN23" s="185"/>
      <c r="AO23" s="185"/>
      <c r="AP23" s="185"/>
      <c r="AQ23" s="185"/>
      <c r="AR23" s="185"/>
      <c r="AS23" s="185"/>
      <c r="AT23" s="185"/>
      <c r="AU23" s="185"/>
      <c r="AV23" s="185"/>
      <c r="AW23" s="185"/>
      <c r="AX23" s="185"/>
      <c r="AY23" s="185"/>
      <c r="AZ23" s="185"/>
      <c r="BA23" s="185"/>
      <c r="BB23" s="185"/>
      <c r="BC23" s="185"/>
      <c r="BD23" s="185"/>
      <c r="BE23" s="185"/>
      <c r="BF23" s="185"/>
      <c r="BG23" s="185"/>
      <c r="BH23" s="185">
        <f t="shared" si="16"/>
        <v>0</v>
      </c>
      <c r="BI23" s="185"/>
      <c r="BJ23" s="185"/>
      <c r="BK23" s="185"/>
      <c r="BL23" s="185">
        <f>F23+O23+S23+U23+V23+BH23</f>
        <v>0</v>
      </c>
      <c r="BM23" s="185">
        <f>T67-BL23</f>
        <v>0</v>
      </c>
      <c r="BN23" s="185">
        <f t="shared" si="17"/>
        <v>0</v>
      </c>
      <c r="BO23" s="125"/>
      <c r="BP23" s="53"/>
    </row>
    <row r="24" spans="1:68" ht="20.100000000000001" customHeight="1">
      <c r="A24" s="14" t="s">
        <v>30</v>
      </c>
      <c r="B24" s="143" t="s">
        <v>43</v>
      </c>
      <c r="C24" s="30" t="s">
        <v>44</v>
      </c>
      <c r="D24" s="185"/>
      <c r="E24" s="185">
        <f t="shared" si="4"/>
        <v>0</v>
      </c>
      <c r="F24" s="185">
        <f t="shared" si="6"/>
        <v>0</v>
      </c>
      <c r="G24" s="185">
        <f t="shared" si="8"/>
        <v>0</v>
      </c>
      <c r="H24" s="185">
        <f t="shared" si="11"/>
        <v>0</v>
      </c>
      <c r="I24" s="185"/>
      <c r="J24" s="185"/>
      <c r="K24" s="185"/>
      <c r="L24" s="185"/>
      <c r="M24" s="185"/>
      <c r="N24" s="185"/>
      <c r="O24" s="185">
        <f t="shared" si="15"/>
        <v>0</v>
      </c>
      <c r="P24" s="185"/>
      <c r="Q24" s="185"/>
      <c r="R24" s="185"/>
      <c r="S24" s="185"/>
      <c r="T24" s="185"/>
      <c r="U24" s="185">
        <f>D24-BL24</f>
        <v>0</v>
      </c>
      <c r="V24" s="185">
        <f t="shared" si="12"/>
        <v>0</v>
      </c>
      <c r="W24" s="185"/>
      <c r="X24" s="185"/>
      <c r="Y24" s="185"/>
      <c r="Z24" s="185"/>
      <c r="AA24" s="185"/>
      <c r="AB24" s="185"/>
      <c r="AC24" s="185"/>
      <c r="AD24" s="185"/>
      <c r="AE24" s="185">
        <f t="shared" si="9"/>
        <v>0</v>
      </c>
      <c r="AF24" s="185"/>
      <c r="AG24" s="185"/>
      <c r="AH24" s="185"/>
      <c r="AI24" s="185"/>
      <c r="AJ24" s="185"/>
      <c r="AK24" s="185"/>
      <c r="AL24" s="185"/>
      <c r="AM24" s="185"/>
      <c r="AN24" s="185"/>
      <c r="AO24" s="185"/>
      <c r="AP24" s="185"/>
      <c r="AQ24" s="185"/>
      <c r="AR24" s="185"/>
      <c r="AS24" s="185"/>
      <c r="AT24" s="185"/>
      <c r="AU24" s="185"/>
      <c r="AV24" s="185"/>
      <c r="AW24" s="185"/>
      <c r="AX24" s="185"/>
      <c r="AY24" s="185"/>
      <c r="AZ24" s="185"/>
      <c r="BA24" s="185"/>
      <c r="BB24" s="185"/>
      <c r="BC24" s="185"/>
      <c r="BD24" s="185"/>
      <c r="BE24" s="185"/>
      <c r="BF24" s="185"/>
      <c r="BG24" s="185"/>
      <c r="BH24" s="185">
        <f t="shared" si="16"/>
        <v>0</v>
      </c>
      <c r="BI24" s="185"/>
      <c r="BJ24" s="185"/>
      <c r="BK24" s="185"/>
      <c r="BL24" s="185">
        <f>F24+O24+S24+T24+BH24</f>
        <v>0</v>
      </c>
      <c r="BM24" s="185">
        <f>U67-BL24</f>
        <v>0</v>
      </c>
      <c r="BN24" s="185">
        <f t="shared" si="17"/>
        <v>0</v>
      </c>
      <c r="BO24" s="125"/>
      <c r="BP24" s="53"/>
    </row>
    <row r="25" spans="1:68" s="115" customFormat="1" ht="25.5" customHeight="1">
      <c r="A25" s="15">
        <v>2</v>
      </c>
      <c r="B25" s="142" t="s">
        <v>45</v>
      </c>
      <c r="C25" s="158" t="s">
        <v>46</v>
      </c>
      <c r="D25" s="420">
        <f>D26+D27+D28+D29+D30+D31+D32+D33+D34+D46+D47+D48+D49+D50+D51+D52+D53+D54+D55+D56+D57+D58+D59+D60+D61+D62</f>
        <v>889.94950000000006</v>
      </c>
      <c r="E25" s="420">
        <f>E26+E27+E28+E29+E30+E31+E32+E33+E34+E46+E47+E48+E49+E50+E51+E52+E53+E54+E55+E56+E57+E58+E59+E60+E61+E62</f>
        <v>7.66</v>
      </c>
      <c r="F25" s="420">
        <f t="shared" ref="F25:U25" si="18">F26+F27+F28+F29+F30+F31+F32+F33+F34+F46+F47+F48+F49+F50+F51+F52+F53+F54+F55+F56+F57+F58+F59+F60+F61+F62</f>
        <v>0</v>
      </c>
      <c r="G25" s="420">
        <f t="shared" si="18"/>
        <v>0</v>
      </c>
      <c r="H25" s="420">
        <f t="shared" si="18"/>
        <v>0</v>
      </c>
      <c r="I25" s="420">
        <f t="shared" si="18"/>
        <v>0</v>
      </c>
      <c r="J25" s="420">
        <f t="shared" si="18"/>
        <v>0</v>
      </c>
      <c r="K25" s="420">
        <f t="shared" si="18"/>
        <v>0</v>
      </c>
      <c r="L25" s="420">
        <f t="shared" si="18"/>
        <v>0</v>
      </c>
      <c r="M25" s="420">
        <f t="shared" si="18"/>
        <v>0</v>
      </c>
      <c r="N25" s="420">
        <f t="shared" si="18"/>
        <v>0</v>
      </c>
      <c r="O25" s="420">
        <f t="shared" si="18"/>
        <v>0</v>
      </c>
      <c r="P25" s="420">
        <f t="shared" si="18"/>
        <v>0</v>
      </c>
      <c r="Q25" s="420">
        <f t="shared" si="18"/>
        <v>0</v>
      </c>
      <c r="R25" s="420">
        <f t="shared" si="18"/>
        <v>0</v>
      </c>
      <c r="S25" s="420">
        <f t="shared" si="18"/>
        <v>7.66</v>
      </c>
      <c r="T25" s="420">
        <f t="shared" si="18"/>
        <v>0</v>
      </c>
      <c r="U25" s="420">
        <f t="shared" si="18"/>
        <v>0</v>
      </c>
      <c r="V25" s="420">
        <f>D25-BL25</f>
        <v>882.28950000000009</v>
      </c>
      <c r="W25" s="420">
        <f>W26+W27+W28+W29+W30+W31+W32+W33+W34+W46+W47+W48+W49+W50+W51+W52+W53+W54+W55+W56+W57+W58+W59+W60+W61+W62</f>
        <v>0.68</v>
      </c>
      <c r="X25" s="420">
        <f t="shared" ref="X25:BK25" si="19">X26+X27+X28+X29+X30+X31+X32+X33+X34+X46+X47+X48+X49+X50+X51+X52+X53+X54+X55+X56+X57+X58+X59+X60+X61+X62</f>
        <v>0</v>
      </c>
      <c r="Y25" s="420">
        <f t="shared" si="19"/>
        <v>0</v>
      </c>
      <c r="Z25" s="420">
        <f t="shared" si="19"/>
        <v>0</v>
      </c>
      <c r="AA25" s="420">
        <f t="shared" si="19"/>
        <v>0</v>
      </c>
      <c r="AB25" s="420">
        <f t="shared" si="19"/>
        <v>3.21</v>
      </c>
      <c r="AC25" s="420">
        <f t="shared" si="19"/>
        <v>4.33</v>
      </c>
      <c r="AD25" s="420">
        <f t="shared" si="19"/>
        <v>0</v>
      </c>
      <c r="AE25" s="420">
        <f t="shared" si="19"/>
        <v>193.38950000000006</v>
      </c>
      <c r="AF25" s="420">
        <f t="shared" si="19"/>
        <v>0.22</v>
      </c>
      <c r="AG25" s="420">
        <f t="shared" si="19"/>
        <v>0.12</v>
      </c>
      <c r="AH25" s="420">
        <f t="shared" si="19"/>
        <v>3.33</v>
      </c>
      <c r="AI25" s="420">
        <f t="shared" si="19"/>
        <v>1.0794999999999999</v>
      </c>
      <c r="AJ25" s="420">
        <f t="shared" si="19"/>
        <v>0</v>
      </c>
      <c r="AK25" s="420">
        <f t="shared" si="19"/>
        <v>0</v>
      </c>
      <c r="AL25" s="420">
        <f t="shared" si="19"/>
        <v>160.82999999999998</v>
      </c>
      <c r="AM25" s="420">
        <f t="shared" si="19"/>
        <v>27.4</v>
      </c>
      <c r="AN25" s="420">
        <f t="shared" si="19"/>
        <v>0.03</v>
      </c>
      <c r="AO25" s="420">
        <f t="shared" si="19"/>
        <v>0.02</v>
      </c>
      <c r="AP25" s="420">
        <f t="shared" si="19"/>
        <v>0.36</v>
      </c>
      <c r="AQ25" s="420">
        <f t="shared" si="19"/>
        <v>0</v>
      </c>
      <c r="AR25" s="420">
        <f t="shared" si="19"/>
        <v>0</v>
      </c>
      <c r="AS25" s="420">
        <f t="shared" si="19"/>
        <v>35.369999999999997</v>
      </c>
      <c r="AT25" s="420">
        <f t="shared" si="19"/>
        <v>22.150000000000002</v>
      </c>
      <c r="AU25" s="420">
        <f t="shared" si="19"/>
        <v>0</v>
      </c>
      <c r="AV25" s="420">
        <f t="shared" si="19"/>
        <v>0.47</v>
      </c>
      <c r="AW25" s="420">
        <f t="shared" si="19"/>
        <v>0</v>
      </c>
      <c r="AX25" s="420">
        <f t="shared" si="19"/>
        <v>0</v>
      </c>
      <c r="AY25" s="420">
        <f t="shared" si="19"/>
        <v>0</v>
      </c>
      <c r="AZ25" s="420">
        <f t="shared" si="19"/>
        <v>16.57</v>
      </c>
      <c r="BA25" s="420">
        <f t="shared" si="19"/>
        <v>3.6</v>
      </c>
      <c r="BB25" s="420">
        <f t="shared" si="19"/>
        <v>0.37</v>
      </c>
      <c r="BC25" s="420">
        <f t="shared" si="19"/>
        <v>0.34</v>
      </c>
      <c r="BD25" s="420">
        <f t="shared" si="19"/>
        <v>0.56999999999999995</v>
      </c>
      <c r="BE25" s="420">
        <f t="shared" si="19"/>
        <v>601.24</v>
      </c>
      <c r="BF25" s="420">
        <f t="shared" si="19"/>
        <v>0</v>
      </c>
      <c r="BG25" s="420">
        <f t="shared" si="19"/>
        <v>0</v>
      </c>
      <c r="BH25" s="420">
        <f t="shared" si="19"/>
        <v>0</v>
      </c>
      <c r="BI25" s="420">
        <f t="shared" si="19"/>
        <v>0</v>
      </c>
      <c r="BJ25" s="420">
        <f t="shared" si="19"/>
        <v>0</v>
      </c>
      <c r="BK25" s="420">
        <f t="shared" si="19"/>
        <v>0</v>
      </c>
      <c r="BL25" s="420">
        <f>E25+BH25</f>
        <v>7.66</v>
      </c>
      <c r="BM25" s="420">
        <f>BM26+BM27+BM28+BM29+BM30+BM31+BM32+BM33+BM34+BM46+BM47+BM48+BM49+BM50+BM51+BM52+BM53+BM54+BM55+BM56+BM57+BM58+BM59+BM60+BM61+BM62</f>
        <v>289.68</v>
      </c>
      <c r="BN25" s="420">
        <f>BN26+BN27+BN28+BN29+BN30+BN31+BN32+BN33+BN34+BN46+BN47+BN48+BN49+BN50+BN51+BN52+BN53+BN54+BN55+BN56+BN57+BN58+BN59+BN60+BN61+BN62</f>
        <v>1179.6295</v>
      </c>
      <c r="BO25" s="164"/>
    </row>
    <row r="26" spans="1:68" ht="20.100000000000001" customHeight="1">
      <c r="A26" s="19" t="s">
        <v>47</v>
      </c>
      <c r="B26" s="144" t="s">
        <v>48</v>
      </c>
      <c r="C26" s="30" t="s">
        <v>49</v>
      </c>
      <c r="D26" s="457">
        <f>#REF!</f>
        <v>0.68</v>
      </c>
      <c r="E26" s="185">
        <f t="shared" si="4"/>
        <v>0</v>
      </c>
      <c r="F26" s="185">
        <f>G26+N26</f>
        <v>0</v>
      </c>
      <c r="G26" s="185">
        <f t="shared" si="8"/>
        <v>0</v>
      </c>
      <c r="H26" s="185">
        <f t="shared" si="11"/>
        <v>0</v>
      </c>
      <c r="I26" s="185"/>
      <c r="J26" s="185"/>
      <c r="K26" s="185"/>
      <c r="L26" s="185"/>
      <c r="M26" s="185"/>
      <c r="N26" s="185"/>
      <c r="O26" s="185"/>
      <c r="P26" s="185"/>
      <c r="Q26" s="185"/>
      <c r="R26" s="185"/>
      <c r="S26" s="185"/>
      <c r="T26" s="185"/>
      <c r="U26" s="185"/>
      <c r="V26" s="185">
        <f t="shared" si="12"/>
        <v>0.68</v>
      </c>
      <c r="W26" s="185">
        <f>D26-BL26</f>
        <v>0.68</v>
      </c>
      <c r="X26" s="185"/>
      <c r="Y26" s="185"/>
      <c r="Z26" s="185"/>
      <c r="AA26" s="185"/>
      <c r="AB26" s="185"/>
      <c r="AC26" s="185"/>
      <c r="AD26" s="185"/>
      <c r="AE26" s="185">
        <f t="shared" si="9"/>
        <v>0</v>
      </c>
      <c r="AF26" s="185"/>
      <c r="AG26" s="185"/>
      <c r="AH26" s="185"/>
      <c r="AI26" s="185"/>
      <c r="AJ26" s="185"/>
      <c r="AK26" s="185"/>
      <c r="AL26" s="185"/>
      <c r="AM26" s="185"/>
      <c r="AN26" s="185"/>
      <c r="AO26" s="185"/>
      <c r="AP26" s="185"/>
      <c r="AQ26" s="185"/>
      <c r="AR26" s="185"/>
      <c r="AS26" s="185"/>
      <c r="AT26" s="185"/>
      <c r="AU26" s="185"/>
      <c r="AV26" s="185"/>
      <c r="AW26" s="185"/>
      <c r="AX26" s="185"/>
      <c r="AY26" s="185"/>
      <c r="AZ26" s="185"/>
      <c r="BA26" s="185"/>
      <c r="BB26" s="185"/>
      <c r="BC26" s="185"/>
      <c r="BD26" s="185"/>
      <c r="BE26" s="185"/>
      <c r="BF26" s="185"/>
      <c r="BG26" s="185"/>
      <c r="BH26" s="185">
        <f>BI26+BJ26+BK26</f>
        <v>0</v>
      </c>
      <c r="BI26" s="185"/>
      <c r="BJ26" s="185"/>
      <c r="BK26" s="185"/>
      <c r="BL26" s="185">
        <f>X26+Y26+Z26+AA26+AB26+AC26+AD26+AE26+AQ26+AR26+AS26+AT26+AU26+AV26+AW26+AX26+AY26+AZ26+BA26+BB26+BC26+BD26+BE26+BF26+BG26+BH26</f>
        <v>0</v>
      </c>
      <c r="BM26" s="185">
        <f>W67-BL26</f>
        <v>0</v>
      </c>
      <c r="BN26" s="185">
        <f>D26+BM26</f>
        <v>0.68</v>
      </c>
      <c r="BO26" s="125"/>
      <c r="BP26" s="53"/>
    </row>
    <row r="27" spans="1:68" ht="20.100000000000001" customHeight="1">
      <c r="A27" s="19" t="s">
        <v>50</v>
      </c>
      <c r="B27" s="144" t="s">
        <v>51</v>
      </c>
      <c r="C27" s="30" t="s">
        <v>52</v>
      </c>
      <c r="D27" s="457"/>
      <c r="E27" s="185">
        <f t="shared" si="4"/>
        <v>0</v>
      </c>
      <c r="F27" s="185">
        <f t="shared" ref="F27:F66" si="20">G27+N27</f>
        <v>0</v>
      </c>
      <c r="G27" s="185">
        <f t="shared" si="8"/>
        <v>0</v>
      </c>
      <c r="H27" s="185">
        <f t="shared" si="11"/>
        <v>0</v>
      </c>
      <c r="I27" s="185"/>
      <c r="J27" s="185"/>
      <c r="K27" s="185"/>
      <c r="L27" s="185"/>
      <c r="M27" s="185"/>
      <c r="N27" s="185"/>
      <c r="O27" s="185"/>
      <c r="P27" s="185"/>
      <c r="Q27" s="185"/>
      <c r="R27" s="185"/>
      <c r="S27" s="185"/>
      <c r="T27" s="185"/>
      <c r="U27" s="185"/>
      <c r="V27" s="185">
        <f t="shared" si="12"/>
        <v>0</v>
      </c>
      <c r="W27" s="185"/>
      <c r="X27" s="185">
        <f>D27-BL27</f>
        <v>0</v>
      </c>
      <c r="Y27" s="185"/>
      <c r="Z27" s="185"/>
      <c r="AA27" s="185"/>
      <c r="AB27" s="185"/>
      <c r="AC27" s="185"/>
      <c r="AD27" s="185"/>
      <c r="AE27" s="185">
        <f t="shared" si="9"/>
        <v>0</v>
      </c>
      <c r="AF27" s="185"/>
      <c r="AG27" s="185"/>
      <c r="AH27" s="185"/>
      <c r="AI27" s="185"/>
      <c r="AJ27" s="185"/>
      <c r="AK27" s="185"/>
      <c r="AL27" s="185"/>
      <c r="AM27" s="185"/>
      <c r="AN27" s="185"/>
      <c r="AO27" s="185"/>
      <c r="AP27" s="185"/>
      <c r="AQ27" s="185"/>
      <c r="AR27" s="185"/>
      <c r="AS27" s="185"/>
      <c r="AT27" s="185"/>
      <c r="AU27" s="185"/>
      <c r="AV27" s="185"/>
      <c r="AW27" s="185"/>
      <c r="AX27" s="185"/>
      <c r="AY27" s="185"/>
      <c r="AZ27" s="185"/>
      <c r="BA27" s="185"/>
      <c r="BB27" s="185"/>
      <c r="BC27" s="185"/>
      <c r="BD27" s="185"/>
      <c r="BE27" s="185"/>
      <c r="BF27" s="185"/>
      <c r="BG27" s="185"/>
      <c r="BH27" s="185">
        <f t="shared" ref="BH27:BH62" si="21">BI27+BJ27+BK27</f>
        <v>0</v>
      </c>
      <c r="BI27" s="185"/>
      <c r="BJ27" s="185"/>
      <c r="BK27" s="185"/>
      <c r="BL27" s="185">
        <f>F27+W27+Y27+Z27+AA27+AB27+AC27+AD27+AE27+AQ27+AR27+AS27+AT27+AU27+AV27+AW27+AX27+AY27+AZ27+BA27+BB27+BC27+BD27+BE27+BF27+BG27+BH27</f>
        <v>0</v>
      </c>
      <c r="BM27" s="185">
        <f>X67-BL27</f>
        <v>0</v>
      </c>
      <c r="BN27" s="185">
        <f t="shared" ref="BN27:BN33" si="22">D27+BM27</f>
        <v>0</v>
      </c>
      <c r="BO27" s="125"/>
      <c r="BP27" s="53"/>
    </row>
    <row r="28" spans="1:68" ht="20.100000000000001" customHeight="1">
      <c r="A28" s="19" t="s">
        <v>53</v>
      </c>
      <c r="B28" s="144" t="s">
        <v>54</v>
      </c>
      <c r="C28" s="30" t="s">
        <v>55</v>
      </c>
      <c r="D28" s="185"/>
      <c r="E28" s="185">
        <f t="shared" si="4"/>
        <v>0</v>
      </c>
      <c r="F28" s="185">
        <f t="shared" si="20"/>
        <v>0</v>
      </c>
      <c r="G28" s="185">
        <f t="shared" si="8"/>
        <v>0</v>
      </c>
      <c r="H28" s="185">
        <f t="shared" si="11"/>
        <v>0</v>
      </c>
      <c r="I28" s="185"/>
      <c r="J28" s="185"/>
      <c r="K28" s="185"/>
      <c r="L28" s="185"/>
      <c r="M28" s="185"/>
      <c r="N28" s="185"/>
      <c r="O28" s="185"/>
      <c r="P28" s="185"/>
      <c r="Q28" s="185"/>
      <c r="R28" s="185"/>
      <c r="S28" s="185"/>
      <c r="T28" s="185"/>
      <c r="U28" s="185"/>
      <c r="V28" s="185">
        <f t="shared" si="12"/>
        <v>0</v>
      </c>
      <c r="W28" s="185"/>
      <c r="X28" s="185"/>
      <c r="Y28" s="185">
        <f>D28-BL28</f>
        <v>0</v>
      </c>
      <c r="Z28" s="185"/>
      <c r="AA28" s="185"/>
      <c r="AB28" s="185"/>
      <c r="AC28" s="185"/>
      <c r="AD28" s="185"/>
      <c r="AE28" s="185">
        <f t="shared" si="9"/>
        <v>0</v>
      </c>
      <c r="AF28" s="185"/>
      <c r="AG28" s="185"/>
      <c r="AH28" s="185"/>
      <c r="AI28" s="185"/>
      <c r="AJ28" s="185"/>
      <c r="AK28" s="185"/>
      <c r="AL28" s="185"/>
      <c r="AM28" s="185"/>
      <c r="AN28" s="185"/>
      <c r="AO28" s="185"/>
      <c r="AP28" s="185"/>
      <c r="AQ28" s="185"/>
      <c r="AR28" s="185"/>
      <c r="AS28" s="185"/>
      <c r="AT28" s="185"/>
      <c r="AU28" s="185"/>
      <c r="AV28" s="185"/>
      <c r="AW28" s="185"/>
      <c r="AX28" s="185"/>
      <c r="AY28" s="185"/>
      <c r="AZ28" s="185"/>
      <c r="BA28" s="185"/>
      <c r="BB28" s="185"/>
      <c r="BC28" s="185"/>
      <c r="BD28" s="185"/>
      <c r="BE28" s="185"/>
      <c r="BF28" s="185"/>
      <c r="BG28" s="185"/>
      <c r="BH28" s="185">
        <f t="shared" si="21"/>
        <v>0</v>
      </c>
      <c r="BI28" s="185"/>
      <c r="BJ28" s="185"/>
      <c r="BK28" s="185"/>
      <c r="BL28" s="185">
        <f>E28+W28+X28+Z28+AA28+AB28+AC28+AD28+AE28+AQ28+AR28+AS28+AT28+AU28+AV28+AW28+AX28+AY28+AZ28+BA28+BB28+BC28+BD28+BE28+BF28+BG28+BH28</f>
        <v>0</v>
      </c>
      <c r="BM28" s="185">
        <f>Y67-BL28</f>
        <v>0</v>
      </c>
      <c r="BN28" s="185">
        <f t="shared" si="22"/>
        <v>0</v>
      </c>
      <c r="BO28" s="125"/>
      <c r="BP28" s="53"/>
    </row>
    <row r="29" spans="1:68" ht="20.100000000000001" customHeight="1">
      <c r="A29" s="19" t="s">
        <v>56</v>
      </c>
      <c r="B29" s="144" t="s">
        <v>57</v>
      </c>
      <c r="C29" s="30" t="s">
        <v>58</v>
      </c>
      <c r="D29" s="185"/>
      <c r="E29" s="185">
        <f t="shared" si="4"/>
        <v>0</v>
      </c>
      <c r="F29" s="185">
        <f t="shared" si="20"/>
        <v>0</v>
      </c>
      <c r="G29" s="185">
        <f t="shared" si="8"/>
        <v>0</v>
      </c>
      <c r="H29" s="185">
        <f t="shared" si="11"/>
        <v>0</v>
      </c>
      <c r="I29" s="185"/>
      <c r="J29" s="185"/>
      <c r="K29" s="185"/>
      <c r="L29" s="185"/>
      <c r="M29" s="185"/>
      <c r="N29" s="185"/>
      <c r="O29" s="185"/>
      <c r="P29" s="185"/>
      <c r="Q29" s="185"/>
      <c r="R29" s="185"/>
      <c r="S29" s="185"/>
      <c r="T29" s="185"/>
      <c r="U29" s="185"/>
      <c r="V29" s="185">
        <f t="shared" si="12"/>
        <v>0</v>
      </c>
      <c r="W29" s="185"/>
      <c r="X29" s="185"/>
      <c r="Y29" s="185"/>
      <c r="Z29" s="185">
        <f>D29-BL29</f>
        <v>0</v>
      </c>
      <c r="AA29" s="185"/>
      <c r="AB29" s="185"/>
      <c r="AC29" s="185"/>
      <c r="AD29" s="185"/>
      <c r="AE29" s="185">
        <f t="shared" si="9"/>
        <v>0</v>
      </c>
      <c r="AF29" s="185"/>
      <c r="AG29" s="185"/>
      <c r="AH29" s="185"/>
      <c r="AI29" s="185"/>
      <c r="AJ29" s="185"/>
      <c r="AK29" s="185"/>
      <c r="AL29" s="185"/>
      <c r="AM29" s="185"/>
      <c r="AN29" s="185"/>
      <c r="AO29" s="185"/>
      <c r="AP29" s="185"/>
      <c r="AQ29" s="185"/>
      <c r="AR29" s="185"/>
      <c r="AS29" s="185"/>
      <c r="AT29" s="185"/>
      <c r="AU29" s="185"/>
      <c r="AV29" s="185"/>
      <c r="AW29" s="185"/>
      <c r="AX29" s="185"/>
      <c r="AY29" s="185"/>
      <c r="AZ29" s="185"/>
      <c r="BA29" s="185"/>
      <c r="BB29" s="185"/>
      <c r="BC29" s="185"/>
      <c r="BD29" s="185"/>
      <c r="BE29" s="185"/>
      <c r="BF29" s="185"/>
      <c r="BG29" s="185"/>
      <c r="BH29" s="185">
        <f t="shared" si="21"/>
        <v>0</v>
      </c>
      <c r="BI29" s="185"/>
      <c r="BJ29" s="185"/>
      <c r="BK29" s="185"/>
      <c r="BL29" s="185">
        <f>E29+W29+X29+Y29+AA29+AB29+AC29+AD29+AE29+AQ29+AR29+AS29+AT29+AU29+AV29+AW29+AX29+AY29+AZ29+BA29+BB29+BC29+BD29+BE29+BF29+BG29+BH29</f>
        <v>0</v>
      </c>
      <c r="BM29" s="185">
        <f>Z67-BL29</f>
        <v>0</v>
      </c>
      <c r="BN29" s="185">
        <f t="shared" si="22"/>
        <v>0</v>
      </c>
      <c r="BO29" s="125"/>
      <c r="BP29" s="53"/>
    </row>
    <row r="30" spans="1:68" ht="20.100000000000001" customHeight="1">
      <c r="A30" s="19" t="s">
        <v>59</v>
      </c>
      <c r="B30" s="144" t="s">
        <v>60</v>
      </c>
      <c r="C30" s="30" t="s">
        <v>61</v>
      </c>
      <c r="D30" s="185"/>
      <c r="E30" s="185">
        <f t="shared" si="4"/>
        <v>0</v>
      </c>
      <c r="F30" s="185">
        <f t="shared" si="20"/>
        <v>0</v>
      </c>
      <c r="G30" s="185">
        <f t="shared" si="8"/>
        <v>0</v>
      </c>
      <c r="H30" s="185">
        <f t="shared" si="11"/>
        <v>0</v>
      </c>
      <c r="I30" s="185"/>
      <c r="J30" s="185"/>
      <c r="K30" s="185"/>
      <c r="L30" s="185"/>
      <c r="M30" s="185"/>
      <c r="N30" s="185"/>
      <c r="O30" s="185"/>
      <c r="P30" s="185"/>
      <c r="Q30" s="185"/>
      <c r="R30" s="185"/>
      <c r="S30" s="185"/>
      <c r="T30" s="185"/>
      <c r="U30" s="185"/>
      <c r="V30" s="185">
        <f t="shared" si="12"/>
        <v>0</v>
      </c>
      <c r="W30" s="185"/>
      <c r="X30" s="185"/>
      <c r="Y30" s="185"/>
      <c r="Z30" s="185"/>
      <c r="AA30" s="185">
        <f>D30-BL30</f>
        <v>0</v>
      </c>
      <c r="AB30" s="185"/>
      <c r="AC30" s="185"/>
      <c r="AD30" s="185"/>
      <c r="AE30" s="185">
        <f t="shared" si="9"/>
        <v>0</v>
      </c>
      <c r="AF30" s="185"/>
      <c r="AG30" s="185"/>
      <c r="AH30" s="185"/>
      <c r="AI30" s="185"/>
      <c r="AJ30" s="185"/>
      <c r="AK30" s="185"/>
      <c r="AL30" s="185"/>
      <c r="AM30" s="185"/>
      <c r="AN30" s="185"/>
      <c r="AO30" s="185"/>
      <c r="AP30" s="185"/>
      <c r="AQ30" s="185"/>
      <c r="AR30" s="185"/>
      <c r="AS30" s="185"/>
      <c r="AT30" s="185"/>
      <c r="AU30" s="185"/>
      <c r="AV30" s="185"/>
      <c r="AW30" s="185"/>
      <c r="AX30" s="185"/>
      <c r="AY30" s="185"/>
      <c r="AZ30" s="185"/>
      <c r="BA30" s="185"/>
      <c r="BB30" s="185"/>
      <c r="BC30" s="185"/>
      <c r="BD30" s="185"/>
      <c r="BE30" s="185"/>
      <c r="BF30" s="185"/>
      <c r="BG30" s="185"/>
      <c r="BH30" s="185">
        <f t="shared" si="21"/>
        <v>0</v>
      </c>
      <c r="BI30" s="185"/>
      <c r="BJ30" s="185"/>
      <c r="BK30" s="185"/>
      <c r="BL30" s="185">
        <f>E30+W30+X30+Y30+Z30+AB30+AC30+AD30+AE30+AQ30+AR30+AS30+AT30+AU30+AV30+AW30+AX30+AY30+AZ30+BA30+BB30+BC30+BD30+BE30+BF30+BG30+BH30</f>
        <v>0</v>
      </c>
      <c r="BM30" s="185">
        <f>AA67-BL30</f>
        <v>0</v>
      </c>
      <c r="BN30" s="185">
        <f t="shared" si="22"/>
        <v>0</v>
      </c>
      <c r="BO30" s="125"/>
      <c r="BP30" s="53"/>
    </row>
    <row r="31" spans="1:68" ht="20.100000000000001" customHeight="1">
      <c r="A31" s="19" t="s">
        <v>62</v>
      </c>
      <c r="B31" s="144" t="s">
        <v>63</v>
      </c>
      <c r="C31" s="30" t="s">
        <v>64</v>
      </c>
      <c r="D31" s="457">
        <f>#REF!</f>
        <v>3.21</v>
      </c>
      <c r="E31" s="185">
        <f t="shared" si="4"/>
        <v>0</v>
      </c>
      <c r="F31" s="185">
        <f t="shared" si="20"/>
        <v>0</v>
      </c>
      <c r="G31" s="185">
        <f t="shared" si="8"/>
        <v>0</v>
      </c>
      <c r="H31" s="185">
        <f t="shared" si="11"/>
        <v>0</v>
      </c>
      <c r="I31" s="185"/>
      <c r="J31" s="185"/>
      <c r="K31" s="185"/>
      <c r="L31" s="185"/>
      <c r="M31" s="185"/>
      <c r="N31" s="185"/>
      <c r="O31" s="185"/>
      <c r="P31" s="185"/>
      <c r="Q31" s="185"/>
      <c r="R31" s="185"/>
      <c r="S31" s="185"/>
      <c r="T31" s="185"/>
      <c r="U31" s="185"/>
      <c r="V31" s="185">
        <f>W31+X31+Y31+Z31+AA31+AB31+AC31+AD31+AE31+AQ31+AR31+AS31+AT31+AU31+AV31+AW31+AX31+AY31+AZ31+BA31+BB31+BC31+BD31+BE31+BF31+BG31</f>
        <v>3.21</v>
      </c>
      <c r="W31" s="185"/>
      <c r="X31" s="185"/>
      <c r="Y31" s="185"/>
      <c r="Z31" s="185"/>
      <c r="AA31" s="185"/>
      <c r="AB31" s="185">
        <f>D31-BL31</f>
        <v>3.21</v>
      </c>
      <c r="AC31" s="185"/>
      <c r="AD31" s="185"/>
      <c r="AE31" s="185">
        <f t="shared" si="9"/>
        <v>0</v>
      </c>
      <c r="AF31" s="185"/>
      <c r="AG31" s="185"/>
      <c r="AH31" s="185"/>
      <c r="AI31" s="185"/>
      <c r="AJ31" s="185"/>
      <c r="AK31" s="185"/>
      <c r="AL31" s="185"/>
      <c r="AM31" s="185"/>
      <c r="AN31" s="185"/>
      <c r="AO31" s="185"/>
      <c r="AP31" s="185"/>
      <c r="AQ31" s="185"/>
      <c r="AR31" s="185"/>
      <c r="AS31" s="185"/>
      <c r="AT31" s="185"/>
      <c r="AU31" s="185"/>
      <c r="AV31" s="185"/>
      <c r="AW31" s="185"/>
      <c r="AX31" s="185"/>
      <c r="AY31" s="185"/>
      <c r="AZ31" s="185"/>
      <c r="BA31" s="185"/>
      <c r="BB31" s="185"/>
      <c r="BC31" s="185"/>
      <c r="BD31" s="185"/>
      <c r="BE31" s="185"/>
      <c r="BF31" s="185"/>
      <c r="BG31" s="185"/>
      <c r="BH31" s="185">
        <f>BI31+BJ31+BK31</f>
        <v>0</v>
      </c>
      <c r="BI31" s="185"/>
      <c r="BJ31" s="185"/>
      <c r="BK31" s="185"/>
      <c r="BL31" s="185">
        <f>E31+W31+X31+Y31+Z31+AA31+AC31+AD31+AE31+AQ31+AR31+AS31+AT31+AU31+AV31+AW31+AX31+AY31+AZ31+BA31+BB31+BC31+BD31+BE31+BF31+BG31+BH31</f>
        <v>0</v>
      </c>
      <c r="BM31" s="185">
        <f>AB67-BL31</f>
        <v>0</v>
      </c>
      <c r="BN31" s="185">
        <f t="shared" si="22"/>
        <v>3.21</v>
      </c>
      <c r="BO31" s="125"/>
      <c r="BP31" s="53"/>
    </row>
    <row r="32" spans="1:68" ht="20.100000000000001" customHeight="1">
      <c r="A32" s="19" t="s">
        <v>65</v>
      </c>
      <c r="B32" s="144" t="s">
        <v>66</v>
      </c>
      <c r="C32" s="30" t="s">
        <v>67</v>
      </c>
      <c r="D32" s="457"/>
      <c r="E32" s="185">
        <f t="shared" si="4"/>
        <v>0</v>
      </c>
      <c r="F32" s="185">
        <f t="shared" si="20"/>
        <v>0</v>
      </c>
      <c r="G32" s="185">
        <f t="shared" si="8"/>
        <v>0</v>
      </c>
      <c r="H32" s="185">
        <f t="shared" si="11"/>
        <v>0</v>
      </c>
      <c r="I32" s="185"/>
      <c r="J32" s="185"/>
      <c r="K32" s="185"/>
      <c r="L32" s="185"/>
      <c r="M32" s="185"/>
      <c r="N32" s="185"/>
      <c r="O32" s="185"/>
      <c r="P32" s="185"/>
      <c r="Q32" s="185"/>
      <c r="R32" s="185"/>
      <c r="S32" s="185"/>
      <c r="T32" s="185"/>
      <c r="U32" s="185"/>
      <c r="V32" s="185">
        <f t="shared" si="12"/>
        <v>0</v>
      </c>
      <c r="W32" s="185"/>
      <c r="X32" s="185"/>
      <c r="Y32" s="185"/>
      <c r="Z32" s="185"/>
      <c r="AA32" s="185"/>
      <c r="AB32" s="185"/>
      <c r="AC32" s="185">
        <f>D32-BL32</f>
        <v>0</v>
      </c>
      <c r="AD32" s="185"/>
      <c r="AE32" s="185">
        <f t="shared" si="9"/>
        <v>0</v>
      </c>
      <c r="AF32" s="185"/>
      <c r="AG32" s="185"/>
      <c r="AH32" s="185"/>
      <c r="AI32" s="185"/>
      <c r="AJ32" s="185"/>
      <c r="AK32" s="185"/>
      <c r="AL32" s="185"/>
      <c r="AM32" s="185"/>
      <c r="AN32" s="185"/>
      <c r="AO32" s="185"/>
      <c r="AP32" s="185"/>
      <c r="AQ32" s="185"/>
      <c r="AR32" s="185"/>
      <c r="AS32" s="185"/>
      <c r="AT32" s="185"/>
      <c r="AU32" s="185"/>
      <c r="AV32" s="185"/>
      <c r="AW32" s="185"/>
      <c r="AX32" s="185"/>
      <c r="AY32" s="185"/>
      <c r="AZ32" s="185"/>
      <c r="BA32" s="185"/>
      <c r="BB32" s="185"/>
      <c r="BC32" s="185"/>
      <c r="BD32" s="185"/>
      <c r="BE32" s="185"/>
      <c r="BF32" s="185"/>
      <c r="BG32" s="185"/>
      <c r="BH32" s="185">
        <f t="shared" si="21"/>
        <v>0</v>
      </c>
      <c r="BI32" s="185"/>
      <c r="BJ32" s="185"/>
      <c r="BK32" s="185"/>
      <c r="BL32" s="185">
        <f>E32+W32+X32+Y32+Z32+AA32+AB32+AD32+AE32+AQ32+AR32+AS32+AT32+AU32+AV32+AW32+AX32+AY32+AZ32+BA32+BB32+BC32+BD32+BE32+BF32+BG32+BH32</f>
        <v>0</v>
      </c>
      <c r="BM32" s="185">
        <f>AC67-BL32</f>
        <v>6.8199999999999994</v>
      </c>
      <c r="BN32" s="185">
        <f t="shared" si="22"/>
        <v>6.8199999999999994</v>
      </c>
      <c r="BO32" s="125"/>
      <c r="BP32" s="53"/>
    </row>
    <row r="33" spans="1:68" ht="20.100000000000001" customHeight="1">
      <c r="A33" s="19" t="s">
        <v>68</v>
      </c>
      <c r="B33" s="144" t="s">
        <v>69</v>
      </c>
      <c r="C33" s="30" t="s">
        <v>70</v>
      </c>
      <c r="D33" s="185"/>
      <c r="E33" s="185">
        <f t="shared" si="4"/>
        <v>0</v>
      </c>
      <c r="F33" s="185">
        <f t="shared" si="20"/>
        <v>0</v>
      </c>
      <c r="G33" s="185">
        <f t="shared" si="8"/>
        <v>0</v>
      </c>
      <c r="H33" s="185">
        <f t="shared" si="11"/>
        <v>0</v>
      </c>
      <c r="I33" s="185"/>
      <c r="J33" s="185"/>
      <c r="K33" s="185"/>
      <c r="L33" s="185"/>
      <c r="M33" s="185"/>
      <c r="N33" s="185"/>
      <c r="O33" s="185"/>
      <c r="P33" s="185"/>
      <c r="Q33" s="185"/>
      <c r="R33" s="185"/>
      <c r="S33" s="185"/>
      <c r="T33" s="185"/>
      <c r="U33" s="185"/>
      <c r="V33" s="185">
        <f t="shared" si="12"/>
        <v>0</v>
      </c>
      <c r="W33" s="185"/>
      <c r="X33" s="185"/>
      <c r="Y33" s="185"/>
      <c r="Z33" s="185"/>
      <c r="AA33" s="185"/>
      <c r="AB33" s="185"/>
      <c r="AC33" s="185"/>
      <c r="AD33" s="185">
        <f>D33-BL33</f>
        <v>0</v>
      </c>
      <c r="AE33" s="185">
        <f t="shared" si="9"/>
        <v>0</v>
      </c>
      <c r="AF33" s="185"/>
      <c r="AG33" s="185"/>
      <c r="AH33" s="185"/>
      <c r="AI33" s="185"/>
      <c r="AJ33" s="185"/>
      <c r="AK33" s="185"/>
      <c r="AL33" s="185"/>
      <c r="AM33" s="185"/>
      <c r="AN33" s="185"/>
      <c r="AO33" s="185"/>
      <c r="AP33" s="185"/>
      <c r="AQ33" s="185"/>
      <c r="AR33" s="185"/>
      <c r="AS33" s="185"/>
      <c r="AT33" s="185"/>
      <c r="AU33" s="185"/>
      <c r="AV33" s="185"/>
      <c r="AW33" s="185"/>
      <c r="AX33" s="185"/>
      <c r="AY33" s="185"/>
      <c r="AZ33" s="185"/>
      <c r="BA33" s="185"/>
      <c r="BB33" s="185"/>
      <c r="BC33" s="185"/>
      <c r="BD33" s="185"/>
      <c r="BE33" s="185"/>
      <c r="BF33" s="185"/>
      <c r="BG33" s="185"/>
      <c r="BH33" s="185">
        <f t="shared" si="21"/>
        <v>0</v>
      </c>
      <c r="BI33" s="185"/>
      <c r="BJ33" s="185"/>
      <c r="BK33" s="185"/>
      <c r="BL33" s="185">
        <f>E33+W33+X33+Y33+Z33+AA33+AB33+AC33+AE33+AQ33+AR33+AS33+AT33+AU33+AV33+AW33+AX33+AY33+AZ33+BA33+BB33+BC33+BD33+BE33+BF33+BG33+BH33</f>
        <v>0</v>
      </c>
      <c r="BM33" s="185">
        <f>AD67-BL33</f>
        <v>0</v>
      </c>
      <c r="BN33" s="185">
        <f t="shared" si="22"/>
        <v>0</v>
      </c>
      <c r="BO33" s="125"/>
      <c r="BP33" s="53"/>
    </row>
    <row r="34" spans="1:68" ht="40.5" customHeight="1">
      <c r="A34" s="19" t="s">
        <v>71</v>
      </c>
      <c r="B34" s="144" t="s">
        <v>135</v>
      </c>
      <c r="C34" s="30" t="s">
        <v>72</v>
      </c>
      <c r="D34" s="185">
        <f>SUM(D35:D45)</f>
        <v>194.39950000000005</v>
      </c>
      <c r="E34" s="185">
        <f>SUM(E35:E45)</f>
        <v>0</v>
      </c>
      <c r="F34" s="185">
        <f t="shared" ref="F34:U34" si="23">SUM(F35:F45)</f>
        <v>0</v>
      </c>
      <c r="G34" s="185">
        <f t="shared" si="23"/>
        <v>0</v>
      </c>
      <c r="H34" s="185">
        <f t="shared" si="23"/>
        <v>0</v>
      </c>
      <c r="I34" s="185">
        <f t="shared" si="23"/>
        <v>0</v>
      </c>
      <c r="J34" s="185">
        <f t="shared" si="23"/>
        <v>0</v>
      </c>
      <c r="K34" s="185">
        <f t="shared" si="23"/>
        <v>0</v>
      </c>
      <c r="L34" s="185">
        <f t="shared" si="23"/>
        <v>0</v>
      </c>
      <c r="M34" s="185">
        <f t="shared" si="23"/>
        <v>0</v>
      </c>
      <c r="N34" s="185">
        <f t="shared" si="23"/>
        <v>0</v>
      </c>
      <c r="O34" s="185">
        <f t="shared" si="23"/>
        <v>0</v>
      </c>
      <c r="P34" s="185">
        <f t="shared" si="23"/>
        <v>0</v>
      </c>
      <c r="Q34" s="185">
        <f t="shared" si="23"/>
        <v>0</v>
      </c>
      <c r="R34" s="185">
        <f t="shared" si="23"/>
        <v>0</v>
      </c>
      <c r="S34" s="185">
        <f t="shared" si="23"/>
        <v>0</v>
      </c>
      <c r="T34" s="185">
        <f t="shared" si="23"/>
        <v>0</v>
      </c>
      <c r="U34" s="185">
        <f t="shared" si="23"/>
        <v>0</v>
      </c>
      <c r="V34" s="185">
        <f>SUM(V35:V45)</f>
        <v>194.39950000000005</v>
      </c>
      <c r="W34" s="185">
        <f t="shared" ref="W34:AD34" si="24">SUM(W35:W45)</f>
        <v>0</v>
      </c>
      <c r="X34" s="185">
        <f t="shared" si="24"/>
        <v>0</v>
      </c>
      <c r="Y34" s="185">
        <f t="shared" si="24"/>
        <v>0</v>
      </c>
      <c r="Z34" s="185">
        <f t="shared" si="24"/>
        <v>0</v>
      </c>
      <c r="AA34" s="185">
        <f t="shared" si="24"/>
        <v>0</v>
      </c>
      <c r="AB34" s="185">
        <f t="shared" si="24"/>
        <v>0</v>
      </c>
      <c r="AC34" s="185">
        <f t="shared" si="24"/>
        <v>0.16999999999999998</v>
      </c>
      <c r="AD34" s="185">
        <f t="shared" si="24"/>
        <v>0</v>
      </c>
      <c r="AE34" s="185">
        <f>D34-BL34</f>
        <v>192.10950000000005</v>
      </c>
      <c r="AF34" s="185">
        <f>SUM(AF35:AF45)</f>
        <v>0.22</v>
      </c>
      <c r="AG34" s="185">
        <f t="shared" ref="AG34:BE34" si="25">SUM(AG35:AG45)</f>
        <v>0.12</v>
      </c>
      <c r="AH34" s="185">
        <f t="shared" si="25"/>
        <v>3.33</v>
      </c>
      <c r="AI34" s="185">
        <f t="shared" si="25"/>
        <v>1.0794999999999999</v>
      </c>
      <c r="AJ34" s="185">
        <f t="shared" si="25"/>
        <v>0</v>
      </c>
      <c r="AK34" s="185">
        <f t="shared" si="25"/>
        <v>0</v>
      </c>
      <c r="AL34" s="185">
        <f t="shared" si="25"/>
        <v>159.54999999999998</v>
      </c>
      <c r="AM34" s="185">
        <f t="shared" si="25"/>
        <v>27.4</v>
      </c>
      <c r="AN34" s="185">
        <f t="shared" si="25"/>
        <v>0.03</v>
      </c>
      <c r="AO34" s="185">
        <f t="shared" si="25"/>
        <v>0.02</v>
      </c>
      <c r="AP34" s="185">
        <f t="shared" si="25"/>
        <v>0.36</v>
      </c>
      <c r="AQ34" s="185">
        <f t="shared" si="25"/>
        <v>0</v>
      </c>
      <c r="AR34" s="185">
        <f t="shared" si="25"/>
        <v>0</v>
      </c>
      <c r="AS34" s="185">
        <f t="shared" si="25"/>
        <v>0</v>
      </c>
      <c r="AT34" s="185">
        <f t="shared" si="25"/>
        <v>0</v>
      </c>
      <c r="AU34" s="185">
        <f t="shared" si="25"/>
        <v>0</v>
      </c>
      <c r="AV34" s="185">
        <f t="shared" si="25"/>
        <v>0</v>
      </c>
      <c r="AW34" s="185">
        <f t="shared" si="25"/>
        <v>0</v>
      </c>
      <c r="AX34" s="185">
        <f t="shared" si="25"/>
        <v>0</v>
      </c>
      <c r="AY34" s="185">
        <f t="shared" si="25"/>
        <v>0</v>
      </c>
      <c r="AZ34" s="185">
        <f t="shared" si="25"/>
        <v>0</v>
      </c>
      <c r="BA34" s="185">
        <f t="shared" si="25"/>
        <v>2.12</v>
      </c>
      <c r="BB34" s="185">
        <f t="shared" si="25"/>
        <v>0</v>
      </c>
      <c r="BC34" s="185">
        <f t="shared" si="25"/>
        <v>0</v>
      </c>
      <c r="BD34" s="185">
        <f t="shared" si="25"/>
        <v>0</v>
      </c>
      <c r="BE34" s="185">
        <f t="shared" si="25"/>
        <v>0</v>
      </c>
      <c r="BF34" s="185">
        <f>SUM(BF35:BF45)</f>
        <v>0</v>
      </c>
      <c r="BG34" s="185">
        <f>SUM(BG35:BG45)</f>
        <v>0</v>
      </c>
      <c r="BH34" s="185">
        <f>BI34+BJ34+BK34</f>
        <v>0</v>
      </c>
      <c r="BI34" s="185">
        <f>SUM(BI35:BI45)</f>
        <v>0</v>
      </c>
      <c r="BJ34" s="185">
        <f>SUM(BJ35:BJ45)</f>
        <v>0</v>
      </c>
      <c r="BK34" s="185">
        <f>SUM(BK35:BK45)</f>
        <v>0</v>
      </c>
      <c r="BL34" s="185">
        <f>E34+W34+X34+Y34+Z34+AA34+AB34+AC34+AQ34+AR34+AS34+AT34+AU34+AV34+AW34+AX34+AY34+AZ34+BA34+BB34+BC34+BD34+BE34+BF34+BG34+BH34+AD34</f>
        <v>2.29</v>
      </c>
      <c r="BM34" s="185">
        <f>AE67-BL34</f>
        <v>24.520000000000007</v>
      </c>
      <c r="BN34" s="185">
        <f>SUM(BN35:BN45)</f>
        <v>218.91950000000006</v>
      </c>
      <c r="BO34" s="615">
        <f>D34+BM34</f>
        <v>218.91950000000006</v>
      </c>
      <c r="BP34" s="53"/>
    </row>
    <row r="35" spans="1:68" ht="20.100000000000001" customHeight="1">
      <c r="A35" s="14" t="s">
        <v>224</v>
      </c>
      <c r="B35" s="143" t="s">
        <v>478</v>
      </c>
      <c r="C35" s="30" t="s">
        <v>202</v>
      </c>
      <c r="D35" s="185">
        <f>#REF!</f>
        <v>0.22</v>
      </c>
      <c r="E35" s="185">
        <f t="shared" si="4"/>
        <v>0</v>
      </c>
      <c r="F35" s="185">
        <f t="shared" si="20"/>
        <v>0</v>
      </c>
      <c r="G35" s="185">
        <f t="shared" si="8"/>
        <v>0</v>
      </c>
      <c r="H35" s="185">
        <f t="shared" si="11"/>
        <v>0</v>
      </c>
      <c r="I35" s="185"/>
      <c r="J35" s="185"/>
      <c r="K35" s="185"/>
      <c r="L35" s="185"/>
      <c r="M35" s="185"/>
      <c r="N35" s="185"/>
      <c r="O35" s="185"/>
      <c r="P35" s="185"/>
      <c r="Q35" s="185"/>
      <c r="R35" s="185"/>
      <c r="S35" s="185"/>
      <c r="T35" s="185"/>
      <c r="U35" s="185"/>
      <c r="V35" s="185">
        <f t="shared" si="12"/>
        <v>0.22</v>
      </c>
      <c r="W35" s="185"/>
      <c r="X35" s="185"/>
      <c r="Y35" s="185"/>
      <c r="Z35" s="185"/>
      <c r="AA35" s="185"/>
      <c r="AB35" s="185"/>
      <c r="AC35" s="185"/>
      <c r="AD35" s="185"/>
      <c r="AE35" s="185">
        <f>SUM(AF35:AP35)</f>
        <v>0.22</v>
      </c>
      <c r="AF35" s="185">
        <f>D35-BL35</f>
        <v>0.22</v>
      </c>
      <c r="AG35" s="185"/>
      <c r="AH35" s="185"/>
      <c r="AI35" s="185"/>
      <c r="AJ35" s="185"/>
      <c r="AK35" s="185"/>
      <c r="AL35" s="185"/>
      <c r="AM35" s="185"/>
      <c r="AN35" s="185"/>
      <c r="AO35" s="185"/>
      <c r="AP35" s="185"/>
      <c r="AQ35" s="185"/>
      <c r="AR35" s="185"/>
      <c r="AS35" s="185"/>
      <c r="AT35" s="185"/>
      <c r="AU35" s="185"/>
      <c r="AV35" s="185"/>
      <c r="AW35" s="185"/>
      <c r="AX35" s="185"/>
      <c r="AY35" s="185"/>
      <c r="AZ35" s="185"/>
      <c r="BA35" s="185"/>
      <c r="BB35" s="185"/>
      <c r="BC35" s="185"/>
      <c r="BD35" s="185"/>
      <c r="BE35" s="185"/>
      <c r="BF35" s="185"/>
      <c r="BG35" s="185"/>
      <c r="BH35" s="185">
        <f t="shared" si="21"/>
        <v>0</v>
      </c>
      <c r="BI35" s="185"/>
      <c r="BJ35" s="185"/>
      <c r="BK35" s="185"/>
      <c r="BL35" s="185">
        <f>E35+W35+X35+Y35+Z35+AA35+AB35+AC35+AD35+AG35+AH35+AI35+AJ35+AK35+AL35+AM35+AN35+AO35+AP35+AQ35+AR35+AS35+AT35+AU35+AV35+AW35+AX35+AY35+AZ35+BA35+BB35+BC35+BD35</f>
        <v>0</v>
      </c>
      <c r="BM35" s="185">
        <f>AF67-BL35</f>
        <v>0</v>
      </c>
      <c r="BN35" s="185">
        <f>D35+BM35</f>
        <v>0.22</v>
      </c>
      <c r="BO35" s="125"/>
      <c r="BP35" s="53"/>
    </row>
    <row r="36" spans="1:68" ht="20.100000000000001" customHeight="1">
      <c r="A36" s="14" t="s">
        <v>225</v>
      </c>
      <c r="B36" s="143" t="s">
        <v>479</v>
      </c>
      <c r="C36" s="30" t="s">
        <v>203</v>
      </c>
      <c r="D36" s="457">
        <f>#REF!</f>
        <v>0.12</v>
      </c>
      <c r="E36" s="185">
        <f t="shared" si="4"/>
        <v>0</v>
      </c>
      <c r="F36" s="185">
        <f t="shared" si="20"/>
        <v>0</v>
      </c>
      <c r="G36" s="185">
        <f t="shared" si="8"/>
        <v>0</v>
      </c>
      <c r="H36" s="185">
        <f t="shared" si="11"/>
        <v>0</v>
      </c>
      <c r="I36" s="185"/>
      <c r="J36" s="185"/>
      <c r="K36" s="185"/>
      <c r="L36" s="185"/>
      <c r="M36" s="185"/>
      <c r="N36" s="185"/>
      <c r="O36" s="185"/>
      <c r="P36" s="185"/>
      <c r="Q36" s="185"/>
      <c r="R36" s="185"/>
      <c r="S36" s="185"/>
      <c r="T36" s="185"/>
      <c r="U36" s="185"/>
      <c r="V36" s="185">
        <f t="shared" si="12"/>
        <v>0.12</v>
      </c>
      <c r="W36" s="185"/>
      <c r="X36" s="185"/>
      <c r="Y36" s="185"/>
      <c r="Z36" s="185"/>
      <c r="AA36" s="185"/>
      <c r="AB36" s="185"/>
      <c r="AC36" s="185"/>
      <c r="AD36" s="185"/>
      <c r="AE36" s="185">
        <f t="shared" ref="AE36:AE66" si="26">SUM(AF36:AP36)</f>
        <v>0.12</v>
      </c>
      <c r="AF36" s="185"/>
      <c r="AG36" s="185">
        <f>D36-BL36</f>
        <v>0.12</v>
      </c>
      <c r="AH36" s="185"/>
      <c r="AI36" s="185"/>
      <c r="AJ36" s="185"/>
      <c r="AK36" s="185"/>
      <c r="AL36" s="185"/>
      <c r="AM36" s="185"/>
      <c r="AN36" s="185"/>
      <c r="AO36" s="185"/>
      <c r="AP36" s="185"/>
      <c r="AQ36" s="185"/>
      <c r="AR36" s="185"/>
      <c r="AS36" s="185"/>
      <c r="AT36" s="185"/>
      <c r="AU36" s="185"/>
      <c r="AV36" s="185"/>
      <c r="AW36" s="185"/>
      <c r="AX36" s="185"/>
      <c r="AY36" s="185"/>
      <c r="AZ36" s="185"/>
      <c r="BA36" s="185"/>
      <c r="BB36" s="185"/>
      <c r="BC36" s="185"/>
      <c r="BD36" s="185"/>
      <c r="BE36" s="185"/>
      <c r="BF36" s="185"/>
      <c r="BG36" s="185"/>
      <c r="BH36" s="185">
        <f t="shared" si="21"/>
        <v>0</v>
      </c>
      <c r="BI36" s="185"/>
      <c r="BJ36" s="185"/>
      <c r="BK36" s="185"/>
      <c r="BL36" s="185">
        <f>E36+W36+X36+Y36+Z36+AA36+AB36+AC36+AD36+AF36+AH36+AI36+AJ36+AK36+AL36+AM36+AN36+AO36+AP36+AQ36+AR36+AS36+AT36+AU36+AV36+AW36+AX36+AY36+AZ36+BA36+BB36+BC36+BD36+BE36+BF36+BG36+BH36</f>
        <v>0</v>
      </c>
      <c r="BM36" s="185">
        <f>AG67-BL36</f>
        <v>0</v>
      </c>
      <c r="BN36" s="185">
        <f t="shared" ref="BN36:BN45" si="27">D36+BM36</f>
        <v>0.12</v>
      </c>
      <c r="BO36" s="125"/>
      <c r="BP36" s="53"/>
    </row>
    <row r="37" spans="1:68" ht="20.100000000000001" customHeight="1">
      <c r="A37" s="14" t="s">
        <v>226</v>
      </c>
      <c r="B37" s="143" t="s">
        <v>480</v>
      </c>
      <c r="C37" s="30" t="s">
        <v>204</v>
      </c>
      <c r="D37" s="457">
        <f>#REF!</f>
        <v>3.33</v>
      </c>
      <c r="E37" s="185">
        <f t="shared" si="4"/>
        <v>0</v>
      </c>
      <c r="F37" s="185">
        <f t="shared" si="20"/>
        <v>0</v>
      </c>
      <c r="G37" s="185">
        <f t="shared" si="8"/>
        <v>0</v>
      </c>
      <c r="H37" s="185">
        <f t="shared" si="11"/>
        <v>0</v>
      </c>
      <c r="I37" s="185"/>
      <c r="J37" s="185"/>
      <c r="K37" s="185"/>
      <c r="L37" s="185"/>
      <c r="M37" s="185"/>
      <c r="N37" s="185"/>
      <c r="O37" s="185"/>
      <c r="P37" s="185"/>
      <c r="Q37" s="185"/>
      <c r="R37" s="185"/>
      <c r="S37" s="185"/>
      <c r="T37" s="185"/>
      <c r="U37" s="185"/>
      <c r="V37" s="185">
        <f t="shared" si="12"/>
        <v>3.33</v>
      </c>
      <c r="W37" s="185"/>
      <c r="X37" s="185"/>
      <c r="Y37" s="185"/>
      <c r="Z37" s="185"/>
      <c r="AA37" s="185"/>
      <c r="AB37" s="185"/>
      <c r="AC37" s="185"/>
      <c r="AD37" s="185"/>
      <c r="AE37" s="185">
        <f t="shared" si="26"/>
        <v>3.33</v>
      </c>
      <c r="AF37" s="185"/>
      <c r="AG37" s="185"/>
      <c r="AH37" s="185">
        <f>D37-BL37</f>
        <v>3.33</v>
      </c>
      <c r="AI37" s="185"/>
      <c r="AJ37" s="185"/>
      <c r="AK37" s="185"/>
      <c r="AL37" s="185"/>
      <c r="AM37" s="185"/>
      <c r="AN37" s="185"/>
      <c r="AO37" s="185"/>
      <c r="AP37" s="185"/>
      <c r="AQ37" s="185"/>
      <c r="AR37" s="185"/>
      <c r="AS37" s="185"/>
      <c r="AT37" s="185"/>
      <c r="AU37" s="185"/>
      <c r="AV37" s="185"/>
      <c r="AW37" s="185"/>
      <c r="AX37" s="185"/>
      <c r="AY37" s="185"/>
      <c r="AZ37" s="185"/>
      <c r="BA37" s="185"/>
      <c r="BB37" s="185"/>
      <c r="BC37" s="185"/>
      <c r="BD37" s="185"/>
      <c r="BE37" s="185"/>
      <c r="BF37" s="185"/>
      <c r="BG37" s="185"/>
      <c r="BH37" s="185">
        <f t="shared" si="21"/>
        <v>0</v>
      </c>
      <c r="BI37" s="185"/>
      <c r="BJ37" s="185"/>
      <c r="BK37" s="185"/>
      <c r="BL37" s="185">
        <f>E37+W37+X37+Y37+Z37+AA37+AB37+AC37+AD37+AF37+AG37+AI37+AJ37+AK37+AL37+AM37+AN37+AO37+AP37+AQ37+AR37+AS37+AT37+AU37+AV37+AW37+AX37+AY37+AZ37+BA37+BB37+BC37+BD37+BE37+BF37+BG37+BH37</f>
        <v>0</v>
      </c>
      <c r="BM37" s="185">
        <f>AH67-BL37</f>
        <v>0</v>
      </c>
      <c r="BN37" s="185">
        <f t="shared" si="27"/>
        <v>3.33</v>
      </c>
      <c r="BO37" s="125"/>
      <c r="BP37" s="53"/>
    </row>
    <row r="38" spans="1:68" ht="20.100000000000001" customHeight="1">
      <c r="A38" s="14" t="s">
        <v>227</v>
      </c>
      <c r="B38" s="143" t="s">
        <v>481</v>
      </c>
      <c r="C38" s="30" t="s">
        <v>205</v>
      </c>
      <c r="D38" s="457">
        <f>#REF!</f>
        <v>1.0794999999999999</v>
      </c>
      <c r="E38" s="185">
        <f t="shared" si="4"/>
        <v>0</v>
      </c>
      <c r="F38" s="185">
        <f t="shared" si="20"/>
        <v>0</v>
      </c>
      <c r="G38" s="185">
        <f t="shared" si="8"/>
        <v>0</v>
      </c>
      <c r="H38" s="185">
        <f t="shared" si="11"/>
        <v>0</v>
      </c>
      <c r="I38" s="185"/>
      <c r="J38" s="185"/>
      <c r="K38" s="185"/>
      <c r="L38" s="185"/>
      <c r="M38" s="185"/>
      <c r="N38" s="185"/>
      <c r="O38" s="185"/>
      <c r="P38" s="185"/>
      <c r="Q38" s="185"/>
      <c r="R38" s="185"/>
      <c r="S38" s="185"/>
      <c r="T38" s="185"/>
      <c r="U38" s="185"/>
      <c r="V38" s="185">
        <f t="shared" si="12"/>
        <v>1.0794999999999999</v>
      </c>
      <c r="W38" s="185"/>
      <c r="X38" s="185"/>
      <c r="Y38" s="185"/>
      <c r="Z38" s="185"/>
      <c r="AA38" s="185"/>
      <c r="AB38" s="185"/>
      <c r="AC38" s="185"/>
      <c r="AD38" s="185"/>
      <c r="AE38" s="185">
        <f t="shared" si="26"/>
        <v>1.0794999999999999</v>
      </c>
      <c r="AF38" s="185"/>
      <c r="AG38" s="185"/>
      <c r="AH38" s="185"/>
      <c r="AI38" s="185">
        <f>D38-BL38</f>
        <v>1.0794999999999999</v>
      </c>
      <c r="AJ38" s="185"/>
      <c r="AK38" s="185"/>
      <c r="AL38" s="185"/>
      <c r="AM38" s="185"/>
      <c r="AN38" s="185"/>
      <c r="AO38" s="185"/>
      <c r="AP38" s="185"/>
      <c r="AQ38" s="185"/>
      <c r="AR38" s="185"/>
      <c r="AS38" s="185"/>
      <c r="AT38" s="185"/>
      <c r="AU38" s="185"/>
      <c r="AV38" s="185"/>
      <c r="AW38" s="185"/>
      <c r="AX38" s="185"/>
      <c r="AY38" s="185"/>
      <c r="AZ38" s="185"/>
      <c r="BA38" s="185"/>
      <c r="BB38" s="185"/>
      <c r="BC38" s="185"/>
      <c r="BD38" s="185"/>
      <c r="BE38" s="185"/>
      <c r="BF38" s="185"/>
      <c r="BG38" s="185"/>
      <c r="BH38" s="185">
        <f t="shared" si="21"/>
        <v>0</v>
      </c>
      <c r="BI38" s="185"/>
      <c r="BJ38" s="185"/>
      <c r="BK38" s="185"/>
      <c r="BL38" s="185">
        <f>E38+W38+X38+Y38+Z38+AA38+AB38+AC38+AD38+AF38+AG38+AH38+AJ38+AK38+AL38+AM38+AN38+AO38+AP38+AQ38+AR38+AS38+AT38+AU38+AV38+AW38+AX38+AY38+AZ38+BA38+BB38+BC38+BD38+BE38+BF38+BG38+BH38</f>
        <v>0</v>
      </c>
      <c r="BM38" s="185">
        <f>AI67-BL38</f>
        <v>0</v>
      </c>
      <c r="BN38" s="185">
        <f t="shared" si="27"/>
        <v>1.0794999999999999</v>
      </c>
      <c r="BO38" s="125"/>
      <c r="BP38" s="53"/>
    </row>
    <row r="39" spans="1:68" ht="20.100000000000001" customHeight="1">
      <c r="A39" s="14" t="s">
        <v>228</v>
      </c>
      <c r="B39" s="143" t="s">
        <v>482</v>
      </c>
      <c r="C39" s="30" t="s">
        <v>206</v>
      </c>
      <c r="D39" s="185"/>
      <c r="E39" s="185">
        <f t="shared" si="4"/>
        <v>0</v>
      </c>
      <c r="F39" s="185">
        <f t="shared" si="20"/>
        <v>0</v>
      </c>
      <c r="G39" s="185">
        <f t="shared" si="8"/>
        <v>0</v>
      </c>
      <c r="H39" s="185">
        <f t="shared" si="11"/>
        <v>0</v>
      </c>
      <c r="I39" s="185"/>
      <c r="J39" s="185"/>
      <c r="K39" s="185"/>
      <c r="L39" s="185"/>
      <c r="M39" s="185"/>
      <c r="N39" s="185"/>
      <c r="O39" s="185"/>
      <c r="P39" s="185"/>
      <c r="Q39" s="185"/>
      <c r="R39" s="185"/>
      <c r="S39" s="185"/>
      <c r="T39" s="185"/>
      <c r="U39" s="185"/>
      <c r="V39" s="185">
        <f t="shared" si="12"/>
        <v>0</v>
      </c>
      <c r="W39" s="185"/>
      <c r="X39" s="185"/>
      <c r="Y39" s="185"/>
      <c r="Z39" s="185"/>
      <c r="AA39" s="185"/>
      <c r="AB39" s="185"/>
      <c r="AC39" s="185"/>
      <c r="AD39" s="185"/>
      <c r="AE39" s="185">
        <f t="shared" si="26"/>
        <v>0</v>
      </c>
      <c r="AF39" s="185"/>
      <c r="AG39" s="185"/>
      <c r="AH39" s="185"/>
      <c r="AI39" s="185"/>
      <c r="AJ39" s="185">
        <f>D39-BL39</f>
        <v>0</v>
      </c>
      <c r="AK39" s="185"/>
      <c r="AL39" s="185"/>
      <c r="AM39" s="185"/>
      <c r="AN39" s="185"/>
      <c r="AO39" s="185"/>
      <c r="AP39" s="185"/>
      <c r="AQ39" s="185"/>
      <c r="AR39" s="185"/>
      <c r="AS39" s="185"/>
      <c r="AT39" s="185"/>
      <c r="AU39" s="185"/>
      <c r="AV39" s="185"/>
      <c r="AW39" s="185"/>
      <c r="AX39" s="185"/>
      <c r="AY39" s="185"/>
      <c r="AZ39" s="185"/>
      <c r="BA39" s="185"/>
      <c r="BB39" s="185"/>
      <c r="BC39" s="185"/>
      <c r="BD39" s="185"/>
      <c r="BE39" s="185"/>
      <c r="BF39" s="185"/>
      <c r="BG39" s="185"/>
      <c r="BH39" s="185">
        <f t="shared" si="21"/>
        <v>0</v>
      </c>
      <c r="BI39" s="185"/>
      <c r="BJ39" s="185"/>
      <c r="BK39" s="185"/>
      <c r="BL39" s="185">
        <f>E39+W39+X39+Y39+Z39+AA39+AB39+AC39+AD39+AQ39+AR39+AS39+AT39+AU39+AV39+AW39+AX39+AY39+AZ39+BA39+BB39+BC39+BD39+BE39+BF39+BG39+BH39+AF39+AG39+AH39+AI39+AK39+AL39+AM39+AN39+AO39+AP39</f>
        <v>0</v>
      </c>
      <c r="BM39" s="185">
        <f>AJ67-BL39</f>
        <v>0</v>
      </c>
      <c r="BN39" s="185">
        <f t="shared" si="27"/>
        <v>0</v>
      </c>
      <c r="BO39" s="125"/>
      <c r="BP39" s="53"/>
    </row>
    <row r="40" spans="1:68" ht="20.100000000000001" customHeight="1">
      <c r="A40" s="14" t="s">
        <v>229</v>
      </c>
      <c r="B40" s="143" t="s">
        <v>483</v>
      </c>
      <c r="C40" s="30" t="s">
        <v>207</v>
      </c>
      <c r="D40" s="185"/>
      <c r="E40" s="185">
        <f t="shared" si="4"/>
        <v>0</v>
      </c>
      <c r="F40" s="185">
        <f t="shared" si="20"/>
        <v>0</v>
      </c>
      <c r="G40" s="185">
        <f t="shared" si="8"/>
        <v>0</v>
      </c>
      <c r="H40" s="185">
        <f t="shared" si="11"/>
        <v>0</v>
      </c>
      <c r="I40" s="185"/>
      <c r="J40" s="185"/>
      <c r="K40" s="185"/>
      <c r="L40" s="185"/>
      <c r="M40" s="185"/>
      <c r="N40" s="185"/>
      <c r="O40" s="185"/>
      <c r="P40" s="185"/>
      <c r="Q40" s="185"/>
      <c r="R40" s="185"/>
      <c r="S40" s="185"/>
      <c r="T40" s="185"/>
      <c r="U40" s="185"/>
      <c r="V40" s="185">
        <f t="shared" si="12"/>
        <v>0</v>
      </c>
      <c r="W40" s="185"/>
      <c r="X40" s="185"/>
      <c r="Y40" s="185"/>
      <c r="Z40" s="185"/>
      <c r="AA40" s="185"/>
      <c r="AB40" s="185"/>
      <c r="AC40" s="185"/>
      <c r="AD40" s="185"/>
      <c r="AE40" s="185">
        <f t="shared" si="26"/>
        <v>0</v>
      </c>
      <c r="AF40" s="185"/>
      <c r="AG40" s="185"/>
      <c r="AH40" s="185"/>
      <c r="AI40" s="185"/>
      <c r="AJ40" s="185"/>
      <c r="AK40" s="185">
        <f>D40-BL40</f>
        <v>0</v>
      </c>
      <c r="AL40" s="185"/>
      <c r="AM40" s="185"/>
      <c r="AN40" s="185"/>
      <c r="AO40" s="185"/>
      <c r="AP40" s="185"/>
      <c r="AQ40" s="185"/>
      <c r="AR40" s="185"/>
      <c r="AS40" s="185"/>
      <c r="AT40" s="185"/>
      <c r="AU40" s="185"/>
      <c r="AV40" s="185"/>
      <c r="AW40" s="185"/>
      <c r="AX40" s="185"/>
      <c r="AY40" s="185"/>
      <c r="AZ40" s="185"/>
      <c r="BA40" s="185"/>
      <c r="BB40" s="185"/>
      <c r="BC40" s="185"/>
      <c r="BD40" s="185"/>
      <c r="BE40" s="185"/>
      <c r="BF40" s="185"/>
      <c r="BG40" s="185"/>
      <c r="BH40" s="185">
        <f t="shared" si="21"/>
        <v>0</v>
      </c>
      <c r="BI40" s="185"/>
      <c r="BJ40" s="185"/>
      <c r="BK40" s="185"/>
      <c r="BL40" s="185">
        <f>E40+W40+X40+Y40+Z40+AA40+AB40+AC40+AD40+AF40+AG40+AH40+AI40+AJ40+AL40+AM40+AN40+AO40+AP40+AQ40+AR40+AS40+AT40+AU40+AV40+AW40+AX40+AY40+AZ40+BA40+BB40+BC40+BD40+BE40+BF40+BG40+BH40</f>
        <v>0</v>
      </c>
      <c r="BM40" s="185">
        <f>AK67-BL40</f>
        <v>0</v>
      </c>
      <c r="BN40" s="185">
        <f t="shared" si="27"/>
        <v>0</v>
      </c>
      <c r="BO40" s="125"/>
      <c r="BP40" s="53"/>
    </row>
    <row r="41" spans="1:68" ht="20.100000000000001" customHeight="1">
      <c r="A41" s="14" t="s">
        <v>230</v>
      </c>
      <c r="B41" s="143" t="s">
        <v>484</v>
      </c>
      <c r="C41" s="30" t="s">
        <v>199</v>
      </c>
      <c r="D41" s="457">
        <f>#REF!</f>
        <v>161.41</v>
      </c>
      <c r="E41" s="185">
        <f t="shared" si="4"/>
        <v>0</v>
      </c>
      <c r="F41" s="185">
        <f t="shared" si="20"/>
        <v>0</v>
      </c>
      <c r="G41" s="185">
        <f t="shared" si="8"/>
        <v>0</v>
      </c>
      <c r="H41" s="185">
        <f t="shared" si="11"/>
        <v>0</v>
      </c>
      <c r="I41" s="185"/>
      <c r="J41" s="185"/>
      <c r="K41" s="185"/>
      <c r="L41" s="185"/>
      <c r="M41" s="185"/>
      <c r="N41" s="185"/>
      <c r="O41" s="185"/>
      <c r="P41" s="185"/>
      <c r="Q41" s="185"/>
      <c r="R41" s="185"/>
      <c r="S41" s="185"/>
      <c r="T41" s="185"/>
      <c r="U41" s="185"/>
      <c r="V41" s="185">
        <f t="shared" si="12"/>
        <v>161.41</v>
      </c>
      <c r="W41" s="185"/>
      <c r="X41" s="185"/>
      <c r="Y41" s="185"/>
      <c r="Z41" s="185"/>
      <c r="AA41" s="185"/>
      <c r="AB41" s="185"/>
      <c r="AC41" s="185">
        <v>0.15</v>
      </c>
      <c r="AD41" s="185"/>
      <c r="AE41" s="185">
        <f t="shared" si="26"/>
        <v>159.29</v>
      </c>
      <c r="AF41" s="185"/>
      <c r="AG41" s="185"/>
      <c r="AH41" s="185"/>
      <c r="AI41" s="185"/>
      <c r="AJ41" s="185"/>
      <c r="AK41" s="185"/>
      <c r="AL41" s="185">
        <f>D41-BL41</f>
        <v>159.29</v>
      </c>
      <c r="AM41" s="185"/>
      <c r="AN41" s="185"/>
      <c r="AO41" s="185"/>
      <c r="AP41" s="185"/>
      <c r="AQ41" s="185"/>
      <c r="AR41" s="185"/>
      <c r="AS41" s="185"/>
      <c r="AT41" s="185"/>
      <c r="AU41" s="185"/>
      <c r="AV41" s="185"/>
      <c r="AW41" s="185"/>
      <c r="AX41" s="185"/>
      <c r="AY41" s="185"/>
      <c r="AZ41" s="185"/>
      <c r="BA41" s="185">
        <v>1.97</v>
      </c>
      <c r="BB41" s="185"/>
      <c r="BC41" s="185"/>
      <c r="BD41" s="185"/>
      <c r="BE41" s="185"/>
      <c r="BF41" s="185"/>
      <c r="BG41" s="185"/>
      <c r="BH41" s="185">
        <f t="shared" si="21"/>
        <v>0</v>
      </c>
      <c r="BI41" s="185"/>
      <c r="BJ41" s="185"/>
      <c r="BK41" s="185"/>
      <c r="BL41" s="185">
        <f>E41+W41+X41+Y41+Z41+AA41+AB41+AC41+AD41+AF41+AG41+AH41+AI41+AJ41+AK41+AM41+AN41+AO41+AP41+AQ41+AR41+AS41+AT41+AU41+AV41+AW41+AX41+AY41+AZ41+BA41+BB41+BC41+BD41+BE41+BF41+BG41+BH41</f>
        <v>2.12</v>
      </c>
      <c r="BM41" s="185">
        <f>AL67-BL41</f>
        <v>24.950000000000006</v>
      </c>
      <c r="BN41" s="185">
        <f t="shared" si="27"/>
        <v>186.36</v>
      </c>
      <c r="BO41" s="125"/>
      <c r="BP41" s="53"/>
    </row>
    <row r="42" spans="1:68" ht="20.100000000000001" customHeight="1">
      <c r="A42" s="14" t="s">
        <v>231</v>
      </c>
      <c r="B42" s="143" t="s">
        <v>485</v>
      </c>
      <c r="C42" s="30" t="s">
        <v>200</v>
      </c>
      <c r="D42" s="457">
        <f>#REF!</f>
        <v>27.83</v>
      </c>
      <c r="E42" s="185">
        <f t="shared" si="4"/>
        <v>0</v>
      </c>
      <c r="F42" s="185">
        <f t="shared" si="20"/>
        <v>0</v>
      </c>
      <c r="G42" s="185">
        <f t="shared" si="8"/>
        <v>0</v>
      </c>
      <c r="H42" s="185">
        <f t="shared" si="11"/>
        <v>0</v>
      </c>
      <c r="I42" s="185"/>
      <c r="J42" s="185"/>
      <c r="K42" s="185"/>
      <c r="L42" s="185"/>
      <c r="M42" s="185"/>
      <c r="N42" s="185"/>
      <c r="O42" s="185"/>
      <c r="P42" s="185"/>
      <c r="Q42" s="185"/>
      <c r="R42" s="185"/>
      <c r="S42" s="185"/>
      <c r="T42" s="185"/>
      <c r="U42" s="185"/>
      <c r="V42" s="185">
        <f t="shared" si="12"/>
        <v>27.83</v>
      </c>
      <c r="W42" s="185"/>
      <c r="X42" s="185"/>
      <c r="Y42" s="185"/>
      <c r="Z42" s="185"/>
      <c r="AA42" s="185"/>
      <c r="AB42" s="185"/>
      <c r="AC42" s="185">
        <v>0.02</v>
      </c>
      <c r="AD42" s="185"/>
      <c r="AE42" s="185">
        <f t="shared" si="26"/>
        <v>27.66</v>
      </c>
      <c r="AF42" s="185"/>
      <c r="AG42" s="185"/>
      <c r="AH42" s="185"/>
      <c r="AI42" s="185"/>
      <c r="AJ42" s="185"/>
      <c r="AK42" s="185"/>
      <c r="AL42" s="185">
        <v>0.26</v>
      </c>
      <c r="AM42" s="185">
        <f>D42-BL42</f>
        <v>27.4</v>
      </c>
      <c r="AN42" s="185"/>
      <c r="AO42" s="185"/>
      <c r="AP42" s="185"/>
      <c r="AQ42" s="185"/>
      <c r="AR42" s="185"/>
      <c r="AS42" s="185"/>
      <c r="AT42" s="185"/>
      <c r="AU42" s="185"/>
      <c r="AV42" s="185"/>
      <c r="AW42" s="185"/>
      <c r="AX42" s="185"/>
      <c r="AY42" s="185"/>
      <c r="AZ42" s="185"/>
      <c r="BA42" s="185">
        <v>0.15</v>
      </c>
      <c r="BB42" s="185"/>
      <c r="BC42" s="185"/>
      <c r="BD42" s="185"/>
      <c r="BE42" s="185"/>
      <c r="BF42" s="185"/>
      <c r="BG42" s="185"/>
      <c r="BH42" s="185">
        <f t="shared" si="21"/>
        <v>0</v>
      </c>
      <c r="BI42" s="185"/>
      <c r="BJ42" s="185"/>
      <c r="BK42" s="185"/>
      <c r="BL42" s="185">
        <f>E42+W42+X42+Y42+Z42+AA42+AB42+AC42+AD42+AF42+AG42+AH42+AI42+AJ42+AK42+AL42+AN42+AO42+AP42+AQ42+AR42+AS42+AT42+AU42+AV42+AW42+AX42+AY42+AZ42+BA42+BB42+BC42+BD42+BE42+BF42+BG42+BH42</f>
        <v>0.43000000000000005</v>
      </c>
      <c r="BM42" s="185">
        <f>AM67-BL42</f>
        <v>-0.43000000000000005</v>
      </c>
      <c r="BN42" s="185">
        <f t="shared" si="27"/>
        <v>27.4</v>
      </c>
      <c r="BO42" s="125"/>
      <c r="BP42" s="53"/>
    </row>
    <row r="43" spans="1:68" ht="20.100000000000001" customHeight="1">
      <c r="A43" s="14" t="s">
        <v>232</v>
      </c>
      <c r="B43" s="143" t="s">
        <v>486</v>
      </c>
      <c r="C43" s="30" t="s">
        <v>223</v>
      </c>
      <c r="D43" s="457">
        <f>#REF!</f>
        <v>0.03</v>
      </c>
      <c r="E43" s="185">
        <f t="shared" si="4"/>
        <v>0</v>
      </c>
      <c r="F43" s="185">
        <f t="shared" si="20"/>
        <v>0</v>
      </c>
      <c r="G43" s="185">
        <f t="shared" si="8"/>
        <v>0</v>
      </c>
      <c r="H43" s="185">
        <f t="shared" si="11"/>
        <v>0</v>
      </c>
      <c r="I43" s="185"/>
      <c r="J43" s="185"/>
      <c r="K43" s="185"/>
      <c r="L43" s="185"/>
      <c r="M43" s="185"/>
      <c r="N43" s="185"/>
      <c r="O43" s="185"/>
      <c r="P43" s="185"/>
      <c r="Q43" s="185"/>
      <c r="R43" s="185"/>
      <c r="S43" s="185"/>
      <c r="T43" s="185"/>
      <c r="U43" s="185"/>
      <c r="V43" s="185">
        <f t="shared" si="12"/>
        <v>0.03</v>
      </c>
      <c r="W43" s="185"/>
      <c r="X43" s="185"/>
      <c r="Y43" s="185"/>
      <c r="Z43" s="185"/>
      <c r="AA43" s="185"/>
      <c r="AB43" s="185"/>
      <c r="AC43" s="185"/>
      <c r="AD43" s="185"/>
      <c r="AE43" s="185">
        <f t="shared" si="26"/>
        <v>0.03</v>
      </c>
      <c r="AF43" s="185"/>
      <c r="AG43" s="185"/>
      <c r="AH43" s="185"/>
      <c r="AI43" s="185"/>
      <c r="AJ43" s="185"/>
      <c r="AK43" s="185"/>
      <c r="AL43" s="185"/>
      <c r="AM43" s="185"/>
      <c r="AN43" s="185">
        <f>D43-BL43</f>
        <v>0.03</v>
      </c>
      <c r="AO43" s="185"/>
      <c r="AP43" s="185"/>
      <c r="AQ43" s="185"/>
      <c r="AR43" s="185"/>
      <c r="AS43" s="185"/>
      <c r="AT43" s="185"/>
      <c r="AU43" s="185"/>
      <c r="AV43" s="185"/>
      <c r="AW43" s="185"/>
      <c r="AX43" s="185"/>
      <c r="AY43" s="185"/>
      <c r="AZ43" s="185"/>
      <c r="BA43" s="185"/>
      <c r="BB43" s="185"/>
      <c r="BC43" s="185"/>
      <c r="BD43" s="185"/>
      <c r="BE43" s="185"/>
      <c r="BF43" s="185"/>
      <c r="BG43" s="185"/>
      <c r="BH43" s="185">
        <f t="shared" si="21"/>
        <v>0</v>
      </c>
      <c r="BI43" s="185"/>
      <c r="BJ43" s="185"/>
      <c r="BK43" s="185"/>
      <c r="BL43" s="185">
        <f>E43+W43+X43+Y43+Z43+AA43+AB43+AC43+AD43+AF43+AG43+AH43+AI43+AJ43+AK43+AL43+AM43+AO43+AP43+AQ43+AR43+AS43+AT43+AU43+AV43+AW43+AX43+AY43+AZ43+BA43+BB43+BC43+BD43+BE43+BF43+BG43+BH43</f>
        <v>0</v>
      </c>
      <c r="BM43" s="185">
        <f>AN67-BL43</f>
        <v>0</v>
      </c>
      <c r="BN43" s="185">
        <f t="shared" si="27"/>
        <v>0.03</v>
      </c>
      <c r="BO43" s="125"/>
      <c r="BP43" s="53"/>
    </row>
    <row r="44" spans="1:68" ht="20.100000000000001" customHeight="1">
      <c r="A44" s="14" t="s">
        <v>233</v>
      </c>
      <c r="B44" s="143" t="s">
        <v>487</v>
      </c>
      <c r="C44" s="30" t="s">
        <v>201</v>
      </c>
      <c r="D44" s="457">
        <f>#REF!</f>
        <v>0.02</v>
      </c>
      <c r="E44" s="185">
        <f t="shared" si="4"/>
        <v>0</v>
      </c>
      <c r="F44" s="185">
        <f t="shared" si="20"/>
        <v>0</v>
      </c>
      <c r="G44" s="185">
        <f t="shared" si="8"/>
        <v>0</v>
      </c>
      <c r="H44" s="185">
        <f t="shared" si="11"/>
        <v>0</v>
      </c>
      <c r="I44" s="185"/>
      <c r="J44" s="185"/>
      <c r="K44" s="185"/>
      <c r="L44" s="185"/>
      <c r="M44" s="185"/>
      <c r="N44" s="185"/>
      <c r="O44" s="185"/>
      <c r="P44" s="185"/>
      <c r="Q44" s="185"/>
      <c r="R44" s="185"/>
      <c r="S44" s="185"/>
      <c r="T44" s="185"/>
      <c r="U44" s="185"/>
      <c r="V44" s="185">
        <f t="shared" si="12"/>
        <v>0.02</v>
      </c>
      <c r="W44" s="185"/>
      <c r="X44" s="185"/>
      <c r="Y44" s="185"/>
      <c r="Z44" s="185"/>
      <c r="AA44" s="185"/>
      <c r="AB44" s="185"/>
      <c r="AC44" s="185"/>
      <c r="AD44" s="185"/>
      <c r="AE44" s="185">
        <f t="shared" si="26"/>
        <v>0.02</v>
      </c>
      <c r="AF44" s="185"/>
      <c r="AG44" s="185"/>
      <c r="AH44" s="185"/>
      <c r="AI44" s="185"/>
      <c r="AJ44" s="185"/>
      <c r="AK44" s="185"/>
      <c r="AL44" s="185"/>
      <c r="AM44" s="185"/>
      <c r="AN44" s="185"/>
      <c r="AO44" s="185">
        <f>D44-BL44</f>
        <v>0.02</v>
      </c>
      <c r="AP44" s="185"/>
      <c r="AQ44" s="185"/>
      <c r="AR44" s="185"/>
      <c r="AS44" s="185"/>
      <c r="AT44" s="185"/>
      <c r="AU44" s="185"/>
      <c r="AV44" s="185"/>
      <c r="AW44" s="185"/>
      <c r="AX44" s="185"/>
      <c r="AY44" s="185"/>
      <c r="AZ44" s="185"/>
      <c r="BA44" s="185"/>
      <c r="BB44" s="185"/>
      <c r="BC44" s="185"/>
      <c r="BD44" s="185"/>
      <c r="BE44" s="185"/>
      <c r="BF44" s="185"/>
      <c r="BG44" s="185"/>
      <c r="BH44" s="185">
        <f t="shared" si="21"/>
        <v>0</v>
      </c>
      <c r="BI44" s="185"/>
      <c r="BJ44" s="185"/>
      <c r="BK44" s="185"/>
      <c r="BL44" s="185">
        <f>E44+W44+X44+Y44+Z44+AA44+AB44+AC44+AD44+AF44+AG44+AH44+AI44+AJ44+AK44+AL44+AM44+AN44+AP44+AQ44+AR44+AS44+AT44+AU44+AV44+AW44+AX44+AY44+AZ44+BA44+BB44+BC44+BD44+BE44+BF44+BG44+BH44</f>
        <v>0</v>
      </c>
      <c r="BM44" s="185">
        <f>AO67-BL44</f>
        <v>0</v>
      </c>
      <c r="BN44" s="185">
        <f t="shared" si="27"/>
        <v>0.02</v>
      </c>
      <c r="BO44" s="125"/>
      <c r="BP44" s="53"/>
    </row>
    <row r="45" spans="1:68" ht="20.100000000000001" customHeight="1">
      <c r="A45" s="14" t="s">
        <v>234</v>
      </c>
      <c r="B45" s="143" t="s">
        <v>488</v>
      </c>
      <c r="C45" s="30" t="s">
        <v>208</v>
      </c>
      <c r="D45" s="457">
        <f>#REF!</f>
        <v>0.36</v>
      </c>
      <c r="E45" s="185">
        <f t="shared" si="4"/>
        <v>0</v>
      </c>
      <c r="F45" s="185">
        <f t="shared" si="20"/>
        <v>0</v>
      </c>
      <c r="G45" s="185">
        <f t="shared" si="8"/>
        <v>0</v>
      </c>
      <c r="H45" s="185">
        <f t="shared" si="11"/>
        <v>0</v>
      </c>
      <c r="I45" s="185"/>
      <c r="J45" s="185"/>
      <c r="K45" s="185"/>
      <c r="L45" s="185"/>
      <c r="M45" s="185"/>
      <c r="N45" s="185"/>
      <c r="O45" s="185"/>
      <c r="P45" s="185"/>
      <c r="Q45" s="185"/>
      <c r="R45" s="185"/>
      <c r="S45" s="185"/>
      <c r="T45" s="185"/>
      <c r="U45" s="185"/>
      <c r="V45" s="185">
        <f t="shared" si="12"/>
        <v>0.36</v>
      </c>
      <c r="W45" s="185"/>
      <c r="X45" s="185"/>
      <c r="Y45" s="185"/>
      <c r="Z45" s="185"/>
      <c r="AA45" s="185"/>
      <c r="AB45" s="185"/>
      <c r="AC45" s="185"/>
      <c r="AD45" s="185"/>
      <c r="AE45" s="185">
        <f t="shared" si="26"/>
        <v>0.36</v>
      </c>
      <c r="AF45" s="185"/>
      <c r="AG45" s="185"/>
      <c r="AH45" s="185"/>
      <c r="AI45" s="185"/>
      <c r="AJ45" s="185"/>
      <c r="AK45" s="185"/>
      <c r="AL45" s="185"/>
      <c r="AM45" s="185"/>
      <c r="AN45" s="185"/>
      <c r="AO45" s="185"/>
      <c r="AP45" s="185">
        <f>D45-BL45</f>
        <v>0.36</v>
      </c>
      <c r="AQ45" s="185"/>
      <c r="AR45" s="185"/>
      <c r="AS45" s="185"/>
      <c r="AT45" s="185"/>
      <c r="AU45" s="185"/>
      <c r="AV45" s="185"/>
      <c r="AW45" s="185"/>
      <c r="AX45" s="185"/>
      <c r="AY45" s="185"/>
      <c r="AZ45" s="185"/>
      <c r="BA45" s="185"/>
      <c r="BB45" s="185"/>
      <c r="BC45" s="185"/>
      <c r="BD45" s="185"/>
      <c r="BE45" s="185"/>
      <c r="BF45" s="185"/>
      <c r="BG45" s="185"/>
      <c r="BH45" s="185">
        <f t="shared" si="21"/>
        <v>0</v>
      </c>
      <c r="BI45" s="185"/>
      <c r="BJ45" s="185"/>
      <c r="BK45" s="185"/>
      <c r="BL45" s="185">
        <f>E45+W45+X45+Y45+Z45+AA45+AB45+AC45+AD45+AF45+AG45+AH45+AI45+AJ45+AK45+AL45+AM45+AN45+AO45+AQ45+AR45+AS45+AT45+AU45+AV45+AW45+AX45+AY45+AZ45+BA45+BB45+BC45+BD45+BE45+BF45+BG45+BH45</f>
        <v>0</v>
      </c>
      <c r="BM45" s="185">
        <f>AP67-BL45</f>
        <v>0</v>
      </c>
      <c r="BN45" s="185">
        <f t="shared" si="27"/>
        <v>0.36</v>
      </c>
      <c r="BO45" s="125"/>
      <c r="BP45" s="53"/>
    </row>
    <row r="46" spans="1:68" ht="20.100000000000001" customHeight="1">
      <c r="A46" s="19" t="s">
        <v>73</v>
      </c>
      <c r="B46" s="144" t="s">
        <v>74</v>
      </c>
      <c r="C46" s="30" t="s">
        <v>75</v>
      </c>
      <c r="D46" s="457"/>
      <c r="E46" s="185">
        <f t="shared" si="4"/>
        <v>0</v>
      </c>
      <c r="F46" s="185">
        <f t="shared" si="20"/>
        <v>0</v>
      </c>
      <c r="G46" s="185">
        <f t="shared" si="8"/>
        <v>0</v>
      </c>
      <c r="H46" s="185">
        <f t="shared" si="11"/>
        <v>0</v>
      </c>
      <c r="I46" s="185"/>
      <c r="J46" s="185"/>
      <c r="K46" s="185"/>
      <c r="L46" s="185"/>
      <c r="M46" s="185"/>
      <c r="N46" s="185"/>
      <c r="O46" s="185"/>
      <c r="P46" s="185"/>
      <c r="Q46" s="185"/>
      <c r="R46" s="185"/>
      <c r="S46" s="185"/>
      <c r="T46" s="185"/>
      <c r="U46" s="185"/>
      <c r="V46" s="185">
        <f t="shared" si="12"/>
        <v>0</v>
      </c>
      <c r="W46" s="185"/>
      <c r="X46" s="185"/>
      <c r="Y46" s="185"/>
      <c r="Z46" s="185"/>
      <c r="AA46" s="185"/>
      <c r="AB46" s="185"/>
      <c r="AC46" s="185"/>
      <c r="AD46" s="185"/>
      <c r="AE46" s="185">
        <f t="shared" si="26"/>
        <v>0</v>
      </c>
      <c r="AF46" s="185"/>
      <c r="AG46" s="185"/>
      <c r="AH46" s="185"/>
      <c r="AI46" s="185"/>
      <c r="AJ46" s="185"/>
      <c r="AK46" s="185"/>
      <c r="AL46" s="185"/>
      <c r="AM46" s="185"/>
      <c r="AN46" s="185"/>
      <c r="AO46" s="185"/>
      <c r="AP46" s="185"/>
      <c r="AQ46" s="185">
        <f>D46-BL46</f>
        <v>0</v>
      </c>
      <c r="AR46" s="185"/>
      <c r="AS46" s="185"/>
      <c r="AT46" s="185"/>
      <c r="AU46" s="185"/>
      <c r="AV46" s="185"/>
      <c r="AW46" s="185"/>
      <c r="AX46" s="185"/>
      <c r="AY46" s="185"/>
      <c r="AZ46" s="185"/>
      <c r="BA46" s="185"/>
      <c r="BB46" s="185"/>
      <c r="BC46" s="185"/>
      <c r="BD46" s="185"/>
      <c r="BE46" s="185"/>
      <c r="BF46" s="185"/>
      <c r="BG46" s="185"/>
      <c r="BH46" s="185">
        <f t="shared" si="21"/>
        <v>0</v>
      </c>
      <c r="BI46" s="185"/>
      <c r="BJ46" s="185"/>
      <c r="BK46" s="185"/>
      <c r="BL46" s="185">
        <f>E46+W46+X46+Y46+Z46+AA46+AB46+AC46+AD46+AE46+AR46+AS46+AT46+AU46+AV46+AW46+AX46+AY46+AZ46+BA46+BB46+BC46+BD46+BE46+BF46+BG46+BH46</f>
        <v>0</v>
      </c>
      <c r="BM46" s="185">
        <f>AQ67-BL46</f>
        <v>0</v>
      </c>
      <c r="BN46" s="185">
        <f>D46+BM46</f>
        <v>0</v>
      </c>
      <c r="BO46" s="125"/>
      <c r="BP46" s="53"/>
    </row>
    <row r="47" spans="1:68" ht="20.100000000000001" customHeight="1">
      <c r="A47" s="19" t="s">
        <v>76</v>
      </c>
      <c r="B47" s="144" t="s">
        <v>77</v>
      </c>
      <c r="C47" s="30" t="s">
        <v>78</v>
      </c>
      <c r="D47" s="185"/>
      <c r="E47" s="185">
        <f t="shared" si="4"/>
        <v>0</v>
      </c>
      <c r="F47" s="185">
        <f t="shared" si="20"/>
        <v>0</v>
      </c>
      <c r="G47" s="185">
        <f t="shared" si="8"/>
        <v>0</v>
      </c>
      <c r="H47" s="185">
        <f t="shared" si="11"/>
        <v>0</v>
      </c>
      <c r="I47" s="185"/>
      <c r="J47" s="185"/>
      <c r="K47" s="185"/>
      <c r="L47" s="185"/>
      <c r="M47" s="185"/>
      <c r="N47" s="185"/>
      <c r="O47" s="185"/>
      <c r="P47" s="185"/>
      <c r="Q47" s="185"/>
      <c r="R47" s="185"/>
      <c r="S47" s="185"/>
      <c r="T47" s="185"/>
      <c r="U47" s="185"/>
      <c r="V47" s="185">
        <f t="shared" si="12"/>
        <v>0</v>
      </c>
      <c r="W47" s="185"/>
      <c r="X47" s="185"/>
      <c r="Y47" s="185"/>
      <c r="Z47" s="185"/>
      <c r="AA47" s="185"/>
      <c r="AB47" s="185"/>
      <c r="AC47" s="185"/>
      <c r="AD47" s="185"/>
      <c r="AE47" s="185">
        <f t="shared" si="26"/>
        <v>0</v>
      </c>
      <c r="AF47" s="185"/>
      <c r="AG47" s="185"/>
      <c r="AH47" s="185"/>
      <c r="AI47" s="185"/>
      <c r="AJ47" s="185"/>
      <c r="AK47" s="185"/>
      <c r="AL47" s="185"/>
      <c r="AM47" s="185"/>
      <c r="AN47" s="185"/>
      <c r="AO47" s="185"/>
      <c r="AP47" s="185"/>
      <c r="AQ47" s="185"/>
      <c r="AR47" s="185">
        <f>D47-BL47</f>
        <v>0</v>
      </c>
      <c r="AS47" s="185"/>
      <c r="AT47" s="185"/>
      <c r="AU47" s="185"/>
      <c r="AV47" s="185"/>
      <c r="AW47" s="185"/>
      <c r="AX47" s="185"/>
      <c r="AY47" s="185"/>
      <c r="AZ47" s="185"/>
      <c r="BA47" s="185"/>
      <c r="BB47" s="185"/>
      <c r="BC47" s="185"/>
      <c r="BD47" s="185"/>
      <c r="BE47" s="185"/>
      <c r="BF47" s="185"/>
      <c r="BG47" s="185"/>
      <c r="BH47" s="185">
        <f t="shared" si="21"/>
        <v>0</v>
      </c>
      <c r="BI47" s="185"/>
      <c r="BJ47" s="185"/>
      <c r="BK47" s="185"/>
      <c r="BL47" s="185">
        <f>E47+W47+X47+Y47+Z47+AA47+AB47+AC47+AD47+AE47+AQ47+AS47+AT47+AU47+AV47+AW47+AX47+AY47+AZ47+BA47+BB47+BC47+BD47+BE47+BF47+BG47+BH47</f>
        <v>0</v>
      </c>
      <c r="BM47" s="185">
        <f>AR67-BL47</f>
        <v>0</v>
      </c>
      <c r="BN47" s="185">
        <f t="shared" ref="BN47:BN62" si="28">D47+BM47</f>
        <v>0</v>
      </c>
      <c r="BO47" s="125"/>
      <c r="BP47" s="53"/>
    </row>
    <row r="48" spans="1:68" ht="20.100000000000001" customHeight="1">
      <c r="A48" s="19" t="s">
        <v>79</v>
      </c>
      <c r="B48" s="144" t="s">
        <v>80</v>
      </c>
      <c r="C48" s="30" t="s">
        <v>81</v>
      </c>
      <c r="D48" s="185">
        <f>#REF!</f>
        <v>35.369999999999997</v>
      </c>
      <c r="E48" s="185">
        <f t="shared" si="4"/>
        <v>0</v>
      </c>
      <c r="F48" s="185">
        <f t="shared" si="20"/>
        <v>0</v>
      </c>
      <c r="G48" s="185">
        <f t="shared" si="8"/>
        <v>0</v>
      </c>
      <c r="H48" s="185">
        <f t="shared" si="11"/>
        <v>0</v>
      </c>
      <c r="I48" s="185"/>
      <c r="J48" s="185"/>
      <c r="K48" s="185"/>
      <c r="L48" s="185"/>
      <c r="M48" s="185"/>
      <c r="N48" s="185"/>
      <c r="O48" s="185"/>
      <c r="P48" s="185"/>
      <c r="Q48" s="185"/>
      <c r="R48" s="185"/>
      <c r="S48" s="185"/>
      <c r="T48" s="185"/>
      <c r="U48" s="185"/>
      <c r="V48" s="185">
        <f t="shared" si="12"/>
        <v>35.369999999999997</v>
      </c>
      <c r="W48" s="185"/>
      <c r="X48" s="185"/>
      <c r="Y48" s="185"/>
      <c r="Z48" s="185"/>
      <c r="AA48" s="185"/>
      <c r="AB48" s="185"/>
      <c r="AC48" s="185"/>
      <c r="AD48" s="185"/>
      <c r="AE48" s="185">
        <f t="shared" si="26"/>
        <v>0</v>
      </c>
      <c r="AF48" s="185"/>
      <c r="AG48" s="185"/>
      <c r="AH48" s="185"/>
      <c r="AI48" s="185"/>
      <c r="AJ48" s="185"/>
      <c r="AK48" s="185"/>
      <c r="AL48" s="185"/>
      <c r="AM48" s="185"/>
      <c r="AN48" s="185"/>
      <c r="AO48" s="185"/>
      <c r="AP48" s="185"/>
      <c r="AQ48" s="185"/>
      <c r="AR48" s="185"/>
      <c r="AS48" s="185">
        <f>D48-BL48</f>
        <v>35.369999999999997</v>
      </c>
      <c r="AT48" s="185"/>
      <c r="AU48" s="185"/>
      <c r="AV48" s="185"/>
      <c r="AW48" s="185"/>
      <c r="AX48" s="185"/>
      <c r="AY48" s="185"/>
      <c r="AZ48" s="185"/>
      <c r="BA48" s="185"/>
      <c r="BB48" s="185"/>
      <c r="BC48" s="185"/>
      <c r="BD48" s="185"/>
      <c r="BE48" s="185"/>
      <c r="BF48" s="185"/>
      <c r="BG48" s="185"/>
      <c r="BH48" s="185">
        <f t="shared" si="21"/>
        <v>0</v>
      </c>
      <c r="BI48" s="185"/>
      <c r="BJ48" s="185"/>
      <c r="BK48" s="185"/>
      <c r="BL48" s="185">
        <f>E48+W48+X48+Y48+Z48+AA48+AB48+AC48+AD48+AQ48+AR48+AT48+AU48+AV48+AW48+AX48+AY48+AZ48+BA48+BB48+BC48+BD48+BE48+BF48+BG48+BH48</f>
        <v>0</v>
      </c>
      <c r="BM48" s="185">
        <f>AS67-BL48</f>
        <v>0.78</v>
      </c>
      <c r="BN48" s="185">
        <f t="shared" si="28"/>
        <v>36.15</v>
      </c>
      <c r="BO48" s="125"/>
      <c r="BP48" s="53"/>
    </row>
    <row r="49" spans="1:68" ht="20.100000000000001" customHeight="1">
      <c r="A49" s="19" t="s">
        <v>82</v>
      </c>
      <c r="B49" s="144" t="s">
        <v>83</v>
      </c>
      <c r="C49" s="30" t="s">
        <v>84</v>
      </c>
      <c r="D49" s="185">
        <f>#REF!</f>
        <v>22.46</v>
      </c>
      <c r="E49" s="185">
        <f t="shared" si="4"/>
        <v>0</v>
      </c>
      <c r="F49" s="185">
        <f t="shared" si="20"/>
        <v>0</v>
      </c>
      <c r="G49" s="185">
        <f t="shared" si="8"/>
        <v>0</v>
      </c>
      <c r="H49" s="185">
        <f t="shared" si="11"/>
        <v>0</v>
      </c>
      <c r="I49" s="185"/>
      <c r="J49" s="185"/>
      <c r="K49" s="185"/>
      <c r="L49" s="185"/>
      <c r="M49" s="185"/>
      <c r="N49" s="185"/>
      <c r="O49" s="185"/>
      <c r="P49" s="185"/>
      <c r="Q49" s="185"/>
      <c r="R49" s="185"/>
      <c r="S49" s="185"/>
      <c r="T49" s="185"/>
      <c r="U49" s="185"/>
      <c r="V49" s="185">
        <f t="shared" si="12"/>
        <v>22.46</v>
      </c>
      <c r="W49" s="185"/>
      <c r="X49" s="185"/>
      <c r="Y49" s="185"/>
      <c r="Z49" s="185"/>
      <c r="AA49" s="185"/>
      <c r="AB49" s="185"/>
      <c r="AC49" s="185">
        <v>0.09</v>
      </c>
      <c r="AD49" s="185"/>
      <c r="AE49" s="185">
        <f t="shared" si="26"/>
        <v>0.22</v>
      </c>
      <c r="AF49" s="185"/>
      <c r="AG49" s="185"/>
      <c r="AH49" s="185"/>
      <c r="AI49" s="185"/>
      <c r="AJ49" s="185"/>
      <c r="AK49" s="185"/>
      <c r="AL49" s="185">
        <v>0.22</v>
      </c>
      <c r="AM49" s="185"/>
      <c r="AN49" s="185"/>
      <c r="AO49" s="185"/>
      <c r="AP49" s="185"/>
      <c r="AQ49" s="185"/>
      <c r="AR49" s="185"/>
      <c r="AS49" s="185"/>
      <c r="AT49" s="185">
        <f>D49-BL49</f>
        <v>22.150000000000002</v>
      </c>
      <c r="AU49" s="185"/>
      <c r="AV49" s="185"/>
      <c r="AW49" s="185"/>
      <c r="AX49" s="185"/>
      <c r="AY49" s="185"/>
      <c r="AZ49" s="185"/>
      <c r="BA49" s="185"/>
      <c r="BB49" s="185"/>
      <c r="BC49" s="185"/>
      <c r="BD49" s="185"/>
      <c r="BE49" s="185"/>
      <c r="BF49" s="185"/>
      <c r="BG49" s="185"/>
      <c r="BH49" s="185">
        <f t="shared" si="21"/>
        <v>0</v>
      </c>
      <c r="BI49" s="185"/>
      <c r="BJ49" s="185"/>
      <c r="BK49" s="185"/>
      <c r="BL49" s="185">
        <f>E49+W49+X49+Y49+Z49+AA49+AB49+AC49+AD49+AE49+AQ49+AR49+AS49+AU49+AV49+AW49+AX49+AY49+AZ49+BA49+BB49+BC49+BD49+BE49+BF49+BG49+BH49</f>
        <v>0.31</v>
      </c>
      <c r="BM49" s="185">
        <f>AT67-BL49</f>
        <v>-1.0000000000000009E-2</v>
      </c>
      <c r="BN49" s="185">
        <f t="shared" si="28"/>
        <v>22.45</v>
      </c>
      <c r="BO49" s="125"/>
      <c r="BP49" s="53"/>
    </row>
    <row r="50" spans="1:68" ht="20.100000000000001" customHeight="1">
      <c r="A50" s="19" t="s">
        <v>85</v>
      </c>
      <c r="B50" s="144" t="s">
        <v>86</v>
      </c>
      <c r="C50" s="30" t="s">
        <v>87</v>
      </c>
      <c r="D50" s="457"/>
      <c r="E50" s="185">
        <f t="shared" si="4"/>
        <v>0</v>
      </c>
      <c r="F50" s="185">
        <f t="shared" si="20"/>
        <v>0</v>
      </c>
      <c r="G50" s="185">
        <f t="shared" si="8"/>
        <v>0</v>
      </c>
      <c r="H50" s="185">
        <f t="shared" si="11"/>
        <v>0</v>
      </c>
      <c r="I50" s="185"/>
      <c r="J50" s="185"/>
      <c r="K50" s="185"/>
      <c r="L50" s="185"/>
      <c r="M50" s="185"/>
      <c r="N50" s="185"/>
      <c r="O50" s="185"/>
      <c r="P50" s="185"/>
      <c r="Q50" s="185"/>
      <c r="R50" s="185"/>
      <c r="S50" s="185"/>
      <c r="T50" s="185"/>
      <c r="U50" s="185"/>
      <c r="V50" s="185">
        <f t="shared" si="12"/>
        <v>0</v>
      </c>
      <c r="W50" s="185"/>
      <c r="X50" s="185"/>
      <c r="Y50" s="185"/>
      <c r="Z50" s="185"/>
      <c r="AA50" s="185"/>
      <c r="AB50" s="185"/>
      <c r="AC50" s="185"/>
      <c r="AD50" s="185"/>
      <c r="AE50" s="185">
        <f t="shared" si="26"/>
        <v>0</v>
      </c>
      <c r="AF50" s="185"/>
      <c r="AG50" s="185"/>
      <c r="AH50" s="185"/>
      <c r="AI50" s="185"/>
      <c r="AJ50" s="185"/>
      <c r="AK50" s="185"/>
      <c r="AL50" s="185"/>
      <c r="AM50" s="185"/>
      <c r="AN50" s="185"/>
      <c r="AO50" s="185"/>
      <c r="AP50" s="185"/>
      <c r="AQ50" s="185"/>
      <c r="AR50" s="185"/>
      <c r="AS50" s="185"/>
      <c r="AT50" s="185"/>
      <c r="AU50" s="185">
        <f>D50-BL50</f>
        <v>0</v>
      </c>
      <c r="AV50" s="185"/>
      <c r="AW50" s="185"/>
      <c r="AX50" s="185"/>
      <c r="AY50" s="185"/>
      <c r="AZ50" s="185"/>
      <c r="BA50" s="185"/>
      <c r="BB50" s="185"/>
      <c r="BC50" s="185"/>
      <c r="BD50" s="185"/>
      <c r="BE50" s="185"/>
      <c r="BF50" s="185"/>
      <c r="BG50" s="185"/>
      <c r="BH50" s="185">
        <f t="shared" si="21"/>
        <v>0</v>
      </c>
      <c r="BI50" s="185"/>
      <c r="BJ50" s="185"/>
      <c r="BK50" s="185"/>
      <c r="BL50" s="185">
        <f>E50+W50+X50+Y50+Z50+AA50+AB50+AC50+AD50+AE50+AQ50+AR50+AS50+AT50+AV50+AW50+AX50+AY50+AZ50+BA50+BB50+BC50+BD50+BE50+BF50+BG50+BH50</f>
        <v>0</v>
      </c>
      <c r="BM50" s="185">
        <f>AU67-BL50</f>
        <v>0</v>
      </c>
      <c r="BN50" s="185">
        <f t="shared" si="28"/>
        <v>0</v>
      </c>
      <c r="BO50" s="125"/>
      <c r="BP50" s="53"/>
    </row>
    <row r="51" spans="1:68" ht="20.100000000000001" customHeight="1">
      <c r="A51" s="19" t="s">
        <v>88</v>
      </c>
      <c r="B51" s="144" t="s">
        <v>89</v>
      </c>
      <c r="C51" s="30" t="s">
        <v>90</v>
      </c>
      <c r="D51" s="457">
        <f>#REF!</f>
        <v>0.47</v>
      </c>
      <c r="E51" s="185">
        <f t="shared" si="4"/>
        <v>0</v>
      </c>
      <c r="F51" s="185">
        <f t="shared" si="20"/>
        <v>0</v>
      </c>
      <c r="G51" s="185">
        <f t="shared" si="8"/>
        <v>0</v>
      </c>
      <c r="H51" s="185">
        <f t="shared" si="11"/>
        <v>0</v>
      </c>
      <c r="I51" s="185"/>
      <c r="J51" s="185"/>
      <c r="K51" s="185"/>
      <c r="L51" s="185"/>
      <c r="M51" s="185"/>
      <c r="N51" s="185"/>
      <c r="O51" s="185"/>
      <c r="P51" s="185"/>
      <c r="Q51" s="185"/>
      <c r="R51" s="185"/>
      <c r="S51" s="185"/>
      <c r="T51" s="185"/>
      <c r="U51" s="185"/>
      <c r="V51" s="185">
        <f t="shared" si="12"/>
        <v>0.47</v>
      </c>
      <c r="W51" s="185"/>
      <c r="X51" s="185"/>
      <c r="Y51" s="185"/>
      <c r="Z51" s="185"/>
      <c r="AA51" s="185"/>
      <c r="AB51" s="185"/>
      <c r="AC51" s="185"/>
      <c r="AD51" s="185"/>
      <c r="AE51" s="185">
        <f t="shared" si="26"/>
        <v>0</v>
      </c>
      <c r="AF51" s="185"/>
      <c r="AG51" s="185"/>
      <c r="AH51" s="185"/>
      <c r="AI51" s="185"/>
      <c r="AJ51" s="185"/>
      <c r="AK51" s="185"/>
      <c r="AL51" s="185"/>
      <c r="AM51" s="185"/>
      <c r="AN51" s="185"/>
      <c r="AO51" s="185"/>
      <c r="AP51" s="185"/>
      <c r="AQ51" s="185"/>
      <c r="AR51" s="185"/>
      <c r="AS51" s="185"/>
      <c r="AT51" s="185"/>
      <c r="AU51" s="185"/>
      <c r="AV51" s="185">
        <f>D51-BL51</f>
        <v>0.47</v>
      </c>
      <c r="AW51" s="185"/>
      <c r="AX51" s="185"/>
      <c r="AY51" s="185"/>
      <c r="AZ51" s="185"/>
      <c r="BA51" s="185"/>
      <c r="BB51" s="185"/>
      <c r="BC51" s="185"/>
      <c r="BD51" s="185"/>
      <c r="BE51" s="185"/>
      <c r="BF51" s="185"/>
      <c r="BG51" s="185"/>
      <c r="BH51" s="185">
        <f t="shared" si="21"/>
        <v>0</v>
      </c>
      <c r="BI51" s="185"/>
      <c r="BJ51" s="185"/>
      <c r="BK51" s="185"/>
      <c r="BL51" s="185">
        <f>E51+W51+X51+Y51+Z51+AA51+AB51+AC51+AD51+AE51+AQ51+AR51+AS51+AT51+AU51+AW51+AX51+AY51+AZ51+BA51+BB51+BC51+BD51+BE51+BF51+BG51+BH51</f>
        <v>0</v>
      </c>
      <c r="BM51" s="185">
        <f>AV67-BL51</f>
        <v>0</v>
      </c>
      <c r="BN51" s="185">
        <f t="shared" si="28"/>
        <v>0.47</v>
      </c>
      <c r="BO51" s="125"/>
      <c r="BP51" s="53"/>
    </row>
    <row r="52" spans="1:68" ht="20.100000000000001" customHeight="1">
      <c r="A52" s="19" t="s">
        <v>91</v>
      </c>
      <c r="B52" s="144" t="s">
        <v>489</v>
      </c>
      <c r="C52" s="30" t="s">
        <v>93</v>
      </c>
      <c r="D52" s="457"/>
      <c r="E52" s="185">
        <f t="shared" si="4"/>
        <v>0</v>
      </c>
      <c r="F52" s="185">
        <f t="shared" si="20"/>
        <v>0</v>
      </c>
      <c r="G52" s="185">
        <f t="shared" si="8"/>
        <v>0</v>
      </c>
      <c r="H52" s="185">
        <f t="shared" si="11"/>
        <v>0</v>
      </c>
      <c r="I52" s="185"/>
      <c r="J52" s="185"/>
      <c r="K52" s="185"/>
      <c r="L52" s="185"/>
      <c r="M52" s="185"/>
      <c r="N52" s="185"/>
      <c r="O52" s="185"/>
      <c r="P52" s="185"/>
      <c r="Q52" s="185"/>
      <c r="R52" s="185"/>
      <c r="S52" s="185"/>
      <c r="T52" s="185"/>
      <c r="U52" s="185"/>
      <c r="V52" s="185">
        <f t="shared" si="12"/>
        <v>0</v>
      </c>
      <c r="W52" s="185"/>
      <c r="X52" s="185"/>
      <c r="Y52" s="185"/>
      <c r="Z52" s="185"/>
      <c r="AA52" s="185"/>
      <c r="AB52" s="185"/>
      <c r="AC52" s="185"/>
      <c r="AD52" s="185"/>
      <c r="AE52" s="185">
        <f t="shared" si="26"/>
        <v>0</v>
      </c>
      <c r="AF52" s="185"/>
      <c r="AG52" s="185"/>
      <c r="AH52" s="185"/>
      <c r="AI52" s="185"/>
      <c r="AJ52" s="185"/>
      <c r="AK52" s="185"/>
      <c r="AL52" s="185"/>
      <c r="AM52" s="185"/>
      <c r="AN52" s="185"/>
      <c r="AO52" s="185"/>
      <c r="AP52" s="185"/>
      <c r="AQ52" s="185"/>
      <c r="AR52" s="185"/>
      <c r="AS52" s="185"/>
      <c r="AT52" s="185"/>
      <c r="AU52" s="185"/>
      <c r="AV52" s="185"/>
      <c r="AW52" s="185">
        <f>D52-BL52</f>
        <v>0</v>
      </c>
      <c r="AX52" s="185"/>
      <c r="AY52" s="185"/>
      <c r="AZ52" s="185"/>
      <c r="BA52" s="185"/>
      <c r="BB52" s="185"/>
      <c r="BC52" s="185"/>
      <c r="BD52" s="185"/>
      <c r="BE52" s="185"/>
      <c r="BF52" s="185"/>
      <c r="BG52" s="185"/>
      <c r="BH52" s="185">
        <f t="shared" si="21"/>
        <v>0</v>
      </c>
      <c r="BI52" s="185"/>
      <c r="BJ52" s="185"/>
      <c r="BK52" s="185"/>
      <c r="BL52" s="185">
        <f>E52+W52+X52+Y52+Z52+AA52+AB52+AC52+AD52+AE52+AQ52+AR52+AS52+AT52+AU52+AV52+AX52+AY52+AZ52+BA52+BB52+BC52+BD52+BE52+BF52+BG52+BH52</f>
        <v>0</v>
      </c>
      <c r="BM52" s="185">
        <f>AW67-BL52</f>
        <v>0</v>
      </c>
      <c r="BN52" s="185">
        <f t="shared" si="28"/>
        <v>0</v>
      </c>
      <c r="BO52" s="125"/>
      <c r="BP52" s="53"/>
    </row>
    <row r="53" spans="1:68" ht="20.100000000000001" customHeight="1">
      <c r="A53" s="19" t="s">
        <v>94</v>
      </c>
      <c r="B53" s="144" t="s">
        <v>95</v>
      </c>
      <c r="C53" s="30" t="s">
        <v>96</v>
      </c>
      <c r="D53" s="185"/>
      <c r="E53" s="185">
        <f t="shared" si="4"/>
        <v>0</v>
      </c>
      <c r="F53" s="185">
        <f t="shared" si="20"/>
        <v>0</v>
      </c>
      <c r="G53" s="185">
        <f t="shared" si="8"/>
        <v>0</v>
      </c>
      <c r="H53" s="185">
        <f t="shared" si="11"/>
        <v>0</v>
      </c>
      <c r="I53" s="185"/>
      <c r="J53" s="185"/>
      <c r="K53" s="185"/>
      <c r="L53" s="185"/>
      <c r="M53" s="185"/>
      <c r="N53" s="185"/>
      <c r="O53" s="185"/>
      <c r="P53" s="185"/>
      <c r="Q53" s="185"/>
      <c r="R53" s="185"/>
      <c r="S53" s="185"/>
      <c r="T53" s="185"/>
      <c r="U53" s="185"/>
      <c r="V53" s="185">
        <f t="shared" si="12"/>
        <v>0</v>
      </c>
      <c r="W53" s="185"/>
      <c r="X53" s="185"/>
      <c r="Y53" s="185"/>
      <c r="Z53" s="185"/>
      <c r="AA53" s="185"/>
      <c r="AB53" s="185"/>
      <c r="AC53" s="185"/>
      <c r="AD53" s="185"/>
      <c r="AE53" s="185">
        <f t="shared" si="26"/>
        <v>0</v>
      </c>
      <c r="AF53" s="185"/>
      <c r="AG53" s="185"/>
      <c r="AH53" s="185"/>
      <c r="AI53" s="185"/>
      <c r="AJ53" s="185"/>
      <c r="AK53" s="185"/>
      <c r="AL53" s="185"/>
      <c r="AM53" s="185"/>
      <c r="AN53" s="185"/>
      <c r="AO53" s="185"/>
      <c r="AP53" s="185"/>
      <c r="AQ53" s="185"/>
      <c r="AR53" s="185"/>
      <c r="AS53" s="185"/>
      <c r="AT53" s="185"/>
      <c r="AU53" s="185"/>
      <c r="AV53" s="185"/>
      <c r="AW53" s="185"/>
      <c r="AX53" s="185">
        <f>D53-BL53</f>
        <v>0</v>
      </c>
      <c r="AY53" s="185"/>
      <c r="AZ53" s="185"/>
      <c r="BA53" s="185"/>
      <c r="BB53" s="185"/>
      <c r="BC53" s="185"/>
      <c r="BD53" s="185"/>
      <c r="BE53" s="185"/>
      <c r="BF53" s="185"/>
      <c r="BG53" s="185"/>
      <c r="BH53" s="185">
        <f t="shared" si="21"/>
        <v>0</v>
      </c>
      <c r="BI53" s="185"/>
      <c r="BJ53" s="185"/>
      <c r="BK53" s="185"/>
      <c r="BL53" s="185">
        <f>E53+W53+X53+Y53+Z53+AA53+AB53+AC53+AD53+AE53+AQ53+AR53+AS53+AT53+AU53+AV53+AW53+AY53+AZ53+BA53+BB53+BC53+BD53+BE53+BF53+BG53+BH53</f>
        <v>0</v>
      </c>
      <c r="BM53" s="185">
        <f>AX67-BL53</f>
        <v>0</v>
      </c>
      <c r="BN53" s="185">
        <f t="shared" si="28"/>
        <v>0</v>
      </c>
      <c r="BO53" s="125"/>
      <c r="BP53" s="53"/>
    </row>
    <row r="54" spans="1:68" ht="20.100000000000001" customHeight="1">
      <c r="A54" s="19" t="s">
        <v>97</v>
      </c>
      <c r="B54" s="144" t="s">
        <v>98</v>
      </c>
      <c r="C54" s="30" t="s">
        <v>99</v>
      </c>
      <c r="D54" s="457"/>
      <c r="E54" s="185">
        <f t="shared" si="4"/>
        <v>0</v>
      </c>
      <c r="F54" s="185">
        <f t="shared" si="20"/>
        <v>0</v>
      </c>
      <c r="G54" s="185">
        <f t="shared" si="8"/>
        <v>0</v>
      </c>
      <c r="H54" s="185">
        <f t="shared" si="11"/>
        <v>0</v>
      </c>
      <c r="I54" s="185"/>
      <c r="J54" s="185"/>
      <c r="K54" s="185"/>
      <c r="L54" s="185"/>
      <c r="M54" s="185"/>
      <c r="N54" s="185"/>
      <c r="O54" s="185"/>
      <c r="P54" s="185"/>
      <c r="Q54" s="185"/>
      <c r="R54" s="185"/>
      <c r="S54" s="185"/>
      <c r="T54" s="185"/>
      <c r="U54" s="185"/>
      <c r="V54" s="185">
        <f t="shared" si="12"/>
        <v>0</v>
      </c>
      <c r="W54" s="185"/>
      <c r="X54" s="185"/>
      <c r="Y54" s="185"/>
      <c r="Z54" s="185"/>
      <c r="AA54" s="185"/>
      <c r="AB54" s="185"/>
      <c r="AC54" s="185"/>
      <c r="AD54" s="185"/>
      <c r="AE54" s="185">
        <f t="shared" si="26"/>
        <v>0</v>
      </c>
      <c r="AF54" s="185"/>
      <c r="AG54" s="185"/>
      <c r="AH54" s="185"/>
      <c r="AI54" s="185"/>
      <c r="AJ54" s="185"/>
      <c r="AK54" s="185"/>
      <c r="AL54" s="185"/>
      <c r="AM54" s="185"/>
      <c r="AN54" s="185"/>
      <c r="AO54" s="185"/>
      <c r="AP54" s="185"/>
      <c r="AQ54" s="185"/>
      <c r="AR54" s="185"/>
      <c r="AS54" s="185"/>
      <c r="AT54" s="185"/>
      <c r="AU54" s="185"/>
      <c r="AV54" s="185"/>
      <c r="AW54" s="185"/>
      <c r="AX54" s="185"/>
      <c r="AY54" s="185">
        <f>D54-BL54</f>
        <v>0</v>
      </c>
      <c r="AZ54" s="185"/>
      <c r="BA54" s="185"/>
      <c r="BB54" s="185"/>
      <c r="BC54" s="185"/>
      <c r="BD54" s="185"/>
      <c r="BE54" s="185"/>
      <c r="BF54" s="185"/>
      <c r="BG54" s="185"/>
      <c r="BH54" s="185">
        <f t="shared" si="21"/>
        <v>0</v>
      </c>
      <c r="BI54" s="185"/>
      <c r="BJ54" s="185"/>
      <c r="BK54" s="185"/>
      <c r="BL54" s="185">
        <f>E54+W54+X54+Y54+Z54+AA54+AB54+AC54+AD54+AE54+AQ54+AR54+AS54+AT54+AU54+AV54+AW54+AX54+AZ54+BA54+BB54+BC54+BD54+BE54+BF54+BG54+BH54</f>
        <v>0</v>
      </c>
      <c r="BM54" s="185">
        <f>AY67-BL54</f>
        <v>0</v>
      </c>
      <c r="BN54" s="185">
        <f t="shared" si="28"/>
        <v>0</v>
      </c>
      <c r="BO54" s="125"/>
      <c r="BP54" s="53"/>
    </row>
    <row r="55" spans="1:68" ht="32.25" customHeight="1">
      <c r="A55" s="19" t="s">
        <v>100</v>
      </c>
      <c r="B55" s="144" t="s">
        <v>490</v>
      </c>
      <c r="C55" s="30" t="s">
        <v>101</v>
      </c>
      <c r="D55" s="457">
        <f>#REF!</f>
        <v>16.78</v>
      </c>
      <c r="E55" s="185">
        <f t="shared" si="4"/>
        <v>0</v>
      </c>
      <c r="F55" s="185">
        <f t="shared" si="20"/>
        <v>0</v>
      </c>
      <c r="G55" s="185">
        <f t="shared" si="8"/>
        <v>0</v>
      </c>
      <c r="H55" s="185">
        <f t="shared" si="11"/>
        <v>0</v>
      </c>
      <c r="I55" s="185"/>
      <c r="J55" s="185"/>
      <c r="K55" s="185"/>
      <c r="L55" s="185"/>
      <c r="M55" s="185"/>
      <c r="N55" s="185"/>
      <c r="O55" s="185"/>
      <c r="P55" s="185"/>
      <c r="Q55" s="185"/>
      <c r="R55" s="185"/>
      <c r="S55" s="185"/>
      <c r="T55" s="185"/>
      <c r="U55" s="185"/>
      <c r="V55" s="185">
        <f t="shared" si="12"/>
        <v>16.78</v>
      </c>
      <c r="W55" s="185"/>
      <c r="X55" s="185"/>
      <c r="Y55" s="185"/>
      <c r="Z55" s="185"/>
      <c r="AA55" s="185"/>
      <c r="AB55" s="185"/>
      <c r="AC55" s="185">
        <v>0.21</v>
      </c>
      <c r="AD55" s="185"/>
      <c r="AE55" s="185">
        <f t="shared" si="26"/>
        <v>0</v>
      </c>
      <c r="AF55" s="185"/>
      <c r="AG55" s="185"/>
      <c r="AH55" s="185"/>
      <c r="AI55" s="185"/>
      <c r="AJ55" s="185"/>
      <c r="AK55" s="185"/>
      <c r="AL55" s="185"/>
      <c r="AM55" s="185"/>
      <c r="AN55" s="185"/>
      <c r="AO55" s="185"/>
      <c r="AP55" s="185"/>
      <c r="AQ55" s="185"/>
      <c r="AR55" s="185"/>
      <c r="AS55" s="185"/>
      <c r="AT55" s="185"/>
      <c r="AU55" s="185"/>
      <c r="AV55" s="185"/>
      <c r="AW55" s="185"/>
      <c r="AX55" s="185"/>
      <c r="AY55" s="185"/>
      <c r="AZ55" s="185">
        <f>D55-BL55</f>
        <v>16.57</v>
      </c>
      <c r="BA55" s="185"/>
      <c r="BB55" s="185"/>
      <c r="BC55" s="185"/>
      <c r="BD55" s="185"/>
      <c r="BE55" s="185"/>
      <c r="BF55" s="185"/>
      <c r="BG55" s="185"/>
      <c r="BH55" s="185">
        <f t="shared" si="21"/>
        <v>0</v>
      </c>
      <c r="BI55" s="185"/>
      <c r="BJ55" s="185"/>
      <c r="BK55" s="185"/>
      <c r="BL55" s="185">
        <f>E55+W55+X55+Y55+Z55+AA55+AB55+AC55+AD55+AE55+AQ55+AR55+AS55+AT55+AU55+AV55+AW55+AX55+AY55+BA55+BB55+BC55+BD55+BE55+BF55+BG55+BH55</f>
        <v>0.21</v>
      </c>
      <c r="BM55" s="185">
        <f>AZ67-BL55</f>
        <v>-0.21</v>
      </c>
      <c r="BN55" s="185">
        <f t="shared" si="28"/>
        <v>16.57</v>
      </c>
      <c r="BO55" s="125"/>
      <c r="BP55" s="53"/>
    </row>
    <row r="56" spans="1:68" ht="20.100000000000001" customHeight="1">
      <c r="A56" s="19" t="s">
        <v>102</v>
      </c>
      <c r="B56" s="144" t="s">
        <v>103</v>
      </c>
      <c r="C56" s="30" t="s">
        <v>104</v>
      </c>
      <c r="D56" s="185">
        <f>#REF!</f>
        <v>0.36</v>
      </c>
      <c r="E56" s="185">
        <f t="shared" si="4"/>
        <v>0</v>
      </c>
      <c r="F56" s="185">
        <f t="shared" si="20"/>
        <v>0</v>
      </c>
      <c r="G56" s="185">
        <f t="shared" si="8"/>
        <v>0</v>
      </c>
      <c r="H56" s="185">
        <f t="shared" si="11"/>
        <v>0</v>
      </c>
      <c r="I56" s="185"/>
      <c r="J56" s="185"/>
      <c r="K56" s="185"/>
      <c r="L56" s="185"/>
      <c r="M56" s="185"/>
      <c r="N56" s="185"/>
      <c r="O56" s="185"/>
      <c r="P56" s="185"/>
      <c r="Q56" s="185"/>
      <c r="R56" s="185"/>
      <c r="S56" s="185"/>
      <c r="T56" s="185"/>
      <c r="U56" s="185"/>
      <c r="V56" s="185">
        <f t="shared" si="12"/>
        <v>0.36</v>
      </c>
      <c r="W56" s="185"/>
      <c r="X56" s="185"/>
      <c r="Y56" s="185"/>
      <c r="Z56" s="185"/>
      <c r="AA56" s="185"/>
      <c r="AB56" s="185"/>
      <c r="AC56" s="185"/>
      <c r="AD56" s="185"/>
      <c r="AE56" s="185">
        <f t="shared" si="26"/>
        <v>0.01</v>
      </c>
      <c r="AF56" s="185"/>
      <c r="AG56" s="185"/>
      <c r="AH56" s="185"/>
      <c r="AI56" s="185"/>
      <c r="AJ56" s="185"/>
      <c r="AK56" s="185"/>
      <c r="AL56" s="185">
        <v>0.01</v>
      </c>
      <c r="AM56" s="185"/>
      <c r="AN56" s="185"/>
      <c r="AO56" s="185"/>
      <c r="AP56" s="185"/>
      <c r="AQ56" s="185"/>
      <c r="AR56" s="185"/>
      <c r="AS56" s="185"/>
      <c r="AT56" s="185"/>
      <c r="AU56" s="185"/>
      <c r="AV56" s="185"/>
      <c r="AW56" s="185"/>
      <c r="AX56" s="185"/>
      <c r="AY56" s="185"/>
      <c r="AZ56" s="185"/>
      <c r="BA56" s="185">
        <f>D56-BL56</f>
        <v>0.35</v>
      </c>
      <c r="BB56" s="185"/>
      <c r="BC56" s="185"/>
      <c r="BD56" s="185"/>
      <c r="BE56" s="185"/>
      <c r="BF56" s="185"/>
      <c r="BG56" s="185"/>
      <c r="BH56" s="185">
        <f t="shared" si="21"/>
        <v>0</v>
      </c>
      <c r="BI56" s="185"/>
      <c r="BJ56" s="185"/>
      <c r="BK56" s="185"/>
      <c r="BL56" s="185">
        <f>E56+W56+X56+Y56+Z56+AA56+AB56+AC56+AD56+AE56+AQ56+AR56+AS56+AT56+AU56+AV56+AW56+AX56+AY56+AZ56+BB56+BC56+BD56+BE56+BF56+BG56+BH56</f>
        <v>0.01</v>
      </c>
      <c r="BM56" s="185">
        <f>BA67-BL56</f>
        <v>271.48</v>
      </c>
      <c r="BN56" s="185">
        <f t="shared" si="28"/>
        <v>271.84000000000003</v>
      </c>
      <c r="BO56" s="125"/>
      <c r="BP56" s="53"/>
    </row>
    <row r="57" spans="1:68" ht="20.100000000000001" customHeight="1">
      <c r="A57" s="19" t="s">
        <v>105</v>
      </c>
      <c r="B57" s="144" t="s">
        <v>106</v>
      </c>
      <c r="C57" s="30" t="s">
        <v>107</v>
      </c>
      <c r="D57" s="457">
        <f>#REF!</f>
        <v>0.37</v>
      </c>
      <c r="E57" s="185">
        <f t="shared" si="4"/>
        <v>0</v>
      </c>
      <c r="F57" s="185">
        <f t="shared" si="20"/>
        <v>0</v>
      </c>
      <c r="G57" s="185">
        <f t="shared" si="8"/>
        <v>0</v>
      </c>
      <c r="H57" s="185">
        <f t="shared" si="11"/>
        <v>0</v>
      </c>
      <c r="I57" s="185"/>
      <c r="J57" s="185"/>
      <c r="K57" s="185"/>
      <c r="L57" s="185"/>
      <c r="M57" s="185"/>
      <c r="N57" s="185"/>
      <c r="O57" s="185"/>
      <c r="P57" s="185"/>
      <c r="Q57" s="185"/>
      <c r="R57" s="185"/>
      <c r="S57" s="185"/>
      <c r="T57" s="185"/>
      <c r="U57" s="185"/>
      <c r="V57" s="185">
        <f t="shared" si="12"/>
        <v>0.37</v>
      </c>
      <c r="W57" s="185"/>
      <c r="X57" s="185"/>
      <c r="Y57" s="185"/>
      <c r="Z57" s="185"/>
      <c r="AA57" s="185"/>
      <c r="AB57" s="185"/>
      <c r="AC57" s="185"/>
      <c r="AD57" s="185"/>
      <c r="AE57" s="185">
        <f>SUM(AF57:AP57)</f>
        <v>0</v>
      </c>
      <c r="AF57" s="185"/>
      <c r="AG57" s="185"/>
      <c r="AH57" s="185"/>
      <c r="AI57" s="185"/>
      <c r="AJ57" s="185"/>
      <c r="AK57" s="185"/>
      <c r="AL57" s="185"/>
      <c r="AM57" s="185"/>
      <c r="AN57" s="185"/>
      <c r="AO57" s="185"/>
      <c r="AP57" s="185"/>
      <c r="AQ57" s="185"/>
      <c r="AR57" s="185"/>
      <c r="AS57" s="185"/>
      <c r="AT57" s="185"/>
      <c r="AU57" s="185"/>
      <c r="AV57" s="185"/>
      <c r="AW57" s="185"/>
      <c r="AX57" s="185"/>
      <c r="AY57" s="185"/>
      <c r="AZ57" s="185"/>
      <c r="BA57" s="185"/>
      <c r="BB57" s="185">
        <f>D57-BL57</f>
        <v>0.37</v>
      </c>
      <c r="BC57" s="185"/>
      <c r="BD57" s="185"/>
      <c r="BE57" s="185"/>
      <c r="BF57" s="185"/>
      <c r="BG57" s="185"/>
      <c r="BH57" s="185">
        <f t="shared" si="21"/>
        <v>0</v>
      </c>
      <c r="BI57" s="185"/>
      <c r="BJ57" s="185"/>
      <c r="BK57" s="185"/>
      <c r="BL57" s="185">
        <f>E57+W57+X57+Y57+Z57+AA57+AB57+AC57+AD57+AE57+AQ57+AR57+AS57+AT57+AU57+AV57+AW57+AX57+AY57+AZ57+BA57+BC57+BD57+BE57+BF57+BG57+BH57</f>
        <v>0</v>
      </c>
      <c r="BM57" s="185">
        <f>BB67-BL57</f>
        <v>0</v>
      </c>
      <c r="BN57" s="185">
        <f t="shared" si="28"/>
        <v>0.37</v>
      </c>
      <c r="BO57" s="125"/>
      <c r="BP57" s="53"/>
    </row>
    <row r="58" spans="1:68" ht="20.100000000000001" customHeight="1">
      <c r="A58" s="19" t="s">
        <v>108</v>
      </c>
      <c r="B58" s="144" t="s">
        <v>491</v>
      </c>
      <c r="C58" s="30" t="s">
        <v>110</v>
      </c>
      <c r="D58" s="185">
        <f>#REF!</f>
        <v>0.34</v>
      </c>
      <c r="E58" s="185">
        <f t="shared" si="4"/>
        <v>0</v>
      </c>
      <c r="F58" s="185">
        <f t="shared" si="20"/>
        <v>0</v>
      </c>
      <c r="G58" s="185">
        <f t="shared" si="8"/>
        <v>0</v>
      </c>
      <c r="H58" s="185">
        <f t="shared" si="11"/>
        <v>0</v>
      </c>
      <c r="I58" s="185"/>
      <c r="J58" s="185"/>
      <c r="K58" s="185"/>
      <c r="L58" s="185"/>
      <c r="M58" s="185"/>
      <c r="N58" s="185"/>
      <c r="O58" s="185"/>
      <c r="P58" s="185"/>
      <c r="Q58" s="185"/>
      <c r="R58" s="185"/>
      <c r="S58" s="185"/>
      <c r="T58" s="185"/>
      <c r="U58" s="185"/>
      <c r="V58" s="185">
        <f t="shared" si="12"/>
        <v>0.34</v>
      </c>
      <c r="W58" s="185"/>
      <c r="X58" s="185"/>
      <c r="Y58" s="185"/>
      <c r="Z58" s="185"/>
      <c r="AA58" s="185"/>
      <c r="AB58" s="185"/>
      <c r="AC58" s="185"/>
      <c r="AD58" s="185"/>
      <c r="AE58" s="185">
        <f t="shared" si="26"/>
        <v>0</v>
      </c>
      <c r="AF58" s="185"/>
      <c r="AG58" s="185"/>
      <c r="AH58" s="185"/>
      <c r="AI58" s="185"/>
      <c r="AJ58" s="185"/>
      <c r="AK58" s="185"/>
      <c r="AL58" s="185"/>
      <c r="AM58" s="185"/>
      <c r="AN58" s="185"/>
      <c r="AO58" s="185"/>
      <c r="AP58" s="185"/>
      <c r="AQ58" s="185"/>
      <c r="AR58" s="185"/>
      <c r="AS58" s="185"/>
      <c r="AT58" s="185"/>
      <c r="AU58" s="185"/>
      <c r="AV58" s="185"/>
      <c r="AW58" s="185"/>
      <c r="AX58" s="185"/>
      <c r="AY58" s="185"/>
      <c r="AZ58" s="185"/>
      <c r="BA58" s="185"/>
      <c r="BB58" s="185"/>
      <c r="BC58" s="185">
        <f>D58-BL58</f>
        <v>0.34</v>
      </c>
      <c r="BD58" s="185"/>
      <c r="BE58" s="185"/>
      <c r="BF58" s="185"/>
      <c r="BG58" s="185"/>
      <c r="BH58" s="185">
        <f t="shared" si="21"/>
        <v>0</v>
      </c>
      <c r="BI58" s="185"/>
      <c r="BJ58" s="185"/>
      <c r="BK58" s="185"/>
      <c r="BL58" s="185">
        <f>E58+W58+X58+Y58+Z58+AA58+AB58+AC58+AD58+AE58+AQ58+AR58+AS58+AT58+AU58+AV58+AW58+AX58+AY58+AZ58+BA58+BB58+BD58+BE58+BF58+BG58+BH58</f>
        <v>0</v>
      </c>
      <c r="BM58" s="185">
        <f>BC67-BL58</f>
        <v>0</v>
      </c>
      <c r="BN58" s="185">
        <f t="shared" si="28"/>
        <v>0.34</v>
      </c>
      <c r="BO58" s="125"/>
      <c r="BP58" s="53"/>
    </row>
    <row r="59" spans="1:68" ht="20.100000000000001" customHeight="1">
      <c r="A59" s="19" t="s">
        <v>111</v>
      </c>
      <c r="B59" s="144" t="s">
        <v>112</v>
      </c>
      <c r="C59" s="30" t="s">
        <v>113</v>
      </c>
      <c r="D59" s="457">
        <f>#REF!</f>
        <v>0.56999999999999995</v>
      </c>
      <c r="E59" s="185">
        <f t="shared" si="4"/>
        <v>0</v>
      </c>
      <c r="F59" s="185">
        <f t="shared" si="20"/>
        <v>0</v>
      </c>
      <c r="G59" s="185">
        <f t="shared" si="8"/>
        <v>0</v>
      </c>
      <c r="H59" s="185">
        <f t="shared" si="11"/>
        <v>0</v>
      </c>
      <c r="I59" s="185"/>
      <c r="J59" s="185"/>
      <c r="K59" s="185"/>
      <c r="L59" s="185"/>
      <c r="M59" s="185"/>
      <c r="N59" s="185"/>
      <c r="O59" s="185"/>
      <c r="P59" s="185"/>
      <c r="Q59" s="185"/>
      <c r="R59" s="185"/>
      <c r="S59" s="185"/>
      <c r="T59" s="185"/>
      <c r="U59" s="185"/>
      <c r="V59" s="185">
        <f t="shared" si="12"/>
        <v>0.56999999999999995</v>
      </c>
      <c r="W59" s="185"/>
      <c r="X59" s="185"/>
      <c r="Y59" s="185"/>
      <c r="Z59" s="185"/>
      <c r="AA59" s="185"/>
      <c r="AB59" s="185"/>
      <c r="AC59" s="185"/>
      <c r="AD59" s="185"/>
      <c r="AE59" s="185">
        <f t="shared" si="26"/>
        <v>0</v>
      </c>
      <c r="AF59" s="185"/>
      <c r="AG59" s="185"/>
      <c r="AH59" s="185"/>
      <c r="AI59" s="185"/>
      <c r="AJ59" s="185"/>
      <c r="AK59" s="185"/>
      <c r="AL59" s="185"/>
      <c r="AM59" s="185"/>
      <c r="AN59" s="185"/>
      <c r="AO59" s="185"/>
      <c r="AP59" s="185"/>
      <c r="AQ59" s="185"/>
      <c r="AR59" s="185"/>
      <c r="AS59" s="185"/>
      <c r="AT59" s="185"/>
      <c r="AU59" s="185"/>
      <c r="AV59" s="185"/>
      <c r="AW59" s="185"/>
      <c r="AX59" s="185"/>
      <c r="AY59" s="185"/>
      <c r="AZ59" s="185"/>
      <c r="BA59" s="185"/>
      <c r="BB59" s="185"/>
      <c r="BC59" s="185"/>
      <c r="BD59" s="185">
        <f>D59-BL59</f>
        <v>0.56999999999999995</v>
      </c>
      <c r="BE59" s="185"/>
      <c r="BF59" s="185"/>
      <c r="BG59" s="185"/>
      <c r="BH59" s="185">
        <f t="shared" si="21"/>
        <v>0</v>
      </c>
      <c r="BI59" s="185"/>
      <c r="BJ59" s="185"/>
      <c r="BK59" s="185"/>
      <c r="BL59" s="185">
        <f>E59+W59+X59+Y59+Z59+AA59+AB59+AC59+AD59+AE59+AQ59+AR59+AS59+AT59+AU59+AV59+AW59+AX59+AY59+AZ59+BA59+BB59+BC59+BE59+BF59+BG59+BH59</f>
        <v>0</v>
      </c>
      <c r="BM59" s="185">
        <f>BD67-BL59</f>
        <v>0</v>
      </c>
      <c r="BN59" s="185">
        <f t="shared" si="28"/>
        <v>0.56999999999999995</v>
      </c>
      <c r="BO59" s="125"/>
      <c r="BP59" s="53"/>
    </row>
    <row r="60" spans="1:68" ht="20.100000000000001" customHeight="1">
      <c r="A60" s="19" t="s">
        <v>114</v>
      </c>
      <c r="B60" s="144" t="s">
        <v>115</v>
      </c>
      <c r="C60" s="30" t="s">
        <v>116</v>
      </c>
      <c r="D60" s="457">
        <f>#REF!</f>
        <v>614.94000000000005</v>
      </c>
      <c r="E60" s="185">
        <f t="shared" si="4"/>
        <v>7.66</v>
      </c>
      <c r="F60" s="185">
        <f t="shared" si="20"/>
        <v>0</v>
      </c>
      <c r="G60" s="185">
        <f t="shared" si="8"/>
        <v>0</v>
      </c>
      <c r="H60" s="185">
        <f t="shared" si="11"/>
        <v>0</v>
      </c>
      <c r="I60" s="185"/>
      <c r="J60" s="185"/>
      <c r="K60" s="185"/>
      <c r="L60" s="185"/>
      <c r="M60" s="185"/>
      <c r="N60" s="185"/>
      <c r="O60" s="185"/>
      <c r="P60" s="185"/>
      <c r="Q60" s="185"/>
      <c r="R60" s="185"/>
      <c r="S60" s="185">
        <v>7.66</v>
      </c>
      <c r="T60" s="185"/>
      <c r="U60" s="185"/>
      <c r="V60" s="185">
        <f t="shared" si="12"/>
        <v>607.28</v>
      </c>
      <c r="W60" s="185"/>
      <c r="X60" s="185"/>
      <c r="Y60" s="185"/>
      <c r="Z60" s="185"/>
      <c r="AA60" s="185"/>
      <c r="AB60" s="185"/>
      <c r="AC60" s="185">
        <v>3.86</v>
      </c>
      <c r="AD60" s="185"/>
      <c r="AE60" s="185">
        <f t="shared" si="26"/>
        <v>1.05</v>
      </c>
      <c r="AF60" s="185"/>
      <c r="AG60" s="185"/>
      <c r="AH60" s="185"/>
      <c r="AI60" s="185"/>
      <c r="AJ60" s="185"/>
      <c r="AK60" s="185"/>
      <c r="AL60" s="185">
        <v>1.05</v>
      </c>
      <c r="AM60" s="185"/>
      <c r="AN60" s="185"/>
      <c r="AO60" s="185"/>
      <c r="AP60" s="185"/>
      <c r="AQ60" s="185"/>
      <c r="AR60" s="185"/>
      <c r="AS60" s="185"/>
      <c r="AT60" s="185"/>
      <c r="AU60" s="185"/>
      <c r="AV60" s="185"/>
      <c r="AW60" s="185"/>
      <c r="AX60" s="185"/>
      <c r="AY60" s="185"/>
      <c r="AZ60" s="185"/>
      <c r="BA60" s="185">
        <v>1.1299999999999999</v>
      </c>
      <c r="BB60" s="185"/>
      <c r="BC60" s="185"/>
      <c r="BD60" s="185"/>
      <c r="BE60" s="185">
        <f>D60-BL60</f>
        <v>601.24</v>
      </c>
      <c r="BF60" s="185"/>
      <c r="BG60" s="185"/>
      <c r="BH60" s="185">
        <f t="shared" si="21"/>
        <v>0</v>
      </c>
      <c r="BI60" s="185"/>
      <c r="BJ60" s="185"/>
      <c r="BK60" s="185"/>
      <c r="BL60" s="185">
        <f>E60+W60+X60+Y60+Z60+AA60+AB60+AC60+AD60+AE60+AQ60+AR60+AS60+AT60+AU60+AV60+AW60+AX60+AY60+AZ60+BA60+BB60+BC60+BD60+BF60+BG60+BH60</f>
        <v>13.7</v>
      </c>
      <c r="BM60" s="185">
        <f>BE67-BL60</f>
        <v>-13.7</v>
      </c>
      <c r="BN60" s="185">
        <f t="shared" si="28"/>
        <v>601.24</v>
      </c>
      <c r="BO60" s="125"/>
      <c r="BP60" s="53"/>
    </row>
    <row r="61" spans="1:68" ht="20.100000000000001" customHeight="1">
      <c r="A61" s="19" t="s">
        <v>117</v>
      </c>
      <c r="B61" s="144" t="s">
        <v>118</v>
      </c>
      <c r="C61" s="30" t="s">
        <v>119</v>
      </c>
      <c r="D61" s="457"/>
      <c r="E61" s="185">
        <f t="shared" si="4"/>
        <v>0</v>
      </c>
      <c r="F61" s="185">
        <f t="shared" si="20"/>
        <v>0</v>
      </c>
      <c r="G61" s="185">
        <f t="shared" si="8"/>
        <v>0</v>
      </c>
      <c r="H61" s="185">
        <f t="shared" si="11"/>
        <v>0</v>
      </c>
      <c r="I61" s="185"/>
      <c r="J61" s="185"/>
      <c r="K61" s="185"/>
      <c r="L61" s="185"/>
      <c r="M61" s="185"/>
      <c r="N61" s="185"/>
      <c r="O61" s="185"/>
      <c r="P61" s="185"/>
      <c r="Q61" s="185"/>
      <c r="R61" s="185"/>
      <c r="S61" s="185"/>
      <c r="T61" s="185"/>
      <c r="U61" s="185"/>
      <c r="V61" s="185">
        <f t="shared" si="12"/>
        <v>0</v>
      </c>
      <c r="W61" s="185"/>
      <c r="X61" s="185"/>
      <c r="Y61" s="185"/>
      <c r="Z61" s="185"/>
      <c r="AA61" s="185"/>
      <c r="AB61" s="185"/>
      <c r="AC61" s="185"/>
      <c r="AD61" s="185"/>
      <c r="AE61" s="185">
        <f t="shared" si="26"/>
        <v>0</v>
      </c>
      <c r="AF61" s="185"/>
      <c r="AG61" s="185"/>
      <c r="AH61" s="185"/>
      <c r="AI61" s="185"/>
      <c r="AJ61" s="185"/>
      <c r="AK61" s="185"/>
      <c r="AL61" s="185"/>
      <c r="AM61" s="185"/>
      <c r="AN61" s="185"/>
      <c r="AO61" s="185"/>
      <c r="AP61" s="185"/>
      <c r="AQ61" s="185"/>
      <c r="AR61" s="185"/>
      <c r="AS61" s="185"/>
      <c r="AT61" s="185"/>
      <c r="AU61" s="185"/>
      <c r="AV61" s="185"/>
      <c r="AW61" s="185"/>
      <c r="AX61" s="185"/>
      <c r="AY61" s="185"/>
      <c r="AZ61" s="185"/>
      <c r="BA61" s="185"/>
      <c r="BB61" s="185"/>
      <c r="BC61" s="185"/>
      <c r="BD61" s="185"/>
      <c r="BE61" s="185"/>
      <c r="BF61" s="185">
        <f>D61-BL61</f>
        <v>0</v>
      </c>
      <c r="BG61" s="185"/>
      <c r="BH61" s="185">
        <f t="shared" si="21"/>
        <v>0</v>
      </c>
      <c r="BI61" s="185"/>
      <c r="BJ61" s="185"/>
      <c r="BK61" s="185"/>
      <c r="BL61" s="185">
        <f>E61+W61+X61+Y61+Z61+AA61+AB61+AC61+AD61+AE61+AQ61+AR61+AS61+AT61+AU61+AV61+AW61+AX61+AY61+AZ61+BA61+BB61+BC61+BD61+BE61+BG61+BH61</f>
        <v>0</v>
      </c>
      <c r="BM61" s="185">
        <f>BF67-BL61</f>
        <v>0</v>
      </c>
      <c r="BN61" s="185">
        <f t="shared" si="28"/>
        <v>0</v>
      </c>
      <c r="BO61" s="125"/>
      <c r="BP61" s="53"/>
    </row>
    <row r="62" spans="1:68" ht="20.100000000000001" customHeight="1">
      <c r="A62" s="19" t="s">
        <v>120</v>
      </c>
      <c r="B62" s="144" t="s">
        <v>121</v>
      </c>
      <c r="C62" s="30" t="s">
        <v>122</v>
      </c>
      <c r="D62" s="185"/>
      <c r="E62" s="185">
        <f t="shared" si="4"/>
        <v>0</v>
      </c>
      <c r="F62" s="185">
        <f t="shared" si="20"/>
        <v>0</v>
      </c>
      <c r="G62" s="185">
        <f t="shared" si="8"/>
        <v>0</v>
      </c>
      <c r="H62" s="185">
        <f t="shared" si="11"/>
        <v>0</v>
      </c>
      <c r="I62" s="185"/>
      <c r="J62" s="185"/>
      <c r="K62" s="185"/>
      <c r="L62" s="185"/>
      <c r="M62" s="185"/>
      <c r="N62" s="185"/>
      <c r="O62" s="185"/>
      <c r="P62" s="185"/>
      <c r="Q62" s="185"/>
      <c r="R62" s="185"/>
      <c r="S62" s="185"/>
      <c r="T62" s="185"/>
      <c r="U62" s="185"/>
      <c r="V62" s="185">
        <f t="shared" si="12"/>
        <v>0</v>
      </c>
      <c r="W62" s="185"/>
      <c r="X62" s="185"/>
      <c r="Y62" s="185"/>
      <c r="Z62" s="185"/>
      <c r="AA62" s="185"/>
      <c r="AB62" s="185"/>
      <c r="AC62" s="185"/>
      <c r="AD62" s="185"/>
      <c r="AE62" s="185">
        <f t="shared" si="26"/>
        <v>0</v>
      </c>
      <c r="AF62" s="185"/>
      <c r="AG62" s="185"/>
      <c r="AH62" s="185"/>
      <c r="AI62" s="185"/>
      <c r="AJ62" s="185"/>
      <c r="AK62" s="185"/>
      <c r="AL62" s="185"/>
      <c r="AM62" s="185"/>
      <c r="AN62" s="185"/>
      <c r="AO62" s="185"/>
      <c r="AP62" s="185"/>
      <c r="AQ62" s="185"/>
      <c r="AR62" s="185"/>
      <c r="AS62" s="185"/>
      <c r="AT62" s="185"/>
      <c r="AU62" s="185"/>
      <c r="AV62" s="185"/>
      <c r="AW62" s="185"/>
      <c r="AX62" s="185"/>
      <c r="AY62" s="185"/>
      <c r="AZ62" s="185"/>
      <c r="BA62" s="185"/>
      <c r="BB62" s="185"/>
      <c r="BC62" s="185"/>
      <c r="BD62" s="185"/>
      <c r="BE62" s="185"/>
      <c r="BF62" s="185"/>
      <c r="BG62" s="185">
        <f>D62-BL62</f>
        <v>0</v>
      </c>
      <c r="BH62" s="185">
        <f t="shared" si="21"/>
        <v>0</v>
      </c>
      <c r="BI62" s="185"/>
      <c r="BJ62" s="185"/>
      <c r="BK62" s="185"/>
      <c r="BL62" s="185">
        <f>E62+W62+X62+Y62+Z62+AA62+AB62+AC62+AD62+AE62+AQ62+AR62+AS62+AT62+AU62+AV62+AW62+AX62+AY62+AZ62+BA62+BB62+BC62+BD62+BE62+BF62+BH62</f>
        <v>0</v>
      </c>
      <c r="BM62" s="185">
        <f>BG67-BL62</f>
        <v>0</v>
      </c>
      <c r="BN62" s="185">
        <f t="shared" si="28"/>
        <v>0</v>
      </c>
      <c r="BO62" s="125"/>
      <c r="BP62" s="53"/>
    </row>
    <row r="63" spans="1:68" s="115" customFormat="1" ht="21.75" customHeight="1">
      <c r="A63" s="15">
        <v>3</v>
      </c>
      <c r="B63" s="142" t="s">
        <v>123</v>
      </c>
      <c r="C63" s="158" t="s">
        <v>124</v>
      </c>
      <c r="D63" s="420">
        <f>D64+D65+D66</f>
        <v>65.17</v>
      </c>
      <c r="E63" s="420">
        <f>E64+E65+E66</f>
        <v>5.3</v>
      </c>
      <c r="F63" s="420">
        <f t="shared" ref="F63:U63" si="29">F64+F65+F66</f>
        <v>0</v>
      </c>
      <c r="G63" s="420">
        <f t="shared" si="29"/>
        <v>0</v>
      </c>
      <c r="H63" s="420">
        <f t="shared" si="29"/>
        <v>0</v>
      </c>
      <c r="I63" s="420">
        <f t="shared" si="29"/>
        <v>0</v>
      </c>
      <c r="J63" s="420">
        <f t="shared" si="29"/>
        <v>0</v>
      </c>
      <c r="K63" s="420">
        <f t="shared" si="29"/>
        <v>0</v>
      </c>
      <c r="L63" s="420">
        <f t="shared" si="29"/>
        <v>0</v>
      </c>
      <c r="M63" s="420">
        <f t="shared" si="29"/>
        <v>0</v>
      </c>
      <c r="N63" s="420">
        <f t="shared" si="29"/>
        <v>0</v>
      </c>
      <c r="O63" s="420">
        <f t="shared" si="29"/>
        <v>0</v>
      </c>
      <c r="P63" s="420">
        <f t="shared" si="29"/>
        <v>0</v>
      </c>
      <c r="Q63" s="420">
        <f t="shared" si="29"/>
        <v>0</v>
      </c>
      <c r="R63" s="420">
        <f t="shared" si="29"/>
        <v>0</v>
      </c>
      <c r="S63" s="420">
        <f t="shared" si="29"/>
        <v>5.3</v>
      </c>
      <c r="T63" s="420">
        <f t="shared" si="29"/>
        <v>0</v>
      </c>
      <c r="U63" s="420">
        <f t="shared" si="29"/>
        <v>0</v>
      </c>
      <c r="V63" s="420">
        <f>V64+V65+V66</f>
        <v>0.74</v>
      </c>
      <c r="W63" s="420">
        <f t="shared" ref="W63:BG63" si="30">W64+W65+W66</f>
        <v>0</v>
      </c>
      <c r="X63" s="420">
        <f t="shared" si="30"/>
        <v>0</v>
      </c>
      <c r="Y63" s="420">
        <f t="shared" si="30"/>
        <v>0</v>
      </c>
      <c r="Z63" s="420">
        <f t="shared" si="30"/>
        <v>0</v>
      </c>
      <c r="AA63" s="420">
        <f t="shared" si="30"/>
        <v>0</v>
      </c>
      <c r="AB63" s="420">
        <f t="shared" si="30"/>
        <v>0</v>
      </c>
      <c r="AC63" s="420">
        <f t="shared" si="30"/>
        <v>0.55000000000000004</v>
      </c>
      <c r="AD63" s="420">
        <f t="shared" si="30"/>
        <v>0</v>
      </c>
      <c r="AE63" s="420">
        <f t="shared" si="30"/>
        <v>0.19</v>
      </c>
      <c r="AF63" s="420">
        <f t="shared" si="30"/>
        <v>0</v>
      </c>
      <c r="AG63" s="420">
        <f t="shared" si="30"/>
        <v>0</v>
      </c>
      <c r="AH63" s="420">
        <f t="shared" si="30"/>
        <v>0</v>
      </c>
      <c r="AI63" s="420">
        <f t="shared" si="30"/>
        <v>0</v>
      </c>
      <c r="AJ63" s="420">
        <f t="shared" si="30"/>
        <v>0</v>
      </c>
      <c r="AK63" s="420">
        <f t="shared" si="30"/>
        <v>0</v>
      </c>
      <c r="AL63" s="420">
        <f t="shared" si="30"/>
        <v>0.19</v>
      </c>
      <c r="AM63" s="420">
        <f t="shared" si="30"/>
        <v>0</v>
      </c>
      <c r="AN63" s="420">
        <f t="shared" si="30"/>
        <v>0</v>
      </c>
      <c r="AO63" s="420">
        <f t="shared" si="30"/>
        <v>0</v>
      </c>
      <c r="AP63" s="420">
        <f t="shared" si="30"/>
        <v>0</v>
      </c>
      <c r="AQ63" s="420">
        <f t="shared" si="30"/>
        <v>0</v>
      </c>
      <c r="AR63" s="420">
        <f t="shared" si="30"/>
        <v>0</v>
      </c>
      <c r="AS63" s="420">
        <f t="shared" si="30"/>
        <v>0</v>
      </c>
      <c r="AT63" s="420">
        <f t="shared" si="30"/>
        <v>0</v>
      </c>
      <c r="AU63" s="420">
        <f t="shared" si="30"/>
        <v>0</v>
      </c>
      <c r="AV63" s="420">
        <f t="shared" si="30"/>
        <v>0</v>
      </c>
      <c r="AW63" s="420">
        <f t="shared" si="30"/>
        <v>0</v>
      </c>
      <c r="AX63" s="420">
        <f t="shared" si="30"/>
        <v>0</v>
      </c>
      <c r="AY63" s="420">
        <f t="shared" si="30"/>
        <v>0</v>
      </c>
      <c r="AZ63" s="420">
        <f t="shared" si="30"/>
        <v>0</v>
      </c>
      <c r="BA63" s="420">
        <f t="shared" si="30"/>
        <v>0</v>
      </c>
      <c r="BB63" s="420">
        <f t="shared" si="30"/>
        <v>0</v>
      </c>
      <c r="BC63" s="420">
        <f t="shared" si="30"/>
        <v>0</v>
      </c>
      <c r="BD63" s="420">
        <f t="shared" si="30"/>
        <v>0</v>
      </c>
      <c r="BE63" s="420">
        <f t="shared" si="30"/>
        <v>0</v>
      </c>
      <c r="BF63" s="420">
        <f t="shared" si="30"/>
        <v>0</v>
      </c>
      <c r="BG63" s="420">
        <f t="shared" si="30"/>
        <v>0</v>
      </c>
      <c r="BH63" s="420">
        <f>D63-BL63</f>
        <v>59.13</v>
      </c>
      <c r="BI63" s="420">
        <f t="shared" ref="BI63:BN63" si="31">BI64+BI65+BI66</f>
        <v>55.52</v>
      </c>
      <c r="BJ63" s="420">
        <f t="shared" si="31"/>
        <v>3.61</v>
      </c>
      <c r="BK63" s="420">
        <f t="shared" si="31"/>
        <v>0</v>
      </c>
      <c r="BL63" s="420">
        <f t="shared" si="31"/>
        <v>6.04</v>
      </c>
      <c r="BM63" s="420">
        <f t="shared" si="31"/>
        <v>-6.04</v>
      </c>
      <c r="BN63" s="420">
        <f t="shared" si="31"/>
        <v>59.13</v>
      </c>
      <c r="BO63" s="164"/>
    </row>
    <row r="64" spans="1:68" ht="21.75" customHeight="1">
      <c r="A64" s="14" t="s">
        <v>220</v>
      </c>
      <c r="B64" s="143" t="s">
        <v>461</v>
      </c>
      <c r="C64" s="30" t="s">
        <v>209</v>
      </c>
      <c r="D64" s="185">
        <f>#REF!</f>
        <v>61.56</v>
      </c>
      <c r="E64" s="185">
        <f>F64+O64+S64+T64+U64</f>
        <v>5.3</v>
      </c>
      <c r="F64" s="185">
        <f t="shared" si="20"/>
        <v>0</v>
      </c>
      <c r="G64" s="185">
        <f t="shared" si="8"/>
        <v>0</v>
      </c>
      <c r="H64" s="185">
        <f t="shared" si="11"/>
        <v>0</v>
      </c>
      <c r="I64" s="185"/>
      <c r="J64" s="185"/>
      <c r="K64" s="185"/>
      <c r="L64" s="185"/>
      <c r="M64" s="185"/>
      <c r="N64" s="185"/>
      <c r="O64" s="185">
        <f>SUM(P64:R64)</f>
        <v>0</v>
      </c>
      <c r="P64" s="185"/>
      <c r="Q64" s="185"/>
      <c r="R64" s="185"/>
      <c r="S64" s="185">
        <v>5.3</v>
      </c>
      <c r="T64" s="185"/>
      <c r="U64" s="185"/>
      <c r="V64" s="185">
        <f t="shared" si="12"/>
        <v>0.74</v>
      </c>
      <c r="W64" s="185"/>
      <c r="X64" s="185"/>
      <c r="Y64" s="185"/>
      <c r="Z64" s="185"/>
      <c r="AA64" s="185"/>
      <c r="AB64" s="185"/>
      <c r="AC64" s="185">
        <v>0.55000000000000004</v>
      </c>
      <c r="AD64" s="185"/>
      <c r="AE64" s="185">
        <f t="shared" si="26"/>
        <v>0.19</v>
      </c>
      <c r="AF64" s="185"/>
      <c r="AG64" s="185"/>
      <c r="AH64" s="185"/>
      <c r="AI64" s="185"/>
      <c r="AJ64" s="185"/>
      <c r="AK64" s="185"/>
      <c r="AL64" s="185">
        <v>0.19</v>
      </c>
      <c r="AM64" s="185"/>
      <c r="AN64" s="185"/>
      <c r="AO64" s="185"/>
      <c r="AP64" s="185"/>
      <c r="AQ64" s="185"/>
      <c r="AR64" s="185"/>
      <c r="AS64" s="185"/>
      <c r="AT64" s="185"/>
      <c r="AU64" s="185"/>
      <c r="AV64" s="185"/>
      <c r="AW64" s="185"/>
      <c r="AX64" s="185"/>
      <c r="AY64" s="185"/>
      <c r="AZ64" s="185"/>
      <c r="BA64" s="185"/>
      <c r="BB64" s="185"/>
      <c r="BC64" s="185"/>
      <c r="BD64" s="185"/>
      <c r="BE64" s="185"/>
      <c r="BF64" s="185"/>
      <c r="BG64" s="185"/>
      <c r="BH64" s="185">
        <f>BI64+BJ64+BK64</f>
        <v>55.52</v>
      </c>
      <c r="BI64" s="185">
        <f>D64-BL64</f>
        <v>55.52</v>
      </c>
      <c r="BJ64" s="185"/>
      <c r="BK64" s="185"/>
      <c r="BL64" s="185">
        <f>E64+V64</f>
        <v>6.04</v>
      </c>
      <c r="BM64" s="185">
        <f>BI67-BL64</f>
        <v>-6.04</v>
      </c>
      <c r="BN64" s="185">
        <f>D64+BM64</f>
        <v>55.52</v>
      </c>
      <c r="BO64" s="125"/>
      <c r="BP64" s="53"/>
    </row>
    <row r="65" spans="1:68" ht="21.75" customHeight="1">
      <c r="A65" s="14" t="s">
        <v>221</v>
      </c>
      <c r="B65" s="143" t="s">
        <v>462</v>
      </c>
      <c r="C65" s="30" t="s">
        <v>210</v>
      </c>
      <c r="D65" s="185">
        <f>#REF!</f>
        <v>3.61</v>
      </c>
      <c r="E65" s="185">
        <f t="shared" si="4"/>
        <v>0</v>
      </c>
      <c r="F65" s="185">
        <f t="shared" si="20"/>
        <v>0</v>
      </c>
      <c r="G65" s="185">
        <f t="shared" si="8"/>
        <v>0</v>
      </c>
      <c r="H65" s="185">
        <f t="shared" si="11"/>
        <v>0</v>
      </c>
      <c r="I65" s="185"/>
      <c r="J65" s="185"/>
      <c r="K65" s="185"/>
      <c r="L65" s="185"/>
      <c r="M65" s="185"/>
      <c r="N65" s="185"/>
      <c r="O65" s="185">
        <f>SUM(P65:R65)</f>
        <v>0</v>
      </c>
      <c r="P65" s="185"/>
      <c r="Q65" s="185"/>
      <c r="R65" s="185"/>
      <c r="S65" s="185"/>
      <c r="T65" s="185"/>
      <c r="U65" s="185"/>
      <c r="V65" s="185">
        <f t="shared" si="12"/>
        <v>0</v>
      </c>
      <c r="W65" s="185"/>
      <c r="X65" s="185"/>
      <c r="Y65" s="185"/>
      <c r="Z65" s="185"/>
      <c r="AA65" s="185"/>
      <c r="AB65" s="185"/>
      <c r="AC65" s="185"/>
      <c r="AD65" s="185"/>
      <c r="AE65" s="185">
        <f t="shared" si="26"/>
        <v>0</v>
      </c>
      <c r="AF65" s="185"/>
      <c r="AG65" s="185"/>
      <c r="AH65" s="185"/>
      <c r="AI65" s="185"/>
      <c r="AJ65" s="185"/>
      <c r="AK65" s="185"/>
      <c r="AL65" s="185"/>
      <c r="AM65" s="185"/>
      <c r="AN65" s="185"/>
      <c r="AO65" s="185"/>
      <c r="AP65" s="185"/>
      <c r="AQ65" s="185"/>
      <c r="AR65" s="185"/>
      <c r="AS65" s="185"/>
      <c r="AT65" s="185"/>
      <c r="AU65" s="185"/>
      <c r="AV65" s="185"/>
      <c r="AW65" s="185"/>
      <c r="AX65" s="185"/>
      <c r="AY65" s="185"/>
      <c r="AZ65" s="185"/>
      <c r="BA65" s="185"/>
      <c r="BB65" s="185"/>
      <c r="BC65" s="185"/>
      <c r="BD65" s="185"/>
      <c r="BE65" s="185"/>
      <c r="BF65" s="185"/>
      <c r="BG65" s="185"/>
      <c r="BH65" s="185">
        <f>BI65+BJ65+BK65</f>
        <v>3.61</v>
      </c>
      <c r="BI65" s="185"/>
      <c r="BJ65" s="185">
        <f>D65-BL65</f>
        <v>3.61</v>
      </c>
      <c r="BK65" s="185"/>
      <c r="BL65" s="185">
        <f>E65+V65</f>
        <v>0</v>
      </c>
      <c r="BM65" s="185">
        <f>BJ67-BL65</f>
        <v>0</v>
      </c>
      <c r="BN65" s="185">
        <f>D65+BM65</f>
        <v>3.61</v>
      </c>
      <c r="BO65" s="125"/>
      <c r="BP65" s="53"/>
    </row>
    <row r="66" spans="1:68" ht="21.75" customHeight="1">
      <c r="A66" s="16" t="s">
        <v>222</v>
      </c>
      <c r="B66" s="145" t="s">
        <v>492</v>
      </c>
      <c r="C66" s="156" t="s">
        <v>211</v>
      </c>
      <c r="D66" s="455"/>
      <c r="E66" s="455">
        <f t="shared" si="4"/>
        <v>0</v>
      </c>
      <c r="F66" s="455">
        <f t="shared" si="20"/>
        <v>0</v>
      </c>
      <c r="G66" s="455">
        <f t="shared" si="8"/>
        <v>0</v>
      </c>
      <c r="H66" s="455">
        <f t="shared" si="11"/>
        <v>0</v>
      </c>
      <c r="I66" s="455"/>
      <c r="J66" s="455"/>
      <c r="K66" s="455"/>
      <c r="L66" s="455"/>
      <c r="M66" s="455"/>
      <c r="N66" s="455"/>
      <c r="O66" s="455">
        <f>SUM(P66:R66)</f>
        <v>0</v>
      </c>
      <c r="P66" s="455"/>
      <c r="Q66" s="455"/>
      <c r="R66" s="455"/>
      <c r="S66" s="455"/>
      <c r="T66" s="455"/>
      <c r="U66" s="455"/>
      <c r="V66" s="455">
        <f t="shared" si="12"/>
        <v>0</v>
      </c>
      <c r="W66" s="455"/>
      <c r="X66" s="455"/>
      <c r="Y66" s="455"/>
      <c r="Z66" s="455"/>
      <c r="AA66" s="455"/>
      <c r="AB66" s="455"/>
      <c r="AC66" s="455"/>
      <c r="AD66" s="455"/>
      <c r="AE66" s="455">
        <f t="shared" si="26"/>
        <v>0</v>
      </c>
      <c r="AF66" s="455"/>
      <c r="AG66" s="455"/>
      <c r="AH66" s="455"/>
      <c r="AI66" s="455"/>
      <c r="AJ66" s="455"/>
      <c r="AK66" s="455"/>
      <c r="AL66" s="455"/>
      <c r="AM66" s="455"/>
      <c r="AN66" s="455"/>
      <c r="AO66" s="455"/>
      <c r="AP66" s="455"/>
      <c r="AQ66" s="455"/>
      <c r="AR66" s="455"/>
      <c r="AS66" s="455"/>
      <c r="AT66" s="455"/>
      <c r="AU66" s="455"/>
      <c r="AV66" s="455"/>
      <c r="AW66" s="455"/>
      <c r="AX66" s="455"/>
      <c r="AY66" s="455"/>
      <c r="AZ66" s="455"/>
      <c r="BA66" s="455"/>
      <c r="BB66" s="455"/>
      <c r="BC66" s="455"/>
      <c r="BD66" s="455"/>
      <c r="BE66" s="455"/>
      <c r="BF66" s="455"/>
      <c r="BG66" s="455"/>
      <c r="BH66" s="455">
        <f>BI66+BJ66+BK66</f>
        <v>0</v>
      </c>
      <c r="BI66" s="455"/>
      <c r="BJ66" s="455"/>
      <c r="BK66" s="455">
        <f>D66-BL66</f>
        <v>0</v>
      </c>
      <c r="BL66" s="455">
        <f>E66+V66</f>
        <v>0</v>
      </c>
      <c r="BM66" s="455">
        <f>D66-BL66</f>
        <v>0</v>
      </c>
      <c r="BN66" s="455">
        <f>D66+BM66</f>
        <v>0</v>
      </c>
      <c r="BO66" s="125"/>
      <c r="BP66" s="53"/>
    </row>
    <row r="67" spans="1:68" s="115" customFormat="1" ht="24.75" customHeight="1">
      <c r="A67" s="17"/>
      <c r="B67" s="146" t="s">
        <v>190</v>
      </c>
      <c r="C67" s="17"/>
      <c r="D67" s="399"/>
      <c r="E67" s="399">
        <f>E25+E63</f>
        <v>12.96</v>
      </c>
      <c r="F67" s="399">
        <f>F18+F22+F23+F24+F25+F63</f>
        <v>0</v>
      </c>
      <c r="G67" s="399">
        <f>G17+G18+G22+G23+G24+G25+G63</f>
        <v>0</v>
      </c>
      <c r="H67" s="399">
        <f>H15+H16+H17+H18+H22+H23+H24+H25+H63</f>
        <v>0</v>
      </c>
      <c r="I67" s="399">
        <f>I13+I14+I15+I16+I17+I18+I22+I23+I24+I25+I63</f>
        <v>0</v>
      </c>
      <c r="J67" s="399">
        <f>J12+J14+J15+J16+J17+J18+J22+J23+J24+J25+J63</f>
        <v>0</v>
      </c>
      <c r="K67" s="399">
        <f>K12+K13+K15+K16+K17+K18+K22+K23+K24+K25+K63</f>
        <v>0</v>
      </c>
      <c r="L67" s="399">
        <f>L12+L13+L14+L16+L17+L18+L22+L23+L24+L25+L63</f>
        <v>0</v>
      </c>
      <c r="M67" s="399">
        <f>M12+M13+M14+M15+M17+M18+M22+M23+M24+M25+M63</f>
        <v>0</v>
      </c>
      <c r="N67" s="399">
        <f>N12+N13+N14+N15+N16+N18+N22+N23+N24+N25+N63</f>
        <v>0</v>
      </c>
      <c r="O67" s="399">
        <f>O9+O22+O23+O24+O25+O63</f>
        <v>0</v>
      </c>
      <c r="P67" s="399">
        <f>P10+P17+P20+P21+P22+P23+P24+P25+P63</f>
        <v>0</v>
      </c>
      <c r="Q67" s="399">
        <f>Q12+Q13+Q14+Q15+Q16+Q17+Q19+Q21+Q22+Q23+Q24+Q25+Q63</f>
        <v>0</v>
      </c>
      <c r="R67" s="399">
        <f>R12+R13+R14+R15+R16+R17+R19+R20+R22+R23+R24+R25+R63</f>
        <v>0</v>
      </c>
      <c r="S67" s="729">
        <f>S9+S18+S23+S24+S25+S63</f>
        <v>25.62</v>
      </c>
      <c r="T67" s="399">
        <f>T9+T18+T22+T24+T25+T63</f>
        <v>0</v>
      </c>
      <c r="U67" s="399">
        <f>U9+U18+U22+U23+U25+U63</f>
        <v>0</v>
      </c>
      <c r="V67" s="399">
        <f>V8+V63</f>
        <v>297.33999999999997</v>
      </c>
      <c r="W67" s="399">
        <f>W8+W27+W28+W29+W30+W31+W32+W33+W34+W46+W47+W48+W49+W50+W51+W52+W53+W54+W55+W56+W57+W58+W59+W60+W61+W62+W63</f>
        <v>0</v>
      </c>
      <c r="X67" s="399">
        <f>X8+X26+X28+X29+X30+X31+X32+X33+X34+X46+X47+X48+X49+X50+X51+X52+X53+X54+X55+X56+X57+X58+X59+X60+X61+X62+X63</f>
        <v>0</v>
      </c>
      <c r="Y67" s="399">
        <f>Y8+Y26+Y27+Y29+Y30+Y31+Y32+Y33+Y34+Y46+Y47+Y48+Y49+Y50+Y51+Y52+Y53+Y54+Y55+Y56+Y57+Y58+Y59+Y60+Y61+Y62+Y63</f>
        <v>0</v>
      </c>
      <c r="Z67" s="399">
        <f>Z8+Z26+Z27+Z28+Z30+Z31+Z32+Z33+Z34+Z46+Z47+Z48+Z49+Z50+Z51+Z52+Z53+Z54+Z55+Z56+Z57+Z58+Z59+Z60+Z61+Z62+Z63</f>
        <v>0</v>
      </c>
      <c r="AA67" s="399">
        <f>AA8+AA26+AA27+AA28+AA29+AA31+AA32+AA33+AA34+AA46+AA47+AA48+AA49+AA50+AA51+AA52+AA53+AA54+AA55+AA56+AA57+AA58+AA59+AA60+AA61+AA62+AA63</f>
        <v>0</v>
      </c>
      <c r="AB67" s="733">
        <f>AB8+AB26+AB27+AB28+AB29+AB30+AB32+AB33+AB34+AB46+AB47+AB48+AB49+AB50+AB51+AB52+AB53+AB54+AB55+AB56+AB57+AB58+AB59+AB60+AB61+AB62+AB63</f>
        <v>0</v>
      </c>
      <c r="AC67" s="733">
        <f>AC8+AC26+AC27+AC28+AC29+AC30+AC31+AC33+AC34+AC46+AC47+AC48+AC49+AC50+AC51+AC52+AC53+AC54+AC55+AC56+AC57+AC58+AC59+AC60+AC61+AC62+AC63</f>
        <v>6.8199999999999994</v>
      </c>
      <c r="AD67" s="729">
        <f>AD8+AD26+AD27+AD28+AD29+AD30+AD31+AD32+AD34+AD46+AD47+AD48+AD49+AD50+AD51+AD52+AD53+AD54+AD55+AD56+AD57+AD58+AD59+AD60+AD61+AD62+AD63</f>
        <v>0</v>
      </c>
      <c r="AE67" s="399">
        <f>AE8+AE26+AE27+AE28+AE29+AE30+AE31+AE32+AE33+AE46+AE47+AE48+AE49+AE50+AE51+AE52+AE53+AE54+AE55+AE56+AE57+AE58+AE59+AE60+AE61+AE62+AE63</f>
        <v>26.810000000000006</v>
      </c>
      <c r="AF67" s="399">
        <f>AF8+AF26+AF27+AF28+AF29+AF30+AF31+AF32+AF33+AF3+AF36+AF37+AF38+AF39+AF40+AF41+AF42+AF43+AF44+AF45+AF46+AF47+AF48+AF49+AF50+AF51+AF52+AF53+AF54+AF55+AF56+AF57+AF58+AF59+AF60+AF61+AF62+AF63</f>
        <v>0</v>
      </c>
      <c r="AG67" s="399">
        <f>AG8+AG26+AG27+AG28+AG29+AG30+AG31+AG32+AG33+AG35+AG37+AG38+AG39+AG40+AG41+AG42+AG43+AG44+AG45+AG46+AG47+AG48+AG49+AG50+AG51+AG52+AG53+AG54+AG55+AG56+AG57+AG58+AG59+AG60+AG61+AG62+AG63</f>
        <v>0</v>
      </c>
      <c r="AH67" s="399">
        <f>AH8+AH26+AH27+AH28+AH29+AH30+AH31+AH32+AH33+AH35+AH36+AH38+AH39+AH40+AH41+AH42+AH43+AH44+AH45+AH46+AH47+AH48+AH49+AH50+AH51+AH52+AH53+AH54+AH55+AH56+AH57+AH58+AH59+AH60+AH61+AH62+AH63</f>
        <v>0</v>
      </c>
      <c r="AI67" s="399">
        <f>AI8+AI26+AI27+AI28+AI29+AI30+AI31+AI32+AI33+AI35+AI36+AI37+AI39+AI40+AI41+AI42+AI43+AI44+AI45+AI46+AI47+AI48+AI49+AI50+AI51+AI52+AI53+AI54+AI55+AI56+AI57+AI58+AI59+AI60+AI61+AI62+AI63</f>
        <v>0</v>
      </c>
      <c r="AJ67" s="399">
        <f>AJ8+AJ26+AJ27+AJ28+AJ29+AJ30+AJ31+AJ32+AJ33+AJ35+AJ36+AJ37+AJ38+AJ40+AJ41+AJ42+AJ43+AJ44+AJ45+AJ46+AJ47+AJ48+AJ49+AJ50+AJ51+AJ52+AJ53+AJ54+AJ55+AJ56+AJ57+AJ58+AJ59+AJ60+AJ61+AJ62+AJ63</f>
        <v>0</v>
      </c>
      <c r="AK67" s="399">
        <f>AK8+AK26+AK27+AK28+AK29+AK30+AK31+AK32+AK33+AK35+AK36+AK37+AK38+AK39+AK41+AK42+AK43+AK44+AK45+AK46+AK47+AK48+AK49+AK50+AK51+AK52+AK53+AK54+AK55+AK56+AK57+AK58+AK59+AK60+AK61+AK62+AK63</f>
        <v>0</v>
      </c>
      <c r="AL67" s="729">
        <f>AL8+AL26+AL27+AL28+AL29+AL30+AL31+AL32+AL33+AL35+AL36+AL37+AL38+AL39+AL40+AL42+AL43+AL44+AL45+AL46+AL47+AL48+AL49+AL50+AL51+AL52+AL53+AL54+AL55+AL56+AL57+AL58+AL59+AL60+AL61+AL62+AL63</f>
        <v>27.070000000000007</v>
      </c>
      <c r="AM67" s="399">
        <f>AM8+AM26+AM27+AM28+AM29+AM30+AM31+AM32+AM33+AM35+AM36+AM37+AM38+AM39+AM40+AM41+AM43+AM44+AM45+AM46+AM47+AM48+AM49+AM50+AM51+AM52+AM53+AM54+AM55+AM56+AM57+AM58+AM59+AM60+AM61+AM62+AM63</f>
        <v>0</v>
      </c>
      <c r="AN67" s="399">
        <f>AN8+AN26+AN27+AN28+AN29+AN30+AN31+AN32+AN33+AN35+AN36+AN37+AN38+AN39+AN40+AN41+AN42+AN44+AN45+AN46+AN47+AN48+AN49+AN50+AN51+AN52+AN53+AN54+AN55+AN56+AN57+AN58+AN59+AN60+AN61+AN62+AN63</f>
        <v>0</v>
      </c>
      <c r="AO67" s="399">
        <f>AO8+AO26+AO27+AO28+AO29+AO30+AO31+AO32+AO33+AO35+AO36+AO37+AO38+AO39+AO40+AO41+AO42+AO43+AO45+AO46+AO47+AO48+AO49+AO50+AO51+AO52+AO53+AO54+AO55+AO56+AO57+AO58+AO59+AO60+AO61+AO62+AO63</f>
        <v>0</v>
      </c>
      <c r="AP67" s="399">
        <f>AP8+AP26+AP27+AP28+AP29+AP30+AP31+AP32+AP33+AP35+AP36+AP37+AP38+AP39+AP40+AP41+AP42+AP43+AP44+AP46+AP47+AP48+AP49+AP50+AP51+AP52+AP53+AP54+AP55+AP56+AP57+AP58+AP59+AP60+AP61+AP62+AP63</f>
        <v>0</v>
      </c>
      <c r="AQ67" s="399">
        <f>AQ8+AQ26+AQ27+AQ28+AQ29+AQ30+AQ31+AQ32+AQ33+AQ34+AQ47+AQ48+AQ49+AQ50+AQ51+AQ52+AQ53+AQ54+AQ55+AQ56+AQ57+AQ58+AQ59+AQ60+AQ61+AQ62+AQ63</f>
        <v>0</v>
      </c>
      <c r="AR67" s="399">
        <f>AR8+AR26+AR27+AR28+AR29+AR30+AR31+AR32+AR33+AR34+AR46+AR48+AR49+AR50+AR51+AR52+AR53+AR54+AR55+AR56+AR57+AR58+AR59+AR60+AR61+AR62+AR63</f>
        <v>0</v>
      </c>
      <c r="AS67" s="399">
        <f>AS8+AS26+AS27+AS28+AS29+AS30+AS31+AS32+AS33+AS34+AS46+AS47+AS49+AS50+AS51+AS52+AS53+AS54+AS55+AS56+AS57+AS58+AS59+AS60+AS61+AS62+AS63</f>
        <v>0.78</v>
      </c>
      <c r="AT67" s="729">
        <f>AT8+AT26+AT27+AT28+AT29+AT30+AT31+AT32+AT33+AT34+AT46+AT47+AT48+AT50+AT51+AT52+AT53+AT54+AT55+AT56+AT57+AT58+AT59+AT60+AT61+AT62+AT63</f>
        <v>0.3</v>
      </c>
      <c r="AU67" s="399">
        <f>AU8+AU26+AU27+AU28+AU29+AU30+AU31+AU32+AU33+AU34+AU46+AU47+AU48+AU49+AU51+AU52+AU53+AU54+AU55+AU56+AU57+AU58+AU59+AU60+AU61+AU62+AU63</f>
        <v>0</v>
      </c>
      <c r="AV67" s="399">
        <f>AV8+AV26+AV27+AV28+AV29+AV30+AV31+AV32+AV33+AV34+AV46+AV47+AV48+AV49+AV50+AV52+AV53+AV54+AV55+AV56+AV57+AV58+AV59+AV60+AV61+AV62+AV63</f>
        <v>0</v>
      </c>
      <c r="AW67" s="399">
        <f>AW8+AW26+AW27+AW28+AW29+AW30+AW31+AW32+AW33+AW34+AW46+AW47+AW48+AW49+AW50+AW51+AW53+AW54+AW55+AW56+AW57+AW58+AW59+AW60+AW61+AW62+AW63</f>
        <v>0</v>
      </c>
      <c r="AX67" s="399">
        <f>AX8+AX26+AX27+AX28+AX29+AX30+AX31+AX32+AX33+AX34+AX46+AX47+AX48+AX49+AX50+AX51+AX52+AX54+AX55+AX56+AX57+AX58+AX59+AX60+AX61+AX62+AX63</f>
        <v>0</v>
      </c>
      <c r="AY67" s="399">
        <f>AY8+AY26+AY27+AY28+AY29+AY30+AY31+AY32+AY33+AY34+AY46+AY47+AY48+AY49+AY50+AY51+AY52+AY53+AY55+AY56+AY57+AY58+AY59+AY60+AY61+AY62+AY63</f>
        <v>0</v>
      </c>
      <c r="AZ67" s="399">
        <f>AZ8+AZ26+AZ27+AZ28+AZ29+AZ30+AZ31+AZ32+AZ33+AZ34+AZ46+AZ47+AZ48+AZ49+AZ50+AZ51+AZ52+AZ53+AZ54+AZ56+AZ57+AZ58+AZ59+AZ60+AZ61+AZ62+AZ63</f>
        <v>0</v>
      </c>
      <c r="BA67" s="729">
        <f>BA8+BA26+BA27+BA28+BA29+BA30+BA31+BA32+BA33+BA34+BA46+BA47+BA48+BA49+BA50+BA51+BA52+BA53+BA54+BA55+BA57+BA58+BA59+BA60+BA61+BA62+BA63</f>
        <v>271.49</v>
      </c>
      <c r="BB67" s="399">
        <f>BB8+BB26+BB27+BB28+BB29+BB30+BB31+BB32+BB33+BB34+BB46+BB47+BB48+BB49+BB50+BB51+BB52+BB53+BB54+BB55+BB56+BB58+BB59+BB60+BB61+BB62+BB63</f>
        <v>0</v>
      </c>
      <c r="BC67" s="399">
        <f>BC8+BC26+BC27+BC28+BC29+BC30+BC31+BC32+BC33+BC34+BC46+BC47+BC48+BC49+BC50+BC51+BC52+BC53+BC54+BC55+BC56+BC57+BC59+BC60+BC61+BC62+BC63</f>
        <v>0</v>
      </c>
      <c r="BD67" s="399">
        <f>BD8+BD26+BD27+BD28+BD29+BD30+BD31+BD32+BD33+BD34+BD46+BD47+BD48+BD49+BD50+BD51+BD52+BD53+BD54+BD55+BD56+BD57+BD58+BD60+BD61+BD62+BD63</f>
        <v>0</v>
      </c>
      <c r="BE67" s="399">
        <f>BE8+BE26+BE27+BE28+BE29+BE30+BE31+BE32+BE33+BE34+BE46+BE47+BE48+BE49+BE50+BE51+BE52+BE53+BE54+BE55+BE56+BE57+BE58+BE59+BE61+BE62+BE63</f>
        <v>0</v>
      </c>
      <c r="BF67" s="399">
        <f>BF8+BF26+BF27+BF28+BF29+BF30+BF31+BF32+BF33+BF34+BF46+BF47+BF48+BF49+BF50+BF51+BF52+BF53+BF54+BF55+BF56+BF57+BF58+BF59+BF60+BF62+BF63</f>
        <v>0</v>
      </c>
      <c r="BG67" s="399">
        <f>BG8+BG26+BG27+BG28+BG29+BG30+BG31+BG32+BG33+BG34+BG46+BG47+BG48+BG49+BG50+BG51+BG52+BG53+BG54+BG55+BG56+BG57+BG58+BG59+BG60+BG61+BG63</f>
        <v>0</v>
      </c>
      <c r="BH67" s="399">
        <f>BH8+BH25</f>
        <v>0</v>
      </c>
      <c r="BI67" s="399">
        <f>BI8+BI25+BI65+BI66</f>
        <v>0</v>
      </c>
      <c r="BJ67" s="399">
        <f>BJ8+BJ25+BJ64+BJ66</f>
        <v>0</v>
      </c>
      <c r="BK67" s="399">
        <f>BK8+BK25+BK64+BK65</f>
        <v>0</v>
      </c>
      <c r="BL67" s="399"/>
      <c r="BM67" s="399"/>
      <c r="BN67" s="399"/>
      <c r="BO67" s="162"/>
    </row>
    <row r="68" spans="1:68" s="117" customFormat="1" ht="31.5" customHeight="1">
      <c r="A68" s="18"/>
      <c r="B68" s="149" t="s">
        <v>695</v>
      </c>
      <c r="C68" s="157"/>
      <c r="D68" s="456">
        <f>BN7</f>
        <v>5874.6895000000004</v>
      </c>
      <c r="E68" s="456">
        <f>BN8</f>
        <v>4635.93</v>
      </c>
      <c r="F68" s="456">
        <f>BN9</f>
        <v>515.52</v>
      </c>
      <c r="G68" s="456">
        <f>BN10</f>
        <v>390.35</v>
      </c>
      <c r="H68" s="456">
        <f>BN11</f>
        <v>230.79</v>
      </c>
      <c r="I68" s="456">
        <f>BN12</f>
        <v>43.129999999999995</v>
      </c>
      <c r="J68" s="456">
        <f>BN13</f>
        <v>187.66</v>
      </c>
      <c r="K68" s="456">
        <f>BN14</f>
        <v>0</v>
      </c>
      <c r="L68" s="456">
        <f>BN15</f>
        <v>0</v>
      </c>
      <c r="M68" s="456">
        <f>BN16</f>
        <v>159.56</v>
      </c>
      <c r="N68" s="456">
        <f>BN17</f>
        <v>125.17</v>
      </c>
      <c r="O68" s="456">
        <f>BN18</f>
        <v>3920.25</v>
      </c>
      <c r="P68" s="456">
        <f>BN19</f>
        <v>896.86</v>
      </c>
      <c r="Q68" s="456">
        <f>BN20</f>
        <v>0</v>
      </c>
      <c r="R68" s="456">
        <f>BN21</f>
        <v>3023.39</v>
      </c>
      <c r="S68" s="456">
        <f>BN22</f>
        <v>200.16</v>
      </c>
      <c r="T68" s="456">
        <f>BN23</f>
        <v>0</v>
      </c>
      <c r="U68" s="456">
        <f>BN24</f>
        <v>0</v>
      </c>
      <c r="V68" s="456">
        <f>BN25</f>
        <v>1179.6295</v>
      </c>
      <c r="W68" s="456">
        <f>BN26</f>
        <v>0.68</v>
      </c>
      <c r="X68" s="456">
        <f>BN27</f>
        <v>0</v>
      </c>
      <c r="Y68" s="456">
        <f>BN28</f>
        <v>0</v>
      </c>
      <c r="Z68" s="456">
        <f>BN29</f>
        <v>0</v>
      </c>
      <c r="AA68" s="456">
        <f>BN30</f>
        <v>0</v>
      </c>
      <c r="AB68" s="456">
        <f>BN31</f>
        <v>3.21</v>
      </c>
      <c r="AC68" s="456">
        <f>BN32</f>
        <v>6.8199999999999994</v>
      </c>
      <c r="AD68" s="456">
        <f>BN33</f>
        <v>0</v>
      </c>
      <c r="AE68" s="456">
        <f>BN34</f>
        <v>218.91950000000006</v>
      </c>
      <c r="AF68" s="456">
        <f>BN35</f>
        <v>0.22</v>
      </c>
      <c r="AG68" s="456">
        <f>BN36</f>
        <v>0.12</v>
      </c>
      <c r="AH68" s="456">
        <f>BN37</f>
        <v>3.33</v>
      </c>
      <c r="AI68" s="456">
        <f>BN38</f>
        <v>1.0794999999999999</v>
      </c>
      <c r="AJ68" s="456">
        <f>BN39</f>
        <v>0</v>
      </c>
      <c r="AK68" s="456">
        <f>BN40</f>
        <v>0</v>
      </c>
      <c r="AL68" s="456">
        <f>BN41</f>
        <v>186.36</v>
      </c>
      <c r="AM68" s="456">
        <f>BN42</f>
        <v>27.4</v>
      </c>
      <c r="AN68" s="456">
        <f>BN43</f>
        <v>0.03</v>
      </c>
      <c r="AO68" s="456">
        <f>BN44</f>
        <v>0.02</v>
      </c>
      <c r="AP68" s="456">
        <f>BN45</f>
        <v>0.36</v>
      </c>
      <c r="AQ68" s="456">
        <f>BN46</f>
        <v>0</v>
      </c>
      <c r="AR68" s="456">
        <f>BN47</f>
        <v>0</v>
      </c>
      <c r="AS68" s="456">
        <f>BN48</f>
        <v>36.15</v>
      </c>
      <c r="AT68" s="456">
        <f>BN49</f>
        <v>22.45</v>
      </c>
      <c r="AU68" s="456">
        <f>BN50</f>
        <v>0</v>
      </c>
      <c r="AV68" s="456">
        <f>BN51</f>
        <v>0.47</v>
      </c>
      <c r="AW68" s="456">
        <f>BN52</f>
        <v>0</v>
      </c>
      <c r="AX68" s="456">
        <f>BN53</f>
        <v>0</v>
      </c>
      <c r="AY68" s="456">
        <f>BN54</f>
        <v>0</v>
      </c>
      <c r="AZ68" s="456">
        <f>BN55</f>
        <v>16.57</v>
      </c>
      <c r="BA68" s="456">
        <f>BN56</f>
        <v>271.84000000000003</v>
      </c>
      <c r="BB68" s="456">
        <f>BN57</f>
        <v>0.37</v>
      </c>
      <c r="BC68" s="456">
        <f>BN58</f>
        <v>0.34</v>
      </c>
      <c r="BD68" s="456">
        <f>BN59</f>
        <v>0.56999999999999995</v>
      </c>
      <c r="BE68" s="456">
        <f>BN60</f>
        <v>601.24</v>
      </c>
      <c r="BF68" s="456">
        <f>BN61</f>
        <v>0</v>
      </c>
      <c r="BG68" s="456">
        <f>BN62</f>
        <v>0</v>
      </c>
      <c r="BH68" s="456">
        <f>BN63</f>
        <v>59.13</v>
      </c>
      <c r="BI68" s="456">
        <f>BN64</f>
        <v>55.52</v>
      </c>
      <c r="BJ68" s="456">
        <f>BN65</f>
        <v>3.61</v>
      </c>
      <c r="BK68" s="456">
        <f>BN66</f>
        <v>0</v>
      </c>
      <c r="BL68" s="456"/>
      <c r="BM68" s="456"/>
      <c r="BN68" s="456"/>
      <c r="BO68" s="163"/>
    </row>
    <row r="69" spans="1:68" ht="24.95" customHeight="1">
      <c r="X69">
        <v>224.52</v>
      </c>
    </row>
    <row r="70" spans="1:68" ht="18" customHeight="1">
      <c r="A70" s="1300" t="s">
        <v>10</v>
      </c>
      <c r="B70" s="1300"/>
    </row>
    <row r="71" spans="1:68" ht="28.5" customHeight="1">
      <c r="A71" s="1300" t="s">
        <v>321</v>
      </c>
      <c r="B71" s="1300"/>
      <c r="C71" s="1300"/>
      <c r="D71" s="1300"/>
      <c r="E71" s="1300"/>
      <c r="F71" s="1300"/>
      <c r="G71" s="1300"/>
      <c r="H71" s="1300"/>
      <c r="I71" s="1300"/>
      <c r="J71" s="1300"/>
      <c r="K71" s="1300"/>
      <c r="L71" s="1300"/>
      <c r="M71" s="1300"/>
      <c r="N71" s="1300"/>
      <c r="O71" s="1300"/>
      <c r="P71" s="1300"/>
      <c r="Q71" s="1300"/>
      <c r="R71" s="1300"/>
      <c r="S71" s="1300"/>
      <c r="T71" s="1300"/>
      <c r="U71" s="1300"/>
      <c r="V71" s="1300"/>
      <c r="W71" s="1300"/>
      <c r="X71" s="1300"/>
      <c r="Y71" s="1300"/>
      <c r="Z71" s="1300"/>
      <c r="AA71" s="1300"/>
      <c r="AB71" s="1300"/>
      <c r="AC71" s="1300"/>
      <c r="AD71" s="1300"/>
      <c r="AE71" s="1300"/>
      <c r="AF71" s="1300"/>
      <c r="AG71" s="1300"/>
      <c r="AH71" s="1300"/>
      <c r="AI71" s="1300"/>
      <c r="AJ71" s="1300"/>
      <c r="AK71" s="1300"/>
      <c r="AL71" s="1300"/>
      <c r="AM71" s="1300"/>
      <c r="AN71" s="1300"/>
      <c r="AO71" s="1300"/>
      <c r="AP71" s="1300"/>
      <c r="AQ71" s="1300"/>
      <c r="AR71" s="1300"/>
      <c r="AS71" s="1300"/>
    </row>
    <row r="72" spans="1:68" ht="24.75" customHeight="1">
      <c r="A72" s="1300" t="s">
        <v>322</v>
      </c>
      <c r="B72" s="1300"/>
      <c r="C72" s="1300"/>
      <c r="D72" s="1300"/>
      <c r="E72" s="1300"/>
      <c r="F72" s="1300"/>
      <c r="G72" s="1300"/>
      <c r="H72" s="1300"/>
      <c r="I72" s="1300"/>
      <c r="J72" s="1300"/>
      <c r="K72" s="1300"/>
      <c r="L72" s="1300"/>
      <c r="M72" s="1300"/>
      <c r="N72" s="1300"/>
      <c r="O72" s="1300"/>
      <c r="P72" s="1300"/>
      <c r="Q72" s="1300"/>
      <c r="R72" s="1300"/>
      <c r="S72" s="1300"/>
      <c r="T72" s="1300"/>
      <c r="U72" s="1300"/>
      <c r="V72" s="1300"/>
      <c r="W72" s="1300"/>
      <c r="X72" s="1300"/>
      <c r="Y72" s="1300"/>
      <c r="Z72" s="1300"/>
      <c r="AA72" s="1300"/>
      <c r="AB72" s="1300"/>
      <c r="AC72" s="1300"/>
      <c r="AD72" s="1300"/>
      <c r="AE72" s="1300"/>
      <c r="AF72" s="1300"/>
      <c r="AG72" s="1300"/>
      <c r="AH72" s="1300"/>
      <c r="AI72" s="1300"/>
      <c r="AJ72" s="1300"/>
      <c r="AK72" s="1300"/>
      <c r="AL72" s="1300"/>
      <c r="AM72" s="1300"/>
      <c r="AN72" s="1300"/>
      <c r="AO72" s="1300"/>
      <c r="AP72" s="1300"/>
      <c r="AQ72" s="1300"/>
      <c r="AR72" s="1300"/>
      <c r="AS72" s="1300"/>
    </row>
    <row r="73" spans="1:68" ht="21.75" customHeight="1">
      <c r="AR73" s="1300" t="s">
        <v>138</v>
      </c>
      <c r="AS73" s="1300"/>
    </row>
    <row r="74" spans="1:68" ht="31.5" customHeight="1">
      <c r="A74" s="1300" t="s">
        <v>0</v>
      </c>
      <c r="B74" s="1300" t="s">
        <v>12</v>
      </c>
      <c r="C74" s="1300" t="s">
        <v>13</v>
      </c>
      <c r="D74" s="1300" t="s">
        <v>324</v>
      </c>
      <c r="E74" s="1300" t="s">
        <v>326</v>
      </c>
      <c r="F74" s="1300"/>
      <c r="G74" s="1300"/>
      <c r="H74" s="1300"/>
      <c r="I74" s="1300"/>
      <c r="J74" s="1300"/>
      <c r="K74" s="1300"/>
      <c r="L74" s="1300"/>
      <c r="M74" s="1300"/>
      <c r="N74" s="1300"/>
      <c r="O74" s="1300"/>
      <c r="P74" s="1300"/>
      <c r="Q74" s="1300"/>
      <c r="R74" s="1300"/>
      <c r="S74" s="1300"/>
      <c r="T74" s="1300"/>
      <c r="U74" s="1300"/>
      <c r="V74" s="1300"/>
      <c r="W74" s="1300"/>
      <c r="X74" s="1300"/>
      <c r="Y74" s="1300"/>
      <c r="Z74" s="1300"/>
      <c r="AA74" s="1300"/>
      <c r="AB74" s="1300"/>
      <c r="AC74" s="1300"/>
      <c r="AD74" s="1300"/>
      <c r="AE74" s="1300"/>
      <c r="AF74" s="1300"/>
      <c r="AG74" s="1300"/>
      <c r="AH74" s="1300"/>
      <c r="AI74" s="1300"/>
      <c r="AJ74" s="1300"/>
      <c r="AK74" s="1300"/>
      <c r="AL74" s="1300"/>
      <c r="AM74" s="1300"/>
      <c r="AN74" s="1300"/>
      <c r="AO74" s="1300"/>
      <c r="AP74" s="1300"/>
      <c r="AQ74" s="1300"/>
      <c r="AR74" s="1300" t="s">
        <v>191</v>
      </c>
      <c r="AS74" s="1300" t="s">
        <v>323</v>
      </c>
    </row>
    <row r="75" spans="1:68" ht="30" customHeight="1">
      <c r="A75" s="1300"/>
      <c r="B75" s="1300"/>
      <c r="C75" s="1300"/>
      <c r="D75" s="1300"/>
      <c r="E75" t="s">
        <v>15</v>
      </c>
      <c r="F75" t="s">
        <v>18</v>
      </c>
      <c r="G75" t="s">
        <v>20</v>
      </c>
      <c r="H75" t="s">
        <v>23</v>
      </c>
      <c r="I75" t="s">
        <v>26</v>
      </c>
      <c r="J75" t="s">
        <v>29</v>
      </c>
      <c r="K75" t="s">
        <v>32</v>
      </c>
      <c r="L75" t="s">
        <v>35</v>
      </c>
      <c r="M75" t="s">
        <v>38</v>
      </c>
      <c r="N75" t="s">
        <v>41</v>
      </c>
      <c r="O75" t="s">
        <v>44</v>
      </c>
      <c r="P75" t="s">
        <v>46</v>
      </c>
      <c r="Q75" t="s">
        <v>49</v>
      </c>
      <c r="R75" t="s">
        <v>52</v>
      </c>
      <c r="S75" t="s">
        <v>55</v>
      </c>
      <c r="T75" t="s">
        <v>58</v>
      </c>
      <c r="U75" t="s">
        <v>61</v>
      </c>
      <c r="V75" t="s">
        <v>64</v>
      </c>
      <c r="W75" t="s">
        <v>67</v>
      </c>
      <c r="X75" t="s">
        <v>70</v>
      </c>
      <c r="Y75" t="s">
        <v>72</v>
      </c>
      <c r="Z75" t="s">
        <v>75</v>
      </c>
      <c r="AA75" t="s">
        <v>78</v>
      </c>
      <c r="AB75" t="s">
        <v>81</v>
      </c>
      <c r="AC75" t="s">
        <v>84</v>
      </c>
      <c r="AD75" t="s">
        <v>87</v>
      </c>
      <c r="AE75" t="s">
        <v>90</v>
      </c>
      <c r="AF75" t="s">
        <v>93</v>
      </c>
      <c r="AG75" t="s">
        <v>96</v>
      </c>
      <c r="AH75" t="s">
        <v>99</v>
      </c>
      <c r="AI75" t="s">
        <v>101</v>
      </c>
      <c r="AJ75" t="s">
        <v>104</v>
      </c>
      <c r="AK75" t="s">
        <v>107</v>
      </c>
      <c r="AL75" t="s">
        <v>110</v>
      </c>
      <c r="AM75" t="s">
        <v>113</v>
      </c>
      <c r="AN75" t="s">
        <v>116</v>
      </c>
      <c r="AO75" t="s">
        <v>119</v>
      </c>
      <c r="AP75" t="s">
        <v>122</v>
      </c>
      <c r="AQ75" t="s">
        <v>124</v>
      </c>
      <c r="AR75" s="1300"/>
      <c r="AS75" s="1300"/>
    </row>
    <row r="76" spans="1:68" ht="27.75" customHeight="1">
      <c r="B76" t="s">
        <v>189</v>
      </c>
      <c r="D76">
        <f>D77+D88+D115</f>
        <v>5874.6894999999995</v>
      </c>
      <c r="E76">
        <f t="shared" ref="E76:AS76" si="32">E77+E88+E115</f>
        <v>4635.93</v>
      </c>
      <c r="F76">
        <f t="shared" si="32"/>
        <v>230.79</v>
      </c>
      <c r="G76">
        <f t="shared" si="32"/>
        <v>0</v>
      </c>
      <c r="H76">
        <f t="shared" si="32"/>
        <v>159.56</v>
      </c>
      <c r="I76">
        <f t="shared" si="32"/>
        <v>125.17</v>
      </c>
      <c r="J76">
        <f>J77+J88+J115</f>
        <v>915.98</v>
      </c>
      <c r="K76">
        <f t="shared" si="32"/>
        <v>-269.69000000000005</v>
      </c>
      <c r="L76">
        <f t="shared" si="32"/>
        <v>3273.96</v>
      </c>
      <c r="M76">
        <f t="shared" si="32"/>
        <v>200.16</v>
      </c>
      <c r="N76">
        <f t="shared" si="32"/>
        <v>0</v>
      </c>
      <c r="O76">
        <f t="shared" si="32"/>
        <v>0</v>
      </c>
      <c r="P76">
        <f t="shared" si="32"/>
        <v>1179.6295</v>
      </c>
      <c r="Q76">
        <f t="shared" si="32"/>
        <v>0.68</v>
      </c>
      <c r="R76">
        <f t="shared" si="32"/>
        <v>0</v>
      </c>
      <c r="S76">
        <f t="shared" si="32"/>
        <v>0</v>
      </c>
      <c r="T76">
        <f t="shared" si="32"/>
        <v>0</v>
      </c>
      <c r="U76">
        <f t="shared" si="32"/>
        <v>0</v>
      </c>
      <c r="V76">
        <f t="shared" si="32"/>
        <v>3.21</v>
      </c>
      <c r="W76">
        <f t="shared" si="32"/>
        <v>6.8199999999999994</v>
      </c>
      <c r="X76">
        <f t="shared" si="32"/>
        <v>0</v>
      </c>
      <c r="Y76">
        <f t="shared" si="32"/>
        <v>218.91950000000006</v>
      </c>
      <c r="Z76">
        <f t="shared" si="32"/>
        <v>0</v>
      </c>
      <c r="AA76">
        <f t="shared" si="32"/>
        <v>0</v>
      </c>
      <c r="AB76">
        <f t="shared" si="32"/>
        <v>36.15</v>
      </c>
      <c r="AC76">
        <f t="shared" si="32"/>
        <v>22.450000000000003</v>
      </c>
      <c r="AD76">
        <f t="shared" si="32"/>
        <v>0</v>
      </c>
      <c r="AE76">
        <f t="shared" si="32"/>
        <v>0.47</v>
      </c>
      <c r="AF76">
        <f t="shared" si="32"/>
        <v>0</v>
      </c>
      <c r="AG76">
        <f t="shared" si="32"/>
        <v>0</v>
      </c>
      <c r="AH76">
        <f t="shared" si="32"/>
        <v>0</v>
      </c>
      <c r="AI76">
        <f t="shared" si="32"/>
        <v>16.57</v>
      </c>
      <c r="AJ76">
        <f t="shared" si="32"/>
        <v>271.84000000000003</v>
      </c>
      <c r="AK76">
        <f t="shared" si="32"/>
        <v>0.37</v>
      </c>
      <c r="AL76">
        <f t="shared" si="32"/>
        <v>0.34</v>
      </c>
      <c r="AM76">
        <f t="shared" si="32"/>
        <v>0.56999999999999995</v>
      </c>
      <c r="AN76">
        <f t="shared" si="32"/>
        <v>601.24</v>
      </c>
      <c r="AO76">
        <f t="shared" si="32"/>
        <v>0</v>
      </c>
      <c r="AP76">
        <f t="shared" si="32"/>
        <v>0</v>
      </c>
      <c r="AQ76">
        <f t="shared" si="32"/>
        <v>6.04</v>
      </c>
      <c r="AS76">
        <f t="shared" si="32"/>
        <v>5874.6895000000004</v>
      </c>
    </row>
    <row r="77" spans="1:68" ht="20.25" customHeight="1">
      <c r="A77">
        <v>1</v>
      </c>
      <c r="B77" t="s">
        <v>14</v>
      </c>
      <c r="C77" t="s">
        <v>15</v>
      </c>
      <c r="D77">
        <f>D78+D80+D81+D82+D83+D84+D85+D86+D87</f>
        <v>4919.57</v>
      </c>
      <c r="E77">
        <f t="shared" ref="E77:AS77" si="33">E78+E80+E81+E82+E83+E84+E85+E86+E87</f>
        <v>4622.97</v>
      </c>
      <c r="F77">
        <f t="shared" si="33"/>
        <v>230.79</v>
      </c>
      <c r="G77">
        <f t="shared" si="33"/>
        <v>0</v>
      </c>
      <c r="H77">
        <f t="shared" si="33"/>
        <v>159.56</v>
      </c>
      <c r="I77">
        <f t="shared" si="33"/>
        <v>125.17</v>
      </c>
      <c r="J77">
        <f t="shared" si="33"/>
        <v>915.98</v>
      </c>
      <c r="K77">
        <f t="shared" si="33"/>
        <v>-269.69000000000005</v>
      </c>
      <c r="L77">
        <f t="shared" si="33"/>
        <v>3273.96</v>
      </c>
      <c r="M77">
        <f t="shared" si="33"/>
        <v>187.2</v>
      </c>
      <c r="N77">
        <f t="shared" si="33"/>
        <v>0</v>
      </c>
      <c r="O77">
        <f t="shared" si="33"/>
        <v>0</v>
      </c>
      <c r="P77">
        <f>P78+P80+P81+P82+P83+P84+P85+P86+P87</f>
        <v>296.59999999999997</v>
      </c>
      <c r="Q77">
        <f t="shared" si="33"/>
        <v>0</v>
      </c>
      <c r="R77">
        <f t="shared" si="33"/>
        <v>0</v>
      </c>
      <c r="S77">
        <f t="shared" si="33"/>
        <v>0</v>
      </c>
      <c r="T77">
        <f t="shared" si="33"/>
        <v>0</v>
      </c>
      <c r="U77">
        <f t="shared" si="33"/>
        <v>0</v>
      </c>
      <c r="V77">
        <f t="shared" si="33"/>
        <v>0</v>
      </c>
      <c r="W77">
        <f t="shared" si="33"/>
        <v>1.94</v>
      </c>
      <c r="X77">
        <f t="shared" si="33"/>
        <v>0</v>
      </c>
      <c r="Y77">
        <f t="shared" si="33"/>
        <v>25.34</v>
      </c>
      <c r="Z77">
        <f t="shared" si="33"/>
        <v>0</v>
      </c>
      <c r="AA77">
        <f t="shared" si="33"/>
        <v>0</v>
      </c>
      <c r="AB77">
        <f t="shared" si="33"/>
        <v>0.78</v>
      </c>
      <c r="AC77">
        <f t="shared" si="33"/>
        <v>0.3</v>
      </c>
      <c r="AD77">
        <f t="shared" si="33"/>
        <v>0</v>
      </c>
      <c r="AE77">
        <f t="shared" si="33"/>
        <v>0</v>
      </c>
      <c r="AF77">
        <f t="shared" si="33"/>
        <v>0</v>
      </c>
      <c r="AG77">
        <f t="shared" si="33"/>
        <v>0</v>
      </c>
      <c r="AH77">
        <f t="shared" si="33"/>
        <v>0</v>
      </c>
      <c r="AI77">
        <f t="shared" si="33"/>
        <v>0</v>
      </c>
      <c r="AJ77">
        <f t="shared" si="33"/>
        <v>268.24</v>
      </c>
      <c r="AK77">
        <f t="shared" si="33"/>
        <v>0</v>
      </c>
      <c r="AL77">
        <f t="shared" si="33"/>
        <v>0</v>
      </c>
      <c r="AM77">
        <f t="shared" si="33"/>
        <v>0</v>
      </c>
      <c r="AN77">
        <f t="shared" si="33"/>
        <v>0</v>
      </c>
      <c r="AO77">
        <f t="shared" si="33"/>
        <v>0</v>
      </c>
      <c r="AP77">
        <f t="shared" si="33"/>
        <v>0</v>
      </c>
      <c r="AQ77">
        <f t="shared" si="33"/>
        <v>0</v>
      </c>
      <c r="AR77">
        <f>P77</f>
        <v>296.59999999999997</v>
      </c>
      <c r="AS77">
        <f t="shared" si="33"/>
        <v>4635.93</v>
      </c>
    </row>
    <row r="78" spans="1:68" ht="20.25" customHeight="1">
      <c r="A78" t="s">
        <v>16</v>
      </c>
      <c r="B78" t="s">
        <v>17</v>
      </c>
      <c r="C78" t="s">
        <v>18</v>
      </c>
      <c r="D78">
        <f>D11</f>
        <v>234.95</v>
      </c>
      <c r="E78">
        <f>F78+H78+I78+J78+K78+L78+M78+N78+O78</f>
        <v>231.62</v>
      </c>
      <c r="F78">
        <f>D78-AR78</f>
        <v>230.79</v>
      </c>
      <c r="G78">
        <f>I13</f>
        <v>0</v>
      </c>
      <c r="H78">
        <f>M11</f>
        <v>0</v>
      </c>
      <c r="I78">
        <f>N11</f>
        <v>0</v>
      </c>
      <c r="J78">
        <f t="shared" ref="J78:O79" si="34">P11</f>
        <v>0</v>
      </c>
      <c r="K78">
        <f t="shared" si="34"/>
        <v>0</v>
      </c>
      <c r="L78">
        <f t="shared" si="34"/>
        <v>0</v>
      </c>
      <c r="M78">
        <f t="shared" si="34"/>
        <v>0.83</v>
      </c>
      <c r="N78">
        <f t="shared" si="34"/>
        <v>0</v>
      </c>
      <c r="O78">
        <f t="shared" si="34"/>
        <v>0</v>
      </c>
      <c r="P78">
        <f>SUM(Q78:AP78)</f>
        <v>3.33</v>
      </c>
      <c r="Q78">
        <f t="shared" ref="Q78:Y79" si="35">W11</f>
        <v>0</v>
      </c>
      <c r="R78">
        <f t="shared" si="35"/>
        <v>0</v>
      </c>
      <c r="S78">
        <f t="shared" si="35"/>
        <v>0</v>
      </c>
      <c r="T78">
        <f t="shared" si="35"/>
        <v>0</v>
      </c>
      <c r="U78">
        <f t="shared" si="35"/>
        <v>0</v>
      </c>
      <c r="V78">
        <f t="shared" si="35"/>
        <v>0</v>
      </c>
      <c r="W78">
        <f t="shared" si="35"/>
        <v>0</v>
      </c>
      <c r="X78">
        <f t="shared" si="35"/>
        <v>0</v>
      </c>
      <c r="Y78">
        <f t="shared" si="35"/>
        <v>0.68</v>
      </c>
      <c r="Z78">
        <f>AQ11</f>
        <v>0</v>
      </c>
      <c r="AA78">
        <f t="shared" ref="AA78:AQ79" si="36">AR11</f>
        <v>0</v>
      </c>
      <c r="AB78">
        <f t="shared" si="36"/>
        <v>0</v>
      </c>
      <c r="AC78">
        <f t="shared" si="36"/>
        <v>0</v>
      </c>
      <c r="AD78">
        <f t="shared" si="36"/>
        <v>0</v>
      </c>
      <c r="AE78">
        <f t="shared" si="36"/>
        <v>0</v>
      </c>
      <c r="AF78">
        <f t="shared" si="36"/>
        <v>0</v>
      </c>
      <c r="AG78">
        <f t="shared" si="36"/>
        <v>0</v>
      </c>
      <c r="AH78">
        <f t="shared" si="36"/>
        <v>0</v>
      </c>
      <c r="AI78">
        <f t="shared" si="36"/>
        <v>0</v>
      </c>
      <c r="AJ78">
        <f t="shared" si="36"/>
        <v>2.65</v>
      </c>
      <c r="AK78">
        <f t="shared" si="36"/>
        <v>0</v>
      </c>
      <c r="AL78">
        <f t="shared" si="36"/>
        <v>0</v>
      </c>
      <c r="AM78">
        <f t="shared" si="36"/>
        <v>0</v>
      </c>
      <c r="AN78">
        <f t="shared" si="36"/>
        <v>0</v>
      </c>
      <c r="AO78">
        <f t="shared" si="36"/>
        <v>0</v>
      </c>
      <c r="AP78">
        <f t="shared" si="36"/>
        <v>0</v>
      </c>
      <c r="AQ78">
        <f t="shared" si="36"/>
        <v>0</v>
      </c>
      <c r="AR78">
        <f>H78+I78+J78+K78+L78+M78+N78+O78+P78+AQ78</f>
        <v>4.16</v>
      </c>
      <c r="AS78">
        <f>D78+F116-AR78</f>
        <v>230.79</v>
      </c>
    </row>
    <row r="79" spans="1:68" ht="20.25" customHeight="1">
      <c r="B79" t="s">
        <v>19</v>
      </c>
      <c r="C79" t="s">
        <v>20</v>
      </c>
      <c r="D79">
        <f>D12</f>
        <v>43.16</v>
      </c>
      <c r="E79">
        <f t="shared" ref="E79:E114" si="37">F79+H79+I79+J79+K79+L79+M79+N79+O79</f>
        <v>0</v>
      </c>
      <c r="G79">
        <f>D79-AR79</f>
        <v>43.129999999999995</v>
      </c>
      <c r="H79">
        <f>M12</f>
        <v>0</v>
      </c>
      <c r="I79">
        <f>N12</f>
        <v>0</v>
      </c>
      <c r="J79">
        <f t="shared" si="34"/>
        <v>0</v>
      </c>
      <c r="K79">
        <f t="shared" si="34"/>
        <v>0</v>
      </c>
      <c r="L79">
        <f t="shared" si="34"/>
        <v>0</v>
      </c>
      <c r="M79">
        <f t="shared" si="34"/>
        <v>0</v>
      </c>
      <c r="N79">
        <f t="shared" si="34"/>
        <v>0</v>
      </c>
      <c r="O79">
        <f t="shared" si="34"/>
        <v>0</v>
      </c>
      <c r="P79">
        <f t="shared" ref="P79:P87" si="38">SUM(Q79:AP79)</f>
        <v>0.03</v>
      </c>
      <c r="Q79">
        <f t="shared" si="35"/>
        <v>0</v>
      </c>
      <c r="R79">
        <f t="shared" si="35"/>
        <v>0</v>
      </c>
      <c r="S79">
        <f t="shared" si="35"/>
        <v>0</v>
      </c>
      <c r="T79">
        <f t="shared" si="35"/>
        <v>0</v>
      </c>
      <c r="U79">
        <f t="shared" si="35"/>
        <v>0</v>
      </c>
      <c r="V79">
        <f t="shared" si="35"/>
        <v>0</v>
      </c>
      <c r="W79">
        <f t="shared" si="35"/>
        <v>0</v>
      </c>
      <c r="X79">
        <f t="shared" si="35"/>
        <v>0</v>
      </c>
      <c r="Y79">
        <f t="shared" si="35"/>
        <v>0.03</v>
      </c>
      <c r="Z79">
        <f>AQ12</f>
        <v>0</v>
      </c>
      <c r="AA79">
        <f t="shared" si="36"/>
        <v>0</v>
      </c>
      <c r="AB79">
        <f t="shared" si="36"/>
        <v>0</v>
      </c>
      <c r="AC79">
        <f t="shared" si="36"/>
        <v>0</v>
      </c>
      <c r="AD79">
        <f t="shared" si="36"/>
        <v>0</v>
      </c>
      <c r="AE79">
        <f t="shared" si="36"/>
        <v>0</v>
      </c>
      <c r="AF79">
        <f t="shared" si="36"/>
        <v>0</v>
      </c>
      <c r="AG79">
        <f t="shared" si="36"/>
        <v>0</v>
      </c>
      <c r="AH79">
        <f t="shared" si="36"/>
        <v>0</v>
      </c>
      <c r="AI79">
        <f t="shared" si="36"/>
        <v>0</v>
      </c>
      <c r="AJ79">
        <f t="shared" si="36"/>
        <v>0</v>
      </c>
      <c r="AK79">
        <f t="shared" si="36"/>
        <v>0</v>
      </c>
      <c r="AL79">
        <f t="shared" si="36"/>
        <v>0</v>
      </c>
      <c r="AM79">
        <f t="shared" si="36"/>
        <v>0</v>
      </c>
      <c r="AN79">
        <f t="shared" si="36"/>
        <v>0</v>
      </c>
      <c r="AO79">
        <f t="shared" si="36"/>
        <v>0</v>
      </c>
      <c r="AP79">
        <f t="shared" si="36"/>
        <v>0</v>
      </c>
      <c r="AQ79">
        <f t="shared" si="36"/>
        <v>0</v>
      </c>
      <c r="AR79">
        <f>F79+H79+I79+J79+K79+L79+M79+N79+O79+P79</f>
        <v>0.03</v>
      </c>
      <c r="AS79">
        <f>D79+G116-AR79</f>
        <v>43.129999999999995</v>
      </c>
    </row>
    <row r="80" spans="1:68" ht="20.25" customHeight="1">
      <c r="A80" t="s">
        <v>21</v>
      </c>
      <c r="B80" t="s">
        <v>22</v>
      </c>
      <c r="C80" t="s">
        <v>23</v>
      </c>
      <c r="D80">
        <f>D16</f>
        <v>163.37</v>
      </c>
      <c r="E80">
        <f t="shared" si="37"/>
        <v>162.9</v>
      </c>
      <c r="F80">
        <f>H16</f>
        <v>0</v>
      </c>
      <c r="G80">
        <f>I16</f>
        <v>0</v>
      </c>
      <c r="H80">
        <f>D80-AR80</f>
        <v>159.56</v>
      </c>
      <c r="I80">
        <f>N16</f>
        <v>0</v>
      </c>
      <c r="J80">
        <f t="shared" ref="J80:O81" si="39">P16</f>
        <v>0</v>
      </c>
      <c r="K80">
        <f t="shared" si="39"/>
        <v>0</v>
      </c>
      <c r="L80">
        <f t="shared" si="39"/>
        <v>0</v>
      </c>
      <c r="M80">
        <f t="shared" si="39"/>
        <v>3.34</v>
      </c>
      <c r="N80">
        <f t="shared" si="39"/>
        <v>0</v>
      </c>
      <c r="O80">
        <f t="shared" si="39"/>
        <v>0</v>
      </c>
      <c r="P80">
        <f t="shared" si="38"/>
        <v>0.47</v>
      </c>
      <c r="Q80">
        <f t="shared" ref="Q80:Y81" si="40">W16</f>
        <v>0</v>
      </c>
      <c r="R80">
        <f t="shared" si="40"/>
        <v>0</v>
      </c>
      <c r="S80">
        <f t="shared" si="40"/>
        <v>0</v>
      </c>
      <c r="T80">
        <f t="shared" si="40"/>
        <v>0</v>
      </c>
      <c r="U80">
        <f t="shared" si="40"/>
        <v>0</v>
      </c>
      <c r="V80">
        <f t="shared" si="40"/>
        <v>0</v>
      </c>
      <c r="W80">
        <f t="shared" si="40"/>
        <v>0.37</v>
      </c>
      <c r="X80">
        <f t="shared" si="40"/>
        <v>0</v>
      </c>
      <c r="Y80">
        <f t="shared" si="40"/>
        <v>0.1</v>
      </c>
      <c r="Z80">
        <f>AQ16</f>
        <v>0</v>
      </c>
      <c r="AA80">
        <f t="shared" ref="AA80:AQ81" si="41">AR16</f>
        <v>0</v>
      </c>
      <c r="AB80">
        <f t="shared" si="41"/>
        <v>0</v>
      </c>
      <c r="AC80">
        <f t="shared" si="41"/>
        <v>0</v>
      </c>
      <c r="AD80">
        <f t="shared" si="41"/>
        <v>0</v>
      </c>
      <c r="AE80">
        <f t="shared" si="41"/>
        <v>0</v>
      </c>
      <c r="AF80">
        <f t="shared" si="41"/>
        <v>0</v>
      </c>
      <c r="AG80">
        <f t="shared" si="41"/>
        <v>0</v>
      </c>
      <c r="AH80">
        <f t="shared" si="41"/>
        <v>0</v>
      </c>
      <c r="AI80">
        <f t="shared" si="41"/>
        <v>0</v>
      </c>
      <c r="AJ80">
        <f t="shared" si="41"/>
        <v>0</v>
      </c>
      <c r="AK80">
        <f t="shared" si="41"/>
        <v>0</v>
      </c>
      <c r="AL80">
        <f t="shared" si="41"/>
        <v>0</v>
      </c>
      <c r="AM80">
        <f t="shared" si="41"/>
        <v>0</v>
      </c>
      <c r="AN80">
        <f t="shared" si="41"/>
        <v>0</v>
      </c>
      <c r="AO80">
        <f t="shared" si="41"/>
        <v>0</v>
      </c>
      <c r="AP80">
        <f t="shared" si="41"/>
        <v>0</v>
      </c>
      <c r="AQ80">
        <f t="shared" si="41"/>
        <v>0</v>
      </c>
      <c r="AR80">
        <f>F80+I80+J80+K80+L80+M80+N80+O80+P80</f>
        <v>3.8099999999999996</v>
      </c>
      <c r="AS80">
        <f>D80+H116-AR80</f>
        <v>159.56</v>
      </c>
    </row>
    <row r="81" spans="1:45" ht="20.25" customHeight="1">
      <c r="A81" t="s">
        <v>24</v>
      </c>
      <c r="B81" t="s">
        <v>25</v>
      </c>
      <c r="C81" t="s">
        <v>26</v>
      </c>
      <c r="D81">
        <f>D17</f>
        <v>133.25</v>
      </c>
      <c r="E81">
        <f t="shared" si="37"/>
        <v>132.59</v>
      </c>
      <c r="F81">
        <f>H17</f>
        <v>0</v>
      </c>
      <c r="G81">
        <f>I17</f>
        <v>0</v>
      </c>
      <c r="H81">
        <f>M17</f>
        <v>0</v>
      </c>
      <c r="I81">
        <f>D81-AR81</f>
        <v>125.17</v>
      </c>
      <c r="J81">
        <f t="shared" si="39"/>
        <v>0</v>
      </c>
      <c r="K81">
        <f t="shared" si="39"/>
        <v>0</v>
      </c>
      <c r="L81">
        <f t="shared" si="39"/>
        <v>0</v>
      </c>
      <c r="M81">
        <f t="shared" si="39"/>
        <v>7.42</v>
      </c>
      <c r="N81">
        <f t="shared" si="39"/>
        <v>0</v>
      </c>
      <c r="O81">
        <f t="shared" si="39"/>
        <v>0</v>
      </c>
      <c r="P81">
        <f t="shared" si="38"/>
        <v>0.66</v>
      </c>
      <c r="Q81">
        <f t="shared" si="40"/>
        <v>0</v>
      </c>
      <c r="R81">
        <f t="shared" si="40"/>
        <v>0</v>
      </c>
      <c r="S81">
        <f t="shared" si="40"/>
        <v>0</v>
      </c>
      <c r="T81">
        <f t="shared" si="40"/>
        <v>0</v>
      </c>
      <c r="U81">
        <f t="shared" si="40"/>
        <v>0</v>
      </c>
      <c r="V81">
        <f t="shared" si="40"/>
        <v>0</v>
      </c>
      <c r="W81">
        <f t="shared" si="40"/>
        <v>0</v>
      </c>
      <c r="X81">
        <f t="shared" si="40"/>
        <v>0</v>
      </c>
      <c r="Y81">
        <f t="shared" si="40"/>
        <v>0.23</v>
      </c>
      <c r="Z81">
        <f>AQ17</f>
        <v>0</v>
      </c>
      <c r="AA81">
        <f t="shared" si="41"/>
        <v>0</v>
      </c>
      <c r="AB81">
        <f t="shared" si="41"/>
        <v>0</v>
      </c>
      <c r="AC81">
        <f t="shared" si="41"/>
        <v>0.3</v>
      </c>
      <c r="AD81">
        <f t="shared" si="41"/>
        <v>0</v>
      </c>
      <c r="AE81">
        <f t="shared" si="41"/>
        <v>0</v>
      </c>
      <c r="AF81">
        <f t="shared" si="41"/>
        <v>0</v>
      </c>
      <c r="AG81">
        <f t="shared" si="41"/>
        <v>0</v>
      </c>
      <c r="AH81">
        <f t="shared" si="41"/>
        <v>0</v>
      </c>
      <c r="AI81">
        <f t="shared" si="41"/>
        <v>0</v>
      </c>
      <c r="AJ81">
        <f t="shared" si="41"/>
        <v>0.13</v>
      </c>
      <c r="AK81">
        <f t="shared" si="41"/>
        <v>0</v>
      </c>
      <c r="AL81">
        <f t="shared" si="41"/>
        <v>0</v>
      </c>
      <c r="AM81">
        <f t="shared" si="41"/>
        <v>0</v>
      </c>
      <c r="AN81">
        <f t="shared" si="41"/>
        <v>0</v>
      </c>
      <c r="AO81">
        <f t="shared" si="41"/>
        <v>0</v>
      </c>
      <c r="AP81">
        <f t="shared" si="41"/>
        <v>0</v>
      </c>
      <c r="AQ81">
        <f t="shared" si="41"/>
        <v>0</v>
      </c>
      <c r="AR81">
        <f>F81+H81+J81+K81+L81+M81+N81+O81+P81</f>
        <v>8.08</v>
      </c>
      <c r="AS81">
        <f>D81+I116-AR81</f>
        <v>125.17</v>
      </c>
    </row>
    <row r="82" spans="1:45" ht="20.25" customHeight="1">
      <c r="A82" t="s">
        <v>27</v>
      </c>
      <c r="B82" t="s">
        <v>28</v>
      </c>
      <c r="C82" t="s">
        <v>29</v>
      </c>
      <c r="D82">
        <f t="shared" ref="D82:D87" si="42">D19</f>
        <v>915.98</v>
      </c>
      <c r="E82">
        <f t="shared" si="37"/>
        <v>915.98</v>
      </c>
      <c r="F82">
        <f>H20</f>
        <v>0</v>
      </c>
      <c r="G82">
        <f>I20</f>
        <v>0</v>
      </c>
      <c r="H82">
        <f>M20</f>
        <v>0</v>
      </c>
      <c r="I82">
        <f>N20</f>
        <v>0</v>
      </c>
      <c r="J82">
        <f>D82-AR82</f>
        <v>915.98</v>
      </c>
      <c r="K82">
        <f>Q19</f>
        <v>0</v>
      </c>
      <c r="L82">
        <f>R19</f>
        <v>0</v>
      </c>
      <c r="M82">
        <f t="shared" ref="M82:O83" si="43">S20</f>
        <v>0</v>
      </c>
      <c r="N82">
        <f t="shared" si="43"/>
        <v>0</v>
      </c>
      <c r="O82">
        <f t="shared" si="43"/>
        <v>0</v>
      </c>
      <c r="P82">
        <f t="shared" si="38"/>
        <v>0</v>
      </c>
      <c r="Q82">
        <f>W20</f>
        <v>0</v>
      </c>
      <c r="R82">
        <f>X20</f>
        <v>0</v>
      </c>
      <c r="S82">
        <f>Z20</f>
        <v>0</v>
      </c>
      <c r="T82">
        <f t="shared" ref="T82:Y83" si="44">Z20</f>
        <v>0</v>
      </c>
      <c r="U82">
        <f t="shared" si="44"/>
        <v>0</v>
      </c>
      <c r="V82">
        <f t="shared" si="44"/>
        <v>0</v>
      </c>
      <c r="W82">
        <f t="shared" si="44"/>
        <v>0</v>
      </c>
      <c r="X82">
        <f t="shared" si="44"/>
        <v>0</v>
      </c>
      <c r="Y82">
        <f t="shared" si="44"/>
        <v>0</v>
      </c>
      <c r="Z82">
        <f>AQ20</f>
        <v>0</v>
      </c>
      <c r="AA82">
        <f t="shared" ref="AA82:AQ83" si="45">AR20</f>
        <v>0</v>
      </c>
      <c r="AB82">
        <f t="shared" si="45"/>
        <v>0</v>
      </c>
      <c r="AC82">
        <f t="shared" si="45"/>
        <v>0</v>
      </c>
      <c r="AD82">
        <f t="shared" si="45"/>
        <v>0</v>
      </c>
      <c r="AE82">
        <f t="shared" si="45"/>
        <v>0</v>
      </c>
      <c r="AF82">
        <f t="shared" si="45"/>
        <v>0</v>
      </c>
      <c r="AG82">
        <f t="shared" si="45"/>
        <v>0</v>
      </c>
      <c r="AH82">
        <f t="shared" si="45"/>
        <v>0</v>
      </c>
      <c r="AI82">
        <f t="shared" si="45"/>
        <v>0</v>
      </c>
      <c r="AJ82">
        <f t="shared" si="45"/>
        <v>0</v>
      </c>
      <c r="AK82">
        <f t="shared" si="45"/>
        <v>0</v>
      </c>
      <c r="AL82">
        <f t="shared" si="45"/>
        <v>0</v>
      </c>
      <c r="AM82">
        <f t="shared" si="45"/>
        <v>0</v>
      </c>
      <c r="AN82">
        <f t="shared" si="45"/>
        <v>0</v>
      </c>
      <c r="AO82">
        <f t="shared" si="45"/>
        <v>0</v>
      </c>
      <c r="AP82">
        <f t="shared" si="45"/>
        <v>0</v>
      </c>
      <c r="AQ82">
        <f t="shared" si="45"/>
        <v>0</v>
      </c>
      <c r="AR82">
        <f>F82+H82+I82+K82+L82+M82+N82+O82+P82</f>
        <v>0</v>
      </c>
      <c r="AS82">
        <f>D82+J116-AR82</f>
        <v>915.98</v>
      </c>
    </row>
    <row r="83" spans="1:45" ht="20.25" customHeight="1">
      <c r="A83" t="s">
        <v>30</v>
      </c>
      <c r="B83" t="s">
        <v>31</v>
      </c>
      <c r="C83" t="s">
        <v>32</v>
      </c>
      <c r="D83">
        <f t="shared" si="42"/>
        <v>0</v>
      </c>
      <c r="E83">
        <f t="shared" si="37"/>
        <v>-269.40000000000003</v>
      </c>
      <c r="F83">
        <f>H21</f>
        <v>0</v>
      </c>
      <c r="G83">
        <f>I21</f>
        <v>0</v>
      </c>
      <c r="H83">
        <f>M21</f>
        <v>0</v>
      </c>
      <c r="I83">
        <f>N21</f>
        <v>0</v>
      </c>
      <c r="J83">
        <f>P20</f>
        <v>0</v>
      </c>
      <c r="K83">
        <f>D83-AR83</f>
        <v>-269.69000000000005</v>
      </c>
      <c r="L83">
        <f>R20</f>
        <v>0</v>
      </c>
      <c r="M83">
        <f t="shared" si="43"/>
        <v>0.28999999999999998</v>
      </c>
      <c r="N83">
        <f t="shared" si="43"/>
        <v>0</v>
      </c>
      <c r="O83">
        <f t="shared" si="43"/>
        <v>0</v>
      </c>
      <c r="P83">
        <f t="shared" si="38"/>
        <v>269.40000000000003</v>
      </c>
      <c r="Q83">
        <f>W21</f>
        <v>0</v>
      </c>
      <c r="R83">
        <f>X21</f>
        <v>0</v>
      </c>
      <c r="S83">
        <f>Z21</f>
        <v>0</v>
      </c>
      <c r="T83">
        <f t="shared" si="44"/>
        <v>0</v>
      </c>
      <c r="U83">
        <f t="shared" si="44"/>
        <v>0</v>
      </c>
      <c r="V83">
        <f t="shared" si="44"/>
        <v>0</v>
      </c>
      <c r="W83">
        <f t="shared" si="44"/>
        <v>0</v>
      </c>
      <c r="X83">
        <f t="shared" si="44"/>
        <v>0</v>
      </c>
      <c r="Y83">
        <f t="shared" si="44"/>
        <v>5.4</v>
      </c>
      <c r="Z83">
        <f>AQ21</f>
        <v>0</v>
      </c>
      <c r="AA83">
        <f t="shared" si="45"/>
        <v>0</v>
      </c>
      <c r="AB83">
        <f t="shared" si="45"/>
        <v>0.78</v>
      </c>
      <c r="AC83">
        <f t="shared" si="45"/>
        <v>0</v>
      </c>
      <c r="AD83">
        <f t="shared" si="45"/>
        <v>0</v>
      </c>
      <c r="AE83">
        <f t="shared" si="45"/>
        <v>0</v>
      </c>
      <c r="AF83">
        <f t="shared" si="45"/>
        <v>0</v>
      </c>
      <c r="AG83">
        <f t="shared" si="45"/>
        <v>0</v>
      </c>
      <c r="AH83">
        <f t="shared" si="45"/>
        <v>0</v>
      </c>
      <c r="AI83">
        <f t="shared" si="45"/>
        <v>0</v>
      </c>
      <c r="AJ83">
        <f t="shared" si="45"/>
        <v>263.22000000000003</v>
      </c>
      <c r="AK83">
        <f t="shared" si="45"/>
        <v>0</v>
      </c>
      <c r="AL83">
        <f t="shared" si="45"/>
        <v>0</v>
      </c>
      <c r="AM83">
        <f t="shared" si="45"/>
        <v>0</v>
      </c>
      <c r="AN83">
        <f t="shared" si="45"/>
        <v>0</v>
      </c>
      <c r="AO83">
        <f t="shared" si="45"/>
        <v>0</v>
      </c>
      <c r="AP83">
        <f t="shared" si="45"/>
        <v>0</v>
      </c>
      <c r="AQ83">
        <f t="shared" si="45"/>
        <v>0</v>
      </c>
      <c r="AR83">
        <f>F83+H83+I83+J83+L83+M83+N83+O83+P83</f>
        <v>269.69000000000005</v>
      </c>
      <c r="AS83">
        <f>D83+K116-AR83</f>
        <v>-269.69000000000005</v>
      </c>
    </row>
    <row r="84" spans="1:45" ht="20.25" customHeight="1">
      <c r="A84" t="s">
        <v>33</v>
      </c>
      <c r="B84" t="s">
        <v>34</v>
      </c>
      <c r="C84" t="s">
        <v>35</v>
      </c>
      <c r="D84">
        <f t="shared" si="42"/>
        <v>3293.08</v>
      </c>
      <c r="E84">
        <f t="shared" si="37"/>
        <v>3274.7400000000002</v>
      </c>
      <c r="F84">
        <f>H19</f>
        <v>0</v>
      </c>
      <c r="G84">
        <f>I19</f>
        <v>0</v>
      </c>
      <c r="H84">
        <f>M19</f>
        <v>0</v>
      </c>
      <c r="I84">
        <f>N19</f>
        <v>0</v>
      </c>
      <c r="J84">
        <f>P21</f>
        <v>0</v>
      </c>
      <c r="K84">
        <f>Q21</f>
        <v>0</v>
      </c>
      <c r="L84">
        <f>D84-AR84</f>
        <v>3273.96</v>
      </c>
      <c r="M84">
        <f>S19</f>
        <v>0.78</v>
      </c>
      <c r="N84">
        <f>T19</f>
        <v>0</v>
      </c>
      <c r="O84">
        <f>U19</f>
        <v>0</v>
      </c>
      <c r="P84">
        <f t="shared" si="38"/>
        <v>18.34</v>
      </c>
      <c r="Q84">
        <f t="shared" ref="Q84:Y84" si="46">W19</f>
        <v>0</v>
      </c>
      <c r="R84">
        <f t="shared" si="46"/>
        <v>0</v>
      </c>
      <c r="S84">
        <f t="shared" si="46"/>
        <v>0</v>
      </c>
      <c r="T84">
        <f t="shared" si="46"/>
        <v>0</v>
      </c>
      <c r="U84">
        <f t="shared" si="46"/>
        <v>0</v>
      </c>
      <c r="V84">
        <f t="shared" si="46"/>
        <v>0</v>
      </c>
      <c r="W84">
        <f t="shared" si="46"/>
        <v>0</v>
      </c>
      <c r="X84">
        <f t="shared" si="46"/>
        <v>0</v>
      </c>
      <c r="Y84">
        <f t="shared" si="46"/>
        <v>18.34</v>
      </c>
      <c r="Z84">
        <f>AQ19</f>
        <v>0</v>
      </c>
      <c r="AA84">
        <f t="shared" ref="AA84:AQ84" si="47">AR19</f>
        <v>0</v>
      </c>
      <c r="AB84">
        <f t="shared" si="47"/>
        <v>0</v>
      </c>
      <c r="AC84">
        <f t="shared" si="47"/>
        <v>0</v>
      </c>
      <c r="AD84">
        <f t="shared" si="47"/>
        <v>0</v>
      </c>
      <c r="AE84">
        <f t="shared" si="47"/>
        <v>0</v>
      </c>
      <c r="AF84">
        <f t="shared" si="47"/>
        <v>0</v>
      </c>
      <c r="AG84">
        <f t="shared" si="47"/>
        <v>0</v>
      </c>
      <c r="AH84">
        <f t="shared" si="47"/>
        <v>0</v>
      </c>
      <c r="AI84">
        <f t="shared" si="47"/>
        <v>0</v>
      </c>
      <c r="AJ84">
        <f t="shared" si="47"/>
        <v>0</v>
      </c>
      <c r="AK84">
        <f t="shared" si="47"/>
        <v>0</v>
      </c>
      <c r="AL84">
        <f t="shared" si="47"/>
        <v>0</v>
      </c>
      <c r="AM84">
        <f t="shared" si="47"/>
        <v>0</v>
      </c>
      <c r="AN84">
        <f t="shared" si="47"/>
        <v>0</v>
      </c>
      <c r="AO84">
        <f t="shared" si="47"/>
        <v>0</v>
      </c>
      <c r="AP84">
        <f t="shared" si="47"/>
        <v>0</v>
      </c>
      <c r="AQ84">
        <f t="shared" si="47"/>
        <v>0</v>
      </c>
      <c r="AR84">
        <f>F84+H84+I84+J84+K84+M84+N84+O84+P84</f>
        <v>19.12</v>
      </c>
      <c r="AS84">
        <f>D84+L116-AR84</f>
        <v>3273.96</v>
      </c>
    </row>
    <row r="85" spans="1:45" ht="20.25" customHeight="1">
      <c r="A85" t="s">
        <v>36</v>
      </c>
      <c r="B85" t="s">
        <v>37</v>
      </c>
      <c r="C85" t="s">
        <v>38</v>
      </c>
      <c r="D85">
        <f t="shared" si="42"/>
        <v>178.94</v>
      </c>
      <c r="E85">
        <f t="shared" si="37"/>
        <v>174.54</v>
      </c>
      <c r="F85">
        <f t="shared" ref="F85:G87" si="48">H22</f>
        <v>0</v>
      </c>
      <c r="G85">
        <f t="shared" si="48"/>
        <v>0</v>
      </c>
      <c r="H85">
        <f t="shared" ref="H85:I87" si="49">M22</f>
        <v>0</v>
      </c>
      <c r="I85">
        <f t="shared" si="49"/>
        <v>0</v>
      </c>
      <c r="J85">
        <f>P22</f>
        <v>0</v>
      </c>
      <c r="K85">
        <f>Q22</f>
        <v>0</v>
      </c>
      <c r="L85">
        <f>R22</f>
        <v>0</v>
      </c>
      <c r="M85">
        <f>D85-AR85</f>
        <v>174.54</v>
      </c>
      <c r="N85">
        <f>T22</f>
        <v>0</v>
      </c>
      <c r="O85">
        <f>U22</f>
        <v>0</v>
      </c>
      <c r="P85">
        <f>SUM(Q85:AP85)</f>
        <v>4.4000000000000004</v>
      </c>
      <c r="Q85">
        <f t="shared" ref="Q85:Y87" si="50">W22</f>
        <v>0</v>
      </c>
      <c r="R85">
        <f t="shared" si="50"/>
        <v>0</v>
      </c>
      <c r="S85">
        <f t="shared" si="50"/>
        <v>0</v>
      </c>
      <c r="T85">
        <f t="shared" si="50"/>
        <v>0</v>
      </c>
      <c r="U85">
        <f t="shared" si="50"/>
        <v>0</v>
      </c>
      <c r="V85">
        <f t="shared" si="50"/>
        <v>0</v>
      </c>
      <c r="W85">
        <f t="shared" si="50"/>
        <v>1.57</v>
      </c>
      <c r="X85">
        <f t="shared" si="50"/>
        <v>0</v>
      </c>
      <c r="Y85">
        <f t="shared" si="50"/>
        <v>0.59</v>
      </c>
      <c r="Z85">
        <f t="shared" ref="Z85:AP85" si="51">AQ22</f>
        <v>0</v>
      </c>
      <c r="AA85">
        <f t="shared" si="51"/>
        <v>0</v>
      </c>
      <c r="AB85">
        <f t="shared" si="51"/>
        <v>0</v>
      </c>
      <c r="AC85">
        <f t="shared" si="51"/>
        <v>0</v>
      </c>
      <c r="AD85">
        <f t="shared" si="51"/>
        <v>0</v>
      </c>
      <c r="AE85">
        <f t="shared" si="51"/>
        <v>0</v>
      </c>
      <c r="AF85">
        <f t="shared" si="51"/>
        <v>0</v>
      </c>
      <c r="AG85">
        <f t="shared" si="51"/>
        <v>0</v>
      </c>
      <c r="AH85">
        <f t="shared" si="51"/>
        <v>0</v>
      </c>
      <c r="AI85">
        <f t="shared" si="51"/>
        <v>0</v>
      </c>
      <c r="AJ85">
        <f t="shared" si="51"/>
        <v>2.2400000000000002</v>
      </c>
      <c r="AK85">
        <f t="shared" si="51"/>
        <v>0</v>
      </c>
      <c r="AL85">
        <f t="shared" si="51"/>
        <v>0</v>
      </c>
      <c r="AM85">
        <f t="shared" si="51"/>
        <v>0</v>
      </c>
      <c r="AN85">
        <f t="shared" si="51"/>
        <v>0</v>
      </c>
      <c r="AO85">
        <f t="shared" si="51"/>
        <v>0</v>
      </c>
      <c r="AP85">
        <f t="shared" si="51"/>
        <v>0</v>
      </c>
      <c r="AQ85">
        <f t="shared" ref="AA85:AQ87" si="52">BH22</f>
        <v>0</v>
      </c>
      <c r="AR85">
        <f>F85+H85+I85+J85+K85+L85+N85+O85+P85</f>
        <v>4.4000000000000004</v>
      </c>
      <c r="AS85">
        <f>D85+M116-AR85</f>
        <v>200.16</v>
      </c>
    </row>
    <row r="86" spans="1:45" ht="20.25" customHeight="1">
      <c r="A86" t="s">
        <v>39</v>
      </c>
      <c r="B86" t="s">
        <v>40</v>
      </c>
      <c r="C86" t="s">
        <v>41</v>
      </c>
      <c r="D86">
        <f t="shared" si="42"/>
        <v>0</v>
      </c>
      <c r="E86">
        <f t="shared" si="37"/>
        <v>0</v>
      </c>
      <c r="F86">
        <f t="shared" si="48"/>
        <v>0</v>
      </c>
      <c r="G86">
        <f t="shared" si="48"/>
        <v>0</v>
      </c>
      <c r="H86">
        <f t="shared" si="49"/>
        <v>0</v>
      </c>
      <c r="I86">
        <f t="shared" si="49"/>
        <v>0</v>
      </c>
      <c r="J86">
        <f>P23</f>
        <v>0</v>
      </c>
      <c r="K86">
        <f>Q23</f>
        <v>0</v>
      </c>
      <c r="L86">
        <f>R23</f>
        <v>0</v>
      </c>
      <c r="M86">
        <f>S23</f>
        <v>0</v>
      </c>
      <c r="N86">
        <f>D86-AR86</f>
        <v>0</v>
      </c>
      <c r="O86">
        <f>U23</f>
        <v>0</v>
      </c>
      <c r="P86">
        <f t="shared" si="38"/>
        <v>0</v>
      </c>
      <c r="Q86">
        <f t="shared" si="50"/>
        <v>0</v>
      </c>
      <c r="R86">
        <f t="shared" si="50"/>
        <v>0</v>
      </c>
      <c r="S86">
        <f t="shared" si="50"/>
        <v>0</v>
      </c>
      <c r="T86">
        <f t="shared" si="50"/>
        <v>0</v>
      </c>
      <c r="U86">
        <f t="shared" si="50"/>
        <v>0</v>
      </c>
      <c r="V86">
        <f t="shared" si="50"/>
        <v>0</v>
      </c>
      <c r="W86">
        <f t="shared" si="50"/>
        <v>0</v>
      </c>
      <c r="X86">
        <f t="shared" si="50"/>
        <v>0</v>
      </c>
      <c r="Y86">
        <f t="shared" si="50"/>
        <v>0</v>
      </c>
      <c r="Z86">
        <f>AQ23</f>
        <v>0</v>
      </c>
      <c r="AA86">
        <f t="shared" si="52"/>
        <v>0</v>
      </c>
      <c r="AB86">
        <f t="shared" si="52"/>
        <v>0</v>
      </c>
      <c r="AC86">
        <f t="shared" si="52"/>
        <v>0</v>
      </c>
      <c r="AD86">
        <f t="shared" si="52"/>
        <v>0</v>
      </c>
      <c r="AE86">
        <f t="shared" si="52"/>
        <v>0</v>
      </c>
      <c r="AF86">
        <f t="shared" si="52"/>
        <v>0</v>
      </c>
      <c r="AG86">
        <f t="shared" si="52"/>
        <v>0</v>
      </c>
      <c r="AH86">
        <f t="shared" si="52"/>
        <v>0</v>
      </c>
      <c r="AI86">
        <f t="shared" si="52"/>
        <v>0</v>
      </c>
      <c r="AJ86">
        <f t="shared" si="52"/>
        <v>0</v>
      </c>
      <c r="AK86">
        <f t="shared" si="52"/>
        <v>0</v>
      </c>
      <c r="AL86">
        <f t="shared" si="52"/>
        <v>0</v>
      </c>
      <c r="AM86">
        <f t="shared" si="52"/>
        <v>0</v>
      </c>
      <c r="AN86">
        <f t="shared" si="52"/>
        <v>0</v>
      </c>
      <c r="AO86">
        <f t="shared" si="52"/>
        <v>0</v>
      </c>
      <c r="AP86">
        <f t="shared" si="52"/>
        <v>0</v>
      </c>
      <c r="AQ86">
        <f t="shared" si="52"/>
        <v>0</v>
      </c>
      <c r="AR86">
        <f>F86+H86+I86+J86+K86+L86+M86+O86+P86</f>
        <v>0</v>
      </c>
      <c r="AS86">
        <f>D86+N116-AR86</f>
        <v>0</v>
      </c>
    </row>
    <row r="87" spans="1:45" ht="20.25" customHeight="1">
      <c r="A87">
        <v>2</v>
      </c>
      <c r="B87" t="s">
        <v>43</v>
      </c>
      <c r="C87" t="s">
        <v>44</v>
      </c>
      <c r="D87">
        <f t="shared" si="42"/>
        <v>0</v>
      </c>
      <c r="E87">
        <f t="shared" si="37"/>
        <v>0</v>
      </c>
      <c r="F87">
        <f t="shared" si="48"/>
        <v>0</v>
      </c>
      <c r="G87">
        <f t="shared" si="48"/>
        <v>0</v>
      </c>
      <c r="H87">
        <f t="shared" si="49"/>
        <v>0</v>
      </c>
      <c r="I87">
        <f t="shared" si="49"/>
        <v>0</v>
      </c>
      <c r="J87">
        <f>P24</f>
        <v>0</v>
      </c>
      <c r="K87">
        <f>Q24</f>
        <v>0</v>
      </c>
      <c r="L87">
        <f>R24</f>
        <v>0</v>
      </c>
      <c r="M87">
        <f>S24</f>
        <v>0</v>
      </c>
      <c r="N87">
        <f>T24</f>
        <v>0</v>
      </c>
      <c r="O87">
        <f>D87-AR87</f>
        <v>0</v>
      </c>
      <c r="P87">
        <f t="shared" si="38"/>
        <v>0</v>
      </c>
      <c r="Q87">
        <f t="shared" si="50"/>
        <v>0</v>
      </c>
      <c r="R87">
        <f t="shared" si="50"/>
        <v>0</v>
      </c>
      <c r="S87">
        <f t="shared" si="50"/>
        <v>0</v>
      </c>
      <c r="T87">
        <f t="shared" si="50"/>
        <v>0</v>
      </c>
      <c r="U87">
        <f t="shared" si="50"/>
        <v>0</v>
      </c>
      <c r="V87">
        <f t="shared" si="50"/>
        <v>0</v>
      </c>
      <c r="W87">
        <f t="shared" si="50"/>
        <v>0</v>
      </c>
      <c r="X87">
        <f t="shared" si="50"/>
        <v>0</v>
      </c>
      <c r="Y87">
        <f t="shared" si="50"/>
        <v>0</v>
      </c>
      <c r="Z87">
        <f>AQ24</f>
        <v>0</v>
      </c>
      <c r="AA87">
        <f t="shared" si="52"/>
        <v>0</v>
      </c>
      <c r="AB87">
        <f t="shared" si="52"/>
        <v>0</v>
      </c>
      <c r="AC87">
        <f t="shared" si="52"/>
        <v>0</v>
      </c>
      <c r="AD87">
        <f t="shared" si="52"/>
        <v>0</v>
      </c>
      <c r="AE87">
        <f t="shared" si="52"/>
        <v>0</v>
      </c>
      <c r="AF87">
        <f t="shared" si="52"/>
        <v>0</v>
      </c>
      <c r="AG87">
        <f t="shared" si="52"/>
        <v>0</v>
      </c>
      <c r="AH87">
        <f t="shared" si="52"/>
        <v>0</v>
      </c>
      <c r="AI87">
        <f t="shared" si="52"/>
        <v>0</v>
      </c>
      <c r="AJ87">
        <f t="shared" si="52"/>
        <v>0</v>
      </c>
      <c r="AK87">
        <f t="shared" si="52"/>
        <v>0</v>
      </c>
      <c r="AL87">
        <f t="shared" si="52"/>
        <v>0</v>
      </c>
      <c r="AM87">
        <f t="shared" si="52"/>
        <v>0</v>
      </c>
      <c r="AN87">
        <f t="shared" si="52"/>
        <v>0</v>
      </c>
      <c r="AO87">
        <f t="shared" si="52"/>
        <v>0</v>
      </c>
      <c r="AP87">
        <f t="shared" si="52"/>
        <v>0</v>
      </c>
      <c r="AQ87">
        <f t="shared" si="52"/>
        <v>0</v>
      </c>
      <c r="AR87">
        <f>F87+H87+I87+J87+K87+L87+M87+N87+P87</f>
        <v>0</v>
      </c>
      <c r="AS87">
        <f>D87+O116-AR87</f>
        <v>0</v>
      </c>
    </row>
    <row r="88" spans="1:45" ht="20.25" customHeight="1">
      <c r="A88">
        <v>2</v>
      </c>
      <c r="B88" t="s">
        <v>45</v>
      </c>
      <c r="C88" t="s">
        <v>46</v>
      </c>
      <c r="D88">
        <f>SUM(D89:D114)</f>
        <v>889.94950000000006</v>
      </c>
      <c r="E88">
        <f t="shared" ref="E88:AS88" si="53">SUM(E89:E114)</f>
        <v>7.66</v>
      </c>
      <c r="F88">
        <f t="shared" si="53"/>
        <v>0</v>
      </c>
      <c r="G88">
        <f t="shared" si="53"/>
        <v>0</v>
      </c>
      <c r="H88">
        <f t="shared" si="53"/>
        <v>0</v>
      </c>
      <c r="I88">
        <f t="shared" si="53"/>
        <v>0</v>
      </c>
      <c r="J88">
        <f t="shared" si="53"/>
        <v>0</v>
      </c>
      <c r="K88">
        <f t="shared" si="53"/>
        <v>0</v>
      </c>
      <c r="L88">
        <f t="shared" si="53"/>
        <v>0</v>
      </c>
      <c r="M88">
        <f t="shared" si="53"/>
        <v>7.66</v>
      </c>
      <c r="N88">
        <f t="shared" si="53"/>
        <v>0</v>
      </c>
      <c r="O88">
        <f t="shared" si="53"/>
        <v>0</v>
      </c>
      <c r="P88">
        <f t="shared" si="53"/>
        <v>882.28949999999998</v>
      </c>
      <c r="Q88">
        <f t="shared" si="53"/>
        <v>0.68</v>
      </c>
      <c r="R88">
        <f t="shared" si="53"/>
        <v>0</v>
      </c>
      <c r="S88">
        <f t="shared" si="53"/>
        <v>0</v>
      </c>
      <c r="T88">
        <f t="shared" si="53"/>
        <v>0</v>
      </c>
      <c r="U88">
        <f t="shared" si="53"/>
        <v>0</v>
      </c>
      <c r="V88">
        <f t="shared" si="53"/>
        <v>3.21</v>
      </c>
      <c r="W88">
        <f t="shared" si="53"/>
        <v>4.33</v>
      </c>
      <c r="X88">
        <f t="shared" si="53"/>
        <v>0</v>
      </c>
      <c r="Y88">
        <f t="shared" si="53"/>
        <v>193.38950000000006</v>
      </c>
      <c r="Z88">
        <f t="shared" si="53"/>
        <v>0</v>
      </c>
      <c r="AA88">
        <f t="shared" si="53"/>
        <v>0</v>
      </c>
      <c r="AB88">
        <f t="shared" si="53"/>
        <v>35.369999999999997</v>
      </c>
      <c r="AC88">
        <f t="shared" si="53"/>
        <v>22.150000000000002</v>
      </c>
      <c r="AD88">
        <f t="shared" si="53"/>
        <v>0</v>
      </c>
      <c r="AE88">
        <f t="shared" si="53"/>
        <v>0.47</v>
      </c>
      <c r="AF88">
        <f t="shared" si="53"/>
        <v>0</v>
      </c>
      <c r="AG88">
        <f t="shared" si="53"/>
        <v>0</v>
      </c>
      <c r="AH88">
        <f t="shared" si="53"/>
        <v>0</v>
      </c>
      <c r="AI88">
        <f t="shared" si="53"/>
        <v>16.57</v>
      </c>
      <c r="AJ88">
        <f t="shared" si="53"/>
        <v>3.6</v>
      </c>
      <c r="AK88">
        <f t="shared" si="53"/>
        <v>0.37</v>
      </c>
      <c r="AL88">
        <f t="shared" si="53"/>
        <v>0.34</v>
      </c>
      <c r="AM88">
        <f t="shared" si="53"/>
        <v>0.56999999999999995</v>
      </c>
      <c r="AN88">
        <f t="shared" si="53"/>
        <v>601.24</v>
      </c>
      <c r="AO88">
        <f t="shared" si="53"/>
        <v>0</v>
      </c>
      <c r="AP88">
        <f t="shared" si="53"/>
        <v>0</v>
      </c>
      <c r="AQ88">
        <f t="shared" si="53"/>
        <v>0</v>
      </c>
      <c r="AR88">
        <f>E88+AQ88</f>
        <v>7.66</v>
      </c>
      <c r="AS88">
        <f t="shared" si="53"/>
        <v>1179.6295</v>
      </c>
    </row>
    <row r="89" spans="1:45" ht="20.25" customHeight="1">
      <c r="A89" t="s">
        <v>47</v>
      </c>
      <c r="B89" t="s">
        <v>48</v>
      </c>
      <c r="C89" t="s">
        <v>49</v>
      </c>
      <c r="D89">
        <f>D26</f>
        <v>0.68</v>
      </c>
      <c r="E89">
        <f t="shared" si="37"/>
        <v>0</v>
      </c>
      <c r="F89">
        <f>H26</f>
        <v>0</v>
      </c>
      <c r="G89">
        <f>I26</f>
        <v>0</v>
      </c>
      <c r="H89">
        <f>M26</f>
        <v>0</v>
      </c>
      <c r="I89">
        <f>N26</f>
        <v>0</v>
      </c>
      <c r="J89">
        <f t="shared" ref="J89:O97" si="54">P26</f>
        <v>0</v>
      </c>
      <c r="K89">
        <f t="shared" si="54"/>
        <v>0</v>
      </c>
      <c r="L89">
        <f t="shared" si="54"/>
        <v>0</v>
      </c>
      <c r="M89">
        <f t="shared" si="54"/>
        <v>0</v>
      </c>
      <c r="N89">
        <f t="shared" si="54"/>
        <v>0</v>
      </c>
      <c r="O89">
        <f t="shared" si="54"/>
        <v>0</v>
      </c>
      <c r="P89">
        <f>SUM(Q89:AP89)</f>
        <v>0.68</v>
      </c>
      <c r="Q89">
        <f>D89-AR89</f>
        <v>0.68</v>
      </c>
      <c r="R89">
        <f t="shared" ref="R89:Y89" si="55">X26</f>
        <v>0</v>
      </c>
      <c r="S89">
        <f t="shared" si="55"/>
        <v>0</v>
      </c>
      <c r="T89">
        <f t="shared" si="55"/>
        <v>0</v>
      </c>
      <c r="U89">
        <f t="shared" si="55"/>
        <v>0</v>
      </c>
      <c r="V89">
        <f t="shared" si="55"/>
        <v>0</v>
      </c>
      <c r="W89">
        <f t="shared" si="55"/>
        <v>0</v>
      </c>
      <c r="X89">
        <f t="shared" si="55"/>
        <v>0</v>
      </c>
      <c r="Y89">
        <f t="shared" si="55"/>
        <v>0</v>
      </c>
      <c r="Z89">
        <f t="shared" ref="Z89:AP89" si="56">AQ26</f>
        <v>0</v>
      </c>
      <c r="AA89">
        <f t="shared" si="56"/>
        <v>0</v>
      </c>
      <c r="AB89">
        <f t="shared" si="56"/>
        <v>0</v>
      </c>
      <c r="AC89">
        <f t="shared" si="56"/>
        <v>0</v>
      </c>
      <c r="AD89">
        <f t="shared" si="56"/>
        <v>0</v>
      </c>
      <c r="AE89">
        <f t="shared" si="56"/>
        <v>0</v>
      </c>
      <c r="AF89">
        <f t="shared" si="56"/>
        <v>0</v>
      </c>
      <c r="AG89">
        <f t="shared" si="56"/>
        <v>0</v>
      </c>
      <c r="AH89">
        <f t="shared" si="56"/>
        <v>0</v>
      </c>
      <c r="AI89">
        <f t="shared" si="56"/>
        <v>0</v>
      </c>
      <c r="AJ89">
        <f t="shared" si="56"/>
        <v>0</v>
      </c>
      <c r="AK89">
        <f t="shared" si="56"/>
        <v>0</v>
      </c>
      <c r="AL89">
        <f t="shared" si="56"/>
        <v>0</v>
      </c>
      <c r="AM89">
        <f t="shared" si="56"/>
        <v>0</v>
      </c>
      <c r="AN89">
        <f t="shared" si="56"/>
        <v>0</v>
      </c>
      <c r="AO89">
        <f t="shared" si="56"/>
        <v>0</v>
      </c>
      <c r="AP89">
        <f t="shared" si="56"/>
        <v>0</v>
      </c>
      <c r="AQ89">
        <f t="shared" ref="AA89:AQ97" si="57">BH26</f>
        <v>0</v>
      </c>
      <c r="AR89">
        <f>E89+R89+S89+T89+U89+V89+W89+X89+Y89+Z89+AA89+AB89+AC89+AD89+AE89+AF89+AG89+AH89+AI89+AJ89+AK89+AL89+AM89+AN89+AO89+AP89+AQ89</f>
        <v>0</v>
      </c>
      <c r="AS89">
        <f>D89+Q116-AR89</f>
        <v>0.68</v>
      </c>
    </row>
    <row r="90" spans="1:45" ht="20.25" customHeight="1">
      <c r="A90" t="s">
        <v>50</v>
      </c>
      <c r="B90" t="s">
        <v>51</v>
      </c>
      <c r="C90" t="s">
        <v>52</v>
      </c>
      <c r="D90">
        <f t="shared" ref="D90:D97" si="58">D27</f>
        <v>0</v>
      </c>
      <c r="E90">
        <f t="shared" si="37"/>
        <v>0</v>
      </c>
      <c r="F90">
        <f t="shared" ref="F90:G97" si="59">H27</f>
        <v>0</v>
      </c>
      <c r="G90">
        <f t="shared" si="59"/>
        <v>0</v>
      </c>
      <c r="H90">
        <f t="shared" ref="H90:I97" si="60">M27</f>
        <v>0</v>
      </c>
      <c r="I90">
        <f t="shared" si="60"/>
        <v>0</v>
      </c>
      <c r="J90">
        <f t="shared" si="54"/>
        <v>0</v>
      </c>
      <c r="K90">
        <f t="shared" si="54"/>
        <v>0</v>
      </c>
      <c r="L90">
        <f t="shared" si="54"/>
        <v>0</v>
      </c>
      <c r="M90">
        <f t="shared" si="54"/>
        <v>0</v>
      </c>
      <c r="N90">
        <f t="shared" si="54"/>
        <v>0</v>
      </c>
      <c r="O90">
        <f t="shared" si="54"/>
        <v>0</v>
      </c>
      <c r="P90">
        <f t="shared" ref="P90:P114" si="61">SUM(Q90:AP90)</f>
        <v>0</v>
      </c>
      <c r="Q90">
        <f>W27</f>
        <v>0</v>
      </c>
      <c r="R90">
        <f>D90-AR90</f>
        <v>0</v>
      </c>
      <c r="S90">
        <f t="shared" ref="S90:Y90" si="62">Y27</f>
        <v>0</v>
      </c>
      <c r="T90">
        <f t="shared" si="62"/>
        <v>0</v>
      </c>
      <c r="U90">
        <f t="shared" si="62"/>
        <v>0</v>
      </c>
      <c r="V90">
        <f t="shared" si="62"/>
        <v>0</v>
      </c>
      <c r="W90">
        <f t="shared" si="62"/>
        <v>0</v>
      </c>
      <c r="X90">
        <f t="shared" si="62"/>
        <v>0</v>
      </c>
      <c r="Y90">
        <f t="shared" si="62"/>
        <v>0</v>
      </c>
      <c r="Z90">
        <f t="shared" ref="Z90:Z97" si="63">AQ27</f>
        <v>0</v>
      </c>
      <c r="AA90">
        <f t="shared" si="57"/>
        <v>0</v>
      </c>
      <c r="AB90">
        <f t="shared" si="57"/>
        <v>0</v>
      </c>
      <c r="AC90">
        <f t="shared" si="57"/>
        <v>0</v>
      </c>
      <c r="AD90">
        <f t="shared" si="57"/>
        <v>0</v>
      </c>
      <c r="AE90">
        <f t="shared" si="57"/>
        <v>0</v>
      </c>
      <c r="AF90">
        <f t="shared" si="57"/>
        <v>0</v>
      </c>
      <c r="AG90">
        <f t="shared" si="57"/>
        <v>0</v>
      </c>
      <c r="AH90">
        <f t="shared" si="57"/>
        <v>0</v>
      </c>
      <c r="AI90">
        <f t="shared" si="57"/>
        <v>0</v>
      </c>
      <c r="AJ90">
        <f t="shared" si="57"/>
        <v>0</v>
      </c>
      <c r="AK90">
        <f t="shared" si="57"/>
        <v>0</v>
      </c>
      <c r="AL90">
        <f t="shared" si="57"/>
        <v>0</v>
      </c>
      <c r="AM90">
        <f t="shared" si="57"/>
        <v>0</v>
      </c>
      <c r="AN90">
        <f t="shared" si="57"/>
        <v>0</v>
      </c>
      <c r="AO90">
        <f t="shared" si="57"/>
        <v>0</v>
      </c>
      <c r="AP90">
        <f t="shared" si="57"/>
        <v>0</v>
      </c>
      <c r="AQ90">
        <f t="shared" si="57"/>
        <v>0</v>
      </c>
      <c r="AR90">
        <f>E90+Q90+S90+T90+U90+V90+W90+X90+Y90+Z90+AA90+AB90+AC90+AD90+AE90+AF90+AG90+AH90+AI90+AJ90+AK90+AL90+AM90+AN90+AO90+AP90+AQ90</f>
        <v>0</v>
      </c>
      <c r="AS90">
        <f>D90+R116-AR90</f>
        <v>0</v>
      </c>
    </row>
    <row r="91" spans="1:45" ht="20.25" customHeight="1">
      <c r="A91" t="s">
        <v>53</v>
      </c>
      <c r="B91" t="s">
        <v>54</v>
      </c>
      <c r="C91" t="s">
        <v>55</v>
      </c>
      <c r="D91">
        <f t="shared" si="58"/>
        <v>0</v>
      </c>
      <c r="E91">
        <f t="shared" si="37"/>
        <v>0</v>
      </c>
      <c r="F91">
        <f t="shared" si="59"/>
        <v>0</v>
      </c>
      <c r="G91">
        <f t="shared" si="59"/>
        <v>0</v>
      </c>
      <c r="H91">
        <f t="shared" si="60"/>
        <v>0</v>
      </c>
      <c r="I91">
        <f t="shared" si="60"/>
        <v>0</v>
      </c>
      <c r="J91">
        <f t="shared" si="54"/>
        <v>0</v>
      </c>
      <c r="K91">
        <f t="shared" si="54"/>
        <v>0</v>
      </c>
      <c r="L91">
        <f t="shared" si="54"/>
        <v>0</v>
      </c>
      <c r="M91">
        <f t="shared" si="54"/>
        <v>0</v>
      </c>
      <c r="N91">
        <f t="shared" si="54"/>
        <v>0</v>
      </c>
      <c r="O91">
        <f t="shared" si="54"/>
        <v>0</v>
      </c>
      <c r="P91">
        <f t="shared" si="61"/>
        <v>0</v>
      </c>
      <c r="Q91">
        <f t="shared" ref="Q91:S97" si="64">W28</f>
        <v>0</v>
      </c>
      <c r="R91">
        <f>X28</f>
        <v>0</v>
      </c>
      <c r="S91">
        <f>D91-AR91</f>
        <v>0</v>
      </c>
      <c r="T91">
        <f t="shared" ref="T91:Y91" si="65">Z28</f>
        <v>0</v>
      </c>
      <c r="U91">
        <f t="shared" si="65"/>
        <v>0</v>
      </c>
      <c r="V91">
        <f t="shared" si="65"/>
        <v>0</v>
      </c>
      <c r="W91">
        <f t="shared" si="65"/>
        <v>0</v>
      </c>
      <c r="X91">
        <f t="shared" si="65"/>
        <v>0</v>
      </c>
      <c r="Y91">
        <f t="shared" si="65"/>
        <v>0</v>
      </c>
      <c r="Z91">
        <f t="shared" si="63"/>
        <v>0</v>
      </c>
      <c r="AA91">
        <f t="shared" si="57"/>
        <v>0</v>
      </c>
      <c r="AB91">
        <f t="shared" si="57"/>
        <v>0</v>
      </c>
      <c r="AC91">
        <f t="shared" si="57"/>
        <v>0</v>
      </c>
      <c r="AD91">
        <f t="shared" si="57"/>
        <v>0</v>
      </c>
      <c r="AE91">
        <f t="shared" si="57"/>
        <v>0</v>
      </c>
      <c r="AF91">
        <f t="shared" si="57"/>
        <v>0</v>
      </c>
      <c r="AG91">
        <f t="shared" si="57"/>
        <v>0</v>
      </c>
      <c r="AH91">
        <f t="shared" si="57"/>
        <v>0</v>
      </c>
      <c r="AI91">
        <f t="shared" si="57"/>
        <v>0</v>
      </c>
      <c r="AJ91">
        <f t="shared" si="57"/>
        <v>0</v>
      </c>
      <c r="AK91">
        <f t="shared" si="57"/>
        <v>0</v>
      </c>
      <c r="AL91">
        <f t="shared" si="57"/>
        <v>0</v>
      </c>
      <c r="AM91">
        <f t="shared" si="57"/>
        <v>0</v>
      </c>
      <c r="AN91">
        <f t="shared" si="57"/>
        <v>0</v>
      </c>
      <c r="AO91">
        <f t="shared" si="57"/>
        <v>0</v>
      </c>
      <c r="AP91">
        <f t="shared" si="57"/>
        <v>0</v>
      </c>
      <c r="AQ91">
        <f t="shared" si="57"/>
        <v>0</v>
      </c>
      <c r="AR91">
        <f>E91+Q91+R91+T91+U91+V91+W91+X91+Y91+Z91+AA91+AB91+AC91+AD91+AE91+AF91+AG91+AH91+AI91+AJ91+AK91+AL91+AM91+AN91+AO91+AP91+AQ91</f>
        <v>0</v>
      </c>
      <c r="AS91">
        <f>D91+S116-AR91</f>
        <v>0</v>
      </c>
    </row>
    <row r="92" spans="1:45" ht="20.25" customHeight="1">
      <c r="A92" t="s">
        <v>56</v>
      </c>
      <c r="B92" t="s">
        <v>57</v>
      </c>
      <c r="C92" t="s">
        <v>58</v>
      </c>
      <c r="D92">
        <f t="shared" si="58"/>
        <v>0</v>
      </c>
      <c r="E92">
        <f t="shared" si="37"/>
        <v>0</v>
      </c>
      <c r="F92">
        <f t="shared" si="59"/>
        <v>0</v>
      </c>
      <c r="G92">
        <f t="shared" si="59"/>
        <v>0</v>
      </c>
      <c r="H92">
        <f t="shared" si="60"/>
        <v>0</v>
      </c>
      <c r="I92">
        <f t="shared" si="60"/>
        <v>0</v>
      </c>
      <c r="J92">
        <f t="shared" si="54"/>
        <v>0</v>
      </c>
      <c r="K92">
        <f t="shared" si="54"/>
        <v>0</v>
      </c>
      <c r="L92">
        <f t="shared" si="54"/>
        <v>0</v>
      </c>
      <c r="M92">
        <f t="shared" si="54"/>
        <v>0</v>
      </c>
      <c r="N92">
        <f t="shared" si="54"/>
        <v>0</v>
      </c>
      <c r="O92">
        <f t="shared" si="54"/>
        <v>0</v>
      </c>
      <c r="P92">
        <f t="shared" si="61"/>
        <v>0</v>
      </c>
      <c r="Q92">
        <f t="shared" si="64"/>
        <v>0</v>
      </c>
      <c r="R92">
        <f t="shared" si="64"/>
        <v>0</v>
      </c>
      <c r="S92">
        <f t="shared" si="64"/>
        <v>0</v>
      </c>
      <c r="T92">
        <f>D92-AR92</f>
        <v>0</v>
      </c>
      <c r="U92">
        <f>AA29</f>
        <v>0</v>
      </c>
      <c r="V92">
        <f>AB29</f>
        <v>0</v>
      </c>
      <c r="W92">
        <f>AC29</f>
        <v>0</v>
      </c>
      <c r="X92">
        <f>AD29</f>
        <v>0</v>
      </c>
      <c r="Y92">
        <f>AE29</f>
        <v>0</v>
      </c>
      <c r="Z92">
        <f t="shared" si="63"/>
        <v>0</v>
      </c>
      <c r="AA92">
        <f t="shared" si="57"/>
        <v>0</v>
      </c>
      <c r="AB92">
        <f t="shared" si="57"/>
        <v>0</v>
      </c>
      <c r="AC92">
        <f t="shared" si="57"/>
        <v>0</v>
      </c>
      <c r="AD92">
        <f t="shared" si="57"/>
        <v>0</v>
      </c>
      <c r="AE92">
        <f t="shared" si="57"/>
        <v>0</v>
      </c>
      <c r="AF92">
        <f t="shared" si="57"/>
        <v>0</v>
      </c>
      <c r="AG92">
        <f t="shared" si="57"/>
        <v>0</v>
      </c>
      <c r="AH92">
        <f t="shared" si="57"/>
        <v>0</v>
      </c>
      <c r="AI92">
        <f t="shared" si="57"/>
        <v>0</v>
      </c>
      <c r="AJ92">
        <f t="shared" si="57"/>
        <v>0</v>
      </c>
      <c r="AK92">
        <f t="shared" si="57"/>
        <v>0</v>
      </c>
      <c r="AL92">
        <f t="shared" si="57"/>
        <v>0</v>
      </c>
      <c r="AM92">
        <f t="shared" si="57"/>
        <v>0</v>
      </c>
      <c r="AN92">
        <f t="shared" si="57"/>
        <v>0</v>
      </c>
      <c r="AO92">
        <f t="shared" si="57"/>
        <v>0</v>
      </c>
      <c r="AP92">
        <f t="shared" si="57"/>
        <v>0</v>
      </c>
      <c r="AQ92">
        <f t="shared" si="57"/>
        <v>0</v>
      </c>
      <c r="AR92">
        <f>E92+Q92+R92+S92+U92+V92+W92+X92+Y92+Z92+AA92+AB92+AC92+AD92+AE92+AF92+AG92+AH92+AI92+AJ92+AK92+AL92+AM92+AN92+AO92+AP92+AQ92</f>
        <v>0</v>
      </c>
      <c r="AS92">
        <f>D92+T116-AR92</f>
        <v>0</v>
      </c>
    </row>
    <row r="93" spans="1:45" ht="20.25" customHeight="1">
      <c r="A93" t="s">
        <v>59</v>
      </c>
      <c r="B93" t="s">
        <v>60</v>
      </c>
      <c r="C93" t="s">
        <v>61</v>
      </c>
      <c r="D93">
        <f t="shared" si="58"/>
        <v>0</v>
      </c>
      <c r="E93">
        <f t="shared" si="37"/>
        <v>0</v>
      </c>
      <c r="F93">
        <f t="shared" si="59"/>
        <v>0</v>
      </c>
      <c r="G93">
        <f t="shared" si="59"/>
        <v>0</v>
      </c>
      <c r="H93">
        <f t="shared" si="60"/>
        <v>0</v>
      </c>
      <c r="I93">
        <f t="shared" si="60"/>
        <v>0</v>
      </c>
      <c r="J93">
        <f t="shared" si="54"/>
        <v>0</v>
      </c>
      <c r="K93">
        <f t="shared" si="54"/>
        <v>0</v>
      </c>
      <c r="L93">
        <f t="shared" si="54"/>
        <v>0</v>
      </c>
      <c r="M93">
        <f t="shared" si="54"/>
        <v>0</v>
      </c>
      <c r="N93">
        <f t="shared" si="54"/>
        <v>0</v>
      </c>
      <c r="O93">
        <f t="shared" si="54"/>
        <v>0</v>
      </c>
      <c r="P93">
        <f t="shared" si="61"/>
        <v>0</v>
      </c>
      <c r="Q93">
        <f t="shared" si="64"/>
        <v>0</v>
      </c>
      <c r="R93">
        <f t="shared" si="64"/>
        <v>0</v>
      </c>
      <c r="S93">
        <f t="shared" si="64"/>
        <v>0</v>
      </c>
      <c r="T93">
        <f>Z30</f>
        <v>0</v>
      </c>
      <c r="U93">
        <f>D93-AR93</f>
        <v>0</v>
      </c>
      <c r="V93">
        <f>AB30</f>
        <v>0</v>
      </c>
      <c r="W93">
        <f>AC30</f>
        <v>0</v>
      </c>
      <c r="X93">
        <f>AD30</f>
        <v>0</v>
      </c>
      <c r="Y93">
        <f>AE30</f>
        <v>0</v>
      </c>
      <c r="Z93">
        <f t="shared" si="63"/>
        <v>0</v>
      </c>
      <c r="AA93">
        <f t="shared" si="57"/>
        <v>0</v>
      </c>
      <c r="AB93">
        <f t="shared" si="57"/>
        <v>0</v>
      </c>
      <c r="AC93">
        <f t="shared" si="57"/>
        <v>0</v>
      </c>
      <c r="AD93">
        <f t="shared" si="57"/>
        <v>0</v>
      </c>
      <c r="AE93">
        <f t="shared" si="57"/>
        <v>0</v>
      </c>
      <c r="AF93">
        <f t="shared" si="57"/>
        <v>0</v>
      </c>
      <c r="AG93">
        <f t="shared" si="57"/>
        <v>0</v>
      </c>
      <c r="AH93">
        <f t="shared" si="57"/>
        <v>0</v>
      </c>
      <c r="AI93">
        <f t="shared" si="57"/>
        <v>0</v>
      </c>
      <c r="AJ93">
        <f t="shared" si="57"/>
        <v>0</v>
      </c>
      <c r="AK93">
        <f t="shared" si="57"/>
        <v>0</v>
      </c>
      <c r="AL93">
        <f t="shared" si="57"/>
        <v>0</v>
      </c>
      <c r="AM93">
        <f t="shared" si="57"/>
        <v>0</v>
      </c>
      <c r="AN93">
        <f t="shared" si="57"/>
        <v>0</v>
      </c>
      <c r="AO93">
        <f t="shared" si="57"/>
        <v>0</v>
      </c>
      <c r="AP93">
        <f t="shared" si="57"/>
        <v>0</v>
      </c>
      <c r="AQ93">
        <f t="shared" si="57"/>
        <v>0</v>
      </c>
      <c r="AR93">
        <f>E93+Q93+R93+S93+T93+V93+W93+X93+Y93+Z93+AA93+AB93+AC93+AD93+AE93+AF93+AG93+AH93+AI93+AJ93+AK93+AL93+AM93+AN93+AO93+AP93+AQ93</f>
        <v>0</v>
      </c>
      <c r="AS93">
        <f>D93+U116-AR93</f>
        <v>0</v>
      </c>
    </row>
    <row r="94" spans="1:45" ht="20.25" customHeight="1">
      <c r="A94" t="s">
        <v>62</v>
      </c>
      <c r="B94" t="s">
        <v>63</v>
      </c>
      <c r="C94" t="s">
        <v>64</v>
      </c>
      <c r="D94">
        <f t="shared" si="58"/>
        <v>3.21</v>
      </c>
      <c r="E94">
        <f t="shared" si="37"/>
        <v>0</v>
      </c>
      <c r="F94">
        <f t="shared" si="59"/>
        <v>0</v>
      </c>
      <c r="G94">
        <f t="shared" si="59"/>
        <v>0</v>
      </c>
      <c r="H94">
        <f t="shared" si="60"/>
        <v>0</v>
      </c>
      <c r="I94">
        <f t="shared" si="60"/>
        <v>0</v>
      </c>
      <c r="J94">
        <f t="shared" si="54"/>
        <v>0</v>
      </c>
      <c r="K94">
        <f t="shared" si="54"/>
        <v>0</v>
      </c>
      <c r="L94">
        <f t="shared" si="54"/>
        <v>0</v>
      </c>
      <c r="M94">
        <f t="shared" si="54"/>
        <v>0</v>
      </c>
      <c r="N94">
        <f t="shared" si="54"/>
        <v>0</v>
      </c>
      <c r="O94">
        <f t="shared" si="54"/>
        <v>0</v>
      </c>
      <c r="P94">
        <f t="shared" si="61"/>
        <v>3.21</v>
      </c>
      <c r="Q94">
        <f t="shared" si="64"/>
        <v>0</v>
      </c>
      <c r="R94">
        <f t="shared" si="64"/>
        <v>0</v>
      </c>
      <c r="S94">
        <f t="shared" si="64"/>
        <v>0</v>
      </c>
      <c r="T94">
        <f>Z31</f>
        <v>0</v>
      </c>
      <c r="U94">
        <f>AA31</f>
        <v>0</v>
      </c>
      <c r="V94">
        <f>D94-AR94</f>
        <v>3.21</v>
      </c>
      <c r="W94">
        <f>AC31</f>
        <v>0</v>
      </c>
      <c r="X94">
        <f>AD31</f>
        <v>0</v>
      </c>
      <c r="Y94">
        <f>AE31</f>
        <v>0</v>
      </c>
      <c r="Z94">
        <f t="shared" si="63"/>
        <v>0</v>
      </c>
      <c r="AA94">
        <f t="shared" si="57"/>
        <v>0</v>
      </c>
      <c r="AB94">
        <f t="shared" si="57"/>
        <v>0</v>
      </c>
      <c r="AC94">
        <f t="shared" si="57"/>
        <v>0</v>
      </c>
      <c r="AD94">
        <f t="shared" si="57"/>
        <v>0</v>
      </c>
      <c r="AE94">
        <f t="shared" si="57"/>
        <v>0</v>
      </c>
      <c r="AF94">
        <f t="shared" si="57"/>
        <v>0</v>
      </c>
      <c r="AG94">
        <f t="shared" si="57"/>
        <v>0</v>
      </c>
      <c r="AH94">
        <f t="shared" si="57"/>
        <v>0</v>
      </c>
      <c r="AI94">
        <f t="shared" si="57"/>
        <v>0</v>
      </c>
      <c r="AJ94">
        <f t="shared" si="57"/>
        <v>0</v>
      </c>
      <c r="AK94">
        <f t="shared" si="57"/>
        <v>0</v>
      </c>
      <c r="AL94">
        <f t="shared" si="57"/>
        <v>0</v>
      </c>
      <c r="AM94">
        <f t="shared" si="57"/>
        <v>0</v>
      </c>
      <c r="AN94">
        <f t="shared" si="57"/>
        <v>0</v>
      </c>
      <c r="AO94">
        <f t="shared" si="57"/>
        <v>0</v>
      </c>
      <c r="AP94">
        <f t="shared" si="57"/>
        <v>0</v>
      </c>
      <c r="AQ94">
        <f t="shared" si="57"/>
        <v>0</v>
      </c>
      <c r="AR94">
        <f>E94+Q94+R94+S94+T94+U94+W94+X94+Y94+Z94+AA94+AB94+AC94+AD94+AE94+AF94+AG94+AH94+AI94+AJ94+AK94+AL94+AM94+AN94+AO94+AP94+AQ94</f>
        <v>0</v>
      </c>
      <c r="AS94">
        <f>D94+V116-AR94</f>
        <v>3.21</v>
      </c>
    </row>
    <row r="95" spans="1:45" ht="20.25" customHeight="1">
      <c r="A95" t="s">
        <v>65</v>
      </c>
      <c r="B95" t="s">
        <v>66</v>
      </c>
      <c r="C95" t="s">
        <v>67</v>
      </c>
      <c r="D95">
        <f t="shared" si="58"/>
        <v>0</v>
      </c>
      <c r="E95">
        <f t="shared" si="37"/>
        <v>0</v>
      </c>
      <c r="F95">
        <f t="shared" si="59"/>
        <v>0</v>
      </c>
      <c r="G95">
        <f t="shared" si="59"/>
        <v>0</v>
      </c>
      <c r="H95">
        <f t="shared" si="60"/>
        <v>0</v>
      </c>
      <c r="I95">
        <f t="shared" si="60"/>
        <v>0</v>
      </c>
      <c r="J95">
        <f t="shared" si="54"/>
        <v>0</v>
      </c>
      <c r="K95">
        <f t="shared" si="54"/>
        <v>0</v>
      </c>
      <c r="L95">
        <f t="shared" si="54"/>
        <v>0</v>
      </c>
      <c r="M95">
        <f t="shared" si="54"/>
        <v>0</v>
      </c>
      <c r="N95">
        <f t="shared" si="54"/>
        <v>0</v>
      </c>
      <c r="O95">
        <f t="shared" si="54"/>
        <v>0</v>
      </c>
      <c r="P95">
        <f t="shared" si="61"/>
        <v>0</v>
      </c>
      <c r="Q95">
        <f t="shared" si="64"/>
        <v>0</v>
      </c>
      <c r="R95">
        <f t="shared" si="64"/>
        <v>0</v>
      </c>
      <c r="S95">
        <f t="shared" si="64"/>
        <v>0</v>
      </c>
      <c r="T95">
        <f>Z32</f>
        <v>0</v>
      </c>
      <c r="U95">
        <f>AA32</f>
        <v>0</v>
      </c>
      <c r="V95">
        <f>AB32</f>
        <v>0</v>
      </c>
      <c r="W95">
        <f>D95-AR95</f>
        <v>0</v>
      </c>
      <c r="X95">
        <f>AD32</f>
        <v>0</v>
      </c>
      <c r="Y95">
        <f>AE32</f>
        <v>0</v>
      </c>
      <c r="Z95">
        <f t="shared" si="63"/>
        <v>0</v>
      </c>
      <c r="AA95">
        <f t="shared" si="57"/>
        <v>0</v>
      </c>
      <c r="AB95">
        <f t="shared" si="57"/>
        <v>0</v>
      </c>
      <c r="AC95">
        <f t="shared" si="57"/>
        <v>0</v>
      </c>
      <c r="AD95">
        <f t="shared" si="57"/>
        <v>0</v>
      </c>
      <c r="AE95">
        <f t="shared" si="57"/>
        <v>0</v>
      </c>
      <c r="AF95">
        <f t="shared" si="57"/>
        <v>0</v>
      </c>
      <c r="AG95">
        <f t="shared" si="57"/>
        <v>0</v>
      </c>
      <c r="AH95">
        <f t="shared" si="57"/>
        <v>0</v>
      </c>
      <c r="AI95">
        <f t="shared" si="57"/>
        <v>0</v>
      </c>
      <c r="AJ95">
        <f t="shared" si="57"/>
        <v>0</v>
      </c>
      <c r="AK95">
        <f t="shared" si="57"/>
        <v>0</v>
      </c>
      <c r="AL95">
        <f t="shared" si="57"/>
        <v>0</v>
      </c>
      <c r="AM95">
        <f t="shared" si="57"/>
        <v>0</v>
      </c>
      <c r="AN95">
        <f t="shared" si="57"/>
        <v>0</v>
      </c>
      <c r="AO95">
        <f t="shared" si="57"/>
        <v>0</v>
      </c>
      <c r="AP95">
        <f t="shared" si="57"/>
        <v>0</v>
      </c>
      <c r="AQ95">
        <f t="shared" si="57"/>
        <v>0</v>
      </c>
      <c r="AR95">
        <f>E95+Q95+R95+S95+T95+U95+V95+X95+Y95+Z95+AA95+AB95+AC95+AD95+AE95+AF95+AG95+AH95+AI95+AJ95+AK95+AL95+AM95+AN95+AO95+AP95+AQ95</f>
        <v>0</v>
      </c>
      <c r="AS95">
        <f>D95+W116-AR95</f>
        <v>6.8199999999999994</v>
      </c>
    </row>
    <row r="96" spans="1:45" ht="20.25" customHeight="1">
      <c r="A96" t="s">
        <v>68</v>
      </c>
      <c r="B96" t="s">
        <v>69</v>
      </c>
      <c r="C96" t="s">
        <v>70</v>
      </c>
      <c r="D96">
        <f t="shared" si="58"/>
        <v>0</v>
      </c>
      <c r="E96">
        <f t="shared" si="37"/>
        <v>0</v>
      </c>
      <c r="F96">
        <f t="shared" si="59"/>
        <v>0</v>
      </c>
      <c r="G96">
        <f t="shared" si="59"/>
        <v>0</v>
      </c>
      <c r="H96">
        <f t="shared" si="60"/>
        <v>0</v>
      </c>
      <c r="I96">
        <f t="shared" si="60"/>
        <v>0</v>
      </c>
      <c r="J96">
        <f t="shared" si="54"/>
        <v>0</v>
      </c>
      <c r="K96">
        <f t="shared" si="54"/>
        <v>0</v>
      </c>
      <c r="L96">
        <f t="shared" si="54"/>
        <v>0</v>
      </c>
      <c r="M96">
        <f t="shared" si="54"/>
        <v>0</v>
      </c>
      <c r="N96">
        <f t="shared" si="54"/>
        <v>0</v>
      </c>
      <c r="O96">
        <f t="shared" si="54"/>
        <v>0</v>
      </c>
      <c r="P96">
        <f t="shared" si="61"/>
        <v>0</v>
      </c>
      <c r="Q96">
        <f t="shared" si="64"/>
        <v>0</v>
      </c>
      <c r="R96">
        <f t="shared" si="64"/>
        <v>0</v>
      </c>
      <c r="S96">
        <f t="shared" si="64"/>
        <v>0</v>
      </c>
      <c r="T96">
        <f>Z33</f>
        <v>0</v>
      </c>
      <c r="U96">
        <f>AA33</f>
        <v>0</v>
      </c>
      <c r="V96">
        <f>AB33</f>
        <v>0</v>
      </c>
      <c r="W96">
        <f>AC33</f>
        <v>0</v>
      </c>
      <c r="X96">
        <f>D96-AR96</f>
        <v>0</v>
      </c>
      <c r="Y96">
        <f>AE33</f>
        <v>0</v>
      </c>
      <c r="Z96">
        <f t="shared" si="63"/>
        <v>0</v>
      </c>
      <c r="AA96">
        <f t="shared" si="57"/>
        <v>0</v>
      </c>
      <c r="AB96">
        <f t="shared" si="57"/>
        <v>0</v>
      </c>
      <c r="AC96">
        <f t="shared" si="57"/>
        <v>0</v>
      </c>
      <c r="AD96">
        <f t="shared" si="57"/>
        <v>0</v>
      </c>
      <c r="AE96">
        <f t="shared" si="57"/>
        <v>0</v>
      </c>
      <c r="AF96">
        <f t="shared" si="57"/>
        <v>0</v>
      </c>
      <c r="AG96">
        <f t="shared" si="57"/>
        <v>0</v>
      </c>
      <c r="AH96">
        <f t="shared" si="57"/>
        <v>0</v>
      </c>
      <c r="AI96">
        <f t="shared" si="57"/>
        <v>0</v>
      </c>
      <c r="AJ96">
        <f t="shared" si="57"/>
        <v>0</v>
      </c>
      <c r="AK96">
        <f t="shared" si="57"/>
        <v>0</v>
      </c>
      <c r="AL96">
        <f t="shared" si="57"/>
        <v>0</v>
      </c>
      <c r="AM96">
        <f t="shared" si="57"/>
        <v>0</v>
      </c>
      <c r="AN96">
        <f t="shared" si="57"/>
        <v>0</v>
      </c>
      <c r="AO96">
        <f t="shared" si="57"/>
        <v>0</v>
      </c>
      <c r="AP96">
        <f t="shared" si="57"/>
        <v>0</v>
      </c>
      <c r="AQ96">
        <f t="shared" si="57"/>
        <v>0</v>
      </c>
      <c r="AR96">
        <f>E96+Q96+R96+S96+T96+U96+V96+W96+Y96+Z96+AA96+AB96+AC96+AD96+AE96+AF96+AG96+AH96+AI96+AJ96+AK96+AL96+AM96+AN96+AO96+AP96+AQ96</f>
        <v>0</v>
      </c>
      <c r="AS96">
        <f>D96+X116-AR96</f>
        <v>0</v>
      </c>
    </row>
    <row r="97" spans="1:45" ht="38.25" customHeight="1">
      <c r="A97" t="s">
        <v>71</v>
      </c>
      <c r="B97" t="s">
        <v>135</v>
      </c>
      <c r="C97" t="s">
        <v>72</v>
      </c>
      <c r="D97">
        <f t="shared" si="58"/>
        <v>194.39950000000005</v>
      </c>
      <c r="E97">
        <f t="shared" si="37"/>
        <v>0</v>
      </c>
      <c r="F97">
        <f t="shared" si="59"/>
        <v>0</v>
      </c>
      <c r="G97">
        <f t="shared" si="59"/>
        <v>0</v>
      </c>
      <c r="H97">
        <f t="shared" si="60"/>
        <v>0</v>
      </c>
      <c r="I97">
        <f t="shared" si="60"/>
        <v>0</v>
      </c>
      <c r="J97">
        <f>P34</f>
        <v>0</v>
      </c>
      <c r="K97">
        <f t="shared" si="54"/>
        <v>0</v>
      </c>
      <c r="L97">
        <f t="shared" si="54"/>
        <v>0</v>
      </c>
      <c r="M97">
        <f t="shared" si="54"/>
        <v>0</v>
      </c>
      <c r="N97">
        <f t="shared" si="54"/>
        <v>0</v>
      </c>
      <c r="O97">
        <f t="shared" si="54"/>
        <v>0</v>
      </c>
      <c r="P97">
        <f t="shared" si="61"/>
        <v>194.39950000000005</v>
      </c>
      <c r="Q97">
        <f t="shared" si="64"/>
        <v>0</v>
      </c>
      <c r="R97">
        <f t="shared" si="64"/>
        <v>0</v>
      </c>
      <c r="S97">
        <f t="shared" si="64"/>
        <v>0</v>
      </c>
      <c r="T97">
        <f>Z34</f>
        <v>0</v>
      </c>
      <c r="U97">
        <f>AA34</f>
        <v>0</v>
      </c>
      <c r="V97">
        <f>AB34</f>
        <v>0</v>
      </c>
      <c r="W97">
        <f>AC34</f>
        <v>0.16999999999999998</v>
      </c>
      <c r="X97">
        <f>AD34</f>
        <v>0</v>
      </c>
      <c r="Y97">
        <f>D97-AR97</f>
        <v>192.10950000000005</v>
      </c>
      <c r="Z97">
        <f t="shared" si="63"/>
        <v>0</v>
      </c>
      <c r="AA97">
        <f t="shared" si="57"/>
        <v>0</v>
      </c>
      <c r="AB97">
        <f t="shared" si="57"/>
        <v>0</v>
      </c>
      <c r="AC97">
        <f t="shared" si="57"/>
        <v>0</v>
      </c>
      <c r="AD97">
        <f t="shared" si="57"/>
        <v>0</v>
      </c>
      <c r="AE97">
        <f t="shared" si="57"/>
        <v>0</v>
      </c>
      <c r="AF97">
        <f t="shared" si="57"/>
        <v>0</v>
      </c>
      <c r="AG97">
        <f t="shared" si="57"/>
        <v>0</v>
      </c>
      <c r="AH97">
        <f t="shared" si="57"/>
        <v>0</v>
      </c>
      <c r="AI97">
        <f t="shared" si="57"/>
        <v>0</v>
      </c>
      <c r="AJ97">
        <f t="shared" si="57"/>
        <v>2.12</v>
      </c>
      <c r="AK97">
        <f t="shared" si="57"/>
        <v>0</v>
      </c>
      <c r="AL97">
        <f t="shared" si="57"/>
        <v>0</v>
      </c>
      <c r="AM97">
        <f t="shared" si="57"/>
        <v>0</v>
      </c>
      <c r="AN97">
        <f t="shared" si="57"/>
        <v>0</v>
      </c>
      <c r="AO97">
        <f t="shared" si="57"/>
        <v>0</v>
      </c>
      <c r="AP97">
        <f t="shared" si="57"/>
        <v>0</v>
      </c>
      <c r="AQ97">
        <f t="shared" si="57"/>
        <v>0</v>
      </c>
      <c r="AR97">
        <f>E97+Q97+R97+S97+T97+U97+V97+W97+X97+Z97+AA97+AB97+AC97+AD97+AE97+AF97+AG97+AH97+AI97+AJ97+AK97+AL97+AM97+AN97+AO97+AP97+AQ97</f>
        <v>2.29</v>
      </c>
      <c r="AS97">
        <f>D97+Y116-AR97</f>
        <v>218.91950000000006</v>
      </c>
    </row>
    <row r="98" spans="1:45" ht="20.25" customHeight="1">
      <c r="A98" t="s">
        <v>73</v>
      </c>
      <c r="B98" t="s">
        <v>74</v>
      </c>
      <c r="C98" t="s">
        <v>75</v>
      </c>
      <c r="D98">
        <f>D46</f>
        <v>0</v>
      </c>
      <c r="E98">
        <f t="shared" si="37"/>
        <v>0</v>
      </c>
      <c r="F98">
        <f>H46</f>
        <v>0</v>
      </c>
      <c r="G98">
        <f>I46</f>
        <v>0</v>
      </c>
      <c r="H98">
        <f>M46</f>
        <v>0</v>
      </c>
      <c r="I98">
        <f>N46</f>
        <v>0</v>
      </c>
      <c r="J98">
        <f t="shared" ref="J98:O113" si="66">P46</f>
        <v>0</v>
      </c>
      <c r="K98">
        <f t="shared" si="66"/>
        <v>0</v>
      </c>
      <c r="L98">
        <f t="shared" si="66"/>
        <v>0</v>
      </c>
      <c r="M98">
        <f t="shared" si="66"/>
        <v>0</v>
      </c>
      <c r="N98">
        <f t="shared" si="66"/>
        <v>0</v>
      </c>
      <c r="O98">
        <f t="shared" si="66"/>
        <v>0</v>
      </c>
      <c r="P98">
        <f t="shared" si="61"/>
        <v>0</v>
      </c>
      <c r="Q98">
        <f t="shared" ref="Q98:Y113" si="67">W46</f>
        <v>0</v>
      </c>
      <c r="R98">
        <f t="shared" si="67"/>
        <v>0</v>
      </c>
      <c r="S98">
        <f t="shared" si="67"/>
        <v>0</v>
      </c>
      <c r="T98">
        <f t="shared" si="67"/>
        <v>0</v>
      </c>
      <c r="U98">
        <f t="shared" si="67"/>
        <v>0</v>
      </c>
      <c r="V98">
        <f t="shared" si="67"/>
        <v>0</v>
      </c>
      <c r="W98">
        <f t="shared" si="67"/>
        <v>0</v>
      </c>
      <c r="X98">
        <f t="shared" si="67"/>
        <v>0</v>
      </c>
      <c r="Y98">
        <f t="shared" si="67"/>
        <v>0</v>
      </c>
      <c r="Z98">
        <f>D98-AR98</f>
        <v>0</v>
      </c>
      <c r="AA98">
        <f>AR46</f>
        <v>0</v>
      </c>
      <c r="AB98">
        <f t="shared" ref="AB98:AQ109" si="68">AS46</f>
        <v>0</v>
      </c>
      <c r="AC98">
        <f t="shared" si="68"/>
        <v>0</v>
      </c>
      <c r="AD98">
        <f t="shared" si="68"/>
        <v>0</v>
      </c>
      <c r="AE98">
        <f t="shared" si="68"/>
        <v>0</v>
      </c>
      <c r="AF98">
        <f t="shared" si="68"/>
        <v>0</v>
      </c>
      <c r="AG98">
        <f t="shared" si="68"/>
        <v>0</v>
      </c>
      <c r="AH98">
        <f t="shared" si="68"/>
        <v>0</v>
      </c>
      <c r="AI98">
        <f t="shared" si="68"/>
        <v>0</v>
      </c>
      <c r="AJ98">
        <f t="shared" si="68"/>
        <v>0</v>
      </c>
      <c r="AK98">
        <f t="shared" si="68"/>
        <v>0</v>
      </c>
      <c r="AL98">
        <f t="shared" si="68"/>
        <v>0</v>
      </c>
      <c r="AM98">
        <f t="shared" si="68"/>
        <v>0</v>
      </c>
      <c r="AN98">
        <f t="shared" si="68"/>
        <v>0</v>
      </c>
      <c r="AO98">
        <f t="shared" si="68"/>
        <v>0</v>
      </c>
      <c r="AP98">
        <f t="shared" si="68"/>
        <v>0</v>
      </c>
      <c r="AQ98">
        <f t="shared" si="68"/>
        <v>0</v>
      </c>
      <c r="AR98">
        <f>E98+Q98+R98+S98+T98+U98+V98+W98+X98+Y98+AA98+AB98+AC98+AD98+AE98+AF98+AG98+AH98+AI98+AJ98+AK98+AL98+AM98+AN98+AO98+AP98+AQ98</f>
        <v>0</v>
      </c>
      <c r="AS98">
        <f>D98+Z116-AR98</f>
        <v>0</v>
      </c>
    </row>
    <row r="99" spans="1:45" ht="20.25" customHeight="1">
      <c r="A99" t="s">
        <v>76</v>
      </c>
      <c r="B99" t="s">
        <v>77</v>
      </c>
      <c r="C99" t="s">
        <v>78</v>
      </c>
      <c r="D99">
        <f t="shared" ref="D99:D114" si="69">D47</f>
        <v>0</v>
      </c>
      <c r="E99">
        <f t="shared" si="37"/>
        <v>0</v>
      </c>
      <c r="F99">
        <f t="shared" ref="F99:G115" si="70">H47</f>
        <v>0</v>
      </c>
      <c r="G99">
        <f t="shared" si="70"/>
        <v>0</v>
      </c>
      <c r="H99">
        <f t="shared" ref="H99:I115" si="71">M47</f>
        <v>0</v>
      </c>
      <c r="I99">
        <f t="shared" si="71"/>
        <v>0</v>
      </c>
      <c r="J99">
        <f t="shared" si="66"/>
        <v>0</v>
      </c>
      <c r="K99">
        <f t="shared" si="66"/>
        <v>0</v>
      </c>
      <c r="L99">
        <f t="shared" si="66"/>
        <v>0</v>
      </c>
      <c r="M99">
        <f t="shared" si="66"/>
        <v>0</v>
      </c>
      <c r="N99">
        <f t="shared" si="66"/>
        <v>0</v>
      </c>
      <c r="O99">
        <f t="shared" si="66"/>
        <v>0</v>
      </c>
      <c r="P99">
        <f t="shared" si="61"/>
        <v>0</v>
      </c>
      <c r="Q99">
        <f t="shared" si="67"/>
        <v>0</v>
      </c>
      <c r="R99">
        <f t="shared" si="67"/>
        <v>0</v>
      </c>
      <c r="S99">
        <f t="shared" si="67"/>
        <v>0</v>
      </c>
      <c r="T99">
        <f t="shared" si="67"/>
        <v>0</v>
      </c>
      <c r="U99">
        <f t="shared" si="67"/>
        <v>0</v>
      </c>
      <c r="V99">
        <f t="shared" si="67"/>
        <v>0</v>
      </c>
      <c r="W99">
        <f t="shared" si="67"/>
        <v>0</v>
      </c>
      <c r="X99">
        <f t="shared" si="67"/>
        <v>0</v>
      </c>
      <c r="Y99">
        <f t="shared" si="67"/>
        <v>0</v>
      </c>
      <c r="Z99">
        <f>AQ47</f>
        <v>0</v>
      </c>
      <c r="AA99">
        <f>D99-AR99</f>
        <v>0</v>
      </c>
      <c r="AB99">
        <f>AS47</f>
        <v>0</v>
      </c>
      <c r="AC99">
        <f t="shared" si="68"/>
        <v>0</v>
      </c>
      <c r="AD99">
        <f t="shared" si="68"/>
        <v>0</v>
      </c>
      <c r="AE99">
        <f t="shared" si="68"/>
        <v>0</v>
      </c>
      <c r="AF99">
        <f t="shared" si="68"/>
        <v>0</v>
      </c>
      <c r="AG99">
        <f t="shared" si="68"/>
        <v>0</v>
      </c>
      <c r="AH99">
        <f t="shared" si="68"/>
        <v>0</v>
      </c>
      <c r="AI99">
        <f t="shared" si="68"/>
        <v>0</v>
      </c>
      <c r="AJ99">
        <f t="shared" si="68"/>
        <v>0</v>
      </c>
      <c r="AK99">
        <f t="shared" si="68"/>
        <v>0</v>
      </c>
      <c r="AL99">
        <f t="shared" si="68"/>
        <v>0</v>
      </c>
      <c r="AM99">
        <f t="shared" si="68"/>
        <v>0</v>
      </c>
      <c r="AN99">
        <f t="shared" si="68"/>
        <v>0</v>
      </c>
      <c r="AO99">
        <f t="shared" si="68"/>
        <v>0</v>
      </c>
      <c r="AP99">
        <f t="shared" si="68"/>
        <v>0</v>
      </c>
      <c r="AQ99">
        <f t="shared" si="68"/>
        <v>0</v>
      </c>
      <c r="AR99">
        <f>E99+Q99+R99+S99+T99+U99+V99+W99+X99+Y99+Z99+AB99+AC99+AD99+AE99+AF99+AG99+AH99+AI99+AJ99+AK99+AL99+AM99+AN99+AO99+AP99+AQ99</f>
        <v>0</v>
      </c>
      <c r="AS99">
        <f>D99+AA116-AR99</f>
        <v>0</v>
      </c>
    </row>
    <row r="100" spans="1:45" ht="20.25" customHeight="1">
      <c r="A100" t="s">
        <v>79</v>
      </c>
      <c r="B100" t="s">
        <v>80</v>
      </c>
      <c r="C100" t="s">
        <v>81</v>
      </c>
      <c r="D100">
        <f t="shared" si="69"/>
        <v>35.369999999999997</v>
      </c>
      <c r="E100">
        <f t="shared" si="37"/>
        <v>0</v>
      </c>
      <c r="F100">
        <f t="shared" si="70"/>
        <v>0</v>
      </c>
      <c r="G100">
        <f t="shared" si="70"/>
        <v>0</v>
      </c>
      <c r="H100">
        <f t="shared" si="71"/>
        <v>0</v>
      </c>
      <c r="I100">
        <f t="shared" si="71"/>
        <v>0</v>
      </c>
      <c r="J100">
        <f t="shared" si="66"/>
        <v>0</v>
      </c>
      <c r="K100">
        <f t="shared" si="66"/>
        <v>0</v>
      </c>
      <c r="L100">
        <f t="shared" si="66"/>
        <v>0</v>
      </c>
      <c r="M100">
        <f t="shared" si="66"/>
        <v>0</v>
      </c>
      <c r="N100">
        <f t="shared" si="66"/>
        <v>0</v>
      </c>
      <c r="O100">
        <f t="shared" si="66"/>
        <v>0</v>
      </c>
      <c r="P100">
        <f t="shared" si="61"/>
        <v>35.369999999999997</v>
      </c>
      <c r="Q100">
        <f t="shared" si="67"/>
        <v>0</v>
      </c>
      <c r="R100">
        <f t="shared" si="67"/>
        <v>0</v>
      </c>
      <c r="S100">
        <f t="shared" si="67"/>
        <v>0</v>
      </c>
      <c r="T100">
        <f t="shared" si="67"/>
        <v>0</v>
      </c>
      <c r="U100">
        <f t="shared" si="67"/>
        <v>0</v>
      </c>
      <c r="V100">
        <f t="shared" si="67"/>
        <v>0</v>
      </c>
      <c r="W100">
        <f t="shared" si="67"/>
        <v>0</v>
      </c>
      <c r="X100">
        <f t="shared" si="67"/>
        <v>0</v>
      </c>
      <c r="Y100">
        <f t="shared" si="67"/>
        <v>0</v>
      </c>
      <c r="Z100">
        <f t="shared" ref="Z100:AK115" si="72">AQ48</f>
        <v>0</v>
      </c>
      <c r="AA100">
        <f t="shared" si="72"/>
        <v>0</v>
      </c>
      <c r="AB100">
        <f>D100-AR100</f>
        <v>35.369999999999997</v>
      </c>
      <c r="AC100">
        <f>AT48</f>
        <v>0</v>
      </c>
      <c r="AD100">
        <f t="shared" si="68"/>
        <v>0</v>
      </c>
      <c r="AE100">
        <f t="shared" si="68"/>
        <v>0</v>
      </c>
      <c r="AF100">
        <f t="shared" si="68"/>
        <v>0</v>
      </c>
      <c r="AG100">
        <f t="shared" si="68"/>
        <v>0</v>
      </c>
      <c r="AH100">
        <f t="shared" si="68"/>
        <v>0</v>
      </c>
      <c r="AI100">
        <f t="shared" si="68"/>
        <v>0</v>
      </c>
      <c r="AJ100">
        <f t="shared" si="68"/>
        <v>0</v>
      </c>
      <c r="AK100">
        <f t="shared" si="68"/>
        <v>0</v>
      </c>
      <c r="AL100">
        <f t="shared" si="68"/>
        <v>0</v>
      </c>
      <c r="AM100">
        <f t="shared" si="68"/>
        <v>0</v>
      </c>
      <c r="AN100">
        <f t="shared" si="68"/>
        <v>0</v>
      </c>
      <c r="AO100">
        <f t="shared" si="68"/>
        <v>0</v>
      </c>
      <c r="AP100">
        <f t="shared" si="68"/>
        <v>0</v>
      </c>
      <c r="AQ100">
        <f t="shared" si="68"/>
        <v>0</v>
      </c>
      <c r="AR100">
        <f>E100+Q100+R100+S100+T100+U100+V100+W100+X100+Y100+Z100+AA100+AC100+AD100+AE100+AF100+AG100+AH100+AI100+AJ100+AK100+AL100+AM100+AN100+AO100+AP100+AQ100</f>
        <v>0</v>
      </c>
      <c r="AS100">
        <f>D100+AB116-AR100</f>
        <v>36.15</v>
      </c>
    </row>
    <row r="101" spans="1:45" ht="20.25" customHeight="1">
      <c r="A101" t="s">
        <v>82</v>
      </c>
      <c r="B101" t="s">
        <v>83</v>
      </c>
      <c r="C101" t="s">
        <v>84</v>
      </c>
      <c r="D101">
        <f t="shared" si="69"/>
        <v>22.46</v>
      </c>
      <c r="E101">
        <f t="shared" si="37"/>
        <v>0</v>
      </c>
      <c r="F101">
        <f t="shared" si="70"/>
        <v>0</v>
      </c>
      <c r="G101">
        <f t="shared" si="70"/>
        <v>0</v>
      </c>
      <c r="H101">
        <f t="shared" si="71"/>
        <v>0</v>
      </c>
      <c r="I101">
        <f t="shared" si="71"/>
        <v>0</v>
      </c>
      <c r="J101">
        <f t="shared" si="66"/>
        <v>0</v>
      </c>
      <c r="K101">
        <f t="shared" si="66"/>
        <v>0</v>
      </c>
      <c r="L101">
        <f t="shared" si="66"/>
        <v>0</v>
      </c>
      <c r="M101">
        <f t="shared" si="66"/>
        <v>0</v>
      </c>
      <c r="N101">
        <f t="shared" si="66"/>
        <v>0</v>
      </c>
      <c r="O101">
        <f t="shared" si="66"/>
        <v>0</v>
      </c>
      <c r="P101">
        <f t="shared" si="61"/>
        <v>22.46</v>
      </c>
      <c r="Q101">
        <f t="shared" si="67"/>
        <v>0</v>
      </c>
      <c r="R101">
        <f t="shared" si="67"/>
        <v>0</v>
      </c>
      <c r="S101">
        <f t="shared" si="67"/>
        <v>0</v>
      </c>
      <c r="T101">
        <f t="shared" si="67"/>
        <v>0</v>
      </c>
      <c r="U101">
        <f t="shared" si="67"/>
        <v>0</v>
      </c>
      <c r="V101">
        <f t="shared" si="67"/>
        <v>0</v>
      </c>
      <c r="W101">
        <f t="shared" si="67"/>
        <v>0.09</v>
      </c>
      <c r="X101">
        <f t="shared" si="67"/>
        <v>0</v>
      </c>
      <c r="Y101">
        <f t="shared" si="67"/>
        <v>0.22</v>
      </c>
      <c r="Z101">
        <f t="shared" si="72"/>
        <v>0</v>
      </c>
      <c r="AA101">
        <f t="shared" si="72"/>
        <v>0</v>
      </c>
      <c r="AB101">
        <f t="shared" si="72"/>
        <v>0</v>
      </c>
      <c r="AC101">
        <f>D101-AR101</f>
        <v>22.150000000000002</v>
      </c>
      <c r="AD101">
        <f>AU49</f>
        <v>0</v>
      </c>
      <c r="AE101">
        <f t="shared" si="68"/>
        <v>0</v>
      </c>
      <c r="AF101">
        <f t="shared" si="68"/>
        <v>0</v>
      </c>
      <c r="AG101">
        <f t="shared" si="68"/>
        <v>0</v>
      </c>
      <c r="AH101">
        <f t="shared" si="68"/>
        <v>0</v>
      </c>
      <c r="AI101">
        <f t="shared" si="68"/>
        <v>0</v>
      </c>
      <c r="AJ101">
        <f t="shared" si="68"/>
        <v>0</v>
      </c>
      <c r="AK101">
        <f t="shared" si="68"/>
        <v>0</v>
      </c>
      <c r="AL101">
        <f t="shared" si="68"/>
        <v>0</v>
      </c>
      <c r="AM101">
        <f t="shared" si="68"/>
        <v>0</v>
      </c>
      <c r="AN101">
        <f t="shared" si="68"/>
        <v>0</v>
      </c>
      <c r="AO101">
        <f t="shared" si="68"/>
        <v>0</v>
      </c>
      <c r="AP101">
        <f t="shared" si="68"/>
        <v>0</v>
      </c>
      <c r="AQ101">
        <f t="shared" si="68"/>
        <v>0</v>
      </c>
      <c r="AR101">
        <f>E101+Q101+R101+S101+T101+U101+V101+W101+X101+Y101+Z101+AA101+AB101+AD101+AE101+AF101+AG101+AH101+AI101+AJ101+AK101+AL101+AM101+AN101+AO101+AP101+AQ101</f>
        <v>0.31</v>
      </c>
      <c r="AS101">
        <f>D101+AC116-AR101</f>
        <v>22.450000000000003</v>
      </c>
    </row>
    <row r="102" spans="1:45" ht="20.25" customHeight="1">
      <c r="A102" t="s">
        <v>85</v>
      </c>
      <c r="B102" t="s">
        <v>86</v>
      </c>
      <c r="C102" t="s">
        <v>87</v>
      </c>
      <c r="D102">
        <f t="shared" si="69"/>
        <v>0</v>
      </c>
      <c r="E102">
        <f t="shared" si="37"/>
        <v>0</v>
      </c>
      <c r="F102">
        <f t="shared" si="70"/>
        <v>0</v>
      </c>
      <c r="G102">
        <f t="shared" si="70"/>
        <v>0</v>
      </c>
      <c r="H102">
        <f t="shared" si="71"/>
        <v>0</v>
      </c>
      <c r="I102">
        <f t="shared" si="71"/>
        <v>0</v>
      </c>
      <c r="J102">
        <f t="shared" si="66"/>
        <v>0</v>
      </c>
      <c r="K102">
        <f t="shared" si="66"/>
        <v>0</v>
      </c>
      <c r="L102">
        <f t="shared" si="66"/>
        <v>0</v>
      </c>
      <c r="M102">
        <f t="shared" si="66"/>
        <v>0</v>
      </c>
      <c r="N102">
        <f t="shared" si="66"/>
        <v>0</v>
      </c>
      <c r="O102">
        <f t="shared" si="66"/>
        <v>0</v>
      </c>
      <c r="P102">
        <f t="shared" si="61"/>
        <v>0</v>
      </c>
      <c r="Q102">
        <f t="shared" si="67"/>
        <v>0</v>
      </c>
      <c r="R102">
        <f t="shared" si="67"/>
        <v>0</v>
      </c>
      <c r="S102">
        <f t="shared" si="67"/>
        <v>0</v>
      </c>
      <c r="T102">
        <f t="shared" si="67"/>
        <v>0</v>
      </c>
      <c r="U102">
        <f t="shared" si="67"/>
        <v>0</v>
      </c>
      <c r="V102">
        <f t="shared" si="67"/>
        <v>0</v>
      </c>
      <c r="W102">
        <f t="shared" si="67"/>
        <v>0</v>
      </c>
      <c r="X102">
        <f t="shared" si="67"/>
        <v>0</v>
      </c>
      <c r="Y102">
        <f t="shared" si="67"/>
        <v>0</v>
      </c>
      <c r="Z102">
        <f t="shared" si="72"/>
        <v>0</v>
      </c>
      <c r="AA102">
        <f t="shared" si="72"/>
        <v>0</v>
      </c>
      <c r="AB102">
        <f t="shared" si="72"/>
        <v>0</v>
      </c>
      <c r="AC102">
        <f t="shared" si="72"/>
        <v>0</v>
      </c>
      <c r="AD102">
        <f>D102-AR102</f>
        <v>0</v>
      </c>
      <c r="AE102">
        <f>AV50</f>
        <v>0</v>
      </c>
      <c r="AF102">
        <f t="shared" si="68"/>
        <v>0</v>
      </c>
      <c r="AG102">
        <f t="shared" si="68"/>
        <v>0</v>
      </c>
      <c r="AH102">
        <f t="shared" si="68"/>
        <v>0</v>
      </c>
      <c r="AI102">
        <f t="shared" si="68"/>
        <v>0</v>
      </c>
      <c r="AJ102">
        <f t="shared" si="68"/>
        <v>0</v>
      </c>
      <c r="AK102">
        <f t="shared" si="68"/>
        <v>0</v>
      </c>
      <c r="AL102">
        <f t="shared" si="68"/>
        <v>0</v>
      </c>
      <c r="AM102">
        <f t="shared" si="68"/>
        <v>0</v>
      </c>
      <c r="AN102">
        <f t="shared" si="68"/>
        <v>0</v>
      </c>
      <c r="AO102">
        <f t="shared" si="68"/>
        <v>0</v>
      </c>
      <c r="AP102">
        <f t="shared" si="68"/>
        <v>0</v>
      </c>
      <c r="AQ102">
        <f t="shared" si="68"/>
        <v>0</v>
      </c>
      <c r="AR102">
        <f>E102+Q102+R102+S102+T102+U102+V102+W102+X102+Y102+Z102+AA102+AB102+AC102+AE102+AF102+AG102+AH102+AI102+AJ102+AK102+AL102+AM102+AN102+AO102+AP102+AQ102</f>
        <v>0</v>
      </c>
      <c r="AS102">
        <f>D102+AD116-AR102</f>
        <v>0</v>
      </c>
    </row>
    <row r="103" spans="1:45" ht="20.25" customHeight="1">
      <c r="A103" t="s">
        <v>88</v>
      </c>
      <c r="B103" t="s">
        <v>89</v>
      </c>
      <c r="C103" t="s">
        <v>90</v>
      </c>
      <c r="D103">
        <f t="shared" si="69"/>
        <v>0.47</v>
      </c>
      <c r="E103">
        <f t="shared" si="37"/>
        <v>0</v>
      </c>
      <c r="F103">
        <f t="shared" si="70"/>
        <v>0</v>
      </c>
      <c r="G103">
        <f t="shared" si="70"/>
        <v>0</v>
      </c>
      <c r="H103">
        <f t="shared" si="71"/>
        <v>0</v>
      </c>
      <c r="I103">
        <f t="shared" si="71"/>
        <v>0</v>
      </c>
      <c r="J103">
        <f t="shared" si="66"/>
        <v>0</v>
      </c>
      <c r="K103">
        <f t="shared" si="66"/>
        <v>0</v>
      </c>
      <c r="L103">
        <f t="shared" si="66"/>
        <v>0</v>
      </c>
      <c r="M103">
        <f t="shared" si="66"/>
        <v>0</v>
      </c>
      <c r="N103">
        <f t="shared" si="66"/>
        <v>0</v>
      </c>
      <c r="O103">
        <f t="shared" si="66"/>
        <v>0</v>
      </c>
      <c r="P103">
        <f t="shared" si="61"/>
        <v>0.47</v>
      </c>
      <c r="Q103">
        <f t="shared" si="67"/>
        <v>0</v>
      </c>
      <c r="R103">
        <f t="shared" si="67"/>
        <v>0</v>
      </c>
      <c r="S103">
        <f t="shared" si="67"/>
        <v>0</v>
      </c>
      <c r="T103">
        <f t="shared" si="67"/>
        <v>0</v>
      </c>
      <c r="U103">
        <f t="shared" si="67"/>
        <v>0</v>
      </c>
      <c r="V103">
        <f t="shared" si="67"/>
        <v>0</v>
      </c>
      <c r="W103">
        <f t="shared" si="67"/>
        <v>0</v>
      </c>
      <c r="X103">
        <f t="shared" si="67"/>
        <v>0</v>
      </c>
      <c r="Y103">
        <f t="shared" si="67"/>
        <v>0</v>
      </c>
      <c r="Z103">
        <f t="shared" si="72"/>
        <v>0</v>
      </c>
      <c r="AA103">
        <f t="shared" si="72"/>
        <v>0</v>
      </c>
      <c r="AB103">
        <f t="shared" si="72"/>
        <v>0</v>
      </c>
      <c r="AC103">
        <f t="shared" si="72"/>
        <v>0</v>
      </c>
      <c r="AD103">
        <f t="shared" si="72"/>
        <v>0</v>
      </c>
      <c r="AE103">
        <f>D103-AR103</f>
        <v>0.47</v>
      </c>
      <c r="AF103">
        <f>AW51</f>
        <v>0</v>
      </c>
      <c r="AG103">
        <f t="shared" si="68"/>
        <v>0</v>
      </c>
      <c r="AH103">
        <f t="shared" si="68"/>
        <v>0</v>
      </c>
      <c r="AI103">
        <f t="shared" si="68"/>
        <v>0</v>
      </c>
      <c r="AJ103">
        <f t="shared" si="68"/>
        <v>0</v>
      </c>
      <c r="AK103">
        <f t="shared" si="68"/>
        <v>0</v>
      </c>
      <c r="AL103">
        <f t="shared" si="68"/>
        <v>0</v>
      </c>
      <c r="AM103">
        <f t="shared" si="68"/>
        <v>0</v>
      </c>
      <c r="AN103">
        <f t="shared" si="68"/>
        <v>0</v>
      </c>
      <c r="AO103">
        <f t="shared" si="68"/>
        <v>0</v>
      </c>
      <c r="AP103">
        <f t="shared" si="68"/>
        <v>0</v>
      </c>
      <c r="AQ103">
        <f t="shared" si="68"/>
        <v>0</v>
      </c>
      <c r="AR103">
        <f>E103+Q103+R103+S103+T103+U103+V103+W103+X103+Y103+Z103+AA103+AB103+AC103+AD103+AF103+AG103+AH103+AI103+AJ103+AK103+AL103+AM103+AN103+AO103+AP103+AQ103</f>
        <v>0</v>
      </c>
      <c r="AS103">
        <f>D103+AE116-AR103</f>
        <v>0.47</v>
      </c>
    </row>
    <row r="104" spans="1:45" ht="37.5" customHeight="1">
      <c r="A104" t="s">
        <v>91</v>
      </c>
      <c r="B104" t="s">
        <v>92</v>
      </c>
      <c r="C104" t="s">
        <v>93</v>
      </c>
      <c r="D104">
        <f t="shared" si="69"/>
        <v>0</v>
      </c>
      <c r="E104">
        <f t="shared" si="37"/>
        <v>0</v>
      </c>
      <c r="F104">
        <f t="shared" si="70"/>
        <v>0</v>
      </c>
      <c r="G104">
        <f t="shared" si="70"/>
        <v>0</v>
      </c>
      <c r="H104">
        <f t="shared" si="71"/>
        <v>0</v>
      </c>
      <c r="I104">
        <f t="shared" si="71"/>
        <v>0</v>
      </c>
      <c r="J104">
        <f t="shared" si="66"/>
        <v>0</v>
      </c>
      <c r="K104">
        <f t="shared" si="66"/>
        <v>0</v>
      </c>
      <c r="L104">
        <f t="shared" si="66"/>
        <v>0</v>
      </c>
      <c r="M104">
        <f t="shared" si="66"/>
        <v>0</v>
      </c>
      <c r="N104">
        <f t="shared" si="66"/>
        <v>0</v>
      </c>
      <c r="O104">
        <f t="shared" si="66"/>
        <v>0</v>
      </c>
      <c r="P104">
        <f t="shared" si="61"/>
        <v>0</v>
      </c>
      <c r="Q104">
        <f t="shared" si="67"/>
        <v>0</v>
      </c>
      <c r="R104">
        <f t="shared" si="67"/>
        <v>0</v>
      </c>
      <c r="S104">
        <f t="shared" si="67"/>
        <v>0</v>
      </c>
      <c r="T104">
        <f t="shared" si="67"/>
        <v>0</v>
      </c>
      <c r="U104">
        <f t="shared" si="67"/>
        <v>0</v>
      </c>
      <c r="V104">
        <f t="shared" si="67"/>
        <v>0</v>
      </c>
      <c r="W104">
        <f t="shared" si="67"/>
        <v>0</v>
      </c>
      <c r="X104">
        <f t="shared" si="67"/>
        <v>0</v>
      </c>
      <c r="Y104">
        <f t="shared" si="67"/>
        <v>0</v>
      </c>
      <c r="Z104">
        <f t="shared" si="72"/>
        <v>0</v>
      </c>
      <c r="AA104">
        <f t="shared" si="72"/>
        <v>0</v>
      </c>
      <c r="AB104">
        <f t="shared" si="72"/>
        <v>0</v>
      </c>
      <c r="AC104">
        <f t="shared" si="72"/>
        <v>0</v>
      </c>
      <c r="AD104">
        <f t="shared" si="72"/>
        <v>0</v>
      </c>
      <c r="AE104">
        <f t="shared" si="72"/>
        <v>0</v>
      </c>
      <c r="AF104">
        <f>D104-AR104</f>
        <v>0</v>
      </c>
      <c r="AG104">
        <f>AX52</f>
        <v>0</v>
      </c>
      <c r="AH104">
        <f t="shared" si="68"/>
        <v>0</v>
      </c>
      <c r="AI104">
        <f t="shared" si="68"/>
        <v>0</v>
      </c>
      <c r="AJ104">
        <f t="shared" si="68"/>
        <v>0</v>
      </c>
      <c r="AK104">
        <f t="shared" si="68"/>
        <v>0</v>
      </c>
      <c r="AL104">
        <f t="shared" si="68"/>
        <v>0</v>
      </c>
      <c r="AM104">
        <f t="shared" si="68"/>
        <v>0</v>
      </c>
      <c r="AN104">
        <f t="shared" si="68"/>
        <v>0</v>
      </c>
      <c r="AO104">
        <f t="shared" si="68"/>
        <v>0</v>
      </c>
      <c r="AP104">
        <f t="shared" si="68"/>
        <v>0</v>
      </c>
      <c r="AQ104">
        <f t="shared" si="68"/>
        <v>0</v>
      </c>
      <c r="AR104">
        <f>E104+Q104+R104+S104+T104+U104+V104+W104+X104+Y104+Z104+AA104+AB104+AC104+AD104+AE104+AG104+AH104+AI104+AJ104+AK104+AL104+AM104+AN104+AO104+AP104+AQ104</f>
        <v>0</v>
      </c>
      <c r="AS104">
        <f>D104+AF116-AR104</f>
        <v>0</v>
      </c>
    </row>
    <row r="105" spans="1:45" ht="20.25" customHeight="1">
      <c r="A105" t="s">
        <v>94</v>
      </c>
      <c r="B105" t="s">
        <v>95</v>
      </c>
      <c r="C105" t="s">
        <v>96</v>
      </c>
      <c r="D105">
        <f t="shared" si="69"/>
        <v>0</v>
      </c>
      <c r="E105">
        <f t="shared" si="37"/>
        <v>0</v>
      </c>
      <c r="F105">
        <f t="shared" si="70"/>
        <v>0</v>
      </c>
      <c r="G105">
        <f t="shared" si="70"/>
        <v>0</v>
      </c>
      <c r="H105">
        <f t="shared" si="71"/>
        <v>0</v>
      </c>
      <c r="I105">
        <f t="shared" si="71"/>
        <v>0</v>
      </c>
      <c r="J105">
        <f t="shared" si="66"/>
        <v>0</v>
      </c>
      <c r="K105">
        <f t="shared" si="66"/>
        <v>0</v>
      </c>
      <c r="L105">
        <f t="shared" si="66"/>
        <v>0</v>
      </c>
      <c r="M105">
        <f t="shared" si="66"/>
        <v>0</v>
      </c>
      <c r="N105">
        <f t="shared" si="66"/>
        <v>0</v>
      </c>
      <c r="O105">
        <f t="shared" si="66"/>
        <v>0</v>
      </c>
      <c r="P105">
        <f t="shared" si="61"/>
        <v>0</v>
      </c>
      <c r="Q105">
        <f t="shared" si="67"/>
        <v>0</v>
      </c>
      <c r="R105">
        <f t="shared" si="67"/>
        <v>0</v>
      </c>
      <c r="S105">
        <f t="shared" si="67"/>
        <v>0</v>
      </c>
      <c r="T105">
        <f t="shared" si="67"/>
        <v>0</v>
      </c>
      <c r="U105">
        <f t="shared" si="67"/>
        <v>0</v>
      </c>
      <c r="V105">
        <f t="shared" si="67"/>
        <v>0</v>
      </c>
      <c r="W105">
        <f t="shared" si="67"/>
        <v>0</v>
      </c>
      <c r="X105">
        <f t="shared" si="67"/>
        <v>0</v>
      </c>
      <c r="Y105">
        <f t="shared" si="67"/>
        <v>0</v>
      </c>
      <c r="Z105">
        <f t="shared" si="72"/>
        <v>0</v>
      </c>
      <c r="AA105">
        <f t="shared" si="72"/>
        <v>0</v>
      </c>
      <c r="AB105">
        <f t="shared" si="72"/>
        <v>0</v>
      </c>
      <c r="AC105">
        <f t="shared" si="72"/>
        <v>0</v>
      </c>
      <c r="AD105">
        <f t="shared" si="72"/>
        <v>0</v>
      </c>
      <c r="AE105">
        <f t="shared" si="72"/>
        <v>0</v>
      </c>
      <c r="AF105">
        <f t="shared" si="72"/>
        <v>0</v>
      </c>
      <c r="AG105">
        <f>D105-AR105</f>
        <v>0</v>
      </c>
      <c r="AH105">
        <f>AY53</f>
        <v>0</v>
      </c>
      <c r="AI105">
        <f t="shared" si="68"/>
        <v>0</v>
      </c>
      <c r="AJ105">
        <f t="shared" si="68"/>
        <v>0</v>
      </c>
      <c r="AK105">
        <f t="shared" si="68"/>
        <v>0</v>
      </c>
      <c r="AL105">
        <f t="shared" si="68"/>
        <v>0</v>
      </c>
      <c r="AM105">
        <f t="shared" si="68"/>
        <v>0</v>
      </c>
      <c r="AN105">
        <f t="shared" si="68"/>
        <v>0</v>
      </c>
      <c r="AO105">
        <f t="shared" si="68"/>
        <v>0</v>
      </c>
      <c r="AP105">
        <f t="shared" si="68"/>
        <v>0</v>
      </c>
      <c r="AQ105">
        <f t="shared" si="68"/>
        <v>0</v>
      </c>
      <c r="AR105">
        <f>E105+Q105+R105+S105+T105+U105+V105+W105+X105+Y105+Z105+AA105+AB105+AC105+AD105+AE105+AF105+AH105+AI105+AJ105+AK105+AL105+AM105+AN105+AO105+AP105+AQ105</f>
        <v>0</v>
      </c>
      <c r="AS105">
        <f>D105+AG116-AR105</f>
        <v>0</v>
      </c>
    </row>
    <row r="106" spans="1:45" ht="20.25" customHeight="1">
      <c r="A106" t="s">
        <v>97</v>
      </c>
      <c r="B106" t="s">
        <v>98</v>
      </c>
      <c r="C106" t="s">
        <v>99</v>
      </c>
      <c r="D106">
        <f t="shared" si="69"/>
        <v>0</v>
      </c>
      <c r="E106">
        <f t="shared" si="37"/>
        <v>0</v>
      </c>
      <c r="F106">
        <f t="shared" si="70"/>
        <v>0</v>
      </c>
      <c r="G106">
        <f t="shared" si="70"/>
        <v>0</v>
      </c>
      <c r="H106">
        <f t="shared" si="71"/>
        <v>0</v>
      </c>
      <c r="I106">
        <f t="shared" si="71"/>
        <v>0</v>
      </c>
      <c r="J106">
        <f t="shared" si="66"/>
        <v>0</v>
      </c>
      <c r="K106">
        <f t="shared" si="66"/>
        <v>0</v>
      </c>
      <c r="L106">
        <f t="shared" si="66"/>
        <v>0</v>
      </c>
      <c r="M106">
        <f t="shared" si="66"/>
        <v>0</v>
      </c>
      <c r="N106">
        <f t="shared" si="66"/>
        <v>0</v>
      </c>
      <c r="O106">
        <f t="shared" si="66"/>
        <v>0</v>
      </c>
      <c r="P106">
        <f t="shared" si="61"/>
        <v>0</v>
      </c>
      <c r="Q106">
        <f t="shared" si="67"/>
        <v>0</v>
      </c>
      <c r="R106">
        <f t="shared" si="67"/>
        <v>0</v>
      </c>
      <c r="S106">
        <f t="shared" si="67"/>
        <v>0</v>
      </c>
      <c r="T106">
        <f t="shared" si="67"/>
        <v>0</v>
      </c>
      <c r="U106">
        <f t="shared" si="67"/>
        <v>0</v>
      </c>
      <c r="V106">
        <f t="shared" si="67"/>
        <v>0</v>
      </c>
      <c r="W106">
        <f t="shared" si="67"/>
        <v>0</v>
      </c>
      <c r="X106">
        <f t="shared" si="67"/>
        <v>0</v>
      </c>
      <c r="Y106">
        <f t="shared" si="67"/>
        <v>0</v>
      </c>
      <c r="Z106">
        <f t="shared" si="72"/>
        <v>0</v>
      </c>
      <c r="AA106">
        <f t="shared" si="72"/>
        <v>0</v>
      </c>
      <c r="AB106">
        <f t="shared" si="72"/>
        <v>0</v>
      </c>
      <c r="AC106">
        <f t="shared" si="72"/>
        <v>0</v>
      </c>
      <c r="AD106">
        <f t="shared" si="72"/>
        <v>0</v>
      </c>
      <c r="AE106">
        <f t="shared" si="72"/>
        <v>0</v>
      </c>
      <c r="AF106">
        <f t="shared" si="72"/>
        <v>0</v>
      </c>
      <c r="AG106">
        <f t="shared" si="72"/>
        <v>0</v>
      </c>
      <c r="AH106">
        <f>D106-AR106</f>
        <v>0</v>
      </c>
      <c r="AI106">
        <f>AZ54</f>
        <v>0</v>
      </c>
      <c r="AJ106">
        <f t="shared" si="68"/>
        <v>0</v>
      </c>
      <c r="AK106">
        <f t="shared" si="68"/>
        <v>0</v>
      </c>
      <c r="AL106">
        <f t="shared" si="68"/>
        <v>0</v>
      </c>
      <c r="AM106">
        <f t="shared" si="68"/>
        <v>0</v>
      </c>
      <c r="AN106">
        <f t="shared" si="68"/>
        <v>0</v>
      </c>
      <c r="AO106">
        <f t="shared" si="68"/>
        <v>0</v>
      </c>
      <c r="AP106">
        <f t="shared" si="68"/>
        <v>0</v>
      </c>
      <c r="AQ106">
        <f t="shared" si="68"/>
        <v>0</v>
      </c>
      <c r="AR106">
        <f>E106+Q106+R106+S106+T106+U106+V106+W106+X106+Y106+Z106+AA106+AB106+AC106+AD106+AE106+AF106+AG106+AI106+AJ106+AK106+AL106+AM106+AN106+AO106+AP106+AQ106</f>
        <v>0</v>
      </c>
      <c r="AS106">
        <f>D106+AH116-AR106</f>
        <v>0</v>
      </c>
    </row>
    <row r="107" spans="1:45" ht="31.5" customHeight="1">
      <c r="A107" t="s">
        <v>100</v>
      </c>
      <c r="B107" t="s">
        <v>134</v>
      </c>
      <c r="C107" t="s">
        <v>101</v>
      </c>
      <c r="D107">
        <f t="shared" si="69"/>
        <v>16.78</v>
      </c>
      <c r="E107">
        <f t="shared" si="37"/>
        <v>0</v>
      </c>
      <c r="F107">
        <f t="shared" si="70"/>
        <v>0</v>
      </c>
      <c r="G107">
        <f t="shared" si="70"/>
        <v>0</v>
      </c>
      <c r="H107">
        <f t="shared" si="71"/>
        <v>0</v>
      </c>
      <c r="I107">
        <f t="shared" si="71"/>
        <v>0</v>
      </c>
      <c r="J107">
        <f t="shared" si="66"/>
        <v>0</v>
      </c>
      <c r="K107">
        <f t="shared" si="66"/>
        <v>0</v>
      </c>
      <c r="L107">
        <f t="shared" si="66"/>
        <v>0</v>
      </c>
      <c r="M107">
        <f t="shared" si="66"/>
        <v>0</v>
      </c>
      <c r="N107">
        <f t="shared" si="66"/>
        <v>0</v>
      </c>
      <c r="O107">
        <f t="shared" si="66"/>
        <v>0</v>
      </c>
      <c r="P107">
        <f t="shared" si="61"/>
        <v>16.78</v>
      </c>
      <c r="Q107">
        <f t="shared" si="67"/>
        <v>0</v>
      </c>
      <c r="R107">
        <f t="shared" si="67"/>
        <v>0</v>
      </c>
      <c r="S107">
        <f t="shared" si="67"/>
        <v>0</v>
      </c>
      <c r="T107">
        <f t="shared" si="67"/>
        <v>0</v>
      </c>
      <c r="U107">
        <f t="shared" si="67"/>
        <v>0</v>
      </c>
      <c r="V107">
        <f t="shared" si="67"/>
        <v>0</v>
      </c>
      <c r="W107">
        <f t="shared" si="67"/>
        <v>0.21</v>
      </c>
      <c r="X107">
        <f t="shared" si="67"/>
        <v>0</v>
      </c>
      <c r="Y107">
        <f t="shared" si="67"/>
        <v>0</v>
      </c>
      <c r="Z107">
        <f t="shared" si="72"/>
        <v>0</v>
      </c>
      <c r="AA107">
        <f t="shared" si="72"/>
        <v>0</v>
      </c>
      <c r="AB107">
        <f t="shared" si="72"/>
        <v>0</v>
      </c>
      <c r="AC107">
        <f t="shared" si="72"/>
        <v>0</v>
      </c>
      <c r="AD107">
        <f t="shared" si="72"/>
        <v>0</v>
      </c>
      <c r="AE107">
        <f t="shared" si="72"/>
        <v>0</v>
      </c>
      <c r="AF107">
        <f t="shared" si="72"/>
        <v>0</v>
      </c>
      <c r="AG107">
        <f t="shared" si="72"/>
        <v>0</v>
      </c>
      <c r="AH107">
        <f t="shared" si="72"/>
        <v>0</v>
      </c>
      <c r="AI107">
        <f>D107-AR107</f>
        <v>16.57</v>
      </c>
      <c r="AJ107">
        <f>BA55</f>
        <v>0</v>
      </c>
      <c r="AK107">
        <f t="shared" si="68"/>
        <v>0</v>
      </c>
      <c r="AL107">
        <f t="shared" si="68"/>
        <v>0</v>
      </c>
      <c r="AM107">
        <f t="shared" si="68"/>
        <v>0</v>
      </c>
      <c r="AN107">
        <f t="shared" si="68"/>
        <v>0</v>
      </c>
      <c r="AO107">
        <f t="shared" si="68"/>
        <v>0</v>
      </c>
      <c r="AP107">
        <f t="shared" si="68"/>
        <v>0</v>
      </c>
      <c r="AQ107">
        <f t="shared" si="68"/>
        <v>0</v>
      </c>
      <c r="AR107">
        <f>E107+Q107+R107+S107+T107+U107+V107+W107+X107+Y107+Z107+AA107+AB107+AC107+AD107+AE107+AF107+AG107+AH107+AJ107+AK107+AL107+AM107+AN107+AO107+AP107+AQ107</f>
        <v>0.21</v>
      </c>
      <c r="AS107">
        <f>D107+AI116-AR107</f>
        <v>16.57</v>
      </c>
    </row>
    <row r="108" spans="1:45" ht="20.25" customHeight="1">
      <c r="A108" t="s">
        <v>102</v>
      </c>
      <c r="B108" t="s">
        <v>103</v>
      </c>
      <c r="C108" t="s">
        <v>104</v>
      </c>
      <c r="D108">
        <f t="shared" si="69"/>
        <v>0.36</v>
      </c>
      <c r="E108">
        <f t="shared" si="37"/>
        <v>0</v>
      </c>
      <c r="F108">
        <f t="shared" si="70"/>
        <v>0</v>
      </c>
      <c r="G108">
        <f t="shared" si="70"/>
        <v>0</v>
      </c>
      <c r="H108">
        <f t="shared" si="71"/>
        <v>0</v>
      </c>
      <c r="I108">
        <f t="shared" si="71"/>
        <v>0</v>
      </c>
      <c r="J108">
        <f t="shared" si="66"/>
        <v>0</v>
      </c>
      <c r="K108">
        <f t="shared" si="66"/>
        <v>0</v>
      </c>
      <c r="L108">
        <f t="shared" si="66"/>
        <v>0</v>
      </c>
      <c r="M108">
        <f t="shared" si="66"/>
        <v>0</v>
      </c>
      <c r="N108">
        <f t="shared" si="66"/>
        <v>0</v>
      </c>
      <c r="O108">
        <f t="shared" si="66"/>
        <v>0</v>
      </c>
      <c r="P108">
        <f t="shared" si="61"/>
        <v>0.36</v>
      </c>
      <c r="Q108">
        <f t="shared" si="67"/>
        <v>0</v>
      </c>
      <c r="R108">
        <f t="shared" si="67"/>
        <v>0</v>
      </c>
      <c r="S108">
        <f t="shared" si="67"/>
        <v>0</v>
      </c>
      <c r="T108">
        <f t="shared" si="67"/>
        <v>0</v>
      </c>
      <c r="U108">
        <f t="shared" si="67"/>
        <v>0</v>
      </c>
      <c r="V108">
        <f t="shared" si="67"/>
        <v>0</v>
      </c>
      <c r="W108">
        <f t="shared" si="67"/>
        <v>0</v>
      </c>
      <c r="X108">
        <f t="shared" si="67"/>
        <v>0</v>
      </c>
      <c r="Y108">
        <f t="shared" si="67"/>
        <v>0.01</v>
      </c>
      <c r="Z108">
        <f t="shared" si="72"/>
        <v>0</v>
      </c>
      <c r="AA108">
        <f t="shared" si="72"/>
        <v>0</v>
      </c>
      <c r="AB108">
        <f t="shared" si="72"/>
        <v>0</v>
      </c>
      <c r="AC108">
        <f t="shared" si="72"/>
        <v>0</v>
      </c>
      <c r="AD108">
        <f t="shared" si="72"/>
        <v>0</v>
      </c>
      <c r="AE108">
        <f t="shared" si="72"/>
        <v>0</v>
      </c>
      <c r="AF108">
        <f t="shared" si="72"/>
        <v>0</v>
      </c>
      <c r="AG108">
        <f t="shared" si="72"/>
        <v>0</v>
      </c>
      <c r="AH108">
        <f t="shared" si="72"/>
        <v>0</v>
      </c>
      <c r="AI108">
        <f t="shared" si="72"/>
        <v>0</v>
      </c>
      <c r="AJ108">
        <f>D108-AR108</f>
        <v>0.35</v>
      </c>
      <c r="AK108">
        <f>BB56</f>
        <v>0</v>
      </c>
      <c r="AL108">
        <f t="shared" si="68"/>
        <v>0</v>
      </c>
      <c r="AM108">
        <f t="shared" si="68"/>
        <v>0</v>
      </c>
      <c r="AN108">
        <f t="shared" si="68"/>
        <v>0</v>
      </c>
      <c r="AO108">
        <f t="shared" si="68"/>
        <v>0</v>
      </c>
      <c r="AP108">
        <f t="shared" si="68"/>
        <v>0</v>
      </c>
      <c r="AQ108">
        <f t="shared" si="68"/>
        <v>0</v>
      </c>
      <c r="AR108">
        <f>E108+Q108+R108+S108+T108+U108+V108+W108+X108+Y108+Z108+AA108+AB108+AC108+AD108+AE108+AF108+AG108+AH108+AI108+AK108+AL108+AM108+AN108+AO108+AP108+AQ108</f>
        <v>0.01</v>
      </c>
      <c r="AS108">
        <f>D108+AJ116-AR108</f>
        <v>271.84000000000003</v>
      </c>
    </row>
    <row r="109" spans="1:45" ht="20.25" customHeight="1">
      <c r="A109" t="s">
        <v>105</v>
      </c>
      <c r="B109" t="s">
        <v>106</v>
      </c>
      <c r="C109" t="s">
        <v>107</v>
      </c>
      <c r="D109">
        <f t="shared" si="69"/>
        <v>0.37</v>
      </c>
      <c r="E109">
        <f t="shared" si="37"/>
        <v>0</v>
      </c>
      <c r="F109">
        <f t="shared" si="70"/>
        <v>0</v>
      </c>
      <c r="G109">
        <f t="shared" si="70"/>
        <v>0</v>
      </c>
      <c r="H109">
        <f t="shared" si="71"/>
        <v>0</v>
      </c>
      <c r="I109">
        <f t="shared" si="71"/>
        <v>0</v>
      </c>
      <c r="J109">
        <f t="shared" si="66"/>
        <v>0</v>
      </c>
      <c r="K109">
        <f t="shared" si="66"/>
        <v>0</v>
      </c>
      <c r="L109">
        <f t="shared" si="66"/>
        <v>0</v>
      </c>
      <c r="M109">
        <f t="shared" si="66"/>
        <v>0</v>
      </c>
      <c r="N109">
        <f t="shared" si="66"/>
        <v>0</v>
      </c>
      <c r="O109">
        <f t="shared" si="66"/>
        <v>0</v>
      </c>
      <c r="P109">
        <f t="shared" si="61"/>
        <v>0.37</v>
      </c>
      <c r="Q109">
        <f t="shared" si="67"/>
        <v>0</v>
      </c>
      <c r="R109">
        <f t="shared" si="67"/>
        <v>0</v>
      </c>
      <c r="S109">
        <f t="shared" si="67"/>
        <v>0</v>
      </c>
      <c r="T109">
        <f t="shared" si="67"/>
        <v>0</v>
      </c>
      <c r="U109">
        <f t="shared" si="67"/>
        <v>0</v>
      </c>
      <c r="V109">
        <f t="shared" si="67"/>
        <v>0</v>
      </c>
      <c r="W109">
        <f t="shared" si="67"/>
        <v>0</v>
      </c>
      <c r="X109">
        <f t="shared" si="67"/>
        <v>0</v>
      </c>
      <c r="Y109">
        <f t="shared" si="67"/>
        <v>0</v>
      </c>
      <c r="Z109">
        <f t="shared" si="72"/>
        <v>0</v>
      </c>
      <c r="AA109">
        <f t="shared" si="72"/>
        <v>0</v>
      </c>
      <c r="AB109">
        <f t="shared" si="72"/>
        <v>0</v>
      </c>
      <c r="AC109">
        <f t="shared" si="72"/>
        <v>0</v>
      </c>
      <c r="AD109">
        <f t="shared" si="72"/>
        <v>0</v>
      </c>
      <c r="AE109">
        <f t="shared" si="72"/>
        <v>0</v>
      </c>
      <c r="AF109">
        <f t="shared" si="72"/>
        <v>0</v>
      </c>
      <c r="AG109">
        <f t="shared" si="72"/>
        <v>0</v>
      </c>
      <c r="AH109">
        <f t="shared" si="72"/>
        <v>0</v>
      </c>
      <c r="AI109">
        <f t="shared" si="72"/>
        <v>0</v>
      </c>
      <c r="AJ109">
        <f t="shared" si="72"/>
        <v>0</v>
      </c>
      <c r="AK109">
        <f>D109-AR109</f>
        <v>0.37</v>
      </c>
      <c r="AL109">
        <f t="shared" si="68"/>
        <v>0</v>
      </c>
      <c r="AM109">
        <f t="shared" si="68"/>
        <v>0</v>
      </c>
      <c r="AN109">
        <f t="shared" si="68"/>
        <v>0</v>
      </c>
      <c r="AO109">
        <f t="shared" si="68"/>
        <v>0</v>
      </c>
      <c r="AP109">
        <f t="shared" si="68"/>
        <v>0</v>
      </c>
      <c r="AQ109">
        <f t="shared" si="68"/>
        <v>0</v>
      </c>
      <c r="AR109">
        <f>E109+Q109+R109+S109+T109+U109+V109+W109+X109+Y109+Z109+AA109+AB109+AC109+AD109+AE109+AF109+AG109+AH109+AI109+AJ109+AL109+AM109+AN109+AO109+AP109+AQ109</f>
        <v>0</v>
      </c>
      <c r="AS109">
        <f>D109+AK116-AR109</f>
        <v>0.37</v>
      </c>
    </row>
    <row r="110" spans="1:45" ht="20.25" customHeight="1">
      <c r="A110" t="s">
        <v>108</v>
      </c>
      <c r="B110" t="s">
        <v>109</v>
      </c>
      <c r="C110" t="s">
        <v>110</v>
      </c>
      <c r="D110">
        <f t="shared" si="69"/>
        <v>0.34</v>
      </c>
      <c r="E110">
        <f t="shared" si="37"/>
        <v>0</v>
      </c>
      <c r="F110">
        <f t="shared" si="70"/>
        <v>0</v>
      </c>
      <c r="G110">
        <f t="shared" si="70"/>
        <v>0</v>
      </c>
      <c r="H110">
        <f t="shared" si="71"/>
        <v>0</v>
      </c>
      <c r="I110">
        <f t="shared" si="71"/>
        <v>0</v>
      </c>
      <c r="J110">
        <f t="shared" si="66"/>
        <v>0</v>
      </c>
      <c r="K110">
        <f t="shared" si="66"/>
        <v>0</v>
      </c>
      <c r="L110">
        <f t="shared" si="66"/>
        <v>0</v>
      </c>
      <c r="M110">
        <f t="shared" si="66"/>
        <v>0</v>
      </c>
      <c r="N110">
        <f t="shared" si="66"/>
        <v>0</v>
      </c>
      <c r="O110">
        <f t="shared" si="66"/>
        <v>0</v>
      </c>
      <c r="P110">
        <f t="shared" si="61"/>
        <v>0.34</v>
      </c>
      <c r="Q110">
        <f t="shared" si="67"/>
        <v>0</v>
      </c>
      <c r="R110">
        <f t="shared" si="67"/>
        <v>0</v>
      </c>
      <c r="S110">
        <f t="shared" si="67"/>
        <v>0</v>
      </c>
      <c r="T110">
        <f t="shared" si="67"/>
        <v>0</v>
      </c>
      <c r="U110">
        <f t="shared" si="67"/>
        <v>0</v>
      </c>
      <c r="V110">
        <f t="shared" si="67"/>
        <v>0</v>
      </c>
      <c r="W110">
        <f t="shared" si="67"/>
        <v>0</v>
      </c>
      <c r="X110">
        <f t="shared" si="67"/>
        <v>0</v>
      </c>
      <c r="Y110">
        <f t="shared" si="67"/>
        <v>0</v>
      </c>
      <c r="Z110">
        <f t="shared" si="72"/>
        <v>0</v>
      </c>
      <c r="AA110">
        <f t="shared" si="72"/>
        <v>0</v>
      </c>
      <c r="AB110">
        <f t="shared" si="72"/>
        <v>0</v>
      </c>
      <c r="AC110">
        <f t="shared" si="72"/>
        <v>0</v>
      </c>
      <c r="AD110">
        <f t="shared" si="72"/>
        <v>0</v>
      </c>
      <c r="AE110">
        <f t="shared" si="72"/>
        <v>0</v>
      </c>
      <c r="AF110">
        <f t="shared" si="72"/>
        <v>0</v>
      </c>
      <c r="AG110">
        <f t="shared" si="72"/>
        <v>0</v>
      </c>
      <c r="AH110">
        <f t="shared" si="72"/>
        <v>0</v>
      </c>
      <c r="AI110">
        <f t="shared" si="72"/>
        <v>0</v>
      </c>
      <c r="AJ110">
        <f t="shared" si="72"/>
        <v>0</v>
      </c>
      <c r="AK110">
        <f t="shared" si="72"/>
        <v>0</v>
      </c>
      <c r="AL110">
        <f>D110-AR110</f>
        <v>0.34</v>
      </c>
      <c r="AM110">
        <f>BD58</f>
        <v>0</v>
      </c>
      <c r="AN110">
        <f>BE58</f>
        <v>0</v>
      </c>
      <c r="AO110">
        <f>BF58</f>
        <v>0</v>
      </c>
      <c r="AP110">
        <f>BG58</f>
        <v>0</v>
      </c>
      <c r="AQ110">
        <f>BH58</f>
        <v>0</v>
      </c>
      <c r="AR110">
        <f>E110+Q110+R110+S110+T110+U110+V110+W110+X110+Y110+Z110+AA110+AB110+AC110+AD110+AE110+AF110+AG110+AH110+AI110+AJ110+AK110+AM110+AN110+AO110+AP110+AQ110</f>
        <v>0</v>
      </c>
      <c r="AS110">
        <f>D110+AL116-AR110</f>
        <v>0.34</v>
      </c>
    </row>
    <row r="111" spans="1:45" ht="20.25" customHeight="1">
      <c r="A111" t="s">
        <v>111</v>
      </c>
      <c r="B111" t="s">
        <v>112</v>
      </c>
      <c r="C111" t="s">
        <v>113</v>
      </c>
      <c r="D111">
        <f t="shared" si="69"/>
        <v>0.56999999999999995</v>
      </c>
      <c r="E111">
        <f t="shared" si="37"/>
        <v>0</v>
      </c>
      <c r="F111">
        <f t="shared" si="70"/>
        <v>0</v>
      </c>
      <c r="G111">
        <f t="shared" si="70"/>
        <v>0</v>
      </c>
      <c r="H111">
        <f t="shared" si="71"/>
        <v>0</v>
      </c>
      <c r="I111">
        <f t="shared" si="71"/>
        <v>0</v>
      </c>
      <c r="J111">
        <f t="shared" si="66"/>
        <v>0</v>
      </c>
      <c r="K111">
        <f t="shared" si="66"/>
        <v>0</v>
      </c>
      <c r="L111">
        <f t="shared" si="66"/>
        <v>0</v>
      </c>
      <c r="M111">
        <f t="shared" si="66"/>
        <v>0</v>
      </c>
      <c r="N111">
        <f t="shared" si="66"/>
        <v>0</v>
      </c>
      <c r="O111">
        <f t="shared" si="66"/>
        <v>0</v>
      </c>
      <c r="P111">
        <f t="shared" si="61"/>
        <v>0.56999999999999995</v>
      </c>
      <c r="Q111">
        <f t="shared" si="67"/>
        <v>0</v>
      </c>
      <c r="R111">
        <f t="shared" si="67"/>
        <v>0</v>
      </c>
      <c r="S111">
        <f t="shared" si="67"/>
        <v>0</v>
      </c>
      <c r="T111">
        <f t="shared" si="67"/>
        <v>0</v>
      </c>
      <c r="U111">
        <f t="shared" si="67"/>
        <v>0</v>
      </c>
      <c r="V111">
        <f t="shared" si="67"/>
        <v>0</v>
      </c>
      <c r="W111">
        <f t="shared" si="67"/>
        <v>0</v>
      </c>
      <c r="X111">
        <f t="shared" si="67"/>
        <v>0</v>
      </c>
      <c r="Y111">
        <f t="shared" si="67"/>
        <v>0</v>
      </c>
      <c r="Z111">
        <f t="shared" si="72"/>
        <v>0</v>
      </c>
      <c r="AA111">
        <f t="shared" si="72"/>
        <v>0</v>
      </c>
      <c r="AB111">
        <f t="shared" si="72"/>
        <v>0</v>
      </c>
      <c r="AC111">
        <f t="shared" si="72"/>
        <v>0</v>
      </c>
      <c r="AD111">
        <f t="shared" si="72"/>
        <v>0</v>
      </c>
      <c r="AE111">
        <f t="shared" si="72"/>
        <v>0</v>
      </c>
      <c r="AF111">
        <f t="shared" si="72"/>
        <v>0</v>
      </c>
      <c r="AG111">
        <f t="shared" si="72"/>
        <v>0</v>
      </c>
      <c r="AH111">
        <f t="shared" si="72"/>
        <v>0</v>
      </c>
      <c r="AI111">
        <f t="shared" si="72"/>
        <v>0</v>
      </c>
      <c r="AJ111">
        <f t="shared" si="72"/>
        <v>0</v>
      </c>
      <c r="AK111">
        <f t="shared" si="72"/>
        <v>0</v>
      </c>
      <c r="AL111">
        <f>BC59</f>
        <v>0</v>
      </c>
      <c r="AM111">
        <f>D111-AR111</f>
        <v>0.56999999999999995</v>
      </c>
      <c r="AN111">
        <f>BE59</f>
        <v>0</v>
      </c>
      <c r="AO111">
        <f>BF59</f>
        <v>0</v>
      </c>
      <c r="AP111">
        <f>BG59</f>
        <v>0</v>
      </c>
      <c r="AQ111">
        <f>BH59</f>
        <v>0</v>
      </c>
      <c r="AR111">
        <f>E111+Q111+R111+S111+T111+U111+V111+W111+X111+Y111+Z111+AA111+AB111+AC111+AD111+AE111+AF111+AG111+AH111+AI111+AJ111+AK111+AL111+AN111+AO111+AP111+AQ111</f>
        <v>0</v>
      </c>
      <c r="AS111">
        <f>D111+AM116-AR111</f>
        <v>0.56999999999999995</v>
      </c>
    </row>
    <row r="112" spans="1:45" ht="20.25" customHeight="1">
      <c r="A112" t="s">
        <v>114</v>
      </c>
      <c r="B112" t="s">
        <v>115</v>
      </c>
      <c r="C112" t="s">
        <v>116</v>
      </c>
      <c r="D112">
        <f t="shared" si="69"/>
        <v>614.94000000000005</v>
      </c>
      <c r="E112">
        <f t="shared" si="37"/>
        <v>7.66</v>
      </c>
      <c r="F112">
        <f t="shared" si="70"/>
        <v>0</v>
      </c>
      <c r="G112">
        <f t="shared" si="70"/>
        <v>0</v>
      </c>
      <c r="H112">
        <f t="shared" si="71"/>
        <v>0</v>
      </c>
      <c r="I112">
        <f t="shared" si="71"/>
        <v>0</v>
      </c>
      <c r="J112">
        <f t="shared" si="66"/>
        <v>0</v>
      </c>
      <c r="K112">
        <f t="shared" si="66"/>
        <v>0</v>
      </c>
      <c r="L112">
        <f t="shared" si="66"/>
        <v>0</v>
      </c>
      <c r="M112">
        <f t="shared" si="66"/>
        <v>7.66</v>
      </c>
      <c r="N112">
        <f t="shared" si="66"/>
        <v>0</v>
      </c>
      <c r="O112">
        <f t="shared" si="66"/>
        <v>0</v>
      </c>
      <c r="P112">
        <f t="shared" si="61"/>
        <v>607.28</v>
      </c>
      <c r="Q112">
        <f t="shared" si="67"/>
        <v>0</v>
      </c>
      <c r="R112">
        <f t="shared" si="67"/>
        <v>0</v>
      </c>
      <c r="S112">
        <f t="shared" si="67"/>
        <v>0</v>
      </c>
      <c r="T112">
        <f t="shared" si="67"/>
        <v>0</v>
      </c>
      <c r="U112">
        <f t="shared" si="67"/>
        <v>0</v>
      </c>
      <c r="V112">
        <f t="shared" si="67"/>
        <v>0</v>
      </c>
      <c r="W112">
        <f t="shared" si="67"/>
        <v>3.86</v>
      </c>
      <c r="X112">
        <f t="shared" si="67"/>
        <v>0</v>
      </c>
      <c r="Y112">
        <f t="shared" si="67"/>
        <v>1.05</v>
      </c>
      <c r="Z112">
        <f t="shared" si="72"/>
        <v>0</v>
      </c>
      <c r="AA112">
        <f t="shared" si="72"/>
        <v>0</v>
      </c>
      <c r="AB112">
        <f t="shared" si="72"/>
        <v>0</v>
      </c>
      <c r="AC112">
        <f t="shared" si="72"/>
        <v>0</v>
      </c>
      <c r="AD112">
        <f t="shared" si="72"/>
        <v>0</v>
      </c>
      <c r="AE112">
        <f t="shared" si="72"/>
        <v>0</v>
      </c>
      <c r="AF112">
        <f t="shared" si="72"/>
        <v>0</v>
      </c>
      <c r="AG112">
        <f t="shared" si="72"/>
        <v>0</v>
      </c>
      <c r="AH112">
        <f t="shared" si="72"/>
        <v>0</v>
      </c>
      <c r="AI112">
        <f t="shared" si="72"/>
        <v>0</v>
      </c>
      <c r="AJ112">
        <f t="shared" si="72"/>
        <v>1.1299999999999999</v>
      </c>
      <c r="AK112">
        <f t="shared" si="72"/>
        <v>0</v>
      </c>
      <c r="AL112">
        <f>BC60</f>
        <v>0</v>
      </c>
      <c r="AM112">
        <f>BD60</f>
        <v>0</v>
      </c>
      <c r="AN112">
        <f>D112-AR112</f>
        <v>601.24</v>
      </c>
      <c r="AO112">
        <f>BF60</f>
        <v>0</v>
      </c>
      <c r="AP112">
        <f>BG60</f>
        <v>0</v>
      </c>
      <c r="AQ112">
        <f>BH60</f>
        <v>0</v>
      </c>
      <c r="AR112">
        <f>E112+Q112+R112+S112+T112+U112+V112+W112+X112+Y112+Z112+AA112+AB112+AC112+AD112+AE112+AF112+AG112+AH112+AI112+AJ112+AK112+AL112+AM112+AO112+AP112+AQ112</f>
        <v>13.7</v>
      </c>
      <c r="AS112">
        <f>D112+AN116-AR112</f>
        <v>601.24</v>
      </c>
    </row>
    <row r="113" spans="1:45" ht="20.25" customHeight="1">
      <c r="A113" t="s">
        <v>117</v>
      </c>
      <c r="B113" t="s">
        <v>118</v>
      </c>
      <c r="C113" t="s">
        <v>119</v>
      </c>
      <c r="D113">
        <f t="shared" si="69"/>
        <v>0</v>
      </c>
      <c r="E113">
        <f t="shared" si="37"/>
        <v>0</v>
      </c>
      <c r="F113">
        <f t="shared" si="70"/>
        <v>0</v>
      </c>
      <c r="G113">
        <f t="shared" si="70"/>
        <v>0</v>
      </c>
      <c r="H113">
        <f t="shared" si="71"/>
        <v>0</v>
      </c>
      <c r="I113">
        <f t="shared" si="71"/>
        <v>0</v>
      </c>
      <c r="J113">
        <f t="shared" si="66"/>
        <v>0</v>
      </c>
      <c r="K113">
        <f t="shared" si="66"/>
        <v>0</v>
      </c>
      <c r="L113">
        <f t="shared" si="66"/>
        <v>0</v>
      </c>
      <c r="M113">
        <f t="shared" si="66"/>
        <v>0</v>
      </c>
      <c r="N113">
        <f t="shared" si="66"/>
        <v>0</v>
      </c>
      <c r="O113">
        <f t="shared" si="66"/>
        <v>0</v>
      </c>
      <c r="P113">
        <f t="shared" si="61"/>
        <v>0</v>
      </c>
      <c r="Q113">
        <f t="shared" si="67"/>
        <v>0</v>
      </c>
      <c r="R113">
        <f t="shared" si="67"/>
        <v>0</v>
      </c>
      <c r="S113">
        <f t="shared" si="67"/>
        <v>0</v>
      </c>
      <c r="T113">
        <f t="shared" si="67"/>
        <v>0</v>
      </c>
      <c r="U113">
        <f t="shared" si="67"/>
        <v>0</v>
      </c>
      <c r="V113">
        <f t="shared" si="67"/>
        <v>0</v>
      </c>
      <c r="W113">
        <f t="shared" si="67"/>
        <v>0</v>
      </c>
      <c r="X113">
        <f t="shared" si="67"/>
        <v>0</v>
      </c>
      <c r="Y113">
        <f t="shared" si="67"/>
        <v>0</v>
      </c>
      <c r="Z113">
        <f t="shared" si="72"/>
        <v>0</v>
      </c>
      <c r="AA113">
        <f t="shared" si="72"/>
        <v>0</v>
      </c>
      <c r="AB113">
        <f t="shared" si="72"/>
        <v>0</v>
      </c>
      <c r="AC113">
        <f t="shared" si="72"/>
        <v>0</v>
      </c>
      <c r="AD113">
        <f t="shared" si="72"/>
        <v>0</v>
      </c>
      <c r="AE113">
        <f t="shared" si="72"/>
        <v>0</v>
      </c>
      <c r="AF113">
        <f t="shared" si="72"/>
        <v>0</v>
      </c>
      <c r="AG113">
        <f t="shared" si="72"/>
        <v>0</v>
      </c>
      <c r="AH113">
        <f t="shared" si="72"/>
        <v>0</v>
      </c>
      <c r="AI113">
        <f t="shared" si="72"/>
        <v>0</v>
      </c>
      <c r="AJ113">
        <f t="shared" si="72"/>
        <v>0</v>
      </c>
      <c r="AK113">
        <f t="shared" si="72"/>
        <v>0</v>
      </c>
      <c r="AL113">
        <f>BC61</f>
        <v>0</v>
      </c>
      <c r="AM113">
        <f>BD61</f>
        <v>0</v>
      </c>
      <c r="AN113">
        <f>BE61</f>
        <v>0</v>
      </c>
      <c r="AO113">
        <f>D113-AR113</f>
        <v>0</v>
      </c>
      <c r="AP113">
        <f>BG61</f>
        <v>0</v>
      </c>
      <c r="AQ113">
        <f>BH61</f>
        <v>0</v>
      </c>
      <c r="AR113">
        <f>E113+Q113+R113+S113+T113+U113+V113+W113+X113+Y113+Z113+AA113+AB113+AC113+AD113+AE113+AF113+AG113+AH113+AI113+AJ113+AK113+AL113+AM113+AN113+AP113+AQ113</f>
        <v>0</v>
      </c>
      <c r="AS113">
        <f>D113+AO116-AR113</f>
        <v>0</v>
      </c>
    </row>
    <row r="114" spans="1:45" ht="20.25" customHeight="1">
      <c r="A114" t="s">
        <v>120</v>
      </c>
      <c r="B114" t="s">
        <v>121</v>
      </c>
      <c r="C114" t="s">
        <v>122</v>
      </c>
      <c r="D114">
        <f t="shared" si="69"/>
        <v>0</v>
      </c>
      <c r="E114">
        <f t="shared" si="37"/>
        <v>0</v>
      </c>
      <c r="F114">
        <f t="shared" si="70"/>
        <v>0</v>
      </c>
      <c r="G114">
        <f t="shared" si="70"/>
        <v>0</v>
      </c>
      <c r="H114">
        <f t="shared" si="71"/>
        <v>0</v>
      </c>
      <c r="I114">
        <f t="shared" si="71"/>
        <v>0</v>
      </c>
      <c r="J114">
        <f t="shared" ref="J114:O115" si="73">P62</f>
        <v>0</v>
      </c>
      <c r="K114">
        <f t="shared" si="73"/>
        <v>0</v>
      </c>
      <c r="L114">
        <f t="shared" si="73"/>
        <v>0</v>
      </c>
      <c r="M114">
        <f t="shared" si="73"/>
        <v>0</v>
      </c>
      <c r="N114">
        <f t="shared" si="73"/>
        <v>0</v>
      </c>
      <c r="O114">
        <f t="shared" si="73"/>
        <v>0</v>
      </c>
      <c r="P114">
        <f t="shared" si="61"/>
        <v>0</v>
      </c>
      <c r="Q114">
        <f t="shared" ref="Q114:Y115" si="74">W62</f>
        <v>0</v>
      </c>
      <c r="R114">
        <f t="shared" si="74"/>
        <v>0</v>
      </c>
      <c r="S114">
        <f t="shared" si="74"/>
        <v>0</v>
      </c>
      <c r="T114">
        <f t="shared" si="74"/>
        <v>0</v>
      </c>
      <c r="U114">
        <f t="shared" si="74"/>
        <v>0</v>
      </c>
      <c r="V114">
        <f t="shared" si="74"/>
        <v>0</v>
      </c>
      <c r="W114">
        <f t="shared" si="74"/>
        <v>0</v>
      </c>
      <c r="X114">
        <f t="shared" si="74"/>
        <v>0</v>
      </c>
      <c r="Y114">
        <f t="shared" si="74"/>
        <v>0</v>
      </c>
      <c r="Z114">
        <f t="shared" si="72"/>
        <v>0</v>
      </c>
      <c r="AA114">
        <f t="shared" si="72"/>
        <v>0</v>
      </c>
      <c r="AB114">
        <f t="shared" si="72"/>
        <v>0</v>
      </c>
      <c r="AC114">
        <f t="shared" si="72"/>
        <v>0</v>
      </c>
      <c r="AD114">
        <f t="shared" si="72"/>
        <v>0</v>
      </c>
      <c r="AE114">
        <f t="shared" si="72"/>
        <v>0</v>
      </c>
      <c r="AF114">
        <f t="shared" si="72"/>
        <v>0</v>
      </c>
      <c r="AG114">
        <f t="shared" si="72"/>
        <v>0</v>
      </c>
      <c r="AH114">
        <f t="shared" si="72"/>
        <v>0</v>
      </c>
      <c r="AI114">
        <f t="shared" si="72"/>
        <v>0</v>
      </c>
      <c r="AJ114">
        <f t="shared" si="72"/>
        <v>0</v>
      </c>
      <c r="AK114">
        <f t="shared" si="72"/>
        <v>0</v>
      </c>
      <c r="AL114">
        <f>BC62</f>
        <v>0</v>
      </c>
      <c r="AM114">
        <f>BD62</f>
        <v>0</v>
      </c>
      <c r="AN114">
        <f>BE62</f>
        <v>0</v>
      </c>
      <c r="AO114">
        <f>BF62</f>
        <v>0</v>
      </c>
      <c r="AP114">
        <f>D114-AR114</f>
        <v>0</v>
      </c>
      <c r="AQ114">
        <f>BH62</f>
        <v>0</v>
      </c>
      <c r="AR114">
        <f>E114+Q114+R114+S114+T114+U114+V114+W114+X114+Y114+Z114+AA114+AB114+AC114+AD114+AE114+AF114+AG114+AH114+AI114+AJ114+AK114+AL114+AM114+AN114+AO114+AQ114</f>
        <v>0</v>
      </c>
      <c r="AS114">
        <f>D114+AP116-AR114</f>
        <v>0</v>
      </c>
    </row>
    <row r="115" spans="1:45" ht="20.25" customHeight="1">
      <c r="A115">
        <v>3</v>
      </c>
      <c r="B115" t="s">
        <v>123</v>
      </c>
      <c r="C115" t="s">
        <v>124</v>
      </c>
      <c r="D115">
        <f>D63</f>
        <v>65.17</v>
      </c>
      <c r="E115">
        <f>F115+H115+I115+J115+K115+L115+M115+N115+O115</f>
        <v>5.3</v>
      </c>
      <c r="F115">
        <f t="shared" si="70"/>
        <v>0</v>
      </c>
      <c r="G115">
        <f t="shared" si="70"/>
        <v>0</v>
      </c>
      <c r="H115">
        <f t="shared" si="71"/>
        <v>0</v>
      </c>
      <c r="I115">
        <f t="shared" si="71"/>
        <v>0</v>
      </c>
      <c r="J115">
        <f t="shared" si="73"/>
        <v>0</v>
      </c>
      <c r="K115">
        <f t="shared" si="73"/>
        <v>0</v>
      </c>
      <c r="L115">
        <f t="shared" si="73"/>
        <v>0</v>
      </c>
      <c r="M115">
        <f t="shared" si="73"/>
        <v>5.3</v>
      </c>
      <c r="N115">
        <f t="shared" si="73"/>
        <v>0</v>
      </c>
      <c r="O115">
        <f t="shared" si="73"/>
        <v>0</v>
      </c>
      <c r="P115">
        <f>SUM(Q115:AP115)</f>
        <v>0.74</v>
      </c>
      <c r="Q115">
        <f t="shared" si="74"/>
        <v>0</v>
      </c>
      <c r="R115">
        <f t="shared" si="74"/>
        <v>0</v>
      </c>
      <c r="S115">
        <f t="shared" si="74"/>
        <v>0</v>
      </c>
      <c r="T115">
        <f t="shared" si="74"/>
        <v>0</v>
      </c>
      <c r="U115">
        <f t="shared" si="74"/>
        <v>0</v>
      </c>
      <c r="V115">
        <f t="shared" si="74"/>
        <v>0</v>
      </c>
      <c r="W115">
        <f t="shared" si="74"/>
        <v>0.55000000000000004</v>
      </c>
      <c r="X115">
        <f t="shared" si="74"/>
        <v>0</v>
      </c>
      <c r="Y115">
        <f t="shared" si="74"/>
        <v>0.19</v>
      </c>
      <c r="Z115">
        <f t="shared" si="72"/>
        <v>0</v>
      </c>
      <c r="AA115">
        <f t="shared" si="72"/>
        <v>0</v>
      </c>
      <c r="AB115">
        <f t="shared" si="72"/>
        <v>0</v>
      </c>
      <c r="AC115">
        <f t="shared" si="72"/>
        <v>0</v>
      </c>
      <c r="AD115">
        <f t="shared" si="72"/>
        <v>0</v>
      </c>
      <c r="AE115">
        <f t="shared" si="72"/>
        <v>0</v>
      </c>
      <c r="AF115">
        <f t="shared" si="72"/>
        <v>0</v>
      </c>
      <c r="AG115">
        <f t="shared" si="72"/>
        <v>0</v>
      </c>
      <c r="AH115">
        <f t="shared" si="72"/>
        <v>0</v>
      </c>
      <c r="AI115">
        <f t="shared" si="72"/>
        <v>0</v>
      </c>
      <c r="AJ115">
        <f t="shared" si="72"/>
        <v>0</v>
      </c>
      <c r="AK115">
        <f t="shared" si="72"/>
        <v>0</v>
      </c>
      <c r="AL115">
        <f>BC63</f>
        <v>0</v>
      </c>
      <c r="AM115">
        <f>BD63</f>
        <v>0</v>
      </c>
      <c r="AN115">
        <f>BE63</f>
        <v>0</v>
      </c>
      <c r="AO115">
        <f>BF63</f>
        <v>0</v>
      </c>
      <c r="AP115">
        <f>BG63</f>
        <v>0</v>
      </c>
      <c r="AQ115">
        <f>AR115</f>
        <v>6.04</v>
      </c>
      <c r="AR115">
        <f>E115+Q115+R115+S115+T115+U115+V115+W115+X115+Y115+Z115+AA115+AB115+AC115+AD115+AE115+AF115+AG115+AH115+AI115+AJ115+AL115+AM115+AN115+AO115+AP115</f>
        <v>6.04</v>
      </c>
      <c r="AS115">
        <f>D115+AQ116-AR115</f>
        <v>59.13</v>
      </c>
    </row>
    <row r="116" spans="1:45" ht="20.25" customHeight="1">
      <c r="B116" t="s">
        <v>190</v>
      </c>
      <c r="E116">
        <f>E88+E115</f>
        <v>12.96</v>
      </c>
      <c r="F116">
        <f>F80+F81+F82+F83+F84+F85+F86+F87+F88+F115</f>
        <v>0</v>
      </c>
      <c r="G116">
        <f>G78+G80+G81+G82+G83+G84+G85+G86+G87+G88+G115</f>
        <v>0</v>
      </c>
      <c r="H116">
        <f>H78+H81+H82+H83+H84+H85+H86+H87+H88+H115</f>
        <v>0</v>
      </c>
      <c r="I116">
        <f>I78+I80+I82+I83+I84+I85+I86+I87+I88+I115</f>
        <v>0</v>
      </c>
      <c r="J116">
        <f>J78+J80+J81+J83+J84+J85+J86+J87+J88+J115</f>
        <v>0</v>
      </c>
      <c r="K116">
        <f>K78+K80+K81+K82+K84+K85+K86+K87+K88+K115</f>
        <v>0</v>
      </c>
      <c r="L116">
        <f>L78+L80+L81+L82+L83+L85+L86+L87+L88+L115</f>
        <v>0</v>
      </c>
      <c r="M116">
        <f>M78+M80+M81+M82+M83+M84+M86+M87+M88+M115</f>
        <v>25.62</v>
      </c>
      <c r="N116">
        <f>N78+N80+N81+N82+N83+N84+N85+N87+N88+N115</f>
        <v>0</v>
      </c>
      <c r="O116">
        <f>O78+O80+O81+O82+O83+O84+O85+O86+O88+O115</f>
        <v>0</v>
      </c>
      <c r="P116">
        <f>P77+P115</f>
        <v>297.33999999999997</v>
      </c>
      <c r="Q116">
        <f>Q77+Q90+Q91+Q92+Q93+Q94+Q95+Q96+Q97+Q98+Q99+Q100+Q101+Q102+Q103+Q104+Q105+Q106+Q107+Q108+Q109+Q110+Q111+Q112+Q113+Q114+Q115</f>
        <v>0</v>
      </c>
      <c r="R116">
        <f>R77+R89+R91+R92+R93+R94+R95+R96+R97+R98+R99+R100+R101+R102+R103+R104+R105+R106+R107+R108+R109+R110+R111+R112+R113+R114+R115</f>
        <v>0</v>
      </c>
      <c r="S116">
        <f>S77+S89+S90+S92+S93+S94+S95+S96+S97+S98+S99+S100+S101+S102+S103+S104+S105+S106+S107+S108+S109+S110+S111+S112+S113+S114+S115</f>
        <v>0</v>
      </c>
      <c r="T116">
        <f>T77+T89+T90+T91+T93+T94+T95+T96+T97+T98+T99+T100+T101+T102+T103+T104+T105+T106+T107+T108+T109+T110+T111+T112+T113+T114+T115</f>
        <v>0</v>
      </c>
      <c r="U116">
        <f>U77+U89+U90+U91+U92+U94+U95+U96+U97+U98+U99+U100+U101+U102+U103+U104+U105+U106+U107+U108+U109+U110+U111+U112+U113+U114+U115</f>
        <v>0</v>
      </c>
      <c r="V116">
        <f>V77+V89+V90+V91+V92+V93+V95+V96+V97+V98+V99+V100+V101+V102+V103+V104+V105+V106+V107+V108+V109+V110+V111+V112+V113+V114+V115</f>
        <v>0</v>
      </c>
      <c r="W116">
        <f>W77+W89+W90+W91+W92+W93+W94+W96+W97+W98+W99+W100+W101+W102+W103+W104+W105+W106+W107+W108+W109+W110+W111+W112+W113+W114+W115</f>
        <v>6.8199999999999994</v>
      </c>
      <c r="X116">
        <f>X77+X89+X90+X91+X92+X93+X94+X95+X97+X98+X99+X100+X101+X102+X103+X104+X105+X106+X107+X108+X109+X110+X111+X112+X113+X114+X115</f>
        <v>0</v>
      </c>
      <c r="Y116">
        <f>Y77+Y89+Y90+Y91+Y92+Y93+Y94+Y95+Y96+Y98+Y99+Y100+Y101+Y102+Y103+Y104+Y105+Y106+Y107+Y108+Y109+Y110+Y111+Y112+Y113+Y114+Y115</f>
        <v>26.810000000000002</v>
      </c>
      <c r="Z116">
        <f>Z77+Z89+Z90+Z91+Z92+Z93+Z94+Z95+Z96+Z97+Z99+Z100+Z101+Z102+Z103+Z104+Z105+Z106+Z107+Z108+Z109+Z110+Z111+Z112+Z113+Z114+Z115</f>
        <v>0</v>
      </c>
      <c r="AA116">
        <f>AA77+AA89+AA90+AA91+AA92+AA93+AA94+AA95+AA96+AA97+AA98+AA100+AA101+AA102+AA103+AA104+AA105+AA106+AA107+AA108+AA109+AA110+AA111+AA112+AA113+AA114+AA115</f>
        <v>0</v>
      </c>
      <c r="AB116">
        <f>AB77+AB89+AB90+AB91+AB92+AB93+AB94+AB95+AB96+AB97+AB98+AB99+AB101+AB102+AB103+AB104+AB105+AB106+AB107+AB108+AB109+AB110+AB111+AB112+AB113+AB114+AB115</f>
        <v>0.78</v>
      </c>
      <c r="AC116">
        <f>AC77+AC89+AC90+AC91+AC92+AC93+AC94+AC95+AC96+AC97+AC98+AC99+AC100+AC102+AC103+AC104+AC105+AC106+AC107+AC108+AC109+AC110+AC111+AC112+AC113+AC114+AC115</f>
        <v>0.3</v>
      </c>
      <c r="AD116">
        <f>AD77+AD89+AD90+AD91+AD92+AD93+AD94+AD95+AD96+AD97+AD98+AD99+AD100+AD101+AD103+AD104+AD105+AD106+AD107+AD108+AD109+AD110+AD111+AD112+AD113+AD114+AD115</f>
        <v>0</v>
      </c>
      <c r="AE116">
        <f>AE77+AE89+AE90+AE91+AE92+AE93+AE94+AE95+AE96+AE97+AE98+AE99+AE100+AE101+AE102+AE104+AE105+AE106+AE107+AE108+AE109+AE110+AE111+AE112+AE113+AE114+AE115</f>
        <v>0</v>
      </c>
      <c r="AF116">
        <f>AF77+AF89+AF90+AF91+AF92+AF93+AF94+AF95+AF96+AF97+AF98+AF99+AF100+AF101+AF102+AF103+AF105+AF106+AF107+AF108+AF109+AF110+AF111+AF112+AF113+AF114+AF115</f>
        <v>0</v>
      </c>
      <c r="AG116">
        <f>AG77+AG89+AG90+AG91+AG92+AG93+AG94+AG95+AG96+AG97+AG98+AG99+AG100+AG101+AG102+AG103+AG104+AG106+AG107+AG108+AG109+AG110+AG111+AG112+AG113+AG114+AG115</f>
        <v>0</v>
      </c>
      <c r="AH116">
        <f>AH77+AH89+AH90+AH91+AH92+AH93+AH94+AH95+AH96+AH97+AH98+AH99+AH100+AH101+AH102+AH103+AH104+AH105+AH107+AH108+AH109+AH110+AH111+AH112+AH113+AH114+AH115</f>
        <v>0</v>
      </c>
      <c r="AI116">
        <f>AI77+AI89+AI90+AI91+AI92+AI93+AI94+AI95+AI96+AI97+AI98+AI99+AI100+AI101+AI102+AI103+AI104+AI105+AI106+AI108+AI109+AI110+AI111+AI112+AI113+AI114+AI115</f>
        <v>0</v>
      </c>
      <c r="AJ116">
        <f>AJ77+AJ89+AJ90+AJ91+AJ92+AJ93+AJ94+AJ95+AJ96+AJ97+AJ98+AJ99+AJ100+AJ101+AJ102+AJ103+AJ104+AJ105+AJ106+AJ107+AJ109+AJ110+AJ111+AJ112+AJ113+AJ114+AJ115</f>
        <v>271.49</v>
      </c>
      <c r="AK116">
        <f>AK77+AK89+AK90+AK91+AK92+AK93+AK94+AK95+AK96+AK97+AK98+AK99+AK100+AK101+AK102+AK103+AK104+AK105+AK106+AK107+AK108+AK110+AK111+AK112+AK113+AK114+AK115</f>
        <v>0</v>
      </c>
      <c r="AL116">
        <f>AL77+AL89+AL90+AL91+AL92+AL93+AL94+AL95+AL96+AL97+AL98+AL99+AL100+AL101+AL102+AL103+AL104+AL105+AL106+AL107+AL108+AL109+AL111+AL112+AL113+AL114+AL115</f>
        <v>0</v>
      </c>
      <c r="AM116">
        <f>AM77+AM89+AM90+AM91+AM92+AM93+AM94+AM95+AM96+AM97+AM98+AM99+AM100+AM101+AM102+AM103+AM104+AM105+AM106+AM107+AM108+AM109+AM110+AM112+AM113+AM114+AM115</f>
        <v>0</v>
      </c>
      <c r="AN116">
        <f>AN77+AN89+AN90+AN91+AN92+AN93+AN94+AN95+AN96+AN97+AN98+AN99+AN100+AN101+AN102+AN103+AN104+AN105+AN106+AN107+AN108+AN109+AN110+AN111+AN113+AN114+AN115</f>
        <v>0</v>
      </c>
      <c r="AO116">
        <f>AO77+AO89+AO90+AO91+AO92+AO93+AO94+AO95+AO96+AO97+AO98+AO99+AO100+AO101+AO102+AO103+AO104+AO105+AO106+AO107+AO108+AO109+AO110+AO111+AO112+AO114+AO115</f>
        <v>0</v>
      </c>
      <c r="AP116">
        <f>AP77+AP89+AP90+AP91+AP92+AP93+AP94+AP95+AP96+AP97+AP98+AP99+AP100+AP101+AP102+AP103+AP104+AP105+AP106+AP107+AP108+AP109+AP110+AP111+AP112+AP113+AP115</f>
        <v>0</v>
      </c>
      <c r="AQ116">
        <f>AQ77+AQ88</f>
        <v>0</v>
      </c>
    </row>
    <row r="117" spans="1:45" ht="25.5" customHeight="1">
      <c r="B117" t="s">
        <v>325</v>
      </c>
      <c r="D117">
        <f>AS76</f>
        <v>5874.6895000000004</v>
      </c>
      <c r="E117">
        <f>AS77</f>
        <v>4635.93</v>
      </c>
      <c r="F117">
        <f>AS78</f>
        <v>230.79</v>
      </c>
      <c r="G117">
        <f>AS79</f>
        <v>43.129999999999995</v>
      </c>
      <c r="H117">
        <f>AS80</f>
        <v>159.56</v>
      </c>
      <c r="I117">
        <f>AS81</f>
        <v>125.17</v>
      </c>
      <c r="J117">
        <f>AS82</f>
        <v>915.98</v>
      </c>
      <c r="K117">
        <f>AS83</f>
        <v>-269.69000000000005</v>
      </c>
      <c r="L117">
        <f>AS84</f>
        <v>3273.96</v>
      </c>
      <c r="M117">
        <f>AS85</f>
        <v>200.16</v>
      </c>
      <c r="N117">
        <f>AS86</f>
        <v>0</v>
      </c>
      <c r="O117">
        <f>AS87</f>
        <v>0</v>
      </c>
      <c r="P117">
        <f>AS88</f>
        <v>1179.6295</v>
      </c>
      <c r="Q117">
        <f>AS89</f>
        <v>0.68</v>
      </c>
      <c r="R117">
        <f>AS90</f>
        <v>0</v>
      </c>
      <c r="S117">
        <f>AS91</f>
        <v>0</v>
      </c>
      <c r="T117">
        <f>AS92</f>
        <v>0</v>
      </c>
      <c r="U117">
        <f>AS93</f>
        <v>0</v>
      </c>
      <c r="V117">
        <f>AS94</f>
        <v>3.21</v>
      </c>
      <c r="W117">
        <f>AS95</f>
        <v>6.8199999999999994</v>
      </c>
      <c r="X117">
        <f>AS96</f>
        <v>0</v>
      </c>
      <c r="Y117">
        <f>AS97</f>
        <v>218.91950000000006</v>
      </c>
      <c r="Z117">
        <f>AS98</f>
        <v>0</v>
      </c>
      <c r="AA117">
        <f>AS99</f>
        <v>0</v>
      </c>
      <c r="AB117">
        <f>AS100</f>
        <v>36.15</v>
      </c>
      <c r="AC117">
        <f>AS101</f>
        <v>22.450000000000003</v>
      </c>
      <c r="AD117">
        <f>AS102</f>
        <v>0</v>
      </c>
      <c r="AE117">
        <f>AS103</f>
        <v>0.47</v>
      </c>
      <c r="AF117">
        <f>AS104</f>
        <v>0</v>
      </c>
      <c r="AG117">
        <f>AS105</f>
        <v>0</v>
      </c>
      <c r="AH117">
        <f>AS106</f>
        <v>0</v>
      </c>
      <c r="AI117">
        <f>AS107</f>
        <v>16.57</v>
      </c>
      <c r="AJ117">
        <f>AS108</f>
        <v>271.84000000000003</v>
      </c>
      <c r="AK117">
        <f>AS109</f>
        <v>0.37</v>
      </c>
      <c r="AL117">
        <f>AS110</f>
        <v>0.34</v>
      </c>
      <c r="AM117">
        <f>AS111</f>
        <v>0.56999999999999995</v>
      </c>
      <c r="AN117">
        <f>AS112</f>
        <v>601.24</v>
      </c>
      <c r="AO117">
        <f>AS113</f>
        <v>0</v>
      </c>
      <c r="AP117">
        <f>AS114</f>
        <v>0</v>
      </c>
      <c r="AQ117">
        <f>AS115</f>
        <v>59.13</v>
      </c>
    </row>
  </sheetData>
  <mergeCells count="21">
    <mergeCell ref="A1:B1"/>
    <mergeCell ref="A2:BN2"/>
    <mergeCell ref="A4:A5"/>
    <mergeCell ref="B4:B5"/>
    <mergeCell ref="C4:C5"/>
    <mergeCell ref="A74:A75"/>
    <mergeCell ref="BN4:BN5"/>
    <mergeCell ref="A70:B70"/>
    <mergeCell ref="BM4:BM5"/>
    <mergeCell ref="A72:AS72"/>
    <mergeCell ref="AS74:AS75"/>
    <mergeCell ref="D4:D5"/>
    <mergeCell ref="C74:C75"/>
    <mergeCell ref="A71:AS71"/>
    <mergeCell ref="E74:AQ74"/>
    <mergeCell ref="D74:D75"/>
    <mergeCell ref="E4:BK4"/>
    <mergeCell ref="AR73:AS73"/>
    <mergeCell ref="BL4:BL5"/>
    <mergeCell ref="B74:B75"/>
    <mergeCell ref="AR74:AR75"/>
  </mergeCells>
  <phoneticPr fontId="4" type="noConversion"/>
  <pageMargins left="0.75" right="0.75" top="1" bottom="1" header="0.5" footer="0.5"/>
  <pageSetup paperSize="9" scale="45" orientation="portrait" r:id="rId1"/>
  <headerFooter alignWithMargins="0"/>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
  <dimension ref="A1:BP117"/>
  <sheetViews>
    <sheetView showZeros="0" topLeftCell="A4" zoomScale="75" workbookViewId="0">
      <pane xSplit="4" ySplit="4" topLeftCell="AK52" activePane="bottomRight" state="frozen"/>
      <selection activeCell="A4" sqref="A4"/>
      <selection pane="topRight" activeCell="E4" sqref="E4"/>
      <selection pane="bottomLeft" activeCell="A8" sqref="A8"/>
      <selection pane="bottomRight" activeCell="AT38" sqref="AT38"/>
    </sheetView>
  </sheetViews>
  <sheetFormatPr defaultRowHeight="24.95" customHeight="1"/>
  <cols>
    <col min="1" max="1" width="9" customWidth="1"/>
    <col min="2" max="2" width="47.140625" customWidth="1"/>
    <col min="3" max="3" width="8.28515625" style="105" customWidth="1"/>
    <col min="4" max="4" width="13.5703125" customWidth="1"/>
    <col min="5" max="5" width="11.7109375" customWidth="1"/>
    <col min="6" max="6" width="11.85546875" hidden="1" customWidth="1"/>
    <col min="7" max="7" width="11.28515625" hidden="1" customWidth="1"/>
    <col min="8" max="8" width="10.85546875" customWidth="1"/>
    <col min="9" max="9" width="11.140625" customWidth="1"/>
    <col min="10" max="10" width="10.85546875" customWidth="1"/>
    <col min="11" max="11" width="10" hidden="1" customWidth="1"/>
    <col min="12" max="12" width="11.140625" hidden="1" customWidth="1"/>
    <col min="13" max="13" width="11.85546875" customWidth="1"/>
    <col min="14" max="14" width="11.140625" customWidth="1"/>
    <col min="15" max="15" width="0.28515625" hidden="1" customWidth="1"/>
    <col min="16" max="16" width="12.85546875" customWidth="1"/>
    <col min="17" max="17" width="12.28515625" customWidth="1"/>
    <col min="18" max="18" width="10.85546875" customWidth="1"/>
    <col min="19" max="19" width="9" customWidth="1"/>
    <col min="20" max="20" width="10.140625" hidden="1" customWidth="1"/>
    <col min="21" max="21" width="9.85546875" customWidth="1"/>
    <col min="22" max="22" width="11.5703125" customWidth="1"/>
    <col min="23" max="23" width="11.140625" customWidth="1"/>
    <col min="24" max="24" width="9.140625" customWidth="1"/>
    <col min="25" max="25" width="10.42578125" customWidth="1"/>
    <col min="26" max="26" width="11.140625" customWidth="1"/>
    <col min="27" max="27" width="9.85546875" customWidth="1"/>
    <col min="28" max="39" width="10.42578125" customWidth="1"/>
    <col min="40" max="40" width="11" customWidth="1"/>
    <col min="41" max="43" width="9.42578125" customWidth="1"/>
    <col min="44" max="44" width="10.85546875" customWidth="1"/>
    <col min="45" max="45" width="13.7109375" customWidth="1"/>
    <col min="46" max="46" width="9.42578125" customWidth="1"/>
    <col min="47" max="47" width="11.28515625" customWidth="1"/>
    <col min="48" max="48" width="11.5703125" customWidth="1"/>
    <col min="49" max="59" width="9" customWidth="1"/>
    <col min="60" max="60" width="10.140625" customWidth="1"/>
    <col min="61" max="62" width="9.85546875" customWidth="1"/>
    <col min="64" max="64" width="10.5703125" customWidth="1"/>
    <col min="65" max="65" width="12.140625" customWidth="1"/>
    <col min="66" max="66" width="13" customWidth="1"/>
    <col min="67" max="67" width="12" customWidth="1"/>
  </cols>
  <sheetData>
    <row r="1" spans="1:68" ht="24.95" customHeight="1">
      <c r="A1" s="1300" t="s">
        <v>301</v>
      </c>
      <c r="B1" s="1300"/>
    </row>
    <row r="2" spans="1:68" ht="36.75" customHeight="1">
      <c r="A2" s="1282" t="s">
        <v>960</v>
      </c>
      <c r="B2" s="1282"/>
      <c r="C2" s="1282"/>
      <c r="D2" s="1282"/>
      <c r="E2" s="1282"/>
      <c r="F2" s="1282"/>
      <c r="G2" s="1282"/>
      <c r="H2" s="1282"/>
      <c r="I2" s="1282"/>
      <c r="J2" s="1282"/>
      <c r="K2" s="1282"/>
      <c r="L2" s="1282"/>
      <c r="M2" s="1282"/>
      <c r="N2" s="1282"/>
      <c r="O2" s="1282"/>
      <c r="P2" s="1282"/>
      <c r="Q2" s="1282"/>
      <c r="R2" s="1282"/>
      <c r="S2" s="1282"/>
      <c r="T2" s="1282"/>
      <c r="U2" s="1282"/>
      <c r="V2" s="1282"/>
      <c r="W2" s="1282"/>
      <c r="X2" s="1282"/>
      <c r="Y2" s="1282"/>
      <c r="Z2" s="1282"/>
      <c r="AA2" s="1282"/>
      <c r="AB2" s="1282"/>
      <c r="AC2" s="1282"/>
      <c r="AD2" s="1282"/>
      <c r="AE2" s="1282"/>
      <c r="AF2" s="1282"/>
      <c r="AG2" s="1282"/>
      <c r="AH2" s="1282"/>
      <c r="AI2" s="1282"/>
      <c r="AJ2" s="1282"/>
      <c r="AK2" s="1282"/>
      <c r="AL2" s="1282"/>
      <c r="AM2" s="1282"/>
      <c r="AN2" s="1282"/>
      <c r="AO2" s="1282"/>
      <c r="AP2" s="1282"/>
      <c r="AQ2" s="1282"/>
      <c r="AR2" s="1282"/>
      <c r="AS2" s="1282"/>
      <c r="AT2" s="1282"/>
      <c r="AU2" s="1282"/>
      <c r="AV2" s="1282"/>
      <c r="AW2" s="1282"/>
      <c r="AX2" s="1282"/>
      <c r="AY2" s="1282"/>
      <c r="AZ2" s="1282"/>
      <c r="BA2" s="1282"/>
      <c r="BB2" s="1282"/>
      <c r="BC2" s="1282"/>
      <c r="BD2" s="1282"/>
      <c r="BE2" s="1282"/>
      <c r="BF2" s="1282"/>
      <c r="BG2" s="1282"/>
      <c r="BH2" s="1282"/>
      <c r="BI2" s="1282"/>
      <c r="BJ2" s="1282"/>
      <c r="BK2" s="1282"/>
      <c r="BL2" s="1282"/>
      <c r="BM2" s="1282"/>
      <c r="BN2" s="1282"/>
    </row>
    <row r="3" spans="1:68" ht="24.95" customHeight="1">
      <c r="BN3">
        <f>BN7-D7</f>
        <v>0</v>
      </c>
    </row>
    <row r="4" spans="1:68" ht="33" customHeight="1">
      <c r="A4" s="1275" t="s">
        <v>136</v>
      </c>
      <c r="B4" s="1275" t="s">
        <v>469</v>
      </c>
      <c r="C4" s="1275" t="s">
        <v>13</v>
      </c>
      <c r="D4" s="1275" t="s">
        <v>693</v>
      </c>
      <c r="E4" s="1368" t="s">
        <v>694</v>
      </c>
      <c r="F4" s="1368"/>
      <c r="G4" s="1368"/>
      <c r="H4" s="1368"/>
      <c r="I4" s="1368"/>
      <c r="J4" s="1368"/>
      <c r="K4" s="1368"/>
      <c r="L4" s="1368"/>
      <c r="M4" s="1368"/>
      <c r="N4" s="1368"/>
      <c r="O4" s="1368"/>
      <c r="P4" s="1368"/>
      <c r="Q4" s="1368"/>
      <c r="R4" s="1368"/>
      <c r="S4" s="1368"/>
      <c r="T4" s="1368"/>
      <c r="U4" s="1368"/>
      <c r="V4" s="1368"/>
      <c r="W4" s="1368"/>
      <c r="X4" s="1368"/>
      <c r="Y4" s="1368"/>
      <c r="Z4" s="1368"/>
      <c r="AA4" s="1368"/>
      <c r="AB4" s="1368"/>
      <c r="AC4" s="1368"/>
      <c r="AD4" s="1368"/>
      <c r="AE4" s="1368"/>
      <c r="AF4" s="1368"/>
      <c r="AG4" s="1368"/>
      <c r="AH4" s="1368"/>
      <c r="AI4" s="1368"/>
      <c r="AJ4" s="1368"/>
      <c r="AK4" s="1368"/>
      <c r="AL4" s="1368"/>
      <c r="AM4" s="1368"/>
      <c r="AN4" s="1368"/>
      <c r="AO4" s="1368"/>
      <c r="AP4" s="1368"/>
      <c r="AQ4" s="1368"/>
      <c r="AR4" s="1368"/>
      <c r="AS4" s="1368"/>
      <c r="AT4" s="1368"/>
      <c r="AU4" s="1368"/>
      <c r="AV4" s="1368"/>
      <c r="AW4" s="1368"/>
      <c r="AX4" s="1368"/>
      <c r="AY4" s="1368"/>
      <c r="AZ4" s="1368"/>
      <c r="BA4" s="1368"/>
      <c r="BB4" s="1368"/>
      <c r="BC4" s="1368"/>
      <c r="BD4" s="1368"/>
      <c r="BE4" s="1368"/>
      <c r="BF4" s="1368"/>
      <c r="BG4" s="1368"/>
      <c r="BH4" s="1368"/>
      <c r="BI4" s="1368"/>
      <c r="BJ4" s="1368"/>
      <c r="BK4" s="1368"/>
      <c r="BL4" s="1365" t="s">
        <v>191</v>
      </c>
      <c r="BM4" s="1365" t="s">
        <v>493</v>
      </c>
      <c r="BN4" s="1365" t="s">
        <v>695</v>
      </c>
    </row>
    <row r="5" spans="1:68" ht="35.25" customHeight="1">
      <c r="A5" s="1275"/>
      <c r="B5" s="1275"/>
      <c r="C5" s="1275"/>
      <c r="D5" s="1275"/>
      <c r="E5" s="128" t="s">
        <v>15</v>
      </c>
      <c r="F5" s="128" t="s">
        <v>193</v>
      </c>
      <c r="G5" s="128" t="s">
        <v>194</v>
      </c>
      <c r="H5" s="128" t="s">
        <v>18</v>
      </c>
      <c r="I5" s="128" t="s">
        <v>20</v>
      </c>
      <c r="J5" s="128" t="s">
        <v>195</v>
      </c>
      <c r="K5" s="128" t="s">
        <v>196</v>
      </c>
      <c r="L5" s="128" t="s">
        <v>197</v>
      </c>
      <c r="M5" s="128" t="s">
        <v>23</v>
      </c>
      <c r="N5" s="128" t="s">
        <v>26</v>
      </c>
      <c r="O5" s="128" t="s">
        <v>198</v>
      </c>
      <c r="P5" s="128" t="s">
        <v>29</v>
      </c>
      <c r="Q5" s="128" t="s">
        <v>32</v>
      </c>
      <c r="R5" s="128" t="s">
        <v>35</v>
      </c>
      <c r="S5" s="128" t="s">
        <v>38</v>
      </c>
      <c r="T5" s="128" t="s">
        <v>41</v>
      </c>
      <c r="U5" s="128" t="s">
        <v>44</v>
      </c>
      <c r="V5" s="128" t="s">
        <v>46</v>
      </c>
      <c r="W5" s="128" t="s">
        <v>49</v>
      </c>
      <c r="X5" s="128" t="s">
        <v>52</v>
      </c>
      <c r="Y5" s="128" t="s">
        <v>55</v>
      </c>
      <c r="Z5" s="128" t="s">
        <v>58</v>
      </c>
      <c r="AA5" s="128" t="s">
        <v>61</v>
      </c>
      <c r="AB5" s="128" t="s">
        <v>64</v>
      </c>
      <c r="AC5" s="128" t="s">
        <v>67</v>
      </c>
      <c r="AD5" s="128" t="s">
        <v>70</v>
      </c>
      <c r="AE5" s="128" t="s">
        <v>72</v>
      </c>
      <c r="AF5" s="128" t="s">
        <v>202</v>
      </c>
      <c r="AG5" s="128" t="s">
        <v>203</v>
      </c>
      <c r="AH5" s="128" t="s">
        <v>204</v>
      </c>
      <c r="AI5" s="128" t="s">
        <v>205</v>
      </c>
      <c r="AJ5" s="128" t="s">
        <v>206</v>
      </c>
      <c r="AK5" s="128" t="s">
        <v>207</v>
      </c>
      <c r="AL5" s="128" t="s">
        <v>199</v>
      </c>
      <c r="AM5" s="128" t="s">
        <v>200</v>
      </c>
      <c r="AN5" s="128" t="s">
        <v>223</v>
      </c>
      <c r="AO5" s="128" t="s">
        <v>201</v>
      </c>
      <c r="AP5" s="128" t="s">
        <v>208</v>
      </c>
      <c r="AQ5" s="128" t="s">
        <v>75</v>
      </c>
      <c r="AR5" s="128" t="s">
        <v>78</v>
      </c>
      <c r="AS5" s="128" t="s">
        <v>81</v>
      </c>
      <c r="AT5" s="128" t="s">
        <v>84</v>
      </c>
      <c r="AU5" s="128" t="s">
        <v>87</v>
      </c>
      <c r="AV5" s="128" t="s">
        <v>90</v>
      </c>
      <c r="AW5" s="128" t="s">
        <v>93</v>
      </c>
      <c r="AX5" s="128" t="s">
        <v>96</v>
      </c>
      <c r="AY5" s="128" t="s">
        <v>99</v>
      </c>
      <c r="AZ5" s="128" t="s">
        <v>101</v>
      </c>
      <c r="BA5" s="128" t="s">
        <v>104</v>
      </c>
      <c r="BB5" s="128" t="s">
        <v>107</v>
      </c>
      <c r="BC5" s="128" t="s">
        <v>110</v>
      </c>
      <c r="BD5" s="128" t="s">
        <v>113</v>
      </c>
      <c r="BE5" s="128" t="s">
        <v>116</v>
      </c>
      <c r="BF5" s="128" t="s">
        <v>119</v>
      </c>
      <c r="BG5" s="128" t="s">
        <v>122</v>
      </c>
      <c r="BH5" s="128" t="s">
        <v>124</v>
      </c>
      <c r="BI5" s="128" t="s">
        <v>209</v>
      </c>
      <c r="BJ5" s="128" t="s">
        <v>210</v>
      </c>
      <c r="BK5" s="128" t="s">
        <v>211</v>
      </c>
      <c r="BL5" s="1366"/>
      <c r="BM5" s="1366"/>
      <c r="BN5" s="1366"/>
    </row>
    <row r="6" spans="1:68" ht="24.95" customHeight="1">
      <c r="A6" s="104" t="s">
        <v>235</v>
      </c>
      <c r="B6" s="104" t="s">
        <v>236</v>
      </c>
      <c r="C6" s="104" t="s">
        <v>237</v>
      </c>
      <c r="D6" s="104" t="s">
        <v>238</v>
      </c>
      <c r="E6" s="104" t="s">
        <v>239</v>
      </c>
      <c r="F6" s="104" t="s">
        <v>240</v>
      </c>
      <c r="G6" s="104" t="s">
        <v>241</v>
      </c>
      <c r="H6" s="104" t="s">
        <v>242</v>
      </c>
      <c r="I6" s="104" t="s">
        <v>243</v>
      </c>
      <c r="J6" s="104" t="s">
        <v>244</v>
      </c>
      <c r="K6" s="104" t="s">
        <v>245</v>
      </c>
      <c r="L6" s="104" t="s">
        <v>246</v>
      </c>
      <c r="M6" s="104" t="s">
        <v>247</v>
      </c>
      <c r="N6" s="104" t="s">
        <v>248</v>
      </c>
      <c r="O6" s="104" t="s">
        <v>249</v>
      </c>
      <c r="P6" s="104" t="s">
        <v>250</v>
      </c>
      <c r="Q6" s="104" t="s">
        <v>251</v>
      </c>
      <c r="R6" s="104" t="s">
        <v>252</v>
      </c>
      <c r="S6" s="104" t="s">
        <v>253</v>
      </c>
      <c r="T6" s="104" t="s">
        <v>254</v>
      </c>
      <c r="U6" s="104" t="s">
        <v>255</v>
      </c>
      <c r="V6" s="104" t="s">
        <v>256</v>
      </c>
      <c r="W6" s="104" t="s">
        <v>257</v>
      </c>
      <c r="X6" s="104" t="s">
        <v>258</v>
      </c>
      <c r="Y6" s="104" t="s">
        <v>259</v>
      </c>
      <c r="Z6" s="104" t="s">
        <v>260</v>
      </c>
      <c r="AA6" s="104" t="s">
        <v>261</v>
      </c>
      <c r="AB6" s="104" t="s">
        <v>262</v>
      </c>
      <c r="AC6" s="104" t="s">
        <v>263</v>
      </c>
      <c r="AD6" s="104" t="s">
        <v>264</v>
      </c>
      <c r="AE6" s="104" t="s">
        <v>265</v>
      </c>
      <c r="AF6" s="104" t="s">
        <v>266</v>
      </c>
      <c r="AG6" s="104" t="s">
        <v>267</v>
      </c>
      <c r="AH6" s="104" t="s">
        <v>268</v>
      </c>
      <c r="AI6" s="104" t="s">
        <v>269</v>
      </c>
      <c r="AJ6" s="104" t="s">
        <v>270</v>
      </c>
      <c r="AK6" s="104" t="s">
        <v>271</v>
      </c>
      <c r="AL6" s="104" t="s">
        <v>272</v>
      </c>
      <c r="AM6" s="104" t="s">
        <v>273</v>
      </c>
      <c r="AN6" s="104" t="s">
        <v>274</v>
      </c>
      <c r="AO6" s="104" t="s">
        <v>275</v>
      </c>
      <c r="AP6" s="104" t="s">
        <v>276</v>
      </c>
      <c r="AQ6" s="104" t="s">
        <v>277</v>
      </c>
      <c r="AR6" s="104" t="s">
        <v>278</v>
      </c>
      <c r="AS6" s="104" t="s">
        <v>279</v>
      </c>
      <c r="AT6" s="104" t="s">
        <v>280</v>
      </c>
      <c r="AU6" s="104" t="s">
        <v>281</v>
      </c>
      <c r="AV6" s="104" t="s">
        <v>282</v>
      </c>
      <c r="AW6" s="104" t="s">
        <v>283</v>
      </c>
      <c r="AX6" s="104" t="s">
        <v>284</v>
      </c>
      <c r="AY6" s="104" t="s">
        <v>285</v>
      </c>
      <c r="AZ6" s="104" t="s">
        <v>286</v>
      </c>
      <c r="BA6" s="104" t="s">
        <v>287</v>
      </c>
      <c r="BB6" s="104" t="s">
        <v>288</v>
      </c>
      <c r="BC6" s="104" t="s">
        <v>289</v>
      </c>
      <c r="BD6" s="104" t="s">
        <v>290</v>
      </c>
      <c r="BE6" s="104" t="s">
        <v>291</v>
      </c>
      <c r="BF6" s="104" t="s">
        <v>292</v>
      </c>
      <c r="BG6" s="104" t="s">
        <v>293</v>
      </c>
      <c r="BH6" s="104" t="s">
        <v>294</v>
      </c>
      <c r="BI6" s="104" t="s">
        <v>295</v>
      </c>
      <c r="BJ6" s="104" t="s">
        <v>296</v>
      </c>
      <c r="BK6" s="104" t="s">
        <v>297</v>
      </c>
      <c r="BL6" s="104" t="s">
        <v>298</v>
      </c>
      <c r="BM6" s="104" t="s">
        <v>299</v>
      </c>
      <c r="BN6" s="104" t="s">
        <v>300</v>
      </c>
    </row>
    <row r="7" spans="1:68" s="117" customFormat="1" ht="31.5" customHeight="1">
      <c r="A7" s="10"/>
      <c r="B7" s="10" t="s">
        <v>470</v>
      </c>
      <c r="C7" s="10"/>
      <c r="D7" s="458">
        <f>D8+D25+D63</f>
        <v>4425.3450000000003</v>
      </c>
      <c r="E7" s="458">
        <f>E8+E25+E63</f>
        <v>3367.7200000000007</v>
      </c>
      <c r="F7" s="458">
        <f t="shared" ref="F7:BK7" si="0">F8+F25+F63</f>
        <v>518.86</v>
      </c>
      <c r="G7" s="458">
        <f t="shared" si="0"/>
        <v>387.4</v>
      </c>
      <c r="H7" s="458">
        <f t="shared" si="0"/>
        <v>230.85</v>
      </c>
      <c r="I7" s="458">
        <f t="shared" si="0"/>
        <v>165.94</v>
      </c>
      <c r="J7" s="458">
        <f t="shared" si="0"/>
        <v>64.91</v>
      </c>
      <c r="K7" s="458">
        <f t="shared" si="0"/>
        <v>0</v>
      </c>
      <c r="L7" s="458">
        <f t="shared" si="0"/>
        <v>0</v>
      </c>
      <c r="M7" s="458">
        <f t="shared" si="0"/>
        <v>156.55000000000001</v>
      </c>
      <c r="N7" s="458">
        <f t="shared" si="0"/>
        <v>131.46</v>
      </c>
      <c r="O7" s="458">
        <f t="shared" si="0"/>
        <v>2442.21</v>
      </c>
      <c r="P7" s="458">
        <f t="shared" si="0"/>
        <v>962.59</v>
      </c>
      <c r="Q7" s="458">
        <f t="shared" si="0"/>
        <v>0</v>
      </c>
      <c r="R7" s="458">
        <f t="shared" si="0"/>
        <v>1479.62</v>
      </c>
      <c r="S7" s="458">
        <f t="shared" si="0"/>
        <v>406.65</v>
      </c>
      <c r="T7" s="458">
        <f t="shared" si="0"/>
        <v>0</v>
      </c>
      <c r="U7" s="458">
        <f t="shared" si="0"/>
        <v>0</v>
      </c>
      <c r="V7" s="458">
        <f t="shared" si="0"/>
        <v>499.42500000000001</v>
      </c>
      <c r="W7" s="458">
        <f t="shared" si="0"/>
        <v>11.35</v>
      </c>
      <c r="X7" s="458">
        <f t="shared" si="0"/>
        <v>0</v>
      </c>
      <c r="Y7" s="458">
        <f t="shared" si="0"/>
        <v>0</v>
      </c>
      <c r="Z7" s="458">
        <f t="shared" si="0"/>
        <v>0</v>
      </c>
      <c r="AA7" s="458">
        <f t="shared" si="0"/>
        <v>0</v>
      </c>
      <c r="AB7" s="458">
        <f t="shared" si="0"/>
        <v>0.2</v>
      </c>
      <c r="AC7" s="458">
        <f t="shared" si="0"/>
        <v>0.26</v>
      </c>
      <c r="AD7" s="458">
        <f t="shared" si="0"/>
        <v>0</v>
      </c>
      <c r="AE7" s="458">
        <f t="shared" si="0"/>
        <v>178.30499999999998</v>
      </c>
      <c r="AF7" s="458">
        <f t="shared" si="0"/>
        <v>0.23</v>
      </c>
      <c r="AG7" s="458">
        <f t="shared" si="0"/>
        <v>0.16</v>
      </c>
      <c r="AH7" s="458">
        <f t="shared" si="0"/>
        <v>3.74</v>
      </c>
      <c r="AI7" s="458">
        <f t="shared" si="0"/>
        <v>1.92</v>
      </c>
      <c r="AJ7" s="458">
        <f t="shared" si="0"/>
        <v>0</v>
      </c>
      <c r="AK7" s="458">
        <f t="shared" si="0"/>
        <v>0</v>
      </c>
      <c r="AL7" s="458">
        <f t="shared" si="0"/>
        <v>113.06</v>
      </c>
      <c r="AM7" s="458">
        <f t="shared" si="0"/>
        <v>52.114999999999995</v>
      </c>
      <c r="AN7" s="458">
        <f t="shared" si="0"/>
        <v>0.62</v>
      </c>
      <c r="AO7" s="458">
        <f t="shared" si="0"/>
        <v>0.11</v>
      </c>
      <c r="AP7" s="458">
        <f t="shared" si="0"/>
        <v>6.35</v>
      </c>
      <c r="AQ7" s="458">
        <f t="shared" si="0"/>
        <v>0</v>
      </c>
      <c r="AR7" s="458">
        <f t="shared" si="0"/>
        <v>0</v>
      </c>
      <c r="AS7" s="458">
        <f t="shared" si="0"/>
        <v>1.29</v>
      </c>
      <c r="AT7" s="458">
        <f t="shared" si="0"/>
        <v>58.58</v>
      </c>
      <c r="AU7" s="458">
        <f t="shared" si="0"/>
        <v>0</v>
      </c>
      <c r="AV7" s="458">
        <f t="shared" si="0"/>
        <v>1.1100000000000001</v>
      </c>
      <c r="AW7" s="458">
        <f t="shared" si="0"/>
        <v>0</v>
      </c>
      <c r="AX7" s="458">
        <f t="shared" si="0"/>
        <v>0</v>
      </c>
      <c r="AY7" s="458">
        <f t="shared" si="0"/>
        <v>0</v>
      </c>
      <c r="AZ7" s="458">
        <f t="shared" si="0"/>
        <v>27.25</v>
      </c>
      <c r="BA7" s="458">
        <f t="shared" si="0"/>
        <v>0</v>
      </c>
      <c r="BB7" s="458">
        <f t="shared" si="0"/>
        <v>0.5</v>
      </c>
      <c r="BC7" s="458">
        <f t="shared" si="0"/>
        <v>0</v>
      </c>
      <c r="BD7" s="458">
        <f t="shared" si="0"/>
        <v>0.7</v>
      </c>
      <c r="BE7" s="458">
        <f t="shared" si="0"/>
        <v>66.039999999999992</v>
      </c>
      <c r="BF7" s="458">
        <f t="shared" si="0"/>
        <v>153.84</v>
      </c>
      <c r="BG7" s="458">
        <f t="shared" si="0"/>
        <v>0</v>
      </c>
      <c r="BH7" s="458">
        <f t="shared" si="0"/>
        <v>558.19999999999993</v>
      </c>
      <c r="BI7" s="458">
        <f t="shared" si="0"/>
        <v>557.80999999999995</v>
      </c>
      <c r="BJ7" s="458">
        <f t="shared" si="0"/>
        <v>0.39</v>
      </c>
      <c r="BK7" s="458">
        <f t="shared" si="0"/>
        <v>0</v>
      </c>
      <c r="BL7" s="458"/>
      <c r="BM7" s="459">
        <f>BM8+BM25+BM63</f>
        <v>0</v>
      </c>
      <c r="BN7" s="458">
        <f>BN8+BN25+BN63</f>
        <v>4425.3450000000003</v>
      </c>
    </row>
    <row r="8" spans="1:68" s="115" customFormat="1" ht="20.25" customHeight="1">
      <c r="A8" s="118">
        <v>1</v>
      </c>
      <c r="B8" s="119" t="s">
        <v>14</v>
      </c>
      <c r="C8" s="120" t="s">
        <v>15</v>
      </c>
      <c r="D8" s="460">
        <f>D9+D18+D22+D23+D24</f>
        <v>3376.7400000000002</v>
      </c>
      <c r="E8" s="460">
        <f>D8-BL8</f>
        <v>3363.0400000000004</v>
      </c>
      <c r="F8" s="460">
        <f>G8+N8</f>
        <v>518.86</v>
      </c>
      <c r="G8" s="460">
        <f>H8+L8+M8</f>
        <v>387.4</v>
      </c>
      <c r="H8" s="460">
        <f>I8+J8+K8</f>
        <v>230.85</v>
      </c>
      <c r="I8" s="460">
        <f>I9+I18+I22+I23+I24</f>
        <v>165.94</v>
      </c>
      <c r="J8" s="460">
        <f t="shared" ref="J8:BG8" si="1">J9+J18+J22+J23+J24</f>
        <v>64.91</v>
      </c>
      <c r="K8" s="460">
        <f t="shared" si="1"/>
        <v>0</v>
      </c>
      <c r="L8" s="460">
        <f t="shared" si="1"/>
        <v>0</v>
      </c>
      <c r="M8" s="460">
        <f t="shared" si="1"/>
        <v>156.55000000000001</v>
      </c>
      <c r="N8" s="460">
        <f t="shared" si="1"/>
        <v>131.46</v>
      </c>
      <c r="O8" s="460">
        <f>P8+Q8+R8</f>
        <v>2442.21</v>
      </c>
      <c r="P8" s="460">
        <f t="shared" si="1"/>
        <v>962.59</v>
      </c>
      <c r="Q8" s="460">
        <f t="shared" si="1"/>
        <v>0</v>
      </c>
      <c r="R8" s="460">
        <f t="shared" si="1"/>
        <v>1479.62</v>
      </c>
      <c r="S8" s="460">
        <f t="shared" si="1"/>
        <v>401.96999999999997</v>
      </c>
      <c r="T8" s="460">
        <f t="shared" si="1"/>
        <v>0</v>
      </c>
      <c r="U8" s="460">
        <f t="shared" si="1"/>
        <v>0</v>
      </c>
      <c r="V8" s="460">
        <f t="shared" si="1"/>
        <v>13.7</v>
      </c>
      <c r="W8" s="460">
        <f t="shared" si="1"/>
        <v>4.29</v>
      </c>
      <c r="X8" s="460">
        <f t="shared" si="1"/>
        <v>0</v>
      </c>
      <c r="Y8" s="460">
        <f t="shared" si="1"/>
        <v>0</v>
      </c>
      <c r="Z8" s="460">
        <f t="shared" si="1"/>
        <v>0</v>
      </c>
      <c r="AA8" s="460">
        <f t="shared" si="1"/>
        <v>0</v>
      </c>
      <c r="AB8" s="460">
        <f t="shared" si="1"/>
        <v>0</v>
      </c>
      <c r="AC8" s="460">
        <f t="shared" si="1"/>
        <v>0</v>
      </c>
      <c r="AD8" s="460">
        <f t="shared" si="1"/>
        <v>0</v>
      </c>
      <c r="AE8" s="460">
        <f t="shared" si="1"/>
        <v>7.64</v>
      </c>
      <c r="AF8" s="460">
        <f t="shared" si="1"/>
        <v>0</v>
      </c>
      <c r="AG8" s="460">
        <f t="shared" si="1"/>
        <v>0</v>
      </c>
      <c r="AH8" s="460">
        <f t="shared" si="1"/>
        <v>0</v>
      </c>
      <c r="AI8" s="460">
        <f t="shared" si="1"/>
        <v>0</v>
      </c>
      <c r="AJ8" s="460">
        <f t="shared" si="1"/>
        <v>0</v>
      </c>
      <c r="AK8" s="460">
        <f t="shared" si="1"/>
        <v>0</v>
      </c>
      <c r="AL8" s="460">
        <f t="shared" si="1"/>
        <v>7.16</v>
      </c>
      <c r="AM8" s="460">
        <f t="shared" si="1"/>
        <v>0.48000000000000004</v>
      </c>
      <c r="AN8" s="460">
        <f t="shared" si="1"/>
        <v>0</v>
      </c>
      <c r="AO8" s="460">
        <f t="shared" si="1"/>
        <v>0</v>
      </c>
      <c r="AP8" s="460">
        <f t="shared" si="1"/>
        <v>0</v>
      </c>
      <c r="AQ8" s="460">
        <f t="shared" si="1"/>
        <v>0</v>
      </c>
      <c r="AR8" s="460">
        <f t="shared" si="1"/>
        <v>0</v>
      </c>
      <c r="AS8" s="460">
        <f t="shared" si="1"/>
        <v>0</v>
      </c>
      <c r="AT8" s="460">
        <f t="shared" si="1"/>
        <v>1.77</v>
      </c>
      <c r="AU8" s="460">
        <f t="shared" si="1"/>
        <v>0</v>
      </c>
      <c r="AV8" s="460">
        <f t="shared" si="1"/>
        <v>0</v>
      </c>
      <c r="AW8" s="460">
        <f t="shared" si="1"/>
        <v>0</v>
      </c>
      <c r="AX8" s="460">
        <f t="shared" si="1"/>
        <v>0</v>
      </c>
      <c r="AY8" s="460">
        <f t="shared" si="1"/>
        <v>0</v>
      </c>
      <c r="AZ8" s="460">
        <f t="shared" si="1"/>
        <v>0</v>
      </c>
      <c r="BA8" s="460">
        <f t="shared" si="1"/>
        <v>0</v>
      </c>
      <c r="BB8" s="460">
        <f t="shared" si="1"/>
        <v>0</v>
      </c>
      <c r="BC8" s="460">
        <f t="shared" si="1"/>
        <v>0</v>
      </c>
      <c r="BD8" s="460">
        <f t="shared" si="1"/>
        <v>0</v>
      </c>
      <c r="BE8" s="460">
        <f t="shared" si="1"/>
        <v>0</v>
      </c>
      <c r="BF8" s="460">
        <f t="shared" si="1"/>
        <v>0</v>
      </c>
      <c r="BG8" s="460">
        <f t="shared" si="1"/>
        <v>0</v>
      </c>
      <c r="BH8" s="460">
        <f>BH9+BH18+BH22+BH23+BH24</f>
        <v>0</v>
      </c>
      <c r="BI8" s="460">
        <f>BI9+BI18+BI22+BI23+BI24</f>
        <v>0</v>
      </c>
      <c r="BJ8" s="460">
        <f>BJ9+BJ18+BJ22+BJ23+BJ24</f>
        <v>0</v>
      </c>
      <c r="BK8" s="460">
        <f>BK9+BK18+BK22+BK23+BK24</f>
        <v>0</v>
      </c>
      <c r="BL8" s="460">
        <f>V8+BH8</f>
        <v>13.7</v>
      </c>
      <c r="BM8" s="460">
        <f>BM9+BM18+BM22+BM23+BM24</f>
        <v>-9.02</v>
      </c>
      <c r="BN8" s="460">
        <f>BN9+BN18+BN22+BN23+BN24</f>
        <v>3367.7200000000003</v>
      </c>
      <c r="BO8" s="512">
        <f>BN11+BN16+BN17+BN19+BN21+BN22</f>
        <v>3367.72</v>
      </c>
      <c r="BP8" s="117"/>
    </row>
    <row r="9" spans="1:68" ht="21.75" hidden="1" customHeight="1">
      <c r="A9" s="5" t="s">
        <v>16</v>
      </c>
      <c r="B9" s="72" t="s">
        <v>471</v>
      </c>
      <c r="C9" s="48" t="s">
        <v>193</v>
      </c>
      <c r="D9" s="61">
        <f>D10+D17</f>
        <v>524.41999999999996</v>
      </c>
      <c r="E9" s="61">
        <f>F9+O9+S9+T9+U9</f>
        <v>527.75</v>
      </c>
      <c r="F9" s="61">
        <f>D9-BK9</f>
        <v>524.41999999999996</v>
      </c>
      <c r="G9" s="61">
        <f>H9+L9+M9</f>
        <v>387.4</v>
      </c>
      <c r="H9" s="61">
        <f>I9+J9+K9</f>
        <v>230.85</v>
      </c>
      <c r="I9" s="61">
        <f>I10+I17</f>
        <v>165.94</v>
      </c>
      <c r="J9" s="61">
        <f t="shared" ref="J9:BG9" si="2">J10+J17</f>
        <v>64.91</v>
      </c>
      <c r="K9" s="61">
        <f t="shared" si="2"/>
        <v>0</v>
      </c>
      <c r="L9" s="61">
        <f t="shared" si="2"/>
        <v>0</v>
      </c>
      <c r="M9" s="61">
        <f t="shared" si="2"/>
        <v>156.55000000000001</v>
      </c>
      <c r="N9" s="61">
        <f t="shared" si="2"/>
        <v>131.46</v>
      </c>
      <c r="O9" s="61">
        <f t="shared" ref="O9:O17" si="3">P9+Q9+R9</f>
        <v>0</v>
      </c>
      <c r="P9" s="61">
        <f t="shared" si="2"/>
        <v>0</v>
      </c>
      <c r="Q9" s="61">
        <f t="shared" si="2"/>
        <v>0</v>
      </c>
      <c r="R9" s="61">
        <f t="shared" si="2"/>
        <v>0</v>
      </c>
      <c r="S9" s="61">
        <f t="shared" si="2"/>
        <v>3.33</v>
      </c>
      <c r="T9" s="61">
        <f t="shared" si="2"/>
        <v>0</v>
      </c>
      <c r="U9" s="61">
        <f t="shared" si="2"/>
        <v>0</v>
      </c>
      <c r="V9" s="61">
        <f t="shared" si="2"/>
        <v>2.23</v>
      </c>
      <c r="W9" s="61">
        <f t="shared" si="2"/>
        <v>0</v>
      </c>
      <c r="X9" s="61">
        <f t="shared" si="2"/>
        <v>0</v>
      </c>
      <c r="Y9" s="61">
        <f t="shared" si="2"/>
        <v>0</v>
      </c>
      <c r="Z9" s="61">
        <f t="shared" si="2"/>
        <v>0</v>
      </c>
      <c r="AA9" s="61">
        <f t="shared" si="2"/>
        <v>0</v>
      </c>
      <c r="AB9" s="61">
        <f t="shared" si="2"/>
        <v>0</v>
      </c>
      <c r="AC9" s="61">
        <f t="shared" si="2"/>
        <v>0</v>
      </c>
      <c r="AD9" s="61">
        <f t="shared" si="2"/>
        <v>0</v>
      </c>
      <c r="AE9" s="61">
        <f t="shared" si="2"/>
        <v>0.46</v>
      </c>
      <c r="AF9" s="61">
        <f t="shared" si="2"/>
        <v>0</v>
      </c>
      <c r="AG9" s="61">
        <f t="shared" si="2"/>
        <v>0</v>
      </c>
      <c r="AH9" s="61">
        <f t="shared" si="2"/>
        <v>0</v>
      </c>
      <c r="AI9" s="61">
        <f t="shared" si="2"/>
        <v>0</v>
      </c>
      <c r="AJ9" s="61">
        <f t="shared" si="2"/>
        <v>0</v>
      </c>
      <c r="AK9" s="61">
        <f t="shared" si="2"/>
        <v>0</v>
      </c>
      <c r="AL9" s="61">
        <f t="shared" si="2"/>
        <v>0</v>
      </c>
      <c r="AM9" s="61">
        <f t="shared" si="2"/>
        <v>0.46</v>
      </c>
      <c r="AN9" s="61">
        <f t="shared" si="2"/>
        <v>0</v>
      </c>
      <c r="AO9" s="61">
        <f t="shared" si="2"/>
        <v>0</v>
      </c>
      <c r="AP9" s="61">
        <f t="shared" si="2"/>
        <v>0</v>
      </c>
      <c r="AQ9" s="61">
        <f t="shared" si="2"/>
        <v>0</v>
      </c>
      <c r="AR9" s="61">
        <f t="shared" si="2"/>
        <v>0</v>
      </c>
      <c r="AS9" s="61">
        <f t="shared" si="2"/>
        <v>0</v>
      </c>
      <c r="AT9" s="61">
        <f t="shared" si="2"/>
        <v>1.77</v>
      </c>
      <c r="AU9" s="61">
        <f t="shared" si="2"/>
        <v>0</v>
      </c>
      <c r="AV9" s="61">
        <f t="shared" si="2"/>
        <v>0</v>
      </c>
      <c r="AW9" s="61">
        <f t="shared" si="2"/>
        <v>0</v>
      </c>
      <c r="AX9" s="61">
        <f t="shared" si="2"/>
        <v>0</v>
      </c>
      <c r="AY9" s="61">
        <f t="shared" si="2"/>
        <v>0</v>
      </c>
      <c r="AZ9" s="61">
        <f t="shared" si="2"/>
        <v>0</v>
      </c>
      <c r="BA9" s="61">
        <f t="shared" si="2"/>
        <v>0</v>
      </c>
      <c r="BB9" s="61">
        <f t="shared" si="2"/>
        <v>0</v>
      </c>
      <c r="BC9" s="61">
        <f t="shared" si="2"/>
        <v>0</v>
      </c>
      <c r="BD9" s="61">
        <f t="shared" si="2"/>
        <v>0</v>
      </c>
      <c r="BE9" s="61">
        <f t="shared" si="2"/>
        <v>0</v>
      </c>
      <c r="BF9" s="61">
        <f t="shared" si="2"/>
        <v>0</v>
      </c>
      <c r="BG9" s="61">
        <f t="shared" si="2"/>
        <v>0</v>
      </c>
      <c r="BH9" s="61">
        <f>BH10+BH17</f>
        <v>0</v>
      </c>
      <c r="BI9" s="61">
        <f>BI10+BI17</f>
        <v>0</v>
      </c>
      <c r="BJ9" s="61">
        <f>BJ10+BJ17</f>
        <v>0</v>
      </c>
      <c r="BK9" s="61">
        <f>BK10+BK17</f>
        <v>0</v>
      </c>
      <c r="BL9" s="61">
        <f>O9+S9+T9+U9+V9+BH9</f>
        <v>5.5600000000000005</v>
      </c>
      <c r="BM9" s="61">
        <f>BM10+BM17</f>
        <v>-5.5600000000000005</v>
      </c>
      <c r="BN9" s="61">
        <f>D9+BM9</f>
        <v>518.86</v>
      </c>
      <c r="BP9" s="117"/>
    </row>
    <row r="10" spans="1:68" ht="19.5" hidden="1" customHeight="1">
      <c r="A10" s="5" t="s">
        <v>212</v>
      </c>
      <c r="B10" s="72" t="s">
        <v>472</v>
      </c>
      <c r="C10" s="48" t="s">
        <v>194</v>
      </c>
      <c r="D10" s="61">
        <f>D11+D15+D16</f>
        <v>389.41999999999996</v>
      </c>
      <c r="E10" s="61">
        <f t="shared" ref="E10:E66" si="4">F10+O10+S10+T10+U10</f>
        <v>388.78999999999996</v>
      </c>
      <c r="F10" s="61">
        <f>G10+N10</f>
        <v>387.4</v>
      </c>
      <c r="G10" s="61">
        <f>D10-BL10</f>
        <v>387.4</v>
      </c>
      <c r="H10" s="61">
        <f>I10+J10+K10</f>
        <v>230.85</v>
      </c>
      <c r="I10" s="61">
        <f>I11+I15+I16</f>
        <v>165.94</v>
      </c>
      <c r="J10" s="61">
        <f t="shared" ref="J10:BG10" si="5">J11+J15+J16</f>
        <v>64.91</v>
      </c>
      <c r="K10" s="61">
        <f t="shared" si="5"/>
        <v>0</v>
      </c>
      <c r="L10" s="61">
        <f t="shared" si="5"/>
        <v>0</v>
      </c>
      <c r="M10" s="61">
        <f t="shared" si="5"/>
        <v>156.55000000000001</v>
      </c>
      <c r="N10" s="61">
        <f t="shared" si="5"/>
        <v>0</v>
      </c>
      <c r="O10" s="61">
        <f t="shared" si="3"/>
        <v>0</v>
      </c>
      <c r="P10" s="61">
        <f t="shared" si="5"/>
        <v>0</v>
      </c>
      <c r="Q10" s="61">
        <f t="shared" si="5"/>
        <v>0</v>
      </c>
      <c r="R10" s="61">
        <f t="shared" si="5"/>
        <v>0</v>
      </c>
      <c r="S10" s="61">
        <f t="shared" si="5"/>
        <v>1.3900000000000001</v>
      </c>
      <c r="T10" s="61">
        <f t="shared" si="5"/>
        <v>0</v>
      </c>
      <c r="U10" s="61">
        <f t="shared" si="5"/>
        <v>0</v>
      </c>
      <c r="V10" s="61">
        <f t="shared" si="5"/>
        <v>0.63</v>
      </c>
      <c r="W10" s="61">
        <f t="shared" si="5"/>
        <v>0</v>
      </c>
      <c r="X10" s="61">
        <f t="shared" si="5"/>
        <v>0</v>
      </c>
      <c r="Y10" s="61">
        <f t="shared" si="5"/>
        <v>0</v>
      </c>
      <c r="Z10" s="61">
        <f t="shared" si="5"/>
        <v>0</v>
      </c>
      <c r="AA10" s="61">
        <f t="shared" si="5"/>
        <v>0</v>
      </c>
      <c r="AB10" s="61">
        <f t="shared" si="5"/>
        <v>0</v>
      </c>
      <c r="AC10" s="61">
        <f t="shared" si="5"/>
        <v>0</v>
      </c>
      <c r="AD10" s="61">
        <f t="shared" si="5"/>
        <v>0</v>
      </c>
      <c r="AE10" s="61">
        <f t="shared" si="5"/>
        <v>0</v>
      </c>
      <c r="AF10" s="61">
        <f t="shared" si="5"/>
        <v>0</v>
      </c>
      <c r="AG10" s="61">
        <f t="shared" si="5"/>
        <v>0</v>
      </c>
      <c r="AH10" s="61">
        <f t="shared" si="5"/>
        <v>0</v>
      </c>
      <c r="AI10" s="61">
        <f t="shared" si="5"/>
        <v>0</v>
      </c>
      <c r="AJ10" s="61">
        <f t="shared" si="5"/>
        <v>0</v>
      </c>
      <c r="AK10" s="61">
        <f t="shared" si="5"/>
        <v>0</v>
      </c>
      <c r="AL10" s="61">
        <f t="shared" si="5"/>
        <v>0</v>
      </c>
      <c r="AM10" s="61">
        <f t="shared" si="5"/>
        <v>0</v>
      </c>
      <c r="AN10" s="61">
        <f t="shared" si="5"/>
        <v>0</v>
      </c>
      <c r="AO10" s="61">
        <f t="shared" si="5"/>
        <v>0</v>
      </c>
      <c r="AP10" s="61">
        <f t="shared" si="5"/>
        <v>0</v>
      </c>
      <c r="AQ10" s="61">
        <f t="shared" si="5"/>
        <v>0</v>
      </c>
      <c r="AR10" s="61">
        <f t="shared" si="5"/>
        <v>0</v>
      </c>
      <c r="AS10" s="61">
        <f t="shared" si="5"/>
        <v>0</v>
      </c>
      <c r="AT10" s="61">
        <f t="shared" si="5"/>
        <v>0.63</v>
      </c>
      <c r="AU10" s="61">
        <f t="shared" si="5"/>
        <v>0</v>
      </c>
      <c r="AV10" s="61">
        <f t="shared" si="5"/>
        <v>0</v>
      </c>
      <c r="AW10" s="61">
        <f t="shared" si="5"/>
        <v>0</v>
      </c>
      <c r="AX10" s="61">
        <f t="shared" si="5"/>
        <v>0</v>
      </c>
      <c r="AY10" s="61">
        <f t="shared" si="5"/>
        <v>0</v>
      </c>
      <c r="AZ10" s="61">
        <f t="shared" si="5"/>
        <v>0</v>
      </c>
      <c r="BA10" s="61">
        <f t="shared" si="5"/>
        <v>0</v>
      </c>
      <c r="BB10" s="61">
        <f t="shared" si="5"/>
        <v>0</v>
      </c>
      <c r="BC10" s="61">
        <f t="shared" si="5"/>
        <v>0</v>
      </c>
      <c r="BD10" s="61">
        <f t="shared" si="5"/>
        <v>0</v>
      </c>
      <c r="BE10" s="61">
        <f t="shared" si="5"/>
        <v>0</v>
      </c>
      <c r="BF10" s="61">
        <f t="shared" si="5"/>
        <v>0</v>
      </c>
      <c r="BG10" s="61">
        <f t="shared" si="5"/>
        <v>0</v>
      </c>
      <c r="BH10" s="61">
        <f>BH11+BH15+BH16</f>
        <v>0</v>
      </c>
      <c r="BI10" s="61">
        <f>BI11+BI15+BI16</f>
        <v>0</v>
      </c>
      <c r="BJ10" s="61">
        <f>BJ11+BJ15+BJ16</f>
        <v>0</v>
      </c>
      <c r="BK10" s="61">
        <f>BK11+BK15+BK16</f>
        <v>0</v>
      </c>
      <c r="BL10" s="61">
        <f>N10+O10+S10+T10+U10+V10+BH10</f>
        <v>2.02</v>
      </c>
      <c r="BM10" s="61">
        <f>BM11+BM15+BM16</f>
        <v>-2.02</v>
      </c>
      <c r="BN10" s="61">
        <f>BN11+BN15+BN16</f>
        <v>387.4</v>
      </c>
      <c r="BP10" s="117"/>
    </row>
    <row r="11" spans="1:68" ht="20.100000000000001" customHeight="1">
      <c r="A11" s="5" t="s">
        <v>213</v>
      </c>
      <c r="B11" s="72" t="s">
        <v>17</v>
      </c>
      <c r="C11" s="48" t="s">
        <v>18</v>
      </c>
      <c r="D11" s="61">
        <f>D12+D13+D14</f>
        <v>231.57999999999998</v>
      </c>
      <c r="E11" s="61">
        <f t="shared" si="4"/>
        <v>231.57999999999998</v>
      </c>
      <c r="F11" s="61">
        <f t="shared" ref="F11:F24" si="6">G11+N11</f>
        <v>230.85</v>
      </c>
      <c r="G11" s="61">
        <f>H11+L11+M11</f>
        <v>230.85</v>
      </c>
      <c r="H11" s="61">
        <f>D11-BL11</f>
        <v>230.85</v>
      </c>
      <c r="I11" s="61">
        <f>I12+I13+I14</f>
        <v>165.94</v>
      </c>
      <c r="J11" s="61">
        <f t="shared" ref="J11:BG11" si="7">J12+J13+J14</f>
        <v>64.91</v>
      </c>
      <c r="K11" s="61">
        <f t="shared" si="7"/>
        <v>0</v>
      </c>
      <c r="L11" s="61">
        <f t="shared" si="7"/>
        <v>0</v>
      </c>
      <c r="M11" s="61">
        <f t="shared" si="7"/>
        <v>0</v>
      </c>
      <c r="N11" s="61">
        <f t="shared" si="7"/>
        <v>0</v>
      </c>
      <c r="O11" s="61">
        <f t="shared" si="3"/>
        <v>0</v>
      </c>
      <c r="P11" s="61">
        <f t="shared" si="7"/>
        <v>0</v>
      </c>
      <c r="Q11" s="61">
        <f t="shared" si="7"/>
        <v>0</v>
      </c>
      <c r="R11" s="61">
        <f t="shared" si="7"/>
        <v>0</v>
      </c>
      <c r="S11" s="61">
        <f t="shared" si="7"/>
        <v>0.73</v>
      </c>
      <c r="T11" s="61">
        <f t="shared" si="7"/>
        <v>0</v>
      </c>
      <c r="U11" s="61">
        <f t="shared" si="7"/>
        <v>0</v>
      </c>
      <c r="V11" s="61">
        <f t="shared" si="7"/>
        <v>0</v>
      </c>
      <c r="W11" s="61">
        <f t="shared" si="7"/>
        <v>0</v>
      </c>
      <c r="X11" s="61">
        <f t="shared" si="7"/>
        <v>0</v>
      </c>
      <c r="Y11" s="61">
        <f t="shared" si="7"/>
        <v>0</v>
      </c>
      <c r="Z11" s="61">
        <f t="shared" si="7"/>
        <v>0</v>
      </c>
      <c r="AA11" s="61">
        <f t="shared" si="7"/>
        <v>0</v>
      </c>
      <c r="AB11" s="61">
        <f t="shared" si="7"/>
        <v>0</v>
      </c>
      <c r="AC11" s="61">
        <f t="shared" si="7"/>
        <v>0</v>
      </c>
      <c r="AD11" s="61">
        <f t="shared" si="7"/>
        <v>0</v>
      </c>
      <c r="AE11" s="61">
        <f t="shared" si="7"/>
        <v>0</v>
      </c>
      <c r="AF11" s="61">
        <f t="shared" si="7"/>
        <v>0</v>
      </c>
      <c r="AG11" s="61">
        <f t="shared" si="7"/>
        <v>0</v>
      </c>
      <c r="AH11" s="61">
        <f t="shared" si="7"/>
        <v>0</v>
      </c>
      <c r="AI11" s="61">
        <f t="shared" si="7"/>
        <v>0</v>
      </c>
      <c r="AJ11" s="61">
        <f t="shared" si="7"/>
        <v>0</v>
      </c>
      <c r="AK11" s="61">
        <f t="shared" si="7"/>
        <v>0</v>
      </c>
      <c r="AL11" s="61">
        <f t="shared" si="7"/>
        <v>0</v>
      </c>
      <c r="AM11" s="61">
        <f t="shared" si="7"/>
        <v>0</v>
      </c>
      <c r="AN11" s="61">
        <f t="shared" si="7"/>
        <v>0</v>
      </c>
      <c r="AO11" s="61">
        <f t="shared" si="7"/>
        <v>0</v>
      </c>
      <c r="AP11" s="61">
        <f t="shared" si="7"/>
        <v>0</v>
      </c>
      <c r="AQ11" s="61">
        <f t="shared" si="7"/>
        <v>0</v>
      </c>
      <c r="AR11" s="61">
        <f t="shared" si="7"/>
        <v>0</v>
      </c>
      <c r="AS11" s="61">
        <f t="shared" si="7"/>
        <v>0</v>
      </c>
      <c r="AT11" s="61">
        <f t="shared" si="7"/>
        <v>0</v>
      </c>
      <c r="AU11" s="61">
        <f t="shared" si="7"/>
        <v>0</v>
      </c>
      <c r="AV11" s="61">
        <f t="shared" si="7"/>
        <v>0</v>
      </c>
      <c r="AW11" s="61">
        <f t="shared" si="7"/>
        <v>0</v>
      </c>
      <c r="AX11" s="61">
        <f t="shared" si="7"/>
        <v>0</v>
      </c>
      <c r="AY11" s="61">
        <f t="shared" si="7"/>
        <v>0</v>
      </c>
      <c r="AZ11" s="61">
        <f t="shared" si="7"/>
        <v>0</v>
      </c>
      <c r="BA11" s="61">
        <f t="shared" si="7"/>
        <v>0</v>
      </c>
      <c r="BB11" s="61">
        <f t="shared" si="7"/>
        <v>0</v>
      </c>
      <c r="BC11" s="61">
        <f t="shared" si="7"/>
        <v>0</v>
      </c>
      <c r="BD11" s="61">
        <f t="shared" si="7"/>
        <v>0</v>
      </c>
      <c r="BE11" s="61">
        <f t="shared" si="7"/>
        <v>0</v>
      </c>
      <c r="BF11" s="61">
        <f t="shared" si="7"/>
        <v>0</v>
      </c>
      <c r="BG11" s="61">
        <f t="shared" si="7"/>
        <v>0</v>
      </c>
      <c r="BH11" s="61">
        <f>BH12+BH13+BH14</f>
        <v>0</v>
      </c>
      <c r="BI11" s="61">
        <f>BI12+BI13+BI14</f>
        <v>0</v>
      </c>
      <c r="BJ11" s="61">
        <f>BJ12+BJ13+BJ14</f>
        <v>0</v>
      </c>
      <c r="BK11" s="61">
        <f>BK12+BK13+BK14</f>
        <v>0</v>
      </c>
      <c r="BL11" s="61">
        <f>L11+M11+N11+S11+T11+U11+V11+BH11</f>
        <v>0.73</v>
      </c>
      <c r="BM11" s="61">
        <f>H67-BL11</f>
        <v>-0.73</v>
      </c>
      <c r="BN11" s="61">
        <f>BN12+BN13+BN14</f>
        <v>230.85</v>
      </c>
      <c r="BP11" s="117"/>
    </row>
    <row r="12" spans="1:68" ht="20.100000000000001" customHeight="1">
      <c r="A12" s="5" t="s">
        <v>214</v>
      </c>
      <c r="B12" s="72" t="s">
        <v>473</v>
      </c>
      <c r="C12" s="48" t="s">
        <v>20</v>
      </c>
      <c r="D12" s="61">
        <f>#REF!</f>
        <v>166.66</v>
      </c>
      <c r="E12" s="61">
        <f t="shared" si="4"/>
        <v>166.66</v>
      </c>
      <c r="F12" s="61">
        <f t="shared" si="6"/>
        <v>165.94</v>
      </c>
      <c r="G12" s="61">
        <f t="shared" ref="G12:G66" si="8">H12+L12+M12</f>
        <v>165.94</v>
      </c>
      <c r="H12" s="61">
        <f>I12+J12+K12</f>
        <v>165.94</v>
      </c>
      <c r="I12" s="61">
        <f>D12-BL12</f>
        <v>165.94</v>
      </c>
      <c r="J12" s="61"/>
      <c r="K12" s="61"/>
      <c r="L12" s="61"/>
      <c r="M12" s="61"/>
      <c r="N12" s="61"/>
      <c r="O12" s="61">
        <f t="shared" si="3"/>
        <v>0</v>
      </c>
      <c r="P12" s="61"/>
      <c r="Q12" s="61"/>
      <c r="R12" s="61"/>
      <c r="S12" s="61">
        <v>0.72</v>
      </c>
      <c r="T12" s="61"/>
      <c r="U12" s="61"/>
      <c r="V12" s="61">
        <f>W12+X12+Y12+Z12+AA12+AB12+AC12+AD12+AE12+AQ12+AR12+AS12+AT12+AU12+AV12+AW12+AX12+AY12+AZ12+BA12+BB12+BC12+BD12+BE12+BF12+BG12</f>
        <v>0</v>
      </c>
      <c r="W12" s="61"/>
      <c r="X12" s="61"/>
      <c r="Y12" s="61"/>
      <c r="Z12" s="61"/>
      <c r="AA12" s="61"/>
      <c r="AB12" s="61"/>
      <c r="AC12" s="61"/>
      <c r="AD12" s="61"/>
      <c r="AE12" s="61">
        <f t="shared" ref="AE12:AE33" si="9">SUM(AF12:AP12)</f>
        <v>0</v>
      </c>
      <c r="AF12" s="61"/>
      <c r="AG12" s="61"/>
      <c r="AH12" s="61"/>
      <c r="AI12" s="61"/>
      <c r="AJ12" s="61"/>
      <c r="AK12" s="61"/>
      <c r="AL12" s="61"/>
      <c r="AM12" s="61"/>
      <c r="AN12" s="61"/>
      <c r="AO12" s="61"/>
      <c r="AP12" s="61"/>
      <c r="AQ12" s="61"/>
      <c r="AR12" s="61"/>
      <c r="AS12" s="61"/>
      <c r="AT12" s="61"/>
      <c r="AU12" s="61"/>
      <c r="AV12" s="61"/>
      <c r="AW12" s="61"/>
      <c r="AX12" s="61"/>
      <c r="AY12" s="61"/>
      <c r="AZ12" s="61"/>
      <c r="BA12" s="61"/>
      <c r="BB12" s="61"/>
      <c r="BC12" s="61"/>
      <c r="BD12" s="61"/>
      <c r="BE12" s="61"/>
      <c r="BF12" s="61"/>
      <c r="BG12" s="61"/>
      <c r="BH12" s="61">
        <f t="shared" ref="BH12:BH17" si="10">BI12+BJ12+BK12</f>
        <v>0</v>
      </c>
      <c r="BI12" s="61"/>
      <c r="BJ12" s="61"/>
      <c r="BK12" s="61"/>
      <c r="BL12" s="61">
        <f>J12+K12+L12+M12+N12+O12+S12+T12+U12+V12+BH12</f>
        <v>0.72</v>
      </c>
      <c r="BM12" s="61">
        <f>I67-BL12</f>
        <v>-0.72</v>
      </c>
      <c r="BN12" s="61">
        <f t="shared" ref="BN12:BN17" si="11">D12+BM12</f>
        <v>165.94</v>
      </c>
      <c r="BP12" s="117"/>
    </row>
    <row r="13" spans="1:68" ht="17.25" customHeight="1">
      <c r="A13" s="5" t="s">
        <v>215</v>
      </c>
      <c r="B13" s="72" t="s">
        <v>474</v>
      </c>
      <c r="C13" s="48" t="s">
        <v>195</v>
      </c>
      <c r="D13" s="62">
        <f>#REF!</f>
        <v>64.92</v>
      </c>
      <c r="E13" s="61">
        <f t="shared" si="4"/>
        <v>64.92</v>
      </c>
      <c r="F13" s="61">
        <f t="shared" si="6"/>
        <v>64.91</v>
      </c>
      <c r="G13" s="61">
        <f t="shared" si="8"/>
        <v>64.91</v>
      </c>
      <c r="H13" s="61">
        <f t="shared" ref="H13:H66" si="12">I13+J13+K13</f>
        <v>64.91</v>
      </c>
      <c r="I13" s="61"/>
      <c r="J13" s="61">
        <f>D13-BL13</f>
        <v>64.91</v>
      </c>
      <c r="K13" s="61"/>
      <c r="L13" s="61"/>
      <c r="M13" s="61"/>
      <c r="N13" s="61"/>
      <c r="O13" s="61">
        <f t="shared" si="3"/>
        <v>0</v>
      </c>
      <c r="P13" s="61"/>
      <c r="Q13" s="61"/>
      <c r="R13" s="61"/>
      <c r="S13" s="61">
        <v>0.01</v>
      </c>
      <c r="T13" s="61"/>
      <c r="U13" s="61"/>
      <c r="V13" s="61">
        <f t="shared" ref="V13:V66" si="13">W13+X13+Y13+Z13+AA13+AB13+AC13+AD13+AE13+AQ13+AR13+AS13+AT13+AU13+AV13+AW13+AX13+AY13+AZ13+BA13+BB13+BC13+BD13+BE13+BF13+BG13</f>
        <v>0</v>
      </c>
      <c r="W13" s="61"/>
      <c r="X13" s="61"/>
      <c r="Y13" s="61"/>
      <c r="Z13" s="61"/>
      <c r="AA13" s="61"/>
      <c r="AB13" s="61"/>
      <c r="AC13" s="61"/>
      <c r="AD13" s="61"/>
      <c r="AE13" s="61">
        <f t="shared" si="9"/>
        <v>0</v>
      </c>
      <c r="AF13" s="61"/>
      <c r="AG13" s="61"/>
      <c r="AH13" s="61"/>
      <c r="AI13" s="61"/>
      <c r="AJ13" s="61"/>
      <c r="AK13" s="61"/>
      <c r="AL13" s="61"/>
      <c r="AM13" s="61"/>
      <c r="AN13" s="61"/>
      <c r="AO13" s="61"/>
      <c r="AP13" s="61"/>
      <c r="AQ13" s="61"/>
      <c r="AR13" s="61"/>
      <c r="AS13" s="61"/>
      <c r="AT13" s="61"/>
      <c r="AU13" s="61"/>
      <c r="AV13" s="61"/>
      <c r="AW13" s="61"/>
      <c r="AX13" s="61"/>
      <c r="AY13" s="61"/>
      <c r="AZ13" s="61"/>
      <c r="BA13" s="61"/>
      <c r="BB13" s="61"/>
      <c r="BC13" s="61"/>
      <c r="BD13" s="61"/>
      <c r="BE13" s="61"/>
      <c r="BF13" s="61"/>
      <c r="BG13" s="61"/>
      <c r="BH13" s="61">
        <f t="shared" si="10"/>
        <v>0</v>
      </c>
      <c r="BI13" s="61"/>
      <c r="BJ13" s="61"/>
      <c r="BK13" s="61"/>
      <c r="BL13" s="61">
        <f>I13+K13+L13+M13+N13+O13+S13+T13+U13+V13+BH13</f>
        <v>0.01</v>
      </c>
      <c r="BM13" s="61">
        <f>J67-BL13</f>
        <v>-0.01</v>
      </c>
      <c r="BN13" s="61">
        <f t="shared" si="11"/>
        <v>64.91</v>
      </c>
      <c r="BP13" s="117"/>
    </row>
    <row r="14" spans="1:68" ht="19.5" hidden="1" customHeight="1">
      <c r="A14" s="5" t="s">
        <v>216</v>
      </c>
      <c r="B14" s="72" t="s">
        <v>475</v>
      </c>
      <c r="C14" s="48" t="s">
        <v>196</v>
      </c>
      <c r="D14" s="61"/>
      <c r="E14" s="61">
        <f t="shared" si="4"/>
        <v>0</v>
      </c>
      <c r="F14" s="61">
        <f t="shared" si="6"/>
        <v>0</v>
      </c>
      <c r="G14" s="61">
        <f t="shared" si="8"/>
        <v>0</v>
      </c>
      <c r="H14" s="61">
        <f t="shared" si="12"/>
        <v>0</v>
      </c>
      <c r="I14" s="61"/>
      <c r="J14" s="61"/>
      <c r="K14" s="61">
        <f>D14-BL14</f>
        <v>0</v>
      </c>
      <c r="L14" s="61"/>
      <c r="M14" s="61"/>
      <c r="N14" s="61"/>
      <c r="O14" s="61">
        <f t="shared" si="3"/>
        <v>0</v>
      </c>
      <c r="P14" s="61"/>
      <c r="Q14" s="61"/>
      <c r="R14" s="61"/>
      <c r="S14" s="61"/>
      <c r="T14" s="61"/>
      <c r="U14" s="61"/>
      <c r="V14" s="61">
        <f t="shared" si="13"/>
        <v>0</v>
      </c>
      <c r="W14" s="61"/>
      <c r="X14" s="61"/>
      <c r="Y14" s="61"/>
      <c r="Z14" s="61"/>
      <c r="AA14" s="61"/>
      <c r="AB14" s="61"/>
      <c r="AC14" s="61"/>
      <c r="AD14" s="61"/>
      <c r="AE14" s="61">
        <f t="shared" si="9"/>
        <v>0</v>
      </c>
      <c r="AF14" s="61"/>
      <c r="AG14" s="61"/>
      <c r="AH14" s="61"/>
      <c r="AI14" s="61"/>
      <c r="AJ14" s="61"/>
      <c r="AK14" s="61"/>
      <c r="AL14" s="61"/>
      <c r="AM14" s="61"/>
      <c r="AN14" s="61"/>
      <c r="AO14" s="61"/>
      <c r="AP14" s="61"/>
      <c r="AQ14" s="61"/>
      <c r="AR14" s="61"/>
      <c r="AS14" s="61"/>
      <c r="AT14" s="61"/>
      <c r="AU14" s="61"/>
      <c r="AV14" s="61"/>
      <c r="AW14" s="61"/>
      <c r="AX14" s="61"/>
      <c r="AY14" s="61"/>
      <c r="AZ14" s="61"/>
      <c r="BA14" s="61"/>
      <c r="BB14" s="61"/>
      <c r="BC14" s="61"/>
      <c r="BD14" s="61"/>
      <c r="BE14" s="61"/>
      <c r="BF14" s="61"/>
      <c r="BG14" s="61"/>
      <c r="BH14" s="61">
        <f t="shared" si="10"/>
        <v>0</v>
      </c>
      <c r="BI14" s="61"/>
      <c r="BJ14" s="61"/>
      <c r="BK14" s="61"/>
      <c r="BL14" s="61">
        <f>I14+J14+L14+M14+N14+O14+S14+T14+U14+V14+BH14</f>
        <v>0</v>
      </c>
      <c r="BM14" s="61">
        <f>K67-BL14</f>
        <v>0</v>
      </c>
      <c r="BN14" s="61">
        <f t="shared" si="11"/>
        <v>0</v>
      </c>
      <c r="BP14" s="117"/>
    </row>
    <row r="15" spans="1:68" ht="19.5" hidden="1" customHeight="1">
      <c r="A15" s="5" t="s">
        <v>217</v>
      </c>
      <c r="B15" s="72" t="s">
        <v>476</v>
      </c>
      <c r="C15" s="48" t="s">
        <v>197</v>
      </c>
      <c r="D15" s="61"/>
      <c r="E15" s="61">
        <f t="shared" si="4"/>
        <v>0</v>
      </c>
      <c r="F15" s="61">
        <f t="shared" si="6"/>
        <v>0</v>
      </c>
      <c r="G15" s="61">
        <f t="shared" si="8"/>
        <v>0</v>
      </c>
      <c r="H15" s="61">
        <f t="shared" si="12"/>
        <v>0</v>
      </c>
      <c r="I15" s="61"/>
      <c r="J15" s="61"/>
      <c r="K15" s="61"/>
      <c r="L15" s="61">
        <f>D15-BL15</f>
        <v>0</v>
      </c>
      <c r="M15" s="61"/>
      <c r="N15" s="61"/>
      <c r="O15" s="61">
        <f t="shared" si="3"/>
        <v>0</v>
      </c>
      <c r="P15" s="61"/>
      <c r="Q15" s="61"/>
      <c r="R15" s="61"/>
      <c r="S15" s="61"/>
      <c r="T15" s="61"/>
      <c r="U15" s="61"/>
      <c r="V15" s="61">
        <f t="shared" si="13"/>
        <v>0</v>
      </c>
      <c r="W15" s="61"/>
      <c r="X15" s="61"/>
      <c r="Y15" s="61"/>
      <c r="Z15" s="61"/>
      <c r="AA15" s="61"/>
      <c r="AB15" s="61"/>
      <c r="AC15" s="61"/>
      <c r="AD15" s="61"/>
      <c r="AE15" s="61">
        <f t="shared" si="9"/>
        <v>0</v>
      </c>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f t="shared" si="10"/>
        <v>0</v>
      </c>
      <c r="BI15" s="61"/>
      <c r="BJ15" s="61"/>
      <c r="BK15" s="61"/>
      <c r="BL15" s="61">
        <f>H15+M15+N15+O15+S15+T15+U15+V15+BH15</f>
        <v>0</v>
      </c>
      <c r="BM15" s="61">
        <f>L67-BL15</f>
        <v>0</v>
      </c>
      <c r="BN15" s="61">
        <f t="shared" si="11"/>
        <v>0</v>
      </c>
      <c r="BP15" s="117"/>
    </row>
    <row r="16" spans="1:68" ht="20.100000000000001" customHeight="1">
      <c r="A16" s="5" t="s">
        <v>218</v>
      </c>
      <c r="B16" s="72" t="s">
        <v>22</v>
      </c>
      <c r="C16" s="48" t="s">
        <v>23</v>
      </c>
      <c r="D16" s="61">
        <f>#REF!</f>
        <v>157.84</v>
      </c>
      <c r="E16" s="61">
        <f t="shared" si="4"/>
        <v>157.21</v>
      </c>
      <c r="F16" s="61">
        <f t="shared" si="6"/>
        <v>156.55000000000001</v>
      </c>
      <c r="G16" s="61">
        <f t="shared" si="8"/>
        <v>156.55000000000001</v>
      </c>
      <c r="H16" s="61">
        <f t="shared" si="12"/>
        <v>0</v>
      </c>
      <c r="I16" s="61"/>
      <c r="J16" s="61"/>
      <c r="K16" s="61"/>
      <c r="L16" s="61"/>
      <c r="M16" s="61">
        <f>D16-BL16</f>
        <v>156.55000000000001</v>
      </c>
      <c r="N16" s="61"/>
      <c r="O16" s="61">
        <f t="shared" si="3"/>
        <v>0</v>
      </c>
      <c r="P16" s="61"/>
      <c r="Q16" s="61"/>
      <c r="R16" s="61"/>
      <c r="S16" s="61">
        <v>0.66</v>
      </c>
      <c r="T16" s="61"/>
      <c r="U16" s="61"/>
      <c r="V16" s="61">
        <f t="shared" si="13"/>
        <v>0.63</v>
      </c>
      <c r="W16" s="61"/>
      <c r="X16" s="61"/>
      <c r="Y16" s="61"/>
      <c r="Z16" s="61"/>
      <c r="AA16" s="61"/>
      <c r="AB16" s="61"/>
      <c r="AC16" s="61"/>
      <c r="AD16" s="61"/>
      <c r="AE16" s="61">
        <f t="shared" si="9"/>
        <v>0</v>
      </c>
      <c r="AF16" s="61"/>
      <c r="AG16" s="61"/>
      <c r="AH16" s="61"/>
      <c r="AI16" s="61"/>
      <c r="AJ16" s="61"/>
      <c r="AK16" s="61"/>
      <c r="AL16" s="61"/>
      <c r="AM16" s="61"/>
      <c r="AN16" s="61"/>
      <c r="AO16" s="61"/>
      <c r="AP16" s="61"/>
      <c r="AQ16" s="61"/>
      <c r="AR16" s="61"/>
      <c r="AS16" s="61"/>
      <c r="AT16" s="61">
        <v>0.63</v>
      </c>
      <c r="AU16" s="61"/>
      <c r="AV16" s="61"/>
      <c r="AW16" s="61"/>
      <c r="AX16" s="61"/>
      <c r="AY16" s="61"/>
      <c r="AZ16" s="61"/>
      <c r="BA16" s="61"/>
      <c r="BB16" s="61"/>
      <c r="BC16" s="61"/>
      <c r="BD16" s="61"/>
      <c r="BE16" s="61"/>
      <c r="BF16" s="61"/>
      <c r="BG16" s="61"/>
      <c r="BH16" s="61">
        <f t="shared" si="10"/>
        <v>0</v>
      </c>
      <c r="BI16" s="61"/>
      <c r="BJ16" s="61"/>
      <c r="BK16" s="61"/>
      <c r="BL16" s="61">
        <f>H16+L16+N16+S16+T16+U16+V16+BH16</f>
        <v>1.29</v>
      </c>
      <c r="BM16" s="61">
        <f>M67-BL16</f>
        <v>-1.29</v>
      </c>
      <c r="BN16" s="61">
        <f t="shared" si="11"/>
        <v>156.55000000000001</v>
      </c>
      <c r="BP16" s="117"/>
    </row>
    <row r="17" spans="1:68" ht="18.75" customHeight="1">
      <c r="A17" s="5" t="s">
        <v>219</v>
      </c>
      <c r="B17" s="72" t="s">
        <v>25</v>
      </c>
      <c r="C17" s="48" t="s">
        <v>26</v>
      </c>
      <c r="D17" s="61">
        <f>#REF!</f>
        <v>135</v>
      </c>
      <c r="E17" s="61">
        <f t="shared" si="4"/>
        <v>133.4</v>
      </c>
      <c r="F17" s="61">
        <f t="shared" si="6"/>
        <v>131.46</v>
      </c>
      <c r="G17" s="61">
        <f t="shared" si="8"/>
        <v>0</v>
      </c>
      <c r="H17" s="61">
        <f t="shared" si="12"/>
        <v>0</v>
      </c>
      <c r="I17" s="61"/>
      <c r="J17" s="61"/>
      <c r="K17" s="61"/>
      <c r="L17" s="61"/>
      <c r="M17" s="61"/>
      <c r="N17" s="61">
        <f>D17-BL17</f>
        <v>131.46</v>
      </c>
      <c r="O17" s="61">
        <f t="shared" si="3"/>
        <v>0</v>
      </c>
      <c r="P17" s="61"/>
      <c r="Q17" s="61"/>
      <c r="R17" s="61"/>
      <c r="S17" s="61">
        <v>1.94</v>
      </c>
      <c r="T17" s="61"/>
      <c r="U17" s="61"/>
      <c r="V17" s="61">
        <f t="shared" si="13"/>
        <v>1.5999999999999999</v>
      </c>
      <c r="W17" s="61"/>
      <c r="X17" s="61"/>
      <c r="Y17" s="61"/>
      <c r="Z17" s="61"/>
      <c r="AA17" s="61"/>
      <c r="AB17" s="61"/>
      <c r="AC17" s="61"/>
      <c r="AD17" s="61"/>
      <c r="AE17" s="61">
        <f t="shared" si="9"/>
        <v>0.46</v>
      </c>
      <c r="AF17" s="61"/>
      <c r="AG17" s="61"/>
      <c r="AH17" s="61"/>
      <c r="AI17" s="61"/>
      <c r="AJ17" s="61"/>
      <c r="AK17" s="61"/>
      <c r="AL17" s="61"/>
      <c r="AM17" s="61">
        <v>0.46</v>
      </c>
      <c r="AN17" s="61"/>
      <c r="AO17" s="61"/>
      <c r="AP17" s="61"/>
      <c r="AQ17" s="61"/>
      <c r="AR17" s="61"/>
      <c r="AS17" s="61"/>
      <c r="AT17" s="61">
        <v>1.1399999999999999</v>
      </c>
      <c r="AU17" s="61"/>
      <c r="AV17" s="61"/>
      <c r="AW17" s="61"/>
      <c r="AX17" s="61"/>
      <c r="AY17" s="61"/>
      <c r="AZ17" s="61"/>
      <c r="BA17" s="61"/>
      <c r="BB17" s="61"/>
      <c r="BC17" s="61"/>
      <c r="BD17" s="61"/>
      <c r="BE17" s="61"/>
      <c r="BF17" s="61"/>
      <c r="BG17" s="61"/>
      <c r="BH17" s="61">
        <f t="shared" si="10"/>
        <v>0</v>
      </c>
      <c r="BI17" s="61"/>
      <c r="BJ17" s="61"/>
      <c r="BK17" s="61"/>
      <c r="BL17" s="61">
        <f>H17+L17+M17+O17+S17+T17+U17+V17+BH17</f>
        <v>3.54</v>
      </c>
      <c r="BM17" s="61">
        <f>N67-BL17</f>
        <v>-3.54</v>
      </c>
      <c r="BN17" s="61">
        <f t="shared" si="11"/>
        <v>131.46</v>
      </c>
      <c r="BP17" s="117"/>
    </row>
    <row r="18" spans="1:68" ht="19.5" hidden="1" customHeight="1">
      <c r="A18" s="5" t="s">
        <v>21</v>
      </c>
      <c r="B18" s="72" t="s">
        <v>477</v>
      </c>
      <c r="C18" s="48" t="s">
        <v>198</v>
      </c>
      <c r="D18" s="61">
        <f>D19+D20+D21</f>
        <v>2451.23</v>
      </c>
      <c r="E18" s="61">
        <f t="shared" si="4"/>
        <v>2442.21</v>
      </c>
      <c r="F18" s="61">
        <f t="shared" si="6"/>
        <v>0</v>
      </c>
      <c r="G18" s="61">
        <f t="shared" si="8"/>
        <v>0</v>
      </c>
      <c r="H18" s="61">
        <f t="shared" si="12"/>
        <v>0</v>
      </c>
      <c r="I18" s="61">
        <f t="shared" ref="I18:N18" si="14">I19+I20+I21</f>
        <v>0</v>
      </c>
      <c r="J18" s="61">
        <f t="shared" si="14"/>
        <v>0</v>
      </c>
      <c r="K18" s="61">
        <f t="shared" si="14"/>
        <v>0</v>
      </c>
      <c r="L18" s="61">
        <f t="shared" si="14"/>
        <v>0</v>
      </c>
      <c r="M18" s="61">
        <f t="shared" si="14"/>
        <v>0</v>
      </c>
      <c r="N18" s="61">
        <f t="shared" si="14"/>
        <v>0</v>
      </c>
      <c r="O18" s="61">
        <f>D18-BL18</f>
        <v>2442.21</v>
      </c>
      <c r="P18" s="61">
        <f t="shared" ref="P18:BG18" si="15">P19+P20+P21</f>
        <v>962.59</v>
      </c>
      <c r="Q18" s="61">
        <f t="shared" si="15"/>
        <v>0</v>
      </c>
      <c r="R18" s="61">
        <f t="shared" si="15"/>
        <v>1479.62</v>
      </c>
      <c r="S18" s="61">
        <f t="shared" si="15"/>
        <v>0</v>
      </c>
      <c r="T18" s="61">
        <f t="shared" si="15"/>
        <v>0</v>
      </c>
      <c r="U18" s="61">
        <f t="shared" si="15"/>
        <v>0</v>
      </c>
      <c r="V18" s="61">
        <f>V19+V20+V21</f>
        <v>9.02</v>
      </c>
      <c r="W18" s="61">
        <f t="shared" si="15"/>
        <v>4.29</v>
      </c>
      <c r="X18" s="61">
        <f t="shared" si="15"/>
        <v>0</v>
      </c>
      <c r="Y18" s="61">
        <f t="shared" si="15"/>
        <v>0</v>
      </c>
      <c r="Z18" s="61">
        <f t="shared" si="15"/>
        <v>0</v>
      </c>
      <c r="AA18" s="61">
        <f t="shared" si="15"/>
        <v>0</v>
      </c>
      <c r="AB18" s="61">
        <f t="shared" si="15"/>
        <v>0</v>
      </c>
      <c r="AC18" s="61">
        <f t="shared" si="15"/>
        <v>0</v>
      </c>
      <c r="AD18" s="61">
        <f t="shared" si="15"/>
        <v>0</v>
      </c>
      <c r="AE18" s="61">
        <f t="shared" si="15"/>
        <v>4.7299999999999995</v>
      </c>
      <c r="AF18" s="61">
        <f t="shared" si="15"/>
        <v>0</v>
      </c>
      <c r="AG18" s="61">
        <f t="shared" si="15"/>
        <v>0</v>
      </c>
      <c r="AH18" s="61">
        <f t="shared" si="15"/>
        <v>0</v>
      </c>
      <c r="AI18" s="61">
        <f t="shared" si="15"/>
        <v>0</v>
      </c>
      <c r="AJ18" s="61">
        <f t="shared" si="15"/>
        <v>0</v>
      </c>
      <c r="AK18" s="61">
        <f t="shared" si="15"/>
        <v>0</v>
      </c>
      <c r="AL18" s="61">
        <f t="shared" si="15"/>
        <v>4.71</v>
      </c>
      <c r="AM18" s="61">
        <f t="shared" si="15"/>
        <v>0.02</v>
      </c>
      <c r="AN18" s="61">
        <f t="shared" si="15"/>
        <v>0</v>
      </c>
      <c r="AO18" s="61">
        <f t="shared" si="15"/>
        <v>0</v>
      </c>
      <c r="AP18" s="61">
        <f t="shared" si="15"/>
        <v>0</v>
      </c>
      <c r="AQ18" s="61">
        <f t="shared" si="15"/>
        <v>0</v>
      </c>
      <c r="AR18" s="61">
        <f t="shared" si="15"/>
        <v>0</v>
      </c>
      <c r="AS18" s="61">
        <f t="shared" si="15"/>
        <v>0</v>
      </c>
      <c r="AT18" s="61">
        <f t="shared" si="15"/>
        <v>0</v>
      </c>
      <c r="AU18" s="61">
        <f t="shared" si="15"/>
        <v>0</v>
      </c>
      <c r="AV18" s="61">
        <f t="shared" si="15"/>
        <v>0</v>
      </c>
      <c r="AW18" s="61">
        <f t="shared" si="15"/>
        <v>0</v>
      </c>
      <c r="AX18" s="61">
        <f t="shared" si="15"/>
        <v>0</v>
      </c>
      <c r="AY18" s="61">
        <f t="shared" si="15"/>
        <v>0</v>
      </c>
      <c r="AZ18" s="61">
        <f t="shared" si="15"/>
        <v>0</v>
      </c>
      <c r="BA18" s="61">
        <f t="shared" si="15"/>
        <v>0</v>
      </c>
      <c r="BB18" s="61">
        <f t="shared" si="15"/>
        <v>0</v>
      </c>
      <c r="BC18" s="61">
        <f t="shared" si="15"/>
        <v>0</v>
      </c>
      <c r="BD18" s="61">
        <f t="shared" si="15"/>
        <v>0</v>
      </c>
      <c r="BE18" s="61">
        <f t="shared" si="15"/>
        <v>0</v>
      </c>
      <c r="BF18" s="61">
        <f t="shared" si="15"/>
        <v>0</v>
      </c>
      <c r="BG18" s="61">
        <f t="shared" si="15"/>
        <v>0</v>
      </c>
      <c r="BH18" s="61">
        <f>BH19+BH20+BH21</f>
        <v>0</v>
      </c>
      <c r="BI18" s="61">
        <f>BI19+BI20+BI21</f>
        <v>0</v>
      </c>
      <c r="BJ18" s="61">
        <f>BJ19+BJ20+BJ21</f>
        <v>0</v>
      </c>
      <c r="BK18" s="61">
        <f>BK19+BK20+BK21</f>
        <v>0</v>
      </c>
      <c r="BL18" s="61">
        <f>F18+S18+T18+U18+BH18+V18</f>
        <v>9.02</v>
      </c>
      <c r="BM18" s="61">
        <f>O67-BL18</f>
        <v>-9.02</v>
      </c>
      <c r="BN18" s="61">
        <f>BN19+BN20+BN21</f>
        <v>2442.21</v>
      </c>
      <c r="BP18" s="117"/>
    </row>
    <row r="19" spans="1:68" ht="20.100000000000001" customHeight="1">
      <c r="A19" s="5" t="s">
        <v>182</v>
      </c>
      <c r="B19" s="72" t="s">
        <v>28</v>
      </c>
      <c r="C19" s="48" t="s">
        <v>29</v>
      </c>
      <c r="D19" s="61">
        <f>#REF!</f>
        <v>967.14</v>
      </c>
      <c r="E19" s="61">
        <f>F19+O19+S19+T19+U19</f>
        <v>962.59</v>
      </c>
      <c r="F19" s="61">
        <f>G19+N19</f>
        <v>0</v>
      </c>
      <c r="G19" s="61">
        <f>H19+L19+M19</f>
        <v>0</v>
      </c>
      <c r="H19" s="61">
        <f t="shared" si="12"/>
        <v>0</v>
      </c>
      <c r="I19" s="61"/>
      <c r="J19" s="61"/>
      <c r="K19" s="61"/>
      <c r="L19" s="61"/>
      <c r="M19" s="61"/>
      <c r="N19" s="61"/>
      <c r="O19" s="61">
        <f t="shared" ref="O19:O24" si="16">P19+Q19+R19</f>
        <v>962.59</v>
      </c>
      <c r="P19" s="61">
        <f>D19-BL19</f>
        <v>962.59</v>
      </c>
      <c r="Q19" s="61"/>
      <c r="R19" s="61"/>
      <c r="S19" s="61"/>
      <c r="T19" s="61"/>
      <c r="U19" s="61"/>
      <c r="V19" s="61">
        <f t="shared" si="13"/>
        <v>4.55</v>
      </c>
      <c r="W19" s="61"/>
      <c r="X19" s="61"/>
      <c r="Y19" s="61"/>
      <c r="Z19" s="61"/>
      <c r="AA19" s="61"/>
      <c r="AB19" s="61"/>
      <c r="AC19" s="61"/>
      <c r="AD19" s="61"/>
      <c r="AE19" s="61">
        <f t="shared" si="9"/>
        <v>4.55</v>
      </c>
      <c r="AF19" s="61"/>
      <c r="AG19" s="61"/>
      <c r="AH19" s="61"/>
      <c r="AI19" s="61"/>
      <c r="AJ19" s="61"/>
      <c r="AK19" s="61"/>
      <c r="AL19" s="61">
        <v>4.55</v>
      </c>
      <c r="AM19" s="61"/>
      <c r="AN19" s="61"/>
      <c r="AO19" s="61"/>
      <c r="AP19" s="61"/>
      <c r="AQ19" s="61"/>
      <c r="AR19" s="61"/>
      <c r="AS19" s="61"/>
      <c r="AT19" s="61"/>
      <c r="AU19" s="61"/>
      <c r="AV19" s="61"/>
      <c r="AW19" s="61"/>
      <c r="AX19" s="61"/>
      <c r="AY19" s="61"/>
      <c r="AZ19" s="61"/>
      <c r="BA19" s="61"/>
      <c r="BB19" s="61"/>
      <c r="BC19" s="61"/>
      <c r="BD19" s="61"/>
      <c r="BE19" s="61"/>
      <c r="BF19" s="61"/>
      <c r="BG19" s="61"/>
      <c r="BH19" s="61">
        <f t="shared" ref="BH19:BH24" si="17">BI19+BJ19+BK19</f>
        <v>0</v>
      </c>
      <c r="BI19" s="61"/>
      <c r="BJ19" s="61"/>
      <c r="BK19" s="61"/>
      <c r="BL19" s="61">
        <f>F19+Q19+R19+S19+T19+U19+V19+BH19</f>
        <v>4.55</v>
      </c>
      <c r="BM19" s="61">
        <f>P67-BL19</f>
        <v>-4.55</v>
      </c>
      <c r="BN19" s="61">
        <f t="shared" ref="BN19:BN24" si="18">D19+BM19</f>
        <v>962.59</v>
      </c>
      <c r="BP19" s="117"/>
    </row>
    <row r="20" spans="1:68" ht="20.100000000000001" customHeight="1">
      <c r="A20" s="5" t="s">
        <v>183</v>
      </c>
      <c r="B20" s="72" t="s">
        <v>31</v>
      </c>
      <c r="C20" s="48" t="s">
        <v>32</v>
      </c>
      <c r="D20" s="61"/>
      <c r="E20" s="61">
        <f t="shared" si="4"/>
        <v>0</v>
      </c>
      <c r="F20" s="61">
        <f t="shared" si="6"/>
        <v>0</v>
      </c>
      <c r="G20" s="61">
        <f t="shared" si="8"/>
        <v>0</v>
      </c>
      <c r="H20" s="61">
        <f t="shared" si="12"/>
        <v>0</v>
      </c>
      <c r="I20" s="61"/>
      <c r="J20" s="61"/>
      <c r="K20" s="61"/>
      <c r="L20" s="61"/>
      <c r="M20" s="61"/>
      <c r="N20" s="61"/>
      <c r="O20" s="61">
        <f t="shared" si="16"/>
        <v>0</v>
      </c>
      <c r="P20" s="61"/>
      <c r="Q20" s="61">
        <f>D20-BL20</f>
        <v>0</v>
      </c>
      <c r="R20" s="61"/>
      <c r="S20" s="61"/>
      <c r="T20" s="61"/>
      <c r="U20" s="61"/>
      <c r="V20" s="61">
        <f t="shared" si="13"/>
        <v>0</v>
      </c>
      <c r="W20" s="61"/>
      <c r="X20" s="61"/>
      <c r="Y20" s="61"/>
      <c r="Z20" s="61"/>
      <c r="AA20" s="61"/>
      <c r="AB20" s="61"/>
      <c r="AC20" s="61"/>
      <c r="AD20" s="61"/>
      <c r="AE20" s="61">
        <f t="shared" si="9"/>
        <v>0</v>
      </c>
      <c r="AF20" s="61"/>
      <c r="AG20" s="61"/>
      <c r="AH20" s="61"/>
      <c r="AI20" s="61"/>
      <c r="AJ20" s="61"/>
      <c r="AK20" s="61"/>
      <c r="AL20" s="61"/>
      <c r="AM20" s="61"/>
      <c r="AN20" s="61"/>
      <c r="AO20" s="61"/>
      <c r="AP20" s="61"/>
      <c r="AQ20" s="61"/>
      <c r="AR20" s="61"/>
      <c r="AS20" s="61"/>
      <c r="AT20" s="61"/>
      <c r="AU20" s="61"/>
      <c r="AV20" s="61"/>
      <c r="AW20" s="61"/>
      <c r="AX20" s="61"/>
      <c r="AY20" s="61"/>
      <c r="AZ20" s="61"/>
      <c r="BA20" s="61"/>
      <c r="BB20" s="61"/>
      <c r="BC20" s="61"/>
      <c r="BD20" s="61"/>
      <c r="BE20" s="61"/>
      <c r="BF20" s="61"/>
      <c r="BG20" s="61"/>
      <c r="BH20" s="61">
        <f t="shared" si="17"/>
        <v>0</v>
      </c>
      <c r="BI20" s="61"/>
      <c r="BJ20" s="61"/>
      <c r="BK20" s="61"/>
      <c r="BL20" s="61">
        <f>F20+P20+R20+S20+T20+U20+V20+BH20</f>
        <v>0</v>
      </c>
      <c r="BM20" s="61">
        <f>Q67-BL20</f>
        <v>0</v>
      </c>
      <c r="BN20" s="61">
        <f t="shared" si="18"/>
        <v>0</v>
      </c>
      <c r="BP20" s="117"/>
    </row>
    <row r="21" spans="1:68" ht="20.100000000000001" customHeight="1">
      <c r="A21" s="5" t="s">
        <v>184</v>
      </c>
      <c r="B21" s="72" t="s">
        <v>34</v>
      </c>
      <c r="C21" s="48" t="s">
        <v>35</v>
      </c>
      <c r="D21" s="739">
        <v>1484.09</v>
      </c>
      <c r="E21" s="61">
        <f t="shared" si="4"/>
        <v>1479.62</v>
      </c>
      <c r="F21" s="61">
        <f>G21+N21</f>
        <v>0</v>
      </c>
      <c r="G21" s="61">
        <f t="shared" si="8"/>
        <v>0</v>
      </c>
      <c r="H21" s="61">
        <f t="shared" si="12"/>
        <v>0</v>
      </c>
      <c r="I21" s="61"/>
      <c r="J21" s="61"/>
      <c r="K21" s="61"/>
      <c r="L21" s="61"/>
      <c r="M21" s="61"/>
      <c r="N21" s="61"/>
      <c r="O21" s="61">
        <f t="shared" si="16"/>
        <v>1479.62</v>
      </c>
      <c r="P21" s="61"/>
      <c r="Q21" s="61"/>
      <c r="R21" s="61">
        <f>D21-BL21</f>
        <v>1479.62</v>
      </c>
      <c r="S21" s="61"/>
      <c r="T21" s="61"/>
      <c r="U21" s="61"/>
      <c r="V21" s="61">
        <f t="shared" si="13"/>
        <v>4.47</v>
      </c>
      <c r="W21" s="61">
        <v>4.29</v>
      </c>
      <c r="X21" s="61"/>
      <c r="Y21" s="61"/>
      <c r="Z21" s="61"/>
      <c r="AA21" s="61"/>
      <c r="AB21" s="61"/>
      <c r="AC21" s="61"/>
      <c r="AD21" s="61"/>
      <c r="AE21" s="61">
        <f t="shared" si="9"/>
        <v>0.18</v>
      </c>
      <c r="AF21" s="61"/>
      <c r="AG21" s="61"/>
      <c r="AH21" s="61"/>
      <c r="AI21" s="61"/>
      <c r="AJ21" s="61"/>
      <c r="AK21" s="61"/>
      <c r="AL21" s="61">
        <v>0.16</v>
      </c>
      <c r="AM21" s="61">
        <v>0.02</v>
      </c>
      <c r="AN21" s="61"/>
      <c r="AO21" s="61"/>
      <c r="AP21" s="61"/>
      <c r="AQ21" s="61"/>
      <c r="AR21" s="61"/>
      <c r="AS21" s="61"/>
      <c r="AT21" s="61"/>
      <c r="AU21" s="61"/>
      <c r="AV21" s="61"/>
      <c r="AW21" s="61"/>
      <c r="AX21" s="61"/>
      <c r="AY21" s="61"/>
      <c r="AZ21" s="61"/>
      <c r="BA21" s="61"/>
      <c r="BB21" s="61"/>
      <c r="BC21" s="61"/>
      <c r="BD21" s="61"/>
      <c r="BE21" s="61"/>
      <c r="BF21" s="61"/>
      <c r="BG21" s="61"/>
      <c r="BH21" s="61">
        <f t="shared" si="17"/>
        <v>0</v>
      </c>
      <c r="BI21" s="61"/>
      <c r="BJ21" s="61"/>
      <c r="BK21" s="61"/>
      <c r="BL21" s="61">
        <f>F21+P21+Q21+S21+T21+U21+V21+BH21</f>
        <v>4.47</v>
      </c>
      <c r="BM21" s="61">
        <f>R67-BL21</f>
        <v>-4.47</v>
      </c>
      <c r="BN21" s="61">
        <f>D21+BM21</f>
        <v>1479.62</v>
      </c>
      <c r="BP21" s="117"/>
    </row>
    <row r="22" spans="1:68" ht="18" customHeight="1">
      <c r="A22" s="5" t="s">
        <v>24</v>
      </c>
      <c r="B22" s="72" t="s">
        <v>37</v>
      </c>
      <c r="C22" s="48" t="s">
        <v>38</v>
      </c>
      <c r="D22" s="61">
        <f>#REF!</f>
        <v>401.09</v>
      </c>
      <c r="E22" s="61">
        <f>F22+O22+S22+T22+U22</f>
        <v>398.64</v>
      </c>
      <c r="F22" s="61">
        <f t="shared" si="6"/>
        <v>0</v>
      </c>
      <c r="G22" s="61">
        <f t="shared" si="8"/>
        <v>0</v>
      </c>
      <c r="H22" s="61">
        <f t="shared" si="12"/>
        <v>0</v>
      </c>
      <c r="I22" s="61"/>
      <c r="J22" s="61"/>
      <c r="K22" s="61"/>
      <c r="L22" s="61"/>
      <c r="M22" s="61"/>
      <c r="N22" s="61"/>
      <c r="O22" s="61">
        <f t="shared" si="16"/>
        <v>0</v>
      </c>
      <c r="P22" s="61"/>
      <c r="Q22" s="61"/>
      <c r="R22" s="61"/>
      <c r="S22" s="61">
        <f>D22-BL22</f>
        <v>398.64</v>
      </c>
      <c r="T22" s="61"/>
      <c r="U22" s="61"/>
      <c r="V22" s="61">
        <f t="shared" si="13"/>
        <v>2.4500000000000002</v>
      </c>
      <c r="W22" s="61"/>
      <c r="X22" s="61"/>
      <c r="Y22" s="61"/>
      <c r="Z22" s="61"/>
      <c r="AA22" s="61"/>
      <c r="AB22" s="61"/>
      <c r="AC22" s="61"/>
      <c r="AD22" s="61"/>
      <c r="AE22" s="61">
        <f t="shared" si="9"/>
        <v>2.4500000000000002</v>
      </c>
      <c r="AF22" s="61"/>
      <c r="AG22" s="61"/>
      <c r="AH22" s="61"/>
      <c r="AI22" s="61"/>
      <c r="AJ22" s="61"/>
      <c r="AK22" s="61"/>
      <c r="AL22" s="61">
        <v>2.4500000000000002</v>
      </c>
      <c r="AM22" s="61"/>
      <c r="AN22" s="61"/>
      <c r="AO22" s="61"/>
      <c r="AP22" s="61"/>
      <c r="AQ22" s="61"/>
      <c r="AR22" s="61"/>
      <c r="AS22" s="61"/>
      <c r="AT22" s="61"/>
      <c r="AU22" s="61"/>
      <c r="AV22" s="61"/>
      <c r="AW22" s="61"/>
      <c r="AX22" s="61"/>
      <c r="AY22" s="61"/>
      <c r="AZ22" s="61"/>
      <c r="BA22" s="61"/>
      <c r="BB22" s="61"/>
      <c r="BC22" s="61"/>
      <c r="BD22" s="61"/>
      <c r="BE22" s="61"/>
      <c r="BF22" s="61"/>
      <c r="BG22" s="61"/>
      <c r="BH22" s="61">
        <f t="shared" si="17"/>
        <v>0</v>
      </c>
      <c r="BI22" s="61"/>
      <c r="BJ22" s="61"/>
      <c r="BK22" s="61"/>
      <c r="BL22" s="61">
        <f>G22+O22+T22+U22+V22+BH22</f>
        <v>2.4500000000000002</v>
      </c>
      <c r="BM22" s="61">
        <f>S67-BL22</f>
        <v>5.56</v>
      </c>
      <c r="BN22" s="61">
        <f t="shared" si="18"/>
        <v>406.65</v>
      </c>
      <c r="BP22" s="117"/>
    </row>
    <row r="23" spans="1:68" ht="19.5" hidden="1" customHeight="1">
      <c r="A23" s="5" t="s">
        <v>27</v>
      </c>
      <c r="B23" s="72" t="s">
        <v>40</v>
      </c>
      <c r="C23" s="48" t="s">
        <v>41</v>
      </c>
      <c r="D23" s="61"/>
      <c r="E23" s="61">
        <f t="shared" si="4"/>
        <v>0</v>
      </c>
      <c r="F23" s="61">
        <f t="shared" si="6"/>
        <v>0</v>
      </c>
      <c r="G23" s="61">
        <f t="shared" si="8"/>
        <v>0</v>
      </c>
      <c r="H23" s="61">
        <f t="shared" si="12"/>
        <v>0</v>
      </c>
      <c r="I23" s="61"/>
      <c r="J23" s="61"/>
      <c r="K23" s="61"/>
      <c r="L23" s="61"/>
      <c r="M23" s="61"/>
      <c r="N23" s="61"/>
      <c r="O23" s="61">
        <f t="shared" si="16"/>
        <v>0</v>
      </c>
      <c r="P23" s="61"/>
      <c r="Q23" s="61"/>
      <c r="R23" s="61"/>
      <c r="S23" s="61"/>
      <c r="T23" s="61">
        <f>D23-BL23</f>
        <v>0</v>
      </c>
      <c r="U23" s="61"/>
      <c r="V23" s="61">
        <f t="shared" si="13"/>
        <v>0</v>
      </c>
      <c r="W23" s="61"/>
      <c r="X23" s="61"/>
      <c r="Y23" s="61"/>
      <c r="Z23" s="61"/>
      <c r="AA23" s="61"/>
      <c r="AB23" s="61"/>
      <c r="AC23" s="61"/>
      <c r="AD23" s="61"/>
      <c r="AE23" s="61">
        <f t="shared" si="9"/>
        <v>0</v>
      </c>
      <c r="AF23" s="61"/>
      <c r="AG23" s="61"/>
      <c r="AH23" s="61"/>
      <c r="AI23" s="61"/>
      <c r="AJ23" s="61"/>
      <c r="AK23" s="61"/>
      <c r="AL23" s="61"/>
      <c r="AM23" s="61"/>
      <c r="AN23" s="61"/>
      <c r="AO23" s="61"/>
      <c r="AP23" s="61"/>
      <c r="AQ23" s="61"/>
      <c r="AR23" s="61"/>
      <c r="AS23" s="61"/>
      <c r="AT23" s="61"/>
      <c r="AU23" s="61"/>
      <c r="AV23" s="61"/>
      <c r="AW23" s="61"/>
      <c r="AX23" s="61"/>
      <c r="AY23" s="61"/>
      <c r="AZ23" s="61"/>
      <c r="BA23" s="61"/>
      <c r="BB23" s="61"/>
      <c r="BC23" s="61"/>
      <c r="BD23" s="61"/>
      <c r="BE23" s="61"/>
      <c r="BF23" s="61"/>
      <c r="BG23" s="61"/>
      <c r="BH23" s="61">
        <f t="shared" si="17"/>
        <v>0</v>
      </c>
      <c r="BI23" s="61"/>
      <c r="BJ23" s="61"/>
      <c r="BK23" s="61"/>
      <c r="BL23" s="61">
        <f>F23+O23+S23+U23+V23+BH23</f>
        <v>0</v>
      </c>
      <c r="BM23" s="61">
        <f>T67-BL23</f>
        <v>0</v>
      </c>
      <c r="BN23" s="61">
        <f t="shared" si="18"/>
        <v>0</v>
      </c>
      <c r="BP23" s="117"/>
    </row>
    <row r="24" spans="1:68" ht="20.100000000000001" customHeight="1">
      <c r="A24" s="5" t="s">
        <v>30</v>
      </c>
      <c r="B24" s="72" t="s">
        <v>43</v>
      </c>
      <c r="C24" s="48" t="s">
        <v>44</v>
      </c>
      <c r="D24" s="61"/>
      <c r="E24" s="61">
        <f t="shared" si="4"/>
        <v>0</v>
      </c>
      <c r="F24" s="61">
        <f t="shared" si="6"/>
        <v>0</v>
      </c>
      <c r="G24" s="61">
        <f t="shared" si="8"/>
        <v>0</v>
      </c>
      <c r="H24" s="61">
        <f t="shared" si="12"/>
        <v>0</v>
      </c>
      <c r="I24" s="61"/>
      <c r="J24" s="61"/>
      <c r="K24" s="61"/>
      <c r="L24" s="61"/>
      <c r="M24" s="61"/>
      <c r="N24" s="61"/>
      <c r="O24" s="61">
        <f t="shared" si="16"/>
        <v>0</v>
      </c>
      <c r="P24" s="61"/>
      <c r="Q24" s="61"/>
      <c r="R24" s="61"/>
      <c r="S24" s="61"/>
      <c r="T24" s="61"/>
      <c r="U24" s="61">
        <f>D24-BL24</f>
        <v>0</v>
      </c>
      <c r="V24" s="61">
        <f t="shared" si="13"/>
        <v>0</v>
      </c>
      <c r="W24" s="61"/>
      <c r="X24" s="61"/>
      <c r="Y24" s="61"/>
      <c r="Z24" s="61"/>
      <c r="AA24" s="61"/>
      <c r="AB24" s="61"/>
      <c r="AC24" s="61"/>
      <c r="AD24" s="61"/>
      <c r="AE24" s="61">
        <f t="shared" si="9"/>
        <v>0</v>
      </c>
      <c r="AF24" s="61"/>
      <c r="AG24" s="61"/>
      <c r="AH24" s="61"/>
      <c r="AI24" s="61"/>
      <c r="AJ24" s="61"/>
      <c r="AK24" s="61"/>
      <c r="AL24" s="61"/>
      <c r="AM24" s="61"/>
      <c r="AN24" s="61"/>
      <c r="AO24" s="61"/>
      <c r="AP24" s="61"/>
      <c r="AQ24" s="61"/>
      <c r="AR24" s="61"/>
      <c r="AS24" s="61"/>
      <c r="AT24" s="61"/>
      <c r="AU24" s="61"/>
      <c r="AV24" s="61"/>
      <c r="AW24" s="61"/>
      <c r="AX24" s="61"/>
      <c r="AY24" s="61"/>
      <c r="AZ24" s="61"/>
      <c r="BA24" s="61"/>
      <c r="BB24" s="61"/>
      <c r="BC24" s="61"/>
      <c r="BD24" s="61"/>
      <c r="BE24" s="61"/>
      <c r="BF24" s="61"/>
      <c r="BG24" s="61"/>
      <c r="BH24" s="61">
        <f t="shared" si="17"/>
        <v>0</v>
      </c>
      <c r="BI24" s="61"/>
      <c r="BJ24" s="61"/>
      <c r="BK24" s="61"/>
      <c r="BL24" s="61">
        <f>F24+O24+S24+T24+BH24</f>
        <v>0</v>
      </c>
      <c r="BM24" s="61">
        <f>U67-BL24</f>
        <v>0</v>
      </c>
      <c r="BN24" s="61">
        <f t="shared" si="18"/>
        <v>0</v>
      </c>
      <c r="BP24" s="117"/>
    </row>
    <row r="25" spans="1:68" s="115" customFormat="1" ht="25.5" customHeight="1">
      <c r="A25" s="6">
        <v>2</v>
      </c>
      <c r="B25" s="109" t="s">
        <v>45</v>
      </c>
      <c r="C25" s="114" t="s">
        <v>46</v>
      </c>
      <c r="D25" s="461">
        <f>D26+D27+D28+D29+D30+D31+D32+D33+D34+D46+D47+D48+D49+D50+D51+D52+D53+D54+D55+D56+D57+D58+D59+D60+D61+D62</f>
        <v>485.83500000000004</v>
      </c>
      <c r="E25" s="461">
        <f>E26+E27+E28+E29+E30+E31+E32+E33+E34+E46+E47+E48+E49+E50+E51+E52+E53+E54+E55+E56+E57+E58+E59+E60+E61+E62</f>
        <v>4.3</v>
      </c>
      <c r="F25" s="461">
        <f t="shared" ref="F25:U25" si="19">F26+F27+F28+F29+F30+F31+F32+F33+F34+F46+F47+F48+F49+F50+F51+F52+F53+F54+F55+F56+F57+F58+F59+F60+F61+F62</f>
        <v>0</v>
      </c>
      <c r="G25" s="461">
        <f t="shared" si="19"/>
        <v>0</v>
      </c>
      <c r="H25" s="461">
        <f t="shared" si="19"/>
        <v>0</v>
      </c>
      <c r="I25" s="461">
        <f t="shared" si="19"/>
        <v>0</v>
      </c>
      <c r="J25" s="461">
        <f t="shared" si="19"/>
        <v>0</v>
      </c>
      <c r="K25" s="461">
        <f t="shared" si="19"/>
        <v>0</v>
      </c>
      <c r="L25" s="461">
        <f t="shared" si="19"/>
        <v>0</v>
      </c>
      <c r="M25" s="461">
        <f t="shared" si="19"/>
        <v>0</v>
      </c>
      <c r="N25" s="461">
        <f t="shared" si="19"/>
        <v>0</v>
      </c>
      <c r="O25" s="461">
        <f t="shared" si="19"/>
        <v>0</v>
      </c>
      <c r="P25" s="461">
        <f t="shared" si="19"/>
        <v>0</v>
      </c>
      <c r="Q25" s="461">
        <f t="shared" si="19"/>
        <v>0</v>
      </c>
      <c r="R25" s="461">
        <f t="shared" si="19"/>
        <v>0</v>
      </c>
      <c r="S25" s="461">
        <f t="shared" si="19"/>
        <v>4.3</v>
      </c>
      <c r="T25" s="461">
        <f t="shared" si="19"/>
        <v>0</v>
      </c>
      <c r="U25" s="461">
        <f t="shared" si="19"/>
        <v>0</v>
      </c>
      <c r="V25" s="461">
        <f>D25-BL25</f>
        <v>481.53500000000003</v>
      </c>
      <c r="W25" s="461">
        <f>W26+W27+W28+W29+W30+W31+W32+W33+W34+W46+W47+W48+W49+W50+W51+W52+W53+W54+W55+W56+W57+W58+W59+W60+W61+W62</f>
        <v>7.06</v>
      </c>
      <c r="X25" s="461">
        <f t="shared" ref="X25:BK25" si="20">X26+X27+X28+X29+X30+X31+X32+X33+X34+X46+X47+X48+X49+X50+X51+X52+X53+X54+X55+X56+X57+X58+X59+X60+X61+X62</f>
        <v>0</v>
      </c>
      <c r="Y25" s="461">
        <f t="shared" si="20"/>
        <v>0</v>
      </c>
      <c r="Z25" s="461">
        <f t="shared" si="20"/>
        <v>0</v>
      </c>
      <c r="AA25" s="461">
        <f t="shared" si="20"/>
        <v>0</v>
      </c>
      <c r="AB25" s="461">
        <f t="shared" si="20"/>
        <v>0.2</v>
      </c>
      <c r="AC25" s="461">
        <f t="shared" si="20"/>
        <v>0.26</v>
      </c>
      <c r="AD25" s="461">
        <f t="shared" si="20"/>
        <v>0</v>
      </c>
      <c r="AE25" s="461">
        <f t="shared" si="20"/>
        <v>167.76499999999999</v>
      </c>
      <c r="AF25" s="461">
        <f t="shared" si="20"/>
        <v>0.23</v>
      </c>
      <c r="AG25" s="461">
        <f t="shared" si="20"/>
        <v>0.16</v>
      </c>
      <c r="AH25" s="461">
        <f t="shared" si="20"/>
        <v>3.74</v>
      </c>
      <c r="AI25" s="461">
        <f t="shared" si="20"/>
        <v>1.92</v>
      </c>
      <c r="AJ25" s="461">
        <f t="shared" si="20"/>
        <v>0</v>
      </c>
      <c r="AK25" s="461">
        <f t="shared" si="20"/>
        <v>0</v>
      </c>
      <c r="AL25" s="461">
        <f t="shared" si="20"/>
        <v>105.9</v>
      </c>
      <c r="AM25" s="461">
        <f t="shared" si="20"/>
        <v>51.634999999999998</v>
      </c>
      <c r="AN25" s="461">
        <f t="shared" si="20"/>
        <v>0.62</v>
      </c>
      <c r="AO25" s="461">
        <f t="shared" si="20"/>
        <v>0.11</v>
      </c>
      <c r="AP25" s="461">
        <f t="shared" si="20"/>
        <v>3.45</v>
      </c>
      <c r="AQ25" s="461">
        <f t="shared" si="20"/>
        <v>0</v>
      </c>
      <c r="AR25" s="461">
        <f t="shared" si="20"/>
        <v>0</v>
      </c>
      <c r="AS25" s="461">
        <f t="shared" si="20"/>
        <v>0</v>
      </c>
      <c r="AT25" s="461">
        <f t="shared" si="20"/>
        <v>56.809999999999995</v>
      </c>
      <c r="AU25" s="461">
        <f t="shared" si="20"/>
        <v>0</v>
      </c>
      <c r="AV25" s="461">
        <f t="shared" si="20"/>
        <v>1.1100000000000001</v>
      </c>
      <c r="AW25" s="461">
        <f t="shared" si="20"/>
        <v>0</v>
      </c>
      <c r="AX25" s="461">
        <f t="shared" si="20"/>
        <v>0</v>
      </c>
      <c r="AY25" s="461">
        <f t="shared" si="20"/>
        <v>0</v>
      </c>
      <c r="AZ25" s="461">
        <f t="shared" si="20"/>
        <v>27.25</v>
      </c>
      <c r="BA25" s="461">
        <f t="shared" si="20"/>
        <v>0</v>
      </c>
      <c r="BB25" s="461">
        <f t="shared" si="20"/>
        <v>0.5</v>
      </c>
      <c r="BC25" s="461">
        <f t="shared" si="20"/>
        <v>0</v>
      </c>
      <c r="BD25" s="461">
        <f t="shared" si="20"/>
        <v>0.7</v>
      </c>
      <c r="BE25" s="461">
        <f t="shared" si="20"/>
        <v>66.039999999999992</v>
      </c>
      <c r="BF25" s="461">
        <f t="shared" si="20"/>
        <v>153.84</v>
      </c>
      <c r="BG25" s="461">
        <f t="shared" si="20"/>
        <v>0</v>
      </c>
      <c r="BH25" s="461">
        <f t="shared" si="20"/>
        <v>0</v>
      </c>
      <c r="BI25" s="461">
        <f t="shared" si="20"/>
        <v>0</v>
      </c>
      <c r="BJ25" s="461">
        <f t="shared" si="20"/>
        <v>0</v>
      </c>
      <c r="BK25" s="461">
        <f t="shared" si="20"/>
        <v>0</v>
      </c>
      <c r="BL25" s="461">
        <f>E25+BH25</f>
        <v>4.3</v>
      </c>
      <c r="BM25" s="461">
        <f>BM26+BM27+BM28+BM29+BM30+BM31+BM32+BM33+BM34+BM46+BM47+BM48+BM49+BM50+BM51+BM52+BM53+BM54+BM55+BM56+BM57+BM58+BM59+BM60+BM61+BM62</f>
        <v>13.59</v>
      </c>
      <c r="BN25" s="461">
        <f>BN26+BN27+BN28+BN29+BN30+BN31+BN32+BN33+BN34+BN46+BN47+BN48+BN49+BN50+BN51+BN52+BN53+BN54+BN55+BN56+BN57+BN58+BN59+BN60+BN61+BN62</f>
        <v>499.42500000000007</v>
      </c>
      <c r="BO25" s="512">
        <f>SUM(BN26:BN62)-BN34</f>
        <v>499.42500000000013</v>
      </c>
      <c r="BP25" s="117"/>
    </row>
    <row r="26" spans="1:68" ht="20.100000000000001" customHeight="1">
      <c r="A26" s="20" t="s">
        <v>47</v>
      </c>
      <c r="B26" s="110" t="s">
        <v>48</v>
      </c>
      <c r="C26" s="48" t="s">
        <v>49</v>
      </c>
      <c r="D26" s="739">
        <v>7.06</v>
      </c>
      <c r="E26" s="61">
        <f t="shared" si="4"/>
        <v>0</v>
      </c>
      <c r="F26" s="61">
        <f>G26+N26</f>
        <v>0</v>
      </c>
      <c r="G26" s="61">
        <f t="shared" si="8"/>
        <v>0</v>
      </c>
      <c r="H26" s="61">
        <f t="shared" si="12"/>
        <v>0</v>
      </c>
      <c r="I26" s="61"/>
      <c r="J26" s="61"/>
      <c r="K26" s="61"/>
      <c r="L26" s="61"/>
      <c r="M26" s="61"/>
      <c r="N26" s="61"/>
      <c r="O26" s="61"/>
      <c r="P26" s="61"/>
      <c r="Q26" s="61"/>
      <c r="R26" s="61"/>
      <c r="S26" s="61"/>
      <c r="T26" s="61"/>
      <c r="U26" s="61"/>
      <c r="V26" s="61">
        <f t="shared" si="13"/>
        <v>7.06</v>
      </c>
      <c r="W26" s="61">
        <f>D26-BL26</f>
        <v>7.06</v>
      </c>
      <c r="X26" s="61"/>
      <c r="Y26" s="61"/>
      <c r="Z26" s="61"/>
      <c r="AA26" s="61"/>
      <c r="AB26" s="61"/>
      <c r="AC26" s="61"/>
      <c r="AD26" s="61"/>
      <c r="AE26" s="61">
        <f t="shared" si="9"/>
        <v>0</v>
      </c>
      <c r="AF26" s="61"/>
      <c r="AG26" s="61"/>
      <c r="AH26" s="61"/>
      <c r="AI26" s="61"/>
      <c r="AJ26" s="61"/>
      <c r="AK26" s="61"/>
      <c r="AL26" s="61"/>
      <c r="AM26" s="61"/>
      <c r="AN26" s="61"/>
      <c r="AO26" s="61"/>
      <c r="AP26" s="61"/>
      <c r="AQ26" s="61"/>
      <c r="AR26" s="61"/>
      <c r="AS26" s="61"/>
      <c r="AT26" s="61"/>
      <c r="AU26" s="61"/>
      <c r="AV26" s="61"/>
      <c r="AW26" s="61"/>
      <c r="AX26" s="61"/>
      <c r="AY26" s="61"/>
      <c r="AZ26" s="61"/>
      <c r="BA26" s="61"/>
      <c r="BB26" s="61"/>
      <c r="BC26" s="61"/>
      <c r="BD26" s="61"/>
      <c r="BE26" s="61"/>
      <c r="BF26" s="61"/>
      <c r="BG26" s="61"/>
      <c r="BH26" s="61">
        <f>BI26+BJ26+BK26</f>
        <v>0</v>
      </c>
      <c r="BI26" s="61"/>
      <c r="BJ26" s="61"/>
      <c r="BK26" s="61"/>
      <c r="BL26" s="61">
        <f>X26+Y26+Z26+AA26+AB26+AC26+AD26+AE26+AQ26+AR26+AS26+AT26+AU26+AV26+AW26+AX26+AY26+AZ26+BA26+BB26+BC26+BD26+BE26+BF26+BG26+BH26</f>
        <v>0</v>
      </c>
      <c r="BM26" s="61">
        <f>W67-BL26</f>
        <v>4.29</v>
      </c>
      <c r="BN26" s="61">
        <f>D26+BM26</f>
        <v>11.35</v>
      </c>
      <c r="BP26" s="117"/>
    </row>
    <row r="27" spans="1:68" ht="20.100000000000001" customHeight="1">
      <c r="A27" s="20" t="s">
        <v>50</v>
      </c>
      <c r="B27" s="110" t="s">
        <v>51</v>
      </c>
      <c r="C27" s="48" t="s">
        <v>52</v>
      </c>
      <c r="D27" s="61"/>
      <c r="E27" s="61">
        <f t="shared" si="4"/>
        <v>0</v>
      </c>
      <c r="F27" s="61">
        <f t="shared" ref="F27:F66" si="21">G27+N27</f>
        <v>0</v>
      </c>
      <c r="G27" s="61">
        <f t="shared" si="8"/>
        <v>0</v>
      </c>
      <c r="H27" s="61">
        <f t="shared" si="12"/>
        <v>0</v>
      </c>
      <c r="I27" s="61"/>
      <c r="J27" s="61"/>
      <c r="K27" s="61"/>
      <c r="L27" s="61"/>
      <c r="M27" s="61"/>
      <c r="N27" s="61"/>
      <c r="O27" s="61"/>
      <c r="P27" s="61"/>
      <c r="Q27" s="61"/>
      <c r="R27" s="61"/>
      <c r="S27" s="61"/>
      <c r="T27" s="61"/>
      <c r="U27" s="61"/>
      <c r="V27" s="61">
        <f t="shared" si="13"/>
        <v>0</v>
      </c>
      <c r="W27" s="61"/>
      <c r="X27" s="61">
        <f>D27-BL27</f>
        <v>0</v>
      </c>
      <c r="Y27" s="61"/>
      <c r="Z27" s="61"/>
      <c r="AA27" s="61"/>
      <c r="AB27" s="61"/>
      <c r="AC27" s="61"/>
      <c r="AD27" s="61"/>
      <c r="AE27" s="61">
        <f t="shared" si="9"/>
        <v>0</v>
      </c>
      <c r="AF27" s="61"/>
      <c r="AG27" s="61"/>
      <c r="AH27" s="61"/>
      <c r="AI27" s="61"/>
      <c r="AJ27" s="61"/>
      <c r="AK27" s="61"/>
      <c r="AL27" s="61"/>
      <c r="AM27" s="61"/>
      <c r="AN27" s="61"/>
      <c r="AO27" s="61"/>
      <c r="AP27" s="61"/>
      <c r="AQ27" s="61"/>
      <c r="AR27" s="61"/>
      <c r="AS27" s="61"/>
      <c r="AT27" s="61"/>
      <c r="AU27" s="61"/>
      <c r="AV27" s="61"/>
      <c r="AW27" s="61"/>
      <c r="AX27" s="61"/>
      <c r="AY27" s="61"/>
      <c r="AZ27" s="61"/>
      <c r="BA27" s="61"/>
      <c r="BB27" s="61"/>
      <c r="BC27" s="61"/>
      <c r="BD27" s="61"/>
      <c r="BE27" s="61"/>
      <c r="BF27" s="61"/>
      <c r="BG27" s="61"/>
      <c r="BH27" s="61">
        <f t="shared" ref="BH27:BH62" si="22">BI27+BJ27+BK27</f>
        <v>0</v>
      </c>
      <c r="BI27" s="61"/>
      <c r="BJ27" s="61"/>
      <c r="BK27" s="61"/>
      <c r="BL27" s="61">
        <f>F27+W27+Y27+Z27+AA27+AB27+AC27+AD27+AE27+AQ27+AR27+AS27+AT27+AU27+AV27+AW27+AX27+AY27+AZ27+BA27+BB27+BC27+BD27+BE27+BF27+BG27+BH27</f>
        <v>0</v>
      </c>
      <c r="BM27" s="61">
        <f>X67-BL27</f>
        <v>0</v>
      </c>
      <c r="BN27" s="61">
        <f t="shared" ref="BN27:BN33" si="23">D27+BM27</f>
        <v>0</v>
      </c>
      <c r="BP27" s="117"/>
    </row>
    <row r="28" spans="1:68" ht="20.100000000000001" customHeight="1">
      <c r="A28" s="20" t="s">
        <v>53</v>
      </c>
      <c r="B28" s="110" t="s">
        <v>54</v>
      </c>
      <c r="C28" s="48" t="s">
        <v>55</v>
      </c>
      <c r="D28" s="61"/>
      <c r="E28" s="61">
        <f t="shared" si="4"/>
        <v>0</v>
      </c>
      <c r="F28" s="61">
        <f t="shared" si="21"/>
        <v>0</v>
      </c>
      <c r="G28" s="61">
        <f t="shared" si="8"/>
        <v>0</v>
      </c>
      <c r="H28" s="61">
        <f t="shared" si="12"/>
        <v>0</v>
      </c>
      <c r="I28" s="61"/>
      <c r="J28" s="61"/>
      <c r="K28" s="61"/>
      <c r="L28" s="61"/>
      <c r="M28" s="61"/>
      <c r="N28" s="61"/>
      <c r="O28" s="61"/>
      <c r="P28" s="61"/>
      <c r="Q28" s="61"/>
      <c r="R28" s="61"/>
      <c r="S28" s="61"/>
      <c r="T28" s="61"/>
      <c r="U28" s="61"/>
      <c r="V28" s="61">
        <f t="shared" si="13"/>
        <v>0</v>
      </c>
      <c r="W28" s="61"/>
      <c r="X28" s="61"/>
      <c r="Y28" s="61">
        <f>D28-BL28</f>
        <v>0</v>
      </c>
      <c r="Z28" s="61"/>
      <c r="AA28" s="61"/>
      <c r="AB28" s="61"/>
      <c r="AC28" s="61"/>
      <c r="AD28" s="61"/>
      <c r="AE28" s="61">
        <f t="shared" si="9"/>
        <v>0</v>
      </c>
      <c r="AF28" s="61"/>
      <c r="AG28" s="61"/>
      <c r="AH28" s="61"/>
      <c r="AI28" s="61"/>
      <c r="AJ28" s="61"/>
      <c r="AK28" s="61"/>
      <c r="AL28" s="61"/>
      <c r="AM28" s="61"/>
      <c r="AN28" s="61"/>
      <c r="AO28" s="61"/>
      <c r="AP28" s="61"/>
      <c r="AQ28" s="61"/>
      <c r="AR28" s="61"/>
      <c r="AS28" s="61"/>
      <c r="AT28" s="61"/>
      <c r="AU28" s="61"/>
      <c r="AV28" s="61"/>
      <c r="AW28" s="61"/>
      <c r="AX28" s="61"/>
      <c r="AY28" s="61"/>
      <c r="AZ28" s="61"/>
      <c r="BA28" s="61"/>
      <c r="BB28" s="61"/>
      <c r="BC28" s="61"/>
      <c r="BD28" s="61"/>
      <c r="BE28" s="61"/>
      <c r="BF28" s="61"/>
      <c r="BG28" s="61"/>
      <c r="BH28" s="61">
        <f t="shared" si="22"/>
        <v>0</v>
      </c>
      <c r="BI28" s="61"/>
      <c r="BJ28" s="61"/>
      <c r="BK28" s="61"/>
      <c r="BL28" s="61">
        <f>E28+W28+X28+Z28+AA28+AB28+AC28+AD28+AE28+AQ28+AR28+AS28+AT28+AU28+AV28+AW28+AX28+AY28+AZ28+BA28+BB28+BC28+BD28+BE28+BF28+BG28+BH28</f>
        <v>0</v>
      </c>
      <c r="BM28" s="61">
        <f>Y67-BL28</f>
        <v>0</v>
      </c>
      <c r="BN28" s="61">
        <f t="shared" si="23"/>
        <v>0</v>
      </c>
      <c r="BP28" s="117"/>
    </row>
    <row r="29" spans="1:68" ht="20.100000000000001" customHeight="1">
      <c r="A29" s="20" t="s">
        <v>56</v>
      </c>
      <c r="B29" s="110" t="s">
        <v>57</v>
      </c>
      <c r="C29" s="48" t="s">
        <v>58</v>
      </c>
      <c r="D29" s="61"/>
      <c r="E29" s="61">
        <f t="shared" si="4"/>
        <v>0</v>
      </c>
      <c r="F29" s="61">
        <f t="shared" si="21"/>
        <v>0</v>
      </c>
      <c r="G29" s="61">
        <f t="shared" si="8"/>
        <v>0</v>
      </c>
      <c r="H29" s="61">
        <f t="shared" si="12"/>
        <v>0</v>
      </c>
      <c r="I29" s="61"/>
      <c r="J29" s="61"/>
      <c r="K29" s="61"/>
      <c r="L29" s="61"/>
      <c r="M29" s="61"/>
      <c r="N29" s="61"/>
      <c r="O29" s="61"/>
      <c r="P29" s="61"/>
      <c r="Q29" s="61"/>
      <c r="R29" s="61"/>
      <c r="S29" s="61"/>
      <c r="T29" s="61"/>
      <c r="U29" s="61"/>
      <c r="V29" s="61">
        <f t="shared" si="13"/>
        <v>0</v>
      </c>
      <c r="W29" s="61"/>
      <c r="X29" s="61"/>
      <c r="Y29" s="61"/>
      <c r="Z29" s="61">
        <f>D29-BL29</f>
        <v>0</v>
      </c>
      <c r="AA29" s="61"/>
      <c r="AB29" s="61"/>
      <c r="AC29" s="61"/>
      <c r="AD29" s="61"/>
      <c r="AE29" s="61">
        <f t="shared" si="9"/>
        <v>0</v>
      </c>
      <c r="AF29" s="61"/>
      <c r="AG29" s="61"/>
      <c r="AH29" s="61"/>
      <c r="AI29" s="61"/>
      <c r="AJ29" s="61"/>
      <c r="AK29" s="61"/>
      <c r="AL29" s="61"/>
      <c r="AM29" s="61"/>
      <c r="AN29" s="61"/>
      <c r="AO29" s="61"/>
      <c r="AP29" s="61"/>
      <c r="AQ29" s="61"/>
      <c r="AR29" s="61"/>
      <c r="AS29" s="61"/>
      <c r="AT29" s="61"/>
      <c r="AU29" s="61"/>
      <c r="AV29" s="61"/>
      <c r="AW29" s="61"/>
      <c r="AX29" s="61"/>
      <c r="AY29" s="61"/>
      <c r="AZ29" s="61"/>
      <c r="BA29" s="61"/>
      <c r="BB29" s="61"/>
      <c r="BC29" s="61"/>
      <c r="BD29" s="61"/>
      <c r="BE29" s="61"/>
      <c r="BF29" s="61"/>
      <c r="BG29" s="61"/>
      <c r="BH29" s="61">
        <f t="shared" si="22"/>
        <v>0</v>
      </c>
      <c r="BI29" s="61"/>
      <c r="BJ29" s="61"/>
      <c r="BK29" s="61"/>
      <c r="BL29" s="61">
        <f>E29+W29+X29+Y29+AA29+AB29+AC29+AD29+AE29+AQ29+AR29+AS29+AT29+AU29+AV29+AW29+AX29+AY29+AZ29+BA29+BB29+BC29+BD29+BE29+BF29+BG29+BH29</f>
        <v>0</v>
      </c>
      <c r="BM29" s="61">
        <f>Z67-BL29</f>
        <v>0</v>
      </c>
      <c r="BN29" s="61">
        <f t="shared" si="23"/>
        <v>0</v>
      </c>
      <c r="BP29" s="117"/>
    </row>
    <row r="30" spans="1:68" ht="20.100000000000001" customHeight="1">
      <c r="A30" s="20" t="s">
        <v>59</v>
      </c>
      <c r="B30" s="110" t="s">
        <v>60</v>
      </c>
      <c r="C30" s="48" t="s">
        <v>61</v>
      </c>
      <c r="D30" s="61"/>
      <c r="E30" s="61">
        <f t="shared" si="4"/>
        <v>0</v>
      </c>
      <c r="F30" s="61">
        <f t="shared" si="21"/>
        <v>0</v>
      </c>
      <c r="G30" s="61">
        <f t="shared" si="8"/>
        <v>0</v>
      </c>
      <c r="H30" s="61">
        <f t="shared" si="12"/>
        <v>0</v>
      </c>
      <c r="I30" s="61"/>
      <c r="J30" s="61"/>
      <c r="K30" s="61"/>
      <c r="L30" s="61"/>
      <c r="M30" s="61"/>
      <c r="N30" s="61"/>
      <c r="O30" s="61"/>
      <c r="P30" s="61"/>
      <c r="Q30" s="61"/>
      <c r="R30" s="61"/>
      <c r="S30" s="61"/>
      <c r="T30" s="61"/>
      <c r="U30" s="61"/>
      <c r="V30" s="61">
        <f t="shared" si="13"/>
        <v>0</v>
      </c>
      <c r="W30" s="61"/>
      <c r="X30" s="61"/>
      <c r="Y30" s="61"/>
      <c r="Z30" s="61"/>
      <c r="AA30" s="61">
        <f>D30-BL30</f>
        <v>0</v>
      </c>
      <c r="AB30" s="61"/>
      <c r="AC30" s="61"/>
      <c r="AD30" s="61"/>
      <c r="AE30" s="61">
        <f t="shared" si="9"/>
        <v>0</v>
      </c>
      <c r="AF30" s="61"/>
      <c r="AG30" s="61"/>
      <c r="AH30" s="61"/>
      <c r="AI30" s="61"/>
      <c r="AJ30" s="61"/>
      <c r="AK30" s="61"/>
      <c r="AL30" s="61"/>
      <c r="AM30" s="61"/>
      <c r="AN30" s="61"/>
      <c r="AO30" s="61"/>
      <c r="AP30" s="61"/>
      <c r="AQ30" s="61"/>
      <c r="AR30" s="61"/>
      <c r="AS30" s="61"/>
      <c r="AT30" s="61"/>
      <c r="AU30" s="61"/>
      <c r="AV30" s="61"/>
      <c r="AW30" s="61"/>
      <c r="AX30" s="61"/>
      <c r="AY30" s="61"/>
      <c r="AZ30" s="61"/>
      <c r="BA30" s="61"/>
      <c r="BB30" s="61"/>
      <c r="BC30" s="61"/>
      <c r="BD30" s="61"/>
      <c r="BE30" s="61"/>
      <c r="BF30" s="61"/>
      <c r="BG30" s="61"/>
      <c r="BH30" s="61">
        <f t="shared" si="22"/>
        <v>0</v>
      </c>
      <c r="BI30" s="61"/>
      <c r="BJ30" s="61"/>
      <c r="BK30" s="61"/>
      <c r="BL30" s="61">
        <f>E30+W30+X30+Y30+Z30+AB30+AC30+AD30+AE30+AQ30+AR30+AS30+AT30+AU30+AV30+AW30+AX30+AY30+AZ30+BA30+BB30+BC30+BD30+BE30+BF30+BG30+BH30</f>
        <v>0</v>
      </c>
      <c r="BM30" s="61">
        <f>AA67-BL30</f>
        <v>0</v>
      </c>
      <c r="BN30" s="61">
        <f t="shared" si="23"/>
        <v>0</v>
      </c>
      <c r="BP30" s="117"/>
    </row>
    <row r="31" spans="1:68" ht="20.100000000000001" customHeight="1">
      <c r="A31" s="20" t="s">
        <v>62</v>
      </c>
      <c r="B31" s="110" t="s">
        <v>63</v>
      </c>
      <c r="C31" s="48" t="s">
        <v>64</v>
      </c>
      <c r="D31" s="61">
        <f>#REF!</f>
        <v>0.2</v>
      </c>
      <c r="E31" s="61">
        <f t="shared" si="4"/>
        <v>0</v>
      </c>
      <c r="F31" s="61">
        <f t="shared" si="21"/>
        <v>0</v>
      </c>
      <c r="G31" s="61">
        <f t="shared" si="8"/>
        <v>0</v>
      </c>
      <c r="H31" s="61">
        <f t="shared" si="12"/>
        <v>0</v>
      </c>
      <c r="I31" s="61"/>
      <c r="J31" s="61"/>
      <c r="K31" s="61"/>
      <c r="L31" s="61"/>
      <c r="M31" s="61"/>
      <c r="N31" s="61"/>
      <c r="O31" s="61"/>
      <c r="P31" s="61"/>
      <c r="Q31" s="61"/>
      <c r="R31" s="61"/>
      <c r="S31" s="61"/>
      <c r="T31" s="61"/>
      <c r="U31" s="61"/>
      <c r="V31" s="61">
        <f>W31+X31+Y31+Z31+AA31+AB31+AC31+AD31+AE31+AQ31+AR31+AS31+AT31+AU31+AV31+AW31+AX31+AY31+AZ31+BA31+BB31+BC31+BD31+BE31+BF31+BG31</f>
        <v>0.2</v>
      </c>
      <c r="W31" s="61"/>
      <c r="X31" s="61"/>
      <c r="Y31" s="61"/>
      <c r="Z31" s="61"/>
      <c r="AA31" s="61"/>
      <c r="AB31" s="61">
        <f>D31-BL31</f>
        <v>0.2</v>
      </c>
      <c r="AC31" s="61"/>
      <c r="AD31" s="61"/>
      <c r="AE31" s="61">
        <f t="shared" si="9"/>
        <v>0</v>
      </c>
      <c r="AF31" s="61"/>
      <c r="AG31" s="61"/>
      <c r="AH31" s="61"/>
      <c r="AI31" s="61"/>
      <c r="AJ31" s="61"/>
      <c r="AK31" s="61"/>
      <c r="AL31" s="61"/>
      <c r="AM31" s="61"/>
      <c r="AN31" s="61"/>
      <c r="AO31" s="61"/>
      <c r="AP31" s="61"/>
      <c r="AQ31" s="61"/>
      <c r="AR31" s="61"/>
      <c r="AS31" s="61"/>
      <c r="AT31" s="61"/>
      <c r="AU31" s="61"/>
      <c r="AV31" s="61"/>
      <c r="AW31" s="61"/>
      <c r="AX31" s="61"/>
      <c r="AY31" s="61"/>
      <c r="AZ31" s="61"/>
      <c r="BA31" s="61"/>
      <c r="BB31" s="61"/>
      <c r="BC31" s="61"/>
      <c r="BD31" s="61"/>
      <c r="BE31" s="61"/>
      <c r="BF31" s="61"/>
      <c r="BG31" s="61"/>
      <c r="BH31" s="61">
        <f>BI31+BJ31+BK31</f>
        <v>0</v>
      </c>
      <c r="BI31" s="61"/>
      <c r="BJ31" s="61"/>
      <c r="BK31" s="61"/>
      <c r="BL31" s="61">
        <f>E31+W31+X31+Y31+Z31+AA31+AC31+AD31+AE31+AQ31+AR31+AS31+AT31+AU31+AV31+AW31+AX31+AY31+AZ31+BA31+BB31+BC31+BD31+BE31+BF31+BG31+BH31</f>
        <v>0</v>
      </c>
      <c r="BM31" s="61">
        <f>AB67-BL31</f>
        <v>0</v>
      </c>
      <c r="BN31" s="61">
        <f t="shared" si="23"/>
        <v>0.2</v>
      </c>
      <c r="BP31" s="117"/>
    </row>
    <row r="32" spans="1:68" ht="20.100000000000001" customHeight="1">
      <c r="A32" s="20" t="s">
        <v>65</v>
      </c>
      <c r="B32" s="110" t="s">
        <v>66</v>
      </c>
      <c r="C32" s="48" t="s">
        <v>67</v>
      </c>
      <c r="D32" s="61">
        <f>#REF!</f>
        <v>0.26</v>
      </c>
      <c r="E32" s="61">
        <f t="shared" si="4"/>
        <v>0</v>
      </c>
      <c r="F32" s="61">
        <f t="shared" si="21"/>
        <v>0</v>
      </c>
      <c r="G32" s="61">
        <f t="shared" si="8"/>
        <v>0</v>
      </c>
      <c r="H32" s="61">
        <f t="shared" si="12"/>
        <v>0</v>
      </c>
      <c r="I32" s="61"/>
      <c r="J32" s="61"/>
      <c r="K32" s="61"/>
      <c r="L32" s="61"/>
      <c r="M32" s="61"/>
      <c r="N32" s="61"/>
      <c r="O32" s="61"/>
      <c r="P32" s="61"/>
      <c r="Q32" s="61"/>
      <c r="R32" s="61"/>
      <c r="S32" s="61"/>
      <c r="T32" s="61"/>
      <c r="U32" s="61"/>
      <c r="V32" s="61">
        <f t="shared" si="13"/>
        <v>0.26</v>
      </c>
      <c r="W32" s="61"/>
      <c r="X32" s="61"/>
      <c r="Y32" s="61"/>
      <c r="Z32" s="61"/>
      <c r="AA32" s="61"/>
      <c r="AB32" s="61"/>
      <c r="AC32" s="61">
        <f>D32-BL32</f>
        <v>0.26</v>
      </c>
      <c r="AD32" s="61"/>
      <c r="AE32" s="61">
        <f t="shared" si="9"/>
        <v>0</v>
      </c>
      <c r="AF32" s="61"/>
      <c r="AG32" s="61"/>
      <c r="AH32" s="61"/>
      <c r="AI32" s="61"/>
      <c r="AJ32" s="61"/>
      <c r="AK32" s="61"/>
      <c r="AL32" s="61"/>
      <c r="AM32" s="61"/>
      <c r="AN32" s="61"/>
      <c r="AO32" s="61"/>
      <c r="AP32" s="61"/>
      <c r="AQ32" s="61"/>
      <c r="AR32" s="61"/>
      <c r="AS32" s="61"/>
      <c r="AT32" s="61"/>
      <c r="AU32" s="61"/>
      <c r="AV32" s="61"/>
      <c r="AW32" s="61"/>
      <c r="AX32" s="61"/>
      <c r="AY32" s="61"/>
      <c r="AZ32" s="61"/>
      <c r="BA32" s="61"/>
      <c r="BB32" s="61"/>
      <c r="BC32" s="61"/>
      <c r="BD32" s="61"/>
      <c r="BE32" s="61"/>
      <c r="BF32" s="61"/>
      <c r="BG32" s="61"/>
      <c r="BH32" s="61">
        <f t="shared" si="22"/>
        <v>0</v>
      </c>
      <c r="BI32" s="61"/>
      <c r="BJ32" s="61"/>
      <c r="BK32" s="61"/>
      <c r="BL32" s="61">
        <f>E32+W32+X32+Y32+Z32+AA32+AB32+AD32+AE32+AQ32+AR32+AS32+AT32+AU32+AV32+AW32+AX32+AY32+AZ32+BA32+BB32+BC32+BD32+BE32+BF32+BG32+BH32</f>
        <v>0</v>
      </c>
      <c r="BM32" s="61">
        <f>AC67-BL32</f>
        <v>0</v>
      </c>
      <c r="BN32" s="61">
        <f t="shared" si="23"/>
        <v>0.26</v>
      </c>
      <c r="BP32" s="117"/>
    </row>
    <row r="33" spans="1:68" ht="20.100000000000001" customHeight="1">
      <c r="A33" s="20" t="s">
        <v>68</v>
      </c>
      <c r="B33" s="110" t="s">
        <v>69</v>
      </c>
      <c r="C33" s="48" t="s">
        <v>70</v>
      </c>
      <c r="D33" s="61"/>
      <c r="E33" s="61">
        <f t="shared" si="4"/>
        <v>0</v>
      </c>
      <c r="F33" s="61">
        <f t="shared" si="21"/>
        <v>0</v>
      </c>
      <c r="G33" s="61">
        <f t="shared" si="8"/>
        <v>0</v>
      </c>
      <c r="H33" s="61">
        <f t="shared" si="12"/>
        <v>0</v>
      </c>
      <c r="I33" s="61"/>
      <c r="J33" s="61"/>
      <c r="K33" s="61"/>
      <c r="L33" s="61"/>
      <c r="M33" s="61"/>
      <c r="N33" s="61"/>
      <c r="O33" s="61"/>
      <c r="P33" s="61"/>
      <c r="Q33" s="61"/>
      <c r="R33" s="61"/>
      <c r="S33" s="61"/>
      <c r="T33" s="61"/>
      <c r="U33" s="61"/>
      <c r="V33" s="61">
        <f t="shared" si="13"/>
        <v>0</v>
      </c>
      <c r="W33" s="61"/>
      <c r="X33" s="61"/>
      <c r="Y33" s="61"/>
      <c r="Z33" s="61"/>
      <c r="AA33" s="61"/>
      <c r="AB33" s="61"/>
      <c r="AC33" s="61"/>
      <c r="AD33" s="61">
        <f>D33-BL33</f>
        <v>0</v>
      </c>
      <c r="AE33" s="61">
        <f t="shared" si="9"/>
        <v>0</v>
      </c>
      <c r="AF33" s="61"/>
      <c r="AG33" s="61"/>
      <c r="AH33" s="61"/>
      <c r="AI33" s="61"/>
      <c r="AJ33" s="61"/>
      <c r="AK33" s="61"/>
      <c r="AL33" s="61"/>
      <c r="AM33" s="61"/>
      <c r="AN33" s="61"/>
      <c r="AO33" s="61"/>
      <c r="AP33" s="61"/>
      <c r="AQ33" s="61"/>
      <c r="AR33" s="61"/>
      <c r="AS33" s="61"/>
      <c r="AT33" s="61"/>
      <c r="AU33" s="61"/>
      <c r="AV33" s="61"/>
      <c r="AW33" s="61"/>
      <c r="AX33" s="61"/>
      <c r="AY33" s="61"/>
      <c r="AZ33" s="61"/>
      <c r="BA33" s="61"/>
      <c r="BB33" s="61"/>
      <c r="BC33" s="61"/>
      <c r="BD33" s="61"/>
      <c r="BE33" s="61"/>
      <c r="BF33" s="61"/>
      <c r="BG33" s="61"/>
      <c r="BH33" s="61">
        <f t="shared" si="22"/>
        <v>0</v>
      </c>
      <c r="BI33" s="61"/>
      <c r="BJ33" s="61"/>
      <c r="BK33" s="61"/>
      <c r="BL33" s="61">
        <f>E33+W33+X33+Y33+Z33+AA33+AB33+AC33+AE33+AQ33+AR33+AS33+AT33+AU33+AV33+AW33+AX33+AY33+AZ33+BA33+BB33+BC33+BD33+BE33+BF33+BG33+BH33</f>
        <v>0</v>
      </c>
      <c r="BM33" s="61">
        <f>AD67-BL33</f>
        <v>0</v>
      </c>
      <c r="BN33" s="61">
        <f t="shared" si="23"/>
        <v>0</v>
      </c>
      <c r="BP33" s="117"/>
    </row>
    <row r="34" spans="1:68" ht="40.5" customHeight="1">
      <c r="A34" s="20" t="s">
        <v>71</v>
      </c>
      <c r="B34" s="110" t="s">
        <v>135</v>
      </c>
      <c r="C34" s="48" t="s">
        <v>72</v>
      </c>
      <c r="D34" s="61">
        <f>SUM(D35:D45)</f>
        <v>167.77500000000001</v>
      </c>
      <c r="E34" s="61">
        <f>SUM(E35:E45)</f>
        <v>0</v>
      </c>
      <c r="F34" s="61">
        <f t="shared" ref="F34:U34" si="24">SUM(F35:F45)</f>
        <v>0</v>
      </c>
      <c r="G34" s="61">
        <f t="shared" si="24"/>
        <v>0</v>
      </c>
      <c r="H34" s="61">
        <f t="shared" si="24"/>
        <v>0</v>
      </c>
      <c r="I34" s="61">
        <f t="shared" si="24"/>
        <v>0</v>
      </c>
      <c r="J34" s="61">
        <f t="shared" si="24"/>
        <v>0</v>
      </c>
      <c r="K34" s="61">
        <f t="shared" si="24"/>
        <v>0</v>
      </c>
      <c r="L34" s="61">
        <f t="shared" si="24"/>
        <v>0</v>
      </c>
      <c r="M34" s="61">
        <f t="shared" si="24"/>
        <v>0</v>
      </c>
      <c r="N34" s="61">
        <f t="shared" si="24"/>
        <v>0</v>
      </c>
      <c r="O34" s="61">
        <f t="shared" si="24"/>
        <v>0</v>
      </c>
      <c r="P34" s="61">
        <f t="shared" si="24"/>
        <v>0</v>
      </c>
      <c r="Q34" s="61">
        <f t="shared" si="24"/>
        <v>0</v>
      </c>
      <c r="R34" s="61">
        <f t="shared" si="24"/>
        <v>0</v>
      </c>
      <c r="S34" s="61">
        <f t="shared" si="24"/>
        <v>0</v>
      </c>
      <c r="T34" s="61">
        <f t="shared" si="24"/>
        <v>0</v>
      </c>
      <c r="U34" s="61">
        <f t="shared" si="24"/>
        <v>0</v>
      </c>
      <c r="V34" s="61">
        <f>SUM(V35:V45)</f>
        <v>167.77500000000001</v>
      </c>
      <c r="W34" s="61">
        <f t="shared" ref="W34:AD34" si="25">SUM(W35:W45)</f>
        <v>0</v>
      </c>
      <c r="X34" s="61">
        <f t="shared" si="25"/>
        <v>0</v>
      </c>
      <c r="Y34" s="61">
        <f t="shared" si="25"/>
        <v>0</v>
      </c>
      <c r="Z34" s="61">
        <f t="shared" si="25"/>
        <v>0</v>
      </c>
      <c r="AA34" s="61">
        <f t="shared" si="25"/>
        <v>0</v>
      </c>
      <c r="AB34" s="61">
        <f t="shared" si="25"/>
        <v>0</v>
      </c>
      <c r="AC34" s="61">
        <f t="shared" si="25"/>
        <v>0</v>
      </c>
      <c r="AD34" s="61">
        <f t="shared" si="25"/>
        <v>0</v>
      </c>
      <c r="AE34" s="61">
        <f>D34-BL34</f>
        <v>167.72499999999999</v>
      </c>
      <c r="AF34" s="61">
        <f>SUM(AF35:AF45)</f>
        <v>0.23</v>
      </c>
      <c r="AG34" s="61">
        <f t="shared" ref="AG34:BE34" si="26">SUM(AG35:AG45)</f>
        <v>0.16</v>
      </c>
      <c r="AH34" s="61">
        <f t="shared" si="26"/>
        <v>3.74</v>
      </c>
      <c r="AI34" s="61">
        <f t="shared" si="26"/>
        <v>1.92</v>
      </c>
      <c r="AJ34" s="61">
        <f t="shared" si="26"/>
        <v>0</v>
      </c>
      <c r="AK34" s="61">
        <f t="shared" si="26"/>
        <v>0</v>
      </c>
      <c r="AL34" s="61">
        <f t="shared" si="26"/>
        <v>105.86</v>
      </c>
      <c r="AM34" s="61">
        <f t="shared" si="26"/>
        <v>51.634999999999998</v>
      </c>
      <c r="AN34" s="61">
        <f t="shared" si="26"/>
        <v>0.62</v>
      </c>
      <c r="AO34" s="61">
        <f t="shared" si="26"/>
        <v>0.11</v>
      </c>
      <c r="AP34" s="61">
        <f t="shared" si="26"/>
        <v>3.45</v>
      </c>
      <c r="AQ34" s="61">
        <f t="shared" si="26"/>
        <v>0</v>
      </c>
      <c r="AR34" s="61">
        <f t="shared" si="26"/>
        <v>0</v>
      </c>
      <c r="AS34" s="61">
        <f t="shared" si="26"/>
        <v>0</v>
      </c>
      <c r="AT34" s="61">
        <f t="shared" si="26"/>
        <v>0.05</v>
      </c>
      <c r="AU34" s="61">
        <f t="shared" si="26"/>
        <v>0</v>
      </c>
      <c r="AV34" s="61">
        <f t="shared" si="26"/>
        <v>0</v>
      </c>
      <c r="AW34" s="61">
        <f t="shared" si="26"/>
        <v>0</v>
      </c>
      <c r="AX34" s="61">
        <f t="shared" si="26"/>
        <v>0</v>
      </c>
      <c r="AY34" s="61">
        <f t="shared" si="26"/>
        <v>0</v>
      </c>
      <c r="AZ34" s="61">
        <f t="shared" si="26"/>
        <v>0</v>
      </c>
      <c r="BA34" s="61">
        <f t="shared" si="26"/>
        <v>0</v>
      </c>
      <c r="BB34" s="61">
        <f t="shared" si="26"/>
        <v>0</v>
      </c>
      <c r="BC34" s="61">
        <f t="shared" si="26"/>
        <v>0</v>
      </c>
      <c r="BD34" s="61">
        <f t="shared" si="26"/>
        <v>0</v>
      </c>
      <c r="BE34" s="61">
        <f t="shared" si="26"/>
        <v>0</v>
      </c>
      <c r="BF34" s="61">
        <f>SUM(BF35:BF45)</f>
        <v>0</v>
      </c>
      <c r="BG34" s="61">
        <f>SUM(BG35:BG45)</f>
        <v>0</v>
      </c>
      <c r="BH34" s="61">
        <f>BI34+BJ34+BK34</f>
        <v>0</v>
      </c>
      <c r="BI34" s="61">
        <f>SUM(BI35:BI45)</f>
        <v>0</v>
      </c>
      <c r="BJ34" s="61">
        <f>SUM(BJ35:BJ45)</f>
        <v>0</v>
      </c>
      <c r="BK34" s="61">
        <f>SUM(BK35:BK45)</f>
        <v>0</v>
      </c>
      <c r="BL34" s="61">
        <f>E34+W34+X34+Y34+Z34+AA34+AB34+AC34+AQ34+AR34+AS34+AT34+AU34+AV34+AW34+AX34+AY34+AZ34+BA34+BB34+BC34+BD34+BE34+BF34+BG34+BH34</f>
        <v>0.05</v>
      </c>
      <c r="BM34" s="61">
        <f>AE67-BL34</f>
        <v>10.53</v>
      </c>
      <c r="BN34" s="61">
        <f>SUM(BN35:BN45)</f>
        <v>178.30500000000001</v>
      </c>
      <c r="BP34" s="117"/>
    </row>
    <row r="35" spans="1:68" ht="20.100000000000001" customHeight="1">
      <c r="A35" s="5" t="s">
        <v>224</v>
      </c>
      <c r="B35" s="72" t="s">
        <v>478</v>
      </c>
      <c r="C35" s="48" t="s">
        <v>202</v>
      </c>
      <c r="D35" s="61">
        <f>#REF!</f>
        <v>0.23</v>
      </c>
      <c r="E35" s="61">
        <f t="shared" si="4"/>
        <v>0</v>
      </c>
      <c r="F35" s="61">
        <f t="shared" si="21"/>
        <v>0</v>
      </c>
      <c r="G35" s="61">
        <f t="shared" si="8"/>
        <v>0</v>
      </c>
      <c r="H35" s="61">
        <f t="shared" si="12"/>
        <v>0</v>
      </c>
      <c r="I35" s="61"/>
      <c r="J35" s="61"/>
      <c r="K35" s="61"/>
      <c r="L35" s="61"/>
      <c r="M35" s="61"/>
      <c r="N35" s="61"/>
      <c r="O35" s="61"/>
      <c r="P35" s="61"/>
      <c r="Q35" s="61"/>
      <c r="R35" s="61"/>
      <c r="S35" s="61"/>
      <c r="T35" s="61"/>
      <c r="U35" s="61"/>
      <c r="V35" s="61">
        <f t="shared" si="13"/>
        <v>0.23</v>
      </c>
      <c r="W35" s="61"/>
      <c r="X35" s="61"/>
      <c r="Y35" s="61"/>
      <c r="Z35" s="61"/>
      <c r="AA35" s="61"/>
      <c r="AB35" s="61"/>
      <c r="AC35" s="61"/>
      <c r="AD35" s="61"/>
      <c r="AE35" s="61">
        <f>SUM(AF35:AP35)</f>
        <v>0.23</v>
      </c>
      <c r="AF35" s="61">
        <f>D35-BL35</f>
        <v>0.23</v>
      </c>
      <c r="AG35" s="61"/>
      <c r="AH35" s="61"/>
      <c r="AI35" s="61"/>
      <c r="AJ35" s="61"/>
      <c r="AK35" s="61"/>
      <c r="AL35" s="61"/>
      <c r="AM35" s="61"/>
      <c r="AN35" s="61"/>
      <c r="AO35" s="61"/>
      <c r="AP35" s="61"/>
      <c r="AQ35" s="61"/>
      <c r="AR35" s="61"/>
      <c r="AS35" s="61"/>
      <c r="AT35" s="61"/>
      <c r="AU35" s="61"/>
      <c r="AV35" s="61"/>
      <c r="AW35" s="61"/>
      <c r="AX35" s="61"/>
      <c r="AY35" s="61"/>
      <c r="AZ35" s="61"/>
      <c r="BA35" s="61"/>
      <c r="BB35" s="61"/>
      <c r="BC35" s="61"/>
      <c r="BD35" s="61"/>
      <c r="BE35" s="61"/>
      <c r="BF35" s="61"/>
      <c r="BG35" s="61"/>
      <c r="BH35" s="61">
        <f t="shared" si="22"/>
        <v>0</v>
      </c>
      <c r="BI35" s="61"/>
      <c r="BJ35" s="61"/>
      <c r="BK35" s="61"/>
      <c r="BL35" s="61">
        <f>E35+W35+X35+Y35+Z35+AA35+AB35+AC35+AD35+AG35+AH35+AI35+AJ35+AK35+AL35+AM35+AN35+AO35+AP35+AQ35+AR35+AS35+AT35+AU35+AV35+AW35+AX35+AY35+AZ35+BA35+BB35+BC35+BD35</f>
        <v>0</v>
      </c>
      <c r="BM35" s="61">
        <f>AF67-BL35</f>
        <v>0</v>
      </c>
      <c r="BN35" s="61">
        <f>D35+BM35</f>
        <v>0.23</v>
      </c>
      <c r="BP35" s="117"/>
    </row>
    <row r="36" spans="1:68" ht="20.100000000000001" customHeight="1">
      <c r="A36" s="5" t="s">
        <v>225</v>
      </c>
      <c r="B36" s="72" t="s">
        <v>479</v>
      </c>
      <c r="C36" s="48" t="s">
        <v>203</v>
      </c>
      <c r="D36" s="61">
        <f>#REF!</f>
        <v>0.16</v>
      </c>
      <c r="E36" s="61">
        <f t="shared" si="4"/>
        <v>0</v>
      </c>
      <c r="F36" s="61">
        <f t="shared" si="21"/>
        <v>0</v>
      </c>
      <c r="G36" s="61">
        <f t="shared" si="8"/>
        <v>0</v>
      </c>
      <c r="H36" s="61">
        <f t="shared" si="12"/>
        <v>0</v>
      </c>
      <c r="I36" s="61"/>
      <c r="J36" s="61"/>
      <c r="K36" s="61"/>
      <c r="L36" s="61"/>
      <c r="M36" s="61"/>
      <c r="N36" s="61"/>
      <c r="O36" s="61"/>
      <c r="P36" s="61"/>
      <c r="Q36" s="61"/>
      <c r="R36" s="61"/>
      <c r="S36" s="61"/>
      <c r="T36" s="61"/>
      <c r="U36" s="61"/>
      <c r="V36" s="61">
        <f t="shared" si="13"/>
        <v>0.16</v>
      </c>
      <c r="W36" s="61"/>
      <c r="X36" s="61"/>
      <c r="Y36" s="61"/>
      <c r="Z36" s="61"/>
      <c r="AA36" s="61"/>
      <c r="AB36" s="61"/>
      <c r="AC36" s="61"/>
      <c r="AD36" s="61"/>
      <c r="AE36" s="61">
        <f t="shared" ref="AE36:AE66" si="27">SUM(AF36:AP36)</f>
        <v>0.16</v>
      </c>
      <c r="AF36" s="61"/>
      <c r="AG36" s="61">
        <f>D36-BL36</f>
        <v>0.16</v>
      </c>
      <c r="AH36" s="61"/>
      <c r="AI36" s="61"/>
      <c r="AJ36" s="61"/>
      <c r="AK36" s="61"/>
      <c r="AL36" s="61"/>
      <c r="AM36" s="61"/>
      <c r="AN36" s="61"/>
      <c r="AO36" s="61"/>
      <c r="AP36" s="61"/>
      <c r="AQ36" s="61"/>
      <c r="AR36" s="61"/>
      <c r="AS36" s="61"/>
      <c r="AT36" s="61"/>
      <c r="AU36" s="61"/>
      <c r="AV36" s="61"/>
      <c r="AW36" s="61"/>
      <c r="AX36" s="61"/>
      <c r="AY36" s="61"/>
      <c r="AZ36" s="61"/>
      <c r="BA36" s="61"/>
      <c r="BB36" s="61"/>
      <c r="BC36" s="61"/>
      <c r="BD36" s="61"/>
      <c r="BE36" s="61"/>
      <c r="BF36" s="61"/>
      <c r="BG36" s="61"/>
      <c r="BH36" s="61">
        <f t="shared" si="22"/>
        <v>0</v>
      </c>
      <c r="BI36" s="61"/>
      <c r="BJ36" s="61"/>
      <c r="BK36" s="61"/>
      <c r="BL36" s="61">
        <f>E36+W36+X36+Y36+Z36+AA36+AB36+AC36+AD36+AF36+AH36+AI36+AJ36+AK36+AL36+AM36+AN36+AO36+AP36+AQ36+AR36+AS36+AT36+AU36+AV36+AW36+AX36+AY36+AZ36+BA36+BB36+BC36+BD36+BE36+BF36+BG36+BH36</f>
        <v>0</v>
      </c>
      <c r="BM36" s="61">
        <f>AG67-BL36</f>
        <v>0</v>
      </c>
      <c r="BN36" s="61">
        <f t="shared" ref="BN36:BN45" si="28">D36+BM36</f>
        <v>0.16</v>
      </c>
      <c r="BP36" s="117"/>
    </row>
    <row r="37" spans="1:68" ht="20.100000000000001" customHeight="1">
      <c r="A37" s="5" t="s">
        <v>226</v>
      </c>
      <c r="B37" s="72" t="s">
        <v>480</v>
      </c>
      <c r="C37" s="48" t="s">
        <v>204</v>
      </c>
      <c r="D37" s="61">
        <f>#REF!</f>
        <v>3.77</v>
      </c>
      <c r="E37" s="61">
        <f t="shared" si="4"/>
        <v>0</v>
      </c>
      <c r="F37" s="61">
        <f t="shared" si="21"/>
        <v>0</v>
      </c>
      <c r="G37" s="61">
        <f t="shared" si="8"/>
        <v>0</v>
      </c>
      <c r="H37" s="61">
        <f t="shared" si="12"/>
        <v>0</v>
      </c>
      <c r="I37" s="61"/>
      <c r="J37" s="61"/>
      <c r="K37" s="61"/>
      <c r="L37" s="61"/>
      <c r="M37" s="61"/>
      <c r="N37" s="61"/>
      <c r="O37" s="61"/>
      <c r="P37" s="61"/>
      <c r="Q37" s="61"/>
      <c r="R37" s="61"/>
      <c r="S37" s="61"/>
      <c r="T37" s="61"/>
      <c r="U37" s="61"/>
      <c r="V37" s="61">
        <f t="shared" si="13"/>
        <v>3.77</v>
      </c>
      <c r="W37" s="61"/>
      <c r="X37" s="61"/>
      <c r="Y37" s="61"/>
      <c r="Z37" s="61"/>
      <c r="AA37" s="61"/>
      <c r="AB37" s="61"/>
      <c r="AC37" s="61"/>
      <c r="AD37" s="61"/>
      <c r="AE37" s="61">
        <f t="shared" si="27"/>
        <v>3.74</v>
      </c>
      <c r="AF37" s="61"/>
      <c r="AG37" s="61"/>
      <c r="AH37" s="61">
        <f>D37-BL37</f>
        <v>3.74</v>
      </c>
      <c r="AI37" s="61"/>
      <c r="AJ37" s="61"/>
      <c r="AK37" s="61"/>
      <c r="AL37" s="61"/>
      <c r="AM37" s="61"/>
      <c r="AN37" s="61"/>
      <c r="AO37" s="61"/>
      <c r="AP37" s="61"/>
      <c r="AQ37" s="61"/>
      <c r="AR37" s="61"/>
      <c r="AS37" s="61"/>
      <c r="AT37" s="61">
        <v>0.03</v>
      </c>
      <c r="AU37" s="61"/>
      <c r="AV37" s="61"/>
      <c r="AW37" s="61"/>
      <c r="AX37" s="61"/>
      <c r="AY37" s="61"/>
      <c r="AZ37" s="61"/>
      <c r="BA37" s="61"/>
      <c r="BB37" s="61"/>
      <c r="BC37" s="61"/>
      <c r="BD37" s="61"/>
      <c r="BE37" s="61"/>
      <c r="BF37" s="61"/>
      <c r="BG37" s="61"/>
      <c r="BH37" s="61">
        <f t="shared" si="22"/>
        <v>0</v>
      </c>
      <c r="BI37" s="61"/>
      <c r="BJ37" s="61"/>
      <c r="BK37" s="61"/>
      <c r="BL37" s="61">
        <f>E37+W37+X37+Y37+Z37+AA37+AB37+AC37+AD37+AF37+AG37+AI37+AJ37+AK37+AL37+AM37+AN37+AO37+AP37+AQ37+AR37+AS37+AT37+AU37+AV37+AW37+AX37+AY37+AZ37+BA37+BB37+BC37+BD37+BE37+BF37+BG37+BH37</f>
        <v>0.03</v>
      </c>
      <c r="BM37" s="61">
        <f>AH67-BL37</f>
        <v>-0.03</v>
      </c>
      <c r="BN37" s="61">
        <f t="shared" si="28"/>
        <v>3.74</v>
      </c>
      <c r="BP37" s="117"/>
    </row>
    <row r="38" spans="1:68" ht="20.100000000000001" customHeight="1">
      <c r="A38" s="5" t="s">
        <v>227</v>
      </c>
      <c r="B38" s="72" t="s">
        <v>481</v>
      </c>
      <c r="C38" s="48" t="s">
        <v>205</v>
      </c>
      <c r="D38" s="61">
        <f>#REF!</f>
        <v>1.92</v>
      </c>
      <c r="E38" s="61">
        <f t="shared" si="4"/>
        <v>0</v>
      </c>
      <c r="F38" s="61">
        <f t="shared" si="21"/>
        <v>0</v>
      </c>
      <c r="G38" s="61">
        <f t="shared" si="8"/>
        <v>0</v>
      </c>
      <c r="H38" s="61">
        <f t="shared" si="12"/>
        <v>0</v>
      </c>
      <c r="I38" s="61"/>
      <c r="J38" s="61"/>
      <c r="K38" s="61"/>
      <c r="L38" s="61"/>
      <c r="M38" s="61"/>
      <c r="N38" s="61"/>
      <c r="O38" s="61"/>
      <c r="P38" s="61"/>
      <c r="Q38" s="61"/>
      <c r="R38" s="61"/>
      <c r="S38" s="61"/>
      <c r="T38" s="61"/>
      <c r="U38" s="61"/>
      <c r="V38" s="61">
        <f t="shared" si="13"/>
        <v>1.92</v>
      </c>
      <c r="W38" s="61"/>
      <c r="X38" s="61"/>
      <c r="Y38" s="61"/>
      <c r="Z38" s="61"/>
      <c r="AA38" s="61"/>
      <c r="AB38" s="61"/>
      <c r="AC38" s="61"/>
      <c r="AD38" s="61"/>
      <c r="AE38" s="61">
        <f t="shared" si="27"/>
        <v>1.92</v>
      </c>
      <c r="AF38" s="61"/>
      <c r="AG38" s="61"/>
      <c r="AH38" s="61"/>
      <c r="AI38" s="61">
        <f>D38-BL38</f>
        <v>1.92</v>
      </c>
      <c r="AJ38" s="61"/>
      <c r="AK38" s="61"/>
      <c r="AL38" s="61"/>
      <c r="AM38" s="61"/>
      <c r="AN38" s="61"/>
      <c r="AO38" s="61"/>
      <c r="AP38" s="61"/>
      <c r="AQ38" s="61"/>
      <c r="AR38" s="61"/>
      <c r="AS38" s="61"/>
      <c r="AT38" s="61"/>
      <c r="AU38" s="61"/>
      <c r="AV38" s="61"/>
      <c r="AW38" s="61"/>
      <c r="AX38" s="61"/>
      <c r="AY38" s="61"/>
      <c r="AZ38" s="61"/>
      <c r="BA38" s="61"/>
      <c r="BB38" s="61"/>
      <c r="BC38" s="61"/>
      <c r="BD38" s="61"/>
      <c r="BE38" s="61"/>
      <c r="BF38" s="61"/>
      <c r="BG38" s="61"/>
      <c r="BH38" s="61">
        <f t="shared" si="22"/>
        <v>0</v>
      </c>
      <c r="BI38" s="61"/>
      <c r="BJ38" s="61"/>
      <c r="BK38" s="61"/>
      <c r="BL38" s="61">
        <f>E38+W38+X38+Y38+Z38+AA38+AB38+AC38+AD38+AF38+AG38+AH38+AJ38+AK38+AL38+AM38+AN38+AO38+AP38+AQ38+AR38+AS38+AT38+AU38+AV38+AW38+AX38+AY38+AZ38+BA38+BB38+BC38+BD38+BE38+BF38+BG38+BH38</f>
        <v>0</v>
      </c>
      <c r="BM38" s="61">
        <f>AI67-BL38</f>
        <v>0</v>
      </c>
      <c r="BN38" s="61">
        <f t="shared" si="28"/>
        <v>1.92</v>
      </c>
      <c r="BP38" s="117"/>
    </row>
    <row r="39" spans="1:68" ht="20.100000000000001" customHeight="1">
      <c r="A39" s="5" t="s">
        <v>228</v>
      </c>
      <c r="B39" s="72" t="s">
        <v>482</v>
      </c>
      <c r="C39" s="48" t="s">
        <v>206</v>
      </c>
      <c r="D39" s="61"/>
      <c r="E39" s="61">
        <f t="shared" si="4"/>
        <v>0</v>
      </c>
      <c r="F39" s="61">
        <f t="shared" si="21"/>
        <v>0</v>
      </c>
      <c r="G39" s="61">
        <f t="shared" si="8"/>
        <v>0</v>
      </c>
      <c r="H39" s="61">
        <f t="shared" si="12"/>
        <v>0</v>
      </c>
      <c r="I39" s="61"/>
      <c r="J39" s="61"/>
      <c r="K39" s="61"/>
      <c r="L39" s="61"/>
      <c r="M39" s="61"/>
      <c r="N39" s="61"/>
      <c r="O39" s="61"/>
      <c r="P39" s="61"/>
      <c r="Q39" s="61"/>
      <c r="R39" s="61"/>
      <c r="S39" s="61"/>
      <c r="T39" s="61"/>
      <c r="U39" s="61"/>
      <c r="V39" s="61">
        <f t="shared" si="13"/>
        <v>0</v>
      </c>
      <c r="W39" s="61"/>
      <c r="X39" s="61"/>
      <c r="Y39" s="61"/>
      <c r="Z39" s="61"/>
      <c r="AA39" s="61"/>
      <c r="AB39" s="61"/>
      <c r="AC39" s="61"/>
      <c r="AD39" s="61"/>
      <c r="AE39" s="61">
        <f t="shared" si="27"/>
        <v>0</v>
      </c>
      <c r="AF39" s="61"/>
      <c r="AG39" s="61"/>
      <c r="AH39" s="61"/>
      <c r="AI39" s="61"/>
      <c r="AJ39" s="61">
        <f>D39-BL39</f>
        <v>0</v>
      </c>
      <c r="AK39" s="61"/>
      <c r="AL39" s="61"/>
      <c r="AM39" s="61"/>
      <c r="AN39" s="61"/>
      <c r="AO39" s="61"/>
      <c r="AP39" s="61"/>
      <c r="AQ39" s="61"/>
      <c r="AR39" s="61"/>
      <c r="AS39" s="61"/>
      <c r="AT39" s="61"/>
      <c r="AU39" s="61"/>
      <c r="AV39" s="61"/>
      <c r="AW39" s="61"/>
      <c r="AX39" s="61"/>
      <c r="AY39" s="61"/>
      <c r="AZ39" s="61"/>
      <c r="BA39" s="61"/>
      <c r="BB39" s="61"/>
      <c r="BC39" s="61"/>
      <c r="BD39" s="61"/>
      <c r="BE39" s="61"/>
      <c r="BF39" s="61"/>
      <c r="BG39" s="61"/>
      <c r="BH39" s="61">
        <f t="shared" si="22"/>
        <v>0</v>
      </c>
      <c r="BI39" s="61"/>
      <c r="BJ39" s="61"/>
      <c r="BK39" s="61"/>
      <c r="BL39" s="61">
        <f>E39+W39+X39+Y39+Z39+AA39+AB39+AC39+AD39+AQ39+AR39+AS39+AT39+AU39+AV39+AW39+AX39+AY39+AZ39+BA39+BB39+BC39+BD39+BE39+BF39+BG39+BH39+AF39+AG39+AH39+AI39+AK39+AL39+AM39+AN39+AO39+AP39</f>
        <v>0</v>
      </c>
      <c r="BM39" s="61">
        <f>AJ67-BL39</f>
        <v>0</v>
      </c>
      <c r="BN39" s="61">
        <f t="shared" si="28"/>
        <v>0</v>
      </c>
      <c r="BP39" s="117"/>
    </row>
    <row r="40" spans="1:68" ht="20.100000000000001" customHeight="1">
      <c r="A40" s="5" t="s">
        <v>229</v>
      </c>
      <c r="B40" s="72" t="s">
        <v>483</v>
      </c>
      <c r="C40" s="48" t="s">
        <v>207</v>
      </c>
      <c r="D40" s="61"/>
      <c r="E40" s="61">
        <f t="shared" si="4"/>
        <v>0</v>
      </c>
      <c r="F40" s="61">
        <f t="shared" si="21"/>
        <v>0</v>
      </c>
      <c r="G40" s="61">
        <f t="shared" si="8"/>
        <v>0</v>
      </c>
      <c r="H40" s="61">
        <f t="shared" si="12"/>
        <v>0</v>
      </c>
      <c r="I40" s="61"/>
      <c r="J40" s="61"/>
      <c r="K40" s="61"/>
      <c r="L40" s="61"/>
      <c r="M40" s="61"/>
      <c r="N40" s="61"/>
      <c r="O40" s="61"/>
      <c r="P40" s="61"/>
      <c r="Q40" s="61"/>
      <c r="R40" s="61"/>
      <c r="S40" s="61"/>
      <c r="T40" s="61"/>
      <c r="U40" s="61"/>
      <c r="V40" s="61">
        <f t="shared" si="13"/>
        <v>0</v>
      </c>
      <c r="W40" s="61"/>
      <c r="X40" s="61"/>
      <c r="Y40" s="61"/>
      <c r="Z40" s="61"/>
      <c r="AA40" s="61"/>
      <c r="AB40" s="61"/>
      <c r="AC40" s="61"/>
      <c r="AD40" s="61"/>
      <c r="AE40" s="61">
        <f t="shared" si="27"/>
        <v>0</v>
      </c>
      <c r="AF40" s="61"/>
      <c r="AG40" s="61"/>
      <c r="AH40" s="61"/>
      <c r="AI40" s="61"/>
      <c r="AJ40" s="61"/>
      <c r="AK40" s="61">
        <f>D40-BL40</f>
        <v>0</v>
      </c>
      <c r="AL40" s="61"/>
      <c r="AM40" s="61"/>
      <c r="AN40" s="61"/>
      <c r="AO40" s="61"/>
      <c r="AP40" s="61"/>
      <c r="AQ40" s="61"/>
      <c r="AR40" s="61"/>
      <c r="AS40" s="61"/>
      <c r="AT40" s="61"/>
      <c r="AU40" s="61"/>
      <c r="AV40" s="61"/>
      <c r="AW40" s="61"/>
      <c r="AX40" s="61"/>
      <c r="AY40" s="61"/>
      <c r="AZ40" s="61"/>
      <c r="BA40" s="61"/>
      <c r="BB40" s="61"/>
      <c r="BC40" s="61"/>
      <c r="BD40" s="61"/>
      <c r="BE40" s="61"/>
      <c r="BF40" s="61"/>
      <c r="BG40" s="61"/>
      <c r="BH40" s="61">
        <f t="shared" si="22"/>
        <v>0</v>
      </c>
      <c r="BI40" s="61"/>
      <c r="BJ40" s="61"/>
      <c r="BK40" s="61"/>
      <c r="BL40" s="61">
        <f>E40+W40+X40+Y40+Z40+AA40+AB40+AC40+AD40+AF40+AG40+AH40+AI40+AJ40+AL40+AM40+AN40+AO40+AP40+AQ40+AR40+AS40+AT40+AU40+AV40+AW40+AX40+AY40+AZ40+BA40+BB40+BC40+BD40+BE40+BF40+BG40+BH40</f>
        <v>0</v>
      </c>
      <c r="BM40" s="61">
        <f>AK67-BL40</f>
        <v>0</v>
      </c>
      <c r="BN40" s="61">
        <f t="shared" si="28"/>
        <v>0</v>
      </c>
      <c r="BP40" s="117"/>
    </row>
    <row r="41" spans="1:68" ht="20.100000000000001" customHeight="1">
      <c r="A41" s="5" t="s">
        <v>230</v>
      </c>
      <c r="B41" s="72" t="s">
        <v>484</v>
      </c>
      <c r="C41" s="48" t="s">
        <v>199</v>
      </c>
      <c r="D41" s="739">
        <v>105.35</v>
      </c>
      <c r="E41" s="61">
        <f t="shared" si="4"/>
        <v>0</v>
      </c>
      <c r="F41" s="61">
        <f t="shared" si="21"/>
        <v>0</v>
      </c>
      <c r="G41" s="61">
        <f t="shared" si="8"/>
        <v>0</v>
      </c>
      <c r="H41" s="61">
        <f t="shared" si="12"/>
        <v>0</v>
      </c>
      <c r="I41" s="61"/>
      <c r="J41" s="61"/>
      <c r="K41" s="61"/>
      <c r="L41" s="61"/>
      <c r="M41" s="61"/>
      <c r="N41" s="61"/>
      <c r="O41" s="61"/>
      <c r="P41" s="61"/>
      <c r="Q41" s="61"/>
      <c r="R41" s="61"/>
      <c r="S41" s="61"/>
      <c r="T41" s="61"/>
      <c r="U41" s="61"/>
      <c r="V41" s="61">
        <f t="shared" si="13"/>
        <v>105.35</v>
      </c>
      <c r="W41" s="61"/>
      <c r="X41" s="61"/>
      <c r="Y41" s="61"/>
      <c r="Z41" s="61"/>
      <c r="AA41" s="61"/>
      <c r="AB41" s="61"/>
      <c r="AC41" s="61"/>
      <c r="AD41" s="61"/>
      <c r="AE41" s="61">
        <f t="shared" si="27"/>
        <v>105.33</v>
      </c>
      <c r="AF41" s="61"/>
      <c r="AG41" s="61"/>
      <c r="AH41" s="61"/>
      <c r="AI41" s="61"/>
      <c r="AJ41" s="61"/>
      <c r="AK41" s="61"/>
      <c r="AL41" s="61">
        <f>D41-BL41</f>
        <v>105.33</v>
      </c>
      <c r="AM41" s="61"/>
      <c r="AN41" s="61"/>
      <c r="AO41" s="61"/>
      <c r="AP41" s="61"/>
      <c r="AQ41" s="61"/>
      <c r="AR41" s="61"/>
      <c r="AS41" s="61"/>
      <c r="AT41" s="61">
        <v>0.02</v>
      </c>
      <c r="AU41" s="61"/>
      <c r="AV41" s="61"/>
      <c r="AW41" s="61"/>
      <c r="AX41" s="61"/>
      <c r="AY41" s="61"/>
      <c r="AZ41" s="61"/>
      <c r="BA41" s="61"/>
      <c r="BB41" s="61"/>
      <c r="BC41" s="61"/>
      <c r="BD41" s="61"/>
      <c r="BE41" s="61"/>
      <c r="BF41" s="61"/>
      <c r="BG41" s="61"/>
      <c r="BH41" s="61">
        <f t="shared" si="22"/>
        <v>0</v>
      </c>
      <c r="BI41" s="61"/>
      <c r="BJ41" s="61"/>
      <c r="BK41" s="61"/>
      <c r="BL41" s="61">
        <f>E41+W41+X41+Y41+Z41+AA41+AB41+AC41+AD41+AF41+AG41+AH41+AI41+AJ41+AK41+AM41+AN41+AO41+AP41+AQ41+AR41+AS41+AT41+AU41+AV41+AW41+AX41+AY41+AZ41+BA41+BB41+BC41+BD41+BE41+BF41+BG41+BH41</f>
        <v>0.02</v>
      </c>
      <c r="BM41" s="61">
        <f>AL67-BL41</f>
        <v>7.7100000000000009</v>
      </c>
      <c r="BN41" s="61">
        <f t="shared" si="28"/>
        <v>113.06</v>
      </c>
      <c r="BP41" s="117"/>
    </row>
    <row r="42" spans="1:68" ht="20.100000000000001" customHeight="1">
      <c r="A42" s="5" t="s">
        <v>231</v>
      </c>
      <c r="B42" s="72" t="s">
        <v>485</v>
      </c>
      <c r="C42" s="48" t="s">
        <v>200</v>
      </c>
      <c r="D42" s="61">
        <f>#REF!</f>
        <v>52.164999999999999</v>
      </c>
      <c r="E42" s="61">
        <f t="shared" si="4"/>
        <v>0</v>
      </c>
      <c r="F42" s="61">
        <f t="shared" si="21"/>
        <v>0</v>
      </c>
      <c r="G42" s="61">
        <f t="shared" si="8"/>
        <v>0</v>
      </c>
      <c r="H42" s="61">
        <f t="shared" si="12"/>
        <v>0</v>
      </c>
      <c r="I42" s="61"/>
      <c r="J42" s="61"/>
      <c r="K42" s="61"/>
      <c r="L42" s="61"/>
      <c r="M42" s="61"/>
      <c r="N42" s="61"/>
      <c r="O42" s="61"/>
      <c r="P42" s="61"/>
      <c r="Q42" s="61"/>
      <c r="R42" s="61"/>
      <c r="S42" s="61"/>
      <c r="T42" s="61"/>
      <c r="U42" s="61"/>
      <c r="V42" s="61">
        <f t="shared" si="13"/>
        <v>52.164999999999999</v>
      </c>
      <c r="W42" s="61"/>
      <c r="X42" s="61"/>
      <c r="Y42" s="61"/>
      <c r="Z42" s="61"/>
      <c r="AA42" s="61"/>
      <c r="AB42" s="61"/>
      <c r="AC42" s="61"/>
      <c r="AD42" s="61"/>
      <c r="AE42" s="61">
        <f t="shared" si="27"/>
        <v>52.164999999999999</v>
      </c>
      <c r="AF42" s="61"/>
      <c r="AG42" s="61"/>
      <c r="AH42" s="61"/>
      <c r="AI42" s="61"/>
      <c r="AJ42" s="61"/>
      <c r="AK42" s="61"/>
      <c r="AL42" s="61">
        <v>0.53</v>
      </c>
      <c r="AM42" s="61">
        <f>D42-BL42</f>
        <v>51.634999999999998</v>
      </c>
      <c r="AN42" s="61"/>
      <c r="AO42" s="61"/>
      <c r="AP42" s="61"/>
      <c r="AQ42" s="61"/>
      <c r="AR42" s="61"/>
      <c r="AS42" s="61"/>
      <c r="AT42" s="61"/>
      <c r="AU42" s="61"/>
      <c r="AV42" s="61"/>
      <c r="AW42" s="61"/>
      <c r="AX42" s="61"/>
      <c r="AY42" s="61"/>
      <c r="AZ42" s="61"/>
      <c r="BA42" s="61"/>
      <c r="BB42" s="61"/>
      <c r="BC42" s="61"/>
      <c r="BD42" s="61"/>
      <c r="BE42" s="61"/>
      <c r="BF42" s="61"/>
      <c r="BG42" s="61"/>
      <c r="BH42" s="61">
        <f t="shared" si="22"/>
        <v>0</v>
      </c>
      <c r="BI42" s="61"/>
      <c r="BJ42" s="61"/>
      <c r="BK42" s="61"/>
      <c r="BL42" s="61">
        <f>E42+W42+X42+Y42+Z42+AA42+AB42+AC42+AD42+AF42+AG42+AH42+AI42+AJ42+AK42+AL42+AN42+AO42+AP42+AQ42+AR42+AS42+AT42+AU42+AV42+AW42+AX42+AY42+AZ42+BA42+BB42+BC42+BD42+BE42+BF42+BG42+BH42</f>
        <v>0.53</v>
      </c>
      <c r="BM42" s="61">
        <f>AM67-BL42</f>
        <v>-4.9999999999999989E-2</v>
      </c>
      <c r="BN42" s="61">
        <f t="shared" si="28"/>
        <v>52.115000000000002</v>
      </c>
      <c r="BP42" s="117"/>
    </row>
    <row r="43" spans="1:68" ht="20.100000000000001" customHeight="1">
      <c r="A43" s="5" t="s">
        <v>232</v>
      </c>
      <c r="B43" s="72" t="s">
        <v>486</v>
      </c>
      <c r="C43" s="48" t="s">
        <v>223</v>
      </c>
      <c r="D43" s="61">
        <f>#REF!</f>
        <v>0.62</v>
      </c>
      <c r="E43" s="61">
        <f t="shared" si="4"/>
        <v>0</v>
      </c>
      <c r="F43" s="61">
        <f t="shared" si="21"/>
        <v>0</v>
      </c>
      <c r="G43" s="61">
        <f t="shared" si="8"/>
        <v>0</v>
      </c>
      <c r="H43" s="61">
        <f t="shared" si="12"/>
        <v>0</v>
      </c>
      <c r="I43" s="61"/>
      <c r="J43" s="61"/>
      <c r="K43" s="61"/>
      <c r="L43" s="61"/>
      <c r="M43" s="61"/>
      <c r="N43" s="61"/>
      <c r="O43" s="61"/>
      <c r="P43" s="61"/>
      <c r="Q43" s="61"/>
      <c r="R43" s="61"/>
      <c r="S43" s="61"/>
      <c r="T43" s="61"/>
      <c r="U43" s="61"/>
      <c r="V43" s="61">
        <f t="shared" si="13"/>
        <v>0.62</v>
      </c>
      <c r="W43" s="61"/>
      <c r="X43" s="61"/>
      <c r="Y43" s="61"/>
      <c r="Z43" s="61"/>
      <c r="AA43" s="61"/>
      <c r="AB43" s="61"/>
      <c r="AC43" s="61"/>
      <c r="AD43" s="61"/>
      <c r="AE43" s="61">
        <f t="shared" si="27"/>
        <v>0.62</v>
      </c>
      <c r="AF43" s="61"/>
      <c r="AG43" s="61"/>
      <c r="AH43" s="61"/>
      <c r="AI43" s="61"/>
      <c r="AJ43" s="61"/>
      <c r="AK43" s="61"/>
      <c r="AL43" s="61"/>
      <c r="AM43" s="61"/>
      <c r="AN43" s="61">
        <f>D43-BL43</f>
        <v>0.62</v>
      </c>
      <c r="AO43" s="61"/>
      <c r="AP43" s="61"/>
      <c r="AQ43" s="61"/>
      <c r="AR43" s="61"/>
      <c r="AS43" s="61"/>
      <c r="AT43" s="61"/>
      <c r="AU43" s="61"/>
      <c r="AV43" s="61"/>
      <c r="AW43" s="61"/>
      <c r="AX43" s="61"/>
      <c r="AY43" s="61"/>
      <c r="AZ43" s="61"/>
      <c r="BA43" s="61"/>
      <c r="BB43" s="61"/>
      <c r="BC43" s="61"/>
      <c r="BD43" s="61"/>
      <c r="BE43" s="61"/>
      <c r="BF43" s="61"/>
      <c r="BG43" s="61"/>
      <c r="BH43" s="61">
        <f t="shared" si="22"/>
        <v>0</v>
      </c>
      <c r="BI43" s="61"/>
      <c r="BJ43" s="61"/>
      <c r="BK43" s="61"/>
      <c r="BL43" s="61">
        <f>E43+W43+X43+Y43+Z43+AA43+AB43+AC43+AD43+AF43+AG43+AH43+AI43+AJ43+AK43+AL43+AM43+AO43+AP43+AQ43+AR43+AS43+AT43+AU43+AV43+AW43+AX43+AY43+AZ43+BA43+BB43+BC43+BD43+BE43+BF43+BG43+BH43</f>
        <v>0</v>
      </c>
      <c r="BM43" s="61">
        <f>AN67-BL43</f>
        <v>0</v>
      </c>
      <c r="BN43" s="61">
        <f t="shared" si="28"/>
        <v>0.62</v>
      </c>
      <c r="BP43" s="117"/>
    </row>
    <row r="44" spans="1:68" ht="20.100000000000001" customHeight="1">
      <c r="A44" s="5" t="s">
        <v>233</v>
      </c>
      <c r="B44" s="72" t="s">
        <v>487</v>
      </c>
      <c r="C44" s="48" t="s">
        <v>201</v>
      </c>
      <c r="D44" s="61">
        <f>#REF!</f>
        <v>0.11</v>
      </c>
      <c r="E44" s="61">
        <f t="shared" si="4"/>
        <v>0</v>
      </c>
      <c r="F44" s="61">
        <f t="shared" si="21"/>
        <v>0</v>
      </c>
      <c r="G44" s="61">
        <f t="shared" si="8"/>
        <v>0</v>
      </c>
      <c r="H44" s="61">
        <f t="shared" si="12"/>
        <v>0</v>
      </c>
      <c r="I44" s="61"/>
      <c r="J44" s="61"/>
      <c r="K44" s="61"/>
      <c r="L44" s="61"/>
      <c r="M44" s="61"/>
      <c r="N44" s="61"/>
      <c r="O44" s="61"/>
      <c r="P44" s="61"/>
      <c r="Q44" s="61"/>
      <c r="R44" s="61"/>
      <c r="S44" s="61"/>
      <c r="T44" s="61"/>
      <c r="U44" s="61"/>
      <c r="V44" s="61">
        <f t="shared" si="13"/>
        <v>0.11</v>
      </c>
      <c r="W44" s="61"/>
      <c r="X44" s="61"/>
      <c r="Y44" s="61"/>
      <c r="Z44" s="61"/>
      <c r="AA44" s="61"/>
      <c r="AB44" s="61"/>
      <c r="AC44" s="61"/>
      <c r="AD44" s="61"/>
      <c r="AE44" s="61">
        <f t="shared" si="27"/>
        <v>0.11</v>
      </c>
      <c r="AF44" s="61"/>
      <c r="AG44" s="61"/>
      <c r="AH44" s="61"/>
      <c r="AI44" s="61"/>
      <c r="AJ44" s="61"/>
      <c r="AK44" s="61"/>
      <c r="AL44" s="61"/>
      <c r="AM44" s="61"/>
      <c r="AN44" s="61"/>
      <c r="AO44" s="61">
        <f>D44-BL44</f>
        <v>0.11</v>
      </c>
      <c r="AP44" s="61"/>
      <c r="AQ44" s="61"/>
      <c r="AR44" s="61"/>
      <c r="AS44" s="61"/>
      <c r="AT44" s="61"/>
      <c r="AU44" s="61"/>
      <c r="AV44" s="61"/>
      <c r="AW44" s="61"/>
      <c r="AX44" s="61"/>
      <c r="AY44" s="61"/>
      <c r="AZ44" s="61"/>
      <c r="BA44" s="61"/>
      <c r="BB44" s="61"/>
      <c r="BC44" s="61"/>
      <c r="BD44" s="61"/>
      <c r="BE44" s="61"/>
      <c r="BF44" s="61"/>
      <c r="BG44" s="61"/>
      <c r="BH44" s="61">
        <f t="shared" si="22"/>
        <v>0</v>
      </c>
      <c r="BI44" s="61"/>
      <c r="BJ44" s="61"/>
      <c r="BK44" s="61"/>
      <c r="BL44" s="61">
        <f>E44+W44+X44+Y44+Z44+AA44+AB44+AC44+AD44+AF44+AG44+AH44+AI44+AJ44+AK44+AL44+AM44+AN44+AP44+AQ44+AR44+AS44+AT44+AU44+AV44+AW44+AX44+AY44+AZ44+BA44+BB44+BC44+BD44+BE44+BF44+BG44+BH44</f>
        <v>0</v>
      </c>
      <c r="BM44" s="61">
        <f>AO67-BL44</f>
        <v>0</v>
      </c>
      <c r="BN44" s="61">
        <f t="shared" si="28"/>
        <v>0.11</v>
      </c>
      <c r="BP44" s="117"/>
    </row>
    <row r="45" spans="1:68" ht="20.100000000000001" customHeight="1">
      <c r="A45" s="5" t="s">
        <v>234</v>
      </c>
      <c r="B45" s="72" t="s">
        <v>488</v>
      </c>
      <c r="C45" s="48" t="s">
        <v>208</v>
      </c>
      <c r="D45" s="61">
        <f>#REF!</f>
        <v>3.45</v>
      </c>
      <c r="E45" s="61">
        <f t="shared" si="4"/>
        <v>0</v>
      </c>
      <c r="F45" s="61">
        <f t="shared" si="21"/>
        <v>0</v>
      </c>
      <c r="G45" s="61">
        <f t="shared" si="8"/>
        <v>0</v>
      </c>
      <c r="H45" s="61">
        <f t="shared" si="12"/>
        <v>0</v>
      </c>
      <c r="I45" s="61"/>
      <c r="J45" s="61"/>
      <c r="K45" s="61"/>
      <c r="L45" s="61"/>
      <c r="M45" s="61"/>
      <c r="N45" s="61"/>
      <c r="O45" s="61"/>
      <c r="P45" s="61"/>
      <c r="Q45" s="61"/>
      <c r="R45" s="61"/>
      <c r="S45" s="61"/>
      <c r="T45" s="61"/>
      <c r="U45" s="61"/>
      <c r="V45" s="61">
        <f t="shared" si="13"/>
        <v>3.45</v>
      </c>
      <c r="W45" s="61"/>
      <c r="X45" s="61"/>
      <c r="Y45" s="61"/>
      <c r="Z45" s="61"/>
      <c r="AA45" s="61"/>
      <c r="AB45" s="61"/>
      <c r="AC45" s="61"/>
      <c r="AD45" s="61"/>
      <c r="AE45" s="61">
        <f t="shared" si="27"/>
        <v>3.45</v>
      </c>
      <c r="AF45" s="61"/>
      <c r="AG45" s="61"/>
      <c r="AH45" s="61"/>
      <c r="AI45" s="61"/>
      <c r="AJ45" s="61"/>
      <c r="AK45" s="61"/>
      <c r="AL45" s="61"/>
      <c r="AM45" s="61"/>
      <c r="AN45" s="61"/>
      <c r="AO45" s="61"/>
      <c r="AP45" s="61">
        <f>D45-BL45</f>
        <v>3.45</v>
      </c>
      <c r="AQ45" s="61"/>
      <c r="AR45" s="61"/>
      <c r="AS45" s="61"/>
      <c r="AT45" s="61"/>
      <c r="AU45" s="61"/>
      <c r="AV45" s="61"/>
      <c r="AW45" s="61"/>
      <c r="AX45" s="61"/>
      <c r="AY45" s="61"/>
      <c r="AZ45" s="61"/>
      <c r="BA45" s="61"/>
      <c r="BB45" s="61"/>
      <c r="BC45" s="61"/>
      <c r="BD45" s="61"/>
      <c r="BE45" s="61"/>
      <c r="BF45" s="61"/>
      <c r="BG45" s="61"/>
      <c r="BH45" s="61">
        <f t="shared" si="22"/>
        <v>0</v>
      </c>
      <c r="BI45" s="61"/>
      <c r="BJ45" s="61"/>
      <c r="BK45" s="61"/>
      <c r="BL45" s="61">
        <f>E45+W45+X45+Y45+Z45+AA45+AB45+AC45+AD45+AF45+AG45+AH45+AI45+AJ45+AK45+AL45+AM45+AN45+AO45+AQ45+AR45+AS45+AT45+AU45+AV45+AW45+AX45+AY45+AZ45+BA45+BB45+BC45+BD45+BE45+BF45+BG45+BH45</f>
        <v>0</v>
      </c>
      <c r="BM45" s="61">
        <f>AP67-BL45</f>
        <v>2.9</v>
      </c>
      <c r="BN45" s="61">
        <f t="shared" si="28"/>
        <v>6.35</v>
      </c>
      <c r="BP45" s="117"/>
    </row>
    <row r="46" spans="1:68" ht="20.100000000000001" customHeight="1">
      <c r="A46" s="20" t="s">
        <v>73</v>
      </c>
      <c r="B46" s="110" t="s">
        <v>74</v>
      </c>
      <c r="C46" s="48" t="s">
        <v>75</v>
      </c>
      <c r="D46" s="61"/>
      <c r="E46" s="61">
        <f t="shared" si="4"/>
        <v>0</v>
      </c>
      <c r="F46" s="61">
        <f t="shared" si="21"/>
        <v>0</v>
      </c>
      <c r="G46" s="61">
        <f t="shared" si="8"/>
        <v>0</v>
      </c>
      <c r="H46" s="61">
        <f t="shared" si="12"/>
        <v>0</v>
      </c>
      <c r="I46" s="61"/>
      <c r="J46" s="61"/>
      <c r="K46" s="61"/>
      <c r="L46" s="61"/>
      <c r="M46" s="61"/>
      <c r="N46" s="61"/>
      <c r="O46" s="61"/>
      <c r="P46" s="61"/>
      <c r="Q46" s="61"/>
      <c r="R46" s="61"/>
      <c r="S46" s="61"/>
      <c r="T46" s="61"/>
      <c r="U46" s="61"/>
      <c r="V46" s="61">
        <f t="shared" si="13"/>
        <v>0</v>
      </c>
      <c r="W46" s="61"/>
      <c r="X46" s="61"/>
      <c r="Y46" s="61"/>
      <c r="Z46" s="61"/>
      <c r="AA46" s="61"/>
      <c r="AB46" s="61"/>
      <c r="AC46" s="61"/>
      <c r="AD46" s="61"/>
      <c r="AE46" s="61">
        <f t="shared" si="27"/>
        <v>0</v>
      </c>
      <c r="AF46" s="61"/>
      <c r="AG46" s="61"/>
      <c r="AH46" s="61"/>
      <c r="AI46" s="61"/>
      <c r="AJ46" s="61"/>
      <c r="AK46" s="61"/>
      <c r="AL46" s="61"/>
      <c r="AM46" s="61"/>
      <c r="AN46" s="61"/>
      <c r="AO46" s="61"/>
      <c r="AP46" s="61"/>
      <c r="AQ46" s="61">
        <f>D46-BL46</f>
        <v>0</v>
      </c>
      <c r="AR46" s="61"/>
      <c r="AS46" s="61"/>
      <c r="AT46" s="61"/>
      <c r="AU46" s="61"/>
      <c r="AV46" s="61"/>
      <c r="AW46" s="61"/>
      <c r="AX46" s="61"/>
      <c r="AY46" s="61"/>
      <c r="AZ46" s="61"/>
      <c r="BA46" s="61"/>
      <c r="BB46" s="61"/>
      <c r="BC46" s="61"/>
      <c r="BD46" s="61"/>
      <c r="BE46" s="61"/>
      <c r="BF46" s="61"/>
      <c r="BG46" s="61"/>
      <c r="BH46" s="61">
        <f t="shared" si="22"/>
        <v>0</v>
      </c>
      <c r="BI46" s="61"/>
      <c r="BJ46" s="61"/>
      <c r="BK46" s="61"/>
      <c r="BL46" s="61">
        <f>E46+W46+X46+Y46+Z46+AA46+AB46+AC46+AD46+AE46+AR46+AS46+AT46+AU46+AV46+AW46+AX46+AY46+AZ46+BA46+BB46+BC46+BD46+BE46+BF46+BG46+BH46</f>
        <v>0</v>
      </c>
      <c r="BM46" s="61">
        <f>AQ67-BL46</f>
        <v>0</v>
      </c>
      <c r="BN46" s="61">
        <f>D46+BM46</f>
        <v>0</v>
      </c>
      <c r="BP46" s="117"/>
    </row>
    <row r="47" spans="1:68" ht="20.100000000000001" customHeight="1">
      <c r="A47" s="20" t="s">
        <v>76</v>
      </c>
      <c r="B47" s="110" t="s">
        <v>77</v>
      </c>
      <c r="C47" s="48" t="s">
        <v>78</v>
      </c>
      <c r="D47" s="61"/>
      <c r="E47" s="61">
        <f t="shared" si="4"/>
        <v>0</v>
      </c>
      <c r="F47" s="61">
        <f t="shared" si="21"/>
        <v>0</v>
      </c>
      <c r="G47" s="61">
        <f t="shared" si="8"/>
        <v>0</v>
      </c>
      <c r="H47" s="61">
        <f t="shared" si="12"/>
        <v>0</v>
      </c>
      <c r="I47" s="61"/>
      <c r="J47" s="61"/>
      <c r="K47" s="61"/>
      <c r="L47" s="61"/>
      <c r="M47" s="61"/>
      <c r="N47" s="61"/>
      <c r="O47" s="61"/>
      <c r="P47" s="61"/>
      <c r="Q47" s="61"/>
      <c r="R47" s="61"/>
      <c r="S47" s="61"/>
      <c r="T47" s="61"/>
      <c r="U47" s="61"/>
      <c r="V47" s="61">
        <f t="shared" si="13"/>
        <v>0</v>
      </c>
      <c r="W47" s="61"/>
      <c r="X47" s="61"/>
      <c r="Y47" s="61"/>
      <c r="Z47" s="61"/>
      <c r="AA47" s="61"/>
      <c r="AB47" s="61"/>
      <c r="AC47" s="61"/>
      <c r="AD47" s="61"/>
      <c r="AE47" s="61">
        <f t="shared" si="27"/>
        <v>0</v>
      </c>
      <c r="AF47" s="61"/>
      <c r="AG47" s="61"/>
      <c r="AH47" s="61"/>
      <c r="AI47" s="61"/>
      <c r="AJ47" s="61"/>
      <c r="AK47" s="61"/>
      <c r="AL47" s="61"/>
      <c r="AM47" s="61"/>
      <c r="AN47" s="61"/>
      <c r="AO47" s="61"/>
      <c r="AP47" s="61"/>
      <c r="AQ47" s="61"/>
      <c r="AR47" s="61">
        <f>D47-BL47</f>
        <v>0</v>
      </c>
      <c r="AS47" s="61"/>
      <c r="AT47" s="61"/>
      <c r="AU47" s="61"/>
      <c r="AV47" s="61"/>
      <c r="AW47" s="61"/>
      <c r="AX47" s="61"/>
      <c r="AY47" s="61"/>
      <c r="AZ47" s="61"/>
      <c r="BA47" s="61"/>
      <c r="BB47" s="61"/>
      <c r="BC47" s="61"/>
      <c r="BD47" s="61"/>
      <c r="BE47" s="61"/>
      <c r="BF47" s="61"/>
      <c r="BG47" s="61"/>
      <c r="BH47" s="61">
        <f t="shared" si="22"/>
        <v>0</v>
      </c>
      <c r="BI47" s="61"/>
      <c r="BJ47" s="61"/>
      <c r="BK47" s="61"/>
      <c r="BL47" s="61">
        <f>E47+W47+X47+Y47+Z47+AA47+AB47+AC47+AD47+AE47+AQ47+AS47+AT47+AU47+AV47+AW47+AX47+AY47+AZ47+BA47+BB47+BC47+BD47+BE47+BF47+BG47+BH47</f>
        <v>0</v>
      </c>
      <c r="BM47" s="61">
        <f>AR67-BL47</f>
        <v>0</v>
      </c>
      <c r="BN47" s="61">
        <f t="shared" ref="BN47:BN62" si="29">D47+BM47</f>
        <v>0</v>
      </c>
      <c r="BP47" s="117"/>
    </row>
    <row r="48" spans="1:68" ht="20.100000000000001" customHeight="1">
      <c r="A48" s="20" t="s">
        <v>79</v>
      </c>
      <c r="B48" s="110" t="s">
        <v>80</v>
      </c>
      <c r="C48" s="48" t="s">
        <v>81</v>
      </c>
      <c r="D48" s="61"/>
      <c r="E48" s="61">
        <f t="shared" si="4"/>
        <v>0</v>
      </c>
      <c r="F48" s="61">
        <f t="shared" si="21"/>
        <v>0</v>
      </c>
      <c r="G48" s="61">
        <f t="shared" si="8"/>
        <v>0</v>
      </c>
      <c r="H48" s="61">
        <f t="shared" si="12"/>
        <v>0</v>
      </c>
      <c r="I48" s="61"/>
      <c r="J48" s="61"/>
      <c r="K48" s="61"/>
      <c r="L48" s="61"/>
      <c r="M48" s="61"/>
      <c r="N48" s="61"/>
      <c r="O48" s="61"/>
      <c r="P48" s="61"/>
      <c r="Q48" s="61"/>
      <c r="R48" s="61"/>
      <c r="S48" s="61"/>
      <c r="T48" s="61"/>
      <c r="U48" s="61"/>
      <c r="V48" s="61">
        <f t="shared" si="13"/>
        <v>0</v>
      </c>
      <c r="W48" s="61"/>
      <c r="X48" s="61"/>
      <c r="Y48" s="61"/>
      <c r="Z48" s="61"/>
      <c r="AA48" s="61"/>
      <c r="AB48" s="61"/>
      <c r="AC48" s="61"/>
      <c r="AD48" s="61"/>
      <c r="AE48" s="61">
        <f t="shared" si="27"/>
        <v>0</v>
      </c>
      <c r="AF48" s="61"/>
      <c r="AG48" s="61"/>
      <c r="AH48" s="61"/>
      <c r="AI48" s="61"/>
      <c r="AJ48" s="61"/>
      <c r="AK48" s="61"/>
      <c r="AL48" s="61"/>
      <c r="AM48" s="61"/>
      <c r="AN48" s="61"/>
      <c r="AO48" s="61"/>
      <c r="AP48" s="61"/>
      <c r="AQ48" s="61"/>
      <c r="AR48" s="61"/>
      <c r="AS48" s="61">
        <f>D48-BL48</f>
        <v>0</v>
      </c>
      <c r="AT48" s="61"/>
      <c r="AU48" s="61"/>
      <c r="AV48" s="61"/>
      <c r="AW48" s="61"/>
      <c r="AX48" s="61"/>
      <c r="AY48" s="61"/>
      <c r="AZ48" s="61"/>
      <c r="BA48" s="61"/>
      <c r="BB48" s="61"/>
      <c r="BC48" s="61"/>
      <c r="BD48" s="61"/>
      <c r="BE48" s="61"/>
      <c r="BF48" s="61"/>
      <c r="BG48" s="61"/>
      <c r="BH48" s="61">
        <f t="shared" si="22"/>
        <v>0</v>
      </c>
      <c r="BI48" s="61"/>
      <c r="BJ48" s="61"/>
      <c r="BK48" s="61"/>
      <c r="BL48" s="61">
        <f>E48+W48+X48+Y48+Z48+AA48+AB48+AC48+AD48+AQ48+AR48+AT48+AU48+AV48+AW48+AX48+AY48+AZ48+BA48+BB48+BC48+BD48+BE48+BF48+BG48+BH48</f>
        <v>0</v>
      </c>
      <c r="BM48" s="61">
        <f>AS67-BL48</f>
        <v>1.29</v>
      </c>
      <c r="BN48" s="61">
        <f t="shared" si="29"/>
        <v>1.29</v>
      </c>
      <c r="BP48" s="117"/>
    </row>
    <row r="49" spans="1:68" ht="20.100000000000001" customHeight="1">
      <c r="A49" s="20" t="s">
        <v>82</v>
      </c>
      <c r="B49" s="110" t="s">
        <v>83</v>
      </c>
      <c r="C49" s="48" t="s">
        <v>84</v>
      </c>
      <c r="D49" s="61">
        <f>#REF!</f>
        <v>56.76</v>
      </c>
      <c r="E49" s="61">
        <f t="shared" si="4"/>
        <v>0</v>
      </c>
      <c r="F49" s="61">
        <f t="shared" si="21"/>
        <v>0</v>
      </c>
      <c r="G49" s="61">
        <f t="shared" si="8"/>
        <v>0</v>
      </c>
      <c r="H49" s="61">
        <f t="shared" si="12"/>
        <v>0</v>
      </c>
      <c r="I49" s="61"/>
      <c r="J49" s="61"/>
      <c r="K49" s="61"/>
      <c r="L49" s="61"/>
      <c r="M49" s="61"/>
      <c r="N49" s="61"/>
      <c r="O49" s="61"/>
      <c r="P49" s="61"/>
      <c r="Q49" s="61"/>
      <c r="R49" s="61"/>
      <c r="S49" s="61"/>
      <c r="T49" s="61"/>
      <c r="U49" s="61"/>
      <c r="V49" s="61">
        <f t="shared" si="13"/>
        <v>56.76</v>
      </c>
      <c r="W49" s="61"/>
      <c r="X49" s="61"/>
      <c r="Y49" s="61"/>
      <c r="Z49" s="61"/>
      <c r="AA49" s="61"/>
      <c r="AB49" s="61"/>
      <c r="AC49" s="61"/>
      <c r="AD49" s="61"/>
      <c r="AE49" s="61">
        <f t="shared" si="27"/>
        <v>0</v>
      </c>
      <c r="AF49" s="61"/>
      <c r="AG49" s="61"/>
      <c r="AH49" s="61"/>
      <c r="AI49" s="61"/>
      <c r="AJ49" s="61"/>
      <c r="AK49" s="61"/>
      <c r="AL49" s="61"/>
      <c r="AM49" s="61"/>
      <c r="AN49" s="61"/>
      <c r="AO49" s="61"/>
      <c r="AP49" s="61"/>
      <c r="AQ49" s="61"/>
      <c r="AR49" s="61"/>
      <c r="AS49" s="61"/>
      <c r="AT49" s="61">
        <f>D49-BL49</f>
        <v>56.76</v>
      </c>
      <c r="AU49" s="61"/>
      <c r="AV49" s="61"/>
      <c r="AW49" s="61"/>
      <c r="AX49" s="61"/>
      <c r="AY49" s="61"/>
      <c r="AZ49" s="61"/>
      <c r="BA49" s="61"/>
      <c r="BB49" s="61"/>
      <c r="BC49" s="61"/>
      <c r="BD49" s="61"/>
      <c r="BE49" s="61"/>
      <c r="BF49" s="61"/>
      <c r="BG49" s="61"/>
      <c r="BH49" s="61">
        <f t="shared" si="22"/>
        <v>0</v>
      </c>
      <c r="BI49" s="61"/>
      <c r="BJ49" s="61"/>
      <c r="BK49" s="61"/>
      <c r="BL49" s="61">
        <f>E49+W49+X49+Y49+Z49+AA49+AB49+AC49+AD49+AE49+AQ49+AR49+AS49+AU49+AV49+AW49+AX49+AY49+AZ49+BA49+BB49+BC49+BD49+BE49+BF49+BG49+BH49</f>
        <v>0</v>
      </c>
      <c r="BM49" s="61">
        <f>AT67-BL49</f>
        <v>1.82</v>
      </c>
      <c r="BN49" s="61">
        <f t="shared" si="29"/>
        <v>58.58</v>
      </c>
      <c r="BP49" s="117"/>
    </row>
    <row r="50" spans="1:68" ht="20.100000000000001" customHeight="1">
      <c r="A50" s="20" t="s">
        <v>85</v>
      </c>
      <c r="B50" s="110" t="s">
        <v>86</v>
      </c>
      <c r="C50" s="48" t="s">
        <v>87</v>
      </c>
      <c r="D50" s="61"/>
      <c r="E50" s="61">
        <f t="shared" si="4"/>
        <v>0</v>
      </c>
      <c r="F50" s="61">
        <f t="shared" si="21"/>
        <v>0</v>
      </c>
      <c r="G50" s="61">
        <f t="shared" si="8"/>
        <v>0</v>
      </c>
      <c r="H50" s="61">
        <f t="shared" si="12"/>
        <v>0</v>
      </c>
      <c r="I50" s="61"/>
      <c r="J50" s="61"/>
      <c r="K50" s="61"/>
      <c r="L50" s="61"/>
      <c r="M50" s="61"/>
      <c r="N50" s="61"/>
      <c r="O50" s="61"/>
      <c r="P50" s="61"/>
      <c r="Q50" s="61"/>
      <c r="R50" s="61"/>
      <c r="S50" s="61"/>
      <c r="T50" s="61"/>
      <c r="U50" s="61"/>
      <c r="V50" s="61">
        <f t="shared" si="13"/>
        <v>0</v>
      </c>
      <c r="W50" s="61"/>
      <c r="X50" s="61"/>
      <c r="Y50" s="61"/>
      <c r="Z50" s="61"/>
      <c r="AA50" s="61"/>
      <c r="AB50" s="61"/>
      <c r="AC50" s="61"/>
      <c r="AD50" s="61"/>
      <c r="AE50" s="61">
        <f t="shared" si="27"/>
        <v>0</v>
      </c>
      <c r="AF50" s="61"/>
      <c r="AG50" s="61"/>
      <c r="AH50" s="61"/>
      <c r="AI50" s="61"/>
      <c r="AJ50" s="61"/>
      <c r="AK50" s="61"/>
      <c r="AL50" s="61"/>
      <c r="AM50" s="61"/>
      <c r="AN50" s="61"/>
      <c r="AO50" s="61"/>
      <c r="AP50" s="61"/>
      <c r="AQ50" s="61"/>
      <c r="AR50" s="61"/>
      <c r="AS50" s="61"/>
      <c r="AT50" s="61"/>
      <c r="AU50" s="61">
        <f>D50-BL50</f>
        <v>0</v>
      </c>
      <c r="AV50" s="61"/>
      <c r="AW50" s="61"/>
      <c r="AX50" s="61"/>
      <c r="AY50" s="61"/>
      <c r="AZ50" s="61"/>
      <c r="BA50" s="61"/>
      <c r="BB50" s="61"/>
      <c r="BC50" s="61"/>
      <c r="BD50" s="61"/>
      <c r="BE50" s="61"/>
      <c r="BF50" s="61"/>
      <c r="BG50" s="61"/>
      <c r="BH50" s="61">
        <f t="shared" si="22"/>
        <v>0</v>
      </c>
      <c r="BI50" s="61"/>
      <c r="BJ50" s="61"/>
      <c r="BK50" s="61"/>
      <c r="BL50" s="61">
        <f>E50+W50+X50+Y50+Z50+AA50+AB50+AC50+AD50+AE50+AQ50+AR50+AS50+AT50+AV50+AW50+AX50+AY50+AZ50+BA50+BB50+BC50+BD50+BE50+BF50+BG50+BH50</f>
        <v>0</v>
      </c>
      <c r="BM50" s="61">
        <f>AU67-BL50</f>
        <v>0</v>
      </c>
      <c r="BN50" s="61">
        <f t="shared" si="29"/>
        <v>0</v>
      </c>
      <c r="BP50" s="117"/>
    </row>
    <row r="51" spans="1:68" ht="20.100000000000001" customHeight="1">
      <c r="A51" s="20" t="s">
        <v>88</v>
      </c>
      <c r="B51" s="110" t="s">
        <v>89</v>
      </c>
      <c r="C51" s="48" t="s">
        <v>90</v>
      </c>
      <c r="D51" s="61">
        <f>#REF!</f>
        <v>1.1100000000000001</v>
      </c>
      <c r="E51" s="61">
        <f t="shared" si="4"/>
        <v>0</v>
      </c>
      <c r="F51" s="61">
        <f t="shared" si="21"/>
        <v>0</v>
      </c>
      <c r="G51" s="61">
        <f t="shared" si="8"/>
        <v>0</v>
      </c>
      <c r="H51" s="61">
        <f t="shared" si="12"/>
        <v>0</v>
      </c>
      <c r="I51" s="61"/>
      <c r="J51" s="61"/>
      <c r="K51" s="61"/>
      <c r="L51" s="61"/>
      <c r="M51" s="61"/>
      <c r="N51" s="61"/>
      <c r="O51" s="61"/>
      <c r="P51" s="61"/>
      <c r="Q51" s="61"/>
      <c r="R51" s="61"/>
      <c r="S51" s="61"/>
      <c r="T51" s="61"/>
      <c r="U51" s="61"/>
      <c r="V51" s="61">
        <f t="shared" si="13"/>
        <v>1.1100000000000001</v>
      </c>
      <c r="W51" s="61"/>
      <c r="X51" s="61"/>
      <c r="Y51" s="61"/>
      <c r="Z51" s="61"/>
      <c r="AA51" s="61"/>
      <c r="AB51" s="61"/>
      <c r="AC51" s="61"/>
      <c r="AD51" s="61"/>
      <c r="AE51" s="61">
        <f t="shared" si="27"/>
        <v>0</v>
      </c>
      <c r="AF51" s="61"/>
      <c r="AG51" s="61"/>
      <c r="AH51" s="61"/>
      <c r="AI51" s="61"/>
      <c r="AJ51" s="61"/>
      <c r="AK51" s="61"/>
      <c r="AL51" s="61"/>
      <c r="AM51" s="61"/>
      <c r="AN51" s="61"/>
      <c r="AO51" s="61"/>
      <c r="AP51" s="61"/>
      <c r="AQ51" s="61"/>
      <c r="AR51" s="61"/>
      <c r="AS51" s="61"/>
      <c r="AT51" s="61"/>
      <c r="AU51" s="61"/>
      <c r="AV51" s="61">
        <f>D51-BL51</f>
        <v>1.1100000000000001</v>
      </c>
      <c r="AW51" s="61"/>
      <c r="AX51" s="61"/>
      <c r="AY51" s="61"/>
      <c r="AZ51" s="61"/>
      <c r="BA51" s="61"/>
      <c r="BB51" s="61"/>
      <c r="BC51" s="61"/>
      <c r="BD51" s="61"/>
      <c r="BE51" s="61"/>
      <c r="BF51" s="61"/>
      <c r="BG51" s="61"/>
      <c r="BH51" s="61">
        <f t="shared" si="22"/>
        <v>0</v>
      </c>
      <c r="BI51" s="61"/>
      <c r="BJ51" s="61"/>
      <c r="BK51" s="61"/>
      <c r="BL51" s="61">
        <f>E51+W51+X51+Y51+Z51+AA51+AB51+AC51+AD51+AE51+AQ51+AR51+AS51+AT51+AU51+AW51+AX51+AY51+AZ51+BA51+BB51+BC51+BD51+BE51+BF51+BG51+BH51</f>
        <v>0</v>
      </c>
      <c r="BM51" s="61">
        <f>AV67-BL51</f>
        <v>0</v>
      </c>
      <c r="BN51" s="61">
        <f t="shared" si="29"/>
        <v>1.1100000000000001</v>
      </c>
      <c r="BP51" s="117"/>
    </row>
    <row r="52" spans="1:68" ht="20.100000000000001" customHeight="1">
      <c r="A52" s="20" t="s">
        <v>91</v>
      </c>
      <c r="B52" s="110" t="s">
        <v>489</v>
      </c>
      <c r="C52" s="48" t="s">
        <v>93</v>
      </c>
      <c r="D52" s="61"/>
      <c r="E52" s="61">
        <f t="shared" si="4"/>
        <v>0</v>
      </c>
      <c r="F52" s="61">
        <f t="shared" si="21"/>
        <v>0</v>
      </c>
      <c r="G52" s="61">
        <f t="shared" si="8"/>
        <v>0</v>
      </c>
      <c r="H52" s="61">
        <f t="shared" si="12"/>
        <v>0</v>
      </c>
      <c r="I52" s="61"/>
      <c r="J52" s="61"/>
      <c r="K52" s="61"/>
      <c r="L52" s="61"/>
      <c r="M52" s="61"/>
      <c r="N52" s="61"/>
      <c r="O52" s="61"/>
      <c r="P52" s="61"/>
      <c r="Q52" s="61"/>
      <c r="R52" s="61"/>
      <c r="S52" s="61"/>
      <c r="T52" s="61"/>
      <c r="U52" s="61"/>
      <c r="V52" s="61">
        <f t="shared" si="13"/>
        <v>0</v>
      </c>
      <c r="W52" s="61"/>
      <c r="X52" s="61"/>
      <c r="Y52" s="61"/>
      <c r="Z52" s="61"/>
      <c r="AA52" s="61"/>
      <c r="AB52" s="61"/>
      <c r="AC52" s="61"/>
      <c r="AD52" s="61"/>
      <c r="AE52" s="61">
        <f t="shared" si="27"/>
        <v>0</v>
      </c>
      <c r="AF52" s="61"/>
      <c r="AG52" s="61"/>
      <c r="AH52" s="61"/>
      <c r="AI52" s="61"/>
      <c r="AJ52" s="61"/>
      <c r="AK52" s="61"/>
      <c r="AL52" s="61"/>
      <c r="AM52" s="61"/>
      <c r="AN52" s="61"/>
      <c r="AO52" s="61"/>
      <c r="AP52" s="61"/>
      <c r="AQ52" s="61"/>
      <c r="AR52" s="61"/>
      <c r="AS52" s="61"/>
      <c r="AT52" s="61"/>
      <c r="AU52" s="61"/>
      <c r="AV52" s="61"/>
      <c r="AW52" s="61">
        <f>D52-BL52</f>
        <v>0</v>
      </c>
      <c r="AX52" s="61"/>
      <c r="AY52" s="61"/>
      <c r="AZ52" s="61"/>
      <c r="BA52" s="61"/>
      <c r="BB52" s="61"/>
      <c r="BC52" s="61"/>
      <c r="BD52" s="61"/>
      <c r="BE52" s="61"/>
      <c r="BF52" s="61"/>
      <c r="BG52" s="61"/>
      <c r="BH52" s="61">
        <f t="shared" si="22"/>
        <v>0</v>
      </c>
      <c r="BI52" s="61"/>
      <c r="BJ52" s="61"/>
      <c r="BK52" s="61"/>
      <c r="BL52" s="61">
        <f>E52+W52+X52+Y52+Z52+AA52+AB52+AC52+AD52+AE52+AQ52+AR52+AS52+AT52+AU52+AV52+AX52+AY52+AZ52+BA52+BB52+BC52+BD52+BE52+BF52+BG52+BH52</f>
        <v>0</v>
      </c>
      <c r="BM52" s="61">
        <f>AW67-BL52</f>
        <v>0</v>
      </c>
      <c r="BN52" s="61">
        <f t="shared" si="29"/>
        <v>0</v>
      </c>
      <c r="BP52" s="117"/>
    </row>
    <row r="53" spans="1:68" ht="20.100000000000001" customHeight="1">
      <c r="A53" s="20" t="s">
        <v>94</v>
      </c>
      <c r="B53" s="110" t="s">
        <v>95</v>
      </c>
      <c r="C53" s="48" t="s">
        <v>96</v>
      </c>
      <c r="D53" s="61"/>
      <c r="E53" s="61">
        <f t="shared" si="4"/>
        <v>0</v>
      </c>
      <c r="F53" s="61">
        <f t="shared" si="21"/>
        <v>0</v>
      </c>
      <c r="G53" s="61">
        <f t="shared" si="8"/>
        <v>0</v>
      </c>
      <c r="H53" s="61">
        <f t="shared" si="12"/>
        <v>0</v>
      </c>
      <c r="I53" s="61"/>
      <c r="J53" s="61"/>
      <c r="K53" s="61"/>
      <c r="L53" s="61"/>
      <c r="M53" s="61"/>
      <c r="N53" s="61"/>
      <c r="O53" s="61"/>
      <c r="P53" s="61"/>
      <c r="Q53" s="61"/>
      <c r="R53" s="61"/>
      <c r="S53" s="61"/>
      <c r="T53" s="61"/>
      <c r="U53" s="61"/>
      <c r="V53" s="61">
        <f t="shared" si="13"/>
        <v>0</v>
      </c>
      <c r="W53" s="61"/>
      <c r="X53" s="61"/>
      <c r="Y53" s="61"/>
      <c r="Z53" s="61"/>
      <c r="AA53" s="61"/>
      <c r="AB53" s="61"/>
      <c r="AC53" s="61"/>
      <c r="AD53" s="61"/>
      <c r="AE53" s="61">
        <f t="shared" si="27"/>
        <v>0</v>
      </c>
      <c r="AF53" s="61"/>
      <c r="AG53" s="61"/>
      <c r="AH53" s="61"/>
      <c r="AI53" s="61"/>
      <c r="AJ53" s="61"/>
      <c r="AK53" s="61"/>
      <c r="AL53" s="61"/>
      <c r="AM53" s="61"/>
      <c r="AN53" s="61"/>
      <c r="AO53" s="61"/>
      <c r="AP53" s="61"/>
      <c r="AQ53" s="61"/>
      <c r="AR53" s="61"/>
      <c r="AS53" s="61"/>
      <c r="AT53" s="61"/>
      <c r="AU53" s="61"/>
      <c r="AV53" s="61"/>
      <c r="AW53" s="61"/>
      <c r="AX53" s="61">
        <f>D53-BL53</f>
        <v>0</v>
      </c>
      <c r="AY53" s="61"/>
      <c r="AZ53" s="61"/>
      <c r="BA53" s="61"/>
      <c r="BB53" s="61"/>
      <c r="BC53" s="61"/>
      <c r="BD53" s="61"/>
      <c r="BE53" s="61"/>
      <c r="BF53" s="61"/>
      <c r="BG53" s="61"/>
      <c r="BH53" s="61">
        <f t="shared" si="22"/>
        <v>0</v>
      </c>
      <c r="BI53" s="61"/>
      <c r="BJ53" s="61"/>
      <c r="BK53" s="61"/>
      <c r="BL53" s="61">
        <f>E53+W53+X53+Y53+Z53+AA53+AB53+AC53+AD53+AE53+AQ53+AR53+AS53+AT53+AU53+AV53+AW53+AY53+AZ53+BA53+BB53+BC53+BD53+BE53+BF53+BG53+BH53</f>
        <v>0</v>
      </c>
      <c r="BM53" s="61">
        <f>AX67-BL53</f>
        <v>0</v>
      </c>
      <c r="BN53" s="61">
        <f t="shared" si="29"/>
        <v>0</v>
      </c>
      <c r="BP53" s="117"/>
    </row>
    <row r="54" spans="1:68" ht="20.100000000000001" customHeight="1">
      <c r="A54" s="20" t="s">
        <v>97</v>
      </c>
      <c r="B54" s="110" t="s">
        <v>98</v>
      </c>
      <c r="C54" s="48" t="s">
        <v>99</v>
      </c>
      <c r="D54" s="61"/>
      <c r="E54" s="61">
        <f t="shared" si="4"/>
        <v>0</v>
      </c>
      <c r="F54" s="61">
        <f t="shared" si="21"/>
        <v>0</v>
      </c>
      <c r="G54" s="61">
        <f t="shared" si="8"/>
        <v>0</v>
      </c>
      <c r="H54" s="61">
        <f t="shared" si="12"/>
        <v>0</v>
      </c>
      <c r="I54" s="61"/>
      <c r="J54" s="61"/>
      <c r="K54" s="61"/>
      <c r="L54" s="61"/>
      <c r="M54" s="61"/>
      <c r="N54" s="61"/>
      <c r="O54" s="61"/>
      <c r="P54" s="61"/>
      <c r="Q54" s="61"/>
      <c r="R54" s="61"/>
      <c r="S54" s="61"/>
      <c r="T54" s="61"/>
      <c r="U54" s="61"/>
      <c r="V54" s="61">
        <f t="shared" si="13"/>
        <v>0</v>
      </c>
      <c r="W54" s="61"/>
      <c r="X54" s="61"/>
      <c r="Y54" s="61"/>
      <c r="Z54" s="61"/>
      <c r="AA54" s="61"/>
      <c r="AB54" s="61"/>
      <c r="AC54" s="61"/>
      <c r="AD54" s="61"/>
      <c r="AE54" s="61">
        <f t="shared" si="27"/>
        <v>0</v>
      </c>
      <c r="AF54" s="61"/>
      <c r="AG54" s="61"/>
      <c r="AH54" s="61"/>
      <c r="AI54" s="61"/>
      <c r="AJ54" s="61"/>
      <c r="AK54" s="61"/>
      <c r="AL54" s="61"/>
      <c r="AM54" s="61"/>
      <c r="AN54" s="61"/>
      <c r="AO54" s="61"/>
      <c r="AP54" s="61"/>
      <c r="AQ54" s="61"/>
      <c r="AR54" s="61"/>
      <c r="AS54" s="61"/>
      <c r="AT54" s="61"/>
      <c r="AU54" s="61"/>
      <c r="AV54" s="61"/>
      <c r="AW54" s="61"/>
      <c r="AX54" s="61"/>
      <c r="AY54" s="61">
        <f>D54-BL54</f>
        <v>0</v>
      </c>
      <c r="AZ54" s="61"/>
      <c r="BA54" s="61"/>
      <c r="BB54" s="61"/>
      <c r="BC54" s="61"/>
      <c r="BD54" s="61"/>
      <c r="BE54" s="61"/>
      <c r="BF54" s="61"/>
      <c r="BG54" s="61"/>
      <c r="BH54" s="61">
        <f t="shared" si="22"/>
        <v>0</v>
      </c>
      <c r="BI54" s="61"/>
      <c r="BJ54" s="61"/>
      <c r="BK54" s="61"/>
      <c r="BL54" s="61">
        <f>E54+W54+X54+Y54+Z54+AA54+AB54+AC54+AD54+AE54+AQ54+AR54+AS54+AT54+AU54+AV54+AW54+AX54+AZ54+BA54+BB54+BC54+BD54+BE54+BF54+BG54+BH54</f>
        <v>0</v>
      </c>
      <c r="BM54" s="61">
        <f>AY67-BL54</f>
        <v>0</v>
      </c>
      <c r="BN54" s="61">
        <f t="shared" si="29"/>
        <v>0</v>
      </c>
      <c r="BP54" s="117"/>
    </row>
    <row r="55" spans="1:68" ht="32.25" customHeight="1">
      <c r="A55" s="20" t="s">
        <v>100</v>
      </c>
      <c r="B55" s="110" t="s">
        <v>490</v>
      </c>
      <c r="C55" s="48" t="s">
        <v>101</v>
      </c>
      <c r="D55" s="61">
        <f>#REF!</f>
        <v>27.25</v>
      </c>
      <c r="E55" s="61">
        <f t="shared" si="4"/>
        <v>0</v>
      </c>
      <c r="F55" s="61">
        <f t="shared" si="21"/>
        <v>0</v>
      </c>
      <c r="G55" s="61">
        <f t="shared" si="8"/>
        <v>0</v>
      </c>
      <c r="H55" s="61">
        <f t="shared" si="12"/>
        <v>0</v>
      </c>
      <c r="I55" s="61"/>
      <c r="J55" s="61"/>
      <c r="K55" s="61"/>
      <c r="L55" s="61"/>
      <c r="M55" s="61"/>
      <c r="N55" s="61"/>
      <c r="O55" s="61"/>
      <c r="P55" s="61"/>
      <c r="Q55" s="61"/>
      <c r="R55" s="61"/>
      <c r="S55" s="61"/>
      <c r="T55" s="61"/>
      <c r="U55" s="61"/>
      <c r="V55" s="61">
        <f t="shared" si="13"/>
        <v>27.25</v>
      </c>
      <c r="W55" s="61"/>
      <c r="X55" s="61"/>
      <c r="Y55" s="61"/>
      <c r="Z55" s="61"/>
      <c r="AA55" s="61"/>
      <c r="AB55" s="61"/>
      <c r="AC55" s="61"/>
      <c r="AD55" s="61"/>
      <c r="AE55" s="61">
        <f t="shared" si="27"/>
        <v>0</v>
      </c>
      <c r="AF55" s="61"/>
      <c r="AG55" s="61"/>
      <c r="AH55" s="61"/>
      <c r="AI55" s="61"/>
      <c r="AJ55" s="61"/>
      <c r="AK55" s="61"/>
      <c r="AL55" s="61"/>
      <c r="AM55" s="61"/>
      <c r="AN55" s="61"/>
      <c r="AO55" s="61"/>
      <c r="AP55" s="61"/>
      <c r="AQ55" s="61"/>
      <c r="AR55" s="61"/>
      <c r="AS55" s="61"/>
      <c r="AT55" s="61"/>
      <c r="AU55" s="61"/>
      <c r="AV55" s="61"/>
      <c r="AW55" s="61"/>
      <c r="AX55" s="61"/>
      <c r="AY55" s="61"/>
      <c r="AZ55" s="61">
        <f>D55-BL55</f>
        <v>27.25</v>
      </c>
      <c r="BA55" s="61"/>
      <c r="BB55" s="61"/>
      <c r="BC55" s="61"/>
      <c r="BD55" s="61"/>
      <c r="BE55" s="61"/>
      <c r="BF55" s="61"/>
      <c r="BG55" s="61"/>
      <c r="BH55" s="61">
        <f t="shared" si="22"/>
        <v>0</v>
      </c>
      <c r="BI55" s="61"/>
      <c r="BJ55" s="61"/>
      <c r="BK55" s="61"/>
      <c r="BL55" s="61">
        <f>E55+W55+X55+Y55+Z55+AA55+AB55+AC55+AD55+AE55+AQ55+AR55+AS55+AT55+AU55+AV55+AW55+AX55+AY55+BA55+BB55+BC55+BD55+BE55+BF55+BG55+BH55</f>
        <v>0</v>
      </c>
      <c r="BM55" s="61">
        <f>AZ67-BL55</f>
        <v>0</v>
      </c>
      <c r="BN55" s="61">
        <f t="shared" si="29"/>
        <v>27.25</v>
      </c>
      <c r="BP55" s="117"/>
    </row>
    <row r="56" spans="1:68" ht="20.100000000000001" customHeight="1">
      <c r="A56" s="20" t="s">
        <v>102</v>
      </c>
      <c r="B56" s="110" t="s">
        <v>103</v>
      </c>
      <c r="C56" s="48" t="s">
        <v>104</v>
      </c>
      <c r="D56" s="61"/>
      <c r="E56" s="61">
        <f t="shared" si="4"/>
        <v>0</v>
      </c>
      <c r="F56" s="61">
        <f t="shared" si="21"/>
        <v>0</v>
      </c>
      <c r="G56" s="61">
        <f t="shared" si="8"/>
        <v>0</v>
      </c>
      <c r="H56" s="61">
        <f t="shared" si="12"/>
        <v>0</v>
      </c>
      <c r="I56" s="61"/>
      <c r="J56" s="61"/>
      <c r="K56" s="61"/>
      <c r="L56" s="61"/>
      <c r="M56" s="61"/>
      <c r="N56" s="61"/>
      <c r="O56" s="61"/>
      <c r="P56" s="61"/>
      <c r="Q56" s="61"/>
      <c r="R56" s="61"/>
      <c r="S56" s="61"/>
      <c r="T56" s="61"/>
      <c r="U56" s="61"/>
      <c r="V56" s="61">
        <f t="shared" si="13"/>
        <v>0</v>
      </c>
      <c r="W56" s="61"/>
      <c r="X56" s="61"/>
      <c r="Y56" s="61"/>
      <c r="Z56" s="61"/>
      <c r="AA56" s="61"/>
      <c r="AB56" s="61"/>
      <c r="AC56" s="61"/>
      <c r="AD56" s="61"/>
      <c r="AE56" s="61">
        <f t="shared" si="27"/>
        <v>0</v>
      </c>
      <c r="AF56" s="61"/>
      <c r="AG56" s="61"/>
      <c r="AH56" s="61"/>
      <c r="AI56" s="61"/>
      <c r="AJ56" s="61"/>
      <c r="AK56" s="61"/>
      <c r="AL56" s="61"/>
      <c r="AM56" s="61"/>
      <c r="AN56" s="61"/>
      <c r="AO56" s="61"/>
      <c r="AP56" s="61"/>
      <c r="AQ56" s="61"/>
      <c r="AR56" s="61"/>
      <c r="AS56" s="61"/>
      <c r="AT56" s="61"/>
      <c r="AU56" s="61"/>
      <c r="AV56" s="61"/>
      <c r="AW56" s="61"/>
      <c r="AX56" s="61"/>
      <c r="AY56" s="61"/>
      <c r="AZ56" s="61"/>
      <c r="BA56" s="61">
        <f>D56-BL56</f>
        <v>0</v>
      </c>
      <c r="BB56" s="61"/>
      <c r="BC56" s="61"/>
      <c r="BD56" s="61"/>
      <c r="BE56" s="61"/>
      <c r="BF56" s="61"/>
      <c r="BG56" s="61"/>
      <c r="BH56" s="61">
        <f t="shared" si="22"/>
        <v>0</v>
      </c>
      <c r="BI56" s="61"/>
      <c r="BJ56" s="61"/>
      <c r="BK56" s="61"/>
      <c r="BL56" s="61">
        <f>E56+W56+X56+Y56+Z56+AA56+AB56+AC56+AD56+AE56+AQ56+AR56+AS56+AT56+AU56+AV56+AW56+AX56+AY56+AZ56+BB56+BC56+BD56+BE56+BF56+BG56+BH56</f>
        <v>0</v>
      </c>
      <c r="BM56" s="61">
        <f>BA67-BL56</f>
        <v>0</v>
      </c>
      <c r="BN56" s="61">
        <f t="shared" si="29"/>
        <v>0</v>
      </c>
      <c r="BP56" s="117"/>
    </row>
    <row r="57" spans="1:68" ht="20.100000000000001" customHeight="1">
      <c r="A57" s="20" t="s">
        <v>105</v>
      </c>
      <c r="B57" s="110" t="s">
        <v>106</v>
      </c>
      <c r="C57" s="48" t="s">
        <v>107</v>
      </c>
      <c r="D57" s="61">
        <f>#REF!</f>
        <v>0.5</v>
      </c>
      <c r="E57" s="61">
        <f t="shared" si="4"/>
        <v>0</v>
      </c>
      <c r="F57" s="61">
        <f t="shared" si="21"/>
        <v>0</v>
      </c>
      <c r="G57" s="61">
        <f t="shared" si="8"/>
        <v>0</v>
      </c>
      <c r="H57" s="61">
        <f t="shared" si="12"/>
        <v>0</v>
      </c>
      <c r="I57" s="61"/>
      <c r="J57" s="61"/>
      <c r="K57" s="61"/>
      <c r="L57" s="61"/>
      <c r="M57" s="61"/>
      <c r="N57" s="61"/>
      <c r="O57" s="61"/>
      <c r="P57" s="61"/>
      <c r="Q57" s="61"/>
      <c r="R57" s="61"/>
      <c r="S57" s="61"/>
      <c r="T57" s="61"/>
      <c r="U57" s="61"/>
      <c r="V57" s="61">
        <f t="shared" si="13"/>
        <v>0.5</v>
      </c>
      <c r="W57" s="61"/>
      <c r="X57" s="61"/>
      <c r="Y57" s="61"/>
      <c r="Z57" s="61"/>
      <c r="AA57" s="61"/>
      <c r="AB57" s="61"/>
      <c r="AC57" s="61"/>
      <c r="AD57" s="61"/>
      <c r="AE57" s="61">
        <f>SUM(AF57:AP57)</f>
        <v>0</v>
      </c>
      <c r="AF57" s="61"/>
      <c r="AG57" s="61"/>
      <c r="AH57" s="61"/>
      <c r="AI57" s="61"/>
      <c r="AJ57" s="61"/>
      <c r="AK57" s="61"/>
      <c r="AL57" s="61"/>
      <c r="AM57" s="61"/>
      <c r="AN57" s="61"/>
      <c r="AO57" s="61"/>
      <c r="AP57" s="61"/>
      <c r="AQ57" s="61"/>
      <c r="AR57" s="61"/>
      <c r="AS57" s="61"/>
      <c r="AT57" s="61"/>
      <c r="AU57" s="61"/>
      <c r="AV57" s="61"/>
      <c r="AW57" s="61"/>
      <c r="AX57" s="61"/>
      <c r="AY57" s="61"/>
      <c r="AZ57" s="61"/>
      <c r="BA57" s="61"/>
      <c r="BB57" s="61">
        <f>D57-BL57</f>
        <v>0.5</v>
      </c>
      <c r="BC57" s="61"/>
      <c r="BD57" s="61"/>
      <c r="BE57" s="61"/>
      <c r="BF57" s="61"/>
      <c r="BG57" s="61"/>
      <c r="BH57" s="61">
        <f t="shared" si="22"/>
        <v>0</v>
      </c>
      <c r="BI57" s="61"/>
      <c r="BJ57" s="61"/>
      <c r="BK57" s="61"/>
      <c r="BL57" s="61">
        <f>E57+W57+X57+Y57+Z57+AA57+AB57+AC57+AD57+AE57+AQ57+AR57+AS57+AT57+AU57+AV57+AW57+AX57+AY57+AZ57+BA57+BC57+BD57+BE57+BF57+BG57+BH57</f>
        <v>0</v>
      </c>
      <c r="BM57" s="61">
        <f>BB67-BL57</f>
        <v>0</v>
      </c>
      <c r="BN57" s="61">
        <f t="shared" si="29"/>
        <v>0.5</v>
      </c>
      <c r="BP57" s="117"/>
    </row>
    <row r="58" spans="1:68" ht="20.100000000000001" customHeight="1">
      <c r="A58" s="20" t="s">
        <v>108</v>
      </c>
      <c r="B58" s="110" t="s">
        <v>491</v>
      </c>
      <c r="C58" s="48" t="s">
        <v>110</v>
      </c>
      <c r="D58" s="61"/>
      <c r="E58" s="61">
        <f t="shared" si="4"/>
        <v>0</v>
      </c>
      <c r="F58" s="61">
        <f t="shared" si="21"/>
        <v>0</v>
      </c>
      <c r="G58" s="61">
        <f t="shared" si="8"/>
        <v>0</v>
      </c>
      <c r="H58" s="61">
        <f t="shared" si="12"/>
        <v>0</v>
      </c>
      <c r="I58" s="61"/>
      <c r="J58" s="61"/>
      <c r="K58" s="61"/>
      <c r="L58" s="61"/>
      <c r="M58" s="61"/>
      <c r="N58" s="61"/>
      <c r="O58" s="61"/>
      <c r="P58" s="61"/>
      <c r="Q58" s="61"/>
      <c r="R58" s="61"/>
      <c r="S58" s="61"/>
      <c r="T58" s="61"/>
      <c r="U58" s="61"/>
      <c r="V58" s="61">
        <f t="shared" si="13"/>
        <v>0</v>
      </c>
      <c r="W58" s="61"/>
      <c r="X58" s="61"/>
      <c r="Y58" s="61"/>
      <c r="Z58" s="61"/>
      <c r="AA58" s="61"/>
      <c r="AB58" s="61"/>
      <c r="AC58" s="61"/>
      <c r="AD58" s="61"/>
      <c r="AE58" s="61">
        <f t="shared" si="27"/>
        <v>0</v>
      </c>
      <c r="AF58" s="61"/>
      <c r="AG58" s="61"/>
      <c r="AH58" s="61"/>
      <c r="AI58" s="61"/>
      <c r="AJ58" s="61"/>
      <c r="AK58" s="61"/>
      <c r="AL58" s="61"/>
      <c r="AM58" s="61"/>
      <c r="AN58" s="61"/>
      <c r="AO58" s="61"/>
      <c r="AP58" s="61"/>
      <c r="AQ58" s="61"/>
      <c r="AR58" s="61"/>
      <c r="AS58" s="61"/>
      <c r="AT58" s="61"/>
      <c r="AU58" s="61"/>
      <c r="AV58" s="61"/>
      <c r="AW58" s="61"/>
      <c r="AX58" s="61"/>
      <c r="AY58" s="61"/>
      <c r="AZ58" s="61"/>
      <c r="BA58" s="61"/>
      <c r="BB58" s="61"/>
      <c r="BC58" s="61">
        <f>D58-BL58</f>
        <v>0</v>
      </c>
      <c r="BD58" s="61"/>
      <c r="BE58" s="61"/>
      <c r="BF58" s="61"/>
      <c r="BG58" s="61"/>
      <c r="BH58" s="61">
        <f t="shared" si="22"/>
        <v>0</v>
      </c>
      <c r="BI58" s="61"/>
      <c r="BJ58" s="61"/>
      <c r="BK58" s="61"/>
      <c r="BL58" s="61">
        <f>E58+W58+X58+Y58+Z58+AA58+AB58+AC58+AD58+AE58+AQ58+AR58+AS58+AT58+AU58+AV58+AW58+AX58+AY58+AZ58+BA58+BB58+BD58+BE58+BF58+BG58+BH58</f>
        <v>0</v>
      </c>
      <c r="BM58" s="61">
        <f>BC67-BL58</f>
        <v>0</v>
      </c>
      <c r="BN58" s="61">
        <f t="shared" si="29"/>
        <v>0</v>
      </c>
      <c r="BP58" s="117"/>
    </row>
    <row r="59" spans="1:68" ht="20.100000000000001" customHeight="1">
      <c r="A59" s="20" t="s">
        <v>111</v>
      </c>
      <c r="B59" s="110" t="s">
        <v>112</v>
      </c>
      <c r="C59" s="48" t="s">
        <v>113</v>
      </c>
      <c r="D59" s="61">
        <f>#REF!</f>
        <v>0.7</v>
      </c>
      <c r="E59" s="61">
        <f t="shared" si="4"/>
        <v>0</v>
      </c>
      <c r="F59" s="61">
        <f t="shared" si="21"/>
        <v>0</v>
      </c>
      <c r="G59" s="61">
        <f t="shared" si="8"/>
        <v>0</v>
      </c>
      <c r="H59" s="61">
        <f t="shared" si="12"/>
        <v>0</v>
      </c>
      <c r="I59" s="61"/>
      <c r="J59" s="61"/>
      <c r="K59" s="61"/>
      <c r="L59" s="61"/>
      <c r="M59" s="61"/>
      <c r="N59" s="61"/>
      <c r="O59" s="61"/>
      <c r="P59" s="61"/>
      <c r="Q59" s="61"/>
      <c r="R59" s="61"/>
      <c r="S59" s="61"/>
      <c r="T59" s="61"/>
      <c r="U59" s="61"/>
      <c r="V59" s="61">
        <f t="shared" si="13"/>
        <v>0.7</v>
      </c>
      <c r="W59" s="61"/>
      <c r="X59" s="61"/>
      <c r="Y59" s="61"/>
      <c r="Z59" s="61"/>
      <c r="AA59" s="61"/>
      <c r="AB59" s="61"/>
      <c r="AC59" s="61"/>
      <c r="AD59" s="61"/>
      <c r="AE59" s="61">
        <f t="shared" si="27"/>
        <v>0</v>
      </c>
      <c r="AF59" s="61"/>
      <c r="AG59" s="61"/>
      <c r="AH59" s="61"/>
      <c r="AI59" s="61"/>
      <c r="AJ59" s="61"/>
      <c r="AK59" s="61"/>
      <c r="AL59" s="61"/>
      <c r="AM59" s="61"/>
      <c r="AN59" s="61"/>
      <c r="AO59" s="61"/>
      <c r="AP59" s="61"/>
      <c r="AQ59" s="61"/>
      <c r="AR59" s="61"/>
      <c r="AS59" s="61"/>
      <c r="AT59" s="61"/>
      <c r="AU59" s="61"/>
      <c r="AV59" s="61"/>
      <c r="AW59" s="61"/>
      <c r="AX59" s="61"/>
      <c r="AY59" s="61"/>
      <c r="AZ59" s="61"/>
      <c r="BA59" s="61"/>
      <c r="BB59" s="61"/>
      <c r="BC59" s="61"/>
      <c r="BD59" s="61">
        <f>D59-BL59</f>
        <v>0.7</v>
      </c>
      <c r="BE59" s="61"/>
      <c r="BF59" s="61"/>
      <c r="BG59" s="61"/>
      <c r="BH59" s="61">
        <f t="shared" si="22"/>
        <v>0</v>
      </c>
      <c r="BI59" s="61"/>
      <c r="BJ59" s="61"/>
      <c r="BK59" s="61"/>
      <c r="BL59" s="61">
        <f>E59+W59+X59+Y59+Z59+AA59+AB59+AC59+AD59+AE59+AQ59+AR59+AS59+AT59+AU59+AV59+AW59+AX59+AY59+AZ59+BA59+BB59+BC59+BE59+BF59+BG59+BH59</f>
        <v>0</v>
      </c>
      <c r="BM59" s="61">
        <f>BD67-BL59</f>
        <v>0</v>
      </c>
      <c r="BN59" s="61">
        <f t="shared" si="29"/>
        <v>0.7</v>
      </c>
      <c r="BP59" s="117"/>
    </row>
    <row r="60" spans="1:68" ht="20.100000000000001" customHeight="1">
      <c r="A60" s="20" t="s">
        <v>114</v>
      </c>
      <c r="B60" s="110" t="s">
        <v>115</v>
      </c>
      <c r="C60" s="48" t="s">
        <v>116</v>
      </c>
      <c r="D60" s="61">
        <f>#REF!</f>
        <v>70.38</v>
      </c>
      <c r="E60" s="61">
        <f t="shared" si="4"/>
        <v>4.3</v>
      </c>
      <c r="F60" s="61">
        <f t="shared" si="21"/>
        <v>0</v>
      </c>
      <c r="G60" s="61">
        <f t="shared" si="8"/>
        <v>0</v>
      </c>
      <c r="H60" s="61">
        <f t="shared" si="12"/>
        <v>0</v>
      </c>
      <c r="I60" s="61"/>
      <c r="J60" s="61"/>
      <c r="K60" s="61"/>
      <c r="L60" s="61"/>
      <c r="M60" s="61"/>
      <c r="N60" s="61"/>
      <c r="O60" s="61"/>
      <c r="P60" s="61"/>
      <c r="Q60" s="61"/>
      <c r="R60" s="61"/>
      <c r="S60" s="61">
        <v>4.3</v>
      </c>
      <c r="T60" s="61"/>
      <c r="U60" s="61"/>
      <c r="V60" s="61">
        <f t="shared" si="13"/>
        <v>66.08</v>
      </c>
      <c r="W60" s="61"/>
      <c r="X60" s="61"/>
      <c r="Y60" s="61"/>
      <c r="Z60" s="61"/>
      <c r="AA60" s="61"/>
      <c r="AB60" s="61"/>
      <c r="AC60" s="61"/>
      <c r="AD60" s="61"/>
      <c r="AE60" s="61">
        <f t="shared" si="27"/>
        <v>0.04</v>
      </c>
      <c r="AF60" s="61"/>
      <c r="AG60" s="61"/>
      <c r="AH60" s="61"/>
      <c r="AI60" s="61"/>
      <c r="AJ60" s="61"/>
      <c r="AK60" s="61"/>
      <c r="AL60" s="61">
        <v>0.04</v>
      </c>
      <c r="AM60" s="61"/>
      <c r="AN60" s="61"/>
      <c r="AO60" s="61"/>
      <c r="AP60" s="61"/>
      <c r="AQ60" s="61"/>
      <c r="AR60" s="61"/>
      <c r="AS60" s="61"/>
      <c r="AT60" s="61"/>
      <c r="AU60" s="61"/>
      <c r="AV60" s="61"/>
      <c r="AW60" s="61"/>
      <c r="AX60" s="61"/>
      <c r="AY60" s="61"/>
      <c r="AZ60" s="61"/>
      <c r="BA60" s="61"/>
      <c r="BB60" s="61"/>
      <c r="BC60" s="61"/>
      <c r="BD60" s="61"/>
      <c r="BE60" s="61">
        <f>D60-BL60</f>
        <v>66.039999999999992</v>
      </c>
      <c r="BF60" s="61"/>
      <c r="BG60" s="61"/>
      <c r="BH60" s="61">
        <f t="shared" si="22"/>
        <v>0</v>
      </c>
      <c r="BI60" s="61"/>
      <c r="BJ60" s="61"/>
      <c r="BK60" s="61"/>
      <c r="BL60" s="61">
        <f>E60+W60+X60+Y60+Z60+AA60+AB60+AC60+AD60+AE60+AQ60+AR60+AS60+AT60+AU60+AV60+AW60+AX60+AY60+AZ60+BA60+BB60+BC60+BD60+BF60+BG60+BH60</f>
        <v>4.34</v>
      </c>
      <c r="BM60" s="61">
        <f>BE67-BL60</f>
        <v>-4.34</v>
      </c>
      <c r="BN60" s="61">
        <f t="shared" si="29"/>
        <v>66.039999999999992</v>
      </c>
      <c r="BP60" s="117"/>
    </row>
    <row r="61" spans="1:68" ht="20.100000000000001" customHeight="1">
      <c r="A61" s="20" t="s">
        <v>117</v>
      </c>
      <c r="B61" s="110" t="s">
        <v>118</v>
      </c>
      <c r="C61" s="48" t="s">
        <v>119</v>
      </c>
      <c r="D61" s="61">
        <f>#REF!</f>
        <v>153.84</v>
      </c>
      <c r="E61" s="61">
        <f t="shared" si="4"/>
        <v>0</v>
      </c>
      <c r="F61" s="61">
        <f t="shared" si="21"/>
        <v>0</v>
      </c>
      <c r="G61" s="61">
        <f t="shared" si="8"/>
        <v>0</v>
      </c>
      <c r="H61" s="61">
        <f t="shared" si="12"/>
        <v>0</v>
      </c>
      <c r="I61" s="61"/>
      <c r="J61" s="61"/>
      <c r="K61" s="61"/>
      <c r="L61" s="61"/>
      <c r="M61" s="61"/>
      <c r="N61" s="61"/>
      <c r="O61" s="61"/>
      <c r="P61" s="61"/>
      <c r="Q61" s="61"/>
      <c r="R61" s="61"/>
      <c r="S61" s="61"/>
      <c r="T61" s="61"/>
      <c r="U61" s="61"/>
      <c r="V61" s="61">
        <f t="shared" si="13"/>
        <v>153.84</v>
      </c>
      <c r="W61" s="61"/>
      <c r="X61" s="61"/>
      <c r="Y61" s="61"/>
      <c r="Z61" s="61"/>
      <c r="AA61" s="61"/>
      <c r="AB61" s="61"/>
      <c r="AC61" s="61"/>
      <c r="AD61" s="61"/>
      <c r="AE61" s="61">
        <f t="shared" si="27"/>
        <v>0</v>
      </c>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f>D61-BL61</f>
        <v>153.84</v>
      </c>
      <c r="BG61" s="61"/>
      <c r="BH61" s="61">
        <f t="shared" si="22"/>
        <v>0</v>
      </c>
      <c r="BI61" s="61"/>
      <c r="BJ61" s="61"/>
      <c r="BK61" s="61"/>
      <c r="BL61" s="61">
        <f>E61+W61+X61+Y61+Z61+AA61+AB61+AC61+AD61+AE61+AQ61+AR61+AS61+AT61+AU61+AV61+AW61+AX61+AY61+AZ61+BA61+BB61+BC61+BD61+BE61+BG61+BH61</f>
        <v>0</v>
      </c>
      <c r="BM61" s="61">
        <f>BF67-BL61</f>
        <v>0</v>
      </c>
      <c r="BN61" s="61">
        <f t="shared" si="29"/>
        <v>153.84</v>
      </c>
      <c r="BP61" s="117"/>
    </row>
    <row r="62" spans="1:68" ht="20.100000000000001" customHeight="1">
      <c r="A62" s="20" t="s">
        <v>120</v>
      </c>
      <c r="B62" s="110" t="s">
        <v>121</v>
      </c>
      <c r="C62" s="48" t="s">
        <v>122</v>
      </c>
      <c r="D62" s="61"/>
      <c r="E62" s="61">
        <f t="shared" si="4"/>
        <v>0</v>
      </c>
      <c r="F62" s="61">
        <f t="shared" si="21"/>
        <v>0</v>
      </c>
      <c r="G62" s="61">
        <f t="shared" si="8"/>
        <v>0</v>
      </c>
      <c r="H62" s="61">
        <f t="shared" si="12"/>
        <v>0</v>
      </c>
      <c r="I62" s="61"/>
      <c r="J62" s="61"/>
      <c r="K62" s="61"/>
      <c r="L62" s="61"/>
      <c r="M62" s="61"/>
      <c r="N62" s="61"/>
      <c r="O62" s="61"/>
      <c r="P62" s="61"/>
      <c r="Q62" s="61"/>
      <c r="R62" s="61"/>
      <c r="S62" s="61"/>
      <c r="T62" s="61"/>
      <c r="U62" s="61"/>
      <c r="V62" s="61">
        <f t="shared" si="13"/>
        <v>0</v>
      </c>
      <c r="W62" s="61"/>
      <c r="X62" s="61"/>
      <c r="Y62" s="61"/>
      <c r="Z62" s="61"/>
      <c r="AA62" s="61"/>
      <c r="AB62" s="61"/>
      <c r="AC62" s="61"/>
      <c r="AD62" s="61"/>
      <c r="AE62" s="61">
        <f t="shared" si="27"/>
        <v>0</v>
      </c>
      <c r="AF62" s="61"/>
      <c r="AG62" s="61"/>
      <c r="AH62" s="61"/>
      <c r="AI62" s="61"/>
      <c r="AJ62" s="61"/>
      <c r="AK62" s="61"/>
      <c r="AL62" s="61"/>
      <c r="AM62" s="61"/>
      <c r="AN62" s="61"/>
      <c r="AO62" s="61"/>
      <c r="AP62" s="61"/>
      <c r="AQ62" s="61"/>
      <c r="AR62" s="61"/>
      <c r="AS62" s="61"/>
      <c r="AT62" s="61"/>
      <c r="AU62" s="61"/>
      <c r="AV62" s="61"/>
      <c r="AW62" s="61"/>
      <c r="AX62" s="61"/>
      <c r="AY62" s="61"/>
      <c r="AZ62" s="61"/>
      <c r="BA62" s="61"/>
      <c r="BB62" s="61"/>
      <c r="BC62" s="61"/>
      <c r="BD62" s="61"/>
      <c r="BE62" s="61"/>
      <c r="BF62" s="61"/>
      <c r="BG62" s="61">
        <f>D62-BL62</f>
        <v>0</v>
      </c>
      <c r="BH62" s="61">
        <f t="shared" si="22"/>
        <v>0</v>
      </c>
      <c r="BI62" s="61"/>
      <c r="BJ62" s="61"/>
      <c r="BK62" s="61"/>
      <c r="BL62" s="61">
        <f>E62+W62+X62+Y62+Z62+AA62+AB62+AC62+AD62+AE62+AQ62+AR62+AS62+AT62+AU62+AV62+AW62+AX62+AY62+AZ62+BA62+BB62+BC62+BD62+BE62+BF62+BH62</f>
        <v>0</v>
      </c>
      <c r="BM62" s="61">
        <f>BG67-BL62</f>
        <v>0</v>
      </c>
      <c r="BN62" s="61">
        <f t="shared" si="29"/>
        <v>0</v>
      </c>
      <c r="BP62" s="117"/>
    </row>
    <row r="63" spans="1:68" s="115" customFormat="1" ht="21.75" customHeight="1">
      <c r="A63" s="6">
        <v>3</v>
      </c>
      <c r="B63" s="109" t="s">
        <v>123</v>
      </c>
      <c r="C63" s="114" t="s">
        <v>124</v>
      </c>
      <c r="D63" s="461">
        <f>D64+D65+D66</f>
        <v>562.77</v>
      </c>
      <c r="E63" s="461">
        <f>E64+E65+E66</f>
        <v>0.38</v>
      </c>
      <c r="F63" s="461">
        <f t="shared" ref="F63:U63" si="30">F64+F65+F66</f>
        <v>0</v>
      </c>
      <c r="G63" s="461">
        <f t="shared" si="30"/>
        <v>0</v>
      </c>
      <c r="H63" s="461">
        <f t="shared" si="30"/>
        <v>0</v>
      </c>
      <c r="I63" s="461">
        <f t="shared" si="30"/>
        <v>0</v>
      </c>
      <c r="J63" s="461">
        <f t="shared" si="30"/>
        <v>0</v>
      </c>
      <c r="K63" s="461">
        <f t="shared" si="30"/>
        <v>0</v>
      </c>
      <c r="L63" s="461">
        <f t="shared" si="30"/>
        <v>0</v>
      </c>
      <c r="M63" s="461">
        <f t="shared" si="30"/>
        <v>0</v>
      </c>
      <c r="N63" s="461">
        <f t="shared" si="30"/>
        <v>0</v>
      </c>
      <c r="O63" s="461">
        <f>O64+O65+O66</f>
        <v>0</v>
      </c>
      <c r="P63" s="461">
        <f t="shared" si="30"/>
        <v>0</v>
      </c>
      <c r="Q63" s="461">
        <f t="shared" si="30"/>
        <v>0</v>
      </c>
      <c r="R63" s="461">
        <f t="shared" si="30"/>
        <v>0</v>
      </c>
      <c r="S63" s="461">
        <f t="shared" si="30"/>
        <v>0.38</v>
      </c>
      <c r="T63" s="461">
        <f t="shared" si="30"/>
        <v>0</v>
      </c>
      <c r="U63" s="461">
        <f t="shared" si="30"/>
        <v>0</v>
      </c>
      <c r="V63" s="461">
        <f>V64+V65+V66</f>
        <v>4.1899999999999995</v>
      </c>
      <c r="W63" s="461">
        <f t="shared" ref="W63:BG63" si="31">W64+W65+W66</f>
        <v>0</v>
      </c>
      <c r="X63" s="461">
        <f t="shared" si="31"/>
        <v>0</v>
      </c>
      <c r="Y63" s="461">
        <f t="shared" si="31"/>
        <v>0</v>
      </c>
      <c r="Z63" s="461">
        <f t="shared" si="31"/>
        <v>0</v>
      </c>
      <c r="AA63" s="461">
        <f t="shared" si="31"/>
        <v>0</v>
      </c>
      <c r="AB63" s="461">
        <f t="shared" si="31"/>
        <v>0</v>
      </c>
      <c r="AC63" s="461">
        <f t="shared" si="31"/>
        <v>0</v>
      </c>
      <c r="AD63" s="461">
        <f t="shared" si="31"/>
        <v>0</v>
      </c>
      <c r="AE63" s="461">
        <f t="shared" si="31"/>
        <v>2.9</v>
      </c>
      <c r="AF63" s="461">
        <f t="shared" si="31"/>
        <v>0</v>
      </c>
      <c r="AG63" s="461">
        <f t="shared" si="31"/>
        <v>0</v>
      </c>
      <c r="AH63" s="461">
        <f t="shared" si="31"/>
        <v>0</v>
      </c>
      <c r="AI63" s="461">
        <f t="shared" si="31"/>
        <v>0</v>
      </c>
      <c r="AJ63" s="461">
        <f t="shared" si="31"/>
        <v>0</v>
      </c>
      <c r="AK63" s="461">
        <f t="shared" si="31"/>
        <v>0</v>
      </c>
      <c r="AL63" s="461">
        <f t="shared" si="31"/>
        <v>0</v>
      </c>
      <c r="AM63" s="461">
        <f t="shared" si="31"/>
        <v>0</v>
      </c>
      <c r="AN63" s="461">
        <f t="shared" si="31"/>
        <v>0</v>
      </c>
      <c r="AO63" s="461">
        <f t="shared" si="31"/>
        <v>0</v>
      </c>
      <c r="AP63" s="461">
        <f t="shared" si="31"/>
        <v>2.9</v>
      </c>
      <c r="AQ63" s="461">
        <f t="shared" si="31"/>
        <v>0</v>
      </c>
      <c r="AR63" s="461">
        <f t="shared" si="31"/>
        <v>0</v>
      </c>
      <c r="AS63" s="461">
        <f t="shared" si="31"/>
        <v>1.29</v>
      </c>
      <c r="AT63" s="461">
        <f t="shared" si="31"/>
        <v>0</v>
      </c>
      <c r="AU63" s="461">
        <f t="shared" si="31"/>
        <v>0</v>
      </c>
      <c r="AV63" s="461">
        <f t="shared" si="31"/>
        <v>0</v>
      </c>
      <c r="AW63" s="461">
        <f t="shared" si="31"/>
        <v>0</v>
      </c>
      <c r="AX63" s="461">
        <f t="shared" si="31"/>
        <v>0</v>
      </c>
      <c r="AY63" s="461">
        <f t="shared" si="31"/>
        <v>0</v>
      </c>
      <c r="AZ63" s="461">
        <f t="shared" si="31"/>
        <v>0</v>
      </c>
      <c r="BA63" s="461">
        <f t="shared" si="31"/>
        <v>0</v>
      </c>
      <c r="BB63" s="461">
        <f t="shared" si="31"/>
        <v>0</v>
      </c>
      <c r="BC63" s="461">
        <f t="shared" si="31"/>
        <v>0</v>
      </c>
      <c r="BD63" s="461">
        <f t="shared" si="31"/>
        <v>0</v>
      </c>
      <c r="BE63" s="461">
        <f t="shared" si="31"/>
        <v>0</v>
      </c>
      <c r="BF63" s="461">
        <f t="shared" si="31"/>
        <v>0</v>
      </c>
      <c r="BG63" s="461">
        <f t="shared" si="31"/>
        <v>0</v>
      </c>
      <c r="BH63" s="461">
        <f>D63-BL63</f>
        <v>558.19999999999993</v>
      </c>
      <c r="BI63" s="461">
        <f t="shared" ref="BI63:BN63" si="32">BI64+BI65+BI66</f>
        <v>557.80999999999995</v>
      </c>
      <c r="BJ63" s="461">
        <f t="shared" si="32"/>
        <v>0.39</v>
      </c>
      <c r="BK63" s="461">
        <f t="shared" si="32"/>
        <v>0</v>
      </c>
      <c r="BL63" s="461">
        <f t="shared" si="32"/>
        <v>4.5699999999999994</v>
      </c>
      <c r="BM63" s="461">
        <f t="shared" si="32"/>
        <v>-4.5699999999999994</v>
      </c>
      <c r="BN63" s="461">
        <f t="shared" si="32"/>
        <v>558.19999999999993</v>
      </c>
      <c r="BP63" s="117"/>
    </row>
    <row r="64" spans="1:68" ht="21.75" customHeight="1">
      <c r="A64" s="5" t="s">
        <v>220</v>
      </c>
      <c r="B64" s="72" t="s">
        <v>461</v>
      </c>
      <c r="C64" s="48" t="s">
        <v>209</v>
      </c>
      <c r="D64" s="61">
        <f>#REF!</f>
        <v>562.38</v>
      </c>
      <c r="E64" s="61">
        <f t="shared" si="4"/>
        <v>0.38</v>
      </c>
      <c r="F64" s="61">
        <f t="shared" si="21"/>
        <v>0</v>
      </c>
      <c r="G64" s="61">
        <f t="shared" si="8"/>
        <v>0</v>
      </c>
      <c r="H64" s="61">
        <f t="shared" si="12"/>
        <v>0</v>
      </c>
      <c r="I64" s="61"/>
      <c r="J64" s="61"/>
      <c r="K64" s="61"/>
      <c r="L64" s="61"/>
      <c r="M64" s="61"/>
      <c r="N64" s="61"/>
      <c r="O64" s="61">
        <f>P64+Q64+R64</f>
        <v>0</v>
      </c>
      <c r="P64" s="61"/>
      <c r="Q64" s="61"/>
      <c r="R64" s="61"/>
      <c r="S64" s="61">
        <v>0.38</v>
      </c>
      <c r="T64" s="61"/>
      <c r="U64" s="61"/>
      <c r="V64" s="61">
        <f t="shared" si="13"/>
        <v>4.1899999999999995</v>
      </c>
      <c r="W64" s="61"/>
      <c r="X64" s="61"/>
      <c r="Y64" s="61"/>
      <c r="Z64" s="61"/>
      <c r="AA64" s="61"/>
      <c r="AB64" s="61"/>
      <c r="AC64" s="61"/>
      <c r="AD64" s="61"/>
      <c r="AE64" s="61">
        <f t="shared" si="27"/>
        <v>2.9</v>
      </c>
      <c r="AF64" s="61"/>
      <c r="AG64" s="61"/>
      <c r="AH64" s="61"/>
      <c r="AI64" s="61"/>
      <c r="AJ64" s="61"/>
      <c r="AK64" s="61"/>
      <c r="AL64" s="61"/>
      <c r="AM64" s="61"/>
      <c r="AN64" s="61"/>
      <c r="AO64" s="61"/>
      <c r="AP64" s="61">
        <v>2.9</v>
      </c>
      <c r="AQ64" s="61"/>
      <c r="AR64" s="61"/>
      <c r="AS64" s="61">
        <v>1.29</v>
      </c>
      <c r="AT64" s="61"/>
      <c r="AU64" s="61"/>
      <c r="AV64" s="61"/>
      <c r="AW64" s="61"/>
      <c r="AX64" s="61"/>
      <c r="AY64" s="61"/>
      <c r="AZ64" s="61"/>
      <c r="BA64" s="61"/>
      <c r="BB64" s="61"/>
      <c r="BC64" s="61"/>
      <c r="BD64" s="61"/>
      <c r="BE64" s="61"/>
      <c r="BF64" s="61"/>
      <c r="BG64" s="61"/>
      <c r="BH64" s="61">
        <f>BI64+BJ64+BK64</f>
        <v>557.80999999999995</v>
      </c>
      <c r="BI64" s="61">
        <f>D64-BL64</f>
        <v>557.80999999999995</v>
      </c>
      <c r="BJ64" s="61"/>
      <c r="BK64" s="61"/>
      <c r="BL64" s="61">
        <f>E64+V64</f>
        <v>4.5699999999999994</v>
      </c>
      <c r="BM64" s="61">
        <f>BI67-BL64</f>
        <v>-4.5699999999999994</v>
      </c>
      <c r="BN64" s="61">
        <f>D64+BM64</f>
        <v>557.80999999999995</v>
      </c>
      <c r="BP64" s="117"/>
    </row>
    <row r="65" spans="1:68" ht="21.75" customHeight="1">
      <c r="A65" s="5" t="s">
        <v>221</v>
      </c>
      <c r="B65" s="72" t="s">
        <v>462</v>
      </c>
      <c r="C65" s="48" t="s">
        <v>210</v>
      </c>
      <c r="D65" s="61">
        <f>#REF!</f>
        <v>0.39</v>
      </c>
      <c r="E65" s="61">
        <f>F65+O65+S65+T65+U65</f>
        <v>0</v>
      </c>
      <c r="F65" s="61">
        <f t="shared" si="21"/>
        <v>0</v>
      </c>
      <c r="G65" s="61">
        <f t="shared" si="8"/>
        <v>0</v>
      </c>
      <c r="H65" s="61">
        <f t="shared" si="12"/>
        <v>0</v>
      </c>
      <c r="I65" s="61"/>
      <c r="J65" s="61"/>
      <c r="K65" s="61"/>
      <c r="L65" s="61"/>
      <c r="M65" s="61"/>
      <c r="N65" s="61"/>
      <c r="O65" s="61">
        <f>P65+Q65+R65</f>
        <v>0</v>
      </c>
      <c r="P65" s="61"/>
      <c r="Q65" s="61"/>
      <c r="R65" s="61"/>
      <c r="S65" s="61"/>
      <c r="T65" s="61"/>
      <c r="U65" s="61"/>
      <c r="V65" s="61">
        <f t="shared" si="13"/>
        <v>0</v>
      </c>
      <c r="W65" s="61"/>
      <c r="X65" s="61"/>
      <c r="Y65" s="61"/>
      <c r="Z65" s="61"/>
      <c r="AA65" s="61"/>
      <c r="AB65" s="61"/>
      <c r="AC65" s="61"/>
      <c r="AD65" s="61"/>
      <c r="AE65" s="61">
        <f t="shared" si="27"/>
        <v>0</v>
      </c>
      <c r="AF65" s="61"/>
      <c r="AG65" s="61"/>
      <c r="AH65" s="61"/>
      <c r="AI65" s="61"/>
      <c r="AJ65" s="61"/>
      <c r="AK65" s="61"/>
      <c r="AL65" s="61"/>
      <c r="AM65" s="61"/>
      <c r="AN65" s="61"/>
      <c r="AO65" s="61"/>
      <c r="AP65" s="61"/>
      <c r="AQ65" s="61"/>
      <c r="AR65" s="61"/>
      <c r="AS65" s="61"/>
      <c r="AT65" s="61"/>
      <c r="AU65" s="61"/>
      <c r="AV65" s="61"/>
      <c r="AW65" s="61"/>
      <c r="AX65" s="61"/>
      <c r="AY65" s="61"/>
      <c r="AZ65" s="61"/>
      <c r="BA65" s="61"/>
      <c r="BB65" s="61"/>
      <c r="BC65" s="61"/>
      <c r="BD65" s="61"/>
      <c r="BE65" s="61"/>
      <c r="BF65" s="61"/>
      <c r="BG65" s="61"/>
      <c r="BH65" s="61">
        <f>BI65+BJ65+BK65</f>
        <v>0.39</v>
      </c>
      <c r="BI65" s="61"/>
      <c r="BJ65" s="61">
        <f>D65-BL65</f>
        <v>0.39</v>
      </c>
      <c r="BK65" s="61"/>
      <c r="BL65" s="61">
        <f>E65+V65</f>
        <v>0</v>
      </c>
      <c r="BM65" s="61">
        <f>BJ67-BL65</f>
        <v>0</v>
      </c>
      <c r="BN65" s="61">
        <f>D65+BM65</f>
        <v>0.39</v>
      </c>
      <c r="BP65" s="117"/>
    </row>
    <row r="66" spans="1:68" ht="21.75" customHeight="1">
      <c r="A66" s="9" t="s">
        <v>222</v>
      </c>
      <c r="B66" s="73" t="s">
        <v>492</v>
      </c>
      <c r="C66" s="49" t="s">
        <v>211</v>
      </c>
      <c r="D66" s="63"/>
      <c r="E66" s="63">
        <f t="shared" si="4"/>
        <v>0</v>
      </c>
      <c r="F66" s="63">
        <f t="shared" si="21"/>
        <v>0</v>
      </c>
      <c r="G66" s="63">
        <f t="shared" si="8"/>
        <v>0</v>
      </c>
      <c r="H66" s="63">
        <f t="shared" si="12"/>
        <v>0</v>
      </c>
      <c r="I66" s="63"/>
      <c r="J66" s="63"/>
      <c r="K66" s="63"/>
      <c r="L66" s="63"/>
      <c r="M66" s="63"/>
      <c r="N66" s="63"/>
      <c r="O66" s="63">
        <f>P66+Q66+R66</f>
        <v>0</v>
      </c>
      <c r="P66" s="63"/>
      <c r="Q66" s="63"/>
      <c r="R66" s="63"/>
      <c r="S66" s="63"/>
      <c r="T66" s="63"/>
      <c r="U66" s="63"/>
      <c r="V66" s="63">
        <f t="shared" si="13"/>
        <v>0</v>
      </c>
      <c r="W66" s="63"/>
      <c r="X66" s="63"/>
      <c r="Y66" s="63"/>
      <c r="Z66" s="63"/>
      <c r="AA66" s="63"/>
      <c r="AB66" s="63"/>
      <c r="AC66" s="63"/>
      <c r="AD66" s="63"/>
      <c r="AE66" s="63">
        <f t="shared" si="27"/>
        <v>0</v>
      </c>
      <c r="AF66" s="63"/>
      <c r="AG66" s="63"/>
      <c r="AH66" s="63"/>
      <c r="AI66" s="63"/>
      <c r="AJ66" s="63"/>
      <c r="AK66" s="63"/>
      <c r="AL66" s="63"/>
      <c r="AM66" s="63"/>
      <c r="AN66" s="63"/>
      <c r="AO66" s="63"/>
      <c r="AP66" s="63"/>
      <c r="AQ66" s="63"/>
      <c r="AR66" s="63"/>
      <c r="AS66" s="63"/>
      <c r="AT66" s="63"/>
      <c r="AU66" s="63"/>
      <c r="AV66" s="63"/>
      <c r="AW66" s="63"/>
      <c r="AX66" s="63"/>
      <c r="AY66" s="63"/>
      <c r="AZ66" s="63"/>
      <c r="BA66" s="63"/>
      <c r="BB66" s="63"/>
      <c r="BC66" s="63"/>
      <c r="BD66" s="63"/>
      <c r="BE66" s="63"/>
      <c r="BF66" s="63"/>
      <c r="BG66" s="63"/>
      <c r="BH66" s="63">
        <f>BI66+BJ66+BK66</f>
        <v>0</v>
      </c>
      <c r="BI66" s="63"/>
      <c r="BJ66" s="63"/>
      <c r="BK66" s="63">
        <f>D66-BL66</f>
        <v>0</v>
      </c>
      <c r="BL66" s="63">
        <f>E66+V66</f>
        <v>0</v>
      </c>
      <c r="BM66" s="63">
        <f>D66-BL66</f>
        <v>0</v>
      </c>
      <c r="BN66" s="63">
        <f>D66+BM66</f>
        <v>0</v>
      </c>
      <c r="BP66" s="117"/>
    </row>
    <row r="67" spans="1:68" s="113" customFormat="1" ht="24.75" customHeight="1">
      <c r="A67" s="11"/>
      <c r="B67" s="11" t="s">
        <v>190</v>
      </c>
      <c r="C67" s="112"/>
      <c r="D67" s="462"/>
      <c r="E67" s="462">
        <f>E25+E63</f>
        <v>4.68</v>
      </c>
      <c r="F67" s="462">
        <f>F18+F22+F23+F24+F25+F63</f>
        <v>0</v>
      </c>
      <c r="G67" s="462">
        <f>G17+G18+G22+G23+G24+G25+G63</f>
        <v>0</v>
      </c>
      <c r="H67" s="462">
        <f>H15+H16+H17+H18+H22+H23+H24+H25+H63</f>
        <v>0</v>
      </c>
      <c r="I67" s="462">
        <f>I13+I14+I15+I16+I17+I18+I22+I23+I24+I25+I63</f>
        <v>0</v>
      </c>
      <c r="J67" s="462">
        <f>J12+J14+J15+J16+J17+J18+J22+J23+J24+J25+J63</f>
        <v>0</v>
      </c>
      <c r="K67" s="462">
        <f>K12+K13+K15+K16+K17+K18+K22+K23+K24+K25+K63</f>
        <v>0</v>
      </c>
      <c r="L67" s="462">
        <f>L12+L13+L14+L16+L17+L18+L22+L23+L24+L25+L63</f>
        <v>0</v>
      </c>
      <c r="M67" s="462">
        <f>M12+M13+M14+M15+M17+M18+M22+M23+M24+M25+M63</f>
        <v>0</v>
      </c>
      <c r="N67" s="462">
        <f>N12+N13+N14+N15+N16+N18+N22+N23+N24+N25+N63</f>
        <v>0</v>
      </c>
      <c r="O67" s="462">
        <f>O9+O22+O23+O24+O25+O63</f>
        <v>0</v>
      </c>
      <c r="P67" s="462">
        <f>P10+P17+P20+P21+P22+P23+P24+P25+P63</f>
        <v>0</v>
      </c>
      <c r="Q67" s="734">
        <f>Q12+Q13+Q14+Q15+Q16+Q17+Q19+Q21+Q22+Q23+Q24+Q25+Q63</f>
        <v>0</v>
      </c>
      <c r="R67" s="734">
        <f>R12+R13+R14+R15+R16+R17+R19+R20+R22+R23+R24+R25+R63</f>
        <v>0</v>
      </c>
      <c r="S67" s="730">
        <f>S9+S18+S23+S24+S25+S63</f>
        <v>8.01</v>
      </c>
      <c r="T67" s="734">
        <f>T9+T18+T22+T24+T25+T63</f>
        <v>0</v>
      </c>
      <c r="U67" s="734">
        <f>U9+U18+U22+U23+U25+U63</f>
        <v>0</v>
      </c>
      <c r="V67" s="734">
        <f>V8+V63</f>
        <v>17.89</v>
      </c>
      <c r="W67" s="730">
        <f>W8+W27+W28+W29+W30+W31+W32+W33+W34+W46+W47+W48+W49+W50+W51+W52+W53+W54+W55+W56+W57+W58+W59+W60+W61+W62+W63</f>
        <v>4.29</v>
      </c>
      <c r="X67" s="734">
        <f>X8+X26+X28+X29+X30+X31+X32+X33+X34+X46+X47+X48+X49+X50+X51+X52+X53+X54+X55+X56+X57+X58+X59+X60+X61+X62+X63</f>
        <v>0</v>
      </c>
      <c r="Y67" s="734">
        <f>Y8+Y26+Y27+Y29+Y30+Y31+Y32+Y33+Y34+Y46+Y47+Y48+Y49+Y50+Y51+Y52+Y53+Y54+Y55+Y56+Y57+Y58+Y59+Y60+Y61+Y62+Y63</f>
        <v>0</v>
      </c>
      <c r="Z67" s="734">
        <f>Z8+Z26+Z27+Z28+Z30+Z31+Z32+Z33+Z34+Z46+Z47+Z48+Z49+Z50+Z51+Z52+Z53+Z54+Z55+Z56+Z57+Z58+Z59+Z60+Z61+Z62+Z63</f>
        <v>0</v>
      </c>
      <c r="AA67" s="734">
        <f>AA8+AA26+AA27+AA28+AA29+AA31+AA32+AA33+AA34+AA46+AA47+AA48+AA49+AA50+AA51+AA52+AA53+AA54+AA55+AA56+AA57+AA58+AA59+AA60+AA61+AA62+AA63</f>
        <v>0</v>
      </c>
      <c r="AB67" s="734">
        <f>AB8+AB26+AB27+AB28+AB29+AB30+AB32+AB33+AB34+AB46+AB47+AB48+AB49+AB50+AB51+AB52+AB53+AB54+AB55+AB56+AB57+AB58+AB59+AB60+AB61+AB62+AB63</f>
        <v>0</v>
      </c>
      <c r="AC67" s="734">
        <f>AC8+AC26+AC27+AC28+AC29+AC30+AC31+AC33+AC34+AC46+AC47+AC48+AC49+AC50+AC51+AC52+AC53+AC54+AC55+AC56+AC57+AC58+AC59+AC60+AC61+AC62+AC63</f>
        <v>0</v>
      </c>
      <c r="AD67" s="734">
        <f>AD8+AD26+AD27+AD28+AD29+AD30+AD31+AD32+AD34+AD46+AD47+AD48+AD49+AD50+AD51+AD52+AD53+AD54+AD55+AD56+AD57+AD58+AD59+AD60+AD61+AD62+AD63</f>
        <v>0</v>
      </c>
      <c r="AE67" s="734">
        <f>AE8+AE26+AE27+AE28+AE29+AE30+AE31+AE32+AE33+AE46+AE47+AE48+AE49+AE50+AE51+AE52+AE53+AE54+AE55+AE56+AE57+AE58+AE59+AE60+AE61+AE62+AE63</f>
        <v>10.58</v>
      </c>
      <c r="AF67" s="734">
        <f>AF8+AF26+AF27+AF28+AF29+AF30+AF31+AF32+AF33+AF3+AF36+AF37+AF38+AF39+AF40+AF41+AF42+AF43+AF44+AF45+AF46+AF47+AF48+AF49+AF50+AF51+AF52+AF53+AF54+AF55+AF56+AF57+AF58+AF59+AF60+AF61+AF62+AF63</f>
        <v>0</v>
      </c>
      <c r="AG67" s="734">
        <f>AG8+AG26+AG27+AG28+AG29+AG30+AG31+AG32+AG33+AG35+AG37+AG38+AG39+AG40+AG41+AG42+AG43+AG44+AG45+AG46+AG47+AG48+AG49+AG50+AG51+AG52+AG53+AG54+AG55+AG56+AG57+AG58+AG59+AG60+AG61+AG62+AG63</f>
        <v>0</v>
      </c>
      <c r="AH67" s="734">
        <f>AH8+AH26+AH27+AH28+AH29+AH30+AH31+AH32+AH33+AH35+AH36+AH38+AH39+AH40+AH41+AH42+AH43+AH44+AH45+AH46+AH47+AH48+AH49+AH50+AH51+AH52+AH53+AH54+AH55+AH56+AH57+AH58+AH59+AH60+AH61+AH62+AH63</f>
        <v>0</v>
      </c>
      <c r="AI67" s="734">
        <f>AI8+AI26+AI27+AI28+AI29+AI30+AI31+AI32+AI33+AI35+AI36+AI37+AI39+AI40+AI41+AI42+AI43+AI44+AI45+AI46+AI47+AI48+AI49+AI50+AI51+AI52+AI53+AI54+AI55+AI56+AI57+AI58+AI59+AI60+AI61+AI62+AI63</f>
        <v>0</v>
      </c>
      <c r="AJ67" s="734">
        <f>AJ8+AJ26+AJ27+AJ28+AJ29+AJ30+AJ31+AJ32+AJ33+AJ35+AJ36+AJ37+AJ38+AJ40+AJ41+AJ42+AJ43+AJ44+AJ45+AJ46+AJ47+AJ48+AJ49+AJ50+AJ51+AJ52+AJ53+AJ54+AJ55+AJ56+AJ57+AJ58+AJ59+AJ60+AJ61+AJ62+AJ63</f>
        <v>0</v>
      </c>
      <c r="AK67" s="734">
        <f>AK8+AK26+AK27+AK28+AK29+AK30+AK31+AK32+AK33+AK35+AK36+AK37+AK38+AK39+AK41+AK42+AK43+AK44+AK45+AK46+AK47+AK48+AK49+AK50+AK51+AK52+AK53+AK54+AK55+AK56+AK57+AK58+AK59+AK60+AK61+AK62+AK63</f>
        <v>0</v>
      </c>
      <c r="AL67" s="730">
        <f>AL8+AL26+AL27+AL28+AL29+AL30+AL31+AL32+AL33+AL35+AL36+AL37+AL38+AL39+AL40+AL42+AL43+AL44+AL45+AL46+AL47+AL48+AL49+AL50+AL51+AL52+AL53+AL54+AL55+AL56+AL57+AL58+AL59+AL60+AL61+AL62+AL63</f>
        <v>7.73</v>
      </c>
      <c r="AM67" s="734">
        <f>AM8+AM26+AM27+AM28+AM29+AM30+AM31+AM32+AM33+AM35+AM36+AM37+AM38+AM39+AM40+AM41+AM43+AM44+AM45+AM46+AM47+AM48+AM49+AM50+AM51+AM52+AM53+AM54+AM55+AM56+AM57+AM58+AM59+AM60+AM61+AM62+AM63</f>
        <v>0.48000000000000004</v>
      </c>
      <c r="AN67" s="734">
        <f>AN8+AN26+AN27+AN28+AN29+AN30+AN31+AN32+AN33+AN35+AN36+AN37+AN38+AN39+AN40+AN41+AN42+AN44+AN45+AN46+AN47+AN48+AN49+AN50+AN51+AN52+AN53+AN54+AN55+AN56+AN57+AN58+AN59+AN60+AN61+AN62+AN63</f>
        <v>0</v>
      </c>
      <c r="AO67" s="734">
        <f>AO8+AO26+AO27+AO28+AO29+AO30+AO31+AO32+AO33+AO35+AO36+AO37+AO38+AO39+AO40+AO41+AO42+AO43+AO45+AO46+AO47+AO48+AO49+AO50+AO51+AO52+AO53+AO54+AO55+AO56+AO57+AO58+AO59+AO60+AO61+AO62+AO63</f>
        <v>0</v>
      </c>
      <c r="AP67" s="734">
        <f>AP8+AP26+AP27+AP28+AP29+AP30+AP31+AP32+AP33+AP35+AP36+AP37+AP38+AP39+AP40+AP41+AP42+AP43+AP44+AP46+AP47+AP48+AP49+AP50+AP51+AP52+AP53+AP54+AP55+AP56+AP57+AP58+AP59+AP60+AP61+AP62+AP63</f>
        <v>2.9</v>
      </c>
      <c r="AQ67" s="734">
        <f>AQ8+AQ26+AQ27+AQ28+AQ29+AQ30+AQ31+AQ32+AQ33+AQ34+AQ47+AQ48+AQ49+AQ50+AQ51+AQ52+AQ53+AQ54+AQ55+AQ56+AQ57+AQ58+AQ59+AQ60+AQ61+AQ62+AQ63</f>
        <v>0</v>
      </c>
      <c r="AR67" s="734">
        <f>AR8+AR26+AR27+AR28+AR29+AR30+AR31+AR32+AR33+AR34+AR46+AR48+AR49+AR50+AR51+AR52+AR53+AR54+AR55+AR56+AR57+AR58+AR59+AR60+AR61+AR62+AR63</f>
        <v>0</v>
      </c>
      <c r="AS67" s="734">
        <f>AS8+AS26+AS27+AS28+AS29+AS30+AS31+AS32+AS33+AS34+AS46+AS47+AS49+AS50+AS51+AS52+AS53+AS54+AS55+AS56+AS57+AS58+AS59+AS60+AS61+AS62+AS63</f>
        <v>1.29</v>
      </c>
      <c r="AT67" s="730">
        <f>AT8+AT26+AT27+AT28+AT29+AT30+AT31+AT32+AT33+AT34+AT46+AT47+AT48+AT50+AT51+AT52+AT53+AT54+AT55+AT56+AT57+AT58+AT59+AT60+AT61+AT62+AT63</f>
        <v>1.82</v>
      </c>
      <c r="AU67" s="734">
        <f>AU8+AU26+AU27+AU28+AU29+AU30+AU31+AU32+AU33+AU34+AU46+AU47+AU48+AU49+AU51+AU52+AU53+AU54+AU55+AU56+AU57+AU58+AU59+AU60+AU61+AU62+AU63</f>
        <v>0</v>
      </c>
      <c r="AV67" s="734">
        <f>AV8+AV26+AV27+AV28+AV29+AV30+AV31+AV32+AV33+AV34+AV46+AV47+AV48+AV49+AV50+AV52+AV53+AV54+AV55+AV56+AV57+AV58+AV59+AV60+AV61+AV62+AV63</f>
        <v>0</v>
      </c>
      <c r="AW67" s="734">
        <f>AW8+AW26+AW27+AW28+AW29+AW30+AW31+AW32+AW33+AW34+AW46+AW47+AW48+AW49+AW50+AW51+AW53+AW54+AW55+AW56+AW57+AW58+AW59+AW60+AW61+AW62+AW63</f>
        <v>0</v>
      </c>
      <c r="AX67" s="734">
        <f>AX8+AX26+AX27+AX28+AX29+AX30+AX31+AX32+AX33+AX34+AX46+AX47+AX48+AX49+AX50+AX51+AX52+AX54+AX55+AX56+AX57+AX58+AX59+AX60+AX61+AX62+AX63</f>
        <v>0</v>
      </c>
      <c r="AY67" s="734">
        <f>AY8+AY26+AY27+AY28+AY29+AY30+AY31+AY32+AY33+AY34+AY46+AY47+AY48+AY49+AY50+AY51+AY52+AY53+AY55+AY56+AY57+AY58+AY59+AY60+AY61+AY62+AY63</f>
        <v>0</v>
      </c>
      <c r="AZ67" s="734">
        <f>AZ8+AZ26+AZ27+AZ28+AZ29+AZ30+AZ31+AZ32+AZ33+AZ34+AZ46+AZ47+AZ48+AZ49+AZ50+AZ51+AZ52+AZ53+AZ54+AZ56+AZ57+AZ58+AZ59+AZ60+AZ61+AZ62+AZ63</f>
        <v>0</v>
      </c>
      <c r="BA67" s="730">
        <f>BA8+BA26+BA27+BA28+BA29+BA30+BA31+BA32+BA33+BA34+BA46+BA47+BA48+BA49+BA50+BA51+BA52+BA53+BA54+BA55+BA57+BA58+BA59+BA60+BA61+BA62+BA63</f>
        <v>0</v>
      </c>
      <c r="BB67" s="734">
        <f>BB8+BB26+BB27+BB28+BB29+BB30+BB31+BB32+BB33+BB34+BB46+BB47+BB48+BB49+BB50+BB51+BB52+BB53+BB54+BB55+BB56+BB58+BB59+BB60+BB61+BB62+BB63</f>
        <v>0</v>
      </c>
      <c r="BC67" s="734">
        <f>BC8+BC26+BC27+BC28+BC29+BC30+BC31+BC32+BC33+BC34+BC46+BC47+BC48+BC49+BC50+BC51+BC52+BC53+BC54+BC55+BC56+BC57+BC59+BC60+BC61+BC62+BC63</f>
        <v>0</v>
      </c>
      <c r="BD67" s="734">
        <f>BD8+BD26+BD27+BD28+BD29+BD30+BD31+BD32+BD33+BD34+BD46+BD47+BD48+BD49+BD50+BD51+BD52+BD53+BD54+BD55+BD56+BD57+BD58+BD60+BD61+BD62+BD63</f>
        <v>0</v>
      </c>
      <c r="BE67" s="734">
        <f>BE8+BE26+BE27+BE28+BE29+BE30+BE31+BE32+BE33+BE34+BE46+BE47+BE48+BE49+BE50+BE51+BE52+BE53+BE54+BE55+BE56+BE57+BE58+BE59+BE61+BE62+BE63</f>
        <v>0</v>
      </c>
      <c r="BF67" s="734">
        <f>BF8+BF26+BF27+BF28+BF29+BF30+BF31+BF32+BF33+BF34+BF46+BF47+BF48+BF49+BF50+BF51+BF52+BF53+BF54+BF55+BF56+BF57+BF58+BF59+BF60+BF62+BF63</f>
        <v>0</v>
      </c>
      <c r="BG67" s="734">
        <f>BG8+BG26+BG27+BG28+BG29+BG30+BG31+BG32+BG33+BG34+BG46+BG47+BG48+BG49+BG50+BG51+BG52+BG53+BG54+BG55+BG56+BG57+BG58+BG59+BG60+BG61+BG63</f>
        <v>0</v>
      </c>
      <c r="BH67" s="734">
        <f>BH8+BH25</f>
        <v>0</v>
      </c>
      <c r="BI67" s="734">
        <f>BI8+BI25+BI65+BI66</f>
        <v>0</v>
      </c>
      <c r="BJ67" s="734">
        <f>BJ8+BJ25+BJ64+BJ66</f>
        <v>0</v>
      </c>
      <c r="BK67" s="734">
        <f>BK8+BK25+BK64+BK65</f>
        <v>0</v>
      </c>
      <c r="BL67" s="734"/>
      <c r="BM67" s="734"/>
      <c r="BN67" s="462"/>
      <c r="BP67" s="117"/>
    </row>
    <row r="68" spans="1:68" s="103" customFormat="1" ht="31.5" customHeight="1">
      <c r="A68" s="10"/>
      <c r="B68" s="10" t="s">
        <v>695</v>
      </c>
      <c r="C68" s="111"/>
      <c r="D68" s="459">
        <f>BN7</f>
        <v>4425.3450000000003</v>
      </c>
      <c r="E68" s="459">
        <f>BN8</f>
        <v>3367.7200000000003</v>
      </c>
      <c r="F68" s="459">
        <f>BN9</f>
        <v>518.86</v>
      </c>
      <c r="G68" s="459">
        <f>BN10</f>
        <v>387.4</v>
      </c>
      <c r="H68" s="459">
        <f>BN11</f>
        <v>230.85</v>
      </c>
      <c r="I68" s="459">
        <f>BN12</f>
        <v>165.94</v>
      </c>
      <c r="J68" s="459">
        <f>BN13</f>
        <v>64.91</v>
      </c>
      <c r="K68" s="459">
        <f>BN14</f>
        <v>0</v>
      </c>
      <c r="L68" s="459">
        <f>BN15</f>
        <v>0</v>
      </c>
      <c r="M68" s="459">
        <f>BN16</f>
        <v>156.55000000000001</v>
      </c>
      <c r="N68" s="459">
        <f>BN17</f>
        <v>131.46</v>
      </c>
      <c r="O68" s="459">
        <f>BN18</f>
        <v>2442.21</v>
      </c>
      <c r="P68" s="459">
        <f>BN19</f>
        <v>962.59</v>
      </c>
      <c r="Q68" s="459">
        <f>BN20</f>
        <v>0</v>
      </c>
      <c r="R68" s="459">
        <f>BN21</f>
        <v>1479.62</v>
      </c>
      <c r="S68" s="459">
        <f>BN22</f>
        <v>406.65</v>
      </c>
      <c r="T68" s="459">
        <f>BN23</f>
        <v>0</v>
      </c>
      <c r="U68" s="459">
        <f>BN24</f>
        <v>0</v>
      </c>
      <c r="V68" s="459">
        <f>BN25</f>
        <v>499.42500000000007</v>
      </c>
      <c r="W68" s="459">
        <f>BN26</f>
        <v>11.35</v>
      </c>
      <c r="X68" s="459">
        <f>BN27</f>
        <v>0</v>
      </c>
      <c r="Y68" s="459">
        <f>BN28</f>
        <v>0</v>
      </c>
      <c r="Z68" s="459">
        <f>BN29</f>
        <v>0</v>
      </c>
      <c r="AA68" s="459">
        <f>BN30</f>
        <v>0</v>
      </c>
      <c r="AB68" s="459">
        <f>BN31</f>
        <v>0.2</v>
      </c>
      <c r="AC68" s="459">
        <f>BN32</f>
        <v>0.26</v>
      </c>
      <c r="AD68" s="459">
        <f>BN33</f>
        <v>0</v>
      </c>
      <c r="AE68" s="459">
        <f>BN34</f>
        <v>178.30500000000001</v>
      </c>
      <c r="AF68" s="459">
        <f>BN35</f>
        <v>0.23</v>
      </c>
      <c r="AG68" s="459">
        <f>BN36</f>
        <v>0.16</v>
      </c>
      <c r="AH68" s="459">
        <f>BN37</f>
        <v>3.74</v>
      </c>
      <c r="AI68" s="459">
        <f>BN38</f>
        <v>1.92</v>
      </c>
      <c r="AJ68" s="459">
        <f>BN39</f>
        <v>0</v>
      </c>
      <c r="AK68" s="459">
        <f>BN40</f>
        <v>0</v>
      </c>
      <c r="AL68" s="459">
        <f>BN41</f>
        <v>113.06</v>
      </c>
      <c r="AM68" s="459">
        <f>BN42</f>
        <v>52.115000000000002</v>
      </c>
      <c r="AN68" s="459">
        <f>BN43</f>
        <v>0.62</v>
      </c>
      <c r="AO68" s="459">
        <f>BN44</f>
        <v>0.11</v>
      </c>
      <c r="AP68" s="459">
        <f>BN45</f>
        <v>6.35</v>
      </c>
      <c r="AQ68" s="459">
        <f>BN46</f>
        <v>0</v>
      </c>
      <c r="AR68" s="459">
        <f>BN47</f>
        <v>0</v>
      </c>
      <c r="AS68" s="459">
        <f>BN48</f>
        <v>1.29</v>
      </c>
      <c r="AT68" s="459">
        <f>BN49</f>
        <v>58.58</v>
      </c>
      <c r="AU68" s="459">
        <f>BN50</f>
        <v>0</v>
      </c>
      <c r="AV68" s="459">
        <f>BN51</f>
        <v>1.1100000000000001</v>
      </c>
      <c r="AW68" s="459">
        <f>BN52</f>
        <v>0</v>
      </c>
      <c r="AX68" s="459">
        <f>BN53</f>
        <v>0</v>
      </c>
      <c r="AY68" s="459">
        <f>BN54</f>
        <v>0</v>
      </c>
      <c r="AZ68" s="459">
        <f>BN55</f>
        <v>27.25</v>
      </c>
      <c r="BA68" s="459">
        <f>BN56</f>
        <v>0</v>
      </c>
      <c r="BB68" s="459">
        <f>BN57</f>
        <v>0.5</v>
      </c>
      <c r="BC68" s="459">
        <f>BN58</f>
        <v>0</v>
      </c>
      <c r="BD68" s="459">
        <f>BN59</f>
        <v>0.7</v>
      </c>
      <c r="BE68" s="459">
        <f>BN60</f>
        <v>66.039999999999992</v>
      </c>
      <c r="BF68" s="459">
        <f>BN61</f>
        <v>153.84</v>
      </c>
      <c r="BG68" s="459">
        <f>BN62</f>
        <v>0</v>
      </c>
      <c r="BH68" s="459">
        <f>BN63</f>
        <v>558.19999999999993</v>
      </c>
      <c r="BI68" s="459">
        <f>BN64</f>
        <v>557.80999999999995</v>
      </c>
      <c r="BJ68" s="459">
        <f>BN65</f>
        <v>0.39</v>
      </c>
      <c r="BK68" s="459">
        <f>BN66</f>
        <v>0</v>
      </c>
      <c r="BL68" s="459"/>
      <c r="BM68" s="459"/>
      <c r="BN68" s="459"/>
      <c r="BP68" s="117"/>
    </row>
    <row r="69" spans="1:68" ht="24.95" customHeight="1">
      <c r="X69">
        <v>2.62</v>
      </c>
    </row>
    <row r="70" spans="1:68" ht="18" customHeight="1">
      <c r="A70" s="1300" t="s">
        <v>10</v>
      </c>
      <c r="B70" s="1300"/>
      <c r="X70">
        <v>0.25</v>
      </c>
      <c r="Y70">
        <v>2.42</v>
      </c>
      <c r="Z70">
        <f>X69+X70+Y70</f>
        <v>5.29</v>
      </c>
    </row>
    <row r="71" spans="1:68" ht="28.5" customHeight="1">
      <c r="A71" s="1300" t="s">
        <v>321</v>
      </c>
      <c r="B71" s="1300"/>
      <c r="C71" s="1300"/>
      <c r="D71" s="1300"/>
      <c r="E71" s="1300"/>
      <c r="F71" s="1300"/>
      <c r="G71" s="1300"/>
      <c r="H71" s="1300"/>
      <c r="I71" s="1300"/>
      <c r="J71" s="1300"/>
      <c r="K71" s="1300"/>
      <c r="L71" s="1300"/>
      <c r="M71" s="1300"/>
      <c r="N71" s="1300"/>
      <c r="O71" s="1300"/>
      <c r="P71" s="1300"/>
      <c r="Q71" s="1300"/>
      <c r="R71" s="1300"/>
      <c r="S71" s="1300"/>
      <c r="T71" s="1300"/>
      <c r="U71" s="1300"/>
      <c r="V71" s="1300"/>
      <c r="W71" s="1300"/>
      <c r="X71" s="1300"/>
      <c r="Y71" s="1300"/>
      <c r="Z71" s="1300"/>
      <c r="AA71" s="1300"/>
      <c r="AB71" s="1300"/>
      <c r="AC71" s="1300"/>
      <c r="AD71" s="1300"/>
      <c r="AE71" s="1300"/>
      <c r="AF71" s="1300"/>
      <c r="AG71" s="1300"/>
      <c r="AH71" s="1300"/>
      <c r="AI71" s="1300"/>
      <c r="AJ71" s="1300"/>
      <c r="AK71" s="1300"/>
      <c r="AL71" s="1300"/>
      <c r="AM71" s="1300"/>
      <c r="AN71" s="1300"/>
      <c r="AO71" s="1300"/>
      <c r="AP71" s="1300"/>
      <c r="AQ71" s="1300"/>
      <c r="AR71" s="1300"/>
      <c r="AS71" s="1300"/>
    </row>
    <row r="72" spans="1:68" ht="24.75" customHeight="1">
      <c r="A72" s="1300" t="s">
        <v>322</v>
      </c>
      <c r="B72" s="1300"/>
      <c r="C72" s="1300"/>
      <c r="D72" s="1300"/>
      <c r="E72" s="1300"/>
      <c r="F72" s="1300"/>
      <c r="G72" s="1300"/>
      <c r="H72" s="1300"/>
      <c r="I72" s="1300"/>
      <c r="J72" s="1300"/>
      <c r="K72" s="1300"/>
      <c r="L72" s="1300"/>
      <c r="M72" s="1300"/>
      <c r="N72" s="1300"/>
      <c r="O72" s="1300"/>
      <c r="P72" s="1300"/>
      <c r="Q72" s="1300"/>
      <c r="R72" s="1300"/>
      <c r="S72" s="1300"/>
      <c r="T72" s="1300"/>
      <c r="U72" s="1300"/>
      <c r="V72" s="1300"/>
      <c r="W72" s="1300"/>
      <c r="X72" s="1300"/>
      <c r="Y72" s="1300"/>
      <c r="Z72" s="1300"/>
      <c r="AA72" s="1300"/>
      <c r="AB72" s="1300"/>
      <c r="AC72" s="1300"/>
      <c r="AD72" s="1300"/>
      <c r="AE72" s="1300"/>
      <c r="AF72" s="1300"/>
      <c r="AG72" s="1300"/>
      <c r="AH72" s="1300"/>
      <c r="AI72" s="1300"/>
      <c r="AJ72" s="1300"/>
      <c r="AK72" s="1300"/>
      <c r="AL72" s="1300"/>
      <c r="AM72" s="1300"/>
      <c r="AN72" s="1300"/>
      <c r="AO72" s="1300"/>
      <c r="AP72" s="1300"/>
      <c r="AQ72" s="1300"/>
      <c r="AR72" s="1300"/>
      <c r="AS72" s="1300"/>
    </row>
    <row r="73" spans="1:68" ht="21.75" customHeight="1">
      <c r="AR73" s="1300" t="s">
        <v>138</v>
      </c>
      <c r="AS73" s="1300"/>
    </row>
    <row r="74" spans="1:68" ht="31.5" customHeight="1">
      <c r="A74" s="1300" t="s">
        <v>0</v>
      </c>
      <c r="B74" s="1300" t="s">
        <v>12</v>
      </c>
      <c r="C74" s="1302" t="s">
        <v>13</v>
      </c>
      <c r="D74" s="1300" t="s">
        <v>324</v>
      </c>
      <c r="E74" s="1300" t="s">
        <v>326</v>
      </c>
      <c r="F74" s="1300"/>
      <c r="G74" s="1300"/>
      <c r="H74" s="1300"/>
      <c r="I74" s="1300"/>
      <c r="J74" s="1300"/>
      <c r="K74" s="1300"/>
      <c r="L74" s="1300"/>
      <c r="M74" s="1300"/>
      <c r="N74" s="1300"/>
      <c r="O74" s="1300"/>
      <c r="P74" s="1300"/>
      <c r="Q74" s="1300"/>
      <c r="R74" s="1300"/>
      <c r="S74" s="1300"/>
      <c r="T74" s="1300"/>
      <c r="U74" s="1300"/>
      <c r="V74" s="1300"/>
      <c r="W74" s="1300"/>
      <c r="X74" s="1300"/>
      <c r="Y74" s="1300"/>
      <c r="Z74" s="1300"/>
      <c r="AA74" s="1300"/>
      <c r="AB74" s="1300"/>
      <c r="AC74" s="1300"/>
      <c r="AD74" s="1300"/>
      <c r="AE74" s="1300"/>
      <c r="AF74" s="1300"/>
      <c r="AG74" s="1300"/>
      <c r="AH74" s="1300"/>
      <c r="AI74" s="1300"/>
      <c r="AJ74" s="1300"/>
      <c r="AK74" s="1300"/>
      <c r="AL74" s="1300"/>
      <c r="AM74" s="1300"/>
      <c r="AN74" s="1300"/>
      <c r="AO74" s="1300"/>
      <c r="AP74" s="1300"/>
      <c r="AQ74" s="1300"/>
      <c r="AR74" s="1300" t="s">
        <v>191</v>
      </c>
      <c r="AS74" s="1300" t="s">
        <v>323</v>
      </c>
    </row>
    <row r="75" spans="1:68" ht="30" customHeight="1">
      <c r="A75" s="1300"/>
      <c r="B75" s="1300"/>
      <c r="C75" s="1302"/>
      <c r="D75" s="1300"/>
      <c r="E75" t="s">
        <v>15</v>
      </c>
      <c r="F75" t="s">
        <v>18</v>
      </c>
      <c r="G75" t="s">
        <v>20</v>
      </c>
      <c r="H75" t="s">
        <v>23</v>
      </c>
      <c r="I75" t="s">
        <v>26</v>
      </c>
      <c r="J75" t="s">
        <v>29</v>
      </c>
      <c r="K75" t="s">
        <v>32</v>
      </c>
      <c r="L75" t="s">
        <v>35</v>
      </c>
      <c r="M75" t="s">
        <v>38</v>
      </c>
      <c r="N75" t="s">
        <v>41</v>
      </c>
      <c r="O75" t="s">
        <v>44</v>
      </c>
      <c r="P75" t="s">
        <v>46</v>
      </c>
      <c r="Q75" t="s">
        <v>49</v>
      </c>
      <c r="R75" t="s">
        <v>52</v>
      </c>
      <c r="S75" t="s">
        <v>55</v>
      </c>
      <c r="T75" t="s">
        <v>58</v>
      </c>
      <c r="U75" t="s">
        <v>61</v>
      </c>
      <c r="V75" t="s">
        <v>64</v>
      </c>
      <c r="W75" t="s">
        <v>67</v>
      </c>
      <c r="X75" t="s">
        <v>70</v>
      </c>
      <c r="Y75" t="s">
        <v>72</v>
      </c>
      <c r="Z75" t="s">
        <v>75</v>
      </c>
      <c r="AA75" t="s">
        <v>78</v>
      </c>
      <c r="AB75" t="s">
        <v>81</v>
      </c>
      <c r="AC75" t="s">
        <v>84</v>
      </c>
      <c r="AD75" t="s">
        <v>87</v>
      </c>
      <c r="AE75" t="s">
        <v>90</v>
      </c>
      <c r="AF75" t="s">
        <v>93</v>
      </c>
      <c r="AG75" t="s">
        <v>96</v>
      </c>
      <c r="AH75" t="s">
        <v>99</v>
      </c>
      <c r="AI75" t="s">
        <v>101</v>
      </c>
      <c r="AJ75" t="s">
        <v>104</v>
      </c>
      <c r="AK75" t="s">
        <v>107</v>
      </c>
      <c r="AL75" t="s">
        <v>110</v>
      </c>
      <c r="AM75" t="s">
        <v>113</v>
      </c>
      <c r="AN75" t="s">
        <v>116</v>
      </c>
      <c r="AO75" t="s">
        <v>119</v>
      </c>
      <c r="AP75" t="s">
        <v>122</v>
      </c>
      <c r="AQ75" t="s">
        <v>124</v>
      </c>
      <c r="AR75" s="1300"/>
      <c r="AS75" s="1300"/>
    </row>
    <row r="76" spans="1:68" ht="27.75" customHeight="1">
      <c r="B76" t="s">
        <v>189</v>
      </c>
      <c r="D76">
        <f>D77+D88+D115</f>
        <v>4425.3449999999993</v>
      </c>
      <c r="E76">
        <f t="shared" ref="E76:AS76" si="33">E77+E88+E115</f>
        <v>3367.72</v>
      </c>
      <c r="F76">
        <f t="shared" si="33"/>
        <v>230.85</v>
      </c>
      <c r="G76">
        <f t="shared" si="33"/>
        <v>0</v>
      </c>
      <c r="H76">
        <f t="shared" si="33"/>
        <v>156.55000000000001</v>
      </c>
      <c r="I76">
        <f t="shared" si="33"/>
        <v>131.46</v>
      </c>
      <c r="J76">
        <f>J77+J88+J115</f>
        <v>967.14</v>
      </c>
      <c r="K76">
        <f t="shared" si="33"/>
        <v>-4.47</v>
      </c>
      <c r="L76">
        <f t="shared" si="33"/>
        <v>1479.54</v>
      </c>
      <c r="M76">
        <f t="shared" si="33"/>
        <v>406.65</v>
      </c>
      <c r="N76">
        <f t="shared" si="33"/>
        <v>0</v>
      </c>
      <c r="O76">
        <f t="shared" si="33"/>
        <v>0</v>
      </c>
      <c r="P76">
        <f t="shared" si="33"/>
        <v>499.42499999999995</v>
      </c>
      <c r="Q76">
        <f t="shared" si="33"/>
        <v>11.35</v>
      </c>
      <c r="R76">
        <f t="shared" si="33"/>
        <v>0</v>
      </c>
      <c r="S76">
        <f t="shared" si="33"/>
        <v>0</v>
      </c>
      <c r="T76">
        <f t="shared" si="33"/>
        <v>0</v>
      </c>
      <c r="U76">
        <f t="shared" si="33"/>
        <v>0</v>
      </c>
      <c r="V76">
        <f t="shared" si="33"/>
        <v>0.2</v>
      </c>
      <c r="W76">
        <f t="shared" si="33"/>
        <v>0.26</v>
      </c>
      <c r="X76">
        <f t="shared" si="33"/>
        <v>0</v>
      </c>
      <c r="Y76">
        <f t="shared" si="33"/>
        <v>178.30499999999998</v>
      </c>
      <c r="Z76">
        <f t="shared" si="33"/>
        <v>0</v>
      </c>
      <c r="AA76">
        <f t="shared" si="33"/>
        <v>0</v>
      </c>
      <c r="AB76">
        <f t="shared" si="33"/>
        <v>1.29</v>
      </c>
      <c r="AC76">
        <f t="shared" si="33"/>
        <v>58.58</v>
      </c>
      <c r="AD76">
        <f t="shared" si="33"/>
        <v>0</v>
      </c>
      <c r="AE76">
        <f t="shared" si="33"/>
        <v>1.1100000000000001</v>
      </c>
      <c r="AF76">
        <f t="shared" si="33"/>
        <v>0</v>
      </c>
      <c r="AG76">
        <f t="shared" si="33"/>
        <v>0</v>
      </c>
      <c r="AH76">
        <f t="shared" si="33"/>
        <v>0</v>
      </c>
      <c r="AI76">
        <f t="shared" si="33"/>
        <v>27.25</v>
      </c>
      <c r="AJ76">
        <f t="shared" si="33"/>
        <v>0</v>
      </c>
      <c r="AK76">
        <f t="shared" si="33"/>
        <v>0.5</v>
      </c>
      <c r="AL76">
        <f t="shared" si="33"/>
        <v>0</v>
      </c>
      <c r="AM76">
        <f t="shared" si="33"/>
        <v>0.7</v>
      </c>
      <c r="AN76">
        <f t="shared" si="33"/>
        <v>66.039999999999992</v>
      </c>
      <c r="AO76">
        <f t="shared" si="33"/>
        <v>153.84</v>
      </c>
      <c r="AP76">
        <f t="shared" si="33"/>
        <v>0</v>
      </c>
      <c r="AQ76">
        <f t="shared" si="33"/>
        <v>4.57</v>
      </c>
      <c r="AS76">
        <f t="shared" si="33"/>
        <v>4425.3450000000003</v>
      </c>
    </row>
    <row r="77" spans="1:68" ht="20.25" customHeight="1">
      <c r="A77">
        <v>1</v>
      </c>
      <c r="B77" t="s">
        <v>14</v>
      </c>
      <c r="C77" s="105" t="s">
        <v>15</v>
      </c>
      <c r="D77">
        <f>D78+D80+D81+D82+D83+D84+D85+D86+D87</f>
        <v>3376.74</v>
      </c>
      <c r="E77">
        <f t="shared" ref="E77:AS77" si="34">E78+E80+E81+E82+E83+E84+E85+E86+E87</f>
        <v>3363.0399999999995</v>
      </c>
      <c r="F77">
        <f t="shared" si="34"/>
        <v>230.85</v>
      </c>
      <c r="G77">
        <f t="shared" si="34"/>
        <v>0</v>
      </c>
      <c r="H77">
        <f t="shared" si="34"/>
        <v>156.55000000000001</v>
      </c>
      <c r="I77">
        <f t="shared" si="34"/>
        <v>131.46</v>
      </c>
      <c r="J77">
        <f t="shared" si="34"/>
        <v>967.14</v>
      </c>
      <c r="K77">
        <f t="shared" si="34"/>
        <v>-4.47</v>
      </c>
      <c r="L77">
        <f t="shared" si="34"/>
        <v>1479.54</v>
      </c>
      <c r="M77">
        <f t="shared" si="34"/>
        <v>401.96999999999997</v>
      </c>
      <c r="N77">
        <f t="shared" si="34"/>
        <v>0</v>
      </c>
      <c r="O77">
        <f t="shared" si="34"/>
        <v>0</v>
      </c>
      <c r="P77">
        <f>P78+P80+P81+P82+P83+P84+P85+P86+P87</f>
        <v>13.7</v>
      </c>
      <c r="Q77">
        <f t="shared" si="34"/>
        <v>4.29</v>
      </c>
      <c r="R77">
        <f t="shared" si="34"/>
        <v>0</v>
      </c>
      <c r="S77">
        <f t="shared" si="34"/>
        <v>0</v>
      </c>
      <c r="T77">
        <f t="shared" si="34"/>
        <v>0</v>
      </c>
      <c r="U77">
        <f t="shared" si="34"/>
        <v>0</v>
      </c>
      <c r="V77">
        <f t="shared" si="34"/>
        <v>0</v>
      </c>
      <c r="W77">
        <f t="shared" si="34"/>
        <v>0</v>
      </c>
      <c r="X77">
        <f t="shared" si="34"/>
        <v>0</v>
      </c>
      <c r="Y77">
        <f t="shared" si="34"/>
        <v>7.64</v>
      </c>
      <c r="Z77">
        <f t="shared" si="34"/>
        <v>0</v>
      </c>
      <c r="AA77">
        <f t="shared" si="34"/>
        <v>0</v>
      </c>
      <c r="AB77">
        <f t="shared" si="34"/>
        <v>0</v>
      </c>
      <c r="AC77">
        <f t="shared" si="34"/>
        <v>1.77</v>
      </c>
      <c r="AD77">
        <f t="shared" si="34"/>
        <v>0</v>
      </c>
      <c r="AE77">
        <f t="shared" si="34"/>
        <v>0</v>
      </c>
      <c r="AF77">
        <f t="shared" si="34"/>
        <v>0</v>
      </c>
      <c r="AG77">
        <f t="shared" si="34"/>
        <v>0</v>
      </c>
      <c r="AH77">
        <f t="shared" si="34"/>
        <v>0</v>
      </c>
      <c r="AI77">
        <f t="shared" si="34"/>
        <v>0</v>
      </c>
      <c r="AJ77">
        <f t="shared" si="34"/>
        <v>0</v>
      </c>
      <c r="AK77">
        <f t="shared" si="34"/>
        <v>0</v>
      </c>
      <c r="AL77">
        <f t="shared" si="34"/>
        <v>0</v>
      </c>
      <c r="AM77">
        <f t="shared" si="34"/>
        <v>0</v>
      </c>
      <c r="AN77">
        <f t="shared" si="34"/>
        <v>0</v>
      </c>
      <c r="AO77">
        <f t="shared" si="34"/>
        <v>0</v>
      </c>
      <c r="AP77">
        <f t="shared" si="34"/>
        <v>0</v>
      </c>
      <c r="AQ77">
        <f t="shared" si="34"/>
        <v>0</v>
      </c>
      <c r="AR77">
        <f>P77</f>
        <v>13.7</v>
      </c>
      <c r="AS77">
        <f t="shared" si="34"/>
        <v>3367.72</v>
      </c>
    </row>
    <row r="78" spans="1:68" ht="20.25" customHeight="1">
      <c r="A78" t="s">
        <v>16</v>
      </c>
      <c r="B78" t="s">
        <v>17</v>
      </c>
      <c r="C78" s="105" t="s">
        <v>18</v>
      </c>
      <c r="D78">
        <f>D11</f>
        <v>231.57999999999998</v>
      </c>
      <c r="E78">
        <f>F78+H78+I78+J78+K78+L78+M78+N78+O78</f>
        <v>231.57999999999998</v>
      </c>
      <c r="F78">
        <f>D78-AR78</f>
        <v>230.85</v>
      </c>
      <c r="G78">
        <f>I13</f>
        <v>0</v>
      </c>
      <c r="H78">
        <f>M11</f>
        <v>0</v>
      </c>
      <c r="I78">
        <f>N11</f>
        <v>0</v>
      </c>
      <c r="J78">
        <f t="shared" ref="J78:O79" si="35">P11</f>
        <v>0</v>
      </c>
      <c r="K78">
        <f t="shared" si="35"/>
        <v>0</v>
      </c>
      <c r="L78">
        <f t="shared" si="35"/>
        <v>0</v>
      </c>
      <c r="M78">
        <f t="shared" si="35"/>
        <v>0.73</v>
      </c>
      <c r="N78">
        <f t="shared" si="35"/>
        <v>0</v>
      </c>
      <c r="O78">
        <f t="shared" si="35"/>
        <v>0</v>
      </c>
      <c r="P78">
        <f>SUM(Q78:AP78)</f>
        <v>0</v>
      </c>
      <c r="Q78">
        <f t="shared" ref="Q78:Y79" si="36">W11</f>
        <v>0</v>
      </c>
      <c r="R78">
        <f t="shared" si="36"/>
        <v>0</v>
      </c>
      <c r="S78">
        <f t="shared" si="36"/>
        <v>0</v>
      </c>
      <c r="T78">
        <f t="shared" si="36"/>
        <v>0</v>
      </c>
      <c r="U78">
        <f t="shared" si="36"/>
        <v>0</v>
      </c>
      <c r="V78">
        <f t="shared" si="36"/>
        <v>0</v>
      </c>
      <c r="W78">
        <f t="shared" si="36"/>
        <v>0</v>
      </c>
      <c r="X78">
        <f t="shared" si="36"/>
        <v>0</v>
      </c>
      <c r="Y78">
        <f t="shared" si="36"/>
        <v>0</v>
      </c>
      <c r="Z78">
        <f>AQ11</f>
        <v>0</v>
      </c>
      <c r="AA78">
        <f t="shared" ref="AA78:AQ79" si="37">AR11</f>
        <v>0</v>
      </c>
      <c r="AB78">
        <f t="shared" si="37"/>
        <v>0</v>
      </c>
      <c r="AC78">
        <f t="shared" si="37"/>
        <v>0</v>
      </c>
      <c r="AD78">
        <f t="shared" si="37"/>
        <v>0</v>
      </c>
      <c r="AE78">
        <f t="shared" si="37"/>
        <v>0</v>
      </c>
      <c r="AF78">
        <f t="shared" si="37"/>
        <v>0</v>
      </c>
      <c r="AG78">
        <f t="shared" si="37"/>
        <v>0</v>
      </c>
      <c r="AH78">
        <f t="shared" si="37"/>
        <v>0</v>
      </c>
      <c r="AI78">
        <f t="shared" si="37"/>
        <v>0</v>
      </c>
      <c r="AJ78">
        <f t="shared" si="37"/>
        <v>0</v>
      </c>
      <c r="AK78">
        <f t="shared" si="37"/>
        <v>0</v>
      </c>
      <c r="AL78">
        <f t="shared" si="37"/>
        <v>0</v>
      </c>
      <c r="AM78">
        <f t="shared" si="37"/>
        <v>0</v>
      </c>
      <c r="AN78">
        <f t="shared" si="37"/>
        <v>0</v>
      </c>
      <c r="AO78">
        <f t="shared" si="37"/>
        <v>0</v>
      </c>
      <c r="AP78">
        <f t="shared" si="37"/>
        <v>0</v>
      </c>
      <c r="AQ78">
        <f t="shared" si="37"/>
        <v>0</v>
      </c>
      <c r="AR78">
        <f>H78+I78+J78+K78+L78+M78+N78+O78+P78+AQ78</f>
        <v>0.73</v>
      </c>
      <c r="AS78">
        <f>D78+F116-AR78</f>
        <v>230.85</v>
      </c>
    </row>
    <row r="79" spans="1:68" ht="20.25" customHeight="1">
      <c r="B79" t="s">
        <v>19</v>
      </c>
      <c r="C79" s="105" t="s">
        <v>20</v>
      </c>
      <c r="D79">
        <f>D12</f>
        <v>166.66</v>
      </c>
      <c r="E79">
        <f t="shared" ref="E79:E114" si="38">F79+H79+I79+J79+K79+L79+M79+N79+O79</f>
        <v>0.72</v>
      </c>
      <c r="G79">
        <f>D79-AR79</f>
        <v>165.94</v>
      </c>
      <c r="H79">
        <f>M12</f>
        <v>0</v>
      </c>
      <c r="I79">
        <f>N12</f>
        <v>0</v>
      </c>
      <c r="J79">
        <f t="shared" si="35"/>
        <v>0</v>
      </c>
      <c r="K79">
        <f t="shared" si="35"/>
        <v>0</v>
      </c>
      <c r="L79">
        <f t="shared" si="35"/>
        <v>0</v>
      </c>
      <c r="M79">
        <f t="shared" si="35"/>
        <v>0.72</v>
      </c>
      <c r="N79">
        <f t="shared" si="35"/>
        <v>0</v>
      </c>
      <c r="O79">
        <f t="shared" si="35"/>
        <v>0</v>
      </c>
      <c r="P79">
        <f t="shared" ref="P79:P87" si="39">SUM(Q79:AP79)</f>
        <v>0</v>
      </c>
      <c r="Q79">
        <f t="shared" si="36"/>
        <v>0</v>
      </c>
      <c r="R79">
        <f t="shared" si="36"/>
        <v>0</v>
      </c>
      <c r="S79">
        <f t="shared" si="36"/>
        <v>0</v>
      </c>
      <c r="T79">
        <f t="shared" si="36"/>
        <v>0</v>
      </c>
      <c r="U79">
        <f t="shared" si="36"/>
        <v>0</v>
      </c>
      <c r="V79">
        <f t="shared" si="36"/>
        <v>0</v>
      </c>
      <c r="W79">
        <f t="shared" si="36"/>
        <v>0</v>
      </c>
      <c r="X79">
        <f t="shared" si="36"/>
        <v>0</v>
      </c>
      <c r="Y79">
        <f t="shared" si="36"/>
        <v>0</v>
      </c>
      <c r="Z79">
        <f>AQ12</f>
        <v>0</v>
      </c>
      <c r="AA79">
        <f t="shared" si="37"/>
        <v>0</v>
      </c>
      <c r="AB79">
        <f t="shared" si="37"/>
        <v>0</v>
      </c>
      <c r="AC79">
        <f t="shared" si="37"/>
        <v>0</v>
      </c>
      <c r="AD79">
        <f t="shared" si="37"/>
        <v>0</v>
      </c>
      <c r="AE79">
        <f t="shared" si="37"/>
        <v>0</v>
      </c>
      <c r="AF79">
        <f t="shared" si="37"/>
        <v>0</v>
      </c>
      <c r="AG79">
        <f t="shared" si="37"/>
        <v>0</v>
      </c>
      <c r="AH79">
        <f t="shared" si="37"/>
        <v>0</v>
      </c>
      <c r="AI79">
        <f t="shared" si="37"/>
        <v>0</v>
      </c>
      <c r="AJ79">
        <f t="shared" si="37"/>
        <v>0</v>
      </c>
      <c r="AK79">
        <f t="shared" si="37"/>
        <v>0</v>
      </c>
      <c r="AL79">
        <f t="shared" si="37"/>
        <v>0</v>
      </c>
      <c r="AM79">
        <f t="shared" si="37"/>
        <v>0</v>
      </c>
      <c r="AN79">
        <f t="shared" si="37"/>
        <v>0</v>
      </c>
      <c r="AO79">
        <f t="shared" si="37"/>
        <v>0</v>
      </c>
      <c r="AP79">
        <f t="shared" si="37"/>
        <v>0</v>
      </c>
      <c r="AQ79">
        <f t="shared" si="37"/>
        <v>0</v>
      </c>
      <c r="AR79">
        <f>F79+H79+I79+J79+K79+L79+M79+N79+O79+P79</f>
        <v>0.72</v>
      </c>
      <c r="AS79">
        <f>D79+G116-AR79</f>
        <v>165.94</v>
      </c>
    </row>
    <row r="80" spans="1:68" ht="20.25" customHeight="1">
      <c r="A80" t="s">
        <v>21</v>
      </c>
      <c r="B80" t="s">
        <v>22</v>
      </c>
      <c r="C80" s="105" t="s">
        <v>23</v>
      </c>
      <c r="D80">
        <f>D16</f>
        <v>157.84</v>
      </c>
      <c r="E80">
        <f t="shared" si="38"/>
        <v>157.21</v>
      </c>
      <c r="F80">
        <f>H16</f>
        <v>0</v>
      </c>
      <c r="G80">
        <f>I16</f>
        <v>0</v>
      </c>
      <c r="H80">
        <f>D80-AR80</f>
        <v>156.55000000000001</v>
      </c>
      <c r="I80">
        <f>N16</f>
        <v>0</v>
      </c>
      <c r="J80">
        <f t="shared" ref="J80:O81" si="40">P16</f>
        <v>0</v>
      </c>
      <c r="K80">
        <f t="shared" si="40"/>
        <v>0</v>
      </c>
      <c r="L80">
        <f t="shared" si="40"/>
        <v>0</v>
      </c>
      <c r="M80">
        <f t="shared" si="40"/>
        <v>0.66</v>
      </c>
      <c r="N80">
        <f t="shared" si="40"/>
        <v>0</v>
      </c>
      <c r="O80">
        <f t="shared" si="40"/>
        <v>0</v>
      </c>
      <c r="P80">
        <f t="shared" si="39"/>
        <v>0.63</v>
      </c>
      <c r="Q80">
        <f t="shared" ref="Q80:Y81" si="41">W16</f>
        <v>0</v>
      </c>
      <c r="R80">
        <f t="shared" si="41"/>
        <v>0</v>
      </c>
      <c r="S80">
        <f t="shared" si="41"/>
        <v>0</v>
      </c>
      <c r="T80">
        <f t="shared" si="41"/>
        <v>0</v>
      </c>
      <c r="U80">
        <f t="shared" si="41"/>
        <v>0</v>
      </c>
      <c r="V80">
        <f t="shared" si="41"/>
        <v>0</v>
      </c>
      <c r="W80">
        <f t="shared" si="41"/>
        <v>0</v>
      </c>
      <c r="X80">
        <f t="shared" si="41"/>
        <v>0</v>
      </c>
      <c r="Y80">
        <f t="shared" si="41"/>
        <v>0</v>
      </c>
      <c r="Z80">
        <f>AQ16</f>
        <v>0</v>
      </c>
      <c r="AA80">
        <f t="shared" ref="AA80:AQ81" si="42">AR16</f>
        <v>0</v>
      </c>
      <c r="AB80">
        <f t="shared" si="42"/>
        <v>0</v>
      </c>
      <c r="AC80">
        <f t="shared" si="42"/>
        <v>0.63</v>
      </c>
      <c r="AD80">
        <f t="shared" si="42"/>
        <v>0</v>
      </c>
      <c r="AE80">
        <f t="shared" si="42"/>
        <v>0</v>
      </c>
      <c r="AF80">
        <f t="shared" si="42"/>
        <v>0</v>
      </c>
      <c r="AG80">
        <f t="shared" si="42"/>
        <v>0</v>
      </c>
      <c r="AH80">
        <f t="shared" si="42"/>
        <v>0</v>
      </c>
      <c r="AI80">
        <f t="shared" si="42"/>
        <v>0</v>
      </c>
      <c r="AJ80">
        <f t="shared" si="42"/>
        <v>0</v>
      </c>
      <c r="AK80">
        <f t="shared" si="42"/>
        <v>0</v>
      </c>
      <c r="AL80">
        <f t="shared" si="42"/>
        <v>0</v>
      </c>
      <c r="AM80">
        <f t="shared" si="42"/>
        <v>0</v>
      </c>
      <c r="AN80">
        <f t="shared" si="42"/>
        <v>0</v>
      </c>
      <c r="AO80">
        <f t="shared" si="42"/>
        <v>0</v>
      </c>
      <c r="AP80">
        <f t="shared" si="42"/>
        <v>0</v>
      </c>
      <c r="AQ80">
        <f t="shared" si="42"/>
        <v>0</v>
      </c>
      <c r="AR80">
        <f>F80+I80+J80+K80+L80+M80+N80+O80+P80</f>
        <v>1.29</v>
      </c>
      <c r="AS80">
        <f>D80+H116-AR80</f>
        <v>156.55000000000001</v>
      </c>
    </row>
    <row r="81" spans="1:45" ht="20.25" customHeight="1">
      <c r="A81" t="s">
        <v>24</v>
      </c>
      <c r="B81" t="s">
        <v>25</v>
      </c>
      <c r="C81" s="105" t="s">
        <v>26</v>
      </c>
      <c r="D81">
        <f>D17</f>
        <v>135</v>
      </c>
      <c r="E81">
        <f t="shared" si="38"/>
        <v>133.4</v>
      </c>
      <c r="F81">
        <f>H17</f>
        <v>0</v>
      </c>
      <c r="G81">
        <f>I17</f>
        <v>0</v>
      </c>
      <c r="H81">
        <f>M17</f>
        <v>0</v>
      </c>
      <c r="I81">
        <f>D81-AR81</f>
        <v>131.46</v>
      </c>
      <c r="J81">
        <f t="shared" si="40"/>
        <v>0</v>
      </c>
      <c r="K81">
        <f t="shared" si="40"/>
        <v>0</v>
      </c>
      <c r="L81">
        <f t="shared" si="40"/>
        <v>0</v>
      </c>
      <c r="M81">
        <f t="shared" si="40"/>
        <v>1.94</v>
      </c>
      <c r="N81">
        <f t="shared" si="40"/>
        <v>0</v>
      </c>
      <c r="O81">
        <f t="shared" si="40"/>
        <v>0</v>
      </c>
      <c r="P81">
        <f t="shared" si="39"/>
        <v>1.5999999999999999</v>
      </c>
      <c r="Q81">
        <f t="shared" si="41"/>
        <v>0</v>
      </c>
      <c r="R81">
        <f t="shared" si="41"/>
        <v>0</v>
      </c>
      <c r="S81">
        <f t="shared" si="41"/>
        <v>0</v>
      </c>
      <c r="T81">
        <f t="shared" si="41"/>
        <v>0</v>
      </c>
      <c r="U81">
        <f t="shared" si="41"/>
        <v>0</v>
      </c>
      <c r="V81">
        <f t="shared" si="41"/>
        <v>0</v>
      </c>
      <c r="W81">
        <f t="shared" si="41"/>
        <v>0</v>
      </c>
      <c r="X81">
        <f t="shared" si="41"/>
        <v>0</v>
      </c>
      <c r="Y81">
        <f t="shared" si="41"/>
        <v>0.46</v>
      </c>
      <c r="Z81">
        <f>AQ17</f>
        <v>0</v>
      </c>
      <c r="AA81">
        <f t="shared" si="42"/>
        <v>0</v>
      </c>
      <c r="AB81">
        <f t="shared" si="42"/>
        <v>0</v>
      </c>
      <c r="AC81">
        <f t="shared" si="42"/>
        <v>1.1399999999999999</v>
      </c>
      <c r="AD81">
        <f t="shared" si="42"/>
        <v>0</v>
      </c>
      <c r="AE81">
        <f t="shared" si="42"/>
        <v>0</v>
      </c>
      <c r="AF81">
        <f t="shared" si="42"/>
        <v>0</v>
      </c>
      <c r="AG81">
        <f t="shared" si="42"/>
        <v>0</v>
      </c>
      <c r="AH81">
        <f t="shared" si="42"/>
        <v>0</v>
      </c>
      <c r="AI81">
        <f t="shared" si="42"/>
        <v>0</v>
      </c>
      <c r="AJ81">
        <f t="shared" si="42"/>
        <v>0</v>
      </c>
      <c r="AK81">
        <f t="shared" si="42"/>
        <v>0</v>
      </c>
      <c r="AL81">
        <f t="shared" si="42"/>
        <v>0</v>
      </c>
      <c r="AM81">
        <f t="shared" si="42"/>
        <v>0</v>
      </c>
      <c r="AN81">
        <f t="shared" si="42"/>
        <v>0</v>
      </c>
      <c r="AO81">
        <f t="shared" si="42"/>
        <v>0</v>
      </c>
      <c r="AP81">
        <f t="shared" si="42"/>
        <v>0</v>
      </c>
      <c r="AQ81">
        <f t="shared" si="42"/>
        <v>0</v>
      </c>
      <c r="AR81">
        <f>F81+H81+J81+K81+L81+M81+N81+O81+P81</f>
        <v>3.54</v>
      </c>
      <c r="AS81">
        <f>D81+I116-AR81</f>
        <v>131.46</v>
      </c>
    </row>
    <row r="82" spans="1:45" ht="20.25" customHeight="1">
      <c r="A82" t="s">
        <v>27</v>
      </c>
      <c r="B82" t="s">
        <v>28</v>
      </c>
      <c r="C82" s="105" t="s">
        <v>29</v>
      </c>
      <c r="D82">
        <f t="shared" ref="D82:D87" si="43">D19</f>
        <v>967.14</v>
      </c>
      <c r="E82">
        <f t="shared" si="38"/>
        <v>967.14</v>
      </c>
      <c r="F82">
        <f>H20</f>
        <v>0</v>
      </c>
      <c r="G82">
        <f>I20</f>
        <v>0</v>
      </c>
      <c r="H82">
        <f>M20</f>
        <v>0</v>
      </c>
      <c r="I82">
        <f>N20</f>
        <v>0</v>
      </c>
      <c r="J82">
        <f>D82-AR82</f>
        <v>967.14</v>
      </c>
      <c r="K82">
        <f>Q19</f>
        <v>0</v>
      </c>
      <c r="L82">
        <f>R19</f>
        <v>0</v>
      </c>
      <c r="M82">
        <f t="shared" ref="M82:O83" si="44">S20</f>
        <v>0</v>
      </c>
      <c r="N82">
        <f t="shared" si="44"/>
        <v>0</v>
      </c>
      <c r="O82">
        <f t="shared" si="44"/>
        <v>0</v>
      </c>
      <c r="P82">
        <f t="shared" si="39"/>
        <v>0</v>
      </c>
      <c r="Q82">
        <f>W20</f>
        <v>0</v>
      </c>
      <c r="R82">
        <f>X20</f>
        <v>0</v>
      </c>
      <c r="S82">
        <f>Z20</f>
        <v>0</v>
      </c>
      <c r="T82">
        <f t="shared" ref="T82:Y83" si="45">Z20</f>
        <v>0</v>
      </c>
      <c r="U82">
        <f t="shared" si="45"/>
        <v>0</v>
      </c>
      <c r="V82">
        <f t="shared" si="45"/>
        <v>0</v>
      </c>
      <c r="W82">
        <f t="shared" si="45"/>
        <v>0</v>
      </c>
      <c r="X82">
        <f t="shared" si="45"/>
        <v>0</v>
      </c>
      <c r="Y82">
        <f t="shared" si="45"/>
        <v>0</v>
      </c>
      <c r="Z82">
        <f>AQ20</f>
        <v>0</v>
      </c>
      <c r="AA82">
        <f t="shared" ref="AA82:AQ83" si="46">AR20</f>
        <v>0</v>
      </c>
      <c r="AB82">
        <f t="shared" si="46"/>
        <v>0</v>
      </c>
      <c r="AC82">
        <f t="shared" si="46"/>
        <v>0</v>
      </c>
      <c r="AD82">
        <f t="shared" si="46"/>
        <v>0</v>
      </c>
      <c r="AE82">
        <f t="shared" si="46"/>
        <v>0</v>
      </c>
      <c r="AF82">
        <f t="shared" si="46"/>
        <v>0</v>
      </c>
      <c r="AG82">
        <f t="shared" si="46"/>
        <v>0</v>
      </c>
      <c r="AH82">
        <f t="shared" si="46"/>
        <v>0</v>
      </c>
      <c r="AI82">
        <f t="shared" si="46"/>
        <v>0</v>
      </c>
      <c r="AJ82">
        <f t="shared" si="46"/>
        <v>0</v>
      </c>
      <c r="AK82">
        <f t="shared" si="46"/>
        <v>0</v>
      </c>
      <c r="AL82">
        <f t="shared" si="46"/>
        <v>0</v>
      </c>
      <c r="AM82">
        <f t="shared" si="46"/>
        <v>0</v>
      </c>
      <c r="AN82">
        <f t="shared" si="46"/>
        <v>0</v>
      </c>
      <c r="AO82">
        <f t="shared" si="46"/>
        <v>0</v>
      </c>
      <c r="AP82">
        <f t="shared" si="46"/>
        <v>0</v>
      </c>
      <c r="AQ82">
        <f t="shared" si="46"/>
        <v>0</v>
      </c>
      <c r="AR82">
        <f>F82+H82+I82+K82+L82+M82+N82+O82+P82</f>
        <v>0</v>
      </c>
      <c r="AS82">
        <f>D82+J116-AR82</f>
        <v>967.14</v>
      </c>
    </row>
    <row r="83" spans="1:45" ht="20.25" customHeight="1">
      <c r="A83" t="s">
        <v>30</v>
      </c>
      <c r="B83" t="s">
        <v>31</v>
      </c>
      <c r="C83" s="105" t="s">
        <v>32</v>
      </c>
      <c r="D83">
        <f t="shared" si="43"/>
        <v>0</v>
      </c>
      <c r="E83">
        <f t="shared" si="38"/>
        <v>-4.47</v>
      </c>
      <c r="F83">
        <f>H21</f>
        <v>0</v>
      </c>
      <c r="G83">
        <f>I21</f>
        <v>0</v>
      </c>
      <c r="H83">
        <f>M21</f>
        <v>0</v>
      </c>
      <c r="I83">
        <f>N21</f>
        <v>0</v>
      </c>
      <c r="J83">
        <f>P20</f>
        <v>0</v>
      </c>
      <c r="K83">
        <f>D83-AR83</f>
        <v>-4.47</v>
      </c>
      <c r="L83">
        <f>R20</f>
        <v>0</v>
      </c>
      <c r="M83">
        <f t="shared" si="44"/>
        <v>0</v>
      </c>
      <c r="N83">
        <f t="shared" si="44"/>
        <v>0</v>
      </c>
      <c r="O83">
        <f t="shared" si="44"/>
        <v>0</v>
      </c>
      <c r="P83">
        <f t="shared" si="39"/>
        <v>4.47</v>
      </c>
      <c r="Q83">
        <f>W21</f>
        <v>4.29</v>
      </c>
      <c r="R83">
        <f>X21</f>
        <v>0</v>
      </c>
      <c r="S83">
        <f>Z21</f>
        <v>0</v>
      </c>
      <c r="T83">
        <f t="shared" si="45"/>
        <v>0</v>
      </c>
      <c r="U83">
        <f t="shared" si="45"/>
        <v>0</v>
      </c>
      <c r="V83">
        <f t="shared" si="45"/>
        <v>0</v>
      </c>
      <c r="W83">
        <f t="shared" si="45"/>
        <v>0</v>
      </c>
      <c r="X83">
        <f t="shared" si="45"/>
        <v>0</v>
      </c>
      <c r="Y83">
        <f t="shared" si="45"/>
        <v>0.18</v>
      </c>
      <c r="Z83">
        <f>AQ21</f>
        <v>0</v>
      </c>
      <c r="AA83">
        <f t="shared" si="46"/>
        <v>0</v>
      </c>
      <c r="AB83">
        <f t="shared" si="46"/>
        <v>0</v>
      </c>
      <c r="AC83">
        <f t="shared" si="46"/>
        <v>0</v>
      </c>
      <c r="AD83">
        <f t="shared" si="46"/>
        <v>0</v>
      </c>
      <c r="AE83">
        <f t="shared" si="46"/>
        <v>0</v>
      </c>
      <c r="AF83">
        <f t="shared" si="46"/>
        <v>0</v>
      </c>
      <c r="AG83">
        <f t="shared" si="46"/>
        <v>0</v>
      </c>
      <c r="AH83">
        <f t="shared" si="46"/>
        <v>0</v>
      </c>
      <c r="AI83">
        <f t="shared" si="46"/>
        <v>0</v>
      </c>
      <c r="AJ83">
        <f t="shared" si="46"/>
        <v>0</v>
      </c>
      <c r="AK83">
        <f t="shared" si="46"/>
        <v>0</v>
      </c>
      <c r="AL83">
        <f t="shared" si="46"/>
        <v>0</v>
      </c>
      <c r="AM83">
        <f t="shared" si="46"/>
        <v>0</v>
      </c>
      <c r="AN83">
        <f t="shared" si="46"/>
        <v>0</v>
      </c>
      <c r="AO83">
        <f t="shared" si="46"/>
        <v>0</v>
      </c>
      <c r="AP83">
        <f t="shared" si="46"/>
        <v>0</v>
      </c>
      <c r="AQ83">
        <f t="shared" si="46"/>
        <v>0</v>
      </c>
      <c r="AR83">
        <f>F83+H83+I83+J83+L83+M83+N83+O83+P83</f>
        <v>4.47</v>
      </c>
      <c r="AS83">
        <f>D83+K116-AR83</f>
        <v>-4.47</v>
      </c>
    </row>
    <row r="84" spans="1:45" ht="20.25" customHeight="1">
      <c r="A84" t="s">
        <v>33</v>
      </c>
      <c r="B84" t="s">
        <v>34</v>
      </c>
      <c r="C84" s="105" t="s">
        <v>35</v>
      </c>
      <c r="D84">
        <f t="shared" si="43"/>
        <v>1484.09</v>
      </c>
      <c r="E84">
        <f t="shared" si="38"/>
        <v>1479.54</v>
      </c>
      <c r="F84">
        <f>H19</f>
        <v>0</v>
      </c>
      <c r="G84">
        <f>I19</f>
        <v>0</v>
      </c>
      <c r="H84">
        <f>M19</f>
        <v>0</v>
      </c>
      <c r="I84">
        <f>N19</f>
        <v>0</v>
      </c>
      <c r="J84">
        <f>P21</f>
        <v>0</v>
      </c>
      <c r="K84">
        <f>Q21</f>
        <v>0</v>
      </c>
      <c r="L84">
        <f>D84-AR84</f>
        <v>1479.54</v>
      </c>
      <c r="M84">
        <f>S19</f>
        <v>0</v>
      </c>
      <c r="N84">
        <f>T19</f>
        <v>0</v>
      </c>
      <c r="O84">
        <f>U19</f>
        <v>0</v>
      </c>
      <c r="P84">
        <f t="shared" si="39"/>
        <v>4.55</v>
      </c>
      <c r="Q84">
        <f t="shared" ref="Q84:Y84" si="47">W19</f>
        <v>0</v>
      </c>
      <c r="R84">
        <f t="shared" si="47"/>
        <v>0</v>
      </c>
      <c r="S84">
        <f t="shared" si="47"/>
        <v>0</v>
      </c>
      <c r="T84">
        <f t="shared" si="47"/>
        <v>0</v>
      </c>
      <c r="U84">
        <f t="shared" si="47"/>
        <v>0</v>
      </c>
      <c r="V84">
        <f t="shared" si="47"/>
        <v>0</v>
      </c>
      <c r="W84">
        <f t="shared" si="47"/>
        <v>0</v>
      </c>
      <c r="X84">
        <f t="shared" si="47"/>
        <v>0</v>
      </c>
      <c r="Y84">
        <f t="shared" si="47"/>
        <v>4.55</v>
      </c>
      <c r="Z84">
        <f>AQ19</f>
        <v>0</v>
      </c>
      <c r="AA84">
        <f t="shared" ref="AA84:AQ84" si="48">AR19</f>
        <v>0</v>
      </c>
      <c r="AB84">
        <f t="shared" si="48"/>
        <v>0</v>
      </c>
      <c r="AC84">
        <f t="shared" si="48"/>
        <v>0</v>
      </c>
      <c r="AD84">
        <f t="shared" si="48"/>
        <v>0</v>
      </c>
      <c r="AE84">
        <f t="shared" si="48"/>
        <v>0</v>
      </c>
      <c r="AF84">
        <f t="shared" si="48"/>
        <v>0</v>
      </c>
      <c r="AG84">
        <f t="shared" si="48"/>
        <v>0</v>
      </c>
      <c r="AH84">
        <f t="shared" si="48"/>
        <v>0</v>
      </c>
      <c r="AI84">
        <f t="shared" si="48"/>
        <v>0</v>
      </c>
      <c r="AJ84">
        <f t="shared" si="48"/>
        <v>0</v>
      </c>
      <c r="AK84">
        <f t="shared" si="48"/>
        <v>0</v>
      </c>
      <c r="AL84">
        <f t="shared" si="48"/>
        <v>0</v>
      </c>
      <c r="AM84">
        <f t="shared" si="48"/>
        <v>0</v>
      </c>
      <c r="AN84">
        <f t="shared" si="48"/>
        <v>0</v>
      </c>
      <c r="AO84">
        <f t="shared" si="48"/>
        <v>0</v>
      </c>
      <c r="AP84">
        <f t="shared" si="48"/>
        <v>0</v>
      </c>
      <c r="AQ84">
        <f t="shared" si="48"/>
        <v>0</v>
      </c>
      <c r="AR84">
        <f>F84+H84+I84+J84+K84+M84+N84+O84+P84</f>
        <v>4.55</v>
      </c>
      <c r="AS84">
        <f>D84+L116-AR84</f>
        <v>1479.54</v>
      </c>
    </row>
    <row r="85" spans="1:45" ht="20.25" customHeight="1">
      <c r="A85" t="s">
        <v>36</v>
      </c>
      <c r="B85" t="s">
        <v>37</v>
      </c>
      <c r="C85" s="105" t="s">
        <v>38</v>
      </c>
      <c r="D85">
        <f t="shared" si="43"/>
        <v>401.09</v>
      </c>
      <c r="E85">
        <f t="shared" si="38"/>
        <v>398.64</v>
      </c>
      <c r="F85">
        <f t="shared" ref="F85:G87" si="49">H22</f>
        <v>0</v>
      </c>
      <c r="G85">
        <f t="shared" si="49"/>
        <v>0</v>
      </c>
      <c r="H85">
        <f t="shared" ref="H85:I87" si="50">M22</f>
        <v>0</v>
      </c>
      <c r="I85">
        <f t="shared" si="50"/>
        <v>0</v>
      </c>
      <c r="J85">
        <f>P22</f>
        <v>0</v>
      </c>
      <c r="K85">
        <f>Q22</f>
        <v>0</v>
      </c>
      <c r="L85">
        <f>R22</f>
        <v>0</v>
      </c>
      <c r="M85">
        <f>D85-AR85</f>
        <v>398.64</v>
      </c>
      <c r="N85">
        <f>T22</f>
        <v>0</v>
      </c>
      <c r="O85">
        <f>U22</f>
        <v>0</v>
      </c>
      <c r="P85">
        <f>SUM(Q85:AP85)</f>
        <v>2.4500000000000002</v>
      </c>
      <c r="Q85">
        <f t="shared" ref="Q85:Y87" si="51">W22</f>
        <v>0</v>
      </c>
      <c r="R85">
        <f t="shared" si="51"/>
        <v>0</v>
      </c>
      <c r="S85">
        <f t="shared" si="51"/>
        <v>0</v>
      </c>
      <c r="T85">
        <f t="shared" si="51"/>
        <v>0</v>
      </c>
      <c r="U85">
        <f t="shared" si="51"/>
        <v>0</v>
      </c>
      <c r="V85">
        <f t="shared" si="51"/>
        <v>0</v>
      </c>
      <c r="W85">
        <f t="shared" si="51"/>
        <v>0</v>
      </c>
      <c r="X85">
        <f t="shared" si="51"/>
        <v>0</v>
      </c>
      <c r="Y85">
        <f t="shared" si="51"/>
        <v>2.4500000000000002</v>
      </c>
      <c r="Z85">
        <f t="shared" ref="Z85:AP85" si="52">AQ22</f>
        <v>0</v>
      </c>
      <c r="AA85">
        <f t="shared" si="52"/>
        <v>0</v>
      </c>
      <c r="AB85">
        <f t="shared" si="52"/>
        <v>0</v>
      </c>
      <c r="AC85">
        <f t="shared" si="52"/>
        <v>0</v>
      </c>
      <c r="AD85">
        <f t="shared" si="52"/>
        <v>0</v>
      </c>
      <c r="AE85">
        <f t="shared" si="52"/>
        <v>0</v>
      </c>
      <c r="AF85">
        <f t="shared" si="52"/>
        <v>0</v>
      </c>
      <c r="AG85">
        <f t="shared" si="52"/>
        <v>0</v>
      </c>
      <c r="AH85">
        <f t="shared" si="52"/>
        <v>0</v>
      </c>
      <c r="AI85">
        <f t="shared" si="52"/>
        <v>0</v>
      </c>
      <c r="AJ85">
        <f t="shared" si="52"/>
        <v>0</v>
      </c>
      <c r="AK85">
        <f t="shared" si="52"/>
        <v>0</v>
      </c>
      <c r="AL85">
        <f t="shared" si="52"/>
        <v>0</v>
      </c>
      <c r="AM85">
        <f t="shared" si="52"/>
        <v>0</v>
      </c>
      <c r="AN85">
        <f t="shared" si="52"/>
        <v>0</v>
      </c>
      <c r="AO85">
        <f t="shared" si="52"/>
        <v>0</v>
      </c>
      <c r="AP85">
        <f t="shared" si="52"/>
        <v>0</v>
      </c>
      <c r="AQ85">
        <f t="shared" ref="AA85:AQ87" si="53">BH22</f>
        <v>0</v>
      </c>
      <c r="AR85">
        <f>F85+H85+I85+J85+K85+L85+N85+O85+P85</f>
        <v>2.4500000000000002</v>
      </c>
      <c r="AS85">
        <f>D85+M116-AR85</f>
        <v>406.65</v>
      </c>
    </row>
    <row r="86" spans="1:45" ht="20.25" customHeight="1">
      <c r="A86" t="s">
        <v>39</v>
      </c>
      <c r="B86" t="s">
        <v>40</v>
      </c>
      <c r="C86" s="105" t="s">
        <v>41</v>
      </c>
      <c r="D86">
        <f t="shared" si="43"/>
        <v>0</v>
      </c>
      <c r="E86">
        <f t="shared" si="38"/>
        <v>0</v>
      </c>
      <c r="F86">
        <f t="shared" si="49"/>
        <v>0</v>
      </c>
      <c r="G86">
        <f t="shared" si="49"/>
        <v>0</v>
      </c>
      <c r="H86">
        <f t="shared" si="50"/>
        <v>0</v>
      </c>
      <c r="I86">
        <f t="shared" si="50"/>
        <v>0</v>
      </c>
      <c r="J86">
        <f>P23</f>
        <v>0</v>
      </c>
      <c r="K86">
        <f>Q23</f>
        <v>0</v>
      </c>
      <c r="L86">
        <f>R23</f>
        <v>0</v>
      </c>
      <c r="M86">
        <f>S23</f>
        <v>0</v>
      </c>
      <c r="N86">
        <f>D86-AR86</f>
        <v>0</v>
      </c>
      <c r="O86">
        <f>U23</f>
        <v>0</v>
      </c>
      <c r="P86">
        <f t="shared" si="39"/>
        <v>0</v>
      </c>
      <c r="Q86">
        <f t="shared" si="51"/>
        <v>0</v>
      </c>
      <c r="R86">
        <f t="shared" si="51"/>
        <v>0</v>
      </c>
      <c r="S86">
        <f t="shared" si="51"/>
        <v>0</v>
      </c>
      <c r="T86">
        <f t="shared" si="51"/>
        <v>0</v>
      </c>
      <c r="U86">
        <f t="shared" si="51"/>
        <v>0</v>
      </c>
      <c r="V86">
        <f t="shared" si="51"/>
        <v>0</v>
      </c>
      <c r="W86">
        <f t="shared" si="51"/>
        <v>0</v>
      </c>
      <c r="X86">
        <f t="shared" si="51"/>
        <v>0</v>
      </c>
      <c r="Y86">
        <f t="shared" si="51"/>
        <v>0</v>
      </c>
      <c r="Z86">
        <f>AQ23</f>
        <v>0</v>
      </c>
      <c r="AA86">
        <f t="shared" si="53"/>
        <v>0</v>
      </c>
      <c r="AB86">
        <f t="shared" si="53"/>
        <v>0</v>
      </c>
      <c r="AC86">
        <f t="shared" si="53"/>
        <v>0</v>
      </c>
      <c r="AD86">
        <f t="shared" si="53"/>
        <v>0</v>
      </c>
      <c r="AE86">
        <f t="shared" si="53"/>
        <v>0</v>
      </c>
      <c r="AF86">
        <f t="shared" si="53"/>
        <v>0</v>
      </c>
      <c r="AG86">
        <f t="shared" si="53"/>
        <v>0</v>
      </c>
      <c r="AH86">
        <f t="shared" si="53"/>
        <v>0</v>
      </c>
      <c r="AI86">
        <f t="shared" si="53"/>
        <v>0</v>
      </c>
      <c r="AJ86">
        <f t="shared" si="53"/>
        <v>0</v>
      </c>
      <c r="AK86">
        <f t="shared" si="53"/>
        <v>0</v>
      </c>
      <c r="AL86">
        <f t="shared" si="53"/>
        <v>0</v>
      </c>
      <c r="AM86">
        <f t="shared" si="53"/>
        <v>0</v>
      </c>
      <c r="AN86">
        <f t="shared" si="53"/>
        <v>0</v>
      </c>
      <c r="AO86">
        <f t="shared" si="53"/>
        <v>0</v>
      </c>
      <c r="AP86">
        <f t="shared" si="53"/>
        <v>0</v>
      </c>
      <c r="AQ86">
        <f t="shared" si="53"/>
        <v>0</v>
      </c>
      <c r="AR86">
        <f>F86+H86+I86+J86+K86+L86+M86+O86+P86</f>
        <v>0</v>
      </c>
      <c r="AS86">
        <f>D86+N116-AR86</f>
        <v>0</v>
      </c>
    </row>
    <row r="87" spans="1:45" ht="20.25" customHeight="1">
      <c r="A87">
        <v>2</v>
      </c>
      <c r="B87" t="s">
        <v>43</v>
      </c>
      <c r="C87" s="105" t="s">
        <v>44</v>
      </c>
      <c r="D87">
        <f t="shared" si="43"/>
        <v>0</v>
      </c>
      <c r="E87">
        <f t="shared" si="38"/>
        <v>0</v>
      </c>
      <c r="F87">
        <f t="shared" si="49"/>
        <v>0</v>
      </c>
      <c r="G87">
        <f t="shared" si="49"/>
        <v>0</v>
      </c>
      <c r="H87">
        <f t="shared" si="50"/>
        <v>0</v>
      </c>
      <c r="I87">
        <f t="shared" si="50"/>
        <v>0</v>
      </c>
      <c r="J87">
        <f>P24</f>
        <v>0</v>
      </c>
      <c r="K87">
        <f>Q24</f>
        <v>0</v>
      </c>
      <c r="L87">
        <f>R24</f>
        <v>0</v>
      </c>
      <c r="M87">
        <f>S24</f>
        <v>0</v>
      </c>
      <c r="N87">
        <f>T24</f>
        <v>0</v>
      </c>
      <c r="O87">
        <f>D87-AR87</f>
        <v>0</v>
      </c>
      <c r="P87">
        <f t="shared" si="39"/>
        <v>0</v>
      </c>
      <c r="Q87">
        <f t="shared" si="51"/>
        <v>0</v>
      </c>
      <c r="R87">
        <f t="shared" si="51"/>
        <v>0</v>
      </c>
      <c r="S87">
        <f t="shared" si="51"/>
        <v>0</v>
      </c>
      <c r="T87">
        <f t="shared" si="51"/>
        <v>0</v>
      </c>
      <c r="U87">
        <f t="shared" si="51"/>
        <v>0</v>
      </c>
      <c r="V87">
        <f t="shared" si="51"/>
        <v>0</v>
      </c>
      <c r="W87">
        <f t="shared" si="51"/>
        <v>0</v>
      </c>
      <c r="X87">
        <f t="shared" si="51"/>
        <v>0</v>
      </c>
      <c r="Y87">
        <f t="shared" si="51"/>
        <v>0</v>
      </c>
      <c r="Z87">
        <f>AQ24</f>
        <v>0</v>
      </c>
      <c r="AA87">
        <f t="shared" si="53"/>
        <v>0</v>
      </c>
      <c r="AB87">
        <f t="shared" si="53"/>
        <v>0</v>
      </c>
      <c r="AC87">
        <f t="shared" si="53"/>
        <v>0</v>
      </c>
      <c r="AD87">
        <f t="shared" si="53"/>
        <v>0</v>
      </c>
      <c r="AE87">
        <f t="shared" si="53"/>
        <v>0</v>
      </c>
      <c r="AF87">
        <f t="shared" si="53"/>
        <v>0</v>
      </c>
      <c r="AG87">
        <f t="shared" si="53"/>
        <v>0</v>
      </c>
      <c r="AH87">
        <f t="shared" si="53"/>
        <v>0</v>
      </c>
      <c r="AI87">
        <f t="shared" si="53"/>
        <v>0</v>
      </c>
      <c r="AJ87">
        <f t="shared" si="53"/>
        <v>0</v>
      </c>
      <c r="AK87">
        <f t="shared" si="53"/>
        <v>0</v>
      </c>
      <c r="AL87">
        <f t="shared" si="53"/>
        <v>0</v>
      </c>
      <c r="AM87">
        <f t="shared" si="53"/>
        <v>0</v>
      </c>
      <c r="AN87">
        <f t="shared" si="53"/>
        <v>0</v>
      </c>
      <c r="AO87">
        <f t="shared" si="53"/>
        <v>0</v>
      </c>
      <c r="AP87">
        <f t="shared" si="53"/>
        <v>0</v>
      </c>
      <c r="AQ87">
        <f t="shared" si="53"/>
        <v>0</v>
      </c>
      <c r="AR87">
        <f>F87+H87+I87+J87+K87+L87+M87+N87+P87</f>
        <v>0</v>
      </c>
      <c r="AS87">
        <f>D87+O116-AR87</f>
        <v>0</v>
      </c>
    </row>
    <row r="88" spans="1:45" ht="20.25" customHeight="1">
      <c r="A88">
        <v>2</v>
      </c>
      <c r="B88" t="s">
        <v>45</v>
      </c>
      <c r="C88" s="105" t="s">
        <v>46</v>
      </c>
      <c r="D88">
        <f>SUM(D89:D114)</f>
        <v>485.83500000000004</v>
      </c>
      <c r="E88">
        <f t="shared" ref="E88:AS88" si="54">SUM(E89:E114)</f>
        <v>4.3</v>
      </c>
      <c r="F88">
        <f t="shared" si="54"/>
        <v>0</v>
      </c>
      <c r="G88">
        <f t="shared" si="54"/>
        <v>0</v>
      </c>
      <c r="H88">
        <f t="shared" si="54"/>
        <v>0</v>
      </c>
      <c r="I88">
        <f t="shared" si="54"/>
        <v>0</v>
      </c>
      <c r="J88">
        <f t="shared" si="54"/>
        <v>0</v>
      </c>
      <c r="K88">
        <f t="shared" si="54"/>
        <v>0</v>
      </c>
      <c r="L88">
        <f t="shared" si="54"/>
        <v>0</v>
      </c>
      <c r="M88">
        <f t="shared" si="54"/>
        <v>4.3</v>
      </c>
      <c r="N88">
        <f t="shared" si="54"/>
        <v>0</v>
      </c>
      <c r="O88">
        <f t="shared" si="54"/>
        <v>0</v>
      </c>
      <c r="P88">
        <f t="shared" si="54"/>
        <v>481.53499999999997</v>
      </c>
      <c r="Q88">
        <f t="shared" si="54"/>
        <v>7.06</v>
      </c>
      <c r="R88">
        <f t="shared" si="54"/>
        <v>0</v>
      </c>
      <c r="S88">
        <f t="shared" si="54"/>
        <v>0</v>
      </c>
      <c r="T88">
        <f t="shared" si="54"/>
        <v>0</v>
      </c>
      <c r="U88">
        <f t="shared" si="54"/>
        <v>0</v>
      </c>
      <c r="V88">
        <f t="shared" si="54"/>
        <v>0.2</v>
      </c>
      <c r="W88">
        <f t="shared" si="54"/>
        <v>0.26</v>
      </c>
      <c r="X88">
        <f t="shared" si="54"/>
        <v>0</v>
      </c>
      <c r="Y88">
        <f t="shared" si="54"/>
        <v>167.76499999999999</v>
      </c>
      <c r="Z88">
        <f t="shared" si="54"/>
        <v>0</v>
      </c>
      <c r="AA88">
        <f t="shared" si="54"/>
        <v>0</v>
      </c>
      <c r="AB88">
        <f t="shared" si="54"/>
        <v>0</v>
      </c>
      <c r="AC88">
        <f t="shared" si="54"/>
        <v>56.809999999999995</v>
      </c>
      <c r="AD88">
        <f t="shared" si="54"/>
        <v>0</v>
      </c>
      <c r="AE88">
        <f t="shared" si="54"/>
        <v>1.1100000000000001</v>
      </c>
      <c r="AF88">
        <f t="shared" si="54"/>
        <v>0</v>
      </c>
      <c r="AG88">
        <f t="shared" si="54"/>
        <v>0</v>
      </c>
      <c r="AH88">
        <f t="shared" si="54"/>
        <v>0</v>
      </c>
      <c r="AI88">
        <f t="shared" si="54"/>
        <v>27.25</v>
      </c>
      <c r="AJ88">
        <f t="shared" si="54"/>
        <v>0</v>
      </c>
      <c r="AK88">
        <f t="shared" si="54"/>
        <v>0.5</v>
      </c>
      <c r="AL88">
        <f t="shared" si="54"/>
        <v>0</v>
      </c>
      <c r="AM88">
        <f t="shared" si="54"/>
        <v>0.7</v>
      </c>
      <c r="AN88">
        <f t="shared" si="54"/>
        <v>66.039999999999992</v>
      </c>
      <c r="AO88">
        <f t="shared" si="54"/>
        <v>153.84</v>
      </c>
      <c r="AP88">
        <f t="shared" si="54"/>
        <v>0</v>
      </c>
      <c r="AQ88">
        <f t="shared" si="54"/>
        <v>0</v>
      </c>
      <c r="AR88">
        <f>E88+AQ88</f>
        <v>4.3</v>
      </c>
      <c r="AS88">
        <f t="shared" si="54"/>
        <v>499.42500000000007</v>
      </c>
    </row>
    <row r="89" spans="1:45" ht="20.25" customHeight="1">
      <c r="A89" t="s">
        <v>47</v>
      </c>
      <c r="B89" t="s">
        <v>48</v>
      </c>
      <c r="C89" s="105" t="s">
        <v>49</v>
      </c>
      <c r="D89">
        <f>D26</f>
        <v>7.06</v>
      </c>
      <c r="E89">
        <f t="shared" si="38"/>
        <v>0</v>
      </c>
      <c r="F89">
        <f>H26</f>
        <v>0</v>
      </c>
      <c r="G89">
        <f>I26</f>
        <v>0</v>
      </c>
      <c r="H89">
        <f>M26</f>
        <v>0</v>
      </c>
      <c r="I89">
        <f>N26</f>
        <v>0</v>
      </c>
      <c r="J89">
        <f t="shared" ref="J89:O97" si="55">P26</f>
        <v>0</v>
      </c>
      <c r="K89">
        <f t="shared" si="55"/>
        <v>0</v>
      </c>
      <c r="L89">
        <f t="shared" si="55"/>
        <v>0</v>
      </c>
      <c r="M89">
        <f t="shared" si="55"/>
        <v>0</v>
      </c>
      <c r="N89">
        <f t="shared" si="55"/>
        <v>0</v>
      </c>
      <c r="O89">
        <f t="shared" si="55"/>
        <v>0</v>
      </c>
      <c r="P89">
        <f>SUM(Q89:AP89)</f>
        <v>7.06</v>
      </c>
      <c r="Q89">
        <f>D89-AR89</f>
        <v>7.06</v>
      </c>
      <c r="R89">
        <f t="shared" ref="R89:Y89" si="56">X26</f>
        <v>0</v>
      </c>
      <c r="S89">
        <f t="shared" si="56"/>
        <v>0</v>
      </c>
      <c r="T89">
        <f t="shared" si="56"/>
        <v>0</v>
      </c>
      <c r="U89">
        <f t="shared" si="56"/>
        <v>0</v>
      </c>
      <c r="V89">
        <f t="shared" si="56"/>
        <v>0</v>
      </c>
      <c r="W89">
        <f t="shared" si="56"/>
        <v>0</v>
      </c>
      <c r="X89">
        <f t="shared" si="56"/>
        <v>0</v>
      </c>
      <c r="Y89">
        <f t="shared" si="56"/>
        <v>0</v>
      </c>
      <c r="Z89">
        <f t="shared" ref="Z89:AP89" si="57">AQ26</f>
        <v>0</v>
      </c>
      <c r="AA89">
        <f t="shared" si="57"/>
        <v>0</v>
      </c>
      <c r="AB89">
        <f t="shared" si="57"/>
        <v>0</v>
      </c>
      <c r="AC89">
        <f t="shared" si="57"/>
        <v>0</v>
      </c>
      <c r="AD89">
        <f t="shared" si="57"/>
        <v>0</v>
      </c>
      <c r="AE89">
        <f t="shared" si="57"/>
        <v>0</v>
      </c>
      <c r="AF89">
        <f t="shared" si="57"/>
        <v>0</v>
      </c>
      <c r="AG89">
        <f t="shared" si="57"/>
        <v>0</v>
      </c>
      <c r="AH89">
        <f t="shared" si="57"/>
        <v>0</v>
      </c>
      <c r="AI89">
        <f t="shared" si="57"/>
        <v>0</v>
      </c>
      <c r="AJ89">
        <f t="shared" si="57"/>
        <v>0</v>
      </c>
      <c r="AK89">
        <f t="shared" si="57"/>
        <v>0</v>
      </c>
      <c r="AL89">
        <f t="shared" si="57"/>
        <v>0</v>
      </c>
      <c r="AM89">
        <f t="shared" si="57"/>
        <v>0</v>
      </c>
      <c r="AN89">
        <f t="shared" si="57"/>
        <v>0</v>
      </c>
      <c r="AO89">
        <f t="shared" si="57"/>
        <v>0</v>
      </c>
      <c r="AP89">
        <f t="shared" si="57"/>
        <v>0</v>
      </c>
      <c r="AQ89">
        <f t="shared" ref="AA89:AQ97" si="58">BH26</f>
        <v>0</v>
      </c>
      <c r="AR89">
        <f>E89+R89+S89+T89+U89+V89+W89+X89+Y89+Z89+AA89+AB89+AC89+AD89+AE89+AF89+AG89+AH89+AI89+AJ89+AK89+AL89+AM89+AN89+AO89+AP89+AQ89</f>
        <v>0</v>
      </c>
      <c r="AS89">
        <f>D89+Q116-AR89</f>
        <v>11.35</v>
      </c>
    </row>
    <row r="90" spans="1:45" ht="20.25" customHeight="1">
      <c r="A90" t="s">
        <v>50</v>
      </c>
      <c r="B90" t="s">
        <v>51</v>
      </c>
      <c r="C90" s="105" t="s">
        <v>52</v>
      </c>
      <c r="D90">
        <f t="shared" ref="D90:D97" si="59">D27</f>
        <v>0</v>
      </c>
      <c r="E90">
        <f t="shared" si="38"/>
        <v>0</v>
      </c>
      <c r="F90">
        <f t="shared" ref="F90:G97" si="60">H27</f>
        <v>0</v>
      </c>
      <c r="G90">
        <f t="shared" si="60"/>
        <v>0</v>
      </c>
      <c r="H90">
        <f t="shared" ref="H90:I97" si="61">M27</f>
        <v>0</v>
      </c>
      <c r="I90">
        <f t="shared" si="61"/>
        <v>0</v>
      </c>
      <c r="J90">
        <f t="shared" si="55"/>
        <v>0</v>
      </c>
      <c r="K90">
        <f t="shared" si="55"/>
        <v>0</v>
      </c>
      <c r="L90">
        <f t="shared" si="55"/>
        <v>0</v>
      </c>
      <c r="M90">
        <f t="shared" si="55"/>
        <v>0</v>
      </c>
      <c r="N90">
        <f t="shared" si="55"/>
        <v>0</v>
      </c>
      <c r="O90">
        <f t="shared" si="55"/>
        <v>0</v>
      </c>
      <c r="P90">
        <f t="shared" ref="P90:P114" si="62">SUM(Q90:AP90)</f>
        <v>0</v>
      </c>
      <c r="Q90">
        <f>W27</f>
        <v>0</v>
      </c>
      <c r="R90">
        <f>D90-AR90</f>
        <v>0</v>
      </c>
      <c r="S90">
        <f t="shared" ref="S90:Y90" si="63">Y27</f>
        <v>0</v>
      </c>
      <c r="T90">
        <f t="shared" si="63"/>
        <v>0</v>
      </c>
      <c r="U90">
        <f t="shared" si="63"/>
        <v>0</v>
      </c>
      <c r="V90">
        <f t="shared" si="63"/>
        <v>0</v>
      </c>
      <c r="W90">
        <f t="shared" si="63"/>
        <v>0</v>
      </c>
      <c r="X90">
        <f t="shared" si="63"/>
        <v>0</v>
      </c>
      <c r="Y90">
        <f t="shared" si="63"/>
        <v>0</v>
      </c>
      <c r="Z90">
        <f t="shared" ref="Z90:Z97" si="64">AQ27</f>
        <v>0</v>
      </c>
      <c r="AA90">
        <f t="shared" si="58"/>
        <v>0</v>
      </c>
      <c r="AB90">
        <f t="shared" si="58"/>
        <v>0</v>
      </c>
      <c r="AC90">
        <f t="shared" si="58"/>
        <v>0</v>
      </c>
      <c r="AD90">
        <f t="shared" si="58"/>
        <v>0</v>
      </c>
      <c r="AE90">
        <f t="shared" si="58"/>
        <v>0</v>
      </c>
      <c r="AF90">
        <f t="shared" si="58"/>
        <v>0</v>
      </c>
      <c r="AG90">
        <f t="shared" si="58"/>
        <v>0</v>
      </c>
      <c r="AH90">
        <f t="shared" si="58"/>
        <v>0</v>
      </c>
      <c r="AI90">
        <f t="shared" si="58"/>
        <v>0</v>
      </c>
      <c r="AJ90">
        <f t="shared" si="58"/>
        <v>0</v>
      </c>
      <c r="AK90">
        <f t="shared" si="58"/>
        <v>0</v>
      </c>
      <c r="AL90">
        <f t="shared" si="58"/>
        <v>0</v>
      </c>
      <c r="AM90">
        <f t="shared" si="58"/>
        <v>0</v>
      </c>
      <c r="AN90">
        <f t="shared" si="58"/>
        <v>0</v>
      </c>
      <c r="AO90">
        <f t="shared" si="58"/>
        <v>0</v>
      </c>
      <c r="AP90">
        <f t="shared" si="58"/>
        <v>0</v>
      </c>
      <c r="AQ90">
        <f t="shared" si="58"/>
        <v>0</v>
      </c>
      <c r="AR90">
        <f>E90+Q90+S90+T90+U90+V90+W90+X90+Y90+Z90+AA90+AB90+AC90+AD90+AE90+AF90+AG90+AH90+AI90+AJ90+AK90+AL90+AM90+AN90+AO90+AP90+AQ90</f>
        <v>0</v>
      </c>
      <c r="AS90">
        <f>D90+R116-AR90</f>
        <v>0</v>
      </c>
    </row>
    <row r="91" spans="1:45" ht="20.25" customHeight="1">
      <c r="A91" t="s">
        <v>53</v>
      </c>
      <c r="B91" t="s">
        <v>54</v>
      </c>
      <c r="C91" s="105" t="s">
        <v>55</v>
      </c>
      <c r="D91">
        <f t="shared" si="59"/>
        <v>0</v>
      </c>
      <c r="E91">
        <f t="shared" si="38"/>
        <v>0</v>
      </c>
      <c r="F91">
        <f t="shared" si="60"/>
        <v>0</v>
      </c>
      <c r="G91">
        <f t="shared" si="60"/>
        <v>0</v>
      </c>
      <c r="H91">
        <f t="shared" si="61"/>
        <v>0</v>
      </c>
      <c r="I91">
        <f t="shared" si="61"/>
        <v>0</v>
      </c>
      <c r="J91">
        <f t="shared" si="55"/>
        <v>0</v>
      </c>
      <c r="K91">
        <f t="shared" si="55"/>
        <v>0</v>
      </c>
      <c r="L91">
        <f t="shared" si="55"/>
        <v>0</v>
      </c>
      <c r="M91">
        <f t="shared" si="55"/>
        <v>0</v>
      </c>
      <c r="N91">
        <f t="shared" si="55"/>
        <v>0</v>
      </c>
      <c r="O91">
        <f t="shared" si="55"/>
        <v>0</v>
      </c>
      <c r="P91">
        <f t="shared" si="62"/>
        <v>0</v>
      </c>
      <c r="Q91">
        <f t="shared" ref="Q91:S97" si="65">W28</f>
        <v>0</v>
      </c>
      <c r="R91">
        <f>X28</f>
        <v>0</v>
      </c>
      <c r="S91">
        <f>D91-AR91</f>
        <v>0</v>
      </c>
      <c r="T91">
        <f t="shared" ref="T91:Y91" si="66">Z28</f>
        <v>0</v>
      </c>
      <c r="U91">
        <f t="shared" si="66"/>
        <v>0</v>
      </c>
      <c r="V91">
        <f t="shared" si="66"/>
        <v>0</v>
      </c>
      <c r="W91">
        <f t="shared" si="66"/>
        <v>0</v>
      </c>
      <c r="X91">
        <f t="shared" si="66"/>
        <v>0</v>
      </c>
      <c r="Y91">
        <f t="shared" si="66"/>
        <v>0</v>
      </c>
      <c r="Z91">
        <f t="shared" si="64"/>
        <v>0</v>
      </c>
      <c r="AA91">
        <f t="shared" si="58"/>
        <v>0</v>
      </c>
      <c r="AB91">
        <f t="shared" si="58"/>
        <v>0</v>
      </c>
      <c r="AC91">
        <f t="shared" si="58"/>
        <v>0</v>
      </c>
      <c r="AD91">
        <f t="shared" si="58"/>
        <v>0</v>
      </c>
      <c r="AE91">
        <f t="shared" si="58"/>
        <v>0</v>
      </c>
      <c r="AF91">
        <f t="shared" si="58"/>
        <v>0</v>
      </c>
      <c r="AG91">
        <f t="shared" si="58"/>
        <v>0</v>
      </c>
      <c r="AH91">
        <f t="shared" si="58"/>
        <v>0</v>
      </c>
      <c r="AI91">
        <f t="shared" si="58"/>
        <v>0</v>
      </c>
      <c r="AJ91">
        <f t="shared" si="58"/>
        <v>0</v>
      </c>
      <c r="AK91">
        <f t="shared" si="58"/>
        <v>0</v>
      </c>
      <c r="AL91">
        <f t="shared" si="58"/>
        <v>0</v>
      </c>
      <c r="AM91">
        <f t="shared" si="58"/>
        <v>0</v>
      </c>
      <c r="AN91">
        <f t="shared" si="58"/>
        <v>0</v>
      </c>
      <c r="AO91">
        <f t="shared" si="58"/>
        <v>0</v>
      </c>
      <c r="AP91">
        <f t="shared" si="58"/>
        <v>0</v>
      </c>
      <c r="AQ91">
        <f t="shared" si="58"/>
        <v>0</v>
      </c>
      <c r="AR91">
        <f>E91+Q91+R91+T91+U91+V91+W91+X91+Y91+Z91+AA91+AB91+AC91+AD91+AE91+AF91+AG91+AH91+AI91+AJ91+AK91+AL91+AM91+AN91+AO91+AP91+AQ91</f>
        <v>0</v>
      </c>
      <c r="AS91">
        <f>D91+S116-AR91</f>
        <v>0</v>
      </c>
    </row>
    <row r="92" spans="1:45" ht="20.25" customHeight="1">
      <c r="A92" t="s">
        <v>56</v>
      </c>
      <c r="B92" t="s">
        <v>57</v>
      </c>
      <c r="C92" s="105" t="s">
        <v>58</v>
      </c>
      <c r="D92">
        <f t="shared" si="59"/>
        <v>0</v>
      </c>
      <c r="E92">
        <f t="shared" si="38"/>
        <v>0</v>
      </c>
      <c r="F92">
        <f t="shared" si="60"/>
        <v>0</v>
      </c>
      <c r="G92">
        <f t="shared" si="60"/>
        <v>0</v>
      </c>
      <c r="H92">
        <f t="shared" si="61"/>
        <v>0</v>
      </c>
      <c r="I92">
        <f t="shared" si="61"/>
        <v>0</v>
      </c>
      <c r="J92">
        <f t="shared" si="55"/>
        <v>0</v>
      </c>
      <c r="K92">
        <f t="shared" si="55"/>
        <v>0</v>
      </c>
      <c r="L92">
        <f t="shared" si="55"/>
        <v>0</v>
      </c>
      <c r="M92">
        <f t="shared" si="55"/>
        <v>0</v>
      </c>
      <c r="N92">
        <f t="shared" si="55"/>
        <v>0</v>
      </c>
      <c r="O92">
        <f t="shared" si="55"/>
        <v>0</v>
      </c>
      <c r="P92">
        <f t="shared" si="62"/>
        <v>0</v>
      </c>
      <c r="Q92">
        <f t="shared" si="65"/>
        <v>0</v>
      </c>
      <c r="R92">
        <f t="shared" si="65"/>
        <v>0</v>
      </c>
      <c r="S92">
        <f t="shared" si="65"/>
        <v>0</v>
      </c>
      <c r="T92">
        <f>D92-AR92</f>
        <v>0</v>
      </c>
      <c r="U92">
        <f>AA29</f>
        <v>0</v>
      </c>
      <c r="V92">
        <f>AB29</f>
        <v>0</v>
      </c>
      <c r="W92">
        <f>AC29</f>
        <v>0</v>
      </c>
      <c r="X92">
        <f>AD29</f>
        <v>0</v>
      </c>
      <c r="Y92">
        <f>AE29</f>
        <v>0</v>
      </c>
      <c r="Z92">
        <f t="shared" si="64"/>
        <v>0</v>
      </c>
      <c r="AA92">
        <f t="shared" si="58"/>
        <v>0</v>
      </c>
      <c r="AB92">
        <f t="shared" si="58"/>
        <v>0</v>
      </c>
      <c r="AC92">
        <f t="shared" si="58"/>
        <v>0</v>
      </c>
      <c r="AD92">
        <f t="shared" si="58"/>
        <v>0</v>
      </c>
      <c r="AE92">
        <f t="shared" si="58"/>
        <v>0</v>
      </c>
      <c r="AF92">
        <f t="shared" si="58"/>
        <v>0</v>
      </c>
      <c r="AG92">
        <f t="shared" si="58"/>
        <v>0</v>
      </c>
      <c r="AH92">
        <f t="shared" si="58"/>
        <v>0</v>
      </c>
      <c r="AI92">
        <f t="shared" si="58"/>
        <v>0</v>
      </c>
      <c r="AJ92">
        <f t="shared" si="58"/>
        <v>0</v>
      </c>
      <c r="AK92">
        <f t="shared" si="58"/>
        <v>0</v>
      </c>
      <c r="AL92">
        <f t="shared" si="58"/>
        <v>0</v>
      </c>
      <c r="AM92">
        <f t="shared" si="58"/>
        <v>0</v>
      </c>
      <c r="AN92">
        <f t="shared" si="58"/>
        <v>0</v>
      </c>
      <c r="AO92">
        <f t="shared" si="58"/>
        <v>0</v>
      </c>
      <c r="AP92">
        <f t="shared" si="58"/>
        <v>0</v>
      </c>
      <c r="AQ92">
        <f t="shared" si="58"/>
        <v>0</v>
      </c>
      <c r="AR92">
        <f>E92+Q92+R92+S92+U92+V92+W92+X92+Y92+Z92+AA92+AB92+AC92+AD92+AE92+AF92+AG92+AH92+AI92+AJ92+AK92+AL92+AM92+AN92+AO92+AP92+AQ92</f>
        <v>0</v>
      </c>
      <c r="AS92">
        <f>D92+T116-AR92</f>
        <v>0</v>
      </c>
    </row>
    <row r="93" spans="1:45" ht="20.25" customHeight="1">
      <c r="A93" t="s">
        <v>59</v>
      </c>
      <c r="B93" t="s">
        <v>60</v>
      </c>
      <c r="C93" s="105" t="s">
        <v>61</v>
      </c>
      <c r="D93">
        <f t="shared" si="59"/>
        <v>0</v>
      </c>
      <c r="E93">
        <f t="shared" si="38"/>
        <v>0</v>
      </c>
      <c r="F93">
        <f t="shared" si="60"/>
        <v>0</v>
      </c>
      <c r="G93">
        <f t="shared" si="60"/>
        <v>0</v>
      </c>
      <c r="H93">
        <f t="shared" si="61"/>
        <v>0</v>
      </c>
      <c r="I93">
        <f t="shared" si="61"/>
        <v>0</v>
      </c>
      <c r="J93">
        <f t="shared" si="55"/>
        <v>0</v>
      </c>
      <c r="K93">
        <f t="shared" si="55"/>
        <v>0</v>
      </c>
      <c r="L93">
        <f t="shared" si="55"/>
        <v>0</v>
      </c>
      <c r="M93">
        <f t="shared" si="55"/>
        <v>0</v>
      </c>
      <c r="N93">
        <f t="shared" si="55"/>
        <v>0</v>
      </c>
      <c r="O93">
        <f t="shared" si="55"/>
        <v>0</v>
      </c>
      <c r="P93">
        <f t="shared" si="62"/>
        <v>0</v>
      </c>
      <c r="Q93">
        <f t="shared" si="65"/>
        <v>0</v>
      </c>
      <c r="R93">
        <f t="shared" si="65"/>
        <v>0</v>
      </c>
      <c r="S93">
        <f t="shared" si="65"/>
        <v>0</v>
      </c>
      <c r="T93">
        <f>Z30</f>
        <v>0</v>
      </c>
      <c r="U93">
        <f>D93-AR93</f>
        <v>0</v>
      </c>
      <c r="V93">
        <f>AB30</f>
        <v>0</v>
      </c>
      <c r="W93">
        <f>AC30</f>
        <v>0</v>
      </c>
      <c r="X93">
        <f>AD30</f>
        <v>0</v>
      </c>
      <c r="Y93">
        <f>AE30</f>
        <v>0</v>
      </c>
      <c r="Z93">
        <f t="shared" si="64"/>
        <v>0</v>
      </c>
      <c r="AA93">
        <f t="shared" si="58"/>
        <v>0</v>
      </c>
      <c r="AB93">
        <f t="shared" si="58"/>
        <v>0</v>
      </c>
      <c r="AC93">
        <f t="shared" si="58"/>
        <v>0</v>
      </c>
      <c r="AD93">
        <f t="shared" si="58"/>
        <v>0</v>
      </c>
      <c r="AE93">
        <f t="shared" si="58"/>
        <v>0</v>
      </c>
      <c r="AF93">
        <f t="shared" si="58"/>
        <v>0</v>
      </c>
      <c r="AG93">
        <f t="shared" si="58"/>
        <v>0</v>
      </c>
      <c r="AH93">
        <f t="shared" si="58"/>
        <v>0</v>
      </c>
      <c r="AI93">
        <f t="shared" si="58"/>
        <v>0</v>
      </c>
      <c r="AJ93">
        <f t="shared" si="58"/>
        <v>0</v>
      </c>
      <c r="AK93">
        <f t="shared" si="58"/>
        <v>0</v>
      </c>
      <c r="AL93">
        <f t="shared" si="58"/>
        <v>0</v>
      </c>
      <c r="AM93">
        <f t="shared" si="58"/>
        <v>0</v>
      </c>
      <c r="AN93">
        <f t="shared" si="58"/>
        <v>0</v>
      </c>
      <c r="AO93">
        <f t="shared" si="58"/>
        <v>0</v>
      </c>
      <c r="AP93">
        <f t="shared" si="58"/>
        <v>0</v>
      </c>
      <c r="AQ93">
        <f t="shared" si="58"/>
        <v>0</v>
      </c>
      <c r="AR93">
        <f>E93+Q93+R93+S93+T93+V93+W93+X93+Y93+Z93+AA93+AB93+AC93+AD93+AE93+AF93+AG93+AH93+AI93+AJ93+AK93+AL93+AM93+AN93+AO93+AP93+AQ93</f>
        <v>0</v>
      </c>
      <c r="AS93">
        <f>D93+U116-AR93</f>
        <v>0</v>
      </c>
    </row>
    <row r="94" spans="1:45" ht="20.25" customHeight="1">
      <c r="A94" t="s">
        <v>62</v>
      </c>
      <c r="B94" t="s">
        <v>63</v>
      </c>
      <c r="C94" s="105" t="s">
        <v>64</v>
      </c>
      <c r="D94">
        <f t="shared" si="59"/>
        <v>0.2</v>
      </c>
      <c r="E94">
        <f t="shared" si="38"/>
        <v>0</v>
      </c>
      <c r="F94">
        <f t="shared" si="60"/>
        <v>0</v>
      </c>
      <c r="G94">
        <f t="shared" si="60"/>
        <v>0</v>
      </c>
      <c r="H94">
        <f t="shared" si="61"/>
        <v>0</v>
      </c>
      <c r="I94">
        <f t="shared" si="61"/>
        <v>0</v>
      </c>
      <c r="J94">
        <f t="shared" si="55"/>
        <v>0</v>
      </c>
      <c r="K94">
        <f t="shared" si="55"/>
        <v>0</v>
      </c>
      <c r="L94">
        <f t="shared" si="55"/>
        <v>0</v>
      </c>
      <c r="M94">
        <f t="shared" si="55"/>
        <v>0</v>
      </c>
      <c r="N94">
        <f t="shared" si="55"/>
        <v>0</v>
      </c>
      <c r="O94">
        <f t="shared" si="55"/>
        <v>0</v>
      </c>
      <c r="P94">
        <f t="shared" si="62"/>
        <v>0.2</v>
      </c>
      <c r="Q94">
        <f t="shared" si="65"/>
        <v>0</v>
      </c>
      <c r="R94">
        <f t="shared" si="65"/>
        <v>0</v>
      </c>
      <c r="S94">
        <f t="shared" si="65"/>
        <v>0</v>
      </c>
      <c r="T94">
        <f>Z31</f>
        <v>0</v>
      </c>
      <c r="U94">
        <f>AA31</f>
        <v>0</v>
      </c>
      <c r="V94">
        <f>D94-AR94</f>
        <v>0.2</v>
      </c>
      <c r="W94">
        <f>AC31</f>
        <v>0</v>
      </c>
      <c r="X94">
        <f>AD31</f>
        <v>0</v>
      </c>
      <c r="Y94">
        <f>AE31</f>
        <v>0</v>
      </c>
      <c r="Z94">
        <f t="shared" si="64"/>
        <v>0</v>
      </c>
      <c r="AA94">
        <f t="shared" si="58"/>
        <v>0</v>
      </c>
      <c r="AB94">
        <f t="shared" si="58"/>
        <v>0</v>
      </c>
      <c r="AC94">
        <f t="shared" si="58"/>
        <v>0</v>
      </c>
      <c r="AD94">
        <f t="shared" si="58"/>
        <v>0</v>
      </c>
      <c r="AE94">
        <f t="shared" si="58"/>
        <v>0</v>
      </c>
      <c r="AF94">
        <f t="shared" si="58"/>
        <v>0</v>
      </c>
      <c r="AG94">
        <f t="shared" si="58"/>
        <v>0</v>
      </c>
      <c r="AH94">
        <f t="shared" si="58"/>
        <v>0</v>
      </c>
      <c r="AI94">
        <f t="shared" si="58"/>
        <v>0</v>
      </c>
      <c r="AJ94">
        <f t="shared" si="58"/>
        <v>0</v>
      </c>
      <c r="AK94">
        <f t="shared" si="58"/>
        <v>0</v>
      </c>
      <c r="AL94">
        <f t="shared" si="58"/>
        <v>0</v>
      </c>
      <c r="AM94">
        <f t="shared" si="58"/>
        <v>0</v>
      </c>
      <c r="AN94">
        <f t="shared" si="58"/>
        <v>0</v>
      </c>
      <c r="AO94">
        <f t="shared" si="58"/>
        <v>0</v>
      </c>
      <c r="AP94">
        <f t="shared" si="58"/>
        <v>0</v>
      </c>
      <c r="AQ94">
        <f t="shared" si="58"/>
        <v>0</v>
      </c>
      <c r="AR94">
        <f>E94+Q94+R94+S94+T94+U94+W94+X94+Y94+Z94+AA94+AB94+AC94+AD94+AE94+AF94+AG94+AH94+AI94+AJ94+AK94+AL94+AM94+AN94+AO94+AP94+AQ94</f>
        <v>0</v>
      </c>
      <c r="AS94">
        <f>D94+V116-AR94</f>
        <v>0.2</v>
      </c>
    </row>
    <row r="95" spans="1:45" ht="20.25" customHeight="1">
      <c r="A95" t="s">
        <v>65</v>
      </c>
      <c r="B95" t="s">
        <v>66</v>
      </c>
      <c r="C95" s="105" t="s">
        <v>67</v>
      </c>
      <c r="D95">
        <f t="shared" si="59"/>
        <v>0.26</v>
      </c>
      <c r="E95">
        <f t="shared" si="38"/>
        <v>0</v>
      </c>
      <c r="F95">
        <f t="shared" si="60"/>
        <v>0</v>
      </c>
      <c r="G95">
        <f t="shared" si="60"/>
        <v>0</v>
      </c>
      <c r="H95">
        <f t="shared" si="61"/>
        <v>0</v>
      </c>
      <c r="I95">
        <f t="shared" si="61"/>
        <v>0</v>
      </c>
      <c r="J95">
        <f t="shared" si="55"/>
        <v>0</v>
      </c>
      <c r="K95">
        <f t="shared" si="55"/>
        <v>0</v>
      </c>
      <c r="L95">
        <f t="shared" si="55"/>
        <v>0</v>
      </c>
      <c r="M95">
        <f t="shared" si="55"/>
        <v>0</v>
      </c>
      <c r="N95">
        <f t="shared" si="55"/>
        <v>0</v>
      </c>
      <c r="O95">
        <f t="shared" si="55"/>
        <v>0</v>
      </c>
      <c r="P95">
        <f t="shared" si="62"/>
        <v>0.26</v>
      </c>
      <c r="Q95">
        <f t="shared" si="65"/>
        <v>0</v>
      </c>
      <c r="R95">
        <f t="shared" si="65"/>
        <v>0</v>
      </c>
      <c r="S95">
        <f t="shared" si="65"/>
        <v>0</v>
      </c>
      <c r="T95">
        <f>Z32</f>
        <v>0</v>
      </c>
      <c r="U95">
        <f>AA32</f>
        <v>0</v>
      </c>
      <c r="V95">
        <f>AB32</f>
        <v>0</v>
      </c>
      <c r="W95">
        <f>D95-AR95</f>
        <v>0.26</v>
      </c>
      <c r="X95">
        <f>AD32</f>
        <v>0</v>
      </c>
      <c r="Y95">
        <f>AE32</f>
        <v>0</v>
      </c>
      <c r="Z95">
        <f t="shared" si="64"/>
        <v>0</v>
      </c>
      <c r="AA95">
        <f t="shared" si="58"/>
        <v>0</v>
      </c>
      <c r="AB95">
        <f t="shared" si="58"/>
        <v>0</v>
      </c>
      <c r="AC95">
        <f t="shared" si="58"/>
        <v>0</v>
      </c>
      <c r="AD95">
        <f t="shared" si="58"/>
        <v>0</v>
      </c>
      <c r="AE95">
        <f t="shared" si="58"/>
        <v>0</v>
      </c>
      <c r="AF95">
        <f t="shared" si="58"/>
        <v>0</v>
      </c>
      <c r="AG95">
        <f t="shared" si="58"/>
        <v>0</v>
      </c>
      <c r="AH95">
        <f t="shared" si="58"/>
        <v>0</v>
      </c>
      <c r="AI95">
        <f t="shared" si="58"/>
        <v>0</v>
      </c>
      <c r="AJ95">
        <f t="shared" si="58"/>
        <v>0</v>
      </c>
      <c r="AK95">
        <f t="shared" si="58"/>
        <v>0</v>
      </c>
      <c r="AL95">
        <f t="shared" si="58"/>
        <v>0</v>
      </c>
      <c r="AM95">
        <f t="shared" si="58"/>
        <v>0</v>
      </c>
      <c r="AN95">
        <f t="shared" si="58"/>
        <v>0</v>
      </c>
      <c r="AO95">
        <f t="shared" si="58"/>
        <v>0</v>
      </c>
      <c r="AP95">
        <f t="shared" si="58"/>
        <v>0</v>
      </c>
      <c r="AQ95">
        <f t="shared" si="58"/>
        <v>0</v>
      </c>
      <c r="AR95">
        <f>E95+Q95+R95+S95+T95+U95+V95+X95+Y95+Z95+AA95+AB95+AC95+AD95+AE95+AF95+AG95+AH95+AI95+AJ95+AK95+AL95+AM95+AN95+AO95+AP95+AQ95</f>
        <v>0</v>
      </c>
      <c r="AS95">
        <f>D95+W116-AR95</f>
        <v>0.26</v>
      </c>
    </row>
    <row r="96" spans="1:45" ht="20.25" customHeight="1">
      <c r="A96" t="s">
        <v>68</v>
      </c>
      <c r="B96" t="s">
        <v>69</v>
      </c>
      <c r="C96" s="105" t="s">
        <v>70</v>
      </c>
      <c r="D96">
        <f t="shared" si="59"/>
        <v>0</v>
      </c>
      <c r="E96">
        <f t="shared" si="38"/>
        <v>0</v>
      </c>
      <c r="F96">
        <f t="shared" si="60"/>
        <v>0</v>
      </c>
      <c r="G96">
        <f t="shared" si="60"/>
        <v>0</v>
      </c>
      <c r="H96">
        <f t="shared" si="61"/>
        <v>0</v>
      </c>
      <c r="I96">
        <f t="shared" si="61"/>
        <v>0</v>
      </c>
      <c r="J96">
        <f t="shared" si="55"/>
        <v>0</v>
      </c>
      <c r="K96">
        <f t="shared" si="55"/>
        <v>0</v>
      </c>
      <c r="L96">
        <f t="shared" si="55"/>
        <v>0</v>
      </c>
      <c r="M96">
        <f t="shared" si="55"/>
        <v>0</v>
      </c>
      <c r="N96">
        <f t="shared" si="55"/>
        <v>0</v>
      </c>
      <c r="O96">
        <f t="shared" si="55"/>
        <v>0</v>
      </c>
      <c r="P96">
        <f t="shared" si="62"/>
        <v>0</v>
      </c>
      <c r="Q96">
        <f t="shared" si="65"/>
        <v>0</v>
      </c>
      <c r="R96">
        <f t="shared" si="65"/>
        <v>0</v>
      </c>
      <c r="S96">
        <f t="shared" si="65"/>
        <v>0</v>
      </c>
      <c r="T96">
        <f>Z33</f>
        <v>0</v>
      </c>
      <c r="U96">
        <f>AA33</f>
        <v>0</v>
      </c>
      <c r="V96">
        <f>AB33</f>
        <v>0</v>
      </c>
      <c r="W96">
        <f>AC33</f>
        <v>0</v>
      </c>
      <c r="X96">
        <f>D96-AR96</f>
        <v>0</v>
      </c>
      <c r="Y96">
        <f>AE33</f>
        <v>0</v>
      </c>
      <c r="Z96">
        <f t="shared" si="64"/>
        <v>0</v>
      </c>
      <c r="AA96">
        <f t="shared" si="58"/>
        <v>0</v>
      </c>
      <c r="AB96">
        <f t="shared" si="58"/>
        <v>0</v>
      </c>
      <c r="AC96">
        <f t="shared" si="58"/>
        <v>0</v>
      </c>
      <c r="AD96">
        <f t="shared" si="58"/>
        <v>0</v>
      </c>
      <c r="AE96">
        <f t="shared" si="58"/>
        <v>0</v>
      </c>
      <c r="AF96">
        <f t="shared" si="58"/>
        <v>0</v>
      </c>
      <c r="AG96">
        <f t="shared" si="58"/>
        <v>0</v>
      </c>
      <c r="AH96">
        <f t="shared" si="58"/>
        <v>0</v>
      </c>
      <c r="AI96">
        <f t="shared" si="58"/>
        <v>0</v>
      </c>
      <c r="AJ96">
        <f t="shared" si="58"/>
        <v>0</v>
      </c>
      <c r="AK96">
        <f t="shared" si="58"/>
        <v>0</v>
      </c>
      <c r="AL96">
        <f t="shared" si="58"/>
        <v>0</v>
      </c>
      <c r="AM96">
        <f t="shared" si="58"/>
        <v>0</v>
      </c>
      <c r="AN96">
        <f t="shared" si="58"/>
        <v>0</v>
      </c>
      <c r="AO96">
        <f t="shared" si="58"/>
        <v>0</v>
      </c>
      <c r="AP96">
        <f t="shared" si="58"/>
        <v>0</v>
      </c>
      <c r="AQ96">
        <f t="shared" si="58"/>
        <v>0</v>
      </c>
      <c r="AR96">
        <f>E96+Q96+R96+S96+T96+U96+V96+W96+Y96+Z96+AA96+AB96+AC96+AD96+AE96+AF96+AG96+AH96+AI96+AJ96+AK96+AL96+AM96+AN96+AO96+AP96+AQ96</f>
        <v>0</v>
      </c>
      <c r="AS96">
        <f>D96+X116-AR96</f>
        <v>0</v>
      </c>
    </row>
    <row r="97" spans="1:45" ht="38.25" customHeight="1">
      <c r="A97" t="s">
        <v>71</v>
      </c>
      <c r="B97" t="s">
        <v>135</v>
      </c>
      <c r="C97" s="105" t="s">
        <v>72</v>
      </c>
      <c r="D97">
        <f t="shared" si="59"/>
        <v>167.77500000000001</v>
      </c>
      <c r="E97">
        <f t="shared" si="38"/>
        <v>0</v>
      </c>
      <c r="F97">
        <f t="shared" si="60"/>
        <v>0</v>
      </c>
      <c r="G97">
        <f t="shared" si="60"/>
        <v>0</v>
      </c>
      <c r="H97">
        <f t="shared" si="61"/>
        <v>0</v>
      </c>
      <c r="I97">
        <f t="shared" si="61"/>
        <v>0</v>
      </c>
      <c r="J97">
        <f>P34</f>
        <v>0</v>
      </c>
      <c r="K97">
        <f t="shared" si="55"/>
        <v>0</v>
      </c>
      <c r="L97">
        <f t="shared" si="55"/>
        <v>0</v>
      </c>
      <c r="M97">
        <f t="shared" si="55"/>
        <v>0</v>
      </c>
      <c r="N97">
        <f t="shared" si="55"/>
        <v>0</v>
      </c>
      <c r="O97">
        <f t="shared" si="55"/>
        <v>0</v>
      </c>
      <c r="P97">
        <f t="shared" si="62"/>
        <v>167.77500000000001</v>
      </c>
      <c r="Q97">
        <f t="shared" si="65"/>
        <v>0</v>
      </c>
      <c r="R97">
        <f t="shared" si="65"/>
        <v>0</v>
      </c>
      <c r="S97">
        <f t="shared" si="65"/>
        <v>0</v>
      </c>
      <c r="T97">
        <f>Z34</f>
        <v>0</v>
      </c>
      <c r="U97">
        <f>AA34</f>
        <v>0</v>
      </c>
      <c r="V97">
        <f>AB34</f>
        <v>0</v>
      </c>
      <c r="W97">
        <f>AC34</f>
        <v>0</v>
      </c>
      <c r="X97">
        <f>AD34</f>
        <v>0</v>
      </c>
      <c r="Y97">
        <f>D97-AR97</f>
        <v>167.72499999999999</v>
      </c>
      <c r="Z97">
        <f t="shared" si="64"/>
        <v>0</v>
      </c>
      <c r="AA97">
        <f t="shared" si="58"/>
        <v>0</v>
      </c>
      <c r="AB97">
        <f t="shared" si="58"/>
        <v>0</v>
      </c>
      <c r="AC97">
        <f t="shared" si="58"/>
        <v>0.05</v>
      </c>
      <c r="AD97">
        <f t="shared" si="58"/>
        <v>0</v>
      </c>
      <c r="AE97">
        <f t="shared" si="58"/>
        <v>0</v>
      </c>
      <c r="AF97">
        <f t="shared" si="58"/>
        <v>0</v>
      </c>
      <c r="AG97">
        <f t="shared" si="58"/>
        <v>0</v>
      </c>
      <c r="AH97">
        <f t="shared" si="58"/>
        <v>0</v>
      </c>
      <c r="AI97">
        <f t="shared" si="58"/>
        <v>0</v>
      </c>
      <c r="AJ97">
        <f t="shared" si="58"/>
        <v>0</v>
      </c>
      <c r="AK97">
        <f t="shared" si="58"/>
        <v>0</v>
      </c>
      <c r="AL97">
        <f t="shared" si="58"/>
        <v>0</v>
      </c>
      <c r="AM97">
        <f t="shared" si="58"/>
        <v>0</v>
      </c>
      <c r="AN97">
        <f t="shared" si="58"/>
        <v>0</v>
      </c>
      <c r="AO97">
        <f t="shared" si="58"/>
        <v>0</v>
      </c>
      <c r="AP97">
        <f t="shared" si="58"/>
        <v>0</v>
      </c>
      <c r="AQ97">
        <f t="shared" si="58"/>
        <v>0</v>
      </c>
      <c r="AR97">
        <f>E97+Q97+R97+S97+T97+U97+V97+W97+X97+Z97+AA97+AB97+AC97+AD97+AE97+AF97+AG97+AH97+AI97+AJ97+AK97+AL97+AM97+AN97+AO97+AP97+AQ97</f>
        <v>0.05</v>
      </c>
      <c r="AS97">
        <f>D97+Y116-AR97</f>
        <v>178.30500000000001</v>
      </c>
    </row>
    <row r="98" spans="1:45" ht="20.25" customHeight="1">
      <c r="A98" t="s">
        <v>73</v>
      </c>
      <c r="B98" t="s">
        <v>74</v>
      </c>
      <c r="C98" s="105" t="s">
        <v>75</v>
      </c>
      <c r="D98">
        <f>D46</f>
        <v>0</v>
      </c>
      <c r="E98">
        <f t="shared" si="38"/>
        <v>0</v>
      </c>
      <c r="F98">
        <f>H46</f>
        <v>0</v>
      </c>
      <c r="G98">
        <f>I46</f>
        <v>0</v>
      </c>
      <c r="H98">
        <f>M46</f>
        <v>0</v>
      </c>
      <c r="I98">
        <f>N46</f>
        <v>0</v>
      </c>
      <c r="J98">
        <f t="shared" ref="J98:O113" si="67">P46</f>
        <v>0</v>
      </c>
      <c r="K98">
        <f t="shared" si="67"/>
        <v>0</v>
      </c>
      <c r="L98">
        <f t="shared" si="67"/>
        <v>0</v>
      </c>
      <c r="M98">
        <f t="shared" si="67"/>
        <v>0</v>
      </c>
      <c r="N98">
        <f t="shared" si="67"/>
        <v>0</v>
      </c>
      <c r="O98">
        <f t="shared" si="67"/>
        <v>0</v>
      </c>
      <c r="P98">
        <f t="shared" si="62"/>
        <v>0</v>
      </c>
      <c r="Q98">
        <f t="shared" ref="Q98:Y113" si="68">W46</f>
        <v>0</v>
      </c>
      <c r="R98">
        <f t="shared" si="68"/>
        <v>0</v>
      </c>
      <c r="S98">
        <f t="shared" si="68"/>
        <v>0</v>
      </c>
      <c r="T98">
        <f t="shared" si="68"/>
        <v>0</v>
      </c>
      <c r="U98">
        <f t="shared" si="68"/>
        <v>0</v>
      </c>
      <c r="V98">
        <f t="shared" si="68"/>
        <v>0</v>
      </c>
      <c r="W98">
        <f t="shared" si="68"/>
        <v>0</v>
      </c>
      <c r="X98">
        <f t="shared" si="68"/>
        <v>0</v>
      </c>
      <c r="Y98">
        <f t="shared" si="68"/>
        <v>0</v>
      </c>
      <c r="Z98">
        <f>D98-AR98</f>
        <v>0</v>
      </c>
      <c r="AA98">
        <f>AR46</f>
        <v>0</v>
      </c>
      <c r="AB98">
        <f t="shared" ref="AB98:AQ109" si="69">AS46</f>
        <v>0</v>
      </c>
      <c r="AC98">
        <f t="shared" si="69"/>
        <v>0</v>
      </c>
      <c r="AD98">
        <f t="shared" si="69"/>
        <v>0</v>
      </c>
      <c r="AE98">
        <f t="shared" si="69"/>
        <v>0</v>
      </c>
      <c r="AF98">
        <f t="shared" si="69"/>
        <v>0</v>
      </c>
      <c r="AG98">
        <f t="shared" si="69"/>
        <v>0</v>
      </c>
      <c r="AH98">
        <f t="shared" si="69"/>
        <v>0</v>
      </c>
      <c r="AI98">
        <f t="shared" si="69"/>
        <v>0</v>
      </c>
      <c r="AJ98">
        <f t="shared" si="69"/>
        <v>0</v>
      </c>
      <c r="AK98">
        <f t="shared" si="69"/>
        <v>0</v>
      </c>
      <c r="AL98">
        <f t="shared" si="69"/>
        <v>0</v>
      </c>
      <c r="AM98">
        <f t="shared" si="69"/>
        <v>0</v>
      </c>
      <c r="AN98">
        <f t="shared" si="69"/>
        <v>0</v>
      </c>
      <c r="AO98">
        <f t="shared" si="69"/>
        <v>0</v>
      </c>
      <c r="AP98">
        <f t="shared" si="69"/>
        <v>0</v>
      </c>
      <c r="AQ98">
        <f t="shared" si="69"/>
        <v>0</v>
      </c>
      <c r="AR98">
        <f>E98+Q98+R98+S98+T98+U98+V98+W98+X98+Y98+AA98+AB98+AC98+AD98+AE98+AF98+AG98+AH98+AI98+AJ98+AK98+AL98+AM98+AN98+AO98+AP98+AQ98</f>
        <v>0</v>
      </c>
      <c r="AS98">
        <f>D98+Z116-AR98</f>
        <v>0</v>
      </c>
    </row>
    <row r="99" spans="1:45" ht="20.25" customHeight="1">
      <c r="A99" t="s">
        <v>76</v>
      </c>
      <c r="B99" t="s">
        <v>77</v>
      </c>
      <c r="C99" s="105" t="s">
        <v>78</v>
      </c>
      <c r="D99">
        <f t="shared" ref="D99:D114" si="70">D47</f>
        <v>0</v>
      </c>
      <c r="E99">
        <f t="shared" si="38"/>
        <v>0</v>
      </c>
      <c r="F99">
        <f t="shared" ref="F99:G115" si="71">H47</f>
        <v>0</v>
      </c>
      <c r="G99">
        <f t="shared" si="71"/>
        <v>0</v>
      </c>
      <c r="H99">
        <f t="shared" ref="H99:I115" si="72">M47</f>
        <v>0</v>
      </c>
      <c r="I99">
        <f t="shared" si="72"/>
        <v>0</v>
      </c>
      <c r="J99">
        <f t="shared" si="67"/>
        <v>0</v>
      </c>
      <c r="K99">
        <f t="shared" si="67"/>
        <v>0</v>
      </c>
      <c r="L99">
        <f t="shared" si="67"/>
        <v>0</v>
      </c>
      <c r="M99">
        <f t="shared" si="67"/>
        <v>0</v>
      </c>
      <c r="N99">
        <f t="shared" si="67"/>
        <v>0</v>
      </c>
      <c r="O99">
        <f t="shared" si="67"/>
        <v>0</v>
      </c>
      <c r="P99">
        <f t="shared" si="62"/>
        <v>0</v>
      </c>
      <c r="Q99">
        <f t="shared" si="68"/>
        <v>0</v>
      </c>
      <c r="R99">
        <f t="shared" si="68"/>
        <v>0</v>
      </c>
      <c r="S99">
        <f t="shared" si="68"/>
        <v>0</v>
      </c>
      <c r="T99">
        <f t="shared" si="68"/>
        <v>0</v>
      </c>
      <c r="U99">
        <f t="shared" si="68"/>
        <v>0</v>
      </c>
      <c r="V99">
        <f t="shared" si="68"/>
        <v>0</v>
      </c>
      <c r="W99">
        <f t="shared" si="68"/>
        <v>0</v>
      </c>
      <c r="X99">
        <f t="shared" si="68"/>
        <v>0</v>
      </c>
      <c r="Y99">
        <f t="shared" si="68"/>
        <v>0</v>
      </c>
      <c r="Z99">
        <f>AQ47</f>
        <v>0</v>
      </c>
      <c r="AA99">
        <f>D99-AR99</f>
        <v>0</v>
      </c>
      <c r="AB99">
        <f>AS47</f>
        <v>0</v>
      </c>
      <c r="AC99">
        <f t="shared" si="69"/>
        <v>0</v>
      </c>
      <c r="AD99">
        <f t="shared" si="69"/>
        <v>0</v>
      </c>
      <c r="AE99">
        <f t="shared" si="69"/>
        <v>0</v>
      </c>
      <c r="AF99">
        <f t="shared" si="69"/>
        <v>0</v>
      </c>
      <c r="AG99">
        <f t="shared" si="69"/>
        <v>0</v>
      </c>
      <c r="AH99">
        <f t="shared" si="69"/>
        <v>0</v>
      </c>
      <c r="AI99">
        <f t="shared" si="69"/>
        <v>0</v>
      </c>
      <c r="AJ99">
        <f t="shared" si="69"/>
        <v>0</v>
      </c>
      <c r="AK99">
        <f t="shared" si="69"/>
        <v>0</v>
      </c>
      <c r="AL99">
        <f t="shared" si="69"/>
        <v>0</v>
      </c>
      <c r="AM99">
        <f t="shared" si="69"/>
        <v>0</v>
      </c>
      <c r="AN99">
        <f t="shared" si="69"/>
        <v>0</v>
      </c>
      <c r="AO99">
        <f t="shared" si="69"/>
        <v>0</v>
      </c>
      <c r="AP99">
        <f t="shared" si="69"/>
        <v>0</v>
      </c>
      <c r="AQ99">
        <f t="shared" si="69"/>
        <v>0</v>
      </c>
      <c r="AR99">
        <f>E99+Q99+R99+S99+T99+U99+V99+W99+X99+Y99+Z99+AB99+AC99+AD99+AE99+AF99+AG99+AH99+AI99+AJ99+AK99+AL99+AM99+AN99+AO99+AP99+AQ99</f>
        <v>0</v>
      </c>
      <c r="AS99">
        <f>D99+AA116-AR99</f>
        <v>0</v>
      </c>
    </row>
    <row r="100" spans="1:45" ht="20.25" customHeight="1">
      <c r="A100" t="s">
        <v>79</v>
      </c>
      <c r="B100" t="s">
        <v>80</v>
      </c>
      <c r="C100" s="105" t="s">
        <v>81</v>
      </c>
      <c r="D100">
        <f t="shared" si="70"/>
        <v>0</v>
      </c>
      <c r="E100">
        <f t="shared" si="38"/>
        <v>0</v>
      </c>
      <c r="F100">
        <f t="shared" si="71"/>
        <v>0</v>
      </c>
      <c r="G100">
        <f t="shared" si="71"/>
        <v>0</v>
      </c>
      <c r="H100">
        <f t="shared" si="72"/>
        <v>0</v>
      </c>
      <c r="I100">
        <f t="shared" si="72"/>
        <v>0</v>
      </c>
      <c r="J100">
        <f t="shared" si="67"/>
        <v>0</v>
      </c>
      <c r="K100">
        <f t="shared" si="67"/>
        <v>0</v>
      </c>
      <c r="L100">
        <f t="shared" si="67"/>
        <v>0</v>
      </c>
      <c r="M100">
        <f t="shared" si="67"/>
        <v>0</v>
      </c>
      <c r="N100">
        <f t="shared" si="67"/>
        <v>0</v>
      </c>
      <c r="O100">
        <f t="shared" si="67"/>
        <v>0</v>
      </c>
      <c r="P100">
        <f t="shared" si="62"/>
        <v>0</v>
      </c>
      <c r="Q100">
        <f t="shared" si="68"/>
        <v>0</v>
      </c>
      <c r="R100">
        <f t="shared" si="68"/>
        <v>0</v>
      </c>
      <c r="S100">
        <f t="shared" si="68"/>
        <v>0</v>
      </c>
      <c r="T100">
        <f t="shared" si="68"/>
        <v>0</v>
      </c>
      <c r="U100">
        <f t="shared" si="68"/>
        <v>0</v>
      </c>
      <c r="V100">
        <f t="shared" si="68"/>
        <v>0</v>
      </c>
      <c r="W100">
        <f t="shared" si="68"/>
        <v>0</v>
      </c>
      <c r="X100">
        <f t="shared" si="68"/>
        <v>0</v>
      </c>
      <c r="Y100">
        <f t="shared" si="68"/>
        <v>0</v>
      </c>
      <c r="Z100">
        <f t="shared" ref="Z100:AK115" si="73">AQ48</f>
        <v>0</v>
      </c>
      <c r="AA100">
        <f t="shared" si="73"/>
        <v>0</v>
      </c>
      <c r="AB100">
        <f>D100-AR100</f>
        <v>0</v>
      </c>
      <c r="AC100">
        <f>AT48</f>
        <v>0</v>
      </c>
      <c r="AD100">
        <f t="shared" si="69"/>
        <v>0</v>
      </c>
      <c r="AE100">
        <f t="shared" si="69"/>
        <v>0</v>
      </c>
      <c r="AF100">
        <f t="shared" si="69"/>
        <v>0</v>
      </c>
      <c r="AG100">
        <f t="shared" si="69"/>
        <v>0</v>
      </c>
      <c r="AH100">
        <f t="shared" si="69"/>
        <v>0</v>
      </c>
      <c r="AI100">
        <f t="shared" si="69"/>
        <v>0</v>
      </c>
      <c r="AJ100">
        <f t="shared" si="69"/>
        <v>0</v>
      </c>
      <c r="AK100">
        <f t="shared" si="69"/>
        <v>0</v>
      </c>
      <c r="AL100">
        <f t="shared" si="69"/>
        <v>0</v>
      </c>
      <c r="AM100">
        <f t="shared" si="69"/>
        <v>0</v>
      </c>
      <c r="AN100">
        <f t="shared" si="69"/>
        <v>0</v>
      </c>
      <c r="AO100">
        <f t="shared" si="69"/>
        <v>0</v>
      </c>
      <c r="AP100">
        <f t="shared" si="69"/>
        <v>0</v>
      </c>
      <c r="AQ100">
        <f t="shared" si="69"/>
        <v>0</v>
      </c>
      <c r="AR100">
        <f>E100+Q100+R100+S100+T100+U100+V100+W100+X100+Y100+Z100+AA100+AC100+AD100+AE100+AF100+AG100+AH100+AI100+AJ100+AK100+AL100+AM100+AN100+AO100+AP100+AQ100</f>
        <v>0</v>
      </c>
      <c r="AS100">
        <f>D100+AB116-AR100</f>
        <v>1.29</v>
      </c>
    </row>
    <row r="101" spans="1:45" ht="20.25" customHeight="1">
      <c r="A101" t="s">
        <v>82</v>
      </c>
      <c r="B101" t="s">
        <v>83</v>
      </c>
      <c r="C101" s="105" t="s">
        <v>84</v>
      </c>
      <c r="D101">
        <f t="shared" si="70"/>
        <v>56.76</v>
      </c>
      <c r="E101">
        <f t="shared" si="38"/>
        <v>0</v>
      </c>
      <c r="F101">
        <f t="shared" si="71"/>
        <v>0</v>
      </c>
      <c r="G101">
        <f t="shared" si="71"/>
        <v>0</v>
      </c>
      <c r="H101">
        <f t="shared" si="72"/>
        <v>0</v>
      </c>
      <c r="I101">
        <f t="shared" si="72"/>
        <v>0</v>
      </c>
      <c r="J101">
        <f t="shared" si="67"/>
        <v>0</v>
      </c>
      <c r="K101">
        <f t="shared" si="67"/>
        <v>0</v>
      </c>
      <c r="L101">
        <f t="shared" si="67"/>
        <v>0</v>
      </c>
      <c r="M101">
        <f t="shared" si="67"/>
        <v>0</v>
      </c>
      <c r="N101">
        <f t="shared" si="67"/>
        <v>0</v>
      </c>
      <c r="O101">
        <f t="shared" si="67"/>
        <v>0</v>
      </c>
      <c r="P101">
        <f t="shared" si="62"/>
        <v>56.76</v>
      </c>
      <c r="Q101">
        <f t="shared" si="68"/>
        <v>0</v>
      </c>
      <c r="R101">
        <f t="shared" si="68"/>
        <v>0</v>
      </c>
      <c r="S101">
        <f t="shared" si="68"/>
        <v>0</v>
      </c>
      <c r="T101">
        <f t="shared" si="68"/>
        <v>0</v>
      </c>
      <c r="U101">
        <f t="shared" si="68"/>
        <v>0</v>
      </c>
      <c r="V101">
        <f t="shared" si="68"/>
        <v>0</v>
      </c>
      <c r="W101">
        <f t="shared" si="68"/>
        <v>0</v>
      </c>
      <c r="X101">
        <f t="shared" si="68"/>
        <v>0</v>
      </c>
      <c r="Y101">
        <f t="shared" si="68"/>
        <v>0</v>
      </c>
      <c r="Z101">
        <f t="shared" si="73"/>
        <v>0</v>
      </c>
      <c r="AA101">
        <f t="shared" si="73"/>
        <v>0</v>
      </c>
      <c r="AB101">
        <f t="shared" si="73"/>
        <v>0</v>
      </c>
      <c r="AC101">
        <f>D101-AR101</f>
        <v>56.76</v>
      </c>
      <c r="AD101">
        <f>AU49</f>
        <v>0</v>
      </c>
      <c r="AE101">
        <f t="shared" si="69"/>
        <v>0</v>
      </c>
      <c r="AF101">
        <f t="shared" si="69"/>
        <v>0</v>
      </c>
      <c r="AG101">
        <f t="shared" si="69"/>
        <v>0</v>
      </c>
      <c r="AH101">
        <f t="shared" si="69"/>
        <v>0</v>
      </c>
      <c r="AI101">
        <f t="shared" si="69"/>
        <v>0</v>
      </c>
      <c r="AJ101">
        <f t="shared" si="69"/>
        <v>0</v>
      </c>
      <c r="AK101">
        <f t="shared" si="69"/>
        <v>0</v>
      </c>
      <c r="AL101">
        <f t="shared" si="69"/>
        <v>0</v>
      </c>
      <c r="AM101">
        <f t="shared" si="69"/>
        <v>0</v>
      </c>
      <c r="AN101">
        <f t="shared" si="69"/>
        <v>0</v>
      </c>
      <c r="AO101">
        <f t="shared" si="69"/>
        <v>0</v>
      </c>
      <c r="AP101">
        <f t="shared" si="69"/>
        <v>0</v>
      </c>
      <c r="AQ101">
        <f t="shared" si="69"/>
        <v>0</v>
      </c>
      <c r="AR101">
        <f>E101+Q101+R101+S101+T101+U101+V101+W101+X101+Y101+Z101+AA101+AB101+AD101+AE101+AF101+AG101+AH101+AI101+AJ101+AK101+AL101+AM101+AN101+AO101+AP101+AQ101</f>
        <v>0</v>
      </c>
      <c r="AS101">
        <f>D101+AC116-AR101</f>
        <v>58.58</v>
      </c>
    </row>
    <row r="102" spans="1:45" ht="20.25" customHeight="1">
      <c r="A102" t="s">
        <v>85</v>
      </c>
      <c r="B102" t="s">
        <v>86</v>
      </c>
      <c r="C102" s="105" t="s">
        <v>87</v>
      </c>
      <c r="D102">
        <f t="shared" si="70"/>
        <v>0</v>
      </c>
      <c r="E102">
        <f t="shared" si="38"/>
        <v>0</v>
      </c>
      <c r="F102">
        <f t="shared" si="71"/>
        <v>0</v>
      </c>
      <c r="G102">
        <f t="shared" si="71"/>
        <v>0</v>
      </c>
      <c r="H102">
        <f t="shared" si="72"/>
        <v>0</v>
      </c>
      <c r="I102">
        <f t="shared" si="72"/>
        <v>0</v>
      </c>
      <c r="J102">
        <f t="shared" si="67"/>
        <v>0</v>
      </c>
      <c r="K102">
        <f t="shared" si="67"/>
        <v>0</v>
      </c>
      <c r="L102">
        <f t="shared" si="67"/>
        <v>0</v>
      </c>
      <c r="M102">
        <f t="shared" si="67"/>
        <v>0</v>
      </c>
      <c r="N102">
        <f t="shared" si="67"/>
        <v>0</v>
      </c>
      <c r="O102">
        <f t="shared" si="67"/>
        <v>0</v>
      </c>
      <c r="P102">
        <f t="shared" si="62"/>
        <v>0</v>
      </c>
      <c r="Q102">
        <f t="shared" si="68"/>
        <v>0</v>
      </c>
      <c r="R102">
        <f t="shared" si="68"/>
        <v>0</v>
      </c>
      <c r="S102">
        <f t="shared" si="68"/>
        <v>0</v>
      </c>
      <c r="T102">
        <f t="shared" si="68"/>
        <v>0</v>
      </c>
      <c r="U102">
        <f t="shared" si="68"/>
        <v>0</v>
      </c>
      <c r="V102">
        <f t="shared" si="68"/>
        <v>0</v>
      </c>
      <c r="W102">
        <f t="shared" si="68"/>
        <v>0</v>
      </c>
      <c r="X102">
        <f t="shared" si="68"/>
        <v>0</v>
      </c>
      <c r="Y102">
        <f t="shared" si="68"/>
        <v>0</v>
      </c>
      <c r="Z102">
        <f t="shared" si="73"/>
        <v>0</v>
      </c>
      <c r="AA102">
        <f t="shared" si="73"/>
        <v>0</v>
      </c>
      <c r="AB102">
        <f t="shared" si="73"/>
        <v>0</v>
      </c>
      <c r="AC102">
        <f t="shared" si="73"/>
        <v>0</v>
      </c>
      <c r="AD102">
        <f>D102-AR102</f>
        <v>0</v>
      </c>
      <c r="AE102">
        <f>AV50</f>
        <v>0</v>
      </c>
      <c r="AF102">
        <f t="shared" si="69"/>
        <v>0</v>
      </c>
      <c r="AG102">
        <f t="shared" si="69"/>
        <v>0</v>
      </c>
      <c r="AH102">
        <f t="shared" si="69"/>
        <v>0</v>
      </c>
      <c r="AI102">
        <f t="shared" si="69"/>
        <v>0</v>
      </c>
      <c r="AJ102">
        <f t="shared" si="69"/>
        <v>0</v>
      </c>
      <c r="AK102">
        <f t="shared" si="69"/>
        <v>0</v>
      </c>
      <c r="AL102">
        <f t="shared" si="69"/>
        <v>0</v>
      </c>
      <c r="AM102">
        <f t="shared" si="69"/>
        <v>0</v>
      </c>
      <c r="AN102">
        <f t="shared" si="69"/>
        <v>0</v>
      </c>
      <c r="AO102">
        <f t="shared" si="69"/>
        <v>0</v>
      </c>
      <c r="AP102">
        <f t="shared" si="69"/>
        <v>0</v>
      </c>
      <c r="AQ102">
        <f t="shared" si="69"/>
        <v>0</v>
      </c>
      <c r="AR102">
        <f>E102+Q102+R102+S102+T102+U102+V102+W102+X102+Y102+Z102+AA102+AB102+AC102+AE102+AF102+AG102+AH102+AI102+AJ102+AK102+AL102+AM102+AN102+AO102+AP102+AQ102</f>
        <v>0</v>
      </c>
      <c r="AS102">
        <f>D102+AD116-AR102</f>
        <v>0</v>
      </c>
    </row>
    <row r="103" spans="1:45" ht="20.25" customHeight="1">
      <c r="A103" t="s">
        <v>88</v>
      </c>
      <c r="B103" t="s">
        <v>89</v>
      </c>
      <c r="C103" s="105" t="s">
        <v>90</v>
      </c>
      <c r="D103">
        <f t="shared" si="70"/>
        <v>1.1100000000000001</v>
      </c>
      <c r="E103">
        <f t="shared" si="38"/>
        <v>0</v>
      </c>
      <c r="F103">
        <f t="shared" si="71"/>
        <v>0</v>
      </c>
      <c r="G103">
        <f t="shared" si="71"/>
        <v>0</v>
      </c>
      <c r="H103">
        <f t="shared" si="72"/>
        <v>0</v>
      </c>
      <c r="I103">
        <f t="shared" si="72"/>
        <v>0</v>
      </c>
      <c r="J103">
        <f t="shared" si="67"/>
        <v>0</v>
      </c>
      <c r="K103">
        <f t="shared" si="67"/>
        <v>0</v>
      </c>
      <c r="L103">
        <f t="shared" si="67"/>
        <v>0</v>
      </c>
      <c r="M103">
        <f t="shared" si="67"/>
        <v>0</v>
      </c>
      <c r="N103">
        <f t="shared" si="67"/>
        <v>0</v>
      </c>
      <c r="O103">
        <f t="shared" si="67"/>
        <v>0</v>
      </c>
      <c r="P103">
        <f t="shared" si="62"/>
        <v>1.1100000000000001</v>
      </c>
      <c r="Q103">
        <f t="shared" si="68"/>
        <v>0</v>
      </c>
      <c r="R103">
        <f t="shared" si="68"/>
        <v>0</v>
      </c>
      <c r="S103">
        <f t="shared" si="68"/>
        <v>0</v>
      </c>
      <c r="T103">
        <f t="shared" si="68"/>
        <v>0</v>
      </c>
      <c r="U103">
        <f t="shared" si="68"/>
        <v>0</v>
      </c>
      <c r="V103">
        <f t="shared" si="68"/>
        <v>0</v>
      </c>
      <c r="W103">
        <f t="shared" si="68"/>
        <v>0</v>
      </c>
      <c r="X103">
        <f t="shared" si="68"/>
        <v>0</v>
      </c>
      <c r="Y103">
        <f t="shared" si="68"/>
        <v>0</v>
      </c>
      <c r="Z103">
        <f t="shared" si="73"/>
        <v>0</v>
      </c>
      <c r="AA103">
        <f t="shared" si="73"/>
        <v>0</v>
      </c>
      <c r="AB103">
        <f t="shared" si="73"/>
        <v>0</v>
      </c>
      <c r="AC103">
        <f t="shared" si="73"/>
        <v>0</v>
      </c>
      <c r="AD103">
        <f t="shared" si="73"/>
        <v>0</v>
      </c>
      <c r="AE103">
        <f>D103-AR103</f>
        <v>1.1100000000000001</v>
      </c>
      <c r="AF103">
        <f>AW51</f>
        <v>0</v>
      </c>
      <c r="AG103">
        <f t="shared" si="69"/>
        <v>0</v>
      </c>
      <c r="AH103">
        <f t="shared" si="69"/>
        <v>0</v>
      </c>
      <c r="AI103">
        <f t="shared" si="69"/>
        <v>0</v>
      </c>
      <c r="AJ103">
        <f t="shared" si="69"/>
        <v>0</v>
      </c>
      <c r="AK103">
        <f t="shared" si="69"/>
        <v>0</v>
      </c>
      <c r="AL103">
        <f t="shared" si="69"/>
        <v>0</v>
      </c>
      <c r="AM103">
        <f t="shared" si="69"/>
        <v>0</v>
      </c>
      <c r="AN103">
        <f t="shared" si="69"/>
        <v>0</v>
      </c>
      <c r="AO103">
        <f t="shared" si="69"/>
        <v>0</v>
      </c>
      <c r="AP103">
        <f t="shared" si="69"/>
        <v>0</v>
      </c>
      <c r="AQ103">
        <f t="shared" si="69"/>
        <v>0</v>
      </c>
      <c r="AR103">
        <f>E103+Q103+R103+S103+T103+U103+V103+W103+X103+Y103+Z103+AA103+AB103+AC103+AD103+AF103+AG103+AH103+AI103+AJ103+AK103+AL103+AM103+AN103+AO103+AP103+AQ103</f>
        <v>0</v>
      </c>
      <c r="AS103">
        <f>D103+AE116-AR103</f>
        <v>1.1100000000000001</v>
      </c>
    </row>
    <row r="104" spans="1:45" ht="37.5" customHeight="1">
      <c r="A104" t="s">
        <v>91</v>
      </c>
      <c r="B104" t="s">
        <v>92</v>
      </c>
      <c r="C104" s="105" t="s">
        <v>93</v>
      </c>
      <c r="D104">
        <f t="shared" si="70"/>
        <v>0</v>
      </c>
      <c r="E104">
        <f t="shared" si="38"/>
        <v>0</v>
      </c>
      <c r="F104">
        <f t="shared" si="71"/>
        <v>0</v>
      </c>
      <c r="G104">
        <f t="shared" si="71"/>
        <v>0</v>
      </c>
      <c r="H104">
        <f t="shared" si="72"/>
        <v>0</v>
      </c>
      <c r="I104">
        <f t="shared" si="72"/>
        <v>0</v>
      </c>
      <c r="J104">
        <f t="shared" si="67"/>
        <v>0</v>
      </c>
      <c r="K104">
        <f t="shared" si="67"/>
        <v>0</v>
      </c>
      <c r="L104">
        <f t="shared" si="67"/>
        <v>0</v>
      </c>
      <c r="M104">
        <f t="shared" si="67"/>
        <v>0</v>
      </c>
      <c r="N104">
        <f t="shared" si="67"/>
        <v>0</v>
      </c>
      <c r="O104">
        <f t="shared" si="67"/>
        <v>0</v>
      </c>
      <c r="P104">
        <f t="shared" si="62"/>
        <v>0</v>
      </c>
      <c r="Q104">
        <f t="shared" si="68"/>
        <v>0</v>
      </c>
      <c r="R104">
        <f t="shared" si="68"/>
        <v>0</v>
      </c>
      <c r="S104">
        <f t="shared" si="68"/>
        <v>0</v>
      </c>
      <c r="T104">
        <f t="shared" si="68"/>
        <v>0</v>
      </c>
      <c r="U104">
        <f t="shared" si="68"/>
        <v>0</v>
      </c>
      <c r="V104">
        <f t="shared" si="68"/>
        <v>0</v>
      </c>
      <c r="W104">
        <f t="shared" si="68"/>
        <v>0</v>
      </c>
      <c r="X104">
        <f t="shared" si="68"/>
        <v>0</v>
      </c>
      <c r="Y104">
        <f t="shared" si="68"/>
        <v>0</v>
      </c>
      <c r="Z104">
        <f t="shared" si="73"/>
        <v>0</v>
      </c>
      <c r="AA104">
        <f t="shared" si="73"/>
        <v>0</v>
      </c>
      <c r="AB104">
        <f t="shared" si="73"/>
        <v>0</v>
      </c>
      <c r="AC104">
        <f t="shared" si="73"/>
        <v>0</v>
      </c>
      <c r="AD104">
        <f t="shared" si="73"/>
        <v>0</v>
      </c>
      <c r="AE104">
        <f t="shared" si="73"/>
        <v>0</v>
      </c>
      <c r="AF104">
        <f>D104-AR104</f>
        <v>0</v>
      </c>
      <c r="AG104">
        <f>AX52</f>
        <v>0</v>
      </c>
      <c r="AH104">
        <f t="shared" si="69"/>
        <v>0</v>
      </c>
      <c r="AI104">
        <f t="shared" si="69"/>
        <v>0</v>
      </c>
      <c r="AJ104">
        <f t="shared" si="69"/>
        <v>0</v>
      </c>
      <c r="AK104">
        <f t="shared" si="69"/>
        <v>0</v>
      </c>
      <c r="AL104">
        <f t="shared" si="69"/>
        <v>0</v>
      </c>
      <c r="AM104">
        <f t="shared" si="69"/>
        <v>0</v>
      </c>
      <c r="AN104">
        <f t="shared" si="69"/>
        <v>0</v>
      </c>
      <c r="AO104">
        <f t="shared" si="69"/>
        <v>0</v>
      </c>
      <c r="AP104">
        <f t="shared" si="69"/>
        <v>0</v>
      </c>
      <c r="AQ104">
        <f t="shared" si="69"/>
        <v>0</v>
      </c>
      <c r="AR104">
        <f>E104+Q104+R104+S104+T104+U104+V104+W104+X104+Y104+Z104+AA104+AB104+AC104+AD104+AE104+AG104+AH104+AI104+AJ104+AK104+AL104+AM104+AN104+AO104+AP104+AQ104</f>
        <v>0</v>
      </c>
      <c r="AS104">
        <f>D104+AF116-AR104</f>
        <v>0</v>
      </c>
    </row>
    <row r="105" spans="1:45" ht="20.25" customHeight="1">
      <c r="A105" t="s">
        <v>94</v>
      </c>
      <c r="B105" t="s">
        <v>95</v>
      </c>
      <c r="C105" s="105" t="s">
        <v>96</v>
      </c>
      <c r="D105">
        <f t="shared" si="70"/>
        <v>0</v>
      </c>
      <c r="E105">
        <f t="shared" si="38"/>
        <v>0</v>
      </c>
      <c r="F105">
        <f t="shared" si="71"/>
        <v>0</v>
      </c>
      <c r="G105">
        <f t="shared" si="71"/>
        <v>0</v>
      </c>
      <c r="H105">
        <f t="shared" si="72"/>
        <v>0</v>
      </c>
      <c r="I105">
        <f t="shared" si="72"/>
        <v>0</v>
      </c>
      <c r="J105">
        <f t="shared" si="67"/>
        <v>0</v>
      </c>
      <c r="K105">
        <f t="shared" si="67"/>
        <v>0</v>
      </c>
      <c r="L105">
        <f t="shared" si="67"/>
        <v>0</v>
      </c>
      <c r="M105">
        <f t="shared" si="67"/>
        <v>0</v>
      </c>
      <c r="N105">
        <f t="shared" si="67"/>
        <v>0</v>
      </c>
      <c r="O105">
        <f t="shared" si="67"/>
        <v>0</v>
      </c>
      <c r="P105">
        <f t="shared" si="62"/>
        <v>0</v>
      </c>
      <c r="Q105">
        <f t="shared" si="68"/>
        <v>0</v>
      </c>
      <c r="R105">
        <f t="shared" si="68"/>
        <v>0</v>
      </c>
      <c r="S105">
        <f t="shared" si="68"/>
        <v>0</v>
      </c>
      <c r="T105">
        <f t="shared" si="68"/>
        <v>0</v>
      </c>
      <c r="U105">
        <f t="shared" si="68"/>
        <v>0</v>
      </c>
      <c r="V105">
        <f t="shared" si="68"/>
        <v>0</v>
      </c>
      <c r="W105">
        <f t="shared" si="68"/>
        <v>0</v>
      </c>
      <c r="X105">
        <f t="shared" si="68"/>
        <v>0</v>
      </c>
      <c r="Y105">
        <f t="shared" si="68"/>
        <v>0</v>
      </c>
      <c r="Z105">
        <f t="shared" si="73"/>
        <v>0</v>
      </c>
      <c r="AA105">
        <f t="shared" si="73"/>
        <v>0</v>
      </c>
      <c r="AB105">
        <f t="shared" si="73"/>
        <v>0</v>
      </c>
      <c r="AC105">
        <f t="shared" si="73"/>
        <v>0</v>
      </c>
      <c r="AD105">
        <f t="shared" si="73"/>
        <v>0</v>
      </c>
      <c r="AE105">
        <f t="shared" si="73"/>
        <v>0</v>
      </c>
      <c r="AF105">
        <f t="shared" si="73"/>
        <v>0</v>
      </c>
      <c r="AG105">
        <f>D105-AR105</f>
        <v>0</v>
      </c>
      <c r="AH105">
        <f>AY53</f>
        <v>0</v>
      </c>
      <c r="AI105">
        <f t="shared" si="69"/>
        <v>0</v>
      </c>
      <c r="AJ105">
        <f t="shared" si="69"/>
        <v>0</v>
      </c>
      <c r="AK105">
        <f t="shared" si="69"/>
        <v>0</v>
      </c>
      <c r="AL105">
        <f t="shared" si="69"/>
        <v>0</v>
      </c>
      <c r="AM105">
        <f t="shared" si="69"/>
        <v>0</v>
      </c>
      <c r="AN105">
        <f t="shared" si="69"/>
        <v>0</v>
      </c>
      <c r="AO105">
        <f t="shared" si="69"/>
        <v>0</v>
      </c>
      <c r="AP105">
        <f t="shared" si="69"/>
        <v>0</v>
      </c>
      <c r="AQ105">
        <f t="shared" si="69"/>
        <v>0</v>
      </c>
      <c r="AR105">
        <f>E105+Q105+R105+S105+T105+U105+V105+W105+X105+Y105+Z105+AA105+AB105+AC105+AD105+AE105+AF105+AH105+AI105+AJ105+AK105+AL105+AM105+AN105+AO105+AP105+AQ105</f>
        <v>0</v>
      </c>
      <c r="AS105">
        <f>D105+AG116-AR105</f>
        <v>0</v>
      </c>
    </row>
    <row r="106" spans="1:45" ht="20.25" customHeight="1">
      <c r="A106" t="s">
        <v>97</v>
      </c>
      <c r="B106" t="s">
        <v>98</v>
      </c>
      <c r="C106" s="105" t="s">
        <v>99</v>
      </c>
      <c r="D106">
        <f t="shared" si="70"/>
        <v>0</v>
      </c>
      <c r="E106">
        <f t="shared" si="38"/>
        <v>0</v>
      </c>
      <c r="F106">
        <f t="shared" si="71"/>
        <v>0</v>
      </c>
      <c r="G106">
        <f t="shared" si="71"/>
        <v>0</v>
      </c>
      <c r="H106">
        <f t="shared" si="72"/>
        <v>0</v>
      </c>
      <c r="I106">
        <f t="shared" si="72"/>
        <v>0</v>
      </c>
      <c r="J106">
        <f t="shared" si="67"/>
        <v>0</v>
      </c>
      <c r="K106">
        <f t="shared" si="67"/>
        <v>0</v>
      </c>
      <c r="L106">
        <f t="shared" si="67"/>
        <v>0</v>
      </c>
      <c r="M106">
        <f t="shared" si="67"/>
        <v>0</v>
      </c>
      <c r="N106">
        <f t="shared" si="67"/>
        <v>0</v>
      </c>
      <c r="O106">
        <f t="shared" si="67"/>
        <v>0</v>
      </c>
      <c r="P106">
        <f t="shared" si="62"/>
        <v>0</v>
      </c>
      <c r="Q106">
        <f t="shared" si="68"/>
        <v>0</v>
      </c>
      <c r="R106">
        <f t="shared" si="68"/>
        <v>0</v>
      </c>
      <c r="S106">
        <f t="shared" si="68"/>
        <v>0</v>
      </c>
      <c r="T106">
        <f t="shared" si="68"/>
        <v>0</v>
      </c>
      <c r="U106">
        <f t="shared" si="68"/>
        <v>0</v>
      </c>
      <c r="V106">
        <f t="shared" si="68"/>
        <v>0</v>
      </c>
      <c r="W106">
        <f t="shared" si="68"/>
        <v>0</v>
      </c>
      <c r="X106">
        <f t="shared" si="68"/>
        <v>0</v>
      </c>
      <c r="Y106">
        <f t="shared" si="68"/>
        <v>0</v>
      </c>
      <c r="Z106">
        <f t="shared" si="73"/>
        <v>0</v>
      </c>
      <c r="AA106">
        <f t="shared" si="73"/>
        <v>0</v>
      </c>
      <c r="AB106">
        <f t="shared" si="73"/>
        <v>0</v>
      </c>
      <c r="AC106">
        <f t="shared" si="73"/>
        <v>0</v>
      </c>
      <c r="AD106">
        <f t="shared" si="73"/>
        <v>0</v>
      </c>
      <c r="AE106">
        <f t="shared" si="73"/>
        <v>0</v>
      </c>
      <c r="AF106">
        <f t="shared" si="73"/>
        <v>0</v>
      </c>
      <c r="AG106">
        <f t="shared" si="73"/>
        <v>0</v>
      </c>
      <c r="AH106">
        <f>D106-AR106</f>
        <v>0</v>
      </c>
      <c r="AI106">
        <f>AZ54</f>
        <v>0</v>
      </c>
      <c r="AJ106">
        <f t="shared" si="69"/>
        <v>0</v>
      </c>
      <c r="AK106">
        <f t="shared" si="69"/>
        <v>0</v>
      </c>
      <c r="AL106">
        <f t="shared" si="69"/>
        <v>0</v>
      </c>
      <c r="AM106">
        <f t="shared" si="69"/>
        <v>0</v>
      </c>
      <c r="AN106">
        <f t="shared" si="69"/>
        <v>0</v>
      </c>
      <c r="AO106">
        <f t="shared" si="69"/>
        <v>0</v>
      </c>
      <c r="AP106">
        <f t="shared" si="69"/>
        <v>0</v>
      </c>
      <c r="AQ106">
        <f t="shared" si="69"/>
        <v>0</v>
      </c>
      <c r="AR106">
        <f>E106+Q106+R106+S106+T106+U106+V106+W106+X106+Y106+Z106+AA106+AB106+AC106+AD106+AE106+AF106+AG106+AI106+AJ106+AK106+AL106+AM106+AN106+AO106+AP106+AQ106</f>
        <v>0</v>
      </c>
      <c r="AS106">
        <f>D106+AH116-AR106</f>
        <v>0</v>
      </c>
    </row>
    <row r="107" spans="1:45" ht="31.5" customHeight="1">
      <c r="A107" t="s">
        <v>100</v>
      </c>
      <c r="B107" t="s">
        <v>134</v>
      </c>
      <c r="C107" s="105" t="s">
        <v>101</v>
      </c>
      <c r="D107">
        <f t="shared" si="70"/>
        <v>27.25</v>
      </c>
      <c r="E107">
        <f t="shared" si="38"/>
        <v>0</v>
      </c>
      <c r="F107">
        <f t="shared" si="71"/>
        <v>0</v>
      </c>
      <c r="G107">
        <f t="shared" si="71"/>
        <v>0</v>
      </c>
      <c r="H107">
        <f t="shared" si="72"/>
        <v>0</v>
      </c>
      <c r="I107">
        <f t="shared" si="72"/>
        <v>0</v>
      </c>
      <c r="J107">
        <f t="shared" si="67"/>
        <v>0</v>
      </c>
      <c r="K107">
        <f t="shared" si="67"/>
        <v>0</v>
      </c>
      <c r="L107">
        <f t="shared" si="67"/>
        <v>0</v>
      </c>
      <c r="M107">
        <f t="shared" si="67"/>
        <v>0</v>
      </c>
      <c r="N107">
        <f t="shared" si="67"/>
        <v>0</v>
      </c>
      <c r="O107">
        <f t="shared" si="67"/>
        <v>0</v>
      </c>
      <c r="P107">
        <f t="shared" si="62"/>
        <v>27.25</v>
      </c>
      <c r="Q107">
        <f t="shared" si="68"/>
        <v>0</v>
      </c>
      <c r="R107">
        <f t="shared" si="68"/>
        <v>0</v>
      </c>
      <c r="S107">
        <f t="shared" si="68"/>
        <v>0</v>
      </c>
      <c r="T107">
        <f t="shared" si="68"/>
        <v>0</v>
      </c>
      <c r="U107">
        <f t="shared" si="68"/>
        <v>0</v>
      </c>
      <c r="V107">
        <f t="shared" si="68"/>
        <v>0</v>
      </c>
      <c r="W107">
        <f t="shared" si="68"/>
        <v>0</v>
      </c>
      <c r="X107">
        <f t="shared" si="68"/>
        <v>0</v>
      </c>
      <c r="Y107">
        <f t="shared" si="68"/>
        <v>0</v>
      </c>
      <c r="Z107">
        <f t="shared" si="73"/>
        <v>0</v>
      </c>
      <c r="AA107">
        <f t="shared" si="73"/>
        <v>0</v>
      </c>
      <c r="AB107">
        <f t="shared" si="73"/>
        <v>0</v>
      </c>
      <c r="AC107">
        <f t="shared" si="73"/>
        <v>0</v>
      </c>
      <c r="AD107">
        <f t="shared" si="73"/>
        <v>0</v>
      </c>
      <c r="AE107">
        <f t="shared" si="73"/>
        <v>0</v>
      </c>
      <c r="AF107">
        <f t="shared" si="73"/>
        <v>0</v>
      </c>
      <c r="AG107">
        <f t="shared" si="73"/>
        <v>0</v>
      </c>
      <c r="AH107">
        <f t="shared" si="73"/>
        <v>0</v>
      </c>
      <c r="AI107">
        <f>D107-AR107</f>
        <v>27.25</v>
      </c>
      <c r="AJ107">
        <f>BA55</f>
        <v>0</v>
      </c>
      <c r="AK107">
        <f t="shared" si="69"/>
        <v>0</v>
      </c>
      <c r="AL107">
        <f t="shared" si="69"/>
        <v>0</v>
      </c>
      <c r="AM107">
        <f t="shared" si="69"/>
        <v>0</v>
      </c>
      <c r="AN107">
        <f t="shared" si="69"/>
        <v>0</v>
      </c>
      <c r="AO107">
        <f t="shared" si="69"/>
        <v>0</v>
      </c>
      <c r="AP107">
        <f t="shared" si="69"/>
        <v>0</v>
      </c>
      <c r="AQ107">
        <f t="shared" si="69"/>
        <v>0</v>
      </c>
      <c r="AR107">
        <f>E107+Q107+R107+S107+T107+U107+V107+W107+X107+Y107+Z107+AA107+AB107+AC107+AD107+AE107+AF107+AG107+AH107+AJ107+AK107+AL107+AM107+AN107+AO107+AP107+AQ107</f>
        <v>0</v>
      </c>
      <c r="AS107">
        <f>D107+AI116-AR107</f>
        <v>27.25</v>
      </c>
    </row>
    <row r="108" spans="1:45" ht="20.25" customHeight="1">
      <c r="A108" t="s">
        <v>102</v>
      </c>
      <c r="B108" t="s">
        <v>103</v>
      </c>
      <c r="C108" s="105" t="s">
        <v>104</v>
      </c>
      <c r="D108">
        <f t="shared" si="70"/>
        <v>0</v>
      </c>
      <c r="E108">
        <f t="shared" si="38"/>
        <v>0</v>
      </c>
      <c r="F108">
        <f t="shared" si="71"/>
        <v>0</v>
      </c>
      <c r="G108">
        <f t="shared" si="71"/>
        <v>0</v>
      </c>
      <c r="H108">
        <f t="shared" si="72"/>
        <v>0</v>
      </c>
      <c r="I108">
        <f t="shared" si="72"/>
        <v>0</v>
      </c>
      <c r="J108">
        <f t="shared" si="67"/>
        <v>0</v>
      </c>
      <c r="K108">
        <f t="shared" si="67"/>
        <v>0</v>
      </c>
      <c r="L108">
        <f t="shared" si="67"/>
        <v>0</v>
      </c>
      <c r="M108">
        <f t="shared" si="67"/>
        <v>0</v>
      </c>
      <c r="N108">
        <f t="shared" si="67"/>
        <v>0</v>
      </c>
      <c r="O108">
        <f t="shared" si="67"/>
        <v>0</v>
      </c>
      <c r="P108">
        <f t="shared" si="62"/>
        <v>0</v>
      </c>
      <c r="Q108">
        <f t="shared" si="68"/>
        <v>0</v>
      </c>
      <c r="R108">
        <f t="shared" si="68"/>
        <v>0</v>
      </c>
      <c r="S108">
        <f t="shared" si="68"/>
        <v>0</v>
      </c>
      <c r="T108">
        <f t="shared" si="68"/>
        <v>0</v>
      </c>
      <c r="U108">
        <f t="shared" si="68"/>
        <v>0</v>
      </c>
      <c r="V108">
        <f t="shared" si="68"/>
        <v>0</v>
      </c>
      <c r="W108">
        <f t="shared" si="68"/>
        <v>0</v>
      </c>
      <c r="X108">
        <f t="shared" si="68"/>
        <v>0</v>
      </c>
      <c r="Y108">
        <f t="shared" si="68"/>
        <v>0</v>
      </c>
      <c r="Z108">
        <f t="shared" si="73"/>
        <v>0</v>
      </c>
      <c r="AA108">
        <f t="shared" si="73"/>
        <v>0</v>
      </c>
      <c r="AB108">
        <f t="shared" si="73"/>
        <v>0</v>
      </c>
      <c r="AC108">
        <f t="shared" si="73"/>
        <v>0</v>
      </c>
      <c r="AD108">
        <f t="shared" si="73"/>
        <v>0</v>
      </c>
      <c r="AE108">
        <f t="shared" si="73"/>
        <v>0</v>
      </c>
      <c r="AF108">
        <f t="shared" si="73"/>
        <v>0</v>
      </c>
      <c r="AG108">
        <f t="shared" si="73"/>
        <v>0</v>
      </c>
      <c r="AH108">
        <f t="shared" si="73"/>
        <v>0</v>
      </c>
      <c r="AI108">
        <f t="shared" si="73"/>
        <v>0</v>
      </c>
      <c r="AJ108">
        <f>D108-AR108</f>
        <v>0</v>
      </c>
      <c r="AK108">
        <f>BB56</f>
        <v>0</v>
      </c>
      <c r="AL108">
        <f t="shared" si="69"/>
        <v>0</v>
      </c>
      <c r="AM108">
        <f t="shared" si="69"/>
        <v>0</v>
      </c>
      <c r="AN108">
        <f t="shared" si="69"/>
        <v>0</v>
      </c>
      <c r="AO108">
        <f t="shared" si="69"/>
        <v>0</v>
      </c>
      <c r="AP108">
        <f t="shared" si="69"/>
        <v>0</v>
      </c>
      <c r="AQ108">
        <f t="shared" si="69"/>
        <v>0</v>
      </c>
      <c r="AR108">
        <f>E108+Q108+R108+S108+T108+U108+V108+W108+X108+Y108+Z108+AA108+AB108+AC108+AD108+AE108+AF108+AG108+AH108+AI108+AK108+AL108+AM108+AN108+AO108+AP108+AQ108</f>
        <v>0</v>
      </c>
      <c r="AS108">
        <f>D108+AJ116-AR108</f>
        <v>0</v>
      </c>
    </row>
    <row r="109" spans="1:45" ht="20.25" customHeight="1">
      <c r="A109" t="s">
        <v>105</v>
      </c>
      <c r="B109" t="s">
        <v>106</v>
      </c>
      <c r="C109" s="105" t="s">
        <v>107</v>
      </c>
      <c r="D109">
        <f t="shared" si="70"/>
        <v>0.5</v>
      </c>
      <c r="E109">
        <f t="shared" si="38"/>
        <v>0</v>
      </c>
      <c r="F109">
        <f t="shared" si="71"/>
        <v>0</v>
      </c>
      <c r="G109">
        <f t="shared" si="71"/>
        <v>0</v>
      </c>
      <c r="H109">
        <f t="shared" si="72"/>
        <v>0</v>
      </c>
      <c r="I109">
        <f t="shared" si="72"/>
        <v>0</v>
      </c>
      <c r="J109">
        <f t="shared" si="67"/>
        <v>0</v>
      </c>
      <c r="K109">
        <f t="shared" si="67"/>
        <v>0</v>
      </c>
      <c r="L109">
        <f t="shared" si="67"/>
        <v>0</v>
      </c>
      <c r="M109">
        <f t="shared" si="67"/>
        <v>0</v>
      </c>
      <c r="N109">
        <f t="shared" si="67"/>
        <v>0</v>
      </c>
      <c r="O109">
        <f t="shared" si="67"/>
        <v>0</v>
      </c>
      <c r="P109">
        <f t="shared" si="62"/>
        <v>0.5</v>
      </c>
      <c r="Q109">
        <f t="shared" si="68"/>
        <v>0</v>
      </c>
      <c r="R109">
        <f t="shared" si="68"/>
        <v>0</v>
      </c>
      <c r="S109">
        <f t="shared" si="68"/>
        <v>0</v>
      </c>
      <c r="T109">
        <f t="shared" si="68"/>
        <v>0</v>
      </c>
      <c r="U109">
        <f t="shared" si="68"/>
        <v>0</v>
      </c>
      <c r="V109">
        <f t="shared" si="68"/>
        <v>0</v>
      </c>
      <c r="W109">
        <f t="shared" si="68"/>
        <v>0</v>
      </c>
      <c r="X109">
        <f t="shared" si="68"/>
        <v>0</v>
      </c>
      <c r="Y109">
        <f t="shared" si="68"/>
        <v>0</v>
      </c>
      <c r="Z109">
        <f t="shared" si="73"/>
        <v>0</v>
      </c>
      <c r="AA109">
        <f t="shared" si="73"/>
        <v>0</v>
      </c>
      <c r="AB109">
        <f t="shared" si="73"/>
        <v>0</v>
      </c>
      <c r="AC109">
        <f t="shared" si="73"/>
        <v>0</v>
      </c>
      <c r="AD109">
        <f t="shared" si="73"/>
        <v>0</v>
      </c>
      <c r="AE109">
        <f t="shared" si="73"/>
        <v>0</v>
      </c>
      <c r="AF109">
        <f t="shared" si="73"/>
        <v>0</v>
      </c>
      <c r="AG109">
        <f t="shared" si="73"/>
        <v>0</v>
      </c>
      <c r="AH109">
        <f t="shared" si="73"/>
        <v>0</v>
      </c>
      <c r="AI109">
        <f t="shared" si="73"/>
        <v>0</v>
      </c>
      <c r="AJ109">
        <f t="shared" si="73"/>
        <v>0</v>
      </c>
      <c r="AK109">
        <f>D109-AR109</f>
        <v>0.5</v>
      </c>
      <c r="AL109">
        <f t="shared" si="69"/>
        <v>0</v>
      </c>
      <c r="AM109">
        <f t="shared" si="69"/>
        <v>0</v>
      </c>
      <c r="AN109">
        <f t="shared" si="69"/>
        <v>0</v>
      </c>
      <c r="AO109">
        <f t="shared" si="69"/>
        <v>0</v>
      </c>
      <c r="AP109">
        <f t="shared" si="69"/>
        <v>0</v>
      </c>
      <c r="AQ109">
        <f t="shared" si="69"/>
        <v>0</v>
      </c>
      <c r="AR109">
        <f>E109+Q109+R109+S109+T109+U109+V109+W109+X109+Y109+Z109+AA109+AB109+AC109+AD109+AE109+AF109+AG109+AH109+AI109+AJ109+AL109+AM109+AN109+AO109+AP109+AQ109</f>
        <v>0</v>
      </c>
      <c r="AS109">
        <f>D109+AK116-AR109</f>
        <v>0.5</v>
      </c>
    </row>
    <row r="110" spans="1:45" ht="20.25" customHeight="1">
      <c r="A110" t="s">
        <v>108</v>
      </c>
      <c r="B110" t="s">
        <v>109</v>
      </c>
      <c r="C110" s="105" t="s">
        <v>110</v>
      </c>
      <c r="D110">
        <f t="shared" si="70"/>
        <v>0</v>
      </c>
      <c r="E110">
        <f t="shared" si="38"/>
        <v>0</v>
      </c>
      <c r="F110">
        <f t="shared" si="71"/>
        <v>0</v>
      </c>
      <c r="G110">
        <f t="shared" si="71"/>
        <v>0</v>
      </c>
      <c r="H110">
        <f t="shared" si="72"/>
        <v>0</v>
      </c>
      <c r="I110">
        <f t="shared" si="72"/>
        <v>0</v>
      </c>
      <c r="J110">
        <f t="shared" si="67"/>
        <v>0</v>
      </c>
      <c r="K110">
        <f t="shared" si="67"/>
        <v>0</v>
      </c>
      <c r="L110">
        <f t="shared" si="67"/>
        <v>0</v>
      </c>
      <c r="M110">
        <f t="shared" si="67"/>
        <v>0</v>
      </c>
      <c r="N110">
        <f t="shared" si="67"/>
        <v>0</v>
      </c>
      <c r="O110">
        <f t="shared" si="67"/>
        <v>0</v>
      </c>
      <c r="P110">
        <f t="shared" si="62"/>
        <v>0</v>
      </c>
      <c r="Q110">
        <f t="shared" si="68"/>
        <v>0</v>
      </c>
      <c r="R110">
        <f t="shared" si="68"/>
        <v>0</v>
      </c>
      <c r="S110">
        <f t="shared" si="68"/>
        <v>0</v>
      </c>
      <c r="T110">
        <f t="shared" si="68"/>
        <v>0</v>
      </c>
      <c r="U110">
        <f t="shared" si="68"/>
        <v>0</v>
      </c>
      <c r="V110">
        <f t="shared" si="68"/>
        <v>0</v>
      </c>
      <c r="W110">
        <f t="shared" si="68"/>
        <v>0</v>
      </c>
      <c r="X110">
        <f t="shared" si="68"/>
        <v>0</v>
      </c>
      <c r="Y110">
        <f t="shared" si="68"/>
        <v>0</v>
      </c>
      <c r="Z110">
        <f t="shared" si="73"/>
        <v>0</v>
      </c>
      <c r="AA110">
        <f t="shared" si="73"/>
        <v>0</v>
      </c>
      <c r="AB110">
        <f t="shared" si="73"/>
        <v>0</v>
      </c>
      <c r="AC110">
        <f t="shared" si="73"/>
        <v>0</v>
      </c>
      <c r="AD110">
        <f t="shared" si="73"/>
        <v>0</v>
      </c>
      <c r="AE110">
        <f t="shared" si="73"/>
        <v>0</v>
      </c>
      <c r="AF110">
        <f t="shared" si="73"/>
        <v>0</v>
      </c>
      <c r="AG110">
        <f t="shared" si="73"/>
        <v>0</v>
      </c>
      <c r="AH110">
        <f t="shared" si="73"/>
        <v>0</v>
      </c>
      <c r="AI110">
        <f t="shared" si="73"/>
        <v>0</v>
      </c>
      <c r="AJ110">
        <f t="shared" si="73"/>
        <v>0</v>
      </c>
      <c r="AK110">
        <f t="shared" si="73"/>
        <v>0</v>
      </c>
      <c r="AL110">
        <f>D110-AR110</f>
        <v>0</v>
      </c>
      <c r="AM110">
        <f>BD58</f>
        <v>0</v>
      </c>
      <c r="AN110">
        <f>BE58</f>
        <v>0</v>
      </c>
      <c r="AO110">
        <f>BF58</f>
        <v>0</v>
      </c>
      <c r="AP110">
        <f>BG58</f>
        <v>0</v>
      </c>
      <c r="AQ110">
        <f>BH58</f>
        <v>0</v>
      </c>
      <c r="AR110">
        <f>E110+Q110+R110+S110+T110+U110+V110+W110+X110+Y110+Z110+AA110+AB110+AC110+AD110+AE110+AF110+AG110+AH110+AI110+AJ110+AK110+AM110+AN110+AO110+AP110+AQ110</f>
        <v>0</v>
      </c>
      <c r="AS110">
        <f>D110+AL116-AR110</f>
        <v>0</v>
      </c>
    </row>
    <row r="111" spans="1:45" ht="20.25" customHeight="1">
      <c r="A111" t="s">
        <v>111</v>
      </c>
      <c r="B111" t="s">
        <v>112</v>
      </c>
      <c r="C111" s="105" t="s">
        <v>113</v>
      </c>
      <c r="D111">
        <f t="shared" si="70"/>
        <v>0.7</v>
      </c>
      <c r="E111">
        <f t="shared" si="38"/>
        <v>0</v>
      </c>
      <c r="F111">
        <f t="shared" si="71"/>
        <v>0</v>
      </c>
      <c r="G111">
        <f t="shared" si="71"/>
        <v>0</v>
      </c>
      <c r="H111">
        <f t="shared" si="72"/>
        <v>0</v>
      </c>
      <c r="I111">
        <f t="shared" si="72"/>
        <v>0</v>
      </c>
      <c r="J111">
        <f t="shared" si="67"/>
        <v>0</v>
      </c>
      <c r="K111">
        <f t="shared" si="67"/>
        <v>0</v>
      </c>
      <c r="L111">
        <f t="shared" si="67"/>
        <v>0</v>
      </c>
      <c r="M111">
        <f t="shared" si="67"/>
        <v>0</v>
      </c>
      <c r="N111">
        <f t="shared" si="67"/>
        <v>0</v>
      </c>
      <c r="O111">
        <f t="shared" si="67"/>
        <v>0</v>
      </c>
      <c r="P111">
        <f t="shared" si="62"/>
        <v>0.7</v>
      </c>
      <c r="Q111">
        <f t="shared" si="68"/>
        <v>0</v>
      </c>
      <c r="R111">
        <f t="shared" si="68"/>
        <v>0</v>
      </c>
      <c r="S111">
        <f t="shared" si="68"/>
        <v>0</v>
      </c>
      <c r="T111">
        <f t="shared" si="68"/>
        <v>0</v>
      </c>
      <c r="U111">
        <f t="shared" si="68"/>
        <v>0</v>
      </c>
      <c r="V111">
        <f t="shared" si="68"/>
        <v>0</v>
      </c>
      <c r="W111">
        <f t="shared" si="68"/>
        <v>0</v>
      </c>
      <c r="X111">
        <f t="shared" si="68"/>
        <v>0</v>
      </c>
      <c r="Y111">
        <f t="shared" si="68"/>
        <v>0</v>
      </c>
      <c r="Z111">
        <f t="shared" si="73"/>
        <v>0</v>
      </c>
      <c r="AA111">
        <f t="shared" si="73"/>
        <v>0</v>
      </c>
      <c r="AB111">
        <f t="shared" si="73"/>
        <v>0</v>
      </c>
      <c r="AC111">
        <f t="shared" si="73"/>
        <v>0</v>
      </c>
      <c r="AD111">
        <f t="shared" si="73"/>
        <v>0</v>
      </c>
      <c r="AE111">
        <f t="shared" si="73"/>
        <v>0</v>
      </c>
      <c r="AF111">
        <f t="shared" si="73"/>
        <v>0</v>
      </c>
      <c r="AG111">
        <f t="shared" si="73"/>
        <v>0</v>
      </c>
      <c r="AH111">
        <f t="shared" si="73"/>
        <v>0</v>
      </c>
      <c r="AI111">
        <f t="shared" si="73"/>
        <v>0</v>
      </c>
      <c r="AJ111">
        <f t="shared" si="73"/>
        <v>0</v>
      </c>
      <c r="AK111">
        <f t="shared" si="73"/>
        <v>0</v>
      </c>
      <c r="AL111">
        <f>BC59</f>
        <v>0</v>
      </c>
      <c r="AM111">
        <f>D111-AR111</f>
        <v>0.7</v>
      </c>
      <c r="AN111">
        <f>BE59</f>
        <v>0</v>
      </c>
      <c r="AO111">
        <f>BF59</f>
        <v>0</v>
      </c>
      <c r="AP111">
        <f>BG59</f>
        <v>0</v>
      </c>
      <c r="AQ111">
        <f>BH59</f>
        <v>0</v>
      </c>
      <c r="AR111">
        <f>E111+Q111+R111+S111+T111+U111+V111+W111+X111+Y111+Z111+AA111+AB111+AC111+AD111+AE111+AF111+AG111+AH111+AI111+AJ111+AK111+AL111+AN111+AO111+AP111+AQ111</f>
        <v>0</v>
      </c>
      <c r="AS111">
        <f>D111+AM116-AR111</f>
        <v>0.7</v>
      </c>
    </row>
    <row r="112" spans="1:45" ht="20.25" customHeight="1">
      <c r="A112" t="s">
        <v>114</v>
      </c>
      <c r="B112" t="s">
        <v>115</v>
      </c>
      <c r="C112" s="105" t="s">
        <v>116</v>
      </c>
      <c r="D112">
        <f t="shared" si="70"/>
        <v>70.38</v>
      </c>
      <c r="E112">
        <f t="shared" si="38"/>
        <v>4.3</v>
      </c>
      <c r="F112">
        <f t="shared" si="71"/>
        <v>0</v>
      </c>
      <c r="G112">
        <f t="shared" si="71"/>
        <v>0</v>
      </c>
      <c r="H112">
        <f t="shared" si="72"/>
        <v>0</v>
      </c>
      <c r="I112">
        <f t="shared" si="72"/>
        <v>0</v>
      </c>
      <c r="J112">
        <f t="shared" si="67"/>
        <v>0</v>
      </c>
      <c r="K112">
        <f t="shared" si="67"/>
        <v>0</v>
      </c>
      <c r="L112">
        <f t="shared" si="67"/>
        <v>0</v>
      </c>
      <c r="M112">
        <f t="shared" si="67"/>
        <v>4.3</v>
      </c>
      <c r="N112">
        <f t="shared" si="67"/>
        <v>0</v>
      </c>
      <c r="O112">
        <f t="shared" si="67"/>
        <v>0</v>
      </c>
      <c r="P112">
        <f t="shared" si="62"/>
        <v>66.08</v>
      </c>
      <c r="Q112">
        <f t="shared" si="68"/>
        <v>0</v>
      </c>
      <c r="R112">
        <f t="shared" si="68"/>
        <v>0</v>
      </c>
      <c r="S112">
        <f t="shared" si="68"/>
        <v>0</v>
      </c>
      <c r="T112">
        <f t="shared" si="68"/>
        <v>0</v>
      </c>
      <c r="U112">
        <f t="shared" si="68"/>
        <v>0</v>
      </c>
      <c r="V112">
        <f t="shared" si="68"/>
        <v>0</v>
      </c>
      <c r="W112">
        <f t="shared" si="68"/>
        <v>0</v>
      </c>
      <c r="X112">
        <f t="shared" si="68"/>
        <v>0</v>
      </c>
      <c r="Y112">
        <f t="shared" si="68"/>
        <v>0.04</v>
      </c>
      <c r="Z112">
        <f t="shared" si="73"/>
        <v>0</v>
      </c>
      <c r="AA112">
        <f t="shared" si="73"/>
        <v>0</v>
      </c>
      <c r="AB112">
        <f t="shared" si="73"/>
        <v>0</v>
      </c>
      <c r="AC112">
        <f t="shared" si="73"/>
        <v>0</v>
      </c>
      <c r="AD112">
        <f t="shared" si="73"/>
        <v>0</v>
      </c>
      <c r="AE112">
        <f t="shared" si="73"/>
        <v>0</v>
      </c>
      <c r="AF112">
        <f t="shared" si="73"/>
        <v>0</v>
      </c>
      <c r="AG112">
        <f t="shared" si="73"/>
        <v>0</v>
      </c>
      <c r="AH112">
        <f t="shared" si="73"/>
        <v>0</v>
      </c>
      <c r="AI112">
        <f t="shared" si="73"/>
        <v>0</v>
      </c>
      <c r="AJ112">
        <f t="shared" si="73"/>
        <v>0</v>
      </c>
      <c r="AK112">
        <f t="shared" si="73"/>
        <v>0</v>
      </c>
      <c r="AL112">
        <f>BC60</f>
        <v>0</v>
      </c>
      <c r="AM112">
        <f>BD60</f>
        <v>0</v>
      </c>
      <c r="AN112">
        <f>D112-AR112</f>
        <v>66.039999999999992</v>
      </c>
      <c r="AO112">
        <f>BF60</f>
        <v>0</v>
      </c>
      <c r="AP112">
        <f>BG60</f>
        <v>0</v>
      </c>
      <c r="AQ112">
        <f>BH60</f>
        <v>0</v>
      </c>
      <c r="AR112">
        <f>E112+Q112+R112+S112+T112+U112+V112+W112+X112+Y112+Z112+AA112+AB112+AC112+AD112+AE112+AF112+AG112+AH112+AI112+AJ112+AK112+AL112+AM112+AO112+AP112+AQ112</f>
        <v>4.34</v>
      </c>
      <c r="AS112">
        <f>D112+AN116-AR112</f>
        <v>66.039999999999992</v>
      </c>
    </row>
    <row r="113" spans="1:45" ht="20.25" customHeight="1">
      <c r="A113" t="s">
        <v>117</v>
      </c>
      <c r="B113" t="s">
        <v>118</v>
      </c>
      <c r="C113" s="105" t="s">
        <v>119</v>
      </c>
      <c r="D113">
        <f t="shared" si="70"/>
        <v>153.84</v>
      </c>
      <c r="E113">
        <f t="shared" si="38"/>
        <v>0</v>
      </c>
      <c r="F113">
        <f t="shared" si="71"/>
        <v>0</v>
      </c>
      <c r="G113">
        <f t="shared" si="71"/>
        <v>0</v>
      </c>
      <c r="H113">
        <f t="shared" si="72"/>
        <v>0</v>
      </c>
      <c r="I113">
        <f t="shared" si="72"/>
        <v>0</v>
      </c>
      <c r="J113">
        <f t="shared" si="67"/>
        <v>0</v>
      </c>
      <c r="K113">
        <f t="shared" si="67"/>
        <v>0</v>
      </c>
      <c r="L113">
        <f t="shared" si="67"/>
        <v>0</v>
      </c>
      <c r="M113">
        <f t="shared" si="67"/>
        <v>0</v>
      </c>
      <c r="N113">
        <f t="shared" si="67"/>
        <v>0</v>
      </c>
      <c r="O113">
        <f t="shared" si="67"/>
        <v>0</v>
      </c>
      <c r="P113">
        <f t="shared" si="62"/>
        <v>153.84</v>
      </c>
      <c r="Q113">
        <f t="shared" si="68"/>
        <v>0</v>
      </c>
      <c r="R113">
        <f t="shared" si="68"/>
        <v>0</v>
      </c>
      <c r="S113">
        <f t="shared" si="68"/>
        <v>0</v>
      </c>
      <c r="T113">
        <f t="shared" si="68"/>
        <v>0</v>
      </c>
      <c r="U113">
        <f t="shared" si="68"/>
        <v>0</v>
      </c>
      <c r="V113">
        <f t="shared" si="68"/>
        <v>0</v>
      </c>
      <c r="W113">
        <f t="shared" si="68"/>
        <v>0</v>
      </c>
      <c r="X113">
        <f t="shared" si="68"/>
        <v>0</v>
      </c>
      <c r="Y113">
        <f t="shared" si="68"/>
        <v>0</v>
      </c>
      <c r="Z113">
        <f t="shared" si="73"/>
        <v>0</v>
      </c>
      <c r="AA113">
        <f t="shared" si="73"/>
        <v>0</v>
      </c>
      <c r="AB113">
        <f t="shared" si="73"/>
        <v>0</v>
      </c>
      <c r="AC113">
        <f t="shared" si="73"/>
        <v>0</v>
      </c>
      <c r="AD113">
        <f t="shared" si="73"/>
        <v>0</v>
      </c>
      <c r="AE113">
        <f t="shared" si="73"/>
        <v>0</v>
      </c>
      <c r="AF113">
        <f t="shared" si="73"/>
        <v>0</v>
      </c>
      <c r="AG113">
        <f t="shared" si="73"/>
        <v>0</v>
      </c>
      <c r="AH113">
        <f t="shared" si="73"/>
        <v>0</v>
      </c>
      <c r="AI113">
        <f t="shared" si="73"/>
        <v>0</v>
      </c>
      <c r="AJ113">
        <f t="shared" si="73"/>
        <v>0</v>
      </c>
      <c r="AK113">
        <f t="shared" si="73"/>
        <v>0</v>
      </c>
      <c r="AL113">
        <f>BC61</f>
        <v>0</v>
      </c>
      <c r="AM113">
        <f>BD61</f>
        <v>0</v>
      </c>
      <c r="AN113">
        <f>BE61</f>
        <v>0</v>
      </c>
      <c r="AO113">
        <f>D113-AR113</f>
        <v>153.84</v>
      </c>
      <c r="AP113">
        <f>BG61</f>
        <v>0</v>
      </c>
      <c r="AQ113">
        <f>BH61</f>
        <v>0</v>
      </c>
      <c r="AR113">
        <f>E113+Q113+R113+S113+T113+U113+V113+W113+X113+Y113+Z113+AA113+AB113+AC113+AD113+AE113+AF113+AG113+AH113+AI113+AJ113+AK113+AL113+AM113+AN113+AP113+AQ113</f>
        <v>0</v>
      </c>
      <c r="AS113">
        <f>D113+AO116-AR113</f>
        <v>153.84</v>
      </c>
    </row>
    <row r="114" spans="1:45" ht="20.25" customHeight="1">
      <c r="A114" t="s">
        <v>120</v>
      </c>
      <c r="B114" t="s">
        <v>121</v>
      </c>
      <c r="C114" s="105" t="s">
        <v>122</v>
      </c>
      <c r="D114">
        <f t="shared" si="70"/>
        <v>0</v>
      </c>
      <c r="E114">
        <f t="shared" si="38"/>
        <v>0</v>
      </c>
      <c r="F114">
        <f t="shared" si="71"/>
        <v>0</v>
      </c>
      <c r="G114">
        <f t="shared" si="71"/>
        <v>0</v>
      </c>
      <c r="H114">
        <f t="shared" si="72"/>
        <v>0</v>
      </c>
      <c r="I114">
        <f t="shared" si="72"/>
        <v>0</v>
      </c>
      <c r="J114">
        <f t="shared" ref="J114:O115" si="74">P62</f>
        <v>0</v>
      </c>
      <c r="K114">
        <f t="shared" si="74"/>
        <v>0</v>
      </c>
      <c r="L114">
        <f t="shared" si="74"/>
        <v>0</v>
      </c>
      <c r="M114">
        <f t="shared" si="74"/>
        <v>0</v>
      </c>
      <c r="N114">
        <f t="shared" si="74"/>
        <v>0</v>
      </c>
      <c r="O114">
        <f t="shared" si="74"/>
        <v>0</v>
      </c>
      <c r="P114">
        <f t="shared" si="62"/>
        <v>0</v>
      </c>
      <c r="Q114">
        <f t="shared" ref="Q114:Y115" si="75">W62</f>
        <v>0</v>
      </c>
      <c r="R114">
        <f t="shared" si="75"/>
        <v>0</v>
      </c>
      <c r="S114">
        <f t="shared" si="75"/>
        <v>0</v>
      </c>
      <c r="T114">
        <f t="shared" si="75"/>
        <v>0</v>
      </c>
      <c r="U114">
        <f t="shared" si="75"/>
        <v>0</v>
      </c>
      <c r="V114">
        <f t="shared" si="75"/>
        <v>0</v>
      </c>
      <c r="W114">
        <f t="shared" si="75"/>
        <v>0</v>
      </c>
      <c r="X114">
        <f t="shared" si="75"/>
        <v>0</v>
      </c>
      <c r="Y114">
        <f t="shared" si="75"/>
        <v>0</v>
      </c>
      <c r="Z114">
        <f t="shared" si="73"/>
        <v>0</v>
      </c>
      <c r="AA114">
        <f t="shared" si="73"/>
        <v>0</v>
      </c>
      <c r="AB114">
        <f t="shared" si="73"/>
        <v>0</v>
      </c>
      <c r="AC114">
        <f t="shared" si="73"/>
        <v>0</v>
      </c>
      <c r="AD114">
        <f t="shared" si="73"/>
        <v>0</v>
      </c>
      <c r="AE114">
        <f t="shared" si="73"/>
        <v>0</v>
      </c>
      <c r="AF114">
        <f t="shared" si="73"/>
        <v>0</v>
      </c>
      <c r="AG114">
        <f t="shared" si="73"/>
        <v>0</v>
      </c>
      <c r="AH114">
        <f t="shared" si="73"/>
        <v>0</v>
      </c>
      <c r="AI114">
        <f t="shared" si="73"/>
        <v>0</v>
      </c>
      <c r="AJ114">
        <f t="shared" si="73"/>
        <v>0</v>
      </c>
      <c r="AK114">
        <f t="shared" si="73"/>
        <v>0</v>
      </c>
      <c r="AL114">
        <f>BC62</f>
        <v>0</v>
      </c>
      <c r="AM114">
        <f>BD62</f>
        <v>0</v>
      </c>
      <c r="AN114">
        <f>BE62</f>
        <v>0</v>
      </c>
      <c r="AO114">
        <f>BF62</f>
        <v>0</v>
      </c>
      <c r="AP114">
        <f>D114-AR114</f>
        <v>0</v>
      </c>
      <c r="AQ114">
        <f>BH62</f>
        <v>0</v>
      </c>
      <c r="AR114">
        <f>E114+Q114+R114+S114+T114+U114+V114+W114+X114+Y114+Z114+AA114+AB114+AC114+AD114+AE114+AF114+AG114+AH114+AI114+AJ114+AK114+AL114+AM114+AN114+AO114+AQ114</f>
        <v>0</v>
      </c>
      <c r="AS114">
        <f>D114+AP116-AR114</f>
        <v>0</v>
      </c>
    </row>
    <row r="115" spans="1:45" ht="20.25" customHeight="1">
      <c r="A115">
        <v>3</v>
      </c>
      <c r="B115" t="s">
        <v>123</v>
      </c>
      <c r="C115" s="105" t="s">
        <v>124</v>
      </c>
      <c r="D115">
        <f>D63</f>
        <v>562.77</v>
      </c>
      <c r="E115">
        <f>F115+H115+I115+J115+K115+L115+M115+N115+O115</f>
        <v>0.38</v>
      </c>
      <c r="F115">
        <f t="shared" si="71"/>
        <v>0</v>
      </c>
      <c r="G115">
        <f t="shared" si="71"/>
        <v>0</v>
      </c>
      <c r="H115">
        <f t="shared" si="72"/>
        <v>0</v>
      </c>
      <c r="I115">
        <f t="shared" si="72"/>
        <v>0</v>
      </c>
      <c r="J115">
        <f t="shared" si="74"/>
        <v>0</v>
      </c>
      <c r="K115">
        <f t="shared" si="74"/>
        <v>0</v>
      </c>
      <c r="L115">
        <f t="shared" si="74"/>
        <v>0</v>
      </c>
      <c r="M115">
        <f t="shared" si="74"/>
        <v>0.38</v>
      </c>
      <c r="N115">
        <f t="shared" si="74"/>
        <v>0</v>
      </c>
      <c r="O115">
        <f t="shared" si="74"/>
        <v>0</v>
      </c>
      <c r="P115">
        <f>SUM(Q115:AP115)</f>
        <v>4.1899999999999995</v>
      </c>
      <c r="Q115">
        <f t="shared" si="75"/>
        <v>0</v>
      </c>
      <c r="R115">
        <f t="shared" si="75"/>
        <v>0</v>
      </c>
      <c r="S115">
        <f t="shared" si="75"/>
        <v>0</v>
      </c>
      <c r="T115">
        <f t="shared" si="75"/>
        <v>0</v>
      </c>
      <c r="U115">
        <f t="shared" si="75"/>
        <v>0</v>
      </c>
      <c r="V115">
        <f t="shared" si="75"/>
        <v>0</v>
      </c>
      <c r="W115">
        <f t="shared" si="75"/>
        <v>0</v>
      </c>
      <c r="X115">
        <f t="shared" si="75"/>
        <v>0</v>
      </c>
      <c r="Y115">
        <f t="shared" si="75"/>
        <v>2.9</v>
      </c>
      <c r="Z115">
        <f t="shared" si="73"/>
        <v>0</v>
      </c>
      <c r="AA115">
        <f t="shared" si="73"/>
        <v>0</v>
      </c>
      <c r="AB115">
        <f t="shared" si="73"/>
        <v>1.29</v>
      </c>
      <c r="AC115">
        <f t="shared" si="73"/>
        <v>0</v>
      </c>
      <c r="AD115">
        <f t="shared" si="73"/>
        <v>0</v>
      </c>
      <c r="AE115">
        <f t="shared" si="73"/>
        <v>0</v>
      </c>
      <c r="AF115">
        <f t="shared" si="73"/>
        <v>0</v>
      </c>
      <c r="AG115">
        <f t="shared" si="73"/>
        <v>0</v>
      </c>
      <c r="AH115">
        <f t="shared" si="73"/>
        <v>0</v>
      </c>
      <c r="AI115">
        <f t="shared" si="73"/>
        <v>0</v>
      </c>
      <c r="AJ115">
        <f t="shared" si="73"/>
        <v>0</v>
      </c>
      <c r="AK115">
        <f t="shared" si="73"/>
        <v>0</v>
      </c>
      <c r="AL115">
        <f>BC63</f>
        <v>0</v>
      </c>
      <c r="AM115">
        <f>BD63</f>
        <v>0</v>
      </c>
      <c r="AN115">
        <f>BE63</f>
        <v>0</v>
      </c>
      <c r="AO115">
        <f>BF63</f>
        <v>0</v>
      </c>
      <c r="AP115">
        <f>BG63</f>
        <v>0</v>
      </c>
      <c r="AQ115">
        <f>AR115</f>
        <v>4.57</v>
      </c>
      <c r="AR115">
        <f>E115+Q115+R115+S115+T115+U115+V115+W115+X115+Y115+Z115+AA115+AB115+AC115+AD115+AE115+AF115+AG115+AH115+AI115+AJ115+AL115+AM115+AN115+AO115+AP115</f>
        <v>4.57</v>
      </c>
      <c r="AS115">
        <f>D115+AQ116-AR115</f>
        <v>558.19999999999993</v>
      </c>
    </row>
    <row r="116" spans="1:45" ht="20.25" customHeight="1">
      <c r="B116" t="s">
        <v>190</v>
      </c>
      <c r="E116">
        <f>E88+E115</f>
        <v>4.68</v>
      </c>
      <c r="F116">
        <f>F80+F81+F82+F83+F84+F85+F86+F87+F88+F115</f>
        <v>0</v>
      </c>
      <c r="G116">
        <f>G78+G80+G81+G82+G83+G84+G85+G86+G87+G88+G115</f>
        <v>0</v>
      </c>
      <c r="H116">
        <f>H78+H81+H82+H83+H84+H85+H86+H87+H88+H115</f>
        <v>0</v>
      </c>
      <c r="I116">
        <f>I78+I80+I82+I83+I84+I85+I86+I87+I88+I115</f>
        <v>0</v>
      </c>
      <c r="J116">
        <f>J78+J80+J81+J83+J84+J85+J86+J87+J88+J115</f>
        <v>0</v>
      </c>
      <c r="K116">
        <f>K78+K80+K81+K82+K84+K85+K86+K87+K88+K115</f>
        <v>0</v>
      </c>
      <c r="L116">
        <f>L78+L80+L81+L82+L83+L85+L86+L87+L88+L115</f>
        <v>0</v>
      </c>
      <c r="M116">
        <f>M78+M80+M81+M82+M83+M84+M86+M87+M88+M115</f>
        <v>8.01</v>
      </c>
      <c r="N116">
        <f>N78+N80+N81+N82+N83+N84+N85+N87+N88+N115</f>
        <v>0</v>
      </c>
      <c r="O116">
        <f>O78+O80+O81+O82+O83+O84+O85+O86+O88+O115</f>
        <v>0</v>
      </c>
      <c r="P116">
        <f>P77+P115</f>
        <v>17.89</v>
      </c>
      <c r="Q116">
        <f>Q77+Q90+Q91+Q92+Q93+Q94+Q95+Q96+Q97+Q98+Q99+Q100+Q101+Q102+Q103+Q104+Q105+Q106+Q107+Q108+Q109+Q110+Q111+Q112+Q113+Q114+Q115</f>
        <v>4.29</v>
      </c>
      <c r="R116">
        <f>R77+R89+R91+R92+R93+R94+R95+R96+R97+R98+R99+R100+R101+R102+R103+R104+R105+R106+R107+R108+R109+R110+R111+R112+R113+R114+R115</f>
        <v>0</v>
      </c>
      <c r="S116">
        <f>S77+S89+S90+S92+S93+S94+S95+S96+S97+S98+S99+S100+S101+S102+S103+S104+S105+S106+S107+S108+S109+S110+S111+S112+S113+S114+S115</f>
        <v>0</v>
      </c>
      <c r="T116">
        <f>T77+T89+T90+T91+T93+T94+T95+T96+T97+T98+T99+T100+T101+T102+T103+T104+T105+T106+T107+T108+T109+T110+T111+T112+T113+T114+T115</f>
        <v>0</v>
      </c>
      <c r="U116">
        <f>U77+U89+U90+U91+U92+U94+U95+U96+U97+U98+U99+U100+U101+U102+U103+U104+U105+U106+U107+U108+U109+U110+U111+U112+U113+U114+U115</f>
        <v>0</v>
      </c>
      <c r="V116">
        <f>V77+V89+V90+V91+V92+V93+V95+V96+V97+V98+V99+V100+V101+V102+V103+V104+V105+V106+V107+V108+V109+V110+V111+V112+V113+V114+V115</f>
        <v>0</v>
      </c>
      <c r="W116">
        <f>W77+W89+W90+W91+W92+W93+W94+W96+W97+W98+W99+W100+W101+W102+W103+W104+W105+W106+W107+W108+W109+W110+W111+W112+W113+W114+W115</f>
        <v>0</v>
      </c>
      <c r="X116">
        <f>X77+X89+X90+X91+X92+X93+X94+X95+X97+X98+X99+X100+X101+X102+X103+X104+X105+X106+X107+X108+X109+X110+X111+X112+X113+X114+X115</f>
        <v>0</v>
      </c>
      <c r="Y116">
        <f>Y77+Y89+Y90+Y91+Y92+Y93+Y94+Y95+Y96+Y98+Y99+Y100+Y101+Y102+Y103+Y104+Y105+Y106+Y107+Y108+Y109+Y110+Y111+Y112+Y113+Y114+Y115</f>
        <v>10.58</v>
      </c>
      <c r="Z116">
        <f>Z77+Z89+Z90+Z91+Z92+Z93+Z94+Z95+Z96+Z97+Z99+Z100+Z101+Z102+Z103+Z104+Z105+Z106+Z107+Z108+Z109+Z110+Z111+Z112+Z113+Z114+Z115</f>
        <v>0</v>
      </c>
      <c r="AA116">
        <f>AA77+AA89+AA90+AA91+AA92+AA93+AA94+AA95+AA96+AA97+AA98+AA100+AA101+AA102+AA103+AA104+AA105+AA106+AA107+AA108+AA109+AA110+AA111+AA112+AA113+AA114+AA115</f>
        <v>0</v>
      </c>
      <c r="AB116">
        <f>AB77+AB89+AB90+AB91+AB92+AB93+AB94+AB95+AB96+AB97+AB98+AB99+AB101+AB102+AB103+AB104+AB105+AB106+AB107+AB108+AB109+AB110+AB111+AB112+AB113+AB114+AB115</f>
        <v>1.29</v>
      </c>
      <c r="AC116">
        <f>AC77+AC89+AC90+AC91+AC92+AC93+AC94+AC95+AC96+AC97+AC98+AC99+AC100+AC102+AC103+AC104+AC105+AC106+AC107+AC108+AC109+AC110+AC111+AC112+AC113+AC114+AC115</f>
        <v>1.82</v>
      </c>
      <c r="AD116">
        <f>AD77+AD89+AD90+AD91+AD92+AD93+AD94+AD95+AD96+AD97+AD98+AD99+AD100+AD101+AD103+AD104+AD105+AD106+AD107+AD108+AD109+AD110+AD111+AD112+AD113+AD114+AD115</f>
        <v>0</v>
      </c>
      <c r="AE116">
        <f>AE77+AE89+AE90+AE91+AE92+AE93+AE94+AE95+AE96+AE97+AE98+AE99+AE100+AE101+AE102+AE104+AE105+AE106+AE107+AE108+AE109+AE110+AE111+AE112+AE113+AE114+AE115</f>
        <v>0</v>
      </c>
      <c r="AF116">
        <f>AF77+AF89+AF90+AF91+AF92+AF93+AF94+AF95+AF96+AF97+AF98+AF99+AF100+AF101+AF102+AF103+AF105+AF106+AF107+AF108+AF109+AF110+AF111+AF112+AF113+AF114+AF115</f>
        <v>0</v>
      </c>
      <c r="AG116">
        <f>AG77+AG89+AG90+AG91+AG92+AG93+AG94+AG95+AG96+AG97+AG98+AG99+AG100+AG101+AG102+AG103+AG104+AG106+AG107+AG108+AG109+AG110+AG111+AG112+AG113+AG114+AG115</f>
        <v>0</v>
      </c>
      <c r="AH116">
        <f>AH77+AH89+AH90+AH91+AH92+AH93+AH94+AH95+AH96+AH97+AH98+AH99+AH100+AH101+AH102+AH103+AH104+AH105+AH107+AH108+AH109+AH110+AH111+AH112+AH113+AH114+AH115</f>
        <v>0</v>
      </c>
      <c r="AI116">
        <f>AI77+AI89+AI90+AI91+AI92+AI93+AI94+AI95+AI96+AI97+AI98+AI99+AI100+AI101+AI102+AI103+AI104+AI105+AI106+AI108+AI109+AI110+AI111+AI112+AI113+AI114+AI115</f>
        <v>0</v>
      </c>
      <c r="AJ116">
        <f>AJ77+AJ89+AJ90+AJ91+AJ92+AJ93+AJ94+AJ95+AJ96+AJ97+AJ98+AJ99+AJ100+AJ101+AJ102+AJ103+AJ104+AJ105+AJ106+AJ107+AJ109+AJ110+AJ111+AJ112+AJ113+AJ114+AJ115</f>
        <v>0</v>
      </c>
      <c r="AK116">
        <f>AK77+AK89+AK90+AK91+AK92+AK93+AK94+AK95+AK96+AK97+AK98+AK99+AK100+AK101+AK102+AK103+AK104+AK105+AK106+AK107+AK108+AK110+AK111+AK112+AK113+AK114+AK115</f>
        <v>0</v>
      </c>
      <c r="AL116">
        <f>AL77+AL89+AL90+AL91+AL92+AL93+AL94+AL95+AL96+AL97+AL98+AL99+AL100+AL101+AL102+AL103+AL104+AL105+AL106+AL107+AL108+AL109+AL111+AL112+AL113+AL114+AL115</f>
        <v>0</v>
      </c>
      <c r="AM116">
        <f>AM77+AM89+AM90+AM91+AM92+AM93+AM94+AM95+AM96+AM97+AM98+AM99+AM100+AM101+AM102+AM103+AM104+AM105+AM106+AM107+AM108+AM109+AM110+AM112+AM113+AM114+AM115</f>
        <v>0</v>
      </c>
      <c r="AN116">
        <f>AN77+AN89+AN90+AN91+AN92+AN93+AN94+AN95+AN96+AN97+AN98+AN99+AN100+AN101+AN102+AN103+AN104+AN105+AN106+AN107+AN108+AN109+AN110+AN111+AN113+AN114+AN115</f>
        <v>0</v>
      </c>
      <c r="AO116">
        <f>AO77+AO89+AO90+AO91+AO92+AO93+AO94+AO95+AO96+AO97+AO98+AO99+AO100+AO101+AO102+AO103+AO104+AO105+AO106+AO107+AO108+AO109+AO110+AO111+AO112+AO114+AO115</f>
        <v>0</v>
      </c>
      <c r="AP116">
        <f>AP77+AP89+AP90+AP91+AP92+AP93+AP94+AP95+AP96+AP97+AP98+AP99+AP100+AP101+AP102+AP103+AP104+AP105+AP106+AP107+AP108+AP109+AP110+AP111+AP112+AP113+AP115</f>
        <v>0</v>
      </c>
      <c r="AQ116">
        <f>AQ77+AQ88</f>
        <v>0</v>
      </c>
    </row>
    <row r="117" spans="1:45" ht="25.5" customHeight="1">
      <c r="B117" t="s">
        <v>325</v>
      </c>
      <c r="D117">
        <f>AS76</f>
        <v>4425.3450000000003</v>
      </c>
      <c r="E117">
        <f>AS77</f>
        <v>3367.72</v>
      </c>
      <c r="F117">
        <f>AS78</f>
        <v>230.85</v>
      </c>
      <c r="G117">
        <f>AS79</f>
        <v>165.94</v>
      </c>
      <c r="H117">
        <f>AS80</f>
        <v>156.55000000000001</v>
      </c>
      <c r="I117">
        <f>AS81</f>
        <v>131.46</v>
      </c>
      <c r="J117">
        <f>AS82</f>
        <v>967.14</v>
      </c>
      <c r="K117">
        <f>AS83</f>
        <v>-4.47</v>
      </c>
      <c r="L117">
        <f>AS84</f>
        <v>1479.54</v>
      </c>
      <c r="M117">
        <f>AS85</f>
        <v>406.65</v>
      </c>
      <c r="N117">
        <f>AS86</f>
        <v>0</v>
      </c>
      <c r="O117">
        <f>AS87</f>
        <v>0</v>
      </c>
      <c r="P117">
        <f>AS88</f>
        <v>499.42500000000007</v>
      </c>
      <c r="Q117">
        <f>AS89</f>
        <v>11.35</v>
      </c>
      <c r="R117">
        <f>AS90</f>
        <v>0</v>
      </c>
      <c r="S117">
        <f>AS91</f>
        <v>0</v>
      </c>
      <c r="T117">
        <f>AS92</f>
        <v>0</v>
      </c>
      <c r="U117">
        <f>AS93</f>
        <v>0</v>
      </c>
      <c r="V117">
        <f>AS94</f>
        <v>0.2</v>
      </c>
      <c r="W117">
        <f>AS95</f>
        <v>0.26</v>
      </c>
      <c r="X117">
        <f>AS96</f>
        <v>0</v>
      </c>
      <c r="Y117">
        <f>AS97</f>
        <v>178.30500000000001</v>
      </c>
      <c r="Z117">
        <f>AS98</f>
        <v>0</v>
      </c>
      <c r="AA117">
        <f>AS99</f>
        <v>0</v>
      </c>
      <c r="AB117">
        <f>AS100</f>
        <v>1.29</v>
      </c>
      <c r="AC117">
        <f>AS101</f>
        <v>58.58</v>
      </c>
      <c r="AD117">
        <f>AS102</f>
        <v>0</v>
      </c>
      <c r="AE117">
        <f>AS103</f>
        <v>1.1100000000000001</v>
      </c>
      <c r="AF117">
        <f>AS104</f>
        <v>0</v>
      </c>
      <c r="AG117">
        <f>AS105</f>
        <v>0</v>
      </c>
      <c r="AH117">
        <f>AS106</f>
        <v>0</v>
      </c>
      <c r="AI117">
        <f>AS107</f>
        <v>27.25</v>
      </c>
      <c r="AJ117">
        <f>AS108</f>
        <v>0</v>
      </c>
      <c r="AK117">
        <f>AS109</f>
        <v>0.5</v>
      </c>
      <c r="AL117">
        <f>AS110</f>
        <v>0</v>
      </c>
      <c r="AM117">
        <f>AS111</f>
        <v>0.7</v>
      </c>
      <c r="AN117">
        <f>AS112</f>
        <v>66.039999999999992</v>
      </c>
      <c r="AO117">
        <f>AS113</f>
        <v>153.84</v>
      </c>
      <c r="AP117">
        <f>AS114</f>
        <v>0</v>
      </c>
      <c r="AQ117">
        <f>AS115</f>
        <v>558.19999999999993</v>
      </c>
    </row>
  </sheetData>
  <mergeCells count="21">
    <mergeCell ref="A1:B1"/>
    <mergeCell ref="A2:BN2"/>
    <mergeCell ref="A4:A5"/>
    <mergeCell ref="B4:B5"/>
    <mergeCell ref="C4:C5"/>
    <mergeCell ref="A74:A75"/>
    <mergeCell ref="BN4:BN5"/>
    <mergeCell ref="A70:B70"/>
    <mergeCell ref="BM4:BM5"/>
    <mergeCell ref="A72:AS72"/>
    <mergeCell ref="AS74:AS75"/>
    <mergeCell ref="D4:D5"/>
    <mergeCell ref="C74:C75"/>
    <mergeCell ref="A71:AS71"/>
    <mergeCell ref="E74:AQ74"/>
    <mergeCell ref="D74:D75"/>
    <mergeCell ref="E4:BK4"/>
    <mergeCell ref="AR73:AS73"/>
    <mergeCell ref="BL4:BL5"/>
    <mergeCell ref="B74:B75"/>
    <mergeCell ref="AR74:AR75"/>
  </mergeCells>
  <phoneticPr fontId="4" type="noConversion"/>
  <pageMargins left="0.75" right="0.75" top="1" bottom="1" header="0.5" footer="0.5"/>
  <pageSetup paperSize="9" scale="45" orientation="portrait" r:id="rId1"/>
  <headerFooter alignWithMargins="0"/>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tabColor theme="0"/>
  </sheetPr>
  <dimension ref="A1:BP117"/>
  <sheetViews>
    <sheetView showZeros="0" topLeftCell="A4" zoomScale="75" workbookViewId="0">
      <pane xSplit="4" ySplit="4" topLeftCell="AT58" activePane="bottomRight" state="frozen"/>
      <selection activeCell="A4" sqref="A4"/>
      <selection pane="topRight" activeCell="E4" sqref="E4"/>
      <selection pane="bottomLeft" activeCell="A8" sqref="A8"/>
      <selection pane="bottomRight" activeCell="AT64" sqref="AT64"/>
    </sheetView>
  </sheetViews>
  <sheetFormatPr defaultRowHeight="24.95" customHeight="1"/>
  <cols>
    <col min="1" max="1" width="6.7109375" customWidth="1"/>
    <col min="2" max="2" width="47.140625" customWidth="1"/>
    <col min="3" max="3" width="8.28515625" style="105" customWidth="1"/>
    <col min="4" max="4" width="13.5703125" customWidth="1"/>
    <col min="5" max="5" width="11" customWidth="1"/>
    <col min="6" max="6" width="0.140625" hidden="1" customWidth="1"/>
    <col min="7" max="7" width="11.28515625" hidden="1" customWidth="1"/>
    <col min="8" max="8" width="10.85546875" customWidth="1"/>
    <col min="9" max="9" width="11.140625" customWidth="1"/>
    <col min="10" max="10" width="10.5703125" customWidth="1"/>
    <col min="11" max="11" width="10" hidden="1" customWidth="1"/>
    <col min="12" max="12" width="11.140625" hidden="1" customWidth="1"/>
    <col min="13" max="13" width="11.85546875" customWidth="1"/>
    <col min="14" max="14" width="11" customWidth="1"/>
    <col min="15" max="15" width="11.28515625" hidden="1" customWidth="1"/>
    <col min="16" max="16" width="12.85546875" customWidth="1"/>
    <col min="17" max="17" width="12.28515625" customWidth="1"/>
    <col min="18" max="18" width="10.85546875" customWidth="1"/>
    <col min="20" max="20" width="10.140625" hidden="1" customWidth="1"/>
    <col min="21" max="21" width="9.85546875" customWidth="1"/>
    <col min="22" max="22" width="11.5703125" customWidth="1"/>
    <col min="23" max="23" width="11.140625" customWidth="1"/>
    <col min="24" max="24" width="10.7109375" customWidth="1"/>
    <col min="25" max="25" width="10.42578125" customWidth="1"/>
    <col min="26" max="26" width="11.140625" customWidth="1"/>
    <col min="27" max="27" width="9.85546875" customWidth="1"/>
    <col min="28" max="39" width="10.42578125" customWidth="1"/>
    <col min="40" max="40" width="11" customWidth="1"/>
    <col min="41" max="43" width="9.42578125" customWidth="1"/>
    <col min="44" max="44" width="10.85546875" customWidth="1"/>
    <col min="45" max="45" width="10.140625" customWidth="1"/>
    <col min="46" max="47" width="9.42578125" customWidth="1"/>
    <col min="48" max="48" width="11.5703125" customWidth="1"/>
    <col min="49" max="59" width="9" customWidth="1"/>
    <col min="60" max="60" width="10.140625" customWidth="1"/>
    <col min="61" max="62" width="9.85546875" customWidth="1"/>
    <col min="64" max="64" width="10.5703125" customWidth="1"/>
    <col min="65" max="65" width="12.140625" customWidth="1"/>
    <col min="66" max="66" width="13" customWidth="1"/>
    <col min="67" max="67" width="11.7109375" customWidth="1"/>
  </cols>
  <sheetData>
    <row r="1" spans="1:68" ht="24.95" customHeight="1">
      <c r="A1" s="1300" t="s">
        <v>301</v>
      </c>
      <c r="B1" s="1300"/>
    </row>
    <row r="2" spans="1:68" ht="36.75" customHeight="1">
      <c r="A2" s="1282" t="s">
        <v>961</v>
      </c>
      <c r="B2" s="1282"/>
      <c r="C2" s="1282"/>
      <c r="D2" s="1282"/>
      <c r="E2" s="1282"/>
      <c r="F2" s="1282"/>
      <c r="G2" s="1282"/>
      <c r="H2" s="1282"/>
      <c r="I2" s="1282"/>
      <c r="J2" s="1282"/>
      <c r="K2" s="1282"/>
      <c r="L2" s="1282"/>
      <c r="M2" s="1282"/>
      <c r="N2" s="1282"/>
      <c r="O2" s="1282"/>
      <c r="P2" s="1282"/>
      <c r="Q2" s="1282"/>
      <c r="R2" s="1282"/>
      <c r="S2" s="1282"/>
      <c r="T2" s="1282"/>
      <c r="U2" s="1282"/>
      <c r="V2" s="1282"/>
      <c r="W2" s="1282"/>
      <c r="X2" s="1282"/>
      <c r="Y2" s="1282"/>
      <c r="Z2" s="1282"/>
      <c r="AA2" s="1282"/>
      <c r="AB2" s="1282"/>
      <c r="AC2" s="1282"/>
      <c r="AD2" s="1282"/>
      <c r="AE2" s="1282"/>
      <c r="AF2" s="1282"/>
      <c r="AG2" s="1282"/>
      <c r="AH2" s="1282"/>
      <c r="AI2" s="1282"/>
      <c r="AJ2" s="1282"/>
      <c r="AK2" s="1282"/>
      <c r="AL2" s="1282"/>
      <c r="AM2" s="1282"/>
      <c r="AN2" s="1282"/>
      <c r="AO2" s="1282"/>
      <c r="AP2" s="1282"/>
      <c r="AQ2" s="1282"/>
      <c r="AR2" s="1282"/>
      <c r="AS2" s="1282"/>
      <c r="AT2" s="1282"/>
      <c r="AU2" s="1282"/>
      <c r="AV2" s="1282"/>
      <c r="AW2" s="1282"/>
      <c r="AX2" s="1282"/>
      <c r="AY2" s="1282"/>
      <c r="AZ2" s="1282"/>
      <c r="BA2" s="1282"/>
      <c r="BB2" s="1282"/>
      <c r="BC2" s="1282"/>
      <c r="BD2" s="1282"/>
      <c r="BE2" s="1282"/>
      <c r="BF2" s="1282"/>
      <c r="BG2" s="1282"/>
      <c r="BH2" s="1282"/>
      <c r="BI2" s="1282"/>
      <c r="BJ2" s="1282"/>
      <c r="BK2" s="1282"/>
      <c r="BL2" s="1282"/>
      <c r="BM2" s="1282"/>
      <c r="BN2" s="1282"/>
    </row>
    <row r="4" spans="1:68" ht="33" customHeight="1">
      <c r="A4" s="1275" t="s">
        <v>136</v>
      </c>
      <c r="B4" s="1275" t="s">
        <v>469</v>
      </c>
      <c r="C4" s="1275" t="s">
        <v>192</v>
      </c>
      <c r="D4" s="1275" t="s">
        <v>693</v>
      </c>
      <c r="E4" s="1368" t="s">
        <v>694</v>
      </c>
      <c r="F4" s="1368"/>
      <c r="G4" s="1368"/>
      <c r="H4" s="1368"/>
      <c r="I4" s="1368"/>
      <c r="J4" s="1368"/>
      <c r="K4" s="1368"/>
      <c r="L4" s="1368"/>
      <c r="M4" s="1368"/>
      <c r="N4" s="1368"/>
      <c r="O4" s="1368"/>
      <c r="P4" s="1368"/>
      <c r="Q4" s="1368"/>
      <c r="R4" s="1368"/>
      <c r="S4" s="1368"/>
      <c r="T4" s="1368"/>
      <c r="U4" s="1368"/>
      <c r="V4" s="1368"/>
      <c r="W4" s="1368"/>
      <c r="X4" s="1368"/>
      <c r="Y4" s="1368"/>
      <c r="Z4" s="1368"/>
      <c r="AA4" s="1368"/>
      <c r="AB4" s="1368"/>
      <c r="AC4" s="1368"/>
      <c r="AD4" s="1368"/>
      <c r="AE4" s="1368"/>
      <c r="AF4" s="1368"/>
      <c r="AG4" s="1368"/>
      <c r="AH4" s="1368"/>
      <c r="AI4" s="1368"/>
      <c r="AJ4" s="1368"/>
      <c r="AK4" s="1368"/>
      <c r="AL4" s="1368"/>
      <c r="AM4" s="1368"/>
      <c r="AN4" s="1368"/>
      <c r="AO4" s="1368"/>
      <c r="AP4" s="1368"/>
      <c r="AQ4" s="1368"/>
      <c r="AR4" s="1368"/>
      <c r="AS4" s="1368"/>
      <c r="AT4" s="1368"/>
      <c r="AU4" s="1368"/>
      <c r="AV4" s="1368"/>
      <c r="AW4" s="1368"/>
      <c r="AX4" s="1368"/>
      <c r="AY4" s="1368"/>
      <c r="AZ4" s="1368"/>
      <c r="BA4" s="1368"/>
      <c r="BB4" s="1368"/>
      <c r="BC4" s="1368"/>
      <c r="BD4" s="1368"/>
      <c r="BE4" s="1368"/>
      <c r="BF4" s="1368"/>
      <c r="BG4" s="1368"/>
      <c r="BH4" s="1368"/>
      <c r="BI4" s="1368"/>
      <c r="BJ4" s="1368"/>
      <c r="BK4" s="1368"/>
      <c r="BL4" s="1365" t="s">
        <v>191</v>
      </c>
      <c r="BM4" s="1365" t="s">
        <v>493</v>
      </c>
      <c r="BN4" s="1365" t="s">
        <v>366</v>
      </c>
    </row>
    <row r="5" spans="1:68" ht="35.25" customHeight="1">
      <c r="A5" s="1275"/>
      <c r="B5" s="1275"/>
      <c r="C5" s="1275"/>
      <c r="D5" s="1275"/>
      <c r="E5" s="128" t="s">
        <v>15</v>
      </c>
      <c r="F5" s="128" t="s">
        <v>193</v>
      </c>
      <c r="G5" s="128" t="s">
        <v>194</v>
      </c>
      <c r="H5" s="128" t="s">
        <v>18</v>
      </c>
      <c r="I5" s="128" t="s">
        <v>20</v>
      </c>
      <c r="J5" s="128" t="s">
        <v>195</v>
      </c>
      <c r="K5" s="128" t="s">
        <v>196</v>
      </c>
      <c r="L5" s="128" t="s">
        <v>197</v>
      </c>
      <c r="M5" s="128" t="s">
        <v>23</v>
      </c>
      <c r="N5" s="128" t="s">
        <v>26</v>
      </c>
      <c r="O5" s="128" t="s">
        <v>198</v>
      </c>
      <c r="P5" s="128" t="s">
        <v>29</v>
      </c>
      <c r="Q5" s="128" t="s">
        <v>32</v>
      </c>
      <c r="R5" s="128" t="s">
        <v>35</v>
      </c>
      <c r="S5" s="128" t="s">
        <v>38</v>
      </c>
      <c r="T5" s="128" t="s">
        <v>41</v>
      </c>
      <c r="U5" s="128" t="s">
        <v>44</v>
      </c>
      <c r="V5" s="128" t="s">
        <v>46</v>
      </c>
      <c r="W5" s="128" t="s">
        <v>49</v>
      </c>
      <c r="X5" s="128" t="s">
        <v>52</v>
      </c>
      <c r="Y5" s="128" t="s">
        <v>55</v>
      </c>
      <c r="Z5" s="128" t="s">
        <v>58</v>
      </c>
      <c r="AA5" s="128" t="s">
        <v>61</v>
      </c>
      <c r="AB5" s="128" t="s">
        <v>64</v>
      </c>
      <c r="AC5" s="128" t="s">
        <v>67</v>
      </c>
      <c r="AD5" s="128" t="s">
        <v>70</v>
      </c>
      <c r="AE5" s="128" t="s">
        <v>72</v>
      </c>
      <c r="AF5" s="128" t="s">
        <v>202</v>
      </c>
      <c r="AG5" s="128" t="s">
        <v>203</v>
      </c>
      <c r="AH5" s="128" t="s">
        <v>204</v>
      </c>
      <c r="AI5" s="128" t="s">
        <v>205</v>
      </c>
      <c r="AJ5" s="128" t="s">
        <v>206</v>
      </c>
      <c r="AK5" s="128" t="s">
        <v>207</v>
      </c>
      <c r="AL5" s="128" t="s">
        <v>199</v>
      </c>
      <c r="AM5" s="128" t="s">
        <v>200</v>
      </c>
      <c r="AN5" s="128" t="s">
        <v>223</v>
      </c>
      <c r="AO5" s="128" t="s">
        <v>201</v>
      </c>
      <c r="AP5" s="128" t="s">
        <v>208</v>
      </c>
      <c r="AQ5" s="128" t="s">
        <v>75</v>
      </c>
      <c r="AR5" s="128" t="s">
        <v>78</v>
      </c>
      <c r="AS5" s="128" t="s">
        <v>81</v>
      </c>
      <c r="AT5" s="128" t="s">
        <v>84</v>
      </c>
      <c r="AU5" s="128" t="s">
        <v>87</v>
      </c>
      <c r="AV5" s="128" t="s">
        <v>90</v>
      </c>
      <c r="AW5" s="128" t="s">
        <v>93</v>
      </c>
      <c r="AX5" s="128" t="s">
        <v>96</v>
      </c>
      <c r="AY5" s="128" t="s">
        <v>99</v>
      </c>
      <c r="AZ5" s="128" t="s">
        <v>101</v>
      </c>
      <c r="BA5" s="128" t="s">
        <v>104</v>
      </c>
      <c r="BB5" s="128" t="s">
        <v>107</v>
      </c>
      <c r="BC5" s="128" t="s">
        <v>110</v>
      </c>
      <c r="BD5" s="128" t="s">
        <v>113</v>
      </c>
      <c r="BE5" s="128" t="s">
        <v>116</v>
      </c>
      <c r="BF5" s="128" t="s">
        <v>119</v>
      </c>
      <c r="BG5" s="128" t="s">
        <v>122</v>
      </c>
      <c r="BH5" s="128" t="s">
        <v>124</v>
      </c>
      <c r="BI5" s="128" t="s">
        <v>209</v>
      </c>
      <c r="BJ5" s="128" t="s">
        <v>210</v>
      </c>
      <c r="BK5" s="128" t="s">
        <v>211</v>
      </c>
      <c r="BL5" s="1366"/>
      <c r="BM5" s="1366"/>
      <c r="BN5" s="1366"/>
    </row>
    <row r="6" spans="1:68" ht="24.95" customHeight="1">
      <c r="A6" s="48" t="s">
        <v>235</v>
      </c>
      <c r="B6" s="48" t="s">
        <v>236</v>
      </c>
      <c r="C6" s="48" t="s">
        <v>237</v>
      </c>
      <c r="D6" s="48" t="s">
        <v>238</v>
      </c>
      <c r="E6" s="48" t="s">
        <v>239</v>
      </c>
      <c r="F6" s="48" t="s">
        <v>240</v>
      </c>
      <c r="G6" s="48" t="s">
        <v>241</v>
      </c>
      <c r="H6" s="48" t="s">
        <v>242</v>
      </c>
      <c r="I6" s="48" t="s">
        <v>243</v>
      </c>
      <c r="J6" s="48" t="s">
        <v>244</v>
      </c>
      <c r="K6" s="48" t="s">
        <v>245</v>
      </c>
      <c r="L6" s="48" t="s">
        <v>246</v>
      </c>
      <c r="M6" s="48" t="s">
        <v>247</v>
      </c>
      <c r="N6" s="48" t="s">
        <v>248</v>
      </c>
      <c r="O6" s="48" t="s">
        <v>249</v>
      </c>
      <c r="P6" s="48" t="s">
        <v>250</v>
      </c>
      <c r="Q6" s="48" t="s">
        <v>251</v>
      </c>
      <c r="R6" s="48" t="s">
        <v>252</v>
      </c>
      <c r="S6" s="48" t="s">
        <v>253</v>
      </c>
      <c r="T6" s="48" t="s">
        <v>254</v>
      </c>
      <c r="U6" s="48" t="s">
        <v>255</v>
      </c>
      <c r="V6" s="48" t="s">
        <v>256</v>
      </c>
      <c r="W6" s="48" t="s">
        <v>257</v>
      </c>
      <c r="X6" s="48" t="s">
        <v>258</v>
      </c>
      <c r="Y6" s="48" t="s">
        <v>259</v>
      </c>
      <c r="Z6" s="48" t="s">
        <v>260</v>
      </c>
      <c r="AA6" s="48" t="s">
        <v>261</v>
      </c>
      <c r="AB6" s="48" t="s">
        <v>262</v>
      </c>
      <c r="AC6" s="48" t="s">
        <v>263</v>
      </c>
      <c r="AD6" s="48" t="s">
        <v>264</v>
      </c>
      <c r="AE6" s="48" t="s">
        <v>265</v>
      </c>
      <c r="AF6" s="48" t="s">
        <v>266</v>
      </c>
      <c r="AG6" s="48" t="s">
        <v>267</v>
      </c>
      <c r="AH6" s="48" t="s">
        <v>268</v>
      </c>
      <c r="AI6" s="48" t="s">
        <v>269</v>
      </c>
      <c r="AJ6" s="48" t="s">
        <v>270</v>
      </c>
      <c r="AK6" s="48" t="s">
        <v>271</v>
      </c>
      <c r="AL6" s="48" t="s">
        <v>272</v>
      </c>
      <c r="AM6" s="48" t="s">
        <v>273</v>
      </c>
      <c r="AN6" s="48" t="s">
        <v>274</v>
      </c>
      <c r="AO6" s="48" t="s">
        <v>275</v>
      </c>
      <c r="AP6" s="48" t="s">
        <v>276</v>
      </c>
      <c r="AQ6" s="48" t="s">
        <v>277</v>
      </c>
      <c r="AR6" s="48" t="s">
        <v>278</v>
      </c>
      <c r="AS6" s="48" t="s">
        <v>279</v>
      </c>
      <c r="AT6" s="48" t="s">
        <v>280</v>
      </c>
      <c r="AU6" s="48" t="s">
        <v>281</v>
      </c>
      <c r="AV6" s="48" t="s">
        <v>282</v>
      </c>
      <c r="AW6" s="48" t="s">
        <v>283</v>
      </c>
      <c r="AX6" s="48" t="s">
        <v>284</v>
      </c>
      <c r="AY6" s="48" t="s">
        <v>285</v>
      </c>
      <c r="AZ6" s="48" t="s">
        <v>286</v>
      </c>
      <c r="BA6" s="48" t="s">
        <v>287</v>
      </c>
      <c r="BB6" s="48" t="s">
        <v>288</v>
      </c>
      <c r="BC6" s="48" t="s">
        <v>289</v>
      </c>
      <c r="BD6" s="48" t="s">
        <v>290</v>
      </c>
      <c r="BE6" s="48" t="s">
        <v>291</v>
      </c>
      <c r="BF6" s="48" t="s">
        <v>292</v>
      </c>
      <c r="BG6" s="48" t="s">
        <v>293</v>
      </c>
      <c r="BH6" s="48" t="s">
        <v>294</v>
      </c>
      <c r="BI6" s="48" t="s">
        <v>295</v>
      </c>
      <c r="BJ6" s="48" t="s">
        <v>296</v>
      </c>
      <c r="BK6" s="48" t="s">
        <v>297</v>
      </c>
      <c r="BL6" s="48" t="s">
        <v>298</v>
      </c>
      <c r="BM6" s="48" t="s">
        <v>299</v>
      </c>
      <c r="BN6" s="48" t="s">
        <v>300</v>
      </c>
    </row>
    <row r="7" spans="1:68" s="117" customFormat="1" ht="31.5" customHeight="1">
      <c r="A7" s="108"/>
      <c r="B7" s="108" t="s">
        <v>470</v>
      </c>
      <c r="C7" s="116"/>
      <c r="D7" s="463">
        <f>D8+D25+D63</f>
        <v>3442.5194999999994</v>
      </c>
      <c r="E7" s="463">
        <f>E8+E25+E63</f>
        <v>2466.9899999999998</v>
      </c>
      <c r="F7" s="463">
        <f t="shared" ref="F7:BN7" si="0">F8+F25+F63</f>
        <v>391.95000000000005</v>
      </c>
      <c r="G7" s="463">
        <f t="shared" si="0"/>
        <v>316.82000000000005</v>
      </c>
      <c r="H7" s="463">
        <f t="shared" si="0"/>
        <v>264.73</v>
      </c>
      <c r="I7" s="463">
        <f t="shared" si="0"/>
        <v>185.81</v>
      </c>
      <c r="J7" s="463">
        <f t="shared" si="0"/>
        <v>78.92</v>
      </c>
      <c r="K7" s="463">
        <f t="shared" si="0"/>
        <v>0</v>
      </c>
      <c r="L7" s="463">
        <f t="shared" si="0"/>
        <v>0</v>
      </c>
      <c r="M7" s="463">
        <f t="shared" si="0"/>
        <v>52.09</v>
      </c>
      <c r="N7" s="463">
        <f t="shared" si="0"/>
        <v>75.13</v>
      </c>
      <c r="O7" s="463">
        <f t="shared" si="0"/>
        <v>1901.38</v>
      </c>
      <c r="P7" s="463">
        <f t="shared" si="0"/>
        <v>888.55000000000007</v>
      </c>
      <c r="Q7" s="463">
        <f t="shared" si="0"/>
        <v>0</v>
      </c>
      <c r="R7" s="463">
        <f t="shared" si="0"/>
        <v>1012.83</v>
      </c>
      <c r="S7" s="463">
        <f t="shared" si="0"/>
        <v>173.66</v>
      </c>
      <c r="T7" s="463">
        <f t="shared" si="0"/>
        <v>0</v>
      </c>
      <c r="U7" s="463">
        <f t="shared" si="0"/>
        <v>0</v>
      </c>
      <c r="V7" s="463">
        <f t="shared" si="0"/>
        <v>544.87949999999989</v>
      </c>
      <c r="W7" s="463">
        <f t="shared" si="0"/>
        <v>3.71</v>
      </c>
      <c r="X7" s="463">
        <f t="shared" si="0"/>
        <v>0</v>
      </c>
      <c r="Y7" s="463">
        <f t="shared" si="0"/>
        <v>0</v>
      </c>
      <c r="Z7" s="463">
        <f t="shared" si="0"/>
        <v>0</v>
      </c>
      <c r="AA7" s="463">
        <f t="shared" si="0"/>
        <v>0</v>
      </c>
      <c r="AB7" s="463">
        <f t="shared" si="0"/>
        <v>6.18</v>
      </c>
      <c r="AC7" s="463">
        <f t="shared" si="0"/>
        <v>12.18</v>
      </c>
      <c r="AD7" s="463">
        <f t="shared" si="0"/>
        <v>0</v>
      </c>
      <c r="AE7" s="463">
        <f t="shared" si="0"/>
        <v>163.15999999999997</v>
      </c>
      <c r="AF7" s="463">
        <f t="shared" si="0"/>
        <v>0.6</v>
      </c>
      <c r="AG7" s="463">
        <f t="shared" si="0"/>
        <v>0.08</v>
      </c>
      <c r="AH7" s="463">
        <f t="shared" si="0"/>
        <v>5</v>
      </c>
      <c r="AI7" s="463">
        <f t="shared" si="0"/>
        <v>1.57</v>
      </c>
      <c r="AJ7" s="463">
        <f t="shared" si="0"/>
        <v>0</v>
      </c>
      <c r="AK7" s="463">
        <f t="shared" si="0"/>
        <v>0</v>
      </c>
      <c r="AL7" s="463">
        <f t="shared" si="0"/>
        <v>138.07999999999998</v>
      </c>
      <c r="AM7" s="463">
        <f t="shared" si="0"/>
        <v>17.29</v>
      </c>
      <c r="AN7" s="463">
        <f t="shared" si="0"/>
        <v>0.03</v>
      </c>
      <c r="AO7" s="463">
        <f t="shared" si="0"/>
        <v>0.51</v>
      </c>
      <c r="AP7" s="463">
        <f t="shared" si="0"/>
        <v>0</v>
      </c>
      <c r="AQ7" s="463">
        <f t="shared" si="0"/>
        <v>0</v>
      </c>
      <c r="AR7" s="463">
        <f t="shared" si="0"/>
        <v>0</v>
      </c>
      <c r="AS7" s="463">
        <f t="shared" si="0"/>
        <v>4.6000000000000005</v>
      </c>
      <c r="AT7" s="463">
        <f t="shared" si="0"/>
        <v>50.279999999999994</v>
      </c>
      <c r="AU7" s="463">
        <f t="shared" si="0"/>
        <v>0</v>
      </c>
      <c r="AV7" s="463">
        <f t="shared" si="0"/>
        <v>4.47</v>
      </c>
      <c r="AW7" s="463">
        <f t="shared" si="0"/>
        <v>0</v>
      </c>
      <c r="AX7" s="463">
        <f t="shared" si="0"/>
        <v>0</v>
      </c>
      <c r="AY7" s="463">
        <f t="shared" si="0"/>
        <v>0</v>
      </c>
      <c r="AZ7" s="463">
        <f t="shared" si="0"/>
        <v>10.59</v>
      </c>
      <c r="BA7" s="463">
        <f t="shared" si="0"/>
        <v>5.9494999999999996</v>
      </c>
      <c r="BB7" s="463">
        <f t="shared" si="0"/>
        <v>1.6</v>
      </c>
      <c r="BC7" s="463">
        <f t="shared" si="0"/>
        <v>0</v>
      </c>
      <c r="BD7" s="463">
        <f t="shared" si="0"/>
        <v>0.66</v>
      </c>
      <c r="BE7" s="463">
        <f t="shared" si="0"/>
        <v>247.7</v>
      </c>
      <c r="BF7" s="463">
        <f t="shared" si="0"/>
        <v>33.799999999999997</v>
      </c>
      <c r="BG7" s="463">
        <f t="shared" si="0"/>
        <v>0</v>
      </c>
      <c r="BH7" s="463">
        <f t="shared" si="0"/>
        <v>430.65</v>
      </c>
      <c r="BI7" s="463">
        <f t="shared" si="0"/>
        <v>420.66999999999996</v>
      </c>
      <c r="BJ7" s="463">
        <f t="shared" si="0"/>
        <v>9.98</v>
      </c>
      <c r="BK7" s="463">
        <f t="shared" si="0"/>
        <v>0</v>
      </c>
      <c r="BL7" s="463"/>
      <c r="BM7" s="463">
        <f t="shared" si="0"/>
        <v>0</v>
      </c>
      <c r="BN7" s="463">
        <f t="shared" si="0"/>
        <v>3442.5194999999999</v>
      </c>
      <c r="BO7" s="123"/>
    </row>
    <row r="8" spans="1:68" s="115" customFormat="1" ht="21" customHeight="1">
      <c r="A8" s="6">
        <v>1</v>
      </c>
      <c r="B8" s="109" t="s">
        <v>14</v>
      </c>
      <c r="C8" s="114" t="s">
        <v>15</v>
      </c>
      <c r="D8" s="461">
        <f>D9+D18+D22+D23+D24</f>
        <v>2476.54</v>
      </c>
      <c r="E8" s="461">
        <f>D8-BL8</f>
        <v>2458.5299999999997</v>
      </c>
      <c r="F8" s="461">
        <f>G8+N8</f>
        <v>391.95000000000005</v>
      </c>
      <c r="G8" s="461">
        <f>H8+L8+M8</f>
        <v>316.82000000000005</v>
      </c>
      <c r="H8" s="461">
        <f>I8+J8+K8</f>
        <v>264.73</v>
      </c>
      <c r="I8" s="461">
        <f>I9+I18+I22+I23+I24</f>
        <v>185.81</v>
      </c>
      <c r="J8" s="461">
        <f t="shared" ref="J8:BG8" si="1">J9+J18+J22+J23+J24</f>
        <v>78.92</v>
      </c>
      <c r="K8" s="461">
        <f t="shared" si="1"/>
        <v>0</v>
      </c>
      <c r="L8" s="461">
        <f t="shared" si="1"/>
        <v>0</v>
      </c>
      <c r="M8" s="461">
        <f t="shared" si="1"/>
        <v>52.09</v>
      </c>
      <c r="N8" s="461">
        <f t="shared" si="1"/>
        <v>75.13</v>
      </c>
      <c r="O8" s="461">
        <f>P8+Q8+R8</f>
        <v>1901.38</v>
      </c>
      <c r="P8" s="461">
        <f t="shared" si="1"/>
        <v>888.55000000000007</v>
      </c>
      <c r="Q8" s="461">
        <f t="shared" si="1"/>
        <v>0</v>
      </c>
      <c r="R8" s="461">
        <f t="shared" si="1"/>
        <v>1012.83</v>
      </c>
      <c r="S8" s="461">
        <f t="shared" si="1"/>
        <v>165.2</v>
      </c>
      <c r="T8" s="461">
        <f t="shared" si="1"/>
        <v>0</v>
      </c>
      <c r="U8" s="461">
        <f t="shared" si="1"/>
        <v>0</v>
      </c>
      <c r="V8" s="461">
        <f t="shared" si="1"/>
        <v>18.009999999999998</v>
      </c>
      <c r="W8" s="461">
        <f t="shared" si="1"/>
        <v>0</v>
      </c>
      <c r="X8" s="461">
        <f t="shared" si="1"/>
        <v>0</v>
      </c>
      <c r="Y8" s="461">
        <f t="shared" si="1"/>
        <v>0</v>
      </c>
      <c r="Z8" s="461">
        <f t="shared" si="1"/>
        <v>0</v>
      </c>
      <c r="AA8" s="461">
        <f t="shared" si="1"/>
        <v>0</v>
      </c>
      <c r="AB8" s="461">
        <f t="shared" si="1"/>
        <v>0</v>
      </c>
      <c r="AC8" s="461">
        <f t="shared" si="1"/>
        <v>0</v>
      </c>
      <c r="AD8" s="461">
        <f t="shared" si="1"/>
        <v>0</v>
      </c>
      <c r="AE8" s="461">
        <f t="shared" si="1"/>
        <v>10.75</v>
      </c>
      <c r="AF8" s="461">
        <f t="shared" si="1"/>
        <v>0</v>
      </c>
      <c r="AG8" s="461">
        <f t="shared" si="1"/>
        <v>0</v>
      </c>
      <c r="AH8" s="461">
        <f t="shared" si="1"/>
        <v>0</v>
      </c>
      <c r="AI8" s="461">
        <f t="shared" si="1"/>
        <v>0</v>
      </c>
      <c r="AJ8" s="461">
        <f t="shared" si="1"/>
        <v>0</v>
      </c>
      <c r="AK8" s="461">
        <f t="shared" si="1"/>
        <v>0</v>
      </c>
      <c r="AL8" s="461">
        <f t="shared" si="1"/>
        <v>10.75</v>
      </c>
      <c r="AM8" s="461">
        <f t="shared" si="1"/>
        <v>0</v>
      </c>
      <c r="AN8" s="461">
        <f t="shared" si="1"/>
        <v>0</v>
      </c>
      <c r="AO8" s="461">
        <f t="shared" si="1"/>
        <v>0</v>
      </c>
      <c r="AP8" s="461">
        <f t="shared" si="1"/>
        <v>0</v>
      </c>
      <c r="AQ8" s="461">
        <f t="shared" si="1"/>
        <v>0</v>
      </c>
      <c r="AR8" s="461">
        <f t="shared" si="1"/>
        <v>0</v>
      </c>
      <c r="AS8" s="461">
        <f t="shared" si="1"/>
        <v>4.4000000000000004</v>
      </c>
      <c r="AT8" s="461">
        <f t="shared" si="1"/>
        <v>2.8600000000000003</v>
      </c>
      <c r="AU8" s="461">
        <f t="shared" si="1"/>
        <v>0</v>
      </c>
      <c r="AV8" s="461">
        <f t="shared" si="1"/>
        <v>0</v>
      </c>
      <c r="AW8" s="461">
        <f t="shared" si="1"/>
        <v>0</v>
      </c>
      <c r="AX8" s="461">
        <f t="shared" si="1"/>
        <v>0</v>
      </c>
      <c r="AY8" s="461">
        <f t="shared" si="1"/>
        <v>0</v>
      </c>
      <c r="AZ8" s="461">
        <f t="shared" si="1"/>
        <v>0</v>
      </c>
      <c r="BA8" s="461">
        <f t="shared" si="1"/>
        <v>0</v>
      </c>
      <c r="BB8" s="461">
        <f t="shared" si="1"/>
        <v>0</v>
      </c>
      <c r="BC8" s="461">
        <f t="shared" si="1"/>
        <v>0</v>
      </c>
      <c r="BD8" s="461">
        <f t="shared" si="1"/>
        <v>0</v>
      </c>
      <c r="BE8" s="461">
        <f t="shared" si="1"/>
        <v>0</v>
      </c>
      <c r="BF8" s="461">
        <f t="shared" si="1"/>
        <v>0</v>
      </c>
      <c r="BG8" s="461">
        <f t="shared" si="1"/>
        <v>0</v>
      </c>
      <c r="BH8" s="461">
        <f>BH9+BH18+BH22+BH23+BH24</f>
        <v>0</v>
      </c>
      <c r="BI8" s="461">
        <f>BI9+BI18+BI22+BI23+BI24</f>
        <v>0</v>
      </c>
      <c r="BJ8" s="461">
        <f>BJ9+BJ18+BJ22+BJ23+BJ24</f>
        <v>0</v>
      </c>
      <c r="BK8" s="461">
        <f>BK9+BK18+BK22+BK23+BK24</f>
        <v>0</v>
      </c>
      <c r="BL8" s="461">
        <f>V8+BH8</f>
        <v>18.009999999999998</v>
      </c>
      <c r="BM8" s="461">
        <f>BM9+BM18+BM22+BM23+BM24</f>
        <v>-9.5500000000000007</v>
      </c>
      <c r="BN8" s="461">
        <f>BN9+BN18+BN22+BN23+BN24</f>
        <v>2466.9899999999998</v>
      </c>
      <c r="BO8" s="123"/>
      <c r="BP8" s="117"/>
    </row>
    <row r="9" spans="1:68" ht="21.75" hidden="1" customHeight="1">
      <c r="A9" s="5" t="s">
        <v>16</v>
      </c>
      <c r="B9" s="72" t="s">
        <v>471</v>
      </c>
      <c r="C9" s="48" t="s">
        <v>193</v>
      </c>
      <c r="D9" s="61">
        <f>D10+D17</f>
        <v>414.31</v>
      </c>
      <c r="E9" s="61">
        <f>F9+O9+S9+T9+U9</f>
        <v>433.56</v>
      </c>
      <c r="F9" s="61">
        <f>D9-BK9</f>
        <v>414.31</v>
      </c>
      <c r="G9" s="61">
        <f>H9+L9+M9</f>
        <v>316.82000000000005</v>
      </c>
      <c r="H9" s="61">
        <f>I9+J9+K9</f>
        <v>264.73</v>
      </c>
      <c r="I9" s="61">
        <f>I10+I17</f>
        <v>185.81</v>
      </c>
      <c r="J9" s="61">
        <f t="shared" ref="J9:BG9" si="2">J10+J17</f>
        <v>78.92</v>
      </c>
      <c r="K9" s="61">
        <f t="shared" si="2"/>
        <v>0</v>
      </c>
      <c r="L9" s="61">
        <f t="shared" si="2"/>
        <v>0</v>
      </c>
      <c r="M9" s="61">
        <f t="shared" si="2"/>
        <v>52.09</v>
      </c>
      <c r="N9" s="61">
        <f t="shared" si="2"/>
        <v>75.13</v>
      </c>
      <c r="O9" s="61">
        <f t="shared" ref="O9:O17" si="3">P9+Q9+R9</f>
        <v>0</v>
      </c>
      <c r="P9" s="61">
        <f t="shared" si="2"/>
        <v>0</v>
      </c>
      <c r="Q9" s="61">
        <f t="shared" si="2"/>
        <v>0</v>
      </c>
      <c r="R9" s="61">
        <f t="shared" si="2"/>
        <v>0</v>
      </c>
      <c r="S9" s="61">
        <f t="shared" si="2"/>
        <v>19.25</v>
      </c>
      <c r="T9" s="61">
        <f t="shared" si="2"/>
        <v>0</v>
      </c>
      <c r="U9" s="61">
        <f t="shared" si="2"/>
        <v>0</v>
      </c>
      <c r="V9" s="61">
        <f t="shared" si="2"/>
        <v>3.11</v>
      </c>
      <c r="W9" s="61">
        <f t="shared" si="2"/>
        <v>0</v>
      </c>
      <c r="X9" s="61">
        <f t="shared" si="2"/>
        <v>0</v>
      </c>
      <c r="Y9" s="61">
        <f t="shared" si="2"/>
        <v>0</v>
      </c>
      <c r="Z9" s="61">
        <f t="shared" si="2"/>
        <v>0</v>
      </c>
      <c r="AA9" s="61">
        <f t="shared" si="2"/>
        <v>0</v>
      </c>
      <c r="AB9" s="61">
        <f t="shared" si="2"/>
        <v>0</v>
      </c>
      <c r="AC9" s="61">
        <f t="shared" si="2"/>
        <v>0</v>
      </c>
      <c r="AD9" s="61">
        <f t="shared" si="2"/>
        <v>0</v>
      </c>
      <c r="AE9" s="61">
        <f t="shared" si="2"/>
        <v>1.24</v>
      </c>
      <c r="AF9" s="61">
        <f t="shared" si="2"/>
        <v>0</v>
      </c>
      <c r="AG9" s="61">
        <f t="shared" si="2"/>
        <v>0</v>
      </c>
      <c r="AH9" s="61">
        <f t="shared" si="2"/>
        <v>0</v>
      </c>
      <c r="AI9" s="61">
        <f t="shared" si="2"/>
        <v>0</v>
      </c>
      <c r="AJ9" s="61">
        <f t="shared" si="2"/>
        <v>0</v>
      </c>
      <c r="AK9" s="61">
        <f t="shared" si="2"/>
        <v>0</v>
      </c>
      <c r="AL9" s="61">
        <f t="shared" si="2"/>
        <v>1.24</v>
      </c>
      <c r="AM9" s="61">
        <f t="shared" si="2"/>
        <v>0</v>
      </c>
      <c r="AN9" s="61">
        <f t="shared" si="2"/>
        <v>0</v>
      </c>
      <c r="AO9" s="61">
        <f t="shared" si="2"/>
        <v>0</v>
      </c>
      <c r="AP9" s="61">
        <f t="shared" si="2"/>
        <v>0</v>
      </c>
      <c r="AQ9" s="61">
        <f t="shared" si="2"/>
        <v>0</v>
      </c>
      <c r="AR9" s="61">
        <f t="shared" si="2"/>
        <v>0</v>
      </c>
      <c r="AS9" s="61">
        <f t="shared" si="2"/>
        <v>0</v>
      </c>
      <c r="AT9" s="61">
        <f t="shared" si="2"/>
        <v>1.87</v>
      </c>
      <c r="AU9" s="61">
        <f t="shared" si="2"/>
        <v>0</v>
      </c>
      <c r="AV9" s="61">
        <f t="shared" si="2"/>
        <v>0</v>
      </c>
      <c r="AW9" s="61">
        <f t="shared" si="2"/>
        <v>0</v>
      </c>
      <c r="AX9" s="61">
        <f t="shared" si="2"/>
        <v>0</v>
      </c>
      <c r="AY9" s="61">
        <f t="shared" si="2"/>
        <v>0</v>
      </c>
      <c r="AZ9" s="61">
        <f t="shared" si="2"/>
        <v>0</v>
      </c>
      <c r="BA9" s="61">
        <f t="shared" si="2"/>
        <v>0</v>
      </c>
      <c r="BB9" s="61">
        <f t="shared" si="2"/>
        <v>0</v>
      </c>
      <c r="BC9" s="61">
        <f t="shared" si="2"/>
        <v>0</v>
      </c>
      <c r="BD9" s="61">
        <f t="shared" si="2"/>
        <v>0</v>
      </c>
      <c r="BE9" s="61">
        <f t="shared" si="2"/>
        <v>0</v>
      </c>
      <c r="BF9" s="61">
        <f t="shared" si="2"/>
        <v>0</v>
      </c>
      <c r="BG9" s="61">
        <f t="shared" si="2"/>
        <v>0</v>
      </c>
      <c r="BH9" s="61">
        <f>BH10+BH17</f>
        <v>0</v>
      </c>
      <c r="BI9" s="61">
        <f>BI10+BI17</f>
        <v>0</v>
      </c>
      <c r="BJ9" s="61">
        <f>BJ10+BJ17</f>
        <v>0</v>
      </c>
      <c r="BK9" s="61">
        <f>BK10+BK17</f>
        <v>0</v>
      </c>
      <c r="BL9" s="61">
        <f>O9+S9+T9+U9+V9+BH9</f>
        <v>22.36</v>
      </c>
      <c r="BM9" s="61">
        <f>BM10+BM17</f>
        <v>-22.36</v>
      </c>
      <c r="BN9" s="61">
        <f>D9+BM9</f>
        <v>391.95</v>
      </c>
      <c r="BO9" s="123"/>
      <c r="BP9" s="117"/>
    </row>
    <row r="10" spans="1:68" ht="19.5" hidden="1" customHeight="1">
      <c r="A10" s="5" t="s">
        <v>212</v>
      </c>
      <c r="B10" s="72" t="s">
        <v>472</v>
      </c>
      <c r="C10" s="48" t="s">
        <v>194</v>
      </c>
      <c r="D10" s="61">
        <f>D11+D15+D16</f>
        <v>338.18</v>
      </c>
      <c r="E10" s="61">
        <f t="shared" ref="E10:E66" si="4">F10+O10+S10+T10+U10</f>
        <v>336.07</v>
      </c>
      <c r="F10" s="61">
        <f>G10+N10</f>
        <v>316.82</v>
      </c>
      <c r="G10" s="61">
        <f>D10-BL10</f>
        <v>316.82</v>
      </c>
      <c r="H10" s="61">
        <f>I10+J10+K10</f>
        <v>264.73</v>
      </c>
      <c r="I10" s="61">
        <f>I11+I15+I16</f>
        <v>185.81</v>
      </c>
      <c r="J10" s="61">
        <f t="shared" ref="J10:BG10" si="5">J11+J15+J16</f>
        <v>78.92</v>
      </c>
      <c r="K10" s="61">
        <f t="shared" si="5"/>
        <v>0</v>
      </c>
      <c r="L10" s="61">
        <f t="shared" si="5"/>
        <v>0</v>
      </c>
      <c r="M10" s="61">
        <f t="shared" si="5"/>
        <v>52.09</v>
      </c>
      <c r="N10" s="61">
        <f t="shared" si="5"/>
        <v>0</v>
      </c>
      <c r="O10" s="61">
        <f t="shared" si="3"/>
        <v>0</v>
      </c>
      <c r="P10" s="61">
        <f t="shared" si="5"/>
        <v>0</v>
      </c>
      <c r="Q10" s="61">
        <f t="shared" si="5"/>
        <v>0</v>
      </c>
      <c r="R10" s="61">
        <f t="shared" si="5"/>
        <v>0</v>
      </c>
      <c r="S10" s="61">
        <f t="shared" si="5"/>
        <v>19.25</v>
      </c>
      <c r="T10" s="61">
        <f t="shared" si="5"/>
        <v>0</v>
      </c>
      <c r="U10" s="61">
        <f t="shared" si="5"/>
        <v>0</v>
      </c>
      <c r="V10" s="61">
        <f t="shared" si="5"/>
        <v>2.11</v>
      </c>
      <c r="W10" s="61">
        <f t="shared" si="5"/>
        <v>0</v>
      </c>
      <c r="X10" s="61">
        <f t="shared" si="5"/>
        <v>0</v>
      </c>
      <c r="Y10" s="61">
        <f t="shared" si="5"/>
        <v>0</v>
      </c>
      <c r="Z10" s="61">
        <f t="shared" si="5"/>
        <v>0</v>
      </c>
      <c r="AA10" s="61">
        <f t="shared" si="5"/>
        <v>0</v>
      </c>
      <c r="AB10" s="61">
        <f t="shared" si="5"/>
        <v>0</v>
      </c>
      <c r="AC10" s="61">
        <f t="shared" si="5"/>
        <v>0</v>
      </c>
      <c r="AD10" s="61">
        <f t="shared" si="5"/>
        <v>0</v>
      </c>
      <c r="AE10" s="61">
        <f t="shared" si="5"/>
        <v>1.24</v>
      </c>
      <c r="AF10" s="61">
        <f t="shared" si="5"/>
        <v>0</v>
      </c>
      <c r="AG10" s="61">
        <f t="shared" si="5"/>
        <v>0</v>
      </c>
      <c r="AH10" s="61">
        <f t="shared" si="5"/>
        <v>0</v>
      </c>
      <c r="AI10" s="61">
        <f t="shared" si="5"/>
        <v>0</v>
      </c>
      <c r="AJ10" s="61">
        <f t="shared" si="5"/>
        <v>0</v>
      </c>
      <c r="AK10" s="61">
        <f t="shared" si="5"/>
        <v>0</v>
      </c>
      <c r="AL10" s="61">
        <f t="shared" si="5"/>
        <v>1.24</v>
      </c>
      <c r="AM10" s="61">
        <f t="shared" si="5"/>
        <v>0</v>
      </c>
      <c r="AN10" s="61">
        <f t="shared" si="5"/>
        <v>0</v>
      </c>
      <c r="AO10" s="61">
        <f t="shared" si="5"/>
        <v>0</v>
      </c>
      <c r="AP10" s="61">
        <f t="shared" si="5"/>
        <v>0</v>
      </c>
      <c r="AQ10" s="61">
        <f t="shared" si="5"/>
        <v>0</v>
      </c>
      <c r="AR10" s="61">
        <f t="shared" si="5"/>
        <v>0</v>
      </c>
      <c r="AS10" s="61">
        <f t="shared" si="5"/>
        <v>0</v>
      </c>
      <c r="AT10" s="61">
        <f t="shared" si="5"/>
        <v>0.87</v>
      </c>
      <c r="AU10" s="61">
        <f t="shared" si="5"/>
        <v>0</v>
      </c>
      <c r="AV10" s="61">
        <f t="shared" si="5"/>
        <v>0</v>
      </c>
      <c r="AW10" s="61">
        <f t="shared" si="5"/>
        <v>0</v>
      </c>
      <c r="AX10" s="61">
        <f t="shared" si="5"/>
        <v>0</v>
      </c>
      <c r="AY10" s="61">
        <f t="shared" si="5"/>
        <v>0</v>
      </c>
      <c r="AZ10" s="61">
        <f t="shared" si="5"/>
        <v>0</v>
      </c>
      <c r="BA10" s="61">
        <f t="shared" si="5"/>
        <v>0</v>
      </c>
      <c r="BB10" s="61">
        <f t="shared" si="5"/>
        <v>0</v>
      </c>
      <c r="BC10" s="61">
        <f t="shared" si="5"/>
        <v>0</v>
      </c>
      <c r="BD10" s="61">
        <f t="shared" si="5"/>
        <v>0</v>
      </c>
      <c r="BE10" s="61">
        <f t="shared" si="5"/>
        <v>0</v>
      </c>
      <c r="BF10" s="61">
        <f t="shared" si="5"/>
        <v>0</v>
      </c>
      <c r="BG10" s="61">
        <f t="shared" si="5"/>
        <v>0</v>
      </c>
      <c r="BH10" s="61">
        <f>BH11+BH15+BH16</f>
        <v>0</v>
      </c>
      <c r="BI10" s="61">
        <f>BI11+BI15+BI16</f>
        <v>0</v>
      </c>
      <c r="BJ10" s="61">
        <f>BJ11+BJ15+BJ16</f>
        <v>0</v>
      </c>
      <c r="BK10" s="61">
        <f>BK11+BK15+BK16</f>
        <v>0</v>
      </c>
      <c r="BL10" s="61">
        <f>N10+O10+S10+T10+U10+V10+BH10</f>
        <v>21.36</v>
      </c>
      <c r="BM10" s="61">
        <f>BM11+BM15+BM16</f>
        <v>-21.36</v>
      </c>
      <c r="BN10" s="61">
        <f>BN11+BN15+BN16</f>
        <v>316.82000000000005</v>
      </c>
      <c r="BO10" s="123"/>
      <c r="BP10" s="117"/>
    </row>
    <row r="11" spans="1:68" ht="20.100000000000001" customHeight="1">
      <c r="A11" s="5" t="s">
        <v>213</v>
      </c>
      <c r="B11" s="72" t="s">
        <v>17</v>
      </c>
      <c r="C11" s="48" t="s">
        <v>18</v>
      </c>
      <c r="D11" s="61">
        <f>D12+D13+D14</f>
        <v>279.36</v>
      </c>
      <c r="E11" s="61">
        <f t="shared" si="4"/>
        <v>277.67</v>
      </c>
      <c r="F11" s="61">
        <f t="shared" ref="F11:F24" si="6">G11+N11</f>
        <v>264.73</v>
      </c>
      <c r="G11" s="61">
        <f>H11+L11+M11</f>
        <v>264.73</v>
      </c>
      <c r="H11" s="61">
        <f>D11-BL11</f>
        <v>264.73</v>
      </c>
      <c r="I11" s="61">
        <f>I12+I13+I14</f>
        <v>185.81</v>
      </c>
      <c r="J11" s="61">
        <f t="shared" ref="J11:BG11" si="7">J12+J13+J14</f>
        <v>78.92</v>
      </c>
      <c r="K11" s="61">
        <f t="shared" si="7"/>
        <v>0</v>
      </c>
      <c r="L11" s="61">
        <f t="shared" si="7"/>
        <v>0</v>
      </c>
      <c r="M11" s="61">
        <f t="shared" si="7"/>
        <v>0</v>
      </c>
      <c r="N11" s="61">
        <f t="shared" si="7"/>
        <v>0</v>
      </c>
      <c r="O11" s="61">
        <f t="shared" si="3"/>
        <v>0</v>
      </c>
      <c r="P11" s="61">
        <f t="shared" si="7"/>
        <v>0</v>
      </c>
      <c r="Q11" s="61">
        <f t="shared" si="7"/>
        <v>0</v>
      </c>
      <c r="R11" s="61">
        <f t="shared" si="7"/>
        <v>0</v>
      </c>
      <c r="S11" s="61">
        <f t="shared" si="7"/>
        <v>12.94</v>
      </c>
      <c r="T11" s="61">
        <f t="shared" si="7"/>
        <v>0</v>
      </c>
      <c r="U11" s="61">
        <f t="shared" si="7"/>
        <v>0</v>
      </c>
      <c r="V11" s="61">
        <f t="shared" si="7"/>
        <v>1.69</v>
      </c>
      <c r="W11" s="61">
        <f t="shared" si="7"/>
        <v>0</v>
      </c>
      <c r="X11" s="61">
        <f t="shared" si="7"/>
        <v>0</v>
      </c>
      <c r="Y11" s="61">
        <f t="shared" si="7"/>
        <v>0</v>
      </c>
      <c r="Z11" s="61">
        <f t="shared" si="7"/>
        <v>0</v>
      </c>
      <c r="AA11" s="61">
        <f t="shared" si="7"/>
        <v>0</v>
      </c>
      <c r="AB11" s="61">
        <f t="shared" si="7"/>
        <v>0</v>
      </c>
      <c r="AC11" s="61">
        <f t="shared" si="7"/>
        <v>0</v>
      </c>
      <c r="AD11" s="61">
        <f t="shared" si="7"/>
        <v>0</v>
      </c>
      <c r="AE11" s="61">
        <f t="shared" si="7"/>
        <v>1.08</v>
      </c>
      <c r="AF11" s="61">
        <f t="shared" si="7"/>
        <v>0</v>
      </c>
      <c r="AG11" s="61">
        <f t="shared" si="7"/>
        <v>0</v>
      </c>
      <c r="AH11" s="61">
        <f t="shared" si="7"/>
        <v>0</v>
      </c>
      <c r="AI11" s="61">
        <f t="shared" si="7"/>
        <v>0</v>
      </c>
      <c r="AJ11" s="61">
        <f t="shared" si="7"/>
        <v>0</v>
      </c>
      <c r="AK11" s="61">
        <f t="shared" si="7"/>
        <v>0</v>
      </c>
      <c r="AL11" s="61">
        <f t="shared" si="7"/>
        <v>1.08</v>
      </c>
      <c r="AM11" s="61">
        <f t="shared" si="7"/>
        <v>0</v>
      </c>
      <c r="AN11" s="61">
        <f t="shared" si="7"/>
        <v>0</v>
      </c>
      <c r="AO11" s="61">
        <f t="shared" si="7"/>
        <v>0</v>
      </c>
      <c r="AP11" s="61">
        <f t="shared" si="7"/>
        <v>0</v>
      </c>
      <c r="AQ11" s="61">
        <f t="shared" si="7"/>
        <v>0</v>
      </c>
      <c r="AR11" s="61">
        <f t="shared" si="7"/>
        <v>0</v>
      </c>
      <c r="AS11" s="61">
        <f t="shared" si="7"/>
        <v>0</v>
      </c>
      <c r="AT11" s="61">
        <f t="shared" si="7"/>
        <v>0.61</v>
      </c>
      <c r="AU11" s="61">
        <f t="shared" si="7"/>
        <v>0</v>
      </c>
      <c r="AV11" s="61">
        <f t="shared" si="7"/>
        <v>0</v>
      </c>
      <c r="AW11" s="61">
        <f t="shared" si="7"/>
        <v>0</v>
      </c>
      <c r="AX11" s="61">
        <f t="shared" si="7"/>
        <v>0</v>
      </c>
      <c r="AY11" s="61">
        <f t="shared" si="7"/>
        <v>0</v>
      </c>
      <c r="AZ11" s="61">
        <f t="shared" si="7"/>
        <v>0</v>
      </c>
      <c r="BA11" s="61">
        <f t="shared" si="7"/>
        <v>0</v>
      </c>
      <c r="BB11" s="61">
        <f t="shared" si="7"/>
        <v>0</v>
      </c>
      <c r="BC11" s="61">
        <f t="shared" si="7"/>
        <v>0</v>
      </c>
      <c r="BD11" s="61">
        <f t="shared" si="7"/>
        <v>0</v>
      </c>
      <c r="BE11" s="61">
        <f t="shared" si="7"/>
        <v>0</v>
      </c>
      <c r="BF11" s="61">
        <f t="shared" si="7"/>
        <v>0</v>
      </c>
      <c r="BG11" s="61">
        <f t="shared" si="7"/>
        <v>0</v>
      </c>
      <c r="BH11" s="61">
        <f>BH12+BH13+BH14</f>
        <v>0</v>
      </c>
      <c r="BI11" s="61">
        <f>BI12+BI13+BI14</f>
        <v>0</v>
      </c>
      <c r="BJ11" s="61">
        <f>BJ12+BJ13+BJ14</f>
        <v>0</v>
      </c>
      <c r="BK11" s="61">
        <f>BK12+BK13+BK14</f>
        <v>0</v>
      </c>
      <c r="BL11" s="61">
        <f>L11+M11+N11+S11+T11+U11+V11+BH11</f>
        <v>14.629999999999999</v>
      </c>
      <c r="BM11" s="61">
        <f>H67-BL11</f>
        <v>-14.629999999999999</v>
      </c>
      <c r="BN11" s="61">
        <f>BN12+BN13+BN14</f>
        <v>264.73</v>
      </c>
      <c r="BO11" s="123"/>
      <c r="BP11" s="117"/>
    </row>
    <row r="12" spans="1:68" ht="20.100000000000001" customHeight="1">
      <c r="A12" s="5" t="s">
        <v>214</v>
      </c>
      <c r="B12" s="72" t="s">
        <v>473</v>
      </c>
      <c r="C12" s="48" t="s">
        <v>20</v>
      </c>
      <c r="D12" s="61">
        <f>#REF!</f>
        <v>190.68</v>
      </c>
      <c r="E12" s="61">
        <f t="shared" si="4"/>
        <v>189.23</v>
      </c>
      <c r="F12" s="61">
        <f t="shared" si="6"/>
        <v>185.81</v>
      </c>
      <c r="G12" s="61">
        <f t="shared" ref="G12:G66" si="8">H12+L12+M12</f>
        <v>185.81</v>
      </c>
      <c r="H12" s="61">
        <f>I12+J12+K12</f>
        <v>185.81</v>
      </c>
      <c r="I12" s="61">
        <f>D12-BL12</f>
        <v>185.81</v>
      </c>
      <c r="J12" s="61"/>
      <c r="K12" s="61"/>
      <c r="L12" s="61"/>
      <c r="M12" s="61"/>
      <c r="N12" s="61"/>
      <c r="O12" s="61">
        <f t="shared" si="3"/>
        <v>0</v>
      </c>
      <c r="P12" s="61"/>
      <c r="Q12" s="61"/>
      <c r="R12" s="61"/>
      <c r="S12" s="61">
        <v>3.42</v>
      </c>
      <c r="T12" s="61"/>
      <c r="U12" s="61"/>
      <c r="V12" s="61">
        <f>W12+X12+Y12+Z12+AA12+AB12+AC12+AD12+AE12+AQ12+AR12+AS12+AT12+AU12+AV12+AW12+AX12+AY12+AZ12+BA12+BB12+BC12+BD12+BE12+BF12+BG12</f>
        <v>1.45</v>
      </c>
      <c r="W12" s="61"/>
      <c r="X12" s="61"/>
      <c r="Y12" s="61"/>
      <c r="Z12" s="61"/>
      <c r="AA12" s="61"/>
      <c r="AB12" s="61"/>
      <c r="AC12" s="61"/>
      <c r="AD12" s="61"/>
      <c r="AE12" s="61">
        <f t="shared" ref="AE12:AE33" si="9">SUM(AF12:AP12)</f>
        <v>0.84</v>
      </c>
      <c r="AF12" s="61"/>
      <c r="AG12" s="61"/>
      <c r="AH12" s="61"/>
      <c r="AI12" s="61"/>
      <c r="AJ12" s="61"/>
      <c r="AK12" s="61"/>
      <c r="AL12" s="61">
        <v>0.84</v>
      </c>
      <c r="AM12" s="61"/>
      <c r="AN12" s="61"/>
      <c r="AO12" s="61"/>
      <c r="AP12" s="61"/>
      <c r="AQ12" s="61"/>
      <c r="AR12" s="61"/>
      <c r="AS12" s="61"/>
      <c r="AT12" s="61">
        <v>0.61</v>
      </c>
      <c r="AU12" s="61"/>
      <c r="AV12" s="61"/>
      <c r="AW12" s="61"/>
      <c r="AX12" s="61"/>
      <c r="AY12" s="61"/>
      <c r="AZ12" s="61"/>
      <c r="BA12" s="61"/>
      <c r="BB12" s="61"/>
      <c r="BC12" s="61"/>
      <c r="BD12" s="61"/>
      <c r="BE12" s="61"/>
      <c r="BF12" s="61"/>
      <c r="BG12" s="61"/>
      <c r="BH12" s="61">
        <f t="shared" ref="BH12:BH17" si="10">BI12+BJ12+BK12</f>
        <v>0</v>
      </c>
      <c r="BI12" s="61"/>
      <c r="BJ12" s="61"/>
      <c r="BK12" s="61"/>
      <c r="BL12" s="61">
        <f>J12+K12+L12+M12+N12+O12+S12+T12+U12+V12+BH12</f>
        <v>4.87</v>
      </c>
      <c r="BM12" s="61">
        <f>I67-BL12</f>
        <v>-4.87</v>
      </c>
      <c r="BN12" s="61">
        <f t="shared" ref="BN12:BN17" si="11">D12+BM12</f>
        <v>185.81</v>
      </c>
      <c r="BO12" s="123"/>
      <c r="BP12" s="117"/>
    </row>
    <row r="13" spans="1:68" ht="17.25" customHeight="1">
      <c r="A13" s="5" t="s">
        <v>215</v>
      </c>
      <c r="B13" s="72" t="s">
        <v>474</v>
      </c>
      <c r="C13" s="48" t="s">
        <v>195</v>
      </c>
      <c r="D13" s="61">
        <f>#REF!</f>
        <v>88.68</v>
      </c>
      <c r="E13" s="61">
        <f t="shared" si="4"/>
        <v>88.44</v>
      </c>
      <c r="F13" s="61">
        <f t="shared" si="6"/>
        <v>78.92</v>
      </c>
      <c r="G13" s="61">
        <f t="shared" si="8"/>
        <v>78.92</v>
      </c>
      <c r="H13" s="61">
        <f t="shared" ref="H13:H66" si="12">I13+J13+K13</f>
        <v>78.92</v>
      </c>
      <c r="I13" s="61"/>
      <c r="J13" s="61">
        <f>D13-BL13</f>
        <v>78.92</v>
      </c>
      <c r="K13" s="61"/>
      <c r="L13" s="61"/>
      <c r="M13" s="61"/>
      <c r="N13" s="61"/>
      <c r="O13" s="61">
        <f t="shared" si="3"/>
        <v>0</v>
      </c>
      <c r="P13" s="61"/>
      <c r="Q13" s="61"/>
      <c r="R13" s="61"/>
      <c r="S13" s="61">
        <v>9.52</v>
      </c>
      <c r="T13" s="61"/>
      <c r="U13" s="61"/>
      <c r="V13" s="61">
        <f t="shared" ref="V13:V66" si="13">W13+X13+Y13+Z13+AA13+AB13+AC13+AD13+AE13+AQ13+AR13+AS13+AT13+AU13+AV13+AW13+AX13+AY13+AZ13+BA13+BB13+BC13+BD13+BE13+BF13+BG13</f>
        <v>0.24</v>
      </c>
      <c r="W13" s="61"/>
      <c r="X13" s="61"/>
      <c r="Y13" s="61"/>
      <c r="Z13" s="61"/>
      <c r="AA13" s="61"/>
      <c r="AB13" s="61"/>
      <c r="AC13" s="61"/>
      <c r="AD13" s="61"/>
      <c r="AE13" s="61">
        <f t="shared" si="9"/>
        <v>0.24</v>
      </c>
      <c r="AF13" s="61"/>
      <c r="AG13" s="61"/>
      <c r="AH13" s="61"/>
      <c r="AI13" s="61"/>
      <c r="AJ13" s="61"/>
      <c r="AK13" s="61"/>
      <c r="AL13" s="61">
        <v>0.24</v>
      </c>
      <c r="AM13" s="61"/>
      <c r="AN13" s="61"/>
      <c r="AO13" s="61"/>
      <c r="AP13" s="61"/>
      <c r="AQ13" s="61"/>
      <c r="AR13" s="61"/>
      <c r="AS13" s="61"/>
      <c r="AT13" s="61"/>
      <c r="AU13" s="61"/>
      <c r="AV13" s="61"/>
      <c r="AW13" s="61"/>
      <c r="AX13" s="61"/>
      <c r="AY13" s="61"/>
      <c r="AZ13" s="61"/>
      <c r="BA13" s="61"/>
      <c r="BB13" s="61"/>
      <c r="BC13" s="61"/>
      <c r="BD13" s="61"/>
      <c r="BE13" s="61"/>
      <c r="BF13" s="61"/>
      <c r="BG13" s="61"/>
      <c r="BH13" s="61">
        <f t="shared" si="10"/>
        <v>0</v>
      </c>
      <c r="BI13" s="61"/>
      <c r="BJ13" s="61"/>
      <c r="BK13" s="61"/>
      <c r="BL13" s="61">
        <f>I13+K13+L13+M13+N13+O13+S13+T13+U13+V13+BH13</f>
        <v>9.76</v>
      </c>
      <c r="BM13" s="61">
        <f>J67-BL13</f>
        <v>-9.76</v>
      </c>
      <c r="BN13" s="61">
        <f t="shared" si="11"/>
        <v>78.92</v>
      </c>
      <c r="BO13" s="123"/>
      <c r="BP13" s="117"/>
    </row>
    <row r="14" spans="1:68" ht="19.5" hidden="1" customHeight="1">
      <c r="A14" s="5" t="s">
        <v>216</v>
      </c>
      <c r="B14" s="72" t="s">
        <v>475</v>
      </c>
      <c r="C14" s="48" t="s">
        <v>196</v>
      </c>
      <c r="D14" s="61"/>
      <c r="E14" s="61">
        <f t="shared" si="4"/>
        <v>0</v>
      </c>
      <c r="F14" s="61">
        <f t="shared" si="6"/>
        <v>0</v>
      </c>
      <c r="G14" s="61">
        <f t="shared" si="8"/>
        <v>0</v>
      </c>
      <c r="H14" s="61">
        <f t="shared" si="12"/>
        <v>0</v>
      </c>
      <c r="I14" s="61"/>
      <c r="J14" s="61"/>
      <c r="K14" s="61">
        <f>D14-BL14</f>
        <v>0</v>
      </c>
      <c r="L14" s="61"/>
      <c r="M14" s="61"/>
      <c r="N14" s="61"/>
      <c r="O14" s="61">
        <f t="shared" si="3"/>
        <v>0</v>
      </c>
      <c r="P14" s="61"/>
      <c r="Q14" s="61"/>
      <c r="R14" s="61"/>
      <c r="S14" s="61"/>
      <c r="T14" s="61"/>
      <c r="U14" s="61"/>
      <c r="V14" s="61">
        <f t="shared" si="13"/>
        <v>0</v>
      </c>
      <c r="W14" s="61"/>
      <c r="X14" s="61"/>
      <c r="Y14" s="61"/>
      <c r="Z14" s="61"/>
      <c r="AA14" s="61"/>
      <c r="AB14" s="61"/>
      <c r="AC14" s="61"/>
      <c r="AD14" s="61"/>
      <c r="AE14" s="61">
        <f t="shared" si="9"/>
        <v>0</v>
      </c>
      <c r="AF14" s="61"/>
      <c r="AG14" s="61"/>
      <c r="AH14" s="61"/>
      <c r="AI14" s="61"/>
      <c r="AJ14" s="61"/>
      <c r="AK14" s="61"/>
      <c r="AL14" s="61"/>
      <c r="AM14" s="61"/>
      <c r="AN14" s="61"/>
      <c r="AO14" s="61"/>
      <c r="AP14" s="61"/>
      <c r="AQ14" s="61"/>
      <c r="AR14" s="61"/>
      <c r="AS14" s="61"/>
      <c r="AT14" s="61"/>
      <c r="AU14" s="61"/>
      <c r="AV14" s="61"/>
      <c r="AW14" s="61"/>
      <c r="AX14" s="61"/>
      <c r="AY14" s="61"/>
      <c r="AZ14" s="61"/>
      <c r="BA14" s="61"/>
      <c r="BB14" s="61"/>
      <c r="BC14" s="61"/>
      <c r="BD14" s="61"/>
      <c r="BE14" s="61"/>
      <c r="BF14" s="61"/>
      <c r="BG14" s="61"/>
      <c r="BH14" s="61">
        <f t="shared" si="10"/>
        <v>0</v>
      </c>
      <c r="BI14" s="61"/>
      <c r="BJ14" s="61"/>
      <c r="BK14" s="61"/>
      <c r="BL14" s="61">
        <f>I14+J14+L14+M14+N14+O14+S14+T14+U14+V14+BH14</f>
        <v>0</v>
      </c>
      <c r="BM14" s="61">
        <f>K67-BL14</f>
        <v>0</v>
      </c>
      <c r="BN14" s="61">
        <f t="shared" si="11"/>
        <v>0</v>
      </c>
      <c r="BO14" s="123"/>
      <c r="BP14" s="117"/>
    </row>
    <row r="15" spans="1:68" ht="19.5" hidden="1" customHeight="1">
      <c r="A15" s="5" t="s">
        <v>217</v>
      </c>
      <c r="B15" s="72" t="s">
        <v>476</v>
      </c>
      <c r="C15" s="48" t="s">
        <v>197</v>
      </c>
      <c r="D15" s="61"/>
      <c r="E15" s="61">
        <f t="shared" si="4"/>
        <v>0</v>
      </c>
      <c r="F15" s="61">
        <f t="shared" si="6"/>
        <v>0</v>
      </c>
      <c r="G15" s="61">
        <f t="shared" si="8"/>
        <v>0</v>
      </c>
      <c r="H15" s="61">
        <f t="shared" si="12"/>
        <v>0</v>
      </c>
      <c r="I15" s="61"/>
      <c r="J15" s="61"/>
      <c r="K15" s="61"/>
      <c r="L15" s="61">
        <f>D15-BL15</f>
        <v>0</v>
      </c>
      <c r="M15" s="61"/>
      <c r="N15" s="61"/>
      <c r="O15" s="61">
        <f t="shared" si="3"/>
        <v>0</v>
      </c>
      <c r="P15" s="61"/>
      <c r="Q15" s="61"/>
      <c r="R15" s="61"/>
      <c r="S15" s="61"/>
      <c r="T15" s="61"/>
      <c r="U15" s="61"/>
      <c r="V15" s="61">
        <f t="shared" si="13"/>
        <v>0</v>
      </c>
      <c r="W15" s="61"/>
      <c r="X15" s="61"/>
      <c r="Y15" s="61"/>
      <c r="Z15" s="61"/>
      <c r="AA15" s="61"/>
      <c r="AB15" s="61"/>
      <c r="AC15" s="61"/>
      <c r="AD15" s="61"/>
      <c r="AE15" s="61">
        <f t="shared" si="9"/>
        <v>0</v>
      </c>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f t="shared" si="10"/>
        <v>0</v>
      </c>
      <c r="BI15" s="61"/>
      <c r="BJ15" s="61"/>
      <c r="BK15" s="61"/>
      <c r="BL15" s="61">
        <f>H15+M15+N15+O15+S15+T15+U15+V15+BH15</f>
        <v>0</v>
      </c>
      <c r="BM15" s="61">
        <f>L67-BL15</f>
        <v>0</v>
      </c>
      <c r="BN15" s="61">
        <f t="shared" si="11"/>
        <v>0</v>
      </c>
      <c r="BO15" s="123"/>
      <c r="BP15" s="117"/>
    </row>
    <row r="16" spans="1:68" ht="20.100000000000001" customHeight="1">
      <c r="A16" s="5" t="s">
        <v>218</v>
      </c>
      <c r="B16" s="72" t="s">
        <v>22</v>
      </c>
      <c r="C16" s="48" t="s">
        <v>23</v>
      </c>
      <c r="D16" s="61">
        <f>#REF!</f>
        <v>58.82</v>
      </c>
      <c r="E16" s="61">
        <f t="shared" si="4"/>
        <v>58.400000000000006</v>
      </c>
      <c r="F16" s="61">
        <f t="shared" si="6"/>
        <v>52.09</v>
      </c>
      <c r="G16" s="61">
        <f t="shared" si="8"/>
        <v>52.09</v>
      </c>
      <c r="H16" s="61">
        <f t="shared" si="12"/>
        <v>0</v>
      </c>
      <c r="I16" s="61"/>
      <c r="J16" s="61"/>
      <c r="K16" s="61"/>
      <c r="L16" s="61"/>
      <c r="M16" s="61">
        <f>D16-BL16</f>
        <v>52.09</v>
      </c>
      <c r="N16" s="61"/>
      <c r="O16" s="61">
        <f t="shared" si="3"/>
        <v>0</v>
      </c>
      <c r="P16" s="61"/>
      <c r="Q16" s="61"/>
      <c r="R16" s="61"/>
      <c r="S16" s="61">
        <v>6.31</v>
      </c>
      <c r="T16" s="61"/>
      <c r="U16" s="61"/>
      <c r="V16" s="61">
        <f t="shared" si="13"/>
        <v>0.42000000000000004</v>
      </c>
      <c r="W16" s="61"/>
      <c r="X16" s="61"/>
      <c r="Y16" s="61"/>
      <c r="Z16" s="61"/>
      <c r="AA16" s="61"/>
      <c r="AB16" s="61"/>
      <c r="AC16" s="61"/>
      <c r="AD16" s="61"/>
      <c r="AE16" s="61">
        <f t="shared" si="9"/>
        <v>0.16</v>
      </c>
      <c r="AF16" s="61"/>
      <c r="AG16" s="61"/>
      <c r="AH16" s="61"/>
      <c r="AI16" s="61"/>
      <c r="AJ16" s="61"/>
      <c r="AK16" s="61"/>
      <c r="AL16" s="61">
        <v>0.16</v>
      </c>
      <c r="AM16" s="61"/>
      <c r="AN16" s="61"/>
      <c r="AO16" s="61"/>
      <c r="AP16" s="61"/>
      <c r="AQ16" s="61"/>
      <c r="AR16" s="61"/>
      <c r="AS16" s="61"/>
      <c r="AT16" s="61">
        <v>0.26</v>
      </c>
      <c r="AU16" s="61"/>
      <c r="AV16" s="61"/>
      <c r="AW16" s="61"/>
      <c r="AX16" s="61"/>
      <c r="AY16" s="61"/>
      <c r="AZ16" s="61"/>
      <c r="BA16" s="61"/>
      <c r="BB16" s="61"/>
      <c r="BC16" s="61"/>
      <c r="BD16" s="61"/>
      <c r="BE16" s="61"/>
      <c r="BF16" s="61"/>
      <c r="BG16" s="61"/>
      <c r="BH16" s="61">
        <f t="shared" si="10"/>
        <v>0</v>
      </c>
      <c r="BI16" s="61"/>
      <c r="BJ16" s="61"/>
      <c r="BK16" s="61"/>
      <c r="BL16" s="61">
        <f>H16+L16+N16+S16+T16+U16+V16+BH16</f>
        <v>6.7299999999999995</v>
      </c>
      <c r="BM16" s="61">
        <f>M67-BL16</f>
        <v>-6.7299999999999995</v>
      </c>
      <c r="BN16" s="61">
        <f t="shared" si="11"/>
        <v>52.09</v>
      </c>
      <c r="BO16" s="123"/>
      <c r="BP16" s="117"/>
    </row>
    <row r="17" spans="1:68" ht="18.75" customHeight="1">
      <c r="A17" s="5" t="s">
        <v>219</v>
      </c>
      <c r="B17" s="72" t="s">
        <v>25</v>
      </c>
      <c r="C17" s="48" t="s">
        <v>26</v>
      </c>
      <c r="D17" s="61">
        <f>#REF!</f>
        <v>76.13</v>
      </c>
      <c r="E17" s="61">
        <f t="shared" si="4"/>
        <v>75.13</v>
      </c>
      <c r="F17" s="61">
        <f t="shared" si="6"/>
        <v>75.13</v>
      </c>
      <c r="G17" s="61">
        <f t="shared" si="8"/>
        <v>0</v>
      </c>
      <c r="H17" s="61">
        <f t="shared" si="12"/>
        <v>0</v>
      </c>
      <c r="I17" s="61"/>
      <c r="J17" s="61"/>
      <c r="K17" s="61"/>
      <c r="L17" s="61"/>
      <c r="M17" s="61"/>
      <c r="N17" s="61">
        <f>D17-BL17</f>
        <v>75.13</v>
      </c>
      <c r="O17" s="61">
        <f t="shared" si="3"/>
        <v>0</v>
      </c>
      <c r="P17" s="61"/>
      <c r="Q17" s="61"/>
      <c r="R17" s="61"/>
      <c r="S17" s="61"/>
      <c r="T17" s="61"/>
      <c r="U17" s="61"/>
      <c r="V17" s="61">
        <f t="shared" si="13"/>
        <v>1</v>
      </c>
      <c r="W17" s="61"/>
      <c r="X17" s="61"/>
      <c r="Y17" s="61"/>
      <c r="Z17" s="61"/>
      <c r="AA17" s="61"/>
      <c r="AB17" s="61"/>
      <c r="AC17" s="61"/>
      <c r="AD17" s="61"/>
      <c r="AE17" s="61">
        <f t="shared" si="9"/>
        <v>0</v>
      </c>
      <c r="AF17" s="61"/>
      <c r="AG17" s="61"/>
      <c r="AH17" s="61"/>
      <c r="AI17" s="61"/>
      <c r="AJ17" s="61"/>
      <c r="AK17" s="61"/>
      <c r="AL17" s="61"/>
      <c r="AM17" s="61"/>
      <c r="AN17" s="61"/>
      <c r="AO17" s="61"/>
      <c r="AP17" s="61"/>
      <c r="AQ17" s="61"/>
      <c r="AR17" s="61"/>
      <c r="AS17" s="61"/>
      <c r="AT17" s="61">
        <v>1</v>
      </c>
      <c r="AU17" s="61"/>
      <c r="AV17" s="61"/>
      <c r="AW17" s="61"/>
      <c r="AX17" s="61"/>
      <c r="AY17" s="61"/>
      <c r="AZ17" s="61"/>
      <c r="BA17" s="61"/>
      <c r="BB17" s="61"/>
      <c r="BC17" s="61"/>
      <c r="BD17" s="61"/>
      <c r="BE17" s="61"/>
      <c r="BF17" s="61"/>
      <c r="BG17" s="61"/>
      <c r="BH17" s="61">
        <f t="shared" si="10"/>
        <v>0</v>
      </c>
      <c r="BI17" s="61"/>
      <c r="BJ17" s="61"/>
      <c r="BK17" s="61"/>
      <c r="BL17" s="61">
        <f>H17+L17+M17+O17+S17+T17+U17+V17+BH17</f>
        <v>1</v>
      </c>
      <c r="BM17" s="61">
        <f>N67-BL17</f>
        <v>-1</v>
      </c>
      <c r="BN17" s="61">
        <f t="shared" si="11"/>
        <v>75.13</v>
      </c>
      <c r="BO17" s="123"/>
      <c r="BP17" s="117"/>
    </row>
    <row r="18" spans="1:68" ht="19.5" hidden="1" customHeight="1">
      <c r="A18" s="5" t="s">
        <v>21</v>
      </c>
      <c r="B18" s="72" t="s">
        <v>477</v>
      </c>
      <c r="C18" s="48" t="s">
        <v>198</v>
      </c>
      <c r="D18" s="61">
        <f>D19+D20+D21</f>
        <v>1919.8000000000002</v>
      </c>
      <c r="E18" s="61">
        <f t="shared" si="4"/>
        <v>1906.14</v>
      </c>
      <c r="F18" s="61">
        <f t="shared" si="6"/>
        <v>0</v>
      </c>
      <c r="G18" s="61">
        <f t="shared" si="8"/>
        <v>0</v>
      </c>
      <c r="H18" s="61">
        <f t="shared" si="12"/>
        <v>0</v>
      </c>
      <c r="I18" s="61">
        <f t="shared" ref="I18:N18" si="14">I19+I20+I21</f>
        <v>0</v>
      </c>
      <c r="J18" s="61">
        <f t="shared" si="14"/>
        <v>0</v>
      </c>
      <c r="K18" s="61">
        <f t="shared" si="14"/>
        <v>0</v>
      </c>
      <c r="L18" s="61">
        <f t="shared" si="14"/>
        <v>0</v>
      </c>
      <c r="M18" s="61">
        <f t="shared" si="14"/>
        <v>0</v>
      </c>
      <c r="N18" s="61">
        <f t="shared" si="14"/>
        <v>0</v>
      </c>
      <c r="O18" s="61">
        <f>D18-BL18</f>
        <v>1901.38</v>
      </c>
      <c r="P18" s="61">
        <f t="shared" ref="P18:BG18" si="15">P19+P20+P21</f>
        <v>888.55000000000007</v>
      </c>
      <c r="Q18" s="61">
        <f t="shared" si="15"/>
        <v>0</v>
      </c>
      <c r="R18" s="61">
        <f t="shared" si="15"/>
        <v>1012.83</v>
      </c>
      <c r="S18" s="61">
        <f t="shared" si="15"/>
        <v>4.76</v>
      </c>
      <c r="T18" s="61">
        <f t="shared" si="15"/>
        <v>0</v>
      </c>
      <c r="U18" s="61">
        <f t="shared" si="15"/>
        <v>0</v>
      </c>
      <c r="V18" s="61">
        <f t="shared" si="15"/>
        <v>13.66</v>
      </c>
      <c r="W18" s="61">
        <f t="shared" si="15"/>
        <v>0</v>
      </c>
      <c r="X18" s="61">
        <f t="shared" si="15"/>
        <v>0</v>
      </c>
      <c r="Y18" s="61">
        <f t="shared" si="15"/>
        <v>0</v>
      </c>
      <c r="Z18" s="61">
        <f t="shared" si="15"/>
        <v>0</v>
      </c>
      <c r="AA18" s="61">
        <f t="shared" si="15"/>
        <v>0</v>
      </c>
      <c r="AB18" s="61">
        <f t="shared" si="15"/>
        <v>0</v>
      </c>
      <c r="AC18" s="61">
        <f t="shared" si="15"/>
        <v>0</v>
      </c>
      <c r="AD18" s="61">
        <f t="shared" si="15"/>
        <v>0</v>
      </c>
      <c r="AE18" s="61">
        <f t="shared" si="15"/>
        <v>9.26</v>
      </c>
      <c r="AF18" s="61">
        <f t="shared" si="15"/>
        <v>0</v>
      </c>
      <c r="AG18" s="61">
        <f t="shared" si="15"/>
        <v>0</v>
      </c>
      <c r="AH18" s="61">
        <f t="shared" si="15"/>
        <v>0</v>
      </c>
      <c r="AI18" s="61">
        <f t="shared" si="15"/>
        <v>0</v>
      </c>
      <c r="AJ18" s="61">
        <f t="shared" si="15"/>
        <v>0</v>
      </c>
      <c r="AK18" s="61">
        <f t="shared" si="15"/>
        <v>0</v>
      </c>
      <c r="AL18" s="61">
        <f t="shared" si="15"/>
        <v>9.26</v>
      </c>
      <c r="AM18" s="61">
        <f t="shared" si="15"/>
        <v>0</v>
      </c>
      <c r="AN18" s="61">
        <f t="shared" si="15"/>
        <v>0</v>
      </c>
      <c r="AO18" s="61">
        <f t="shared" si="15"/>
        <v>0</v>
      </c>
      <c r="AP18" s="61">
        <f t="shared" si="15"/>
        <v>0</v>
      </c>
      <c r="AQ18" s="61">
        <f t="shared" si="15"/>
        <v>0</v>
      </c>
      <c r="AR18" s="61">
        <f t="shared" si="15"/>
        <v>0</v>
      </c>
      <c r="AS18" s="61">
        <f t="shared" si="15"/>
        <v>4.4000000000000004</v>
      </c>
      <c r="AT18" s="61">
        <f t="shared" si="15"/>
        <v>0</v>
      </c>
      <c r="AU18" s="61">
        <f t="shared" si="15"/>
        <v>0</v>
      </c>
      <c r="AV18" s="61">
        <f t="shared" si="15"/>
        <v>0</v>
      </c>
      <c r="AW18" s="61">
        <f t="shared" si="15"/>
        <v>0</v>
      </c>
      <c r="AX18" s="61">
        <f t="shared" si="15"/>
        <v>0</v>
      </c>
      <c r="AY18" s="61">
        <f t="shared" si="15"/>
        <v>0</v>
      </c>
      <c r="AZ18" s="61">
        <f t="shared" si="15"/>
        <v>0</v>
      </c>
      <c r="BA18" s="61">
        <f t="shared" si="15"/>
        <v>0</v>
      </c>
      <c r="BB18" s="61">
        <f t="shared" si="15"/>
        <v>0</v>
      </c>
      <c r="BC18" s="61">
        <f t="shared" si="15"/>
        <v>0</v>
      </c>
      <c r="BD18" s="61">
        <f t="shared" si="15"/>
        <v>0</v>
      </c>
      <c r="BE18" s="61">
        <f t="shared" si="15"/>
        <v>0</v>
      </c>
      <c r="BF18" s="61">
        <f t="shared" si="15"/>
        <v>0</v>
      </c>
      <c r="BG18" s="61">
        <f t="shared" si="15"/>
        <v>0</v>
      </c>
      <c r="BH18" s="61">
        <f>BH19+BH20+BH21</f>
        <v>0</v>
      </c>
      <c r="BI18" s="61">
        <f>BI19+BI20+BI21</f>
        <v>0</v>
      </c>
      <c r="BJ18" s="61">
        <f>BJ19+BJ20+BJ21</f>
        <v>0</v>
      </c>
      <c r="BK18" s="61">
        <f>BK19+BK20+BK21</f>
        <v>0</v>
      </c>
      <c r="BL18" s="61">
        <f>F18+S18+T18+U18+BH18+V18</f>
        <v>18.420000000000002</v>
      </c>
      <c r="BM18" s="61">
        <f>O67-BL18</f>
        <v>-18.420000000000002</v>
      </c>
      <c r="BN18" s="61">
        <f>BN19+BN20+BN21</f>
        <v>1901.38</v>
      </c>
      <c r="BO18" s="123"/>
      <c r="BP18" s="117"/>
    </row>
    <row r="19" spans="1:68" ht="20.100000000000001" customHeight="1">
      <c r="A19" s="5" t="s">
        <v>182</v>
      </c>
      <c r="B19" s="72" t="s">
        <v>28</v>
      </c>
      <c r="C19" s="48" t="s">
        <v>29</v>
      </c>
      <c r="D19" s="61">
        <f>#REF!</f>
        <v>896.23</v>
      </c>
      <c r="E19" s="61">
        <f>F19+O19+S19+T19+U19</f>
        <v>888.55000000000007</v>
      </c>
      <c r="F19" s="61">
        <f>G19+N19</f>
        <v>0</v>
      </c>
      <c r="G19" s="61">
        <f>H19+L19+M19</f>
        <v>0</v>
      </c>
      <c r="H19" s="61">
        <f t="shared" si="12"/>
        <v>0</v>
      </c>
      <c r="I19" s="61"/>
      <c r="J19" s="61"/>
      <c r="K19" s="61"/>
      <c r="L19" s="61"/>
      <c r="M19" s="61"/>
      <c r="N19" s="61"/>
      <c r="O19" s="61">
        <f t="shared" ref="O19:O24" si="16">P19+Q19+R19</f>
        <v>888.55000000000007</v>
      </c>
      <c r="P19" s="61">
        <f>D19-BL19</f>
        <v>888.55000000000007</v>
      </c>
      <c r="Q19" s="61"/>
      <c r="R19" s="61"/>
      <c r="S19" s="61"/>
      <c r="T19" s="61"/>
      <c r="U19" s="61"/>
      <c r="V19" s="61">
        <f t="shared" si="13"/>
        <v>7.68</v>
      </c>
      <c r="W19" s="61"/>
      <c r="X19" s="61"/>
      <c r="Y19" s="61"/>
      <c r="Z19" s="61"/>
      <c r="AA19" s="61"/>
      <c r="AB19" s="61"/>
      <c r="AC19" s="61"/>
      <c r="AD19" s="61"/>
      <c r="AE19" s="61">
        <f t="shared" si="9"/>
        <v>3.28</v>
      </c>
      <c r="AF19" s="61"/>
      <c r="AG19" s="61"/>
      <c r="AH19" s="61"/>
      <c r="AI19" s="61"/>
      <c r="AJ19" s="61"/>
      <c r="AK19" s="61"/>
      <c r="AL19" s="61">
        <v>3.28</v>
      </c>
      <c r="AM19" s="61"/>
      <c r="AN19" s="61"/>
      <c r="AO19" s="61"/>
      <c r="AP19" s="61"/>
      <c r="AQ19" s="61"/>
      <c r="AR19" s="61"/>
      <c r="AS19" s="61">
        <v>4.4000000000000004</v>
      </c>
      <c r="AT19" s="61"/>
      <c r="AU19" s="61"/>
      <c r="AV19" s="61"/>
      <c r="AW19" s="61"/>
      <c r="AX19" s="61"/>
      <c r="AY19" s="61"/>
      <c r="AZ19" s="61"/>
      <c r="BA19" s="61"/>
      <c r="BB19" s="61"/>
      <c r="BC19" s="61"/>
      <c r="BD19" s="61"/>
      <c r="BE19" s="61"/>
      <c r="BF19" s="61"/>
      <c r="BG19" s="61"/>
      <c r="BH19" s="61">
        <f t="shared" ref="BH19:BH24" si="17">BI19+BJ19+BK19</f>
        <v>0</v>
      </c>
      <c r="BI19" s="61"/>
      <c r="BJ19" s="61"/>
      <c r="BK19" s="61"/>
      <c r="BL19" s="61">
        <f>F19+Q19+R19+S19+T19+U19+V19+BH19</f>
        <v>7.68</v>
      </c>
      <c r="BM19" s="61">
        <f>P67-BL19</f>
        <v>-7.68</v>
      </c>
      <c r="BN19" s="61">
        <f t="shared" ref="BN19:BN24" si="18">D19+BM19</f>
        <v>888.55000000000007</v>
      </c>
      <c r="BO19" s="123"/>
      <c r="BP19" s="117"/>
    </row>
    <row r="20" spans="1:68" ht="20.100000000000001" customHeight="1">
      <c r="A20" s="5" t="s">
        <v>183</v>
      </c>
      <c r="B20" s="72" t="s">
        <v>31</v>
      </c>
      <c r="C20" s="48" t="s">
        <v>32</v>
      </c>
      <c r="D20" s="61"/>
      <c r="E20" s="61">
        <f t="shared" si="4"/>
        <v>0</v>
      </c>
      <c r="F20" s="61">
        <f t="shared" si="6"/>
        <v>0</v>
      </c>
      <c r="G20" s="61">
        <f t="shared" si="8"/>
        <v>0</v>
      </c>
      <c r="H20" s="61">
        <f t="shared" si="12"/>
        <v>0</v>
      </c>
      <c r="I20" s="61"/>
      <c r="J20" s="61"/>
      <c r="K20" s="61"/>
      <c r="L20" s="61"/>
      <c r="M20" s="61"/>
      <c r="N20" s="61"/>
      <c r="O20" s="61">
        <f t="shared" si="16"/>
        <v>0</v>
      </c>
      <c r="P20" s="61"/>
      <c r="Q20" s="61">
        <f>D20-BL20</f>
        <v>0</v>
      </c>
      <c r="R20" s="61"/>
      <c r="S20" s="61"/>
      <c r="T20" s="61"/>
      <c r="U20" s="61"/>
      <c r="V20" s="61">
        <f t="shared" si="13"/>
        <v>0</v>
      </c>
      <c r="W20" s="61"/>
      <c r="X20" s="61"/>
      <c r="Y20" s="61"/>
      <c r="Z20" s="61"/>
      <c r="AA20" s="61"/>
      <c r="AB20" s="61"/>
      <c r="AC20" s="61"/>
      <c r="AD20" s="61"/>
      <c r="AE20" s="61">
        <f t="shared" si="9"/>
        <v>0</v>
      </c>
      <c r="AF20" s="61"/>
      <c r="AG20" s="61"/>
      <c r="AH20" s="61"/>
      <c r="AI20" s="61"/>
      <c r="AJ20" s="61"/>
      <c r="AK20" s="61"/>
      <c r="AL20" s="61"/>
      <c r="AM20" s="61"/>
      <c r="AN20" s="61"/>
      <c r="AO20" s="61"/>
      <c r="AP20" s="61"/>
      <c r="AQ20" s="61"/>
      <c r="AR20" s="61"/>
      <c r="AS20" s="61"/>
      <c r="AT20" s="61"/>
      <c r="AU20" s="61"/>
      <c r="AV20" s="61"/>
      <c r="AW20" s="61"/>
      <c r="AX20" s="61"/>
      <c r="AY20" s="61"/>
      <c r="AZ20" s="61"/>
      <c r="BA20" s="61"/>
      <c r="BB20" s="61"/>
      <c r="BC20" s="61"/>
      <c r="BD20" s="61"/>
      <c r="BE20" s="61"/>
      <c r="BF20" s="61"/>
      <c r="BG20" s="61"/>
      <c r="BH20" s="61">
        <f t="shared" si="17"/>
        <v>0</v>
      </c>
      <c r="BI20" s="61"/>
      <c r="BJ20" s="61"/>
      <c r="BK20" s="61"/>
      <c r="BL20" s="61">
        <f>F20+P20+R20+S20+T20+U20+V20+BH20</f>
        <v>0</v>
      </c>
      <c r="BM20" s="61">
        <f>Q67-BL20</f>
        <v>0</v>
      </c>
      <c r="BN20" s="61">
        <f t="shared" si="18"/>
        <v>0</v>
      </c>
      <c r="BO20" s="123"/>
      <c r="BP20" s="117"/>
    </row>
    <row r="21" spans="1:68" ht="20.100000000000001" customHeight="1">
      <c r="A21" s="5" t="s">
        <v>184</v>
      </c>
      <c r="B21" s="72" t="s">
        <v>34</v>
      </c>
      <c r="C21" s="48" t="s">
        <v>35</v>
      </c>
      <c r="D21" s="61">
        <f>#REF!</f>
        <v>1023.57</v>
      </c>
      <c r="E21" s="61">
        <f t="shared" si="4"/>
        <v>1017.59</v>
      </c>
      <c r="F21" s="61">
        <f>G21+N21</f>
        <v>0</v>
      </c>
      <c r="G21" s="61">
        <f t="shared" si="8"/>
        <v>0</v>
      </c>
      <c r="H21" s="61">
        <f t="shared" si="12"/>
        <v>0</v>
      </c>
      <c r="I21" s="61"/>
      <c r="J21" s="61"/>
      <c r="K21" s="61"/>
      <c r="L21" s="61"/>
      <c r="M21" s="61"/>
      <c r="N21" s="61"/>
      <c r="O21" s="61">
        <f t="shared" si="16"/>
        <v>1012.83</v>
      </c>
      <c r="P21" s="61"/>
      <c r="Q21" s="61"/>
      <c r="R21" s="61">
        <f>D21-BL21</f>
        <v>1012.83</v>
      </c>
      <c r="S21" s="61">
        <v>4.76</v>
      </c>
      <c r="T21" s="61"/>
      <c r="U21" s="61"/>
      <c r="V21" s="61">
        <f t="shared" si="13"/>
        <v>5.98</v>
      </c>
      <c r="W21" s="61"/>
      <c r="X21" s="61"/>
      <c r="Y21" s="61"/>
      <c r="Z21" s="61"/>
      <c r="AA21" s="61"/>
      <c r="AB21" s="61"/>
      <c r="AC21" s="61"/>
      <c r="AD21" s="61"/>
      <c r="AE21" s="61">
        <f t="shared" si="9"/>
        <v>5.98</v>
      </c>
      <c r="AF21" s="61"/>
      <c r="AG21" s="61"/>
      <c r="AH21" s="61"/>
      <c r="AI21" s="61"/>
      <c r="AJ21" s="61"/>
      <c r="AK21" s="61"/>
      <c r="AL21" s="61">
        <v>5.98</v>
      </c>
      <c r="AM21" s="61"/>
      <c r="AN21" s="61"/>
      <c r="AO21" s="61"/>
      <c r="AP21" s="61"/>
      <c r="AQ21" s="61"/>
      <c r="AR21" s="61"/>
      <c r="AS21" s="61"/>
      <c r="AT21" s="61"/>
      <c r="AU21" s="61"/>
      <c r="AV21" s="61"/>
      <c r="AW21" s="61"/>
      <c r="AX21" s="61"/>
      <c r="AY21" s="61"/>
      <c r="AZ21" s="61"/>
      <c r="BA21" s="61"/>
      <c r="BB21" s="61"/>
      <c r="BC21" s="61"/>
      <c r="BD21" s="61"/>
      <c r="BE21" s="61"/>
      <c r="BF21" s="61"/>
      <c r="BG21" s="61"/>
      <c r="BH21" s="61">
        <f t="shared" si="17"/>
        <v>0</v>
      </c>
      <c r="BI21" s="61"/>
      <c r="BJ21" s="61"/>
      <c r="BK21" s="61"/>
      <c r="BL21" s="61">
        <f>F21+P21+Q21+S21+T21+U21+V21+BH21</f>
        <v>10.74</v>
      </c>
      <c r="BM21" s="61">
        <f>R67-BL21</f>
        <v>-10.74</v>
      </c>
      <c r="BN21" s="61">
        <f t="shared" si="18"/>
        <v>1012.83</v>
      </c>
      <c r="BO21" s="123"/>
      <c r="BP21" s="117"/>
    </row>
    <row r="22" spans="1:68" ht="18.75" customHeight="1">
      <c r="A22" s="5" t="s">
        <v>24</v>
      </c>
      <c r="B22" s="72" t="s">
        <v>37</v>
      </c>
      <c r="C22" s="48" t="s">
        <v>38</v>
      </c>
      <c r="D22" s="61">
        <f>#REF!</f>
        <v>142.43</v>
      </c>
      <c r="E22" s="61">
        <f>F22+O22+S22+T22+U22</f>
        <v>141.19</v>
      </c>
      <c r="F22" s="61">
        <f t="shared" si="6"/>
        <v>0</v>
      </c>
      <c r="G22" s="61">
        <f t="shared" si="8"/>
        <v>0</v>
      </c>
      <c r="H22" s="61">
        <f t="shared" si="12"/>
        <v>0</v>
      </c>
      <c r="I22" s="61"/>
      <c r="J22" s="61"/>
      <c r="K22" s="61"/>
      <c r="L22" s="61"/>
      <c r="M22" s="61"/>
      <c r="N22" s="61"/>
      <c r="O22" s="61">
        <f t="shared" si="16"/>
        <v>0</v>
      </c>
      <c r="P22" s="61"/>
      <c r="Q22" s="61"/>
      <c r="R22" s="61"/>
      <c r="S22" s="61">
        <f>D22-BL22</f>
        <v>141.19</v>
      </c>
      <c r="T22" s="61"/>
      <c r="U22" s="61"/>
      <c r="V22" s="61">
        <f t="shared" si="13"/>
        <v>1.24</v>
      </c>
      <c r="W22" s="61"/>
      <c r="X22" s="61"/>
      <c r="Y22" s="61"/>
      <c r="Z22" s="61"/>
      <c r="AA22" s="61"/>
      <c r="AB22" s="61"/>
      <c r="AC22" s="61"/>
      <c r="AD22" s="61"/>
      <c r="AE22" s="61">
        <f t="shared" si="9"/>
        <v>0.25</v>
      </c>
      <c r="AF22" s="61"/>
      <c r="AG22" s="61"/>
      <c r="AH22" s="61"/>
      <c r="AI22" s="61"/>
      <c r="AJ22" s="61"/>
      <c r="AK22" s="61"/>
      <c r="AL22" s="61">
        <v>0.25</v>
      </c>
      <c r="AM22" s="61"/>
      <c r="AN22" s="61"/>
      <c r="AO22" s="61"/>
      <c r="AP22" s="61"/>
      <c r="AQ22" s="61"/>
      <c r="AR22" s="61"/>
      <c r="AS22" s="61"/>
      <c r="AT22" s="61">
        <v>0.99</v>
      </c>
      <c r="AU22" s="61"/>
      <c r="AV22" s="61"/>
      <c r="AW22" s="61"/>
      <c r="AX22" s="61"/>
      <c r="AY22" s="61"/>
      <c r="AZ22" s="61"/>
      <c r="BA22" s="61"/>
      <c r="BB22" s="61"/>
      <c r="BC22" s="61"/>
      <c r="BD22" s="61"/>
      <c r="BE22" s="61"/>
      <c r="BF22" s="61"/>
      <c r="BG22" s="61"/>
      <c r="BH22" s="61">
        <f t="shared" si="17"/>
        <v>0</v>
      </c>
      <c r="BI22" s="61"/>
      <c r="BJ22" s="61"/>
      <c r="BK22" s="61"/>
      <c r="BL22" s="61">
        <f>G22+O22+T22+U22+V22+BH22</f>
        <v>1.24</v>
      </c>
      <c r="BM22" s="61">
        <f>S67-BL22</f>
        <v>31.23</v>
      </c>
      <c r="BN22" s="61">
        <f t="shared" si="18"/>
        <v>173.66</v>
      </c>
      <c r="BO22" s="123"/>
      <c r="BP22" s="117"/>
    </row>
    <row r="23" spans="1:68" ht="20.25" customHeight="1">
      <c r="A23" s="5" t="s">
        <v>27</v>
      </c>
      <c r="B23" s="72" t="s">
        <v>40</v>
      </c>
      <c r="C23" s="48" t="s">
        <v>41</v>
      </c>
      <c r="D23" s="61"/>
      <c r="E23" s="61">
        <f t="shared" si="4"/>
        <v>0</v>
      </c>
      <c r="F23" s="61">
        <f t="shared" si="6"/>
        <v>0</v>
      </c>
      <c r="G23" s="61">
        <f t="shared" si="8"/>
        <v>0</v>
      </c>
      <c r="H23" s="61">
        <f t="shared" si="12"/>
        <v>0</v>
      </c>
      <c r="I23" s="61"/>
      <c r="J23" s="61"/>
      <c r="K23" s="61"/>
      <c r="L23" s="61"/>
      <c r="M23" s="61"/>
      <c r="N23" s="61"/>
      <c r="O23" s="61">
        <f t="shared" si="16"/>
        <v>0</v>
      </c>
      <c r="P23" s="61"/>
      <c r="Q23" s="61"/>
      <c r="R23" s="61"/>
      <c r="S23" s="61"/>
      <c r="T23" s="61">
        <f>D23-BL23</f>
        <v>0</v>
      </c>
      <c r="U23" s="61"/>
      <c r="V23" s="61">
        <f t="shared" si="13"/>
        <v>0</v>
      </c>
      <c r="W23" s="61"/>
      <c r="X23" s="61"/>
      <c r="Y23" s="61"/>
      <c r="Z23" s="61"/>
      <c r="AA23" s="61"/>
      <c r="AB23" s="61"/>
      <c r="AC23" s="61"/>
      <c r="AD23" s="61"/>
      <c r="AE23" s="61">
        <f t="shared" si="9"/>
        <v>0</v>
      </c>
      <c r="AF23" s="61"/>
      <c r="AG23" s="61"/>
      <c r="AH23" s="61"/>
      <c r="AI23" s="61"/>
      <c r="AJ23" s="61"/>
      <c r="AK23" s="61"/>
      <c r="AL23" s="61"/>
      <c r="AM23" s="61"/>
      <c r="AN23" s="61"/>
      <c r="AO23" s="61"/>
      <c r="AP23" s="61"/>
      <c r="AQ23" s="61"/>
      <c r="AR23" s="61"/>
      <c r="AS23" s="61"/>
      <c r="AT23" s="61"/>
      <c r="AU23" s="61"/>
      <c r="AV23" s="61"/>
      <c r="AW23" s="61"/>
      <c r="AX23" s="61"/>
      <c r="AY23" s="61"/>
      <c r="AZ23" s="61"/>
      <c r="BA23" s="61"/>
      <c r="BB23" s="61"/>
      <c r="BC23" s="61"/>
      <c r="BD23" s="61"/>
      <c r="BE23" s="61"/>
      <c r="BF23" s="61"/>
      <c r="BG23" s="61"/>
      <c r="BH23" s="61">
        <f t="shared" si="17"/>
        <v>0</v>
      </c>
      <c r="BI23" s="61"/>
      <c r="BJ23" s="61"/>
      <c r="BK23" s="61"/>
      <c r="BL23" s="61">
        <f>F23+O23+S23+U23+V23+BH23</f>
        <v>0</v>
      </c>
      <c r="BM23" s="61">
        <f>T67-BL23</f>
        <v>0</v>
      </c>
      <c r="BN23" s="61">
        <f t="shared" si="18"/>
        <v>0</v>
      </c>
      <c r="BO23" s="123"/>
      <c r="BP23" s="117"/>
    </row>
    <row r="24" spans="1:68" ht="20.100000000000001" customHeight="1">
      <c r="A24" s="5" t="s">
        <v>30</v>
      </c>
      <c r="B24" s="72" t="s">
        <v>43</v>
      </c>
      <c r="C24" s="48" t="s">
        <v>44</v>
      </c>
      <c r="D24" s="61"/>
      <c r="E24" s="61">
        <f t="shared" si="4"/>
        <v>0</v>
      </c>
      <c r="F24" s="61">
        <f t="shared" si="6"/>
        <v>0</v>
      </c>
      <c r="G24" s="61">
        <f t="shared" si="8"/>
        <v>0</v>
      </c>
      <c r="H24" s="61">
        <f t="shared" si="12"/>
        <v>0</v>
      </c>
      <c r="I24" s="61"/>
      <c r="J24" s="61"/>
      <c r="K24" s="61"/>
      <c r="L24" s="61"/>
      <c r="M24" s="61"/>
      <c r="N24" s="61"/>
      <c r="O24" s="61">
        <f t="shared" si="16"/>
        <v>0</v>
      </c>
      <c r="P24" s="61"/>
      <c r="Q24" s="61"/>
      <c r="R24" s="61"/>
      <c r="S24" s="61"/>
      <c r="T24" s="61"/>
      <c r="U24" s="61">
        <f>D24-BL24</f>
        <v>0</v>
      </c>
      <c r="V24" s="61">
        <f t="shared" si="13"/>
        <v>0</v>
      </c>
      <c r="W24" s="61"/>
      <c r="X24" s="61"/>
      <c r="Y24" s="61"/>
      <c r="Z24" s="61"/>
      <c r="AA24" s="61"/>
      <c r="AB24" s="61"/>
      <c r="AC24" s="61"/>
      <c r="AD24" s="61"/>
      <c r="AE24" s="61">
        <f t="shared" si="9"/>
        <v>0</v>
      </c>
      <c r="AF24" s="61"/>
      <c r="AG24" s="61"/>
      <c r="AH24" s="61"/>
      <c r="AI24" s="61"/>
      <c r="AJ24" s="61"/>
      <c r="AK24" s="61"/>
      <c r="AL24" s="61"/>
      <c r="AM24" s="61"/>
      <c r="AN24" s="61"/>
      <c r="AO24" s="61"/>
      <c r="AP24" s="61"/>
      <c r="AQ24" s="61"/>
      <c r="AR24" s="61"/>
      <c r="AS24" s="61"/>
      <c r="AT24" s="61"/>
      <c r="AU24" s="61"/>
      <c r="AV24" s="61"/>
      <c r="AW24" s="61"/>
      <c r="AX24" s="61"/>
      <c r="AY24" s="61"/>
      <c r="AZ24" s="61"/>
      <c r="BA24" s="61"/>
      <c r="BB24" s="61"/>
      <c r="BC24" s="61"/>
      <c r="BD24" s="61"/>
      <c r="BE24" s="61"/>
      <c r="BF24" s="61"/>
      <c r="BG24" s="61"/>
      <c r="BH24" s="61">
        <f t="shared" si="17"/>
        <v>0</v>
      </c>
      <c r="BI24" s="61"/>
      <c r="BJ24" s="61"/>
      <c r="BK24" s="61"/>
      <c r="BL24" s="61">
        <f>F24+O24+S24+T24+BH24</f>
        <v>0</v>
      </c>
      <c r="BM24" s="61">
        <f>U67-BL24</f>
        <v>0</v>
      </c>
      <c r="BN24" s="61">
        <f t="shared" si="18"/>
        <v>0</v>
      </c>
      <c r="BO24" s="123"/>
      <c r="BP24" s="117"/>
    </row>
    <row r="25" spans="1:68" s="115" customFormat="1" ht="25.5" customHeight="1">
      <c r="A25" s="6">
        <v>2</v>
      </c>
      <c r="B25" s="109" t="s">
        <v>45</v>
      </c>
      <c r="C25" s="114" t="s">
        <v>46</v>
      </c>
      <c r="D25" s="461">
        <f>D26+D27+D28+D29+D30+D31+D32+D33+D34+D46+D47+D48+D49+D50+D51+D52+D53+D54+D55+D56+D57+D58+D59+D60+D61+D62</f>
        <v>527.94949999999994</v>
      </c>
      <c r="E25" s="461">
        <f>E26+E27+E28+E29+E30+E31+E32+E33+E34+E46+E47+E48+E49+E50+E51+E52+E53+E54+E55+E56+E57+E58+E59+E60+E61+E62</f>
        <v>3.88</v>
      </c>
      <c r="F25" s="461">
        <f t="shared" ref="F25:U25" si="19">F26+F27+F28+F29+F30+F31+F32+F33+F34+F46+F47+F48+F49+F50+F51+F52+F53+F54+F55+F56+F57+F58+F59+F60+F61+F62</f>
        <v>0</v>
      </c>
      <c r="G25" s="461">
        <f t="shared" si="19"/>
        <v>0</v>
      </c>
      <c r="H25" s="461">
        <f t="shared" si="19"/>
        <v>0</v>
      </c>
      <c r="I25" s="461">
        <f t="shared" si="19"/>
        <v>0</v>
      </c>
      <c r="J25" s="461">
        <f t="shared" si="19"/>
        <v>0</v>
      </c>
      <c r="K25" s="461">
        <f t="shared" si="19"/>
        <v>0</v>
      </c>
      <c r="L25" s="461">
        <f t="shared" si="19"/>
        <v>0</v>
      </c>
      <c r="M25" s="461">
        <f t="shared" si="19"/>
        <v>0</v>
      </c>
      <c r="N25" s="461">
        <f t="shared" si="19"/>
        <v>0</v>
      </c>
      <c r="O25" s="461">
        <f t="shared" si="19"/>
        <v>0</v>
      </c>
      <c r="P25" s="461">
        <f t="shared" si="19"/>
        <v>0</v>
      </c>
      <c r="Q25" s="461">
        <f t="shared" si="19"/>
        <v>0</v>
      </c>
      <c r="R25" s="461">
        <f t="shared" si="19"/>
        <v>0</v>
      </c>
      <c r="S25" s="461">
        <f t="shared" si="19"/>
        <v>3.88</v>
      </c>
      <c r="T25" s="461">
        <f t="shared" si="19"/>
        <v>0</v>
      </c>
      <c r="U25" s="461">
        <f t="shared" si="19"/>
        <v>0</v>
      </c>
      <c r="V25" s="461">
        <f>D25-BL25</f>
        <v>524.06949999999995</v>
      </c>
      <c r="W25" s="461">
        <f>W26+W27+W28+W29+W30+W31+W32+W33+W34+W46+W47+W48+W49+W50+W51+W52+W53+W54+W55+W56+W57+W58+W59+W60+W61+W62</f>
        <v>3.71</v>
      </c>
      <c r="X25" s="461">
        <f t="shared" ref="X25:BK25" si="20">X26+X27+X28+X29+X30+X31+X32+X33+X34+X46+X47+X48+X49+X50+X51+X52+X53+X54+X55+X56+X57+X58+X59+X60+X61+X62</f>
        <v>0</v>
      </c>
      <c r="Y25" s="461">
        <f t="shared" si="20"/>
        <v>0</v>
      </c>
      <c r="Z25" s="461">
        <f t="shared" si="20"/>
        <v>0</v>
      </c>
      <c r="AA25" s="461">
        <f t="shared" si="20"/>
        <v>0</v>
      </c>
      <c r="AB25" s="461">
        <f t="shared" si="20"/>
        <v>6.18</v>
      </c>
      <c r="AC25" s="461">
        <f t="shared" si="20"/>
        <v>12.18</v>
      </c>
      <c r="AD25" s="461">
        <f t="shared" si="20"/>
        <v>0</v>
      </c>
      <c r="AE25" s="461">
        <f t="shared" si="20"/>
        <v>150.77999999999997</v>
      </c>
      <c r="AF25" s="461">
        <f t="shared" si="20"/>
        <v>0.6</v>
      </c>
      <c r="AG25" s="461">
        <f t="shared" si="20"/>
        <v>0.08</v>
      </c>
      <c r="AH25" s="461">
        <f t="shared" si="20"/>
        <v>5</v>
      </c>
      <c r="AI25" s="461">
        <f t="shared" si="20"/>
        <v>1.57</v>
      </c>
      <c r="AJ25" s="461">
        <f t="shared" si="20"/>
        <v>0</v>
      </c>
      <c r="AK25" s="461">
        <f t="shared" si="20"/>
        <v>0</v>
      </c>
      <c r="AL25" s="461">
        <f t="shared" si="20"/>
        <v>125.7</v>
      </c>
      <c r="AM25" s="461">
        <f t="shared" si="20"/>
        <v>17.29</v>
      </c>
      <c r="AN25" s="461">
        <f t="shared" si="20"/>
        <v>0.03</v>
      </c>
      <c r="AO25" s="461">
        <f t="shared" si="20"/>
        <v>0.51</v>
      </c>
      <c r="AP25" s="461">
        <f t="shared" si="20"/>
        <v>0</v>
      </c>
      <c r="AQ25" s="461">
        <f t="shared" si="20"/>
        <v>0</v>
      </c>
      <c r="AR25" s="461">
        <f t="shared" si="20"/>
        <v>0</v>
      </c>
      <c r="AS25" s="461">
        <f t="shared" si="20"/>
        <v>0</v>
      </c>
      <c r="AT25" s="461">
        <f t="shared" si="20"/>
        <v>46.449999999999996</v>
      </c>
      <c r="AU25" s="461">
        <f t="shared" si="20"/>
        <v>0</v>
      </c>
      <c r="AV25" s="461">
        <f t="shared" si="20"/>
        <v>4.47</v>
      </c>
      <c r="AW25" s="461">
        <f t="shared" si="20"/>
        <v>0</v>
      </c>
      <c r="AX25" s="461">
        <f t="shared" si="20"/>
        <v>0</v>
      </c>
      <c r="AY25" s="461">
        <f t="shared" si="20"/>
        <v>0</v>
      </c>
      <c r="AZ25" s="461">
        <f t="shared" si="20"/>
        <v>10.59</v>
      </c>
      <c r="BA25" s="461">
        <f t="shared" si="20"/>
        <v>5.9494999999999996</v>
      </c>
      <c r="BB25" s="461">
        <f t="shared" si="20"/>
        <v>1.6</v>
      </c>
      <c r="BC25" s="461">
        <f t="shared" si="20"/>
        <v>0</v>
      </c>
      <c r="BD25" s="461">
        <f t="shared" si="20"/>
        <v>0.66</v>
      </c>
      <c r="BE25" s="461">
        <f t="shared" si="20"/>
        <v>247.7</v>
      </c>
      <c r="BF25" s="461">
        <f t="shared" si="20"/>
        <v>33.799999999999997</v>
      </c>
      <c r="BG25" s="461">
        <f t="shared" si="20"/>
        <v>0</v>
      </c>
      <c r="BH25" s="461">
        <f t="shared" si="20"/>
        <v>0</v>
      </c>
      <c r="BI25" s="461">
        <f t="shared" si="20"/>
        <v>0</v>
      </c>
      <c r="BJ25" s="461">
        <f t="shared" si="20"/>
        <v>0</v>
      </c>
      <c r="BK25" s="461">
        <f t="shared" si="20"/>
        <v>0</v>
      </c>
      <c r="BL25" s="461">
        <f>E25+BH25</f>
        <v>3.88</v>
      </c>
      <c r="BM25" s="461">
        <f>BM26+BM27+BM28+BM29+BM30+BM31+BM32+BM33+BM34+BM46+BM47+BM48+BM49+BM50+BM51+BM52+BM53+BM54+BM55+BM56+BM57+BM58+BM59+BM60+BM61+BM62</f>
        <v>16.93</v>
      </c>
      <c r="BN25" s="461">
        <f>BN26+BN27+BN28+BN29+BN30+BN31+BN32+BN33+BN34+BN46+BN47+BN48+BN49+BN50+BN51+BN52+BN53+BN54+BN55+BN56+BN57+BN58+BN59+BN60+BN61+BN62</f>
        <v>544.87950000000001</v>
      </c>
      <c r="BO25" s="123"/>
      <c r="BP25" s="117"/>
    </row>
    <row r="26" spans="1:68" ht="20.100000000000001" customHeight="1">
      <c r="A26" s="20" t="s">
        <v>47</v>
      </c>
      <c r="B26" s="110" t="s">
        <v>48</v>
      </c>
      <c r="C26" s="48" t="s">
        <v>49</v>
      </c>
      <c r="D26" s="61">
        <f>#REF!</f>
        <v>3.71</v>
      </c>
      <c r="E26" s="61">
        <f t="shared" si="4"/>
        <v>0</v>
      </c>
      <c r="F26" s="61">
        <f>G26+N26</f>
        <v>0</v>
      </c>
      <c r="G26" s="61">
        <f t="shared" si="8"/>
        <v>0</v>
      </c>
      <c r="H26" s="61">
        <f t="shared" si="12"/>
        <v>0</v>
      </c>
      <c r="I26" s="61"/>
      <c r="J26" s="61"/>
      <c r="K26" s="61"/>
      <c r="L26" s="61"/>
      <c r="M26" s="61"/>
      <c r="N26" s="61"/>
      <c r="O26" s="61"/>
      <c r="P26" s="61"/>
      <c r="Q26" s="61"/>
      <c r="R26" s="61"/>
      <c r="S26" s="61"/>
      <c r="T26" s="61"/>
      <c r="U26" s="61"/>
      <c r="V26" s="61">
        <f t="shared" si="13"/>
        <v>3.71</v>
      </c>
      <c r="W26" s="61">
        <f>D26-BL26</f>
        <v>3.71</v>
      </c>
      <c r="X26" s="61"/>
      <c r="Y26" s="61"/>
      <c r="Z26" s="61"/>
      <c r="AA26" s="61"/>
      <c r="AB26" s="61"/>
      <c r="AC26" s="61"/>
      <c r="AD26" s="61"/>
      <c r="AE26" s="61">
        <f t="shared" si="9"/>
        <v>0</v>
      </c>
      <c r="AF26" s="61"/>
      <c r="AG26" s="61"/>
      <c r="AH26" s="61"/>
      <c r="AI26" s="61"/>
      <c r="AJ26" s="61"/>
      <c r="AK26" s="61"/>
      <c r="AL26" s="61"/>
      <c r="AM26" s="61"/>
      <c r="AN26" s="61"/>
      <c r="AO26" s="61"/>
      <c r="AP26" s="61"/>
      <c r="AQ26" s="61"/>
      <c r="AR26" s="61"/>
      <c r="AS26" s="61"/>
      <c r="AT26" s="61"/>
      <c r="AU26" s="61"/>
      <c r="AV26" s="61"/>
      <c r="AW26" s="61"/>
      <c r="AX26" s="61"/>
      <c r="AY26" s="61"/>
      <c r="AZ26" s="61"/>
      <c r="BA26" s="61"/>
      <c r="BB26" s="61"/>
      <c r="BC26" s="61"/>
      <c r="BD26" s="61"/>
      <c r="BE26" s="61"/>
      <c r="BF26" s="61"/>
      <c r="BG26" s="61"/>
      <c r="BH26" s="61">
        <f>BI26+BJ26+BK26</f>
        <v>0</v>
      </c>
      <c r="BI26" s="61"/>
      <c r="BJ26" s="61"/>
      <c r="BK26" s="61"/>
      <c r="BL26" s="61">
        <f>X26+Y26+Z26+AA26+AB26+AC26+AD26+AE26+AQ26+AR26+AS26+AT26+AU26+AV26+AW26+AX26+AY26+AZ26+BA26+BB26+BC26+BD26+BE26+BF26+BG26+BH26</f>
        <v>0</v>
      </c>
      <c r="BM26" s="61">
        <f>W67-BL26</f>
        <v>0</v>
      </c>
      <c r="BN26" s="61">
        <f>D26+BM26</f>
        <v>3.71</v>
      </c>
      <c r="BO26" s="123"/>
      <c r="BP26" s="117"/>
    </row>
    <row r="27" spans="1:68" ht="20.100000000000001" customHeight="1">
      <c r="A27" s="20" t="s">
        <v>50</v>
      </c>
      <c r="B27" s="110" t="s">
        <v>51</v>
      </c>
      <c r="C27" s="48" t="s">
        <v>52</v>
      </c>
      <c r="D27" s="61"/>
      <c r="E27" s="61">
        <f t="shared" si="4"/>
        <v>0</v>
      </c>
      <c r="F27" s="61">
        <f t="shared" ref="F27:F66" si="21">G27+N27</f>
        <v>0</v>
      </c>
      <c r="G27" s="61">
        <f t="shared" si="8"/>
        <v>0</v>
      </c>
      <c r="H27" s="61">
        <f t="shared" si="12"/>
        <v>0</v>
      </c>
      <c r="I27" s="61"/>
      <c r="J27" s="61"/>
      <c r="K27" s="61"/>
      <c r="L27" s="61"/>
      <c r="M27" s="61"/>
      <c r="N27" s="61"/>
      <c r="O27" s="61"/>
      <c r="P27" s="61"/>
      <c r="Q27" s="61"/>
      <c r="R27" s="61"/>
      <c r="S27" s="61"/>
      <c r="T27" s="61"/>
      <c r="U27" s="61"/>
      <c r="V27" s="61">
        <f t="shared" si="13"/>
        <v>0</v>
      </c>
      <c r="W27" s="61"/>
      <c r="X27" s="61">
        <f>D27-BL27</f>
        <v>0</v>
      </c>
      <c r="Y27" s="61"/>
      <c r="Z27" s="61"/>
      <c r="AA27" s="61"/>
      <c r="AB27" s="61"/>
      <c r="AC27" s="61"/>
      <c r="AD27" s="61"/>
      <c r="AE27" s="61">
        <f t="shared" si="9"/>
        <v>0</v>
      </c>
      <c r="AF27" s="61"/>
      <c r="AG27" s="61"/>
      <c r="AH27" s="61"/>
      <c r="AI27" s="61"/>
      <c r="AJ27" s="61"/>
      <c r="AK27" s="61"/>
      <c r="AL27" s="61"/>
      <c r="AM27" s="61"/>
      <c r="AN27" s="61"/>
      <c r="AO27" s="61"/>
      <c r="AP27" s="61"/>
      <c r="AQ27" s="61"/>
      <c r="AR27" s="61"/>
      <c r="AS27" s="61"/>
      <c r="AT27" s="61"/>
      <c r="AU27" s="61"/>
      <c r="AV27" s="61"/>
      <c r="AW27" s="61"/>
      <c r="AX27" s="61"/>
      <c r="AY27" s="61"/>
      <c r="AZ27" s="61"/>
      <c r="BA27" s="61"/>
      <c r="BB27" s="61"/>
      <c r="BC27" s="61"/>
      <c r="BD27" s="61"/>
      <c r="BE27" s="61"/>
      <c r="BF27" s="61"/>
      <c r="BG27" s="61"/>
      <c r="BH27" s="61">
        <f t="shared" ref="BH27:BH62" si="22">BI27+BJ27+BK27</f>
        <v>0</v>
      </c>
      <c r="BI27" s="61"/>
      <c r="BJ27" s="61"/>
      <c r="BK27" s="61"/>
      <c r="BL27" s="61">
        <f>F27+W27+Y27+Z27+AA27+AB27+AC27+AD27+AE27+AQ27+AR27+AS27+AT27+AU27+AV27+AW27+AX27+AY27+AZ27+BA27+BB27+BC27+BD27+BE27+BF27+BG27+BH27</f>
        <v>0</v>
      </c>
      <c r="BM27" s="61">
        <f>X67-BL27</f>
        <v>0</v>
      </c>
      <c r="BN27" s="61">
        <f t="shared" ref="BN27:BN33" si="23">D27+BM27</f>
        <v>0</v>
      </c>
      <c r="BO27" s="123"/>
      <c r="BP27" s="117"/>
    </row>
    <row r="28" spans="1:68" ht="20.100000000000001" customHeight="1">
      <c r="A28" s="20" t="s">
        <v>53</v>
      </c>
      <c r="B28" s="110" t="s">
        <v>54</v>
      </c>
      <c r="C28" s="48" t="s">
        <v>55</v>
      </c>
      <c r="D28" s="61"/>
      <c r="E28" s="61">
        <f t="shared" si="4"/>
        <v>0</v>
      </c>
      <c r="F28" s="61">
        <f t="shared" si="21"/>
        <v>0</v>
      </c>
      <c r="G28" s="61">
        <f t="shared" si="8"/>
        <v>0</v>
      </c>
      <c r="H28" s="61">
        <f t="shared" si="12"/>
        <v>0</v>
      </c>
      <c r="I28" s="61"/>
      <c r="J28" s="61"/>
      <c r="K28" s="61"/>
      <c r="L28" s="61"/>
      <c r="M28" s="61"/>
      <c r="N28" s="61"/>
      <c r="O28" s="61"/>
      <c r="P28" s="61"/>
      <c r="Q28" s="61"/>
      <c r="R28" s="61"/>
      <c r="S28" s="61"/>
      <c r="T28" s="61"/>
      <c r="U28" s="61"/>
      <c r="V28" s="61">
        <f t="shared" si="13"/>
        <v>0</v>
      </c>
      <c r="W28" s="61"/>
      <c r="X28" s="61"/>
      <c r="Y28" s="61">
        <f>D28-BL28</f>
        <v>0</v>
      </c>
      <c r="Z28" s="61"/>
      <c r="AA28" s="61"/>
      <c r="AB28" s="61"/>
      <c r="AC28" s="61"/>
      <c r="AD28" s="61"/>
      <c r="AE28" s="61">
        <f t="shared" si="9"/>
        <v>0</v>
      </c>
      <c r="AF28" s="61"/>
      <c r="AG28" s="61"/>
      <c r="AH28" s="61"/>
      <c r="AI28" s="61"/>
      <c r="AJ28" s="61"/>
      <c r="AK28" s="61"/>
      <c r="AL28" s="61"/>
      <c r="AM28" s="61"/>
      <c r="AN28" s="61"/>
      <c r="AO28" s="61"/>
      <c r="AP28" s="61"/>
      <c r="AQ28" s="61"/>
      <c r="AR28" s="61"/>
      <c r="AS28" s="61"/>
      <c r="AT28" s="61"/>
      <c r="AU28" s="61"/>
      <c r="AV28" s="61"/>
      <c r="AW28" s="61"/>
      <c r="AX28" s="61"/>
      <c r="AY28" s="61"/>
      <c r="AZ28" s="61"/>
      <c r="BA28" s="61"/>
      <c r="BB28" s="61"/>
      <c r="BC28" s="61"/>
      <c r="BD28" s="61"/>
      <c r="BE28" s="61"/>
      <c r="BF28" s="61"/>
      <c r="BG28" s="61"/>
      <c r="BH28" s="61">
        <f t="shared" si="22"/>
        <v>0</v>
      </c>
      <c r="BI28" s="61"/>
      <c r="BJ28" s="61"/>
      <c r="BK28" s="61"/>
      <c r="BL28" s="61">
        <f>E28+W28+X28+Z28+AA28+AB28+AC28+AD28+AE28+AQ28+AR28+AS28+AT28+AU28+AV28+AW28+AX28+AY28+AZ28+BA28+BB28+BC28+BD28+BE28+BF28+BG28+BH28</f>
        <v>0</v>
      </c>
      <c r="BM28" s="61">
        <f>Y67-BL28</f>
        <v>0</v>
      </c>
      <c r="BN28" s="61">
        <f t="shared" si="23"/>
        <v>0</v>
      </c>
      <c r="BO28" s="123"/>
      <c r="BP28" s="117"/>
    </row>
    <row r="29" spans="1:68" ht="20.100000000000001" customHeight="1">
      <c r="A29" s="20" t="s">
        <v>56</v>
      </c>
      <c r="B29" s="110" t="s">
        <v>57</v>
      </c>
      <c r="C29" s="48" t="s">
        <v>58</v>
      </c>
      <c r="D29" s="61"/>
      <c r="E29" s="61">
        <f t="shared" si="4"/>
        <v>0</v>
      </c>
      <c r="F29" s="61">
        <f t="shared" si="21"/>
        <v>0</v>
      </c>
      <c r="G29" s="61">
        <f t="shared" si="8"/>
        <v>0</v>
      </c>
      <c r="H29" s="61">
        <f t="shared" si="12"/>
        <v>0</v>
      </c>
      <c r="I29" s="61"/>
      <c r="J29" s="61"/>
      <c r="K29" s="61"/>
      <c r="L29" s="61"/>
      <c r="M29" s="61"/>
      <c r="N29" s="61"/>
      <c r="O29" s="61"/>
      <c r="P29" s="61"/>
      <c r="Q29" s="61"/>
      <c r="R29" s="61"/>
      <c r="S29" s="61"/>
      <c r="T29" s="61"/>
      <c r="U29" s="61"/>
      <c r="V29" s="61">
        <f t="shared" si="13"/>
        <v>0</v>
      </c>
      <c r="W29" s="61"/>
      <c r="X29" s="61"/>
      <c r="Y29" s="61"/>
      <c r="Z29" s="61">
        <f>D29-BL29</f>
        <v>0</v>
      </c>
      <c r="AA29" s="61"/>
      <c r="AB29" s="61"/>
      <c r="AC29" s="61"/>
      <c r="AD29" s="61"/>
      <c r="AE29" s="61">
        <f t="shared" si="9"/>
        <v>0</v>
      </c>
      <c r="AF29" s="61"/>
      <c r="AG29" s="61"/>
      <c r="AH29" s="61"/>
      <c r="AI29" s="61"/>
      <c r="AJ29" s="61"/>
      <c r="AK29" s="61"/>
      <c r="AL29" s="61"/>
      <c r="AM29" s="61"/>
      <c r="AN29" s="61"/>
      <c r="AO29" s="61"/>
      <c r="AP29" s="61"/>
      <c r="AQ29" s="61"/>
      <c r="AR29" s="61"/>
      <c r="AS29" s="61"/>
      <c r="AT29" s="61"/>
      <c r="AU29" s="61"/>
      <c r="AV29" s="61"/>
      <c r="AW29" s="61"/>
      <c r="AX29" s="61"/>
      <c r="AY29" s="61"/>
      <c r="AZ29" s="61"/>
      <c r="BA29" s="61"/>
      <c r="BB29" s="61"/>
      <c r="BC29" s="61"/>
      <c r="BD29" s="61"/>
      <c r="BE29" s="61"/>
      <c r="BF29" s="61"/>
      <c r="BG29" s="61"/>
      <c r="BH29" s="61">
        <f t="shared" si="22"/>
        <v>0</v>
      </c>
      <c r="BI29" s="61"/>
      <c r="BJ29" s="61"/>
      <c r="BK29" s="61"/>
      <c r="BL29" s="61">
        <f>E29+W29+X29+Y29+AA29+AB29+AC29+AD29+AE29+AQ29+AR29+AS29+AT29+AU29+AV29+AW29+AX29+AY29+AZ29+BA29+BB29+BC29+BD29+BE29+BF29+BG29+BH29</f>
        <v>0</v>
      </c>
      <c r="BM29" s="61">
        <f>Z67-BL29</f>
        <v>0</v>
      </c>
      <c r="BN29" s="61">
        <f t="shared" si="23"/>
        <v>0</v>
      </c>
      <c r="BO29" s="123"/>
      <c r="BP29" s="117"/>
    </row>
    <row r="30" spans="1:68" ht="20.100000000000001" customHeight="1">
      <c r="A30" s="20" t="s">
        <v>59</v>
      </c>
      <c r="B30" s="110" t="s">
        <v>60</v>
      </c>
      <c r="C30" s="48" t="s">
        <v>61</v>
      </c>
      <c r="D30" s="61"/>
      <c r="E30" s="61">
        <f t="shared" si="4"/>
        <v>0</v>
      </c>
      <c r="F30" s="61">
        <f t="shared" si="21"/>
        <v>0</v>
      </c>
      <c r="G30" s="61">
        <f t="shared" si="8"/>
        <v>0</v>
      </c>
      <c r="H30" s="61">
        <f t="shared" si="12"/>
        <v>0</v>
      </c>
      <c r="I30" s="61"/>
      <c r="J30" s="61"/>
      <c r="K30" s="61"/>
      <c r="L30" s="61"/>
      <c r="M30" s="61"/>
      <c r="N30" s="61"/>
      <c r="O30" s="61"/>
      <c r="P30" s="61"/>
      <c r="Q30" s="61"/>
      <c r="R30" s="61"/>
      <c r="S30" s="61"/>
      <c r="T30" s="61"/>
      <c r="U30" s="61"/>
      <c r="V30" s="61">
        <f t="shared" si="13"/>
        <v>0</v>
      </c>
      <c r="W30" s="61"/>
      <c r="X30" s="61"/>
      <c r="Y30" s="61"/>
      <c r="Z30" s="61"/>
      <c r="AA30" s="61">
        <f>D30-BL30</f>
        <v>0</v>
      </c>
      <c r="AB30" s="61"/>
      <c r="AC30" s="61"/>
      <c r="AD30" s="61"/>
      <c r="AE30" s="61">
        <f t="shared" si="9"/>
        <v>0</v>
      </c>
      <c r="AF30" s="61"/>
      <c r="AG30" s="61"/>
      <c r="AH30" s="61"/>
      <c r="AI30" s="61"/>
      <c r="AJ30" s="61"/>
      <c r="AK30" s="61"/>
      <c r="AL30" s="61"/>
      <c r="AM30" s="61"/>
      <c r="AN30" s="61"/>
      <c r="AO30" s="61"/>
      <c r="AP30" s="61"/>
      <c r="AQ30" s="61"/>
      <c r="AR30" s="61"/>
      <c r="AS30" s="61"/>
      <c r="AT30" s="61"/>
      <c r="AU30" s="61"/>
      <c r="AV30" s="61"/>
      <c r="AW30" s="61"/>
      <c r="AX30" s="61"/>
      <c r="AY30" s="61"/>
      <c r="AZ30" s="61"/>
      <c r="BA30" s="61"/>
      <c r="BB30" s="61"/>
      <c r="BC30" s="61"/>
      <c r="BD30" s="61"/>
      <c r="BE30" s="61"/>
      <c r="BF30" s="61"/>
      <c r="BG30" s="61"/>
      <c r="BH30" s="61">
        <f t="shared" si="22"/>
        <v>0</v>
      </c>
      <c r="BI30" s="61"/>
      <c r="BJ30" s="61"/>
      <c r="BK30" s="61"/>
      <c r="BL30" s="61">
        <f>E30+W30+X30+Y30+Z30+AB30+AC30+AD30+AE30+AQ30+AR30+AS30+AT30+AU30+AV30+AW30+AX30+AY30+AZ30+BA30+BB30+BC30+BD30+BE30+BF30+BG30+BH30</f>
        <v>0</v>
      </c>
      <c r="BM30" s="61">
        <f>AA67-BL30</f>
        <v>0</v>
      </c>
      <c r="BN30" s="61">
        <f t="shared" si="23"/>
        <v>0</v>
      </c>
      <c r="BO30" s="123"/>
      <c r="BP30" s="117"/>
    </row>
    <row r="31" spans="1:68" ht="20.100000000000001" customHeight="1">
      <c r="A31" s="20" t="s">
        <v>62</v>
      </c>
      <c r="B31" s="110" t="s">
        <v>63</v>
      </c>
      <c r="C31" s="48" t="s">
        <v>64</v>
      </c>
      <c r="D31" s="61">
        <f>#REF!</f>
        <v>6.18</v>
      </c>
      <c r="E31" s="61">
        <f t="shared" si="4"/>
        <v>0</v>
      </c>
      <c r="F31" s="61">
        <f t="shared" si="21"/>
        <v>0</v>
      </c>
      <c r="G31" s="61">
        <f t="shared" si="8"/>
        <v>0</v>
      </c>
      <c r="H31" s="61">
        <f t="shared" si="12"/>
        <v>0</v>
      </c>
      <c r="I31" s="61"/>
      <c r="J31" s="61"/>
      <c r="K31" s="61"/>
      <c r="L31" s="61"/>
      <c r="M31" s="61"/>
      <c r="N31" s="61"/>
      <c r="O31" s="61"/>
      <c r="P31" s="61"/>
      <c r="Q31" s="61"/>
      <c r="R31" s="61"/>
      <c r="S31" s="61"/>
      <c r="T31" s="61"/>
      <c r="U31" s="61"/>
      <c r="V31" s="61">
        <f>W31+X31+Y31+Z31+AA31+AB31+AC31+AD31+AE31+AQ31+AR31+AS31+AT31+AU31+AV31+AW31+AX31+AY31+AZ31+BA31+BB31+BC31+BD31+BE31+BF31+BG31</f>
        <v>6.18</v>
      </c>
      <c r="W31" s="61"/>
      <c r="X31" s="61"/>
      <c r="Y31" s="61"/>
      <c r="Z31" s="61"/>
      <c r="AA31" s="61"/>
      <c r="AB31" s="61">
        <f>D31-BL31</f>
        <v>6.18</v>
      </c>
      <c r="AC31" s="61"/>
      <c r="AD31" s="61"/>
      <c r="AE31" s="61">
        <f t="shared" si="9"/>
        <v>0</v>
      </c>
      <c r="AF31" s="61"/>
      <c r="AG31" s="61"/>
      <c r="AH31" s="61"/>
      <c r="AI31" s="61"/>
      <c r="AJ31" s="61"/>
      <c r="AK31" s="61"/>
      <c r="AL31" s="61"/>
      <c r="AM31" s="61"/>
      <c r="AN31" s="61"/>
      <c r="AO31" s="61"/>
      <c r="AP31" s="61"/>
      <c r="AQ31" s="61"/>
      <c r="AR31" s="61"/>
      <c r="AS31" s="61"/>
      <c r="AT31" s="61"/>
      <c r="AU31" s="61"/>
      <c r="AV31" s="61"/>
      <c r="AW31" s="61"/>
      <c r="AX31" s="61"/>
      <c r="AY31" s="61"/>
      <c r="AZ31" s="61"/>
      <c r="BA31" s="61"/>
      <c r="BB31" s="61"/>
      <c r="BC31" s="61"/>
      <c r="BD31" s="61"/>
      <c r="BE31" s="61"/>
      <c r="BF31" s="61"/>
      <c r="BG31" s="61"/>
      <c r="BH31" s="61">
        <f>BI31+BJ31+BK31</f>
        <v>0</v>
      </c>
      <c r="BI31" s="61"/>
      <c r="BJ31" s="61"/>
      <c r="BK31" s="61"/>
      <c r="BL31" s="61">
        <f>E31+W31+X31+Y31+Z31+AA31+AC31+AD31+AE31+AQ31+AR31+AS31+AT31+AU31+AV31+AW31+AX31+AY31+AZ31+BA31+BB31+BC31+BD31+BE31+BF31+BG31+BH31</f>
        <v>0</v>
      </c>
      <c r="BM31" s="61">
        <f>AB67-BL31</f>
        <v>0</v>
      </c>
      <c r="BN31" s="61">
        <f t="shared" si="23"/>
        <v>6.18</v>
      </c>
      <c r="BO31" s="123"/>
      <c r="BP31" s="117"/>
    </row>
    <row r="32" spans="1:68" ht="20.100000000000001" customHeight="1">
      <c r="A32" s="20" t="s">
        <v>65</v>
      </c>
      <c r="B32" s="110" t="s">
        <v>66</v>
      </c>
      <c r="C32" s="48" t="s">
        <v>67</v>
      </c>
      <c r="D32" s="61">
        <f>#REF!</f>
        <v>12.18</v>
      </c>
      <c r="E32" s="61">
        <f t="shared" si="4"/>
        <v>0</v>
      </c>
      <c r="F32" s="61">
        <f t="shared" si="21"/>
        <v>0</v>
      </c>
      <c r="G32" s="61">
        <f t="shared" si="8"/>
        <v>0</v>
      </c>
      <c r="H32" s="61">
        <f t="shared" si="12"/>
        <v>0</v>
      </c>
      <c r="I32" s="61"/>
      <c r="J32" s="61"/>
      <c r="K32" s="61"/>
      <c r="L32" s="61"/>
      <c r="M32" s="61"/>
      <c r="N32" s="61"/>
      <c r="O32" s="61"/>
      <c r="P32" s="61"/>
      <c r="Q32" s="61"/>
      <c r="R32" s="61"/>
      <c r="S32" s="61"/>
      <c r="T32" s="61"/>
      <c r="U32" s="61"/>
      <c r="V32" s="61">
        <f t="shared" si="13"/>
        <v>12.18</v>
      </c>
      <c r="W32" s="61"/>
      <c r="X32" s="61"/>
      <c r="Y32" s="61"/>
      <c r="Z32" s="61"/>
      <c r="AA32" s="61"/>
      <c r="AB32" s="61"/>
      <c r="AC32" s="61">
        <f>D32-BL32</f>
        <v>12.18</v>
      </c>
      <c r="AD32" s="61"/>
      <c r="AE32" s="61">
        <f t="shared" si="9"/>
        <v>0</v>
      </c>
      <c r="AF32" s="61"/>
      <c r="AG32" s="61"/>
      <c r="AH32" s="61"/>
      <c r="AI32" s="61"/>
      <c r="AJ32" s="61"/>
      <c r="AK32" s="61"/>
      <c r="AL32" s="61"/>
      <c r="AM32" s="61"/>
      <c r="AN32" s="61"/>
      <c r="AO32" s="61"/>
      <c r="AP32" s="61"/>
      <c r="AQ32" s="61"/>
      <c r="AR32" s="61"/>
      <c r="AS32" s="61"/>
      <c r="AT32" s="61"/>
      <c r="AU32" s="61"/>
      <c r="AV32" s="61"/>
      <c r="AW32" s="61"/>
      <c r="AX32" s="61"/>
      <c r="AY32" s="61"/>
      <c r="AZ32" s="61"/>
      <c r="BA32" s="61"/>
      <c r="BB32" s="61"/>
      <c r="BC32" s="61"/>
      <c r="BD32" s="61"/>
      <c r="BE32" s="61"/>
      <c r="BF32" s="61"/>
      <c r="BG32" s="61"/>
      <c r="BH32" s="61">
        <f t="shared" si="22"/>
        <v>0</v>
      </c>
      <c r="BI32" s="61"/>
      <c r="BJ32" s="61"/>
      <c r="BK32" s="61"/>
      <c r="BL32" s="61">
        <f>E32+W32+X32+Y32+Z32+AA32+AB32+AD32+AE32+AQ32+AR32+AS32+AT32+AU32+AV32+AW32+AX32+AY32+AZ32+BA32+BB32+BC32+BD32+BE32+BF32+BG32+BH32</f>
        <v>0</v>
      </c>
      <c r="BM32" s="61">
        <f>AC67-BL32</f>
        <v>0</v>
      </c>
      <c r="BN32" s="61">
        <f t="shared" si="23"/>
        <v>12.18</v>
      </c>
      <c r="BO32" s="123"/>
      <c r="BP32" s="117"/>
    </row>
    <row r="33" spans="1:68" ht="20.100000000000001" customHeight="1">
      <c r="A33" s="20" t="s">
        <v>68</v>
      </c>
      <c r="B33" s="110" t="s">
        <v>69</v>
      </c>
      <c r="C33" s="48" t="s">
        <v>70</v>
      </c>
      <c r="D33" s="61"/>
      <c r="E33" s="61">
        <f t="shared" si="4"/>
        <v>0</v>
      </c>
      <c r="F33" s="61">
        <f t="shared" si="21"/>
        <v>0</v>
      </c>
      <c r="G33" s="61">
        <f t="shared" si="8"/>
        <v>0</v>
      </c>
      <c r="H33" s="61">
        <f t="shared" si="12"/>
        <v>0</v>
      </c>
      <c r="I33" s="61"/>
      <c r="J33" s="61"/>
      <c r="K33" s="61"/>
      <c r="L33" s="61"/>
      <c r="M33" s="61"/>
      <c r="N33" s="61"/>
      <c r="O33" s="61"/>
      <c r="P33" s="61"/>
      <c r="Q33" s="61"/>
      <c r="R33" s="61"/>
      <c r="S33" s="61"/>
      <c r="T33" s="61"/>
      <c r="U33" s="61"/>
      <c r="V33" s="61">
        <f t="shared" si="13"/>
        <v>0</v>
      </c>
      <c r="W33" s="61"/>
      <c r="X33" s="61"/>
      <c r="Y33" s="61"/>
      <c r="Z33" s="61"/>
      <c r="AA33" s="61"/>
      <c r="AB33" s="61"/>
      <c r="AC33" s="61"/>
      <c r="AD33" s="61">
        <f>D33-BL33</f>
        <v>0</v>
      </c>
      <c r="AE33" s="61">
        <f t="shared" si="9"/>
        <v>0</v>
      </c>
      <c r="AF33" s="61"/>
      <c r="AG33" s="61"/>
      <c r="AH33" s="61"/>
      <c r="AI33" s="61"/>
      <c r="AJ33" s="61"/>
      <c r="AK33" s="61"/>
      <c r="AL33" s="61"/>
      <c r="AM33" s="61"/>
      <c r="AN33" s="61"/>
      <c r="AO33" s="61"/>
      <c r="AP33" s="61"/>
      <c r="AQ33" s="61"/>
      <c r="AR33" s="61"/>
      <c r="AS33" s="61"/>
      <c r="AT33" s="61"/>
      <c r="AU33" s="61"/>
      <c r="AV33" s="61"/>
      <c r="AW33" s="61"/>
      <c r="AX33" s="61"/>
      <c r="AY33" s="61"/>
      <c r="AZ33" s="61"/>
      <c r="BA33" s="61"/>
      <c r="BB33" s="61"/>
      <c r="BC33" s="61"/>
      <c r="BD33" s="61"/>
      <c r="BE33" s="61"/>
      <c r="BF33" s="61"/>
      <c r="BG33" s="61"/>
      <c r="BH33" s="61">
        <f t="shared" si="22"/>
        <v>0</v>
      </c>
      <c r="BI33" s="61"/>
      <c r="BJ33" s="61"/>
      <c r="BK33" s="61"/>
      <c r="BL33" s="61">
        <f>E33+W33+X33+Y33+Z33+AA33+AB33+AC33+AE33+AQ33+AR33+AS33+AT33+AU33+AV33+AW33+AX33+AY33+AZ33+BA33+BB33+BC33+BD33+BE33+BF33+BG33+BH33</f>
        <v>0</v>
      </c>
      <c r="BM33" s="61">
        <f>AD67-BL33</f>
        <v>0</v>
      </c>
      <c r="BN33" s="61">
        <f t="shared" si="23"/>
        <v>0</v>
      </c>
      <c r="BO33" s="123"/>
      <c r="BP33" s="117"/>
    </row>
    <row r="34" spans="1:68" ht="40.5" customHeight="1">
      <c r="A34" s="20" t="s">
        <v>71</v>
      </c>
      <c r="B34" s="110" t="s">
        <v>135</v>
      </c>
      <c r="C34" s="48" t="s">
        <v>72</v>
      </c>
      <c r="D34" s="61">
        <f>SUM(D35:D45)</f>
        <v>149.97999999999999</v>
      </c>
      <c r="E34" s="61">
        <f>SUM(E35:E45)</f>
        <v>0</v>
      </c>
      <c r="F34" s="61">
        <f t="shared" ref="F34:U34" si="24">SUM(F35:F45)</f>
        <v>0</v>
      </c>
      <c r="G34" s="61">
        <f t="shared" si="24"/>
        <v>0</v>
      </c>
      <c r="H34" s="61">
        <f t="shared" si="24"/>
        <v>0</v>
      </c>
      <c r="I34" s="61">
        <f t="shared" si="24"/>
        <v>0</v>
      </c>
      <c r="J34" s="61">
        <f t="shared" si="24"/>
        <v>0</v>
      </c>
      <c r="K34" s="61">
        <f t="shared" si="24"/>
        <v>0</v>
      </c>
      <c r="L34" s="61">
        <f t="shared" si="24"/>
        <v>0</v>
      </c>
      <c r="M34" s="61">
        <f t="shared" si="24"/>
        <v>0</v>
      </c>
      <c r="N34" s="61">
        <f t="shared" si="24"/>
        <v>0</v>
      </c>
      <c r="O34" s="61">
        <f t="shared" si="24"/>
        <v>0</v>
      </c>
      <c r="P34" s="61">
        <f t="shared" si="24"/>
        <v>0</v>
      </c>
      <c r="Q34" s="61">
        <f t="shared" si="24"/>
        <v>0</v>
      </c>
      <c r="R34" s="61">
        <f t="shared" si="24"/>
        <v>0</v>
      </c>
      <c r="S34" s="61">
        <f t="shared" si="24"/>
        <v>0</v>
      </c>
      <c r="T34" s="61">
        <f t="shared" si="24"/>
        <v>0</v>
      </c>
      <c r="U34" s="61">
        <f t="shared" si="24"/>
        <v>0</v>
      </c>
      <c r="V34" s="61">
        <f>SUM(V35:V45)</f>
        <v>149.97999999999999</v>
      </c>
      <c r="W34" s="61">
        <f t="shared" ref="W34:AD34" si="25">SUM(W35:W45)</f>
        <v>0</v>
      </c>
      <c r="X34" s="61">
        <f t="shared" si="25"/>
        <v>0</v>
      </c>
      <c r="Y34" s="61">
        <f t="shared" si="25"/>
        <v>0</v>
      </c>
      <c r="Z34" s="61">
        <f t="shared" si="25"/>
        <v>0</v>
      </c>
      <c r="AA34" s="61">
        <f t="shared" si="25"/>
        <v>0</v>
      </c>
      <c r="AB34" s="61">
        <f t="shared" si="25"/>
        <v>0</v>
      </c>
      <c r="AC34" s="61">
        <f t="shared" si="25"/>
        <v>0</v>
      </c>
      <c r="AD34" s="61">
        <f t="shared" si="25"/>
        <v>0</v>
      </c>
      <c r="AE34" s="61">
        <f>D34-BL34</f>
        <v>149.07999999999998</v>
      </c>
      <c r="AF34" s="61">
        <f>SUM(AF35:AF45)</f>
        <v>0.6</v>
      </c>
      <c r="AG34" s="61">
        <f t="shared" ref="AG34:BE34" si="26">SUM(AG35:AG45)</f>
        <v>0.08</v>
      </c>
      <c r="AH34" s="61">
        <f t="shared" si="26"/>
        <v>5</v>
      </c>
      <c r="AI34" s="61">
        <f t="shared" si="26"/>
        <v>1.57</v>
      </c>
      <c r="AJ34" s="61">
        <f t="shared" si="26"/>
        <v>0</v>
      </c>
      <c r="AK34" s="61">
        <f t="shared" si="26"/>
        <v>0</v>
      </c>
      <c r="AL34" s="61">
        <f t="shared" si="26"/>
        <v>124</v>
      </c>
      <c r="AM34" s="61">
        <f t="shared" si="26"/>
        <v>17.29</v>
      </c>
      <c r="AN34" s="61">
        <f t="shared" si="26"/>
        <v>0.03</v>
      </c>
      <c r="AO34" s="61">
        <f t="shared" si="26"/>
        <v>0.51</v>
      </c>
      <c r="AP34" s="61">
        <f t="shared" si="26"/>
        <v>0</v>
      </c>
      <c r="AQ34" s="61">
        <f t="shared" si="26"/>
        <v>0</v>
      </c>
      <c r="AR34" s="61">
        <f t="shared" si="26"/>
        <v>0</v>
      </c>
      <c r="AS34" s="61">
        <f t="shared" si="26"/>
        <v>0</v>
      </c>
      <c r="AT34" s="61">
        <f t="shared" si="26"/>
        <v>0.89999999999999991</v>
      </c>
      <c r="AU34" s="61">
        <f t="shared" si="26"/>
        <v>0</v>
      </c>
      <c r="AV34" s="61">
        <f t="shared" si="26"/>
        <v>0</v>
      </c>
      <c r="AW34" s="61">
        <f t="shared" si="26"/>
        <v>0</v>
      </c>
      <c r="AX34" s="61">
        <f t="shared" si="26"/>
        <v>0</v>
      </c>
      <c r="AY34" s="61">
        <f t="shared" si="26"/>
        <v>0</v>
      </c>
      <c r="AZ34" s="61">
        <f t="shared" si="26"/>
        <v>0</v>
      </c>
      <c r="BA34" s="61">
        <f t="shared" si="26"/>
        <v>0</v>
      </c>
      <c r="BB34" s="61">
        <f t="shared" si="26"/>
        <v>0</v>
      </c>
      <c r="BC34" s="61">
        <f t="shared" si="26"/>
        <v>0</v>
      </c>
      <c r="BD34" s="61">
        <f t="shared" si="26"/>
        <v>0</v>
      </c>
      <c r="BE34" s="61">
        <f t="shared" si="26"/>
        <v>0</v>
      </c>
      <c r="BF34" s="61">
        <f>SUM(BF35:BF45)</f>
        <v>0</v>
      </c>
      <c r="BG34" s="61">
        <f>SUM(BG35:BG45)</f>
        <v>0</v>
      </c>
      <c r="BH34" s="61">
        <f>BI34+BJ34+BK34</f>
        <v>0</v>
      </c>
      <c r="BI34" s="61">
        <f>SUM(BI35:BI45)</f>
        <v>0</v>
      </c>
      <c r="BJ34" s="61">
        <f>SUM(BJ35:BJ45)</f>
        <v>0</v>
      </c>
      <c r="BK34" s="61">
        <f>SUM(BK35:BK45)</f>
        <v>0</v>
      </c>
      <c r="BL34" s="61">
        <f>E34+W34+X34+Y34+Z34+AA34+AB34+AC34+AQ34+AR34+AS34+AT34+AU34+AV34+AW34+AX34+AY34+AZ34+BA34+BB34+BC34+BD34+BE34+BF34+BG34+BH34</f>
        <v>0.89999999999999991</v>
      </c>
      <c r="BM34" s="61">
        <f>AE67-BL34</f>
        <v>13.180000000000001</v>
      </c>
      <c r="BN34" s="61">
        <f>SUM(BN35:BN45)</f>
        <v>163.15999999999997</v>
      </c>
      <c r="BO34" s="123"/>
      <c r="BP34" s="117"/>
    </row>
    <row r="35" spans="1:68" ht="20.100000000000001" customHeight="1">
      <c r="A35" s="5" t="s">
        <v>224</v>
      </c>
      <c r="B35" s="72" t="s">
        <v>478</v>
      </c>
      <c r="C35" s="48" t="s">
        <v>202</v>
      </c>
      <c r="D35" s="61">
        <f>#REF!</f>
        <v>0.6</v>
      </c>
      <c r="E35" s="61">
        <f t="shared" si="4"/>
        <v>0</v>
      </c>
      <c r="F35" s="61">
        <f t="shared" si="21"/>
        <v>0</v>
      </c>
      <c r="G35" s="61">
        <f t="shared" si="8"/>
        <v>0</v>
      </c>
      <c r="H35" s="61">
        <f t="shared" si="12"/>
        <v>0</v>
      </c>
      <c r="I35" s="61"/>
      <c r="J35" s="61"/>
      <c r="K35" s="61"/>
      <c r="L35" s="61"/>
      <c r="M35" s="61"/>
      <c r="N35" s="61"/>
      <c r="O35" s="61"/>
      <c r="P35" s="61"/>
      <c r="Q35" s="61"/>
      <c r="R35" s="61"/>
      <c r="S35" s="61"/>
      <c r="T35" s="61"/>
      <c r="U35" s="61"/>
      <c r="V35" s="61">
        <f t="shared" si="13"/>
        <v>0.6</v>
      </c>
      <c r="W35" s="61"/>
      <c r="X35" s="61"/>
      <c r="Y35" s="61"/>
      <c r="Z35" s="61"/>
      <c r="AA35" s="61"/>
      <c r="AB35" s="61"/>
      <c r="AC35" s="61"/>
      <c r="AD35" s="61"/>
      <c r="AE35" s="61">
        <f>SUM(AF35:AP35)</f>
        <v>0.6</v>
      </c>
      <c r="AF35" s="61">
        <f>D35-BL35</f>
        <v>0.6</v>
      </c>
      <c r="AG35" s="61"/>
      <c r="AH35" s="61"/>
      <c r="AI35" s="61"/>
      <c r="AJ35" s="61"/>
      <c r="AK35" s="61"/>
      <c r="AL35" s="61"/>
      <c r="AM35" s="61"/>
      <c r="AN35" s="61"/>
      <c r="AO35" s="61"/>
      <c r="AP35" s="61"/>
      <c r="AQ35" s="61"/>
      <c r="AR35" s="61"/>
      <c r="AS35" s="61"/>
      <c r="AT35" s="61"/>
      <c r="AU35" s="61"/>
      <c r="AV35" s="61"/>
      <c r="AW35" s="61"/>
      <c r="AX35" s="61"/>
      <c r="AY35" s="61"/>
      <c r="AZ35" s="61"/>
      <c r="BA35" s="61"/>
      <c r="BB35" s="61"/>
      <c r="BC35" s="61"/>
      <c r="BD35" s="61"/>
      <c r="BE35" s="61"/>
      <c r="BF35" s="61"/>
      <c r="BG35" s="61"/>
      <c r="BH35" s="61">
        <f t="shared" si="22"/>
        <v>0</v>
      </c>
      <c r="BI35" s="61"/>
      <c r="BJ35" s="61"/>
      <c r="BK35" s="61"/>
      <c r="BL35" s="61">
        <f>E35+W35+X35+Y35+Z35+AA35+AB35+AC35+AD35+AG35+AH35+AI35+AJ35+AK35+AL35+AM35+AN35+AO35+AP35+AQ35+AR35+AS35+AT35+AU35+AV35+AW35+AX35+AY35+AZ35+BA35+BB35+BC35+BD35</f>
        <v>0</v>
      </c>
      <c r="BM35" s="61">
        <f>AF67-BL35</f>
        <v>0</v>
      </c>
      <c r="BN35" s="61">
        <f>D35+BM35</f>
        <v>0.6</v>
      </c>
      <c r="BO35" s="123"/>
      <c r="BP35" s="117"/>
    </row>
    <row r="36" spans="1:68" ht="20.100000000000001" customHeight="1">
      <c r="A36" s="5" t="s">
        <v>225</v>
      </c>
      <c r="B36" s="72" t="s">
        <v>479</v>
      </c>
      <c r="C36" s="48" t="s">
        <v>203</v>
      </c>
      <c r="D36" s="61">
        <f>#REF!</f>
        <v>0.08</v>
      </c>
      <c r="E36" s="61">
        <f t="shared" si="4"/>
        <v>0</v>
      </c>
      <c r="F36" s="61">
        <f t="shared" si="21"/>
        <v>0</v>
      </c>
      <c r="G36" s="61">
        <f t="shared" si="8"/>
        <v>0</v>
      </c>
      <c r="H36" s="61">
        <f t="shared" si="12"/>
        <v>0</v>
      </c>
      <c r="I36" s="61"/>
      <c r="J36" s="61"/>
      <c r="K36" s="61"/>
      <c r="L36" s="61"/>
      <c r="M36" s="61"/>
      <c r="N36" s="61"/>
      <c r="O36" s="61"/>
      <c r="P36" s="61"/>
      <c r="Q36" s="61"/>
      <c r="R36" s="61"/>
      <c r="S36" s="61"/>
      <c r="T36" s="61"/>
      <c r="U36" s="61"/>
      <c r="V36" s="61">
        <f t="shared" si="13"/>
        <v>0.08</v>
      </c>
      <c r="W36" s="61"/>
      <c r="X36" s="61"/>
      <c r="Y36" s="61"/>
      <c r="Z36" s="61"/>
      <c r="AA36" s="61"/>
      <c r="AB36" s="61"/>
      <c r="AC36" s="61"/>
      <c r="AD36" s="61"/>
      <c r="AE36" s="61">
        <f t="shared" ref="AE36:AE66" si="27">SUM(AF36:AP36)</f>
        <v>0.08</v>
      </c>
      <c r="AF36" s="61"/>
      <c r="AG36" s="61">
        <f>D36-BL36</f>
        <v>0.08</v>
      </c>
      <c r="AH36" s="61"/>
      <c r="AI36" s="61"/>
      <c r="AJ36" s="61"/>
      <c r="AK36" s="61"/>
      <c r="AL36" s="61"/>
      <c r="AM36" s="61"/>
      <c r="AN36" s="61"/>
      <c r="AO36" s="61"/>
      <c r="AP36" s="61"/>
      <c r="AQ36" s="61"/>
      <c r="AR36" s="61"/>
      <c r="AS36" s="61"/>
      <c r="AT36" s="61"/>
      <c r="AU36" s="61"/>
      <c r="AV36" s="61"/>
      <c r="AW36" s="61"/>
      <c r="AX36" s="61"/>
      <c r="AY36" s="61"/>
      <c r="AZ36" s="61"/>
      <c r="BA36" s="61"/>
      <c r="BB36" s="61"/>
      <c r="BC36" s="61"/>
      <c r="BD36" s="61"/>
      <c r="BE36" s="61"/>
      <c r="BF36" s="61"/>
      <c r="BG36" s="61"/>
      <c r="BH36" s="61">
        <f t="shared" si="22"/>
        <v>0</v>
      </c>
      <c r="BI36" s="61"/>
      <c r="BJ36" s="61"/>
      <c r="BK36" s="61"/>
      <c r="BL36" s="61">
        <f>E36+W36+X36+Y36+Z36+AA36+AB36+AC36+AD36+AF36+AH36+AI36+AJ36+AK36+AL36+AM36+AN36+AO36+AP36+AQ36+AR36+AS36+AT36+AU36+AV36+AW36+AX36+AY36+AZ36+BA36+BB36+BC36+BD36+BE36+BF36+BG36+BH36</f>
        <v>0</v>
      </c>
      <c r="BM36" s="61">
        <f>AG67-BL36</f>
        <v>0</v>
      </c>
      <c r="BN36" s="61">
        <f t="shared" ref="BN36:BN45" si="28">D36+BM36</f>
        <v>0.08</v>
      </c>
      <c r="BO36" s="123"/>
      <c r="BP36" s="117"/>
    </row>
    <row r="37" spans="1:68" ht="20.100000000000001" customHeight="1">
      <c r="A37" s="5" t="s">
        <v>226</v>
      </c>
      <c r="B37" s="72" t="s">
        <v>480</v>
      </c>
      <c r="C37" s="48" t="s">
        <v>204</v>
      </c>
      <c r="D37" s="61">
        <f>#REF!</f>
        <v>5.32</v>
      </c>
      <c r="E37" s="61">
        <f t="shared" si="4"/>
        <v>0</v>
      </c>
      <c r="F37" s="61">
        <f t="shared" si="21"/>
        <v>0</v>
      </c>
      <c r="G37" s="61">
        <f t="shared" si="8"/>
        <v>0</v>
      </c>
      <c r="H37" s="61">
        <f t="shared" si="12"/>
        <v>0</v>
      </c>
      <c r="I37" s="61"/>
      <c r="J37" s="61"/>
      <c r="K37" s="61"/>
      <c r="L37" s="61"/>
      <c r="M37" s="61"/>
      <c r="N37" s="61"/>
      <c r="O37" s="61"/>
      <c r="P37" s="61"/>
      <c r="Q37" s="61"/>
      <c r="R37" s="61"/>
      <c r="S37" s="61"/>
      <c r="T37" s="61"/>
      <c r="U37" s="61"/>
      <c r="V37" s="61">
        <f t="shared" si="13"/>
        <v>5.32</v>
      </c>
      <c r="W37" s="61"/>
      <c r="X37" s="61"/>
      <c r="Y37" s="61"/>
      <c r="Z37" s="61"/>
      <c r="AA37" s="61"/>
      <c r="AB37" s="61"/>
      <c r="AC37" s="61"/>
      <c r="AD37" s="61"/>
      <c r="AE37" s="61">
        <f t="shared" si="27"/>
        <v>5</v>
      </c>
      <c r="AF37" s="61"/>
      <c r="AG37" s="61"/>
      <c r="AH37" s="61">
        <f>D37-BL37</f>
        <v>5</v>
      </c>
      <c r="AI37" s="61"/>
      <c r="AJ37" s="61"/>
      <c r="AK37" s="61"/>
      <c r="AL37" s="61"/>
      <c r="AM37" s="61"/>
      <c r="AN37" s="61"/>
      <c r="AO37" s="61"/>
      <c r="AP37" s="61"/>
      <c r="AQ37" s="61"/>
      <c r="AR37" s="61"/>
      <c r="AS37" s="61"/>
      <c r="AT37" s="61">
        <v>0.32</v>
      </c>
      <c r="AU37" s="61"/>
      <c r="AV37" s="61"/>
      <c r="AW37" s="61"/>
      <c r="AX37" s="61"/>
      <c r="AY37" s="61"/>
      <c r="AZ37" s="61"/>
      <c r="BA37" s="61"/>
      <c r="BB37" s="61"/>
      <c r="BC37" s="61"/>
      <c r="BD37" s="61"/>
      <c r="BE37" s="61"/>
      <c r="BF37" s="61"/>
      <c r="BG37" s="61"/>
      <c r="BH37" s="61">
        <f t="shared" si="22"/>
        <v>0</v>
      </c>
      <c r="BI37" s="61"/>
      <c r="BJ37" s="61"/>
      <c r="BK37" s="61"/>
      <c r="BL37" s="61">
        <f>E37+W37+X37+Y37+Z37+AA37+AB37+AC37+AD37+AF37+AG37+AI37+AJ37+AK37+AL37+AM37+AN37+AO37+AP37+AQ37+AR37+AS37+AT37+AU37+AV37+AW37+AX37+AY37+AZ37+BA37+BB37+BC37+BD37+BE37+BF37+BG37+BH37</f>
        <v>0.32</v>
      </c>
      <c r="BM37" s="61">
        <f>AH67-BL37</f>
        <v>-0.32</v>
      </c>
      <c r="BN37" s="61">
        <f t="shared" si="28"/>
        <v>5</v>
      </c>
      <c r="BO37" s="123"/>
      <c r="BP37" s="117"/>
    </row>
    <row r="38" spans="1:68" ht="20.100000000000001" customHeight="1">
      <c r="A38" s="5" t="s">
        <v>227</v>
      </c>
      <c r="B38" s="72" t="s">
        <v>481</v>
      </c>
      <c r="C38" s="48" t="s">
        <v>205</v>
      </c>
      <c r="D38" s="61">
        <f>#REF!</f>
        <v>1.57</v>
      </c>
      <c r="E38" s="61">
        <f t="shared" si="4"/>
        <v>0</v>
      </c>
      <c r="F38" s="61">
        <f t="shared" si="21"/>
        <v>0</v>
      </c>
      <c r="G38" s="61">
        <f t="shared" si="8"/>
        <v>0</v>
      </c>
      <c r="H38" s="61">
        <f t="shared" si="12"/>
        <v>0</v>
      </c>
      <c r="I38" s="61"/>
      <c r="J38" s="61"/>
      <c r="K38" s="61"/>
      <c r="L38" s="61"/>
      <c r="M38" s="61"/>
      <c r="N38" s="61"/>
      <c r="O38" s="61"/>
      <c r="P38" s="61"/>
      <c r="Q38" s="61"/>
      <c r="R38" s="61"/>
      <c r="S38" s="61"/>
      <c r="T38" s="61"/>
      <c r="U38" s="61"/>
      <c r="V38" s="61">
        <f t="shared" si="13"/>
        <v>1.57</v>
      </c>
      <c r="W38" s="61"/>
      <c r="X38" s="61"/>
      <c r="Y38" s="61"/>
      <c r="Z38" s="61"/>
      <c r="AA38" s="61"/>
      <c r="AB38" s="61"/>
      <c r="AC38" s="61"/>
      <c r="AD38" s="61"/>
      <c r="AE38" s="61">
        <f t="shared" si="27"/>
        <v>1.57</v>
      </c>
      <c r="AF38" s="61"/>
      <c r="AG38" s="61"/>
      <c r="AH38" s="61"/>
      <c r="AI38" s="61">
        <f>D38-BL38</f>
        <v>1.57</v>
      </c>
      <c r="AJ38" s="61"/>
      <c r="AK38" s="61"/>
      <c r="AL38" s="61"/>
      <c r="AM38" s="61"/>
      <c r="AN38" s="61"/>
      <c r="AO38" s="61"/>
      <c r="AP38" s="61"/>
      <c r="AQ38" s="61"/>
      <c r="AR38" s="61"/>
      <c r="AS38" s="61"/>
      <c r="AT38" s="61"/>
      <c r="AU38" s="61"/>
      <c r="AV38" s="61"/>
      <c r="AW38" s="61"/>
      <c r="AX38" s="61"/>
      <c r="AY38" s="61"/>
      <c r="AZ38" s="61"/>
      <c r="BA38" s="61"/>
      <c r="BB38" s="61"/>
      <c r="BC38" s="61"/>
      <c r="BD38" s="61"/>
      <c r="BE38" s="61"/>
      <c r="BF38" s="61"/>
      <c r="BG38" s="61"/>
      <c r="BH38" s="61">
        <f t="shared" si="22"/>
        <v>0</v>
      </c>
      <c r="BI38" s="61"/>
      <c r="BJ38" s="61"/>
      <c r="BK38" s="61"/>
      <c r="BL38" s="61">
        <f>E38+W38+X38+Y38+Z38+AA38+AB38+AC38+AD38+AF38+AG38+AH38+AJ38+AK38+AL38+AM38+AN38+AO38+AP38+AQ38+AR38+AS38+AT38+AU38+AV38+AW38+AX38+AY38+AZ38+BA38+BB38+BC38+BD38+BE38+BF38+BG38+BH38</f>
        <v>0</v>
      </c>
      <c r="BM38" s="61">
        <f>AI67-BL38</f>
        <v>0</v>
      </c>
      <c r="BN38" s="61">
        <f t="shared" si="28"/>
        <v>1.57</v>
      </c>
      <c r="BO38" s="123"/>
      <c r="BP38" s="117"/>
    </row>
    <row r="39" spans="1:68" ht="20.100000000000001" customHeight="1">
      <c r="A39" s="5" t="s">
        <v>228</v>
      </c>
      <c r="B39" s="72" t="s">
        <v>482</v>
      </c>
      <c r="C39" s="48" t="s">
        <v>206</v>
      </c>
      <c r="D39" s="61"/>
      <c r="E39" s="61">
        <f t="shared" si="4"/>
        <v>0</v>
      </c>
      <c r="F39" s="61">
        <f t="shared" si="21"/>
        <v>0</v>
      </c>
      <c r="G39" s="61">
        <f t="shared" si="8"/>
        <v>0</v>
      </c>
      <c r="H39" s="61">
        <f t="shared" si="12"/>
        <v>0</v>
      </c>
      <c r="I39" s="61"/>
      <c r="J39" s="61"/>
      <c r="K39" s="61"/>
      <c r="L39" s="61"/>
      <c r="M39" s="61"/>
      <c r="N39" s="61"/>
      <c r="O39" s="61"/>
      <c r="P39" s="61"/>
      <c r="Q39" s="61"/>
      <c r="R39" s="61"/>
      <c r="S39" s="61"/>
      <c r="T39" s="61"/>
      <c r="U39" s="61"/>
      <c r="V39" s="61">
        <f t="shared" si="13"/>
        <v>0</v>
      </c>
      <c r="W39" s="61"/>
      <c r="X39" s="61"/>
      <c r="Y39" s="61"/>
      <c r="Z39" s="61"/>
      <c r="AA39" s="61"/>
      <c r="AB39" s="61"/>
      <c r="AC39" s="61"/>
      <c r="AD39" s="61"/>
      <c r="AE39" s="61">
        <f t="shared" si="27"/>
        <v>0</v>
      </c>
      <c r="AF39" s="61"/>
      <c r="AG39" s="61"/>
      <c r="AH39" s="61"/>
      <c r="AI39" s="61"/>
      <c r="AJ39" s="61">
        <f>D39-BL39</f>
        <v>0</v>
      </c>
      <c r="AK39" s="61"/>
      <c r="AL39" s="61"/>
      <c r="AM39" s="61"/>
      <c r="AN39" s="61"/>
      <c r="AO39" s="61"/>
      <c r="AP39" s="61"/>
      <c r="AQ39" s="61"/>
      <c r="AR39" s="61"/>
      <c r="AS39" s="61"/>
      <c r="AT39" s="61"/>
      <c r="AU39" s="61"/>
      <c r="AV39" s="61"/>
      <c r="AW39" s="61"/>
      <c r="AX39" s="61"/>
      <c r="AY39" s="61"/>
      <c r="AZ39" s="61"/>
      <c r="BA39" s="61"/>
      <c r="BB39" s="61"/>
      <c r="BC39" s="61"/>
      <c r="BD39" s="61"/>
      <c r="BE39" s="61"/>
      <c r="BF39" s="61"/>
      <c r="BG39" s="61"/>
      <c r="BH39" s="61">
        <f t="shared" si="22"/>
        <v>0</v>
      </c>
      <c r="BI39" s="61"/>
      <c r="BJ39" s="61"/>
      <c r="BK39" s="61"/>
      <c r="BL39" s="61">
        <f>E39+W39+X39+Y39+Z39+AA39+AB39+AC39+AD39+AQ39+AR39+AS39+AT39+AU39+AV39+AW39+AX39+AY39+AZ39+BA39+BB39+BC39+BD39+BE39+BF39+BG39+BH39+AF39+AG39+AH39+AI39+AK39+AL39+AM39+AN39+AO39+AP39</f>
        <v>0</v>
      </c>
      <c r="BM39" s="61">
        <f>AJ67-BL39</f>
        <v>0</v>
      </c>
      <c r="BN39" s="61">
        <f t="shared" si="28"/>
        <v>0</v>
      </c>
      <c r="BO39" s="123"/>
      <c r="BP39" s="117"/>
    </row>
    <row r="40" spans="1:68" ht="20.100000000000001" customHeight="1">
      <c r="A40" s="5" t="s">
        <v>229</v>
      </c>
      <c r="B40" s="72" t="s">
        <v>483</v>
      </c>
      <c r="C40" s="48" t="s">
        <v>207</v>
      </c>
      <c r="D40" s="61"/>
      <c r="E40" s="61">
        <f t="shared" si="4"/>
        <v>0</v>
      </c>
      <c r="F40" s="61">
        <f t="shared" si="21"/>
        <v>0</v>
      </c>
      <c r="G40" s="61">
        <f t="shared" si="8"/>
        <v>0</v>
      </c>
      <c r="H40" s="61">
        <f t="shared" si="12"/>
        <v>0</v>
      </c>
      <c r="I40" s="61"/>
      <c r="J40" s="61"/>
      <c r="K40" s="61"/>
      <c r="L40" s="61"/>
      <c r="M40" s="61"/>
      <c r="N40" s="61"/>
      <c r="O40" s="61"/>
      <c r="P40" s="61"/>
      <c r="Q40" s="61"/>
      <c r="R40" s="61"/>
      <c r="S40" s="61"/>
      <c r="T40" s="61"/>
      <c r="U40" s="61"/>
      <c r="V40" s="61">
        <f t="shared" si="13"/>
        <v>0</v>
      </c>
      <c r="W40" s="61"/>
      <c r="X40" s="61"/>
      <c r="Y40" s="61"/>
      <c r="Z40" s="61"/>
      <c r="AA40" s="61"/>
      <c r="AB40" s="61"/>
      <c r="AC40" s="61"/>
      <c r="AD40" s="61"/>
      <c r="AE40" s="61">
        <f t="shared" si="27"/>
        <v>0</v>
      </c>
      <c r="AF40" s="61"/>
      <c r="AG40" s="61"/>
      <c r="AH40" s="61"/>
      <c r="AI40" s="61"/>
      <c r="AJ40" s="61"/>
      <c r="AK40" s="61">
        <f>D40-BL40</f>
        <v>0</v>
      </c>
      <c r="AL40" s="61"/>
      <c r="AM40" s="61"/>
      <c r="AN40" s="61"/>
      <c r="AO40" s="61"/>
      <c r="AP40" s="61"/>
      <c r="AQ40" s="61"/>
      <c r="AR40" s="61"/>
      <c r="AS40" s="61"/>
      <c r="AT40" s="61"/>
      <c r="AU40" s="61"/>
      <c r="AV40" s="61"/>
      <c r="AW40" s="61"/>
      <c r="AX40" s="61"/>
      <c r="AY40" s="61"/>
      <c r="AZ40" s="61"/>
      <c r="BA40" s="61"/>
      <c r="BB40" s="61"/>
      <c r="BC40" s="61"/>
      <c r="BD40" s="61"/>
      <c r="BE40" s="61"/>
      <c r="BF40" s="61"/>
      <c r="BG40" s="61"/>
      <c r="BH40" s="61">
        <f t="shared" si="22"/>
        <v>0</v>
      </c>
      <c r="BI40" s="61"/>
      <c r="BJ40" s="61"/>
      <c r="BK40" s="61"/>
      <c r="BL40" s="61">
        <f>E40+W40+X40+Y40+Z40+AA40+AB40+AC40+AD40+AF40+AG40+AH40+AI40+AJ40+AL40+AM40+AN40+AO40+AP40+AQ40+AR40+AS40+AT40+AU40+AV40+AW40+AX40+AY40+AZ40+BA40+BB40+BC40+BD40+BE40+BF40+BG40+BH40</f>
        <v>0</v>
      </c>
      <c r="BM40" s="61">
        <f>AK67-BL40</f>
        <v>0</v>
      </c>
      <c r="BN40" s="61">
        <f t="shared" si="28"/>
        <v>0</v>
      </c>
      <c r="BO40" s="123"/>
      <c r="BP40" s="117"/>
    </row>
    <row r="41" spans="1:68" ht="20.100000000000001" customHeight="1">
      <c r="A41" s="5" t="s">
        <v>230</v>
      </c>
      <c r="B41" s="72" t="s">
        <v>484</v>
      </c>
      <c r="C41" s="48" t="s">
        <v>199</v>
      </c>
      <c r="D41" s="61">
        <f>#REF!</f>
        <v>124.55</v>
      </c>
      <c r="E41" s="61">
        <f t="shared" si="4"/>
        <v>0</v>
      </c>
      <c r="F41" s="61">
        <f t="shared" si="21"/>
        <v>0</v>
      </c>
      <c r="G41" s="61">
        <f t="shared" si="8"/>
        <v>0</v>
      </c>
      <c r="H41" s="61">
        <f t="shared" si="12"/>
        <v>0</v>
      </c>
      <c r="I41" s="61"/>
      <c r="J41" s="61"/>
      <c r="K41" s="61"/>
      <c r="L41" s="61"/>
      <c r="M41" s="61"/>
      <c r="N41" s="61"/>
      <c r="O41" s="61"/>
      <c r="P41" s="61"/>
      <c r="Q41" s="61"/>
      <c r="R41" s="61"/>
      <c r="S41" s="61"/>
      <c r="T41" s="61"/>
      <c r="U41" s="61"/>
      <c r="V41" s="61">
        <f t="shared" si="13"/>
        <v>124.55</v>
      </c>
      <c r="W41" s="61"/>
      <c r="X41" s="61"/>
      <c r="Y41" s="61"/>
      <c r="Z41" s="61"/>
      <c r="AA41" s="61"/>
      <c r="AB41" s="61"/>
      <c r="AC41" s="61"/>
      <c r="AD41" s="61"/>
      <c r="AE41" s="61">
        <f t="shared" si="27"/>
        <v>123.98</v>
      </c>
      <c r="AF41" s="61"/>
      <c r="AG41" s="61"/>
      <c r="AH41" s="61"/>
      <c r="AI41" s="61"/>
      <c r="AJ41" s="61"/>
      <c r="AK41" s="61"/>
      <c r="AL41" s="61">
        <f>D41-BL41</f>
        <v>123.98</v>
      </c>
      <c r="AM41" s="61"/>
      <c r="AN41" s="61"/>
      <c r="AO41" s="61"/>
      <c r="AP41" s="61"/>
      <c r="AQ41" s="61"/>
      <c r="AR41" s="61"/>
      <c r="AS41" s="61"/>
      <c r="AT41" s="61">
        <v>0.56999999999999995</v>
      </c>
      <c r="AU41" s="61"/>
      <c r="AV41" s="61"/>
      <c r="AW41" s="61"/>
      <c r="AX41" s="61"/>
      <c r="AY41" s="61"/>
      <c r="AZ41" s="61"/>
      <c r="BA41" s="61"/>
      <c r="BB41" s="61"/>
      <c r="BC41" s="61"/>
      <c r="BD41" s="61"/>
      <c r="BE41" s="61"/>
      <c r="BF41" s="61"/>
      <c r="BG41" s="61"/>
      <c r="BH41" s="61">
        <f t="shared" si="22"/>
        <v>0</v>
      </c>
      <c r="BI41" s="61"/>
      <c r="BJ41" s="61"/>
      <c r="BK41" s="61"/>
      <c r="BL41" s="61">
        <f>E41+W41+X41+Y41+Z41+AA41+AB41+AC41+AD41+AF41+AG41+AH41+AI41+AJ41+AK41+AM41+AN41+AO41+AP41+AQ41+AR41+AS41+AT41+AU41+AV41+AW41+AX41+AY41+AZ41+BA41+BB41+BC41+BD41+BE41+BF41+BG41+BH41</f>
        <v>0.56999999999999995</v>
      </c>
      <c r="BM41" s="61">
        <f>AL67-BL41</f>
        <v>13.530000000000001</v>
      </c>
      <c r="BN41" s="61">
        <f t="shared" si="28"/>
        <v>138.07999999999998</v>
      </c>
      <c r="BO41" s="123"/>
      <c r="BP41" s="117"/>
    </row>
    <row r="42" spans="1:68" ht="20.100000000000001" customHeight="1">
      <c r="A42" s="5" t="s">
        <v>231</v>
      </c>
      <c r="B42" s="72" t="s">
        <v>485</v>
      </c>
      <c r="C42" s="48" t="s">
        <v>200</v>
      </c>
      <c r="D42" s="61">
        <f>#REF!</f>
        <v>17.32</v>
      </c>
      <c r="E42" s="61">
        <f t="shared" si="4"/>
        <v>0</v>
      </c>
      <c r="F42" s="61">
        <f t="shared" si="21"/>
        <v>0</v>
      </c>
      <c r="G42" s="61">
        <f t="shared" si="8"/>
        <v>0</v>
      </c>
      <c r="H42" s="61">
        <f t="shared" si="12"/>
        <v>0</v>
      </c>
      <c r="I42" s="61"/>
      <c r="J42" s="61"/>
      <c r="K42" s="61"/>
      <c r="L42" s="61"/>
      <c r="M42" s="61"/>
      <c r="N42" s="61"/>
      <c r="O42" s="61"/>
      <c r="P42" s="61"/>
      <c r="Q42" s="61"/>
      <c r="R42" s="61"/>
      <c r="S42" s="61"/>
      <c r="T42" s="61"/>
      <c r="U42" s="61"/>
      <c r="V42" s="61">
        <f t="shared" si="13"/>
        <v>17.32</v>
      </c>
      <c r="W42" s="61"/>
      <c r="X42" s="61"/>
      <c r="Y42" s="61"/>
      <c r="Z42" s="61"/>
      <c r="AA42" s="61"/>
      <c r="AB42" s="61"/>
      <c r="AC42" s="61"/>
      <c r="AD42" s="61"/>
      <c r="AE42" s="61">
        <f t="shared" si="27"/>
        <v>17.309999999999999</v>
      </c>
      <c r="AF42" s="61"/>
      <c r="AG42" s="61"/>
      <c r="AH42" s="61"/>
      <c r="AI42" s="61"/>
      <c r="AJ42" s="61"/>
      <c r="AK42" s="61"/>
      <c r="AL42" s="61">
        <v>0.02</v>
      </c>
      <c r="AM42" s="61">
        <f>D42-BL42</f>
        <v>17.29</v>
      </c>
      <c r="AN42" s="61"/>
      <c r="AO42" s="61"/>
      <c r="AP42" s="61"/>
      <c r="AQ42" s="61"/>
      <c r="AR42" s="61"/>
      <c r="AS42" s="61"/>
      <c r="AT42" s="61">
        <v>0.01</v>
      </c>
      <c r="AU42" s="61"/>
      <c r="AV42" s="61"/>
      <c r="AW42" s="61"/>
      <c r="AX42" s="61"/>
      <c r="AY42" s="61"/>
      <c r="AZ42" s="61"/>
      <c r="BA42" s="61"/>
      <c r="BB42" s="61"/>
      <c r="BC42" s="61"/>
      <c r="BD42" s="61"/>
      <c r="BE42" s="61"/>
      <c r="BF42" s="61"/>
      <c r="BG42" s="61"/>
      <c r="BH42" s="61">
        <f t="shared" si="22"/>
        <v>0</v>
      </c>
      <c r="BI42" s="61"/>
      <c r="BJ42" s="61"/>
      <c r="BK42" s="61"/>
      <c r="BL42" s="61">
        <f>E42+W42+X42+Y42+Z42+AA42+AB42+AC42+AD42+AF42+AG42+AH42+AI42+AJ42+AK42+AL42+AN42+AO42+AP42+AQ42+AR42+AS42+AT42+AU42+AV42+AW42+AX42+AY42+AZ42+BA42+BB42+BC42+BD42+BE42+BF42+BG42+BH42</f>
        <v>0.03</v>
      </c>
      <c r="BM42" s="61">
        <f>AM67-BL42</f>
        <v>-0.03</v>
      </c>
      <c r="BN42" s="61">
        <f t="shared" si="28"/>
        <v>17.29</v>
      </c>
      <c r="BO42" s="123"/>
      <c r="BP42" s="117"/>
    </row>
    <row r="43" spans="1:68" ht="20.100000000000001" customHeight="1">
      <c r="A43" s="5" t="s">
        <v>232</v>
      </c>
      <c r="B43" s="72" t="s">
        <v>486</v>
      </c>
      <c r="C43" s="48" t="s">
        <v>223</v>
      </c>
      <c r="D43" s="61">
        <f>#REF!</f>
        <v>0.03</v>
      </c>
      <c r="E43" s="61">
        <f t="shared" si="4"/>
        <v>0</v>
      </c>
      <c r="F43" s="61">
        <f t="shared" si="21"/>
        <v>0</v>
      </c>
      <c r="G43" s="61">
        <f t="shared" si="8"/>
        <v>0</v>
      </c>
      <c r="H43" s="61">
        <f t="shared" si="12"/>
        <v>0</v>
      </c>
      <c r="I43" s="61"/>
      <c r="J43" s="61"/>
      <c r="K43" s="61"/>
      <c r="L43" s="61"/>
      <c r="M43" s="61"/>
      <c r="N43" s="61"/>
      <c r="O43" s="61"/>
      <c r="P43" s="61"/>
      <c r="Q43" s="61"/>
      <c r="R43" s="61"/>
      <c r="S43" s="61"/>
      <c r="T43" s="61"/>
      <c r="U43" s="61"/>
      <c r="V43" s="61">
        <f t="shared" si="13"/>
        <v>0.03</v>
      </c>
      <c r="W43" s="61"/>
      <c r="X43" s="61"/>
      <c r="Y43" s="61"/>
      <c r="Z43" s="61"/>
      <c r="AA43" s="61"/>
      <c r="AB43" s="61"/>
      <c r="AC43" s="61"/>
      <c r="AD43" s="61"/>
      <c r="AE43" s="61">
        <f t="shared" si="27"/>
        <v>0.03</v>
      </c>
      <c r="AF43" s="61"/>
      <c r="AG43" s="61"/>
      <c r="AH43" s="61"/>
      <c r="AI43" s="61"/>
      <c r="AJ43" s="61"/>
      <c r="AK43" s="61"/>
      <c r="AL43" s="61"/>
      <c r="AM43" s="61"/>
      <c r="AN43" s="61">
        <f>D43-BL43</f>
        <v>0.03</v>
      </c>
      <c r="AO43" s="61"/>
      <c r="AP43" s="61"/>
      <c r="AQ43" s="61"/>
      <c r="AR43" s="61"/>
      <c r="AS43" s="61"/>
      <c r="AT43" s="61"/>
      <c r="AU43" s="61"/>
      <c r="AV43" s="61"/>
      <c r="AW43" s="61"/>
      <c r="AX43" s="61"/>
      <c r="AY43" s="61"/>
      <c r="AZ43" s="61"/>
      <c r="BA43" s="61"/>
      <c r="BB43" s="61"/>
      <c r="BC43" s="61"/>
      <c r="BD43" s="61"/>
      <c r="BE43" s="61"/>
      <c r="BF43" s="61"/>
      <c r="BG43" s="61"/>
      <c r="BH43" s="61">
        <f t="shared" si="22"/>
        <v>0</v>
      </c>
      <c r="BI43" s="61"/>
      <c r="BJ43" s="61"/>
      <c r="BK43" s="61"/>
      <c r="BL43" s="61">
        <f>E43+W43+X43+Y43+Z43+AA43+AB43+AC43+AD43+AF43+AG43+AH43+AI43+AJ43+AK43+AL43+AM43+AO43+AP43+AQ43+AR43+AS43+AT43+AU43+AV43+AW43+AX43+AY43+AZ43+BA43+BB43+BC43+BD43+BE43+BF43+BG43+BH43</f>
        <v>0</v>
      </c>
      <c r="BM43" s="61">
        <f>AN67-BL43</f>
        <v>0</v>
      </c>
      <c r="BN43" s="61">
        <f t="shared" si="28"/>
        <v>0.03</v>
      </c>
      <c r="BO43" s="123"/>
      <c r="BP43" s="117"/>
    </row>
    <row r="44" spans="1:68" ht="20.100000000000001" customHeight="1">
      <c r="A44" s="5" t="s">
        <v>233</v>
      </c>
      <c r="B44" s="72" t="s">
        <v>487</v>
      </c>
      <c r="C44" s="48" t="s">
        <v>201</v>
      </c>
      <c r="D44" s="61">
        <f>#REF!</f>
        <v>0.51</v>
      </c>
      <c r="E44" s="61">
        <f t="shared" si="4"/>
        <v>0</v>
      </c>
      <c r="F44" s="61">
        <f t="shared" si="21"/>
        <v>0</v>
      </c>
      <c r="G44" s="61">
        <f t="shared" si="8"/>
        <v>0</v>
      </c>
      <c r="H44" s="61">
        <f t="shared" si="12"/>
        <v>0</v>
      </c>
      <c r="I44" s="61"/>
      <c r="J44" s="61"/>
      <c r="K44" s="61"/>
      <c r="L44" s="61"/>
      <c r="M44" s="61"/>
      <c r="N44" s="61"/>
      <c r="O44" s="61"/>
      <c r="P44" s="61"/>
      <c r="Q44" s="61"/>
      <c r="R44" s="61"/>
      <c r="S44" s="61"/>
      <c r="T44" s="61"/>
      <c r="U44" s="61"/>
      <c r="V44" s="61">
        <f t="shared" si="13"/>
        <v>0.51</v>
      </c>
      <c r="W44" s="61"/>
      <c r="X44" s="61"/>
      <c r="Y44" s="61"/>
      <c r="Z44" s="61"/>
      <c r="AA44" s="61"/>
      <c r="AB44" s="61"/>
      <c r="AC44" s="61"/>
      <c r="AD44" s="61"/>
      <c r="AE44" s="61">
        <f t="shared" si="27"/>
        <v>0.51</v>
      </c>
      <c r="AF44" s="61"/>
      <c r="AG44" s="61"/>
      <c r="AH44" s="61"/>
      <c r="AI44" s="61"/>
      <c r="AJ44" s="61"/>
      <c r="AK44" s="61"/>
      <c r="AL44" s="61"/>
      <c r="AM44" s="61"/>
      <c r="AN44" s="61"/>
      <c r="AO44" s="61">
        <f>D44-BL44</f>
        <v>0.51</v>
      </c>
      <c r="AP44" s="61"/>
      <c r="AQ44" s="61"/>
      <c r="AR44" s="61"/>
      <c r="AS44" s="61"/>
      <c r="AT44" s="61"/>
      <c r="AU44" s="61"/>
      <c r="AV44" s="61"/>
      <c r="AW44" s="61"/>
      <c r="AX44" s="61"/>
      <c r="AY44" s="61"/>
      <c r="AZ44" s="61"/>
      <c r="BA44" s="61"/>
      <c r="BB44" s="61"/>
      <c r="BC44" s="61"/>
      <c r="BD44" s="61"/>
      <c r="BE44" s="61"/>
      <c r="BF44" s="61"/>
      <c r="BG44" s="61"/>
      <c r="BH44" s="61">
        <f t="shared" si="22"/>
        <v>0</v>
      </c>
      <c r="BI44" s="61"/>
      <c r="BJ44" s="61"/>
      <c r="BK44" s="61"/>
      <c r="BL44" s="61">
        <f>E44+W44+X44+Y44+Z44+AA44+AB44+AC44+AD44+AF44+AG44+AH44+AI44+AJ44+AK44+AL44+AM44+AN44+AP44+AQ44+AR44+AS44+AT44+AU44+AV44+AW44+AX44+AY44+AZ44+BA44+BB44+BC44+BD44+BE44+BF44+BG44+BH44</f>
        <v>0</v>
      </c>
      <c r="BM44" s="61">
        <f>AO67-BL44</f>
        <v>0</v>
      </c>
      <c r="BN44" s="61">
        <f t="shared" si="28"/>
        <v>0.51</v>
      </c>
      <c r="BO44" s="123"/>
      <c r="BP44" s="117"/>
    </row>
    <row r="45" spans="1:68" ht="20.100000000000001" customHeight="1">
      <c r="A45" s="5" t="s">
        <v>234</v>
      </c>
      <c r="B45" s="72" t="s">
        <v>488</v>
      </c>
      <c r="C45" s="48" t="s">
        <v>208</v>
      </c>
      <c r="D45" s="61"/>
      <c r="E45" s="61">
        <f t="shared" si="4"/>
        <v>0</v>
      </c>
      <c r="F45" s="61">
        <f t="shared" si="21"/>
        <v>0</v>
      </c>
      <c r="G45" s="61">
        <f t="shared" si="8"/>
        <v>0</v>
      </c>
      <c r="H45" s="61">
        <f t="shared" si="12"/>
        <v>0</v>
      </c>
      <c r="I45" s="61"/>
      <c r="J45" s="61"/>
      <c r="K45" s="61"/>
      <c r="L45" s="61"/>
      <c r="M45" s="61"/>
      <c r="N45" s="61"/>
      <c r="O45" s="61"/>
      <c r="P45" s="61"/>
      <c r="Q45" s="61"/>
      <c r="R45" s="61"/>
      <c r="S45" s="61"/>
      <c r="T45" s="61"/>
      <c r="U45" s="61"/>
      <c r="V45" s="61">
        <f t="shared" si="13"/>
        <v>0</v>
      </c>
      <c r="W45" s="61"/>
      <c r="X45" s="61"/>
      <c r="Y45" s="61"/>
      <c r="Z45" s="61"/>
      <c r="AA45" s="61"/>
      <c r="AB45" s="61"/>
      <c r="AC45" s="61"/>
      <c r="AD45" s="61"/>
      <c r="AE45" s="61">
        <f t="shared" si="27"/>
        <v>0</v>
      </c>
      <c r="AF45" s="61"/>
      <c r="AG45" s="61"/>
      <c r="AH45" s="61"/>
      <c r="AI45" s="61"/>
      <c r="AJ45" s="61"/>
      <c r="AK45" s="61"/>
      <c r="AL45" s="61"/>
      <c r="AM45" s="61"/>
      <c r="AN45" s="61"/>
      <c r="AO45" s="61"/>
      <c r="AP45" s="61">
        <f>D45-BL45</f>
        <v>0</v>
      </c>
      <c r="AQ45" s="61"/>
      <c r="AR45" s="61"/>
      <c r="AS45" s="61"/>
      <c r="AT45" s="61"/>
      <c r="AU45" s="61"/>
      <c r="AV45" s="61"/>
      <c r="AW45" s="61"/>
      <c r="AX45" s="61"/>
      <c r="AY45" s="61"/>
      <c r="AZ45" s="61"/>
      <c r="BA45" s="61"/>
      <c r="BB45" s="61"/>
      <c r="BC45" s="61"/>
      <c r="BD45" s="61"/>
      <c r="BE45" s="61"/>
      <c r="BF45" s="61"/>
      <c r="BG45" s="61"/>
      <c r="BH45" s="61">
        <f t="shared" si="22"/>
        <v>0</v>
      </c>
      <c r="BI45" s="61"/>
      <c r="BJ45" s="61"/>
      <c r="BK45" s="61"/>
      <c r="BL45" s="61">
        <f>E45+W45+X45+Y45+Z45+AA45+AB45+AC45+AD45+AF45+AG45+AH45+AI45+AJ45+AK45+AL45+AM45+AN45+AO45+AQ45+AR45+AS45+AT45+AU45+AV45+AW45+AX45+AY45+AZ45+BA45+BB45+BC45+BD45+BE45+BF45+BG45+BH45</f>
        <v>0</v>
      </c>
      <c r="BM45" s="61">
        <f>AP67-BL45</f>
        <v>0</v>
      </c>
      <c r="BN45" s="61">
        <f t="shared" si="28"/>
        <v>0</v>
      </c>
      <c r="BO45" s="123"/>
      <c r="BP45" s="117"/>
    </row>
    <row r="46" spans="1:68" ht="20.100000000000001" customHeight="1">
      <c r="A46" s="20" t="s">
        <v>73</v>
      </c>
      <c r="B46" s="110" t="s">
        <v>74</v>
      </c>
      <c r="C46" s="48" t="s">
        <v>75</v>
      </c>
      <c r="D46" s="61"/>
      <c r="E46" s="61">
        <f t="shared" si="4"/>
        <v>0</v>
      </c>
      <c r="F46" s="61">
        <f t="shared" si="21"/>
        <v>0</v>
      </c>
      <c r="G46" s="61">
        <f t="shared" si="8"/>
        <v>0</v>
      </c>
      <c r="H46" s="61">
        <f t="shared" si="12"/>
        <v>0</v>
      </c>
      <c r="I46" s="61"/>
      <c r="J46" s="61"/>
      <c r="K46" s="61"/>
      <c r="L46" s="61"/>
      <c r="M46" s="61"/>
      <c r="N46" s="61"/>
      <c r="O46" s="61"/>
      <c r="P46" s="61"/>
      <c r="Q46" s="61"/>
      <c r="R46" s="61"/>
      <c r="S46" s="61"/>
      <c r="T46" s="61"/>
      <c r="U46" s="61"/>
      <c r="V46" s="61">
        <f t="shared" si="13"/>
        <v>0</v>
      </c>
      <c r="W46" s="61"/>
      <c r="X46" s="61"/>
      <c r="Y46" s="61"/>
      <c r="Z46" s="61"/>
      <c r="AA46" s="61"/>
      <c r="AB46" s="61"/>
      <c r="AC46" s="61"/>
      <c r="AD46" s="61"/>
      <c r="AE46" s="61">
        <f t="shared" si="27"/>
        <v>0</v>
      </c>
      <c r="AF46" s="61"/>
      <c r="AG46" s="61"/>
      <c r="AH46" s="61"/>
      <c r="AI46" s="61"/>
      <c r="AJ46" s="61"/>
      <c r="AK46" s="61"/>
      <c r="AL46" s="61"/>
      <c r="AM46" s="61"/>
      <c r="AN46" s="61"/>
      <c r="AO46" s="61"/>
      <c r="AP46" s="61"/>
      <c r="AQ46" s="61">
        <f>D46-BL46</f>
        <v>0</v>
      </c>
      <c r="AR46" s="61"/>
      <c r="AS46" s="61"/>
      <c r="AT46" s="61"/>
      <c r="AU46" s="61"/>
      <c r="AV46" s="61"/>
      <c r="AW46" s="61"/>
      <c r="AX46" s="61"/>
      <c r="AY46" s="61"/>
      <c r="AZ46" s="61"/>
      <c r="BA46" s="61"/>
      <c r="BB46" s="61"/>
      <c r="BC46" s="61"/>
      <c r="BD46" s="61"/>
      <c r="BE46" s="61"/>
      <c r="BF46" s="61"/>
      <c r="BG46" s="61"/>
      <c r="BH46" s="61">
        <f t="shared" si="22"/>
        <v>0</v>
      </c>
      <c r="BI46" s="61"/>
      <c r="BJ46" s="61"/>
      <c r="BK46" s="61"/>
      <c r="BL46" s="61">
        <f>E46+W46+X46+Y46+Z46+AA46+AB46+AC46+AD46+AE46+AR46+AS46+AT46+AU46+AV46+AW46+AX46+AY46+AZ46+BA46+BB46+BC46+BD46+BE46+BF46+BG46+BH46</f>
        <v>0</v>
      </c>
      <c r="BM46" s="61">
        <f>AQ67-BL46</f>
        <v>0</v>
      </c>
      <c r="BN46" s="61">
        <f>D46+BM46</f>
        <v>0</v>
      </c>
      <c r="BO46" s="123"/>
      <c r="BP46" s="117"/>
    </row>
    <row r="47" spans="1:68" ht="20.100000000000001" customHeight="1">
      <c r="A47" s="20" t="s">
        <v>76</v>
      </c>
      <c r="B47" s="110" t="s">
        <v>77</v>
      </c>
      <c r="C47" s="48" t="s">
        <v>78</v>
      </c>
      <c r="D47" s="61"/>
      <c r="E47" s="61">
        <f t="shared" si="4"/>
        <v>0</v>
      </c>
      <c r="F47" s="61">
        <f t="shared" si="21"/>
        <v>0</v>
      </c>
      <c r="G47" s="61">
        <f t="shared" si="8"/>
        <v>0</v>
      </c>
      <c r="H47" s="61">
        <f t="shared" si="12"/>
        <v>0</v>
      </c>
      <c r="I47" s="61"/>
      <c r="J47" s="61"/>
      <c r="K47" s="61"/>
      <c r="L47" s="61"/>
      <c r="M47" s="61"/>
      <c r="N47" s="61"/>
      <c r="O47" s="61"/>
      <c r="P47" s="61"/>
      <c r="Q47" s="61"/>
      <c r="R47" s="61"/>
      <c r="S47" s="61"/>
      <c r="T47" s="61"/>
      <c r="U47" s="61"/>
      <c r="V47" s="61">
        <f t="shared" si="13"/>
        <v>0</v>
      </c>
      <c r="W47" s="61"/>
      <c r="X47" s="61"/>
      <c r="Y47" s="61"/>
      <c r="Z47" s="61"/>
      <c r="AA47" s="61"/>
      <c r="AB47" s="61"/>
      <c r="AC47" s="61"/>
      <c r="AD47" s="61"/>
      <c r="AE47" s="61">
        <f t="shared" si="27"/>
        <v>0</v>
      </c>
      <c r="AF47" s="61"/>
      <c r="AG47" s="61"/>
      <c r="AH47" s="61"/>
      <c r="AI47" s="61"/>
      <c r="AJ47" s="61"/>
      <c r="AK47" s="61"/>
      <c r="AL47" s="61"/>
      <c r="AM47" s="61"/>
      <c r="AN47" s="61"/>
      <c r="AO47" s="61"/>
      <c r="AP47" s="61"/>
      <c r="AQ47" s="61"/>
      <c r="AR47" s="61">
        <f>D47-BL47</f>
        <v>0</v>
      </c>
      <c r="AS47" s="61"/>
      <c r="AT47" s="61"/>
      <c r="AU47" s="61"/>
      <c r="AV47" s="61"/>
      <c r="AW47" s="61"/>
      <c r="AX47" s="61"/>
      <c r="AY47" s="61"/>
      <c r="AZ47" s="61"/>
      <c r="BA47" s="61"/>
      <c r="BB47" s="61"/>
      <c r="BC47" s="61"/>
      <c r="BD47" s="61"/>
      <c r="BE47" s="61"/>
      <c r="BF47" s="61"/>
      <c r="BG47" s="61"/>
      <c r="BH47" s="61">
        <f t="shared" si="22"/>
        <v>0</v>
      </c>
      <c r="BI47" s="61"/>
      <c r="BJ47" s="61"/>
      <c r="BK47" s="61"/>
      <c r="BL47" s="61">
        <f>E47+W47+X47+Y47+Z47+AA47+AB47+AC47+AD47+AE47+AQ47+AS47+AT47+AU47+AV47+AW47+AX47+AY47+AZ47+BA47+BB47+BC47+BD47+BE47+BF47+BG47+BH47</f>
        <v>0</v>
      </c>
      <c r="BM47" s="61">
        <f>AR67-BL47</f>
        <v>0</v>
      </c>
      <c r="BN47" s="61">
        <f t="shared" ref="BN47:BN62" si="29">D47+BM47</f>
        <v>0</v>
      </c>
      <c r="BO47" s="123"/>
      <c r="BP47" s="117"/>
    </row>
    <row r="48" spans="1:68" ht="20.100000000000001" customHeight="1">
      <c r="A48" s="20" t="s">
        <v>79</v>
      </c>
      <c r="B48" s="110" t="s">
        <v>80</v>
      </c>
      <c r="C48" s="48" t="s">
        <v>81</v>
      </c>
      <c r="D48" s="61"/>
      <c r="E48" s="61">
        <f t="shared" si="4"/>
        <v>0</v>
      </c>
      <c r="F48" s="61">
        <f t="shared" si="21"/>
        <v>0</v>
      </c>
      <c r="G48" s="61">
        <f t="shared" si="8"/>
        <v>0</v>
      </c>
      <c r="H48" s="61">
        <f t="shared" si="12"/>
        <v>0</v>
      </c>
      <c r="I48" s="61"/>
      <c r="J48" s="61"/>
      <c r="K48" s="61"/>
      <c r="L48" s="61"/>
      <c r="M48" s="61"/>
      <c r="N48" s="61"/>
      <c r="O48" s="61"/>
      <c r="P48" s="61"/>
      <c r="Q48" s="61"/>
      <c r="R48" s="61"/>
      <c r="S48" s="61"/>
      <c r="T48" s="61"/>
      <c r="U48" s="61"/>
      <c r="V48" s="61">
        <f t="shared" si="13"/>
        <v>0</v>
      </c>
      <c r="W48" s="61"/>
      <c r="X48" s="61"/>
      <c r="Y48" s="61"/>
      <c r="Z48" s="61"/>
      <c r="AA48" s="61"/>
      <c r="AB48" s="61"/>
      <c r="AC48" s="61"/>
      <c r="AD48" s="61"/>
      <c r="AE48" s="61">
        <f t="shared" si="27"/>
        <v>0</v>
      </c>
      <c r="AF48" s="61"/>
      <c r="AG48" s="61"/>
      <c r="AH48" s="61"/>
      <c r="AI48" s="61"/>
      <c r="AJ48" s="61"/>
      <c r="AK48" s="61"/>
      <c r="AL48" s="61"/>
      <c r="AM48" s="61"/>
      <c r="AN48" s="61"/>
      <c r="AO48" s="61"/>
      <c r="AP48" s="61"/>
      <c r="AQ48" s="61"/>
      <c r="AR48" s="61"/>
      <c r="AS48" s="61">
        <f>D48-BL48</f>
        <v>0</v>
      </c>
      <c r="AT48" s="61"/>
      <c r="AU48" s="61"/>
      <c r="AV48" s="61"/>
      <c r="AW48" s="61"/>
      <c r="AX48" s="61"/>
      <c r="AY48" s="61"/>
      <c r="AZ48" s="61"/>
      <c r="BA48" s="61"/>
      <c r="BB48" s="61"/>
      <c r="BC48" s="61"/>
      <c r="BD48" s="61"/>
      <c r="BE48" s="61"/>
      <c r="BF48" s="61"/>
      <c r="BG48" s="61"/>
      <c r="BH48" s="61">
        <f t="shared" si="22"/>
        <v>0</v>
      </c>
      <c r="BI48" s="61"/>
      <c r="BJ48" s="61"/>
      <c r="BK48" s="61"/>
      <c r="BL48" s="61">
        <f>E48+W48+X48+Y48+Z48+AA48+AB48+AC48+AD48+AQ48+AR48+AT48+AU48+AV48+AW48+AX48+AY48+AZ48+BA48+BB48+BC48+BD48+BE48+BF48+BG48+BH48</f>
        <v>0</v>
      </c>
      <c r="BM48" s="61">
        <f>AS67-BL48</f>
        <v>4.6000000000000005</v>
      </c>
      <c r="BN48" s="61">
        <f t="shared" si="29"/>
        <v>4.6000000000000005</v>
      </c>
      <c r="BO48" s="123"/>
      <c r="BP48" s="117"/>
    </row>
    <row r="49" spans="1:68" ht="20.100000000000001" customHeight="1">
      <c r="A49" s="20" t="s">
        <v>82</v>
      </c>
      <c r="B49" s="110" t="s">
        <v>83</v>
      </c>
      <c r="C49" s="48" t="s">
        <v>84</v>
      </c>
      <c r="D49" s="61">
        <f>#REF!</f>
        <v>45.69</v>
      </c>
      <c r="E49" s="61">
        <f t="shared" si="4"/>
        <v>0</v>
      </c>
      <c r="F49" s="61">
        <f t="shared" si="21"/>
        <v>0</v>
      </c>
      <c r="G49" s="61">
        <f t="shared" si="8"/>
        <v>0</v>
      </c>
      <c r="H49" s="61">
        <f t="shared" si="12"/>
        <v>0</v>
      </c>
      <c r="I49" s="61"/>
      <c r="J49" s="61"/>
      <c r="K49" s="61"/>
      <c r="L49" s="61"/>
      <c r="M49" s="61"/>
      <c r="N49" s="61"/>
      <c r="O49" s="61"/>
      <c r="P49" s="61"/>
      <c r="Q49" s="61"/>
      <c r="R49" s="61"/>
      <c r="S49" s="61"/>
      <c r="T49" s="61"/>
      <c r="U49" s="61"/>
      <c r="V49" s="61">
        <f t="shared" si="13"/>
        <v>45.69</v>
      </c>
      <c r="W49" s="61"/>
      <c r="X49" s="61"/>
      <c r="Y49" s="61"/>
      <c r="Z49" s="61"/>
      <c r="AA49" s="61"/>
      <c r="AB49" s="61"/>
      <c r="AC49" s="61"/>
      <c r="AD49" s="61"/>
      <c r="AE49" s="61">
        <f t="shared" si="27"/>
        <v>0.14000000000000001</v>
      </c>
      <c r="AF49" s="61"/>
      <c r="AG49" s="61"/>
      <c r="AH49" s="61"/>
      <c r="AI49" s="61"/>
      <c r="AJ49" s="61"/>
      <c r="AK49" s="61"/>
      <c r="AL49" s="61">
        <v>0.14000000000000001</v>
      </c>
      <c r="AM49" s="61"/>
      <c r="AN49" s="61"/>
      <c r="AO49" s="61"/>
      <c r="AP49" s="61"/>
      <c r="AQ49" s="61"/>
      <c r="AR49" s="61"/>
      <c r="AS49" s="61"/>
      <c r="AT49" s="61">
        <f>D49-BL49</f>
        <v>45.55</v>
      </c>
      <c r="AU49" s="61"/>
      <c r="AV49" s="61"/>
      <c r="AW49" s="61"/>
      <c r="AX49" s="61"/>
      <c r="AY49" s="61"/>
      <c r="AZ49" s="61"/>
      <c r="BA49" s="61"/>
      <c r="BB49" s="61"/>
      <c r="BC49" s="61"/>
      <c r="BD49" s="61"/>
      <c r="BE49" s="61"/>
      <c r="BF49" s="61"/>
      <c r="BG49" s="61"/>
      <c r="BH49" s="61">
        <f t="shared" si="22"/>
        <v>0</v>
      </c>
      <c r="BI49" s="61"/>
      <c r="BJ49" s="61"/>
      <c r="BK49" s="61"/>
      <c r="BL49" s="61">
        <f>E49+W49+X49+Y49+Z49+AA49+AB49+AC49+AD49+AE49+AQ49+AR49+AS49+AU49+AV49+AW49+AX49+AY49+AZ49+BA49+BB49+BC49+BD49+BE49+BF49+BG49+BH49</f>
        <v>0.14000000000000001</v>
      </c>
      <c r="BM49" s="61">
        <f>AT67-BL49</f>
        <v>4.5900000000000007</v>
      </c>
      <c r="BN49" s="61">
        <f t="shared" si="29"/>
        <v>50.28</v>
      </c>
      <c r="BO49" s="123"/>
      <c r="BP49" s="117"/>
    </row>
    <row r="50" spans="1:68" ht="20.100000000000001" customHeight="1">
      <c r="A50" s="20" t="s">
        <v>85</v>
      </c>
      <c r="B50" s="110" t="s">
        <v>86</v>
      </c>
      <c r="C50" s="48" t="s">
        <v>87</v>
      </c>
      <c r="D50" s="61"/>
      <c r="E50" s="61">
        <f t="shared" si="4"/>
        <v>0</v>
      </c>
      <c r="F50" s="61">
        <f t="shared" si="21"/>
        <v>0</v>
      </c>
      <c r="G50" s="61">
        <f t="shared" si="8"/>
        <v>0</v>
      </c>
      <c r="H50" s="61">
        <f t="shared" si="12"/>
        <v>0</v>
      </c>
      <c r="I50" s="61"/>
      <c r="J50" s="61"/>
      <c r="K50" s="61"/>
      <c r="L50" s="61"/>
      <c r="M50" s="61"/>
      <c r="N50" s="61"/>
      <c r="O50" s="61"/>
      <c r="P50" s="61"/>
      <c r="Q50" s="61"/>
      <c r="R50" s="61"/>
      <c r="S50" s="61"/>
      <c r="T50" s="61"/>
      <c r="U50" s="61"/>
      <c r="V50" s="61">
        <f t="shared" si="13"/>
        <v>0</v>
      </c>
      <c r="W50" s="61"/>
      <c r="X50" s="61"/>
      <c r="Y50" s="61"/>
      <c r="Z50" s="61"/>
      <c r="AA50" s="61"/>
      <c r="AB50" s="61"/>
      <c r="AC50" s="61"/>
      <c r="AD50" s="61"/>
      <c r="AE50" s="61">
        <f t="shared" si="27"/>
        <v>0</v>
      </c>
      <c r="AF50" s="61"/>
      <c r="AG50" s="61"/>
      <c r="AH50" s="61"/>
      <c r="AI50" s="61"/>
      <c r="AJ50" s="61"/>
      <c r="AK50" s="61"/>
      <c r="AL50" s="61"/>
      <c r="AM50" s="61"/>
      <c r="AN50" s="61"/>
      <c r="AO50" s="61"/>
      <c r="AP50" s="61"/>
      <c r="AQ50" s="61"/>
      <c r="AR50" s="61"/>
      <c r="AS50" s="61"/>
      <c r="AT50" s="61"/>
      <c r="AU50" s="61">
        <f>D50-BL50</f>
        <v>0</v>
      </c>
      <c r="AV50" s="61"/>
      <c r="AW50" s="61"/>
      <c r="AX50" s="61"/>
      <c r="AY50" s="61"/>
      <c r="AZ50" s="61"/>
      <c r="BA50" s="61"/>
      <c r="BB50" s="61"/>
      <c r="BC50" s="61"/>
      <c r="BD50" s="61"/>
      <c r="BE50" s="61"/>
      <c r="BF50" s="61"/>
      <c r="BG50" s="61"/>
      <c r="BH50" s="61">
        <f t="shared" si="22"/>
        <v>0</v>
      </c>
      <c r="BI50" s="61"/>
      <c r="BJ50" s="61"/>
      <c r="BK50" s="61"/>
      <c r="BL50" s="61">
        <f>E50+W50+X50+Y50+Z50+AA50+AB50+AC50+AD50+AE50+AQ50+AR50+AS50+AT50+AV50+AW50+AX50+AY50+AZ50+BA50+BB50+BC50+BD50+BE50+BF50+BG50+BH50</f>
        <v>0</v>
      </c>
      <c r="BM50" s="61">
        <f>AU67-BL50</f>
        <v>0</v>
      </c>
      <c r="BN50" s="61">
        <f t="shared" si="29"/>
        <v>0</v>
      </c>
      <c r="BO50" s="123"/>
      <c r="BP50" s="117"/>
    </row>
    <row r="51" spans="1:68" ht="20.100000000000001" customHeight="1">
      <c r="A51" s="20" t="s">
        <v>88</v>
      </c>
      <c r="B51" s="110" t="s">
        <v>89</v>
      </c>
      <c r="C51" s="48" t="s">
        <v>90</v>
      </c>
      <c r="D51" s="61">
        <f>#REF!</f>
        <v>4.47</v>
      </c>
      <c r="E51" s="61">
        <f t="shared" si="4"/>
        <v>0</v>
      </c>
      <c r="F51" s="61">
        <f t="shared" si="21"/>
        <v>0</v>
      </c>
      <c r="G51" s="61">
        <f t="shared" si="8"/>
        <v>0</v>
      </c>
      <c r="H51" s="61">
        <f t="shared" si="12"/>
        <v>0</v>
      </c>
      <c r="I51" s="61"/>
      <c r="J51" s="61"/>
      <c r="K51" s="61"/>
      <c r="L51" s="61"/>
      <c r="M51" s="61"/>
      <c r="N51" s="61"/>
      <c r="O51" s="61"/>
      <c r="P51" s="61"/>
      <c r="Q51" s="61"/>
      <c r="R51" s="61"/>
      <c r="S51" s="61"/>
      <c r="T51" s="61"/>
      <c r="U51" s="61"/>
      <c r="V51" s="61">
        <f t="shared" si="13"/>
        <v>4.47</v>
      </c>
      <c r="W51" s="61"/>
      <c r="X51" s="61"/>
      <c r="Y51" s="61"/>
      <c r="Z51" s="61"/>
      <c r="AA51" s="61"/>
      <c r="AB51" s="61"/>
      <c r="AC51" s="61"/>
      <c r="AD51" s="61"/>
      <c r="AE51" s="61">
        <f t="shared" si="27"/>
        <v>0</v>
      </c>
      <c r="AF51" s="61"/>
      <c r="AG51" s="61"/>
      <c r="AH51" s="61"/>
      <c r="AI51" s="61"/>
      <c r="AJ51" s="61"/>
      <c r="AK51" s="61"/>
      <c r="AL51" s="61"/>
      <c r="AM51" s="61"/>
      <c r="AN51" s="61"/>
      <c r="AO51" s="61"/>
      <c r="AP51" s="61"/>
      <c r="AQ51" s="61"/>
      <c r="AR51" s="61"/>
      <c r="AS51" s="61"/>
      <c r="AT51" s="61"/>
      <c r="AU51" s="61"/>
      <c r="AV51" s="61">
        <f>D51-BL51</f>
        <v>4.47</v>
      </c>
      <c r="AW51" s="61"/>
      <c r="AX51" s="61"/>
      <c r="AY51" s="61"/>
      <c r="AZ51" s="61"/>
      <c r="BA51" s="61"/>
      <c r="BB51" s="61"/>
      <c r="BC51" s="61"/>
      <c r="BD51" s="61"/>
      <c r="BE51" s="61"/>
      <c r="BF51" s="61"/>
      <c r="BG51" s="61"/>
      <c r="BH51" s="61">
        <f t="shared" si="22"/>
        <v>0</v>
      </c>
      <c r="BI51" s="61"/>
      <c r="BJ51" s="61"/>
      <c r="BK51" s="61"/>
      <c r="BL51" s="61">
        <f>E51+W51+X51+Y51+Z51+AA51+AB51+AC51+AD51+AE51+AQ51+AR51+AS51+AT51+AU51+AW51+AX51+AY51+AZ51+BA51+BB51+BC51+BD51+BE51+BF51+BG51+BH51</f>
        <v>0</v>
      </c>
      <c r="BM51" s="61">
        <f>AV67-BL51</f>
        <v>0</v>
      </c>
      <c r="BN51" s="61">
        <f t="shared" si="29"/>
        <v>4.47</v>
      </c>
      <c r="BO51" s="123"/>
      <c r="BP51" s="117"/>
    </row>
    <row r="52" spans="1:68" ht="20.100000000000001" customHeight="1">
      <c r="A52" s="20" t="s">
        <v>91</v>
      </c>
      <c r="B52" s="110" t="s">
        <v>489</v>
      </c>
      <c r="C52" s="48" t="s">
        <v>93</v>
      </c>
      <c r="D52" s="61"/>
      <c r="E52" s="61">
        <f t="shared" si="4"/>
        <v>0</v>
      </c>
      <c r="F52" s="61">
        <f t="shared" si="21"/>
        <v>0</v>
      </c>
      <c r="G52" s="61">
        <f t="shared" si="8"/>
        <v>0</v>
      </c>
      <c r="H52" s="61">
        <f t="shared" si="12"/>
        <v>0</v>
      </c>
      <c r="I52" s="61"/>
      <c r="J52" s="61"/>
      <c r="K52" s="61"/>
      <c r="L52" s="61"/>
      <c r="M52" s="61"/>
      <c r="N52" s="61"/>
      <c r="O52" s="61"/>
      <c r="P52" s="61"/>
      <c r="Q52" s="61"/>
      <c r="R52" s="61"/>
      <c r="S52" s="61"/>
      <c r="T52" s="61"/>
      <c r="U52" s="61"/>
      <c r="V52" s="61">
        <f t="shared" si="13"/>
        <v>0</v>
      </c>
      <c r="W52" s="61"/>
      <c r="X52" s="61"/>
      <c r="Y52" s="61"/>
      <c r="Z52" s="61"/>
      <c r="AA52" s="61"/>
      <c r="AB52" s="61"/>
      <c r="AC52" s="61"/>
      <c r="AD52" s="61"/>
      <c r="AE52" s="61">
        <f t="shared" si="27"/>
        <v>0</v>
      </c>
      <c r="AF52" s="61"/>
      <c r="AG52" s="61"/>
      <c r="AH52" s="61"/>
      <c r="AI52" s="61"/>
      <c r="AJ52" s="61"/>
      <c r="AK52" s="61"/>
      <c r="AL52" s="61"/>
      <c r="AM52" s="61"/>
      <c r="AN52" s="61"/>
      <c r="AO52" s="61"/>
      <c r="AP52" s="61"/>
      <c r="AQ52" s="61"/>
      <c r="AR52" s="61"/>
      <c r="AS52" s="61"/>
      <c r="AT52" s="61"/>
      <c r="AU52" s="61"/>
      <c r="AV52" s="61"/>
      <c r="AW52" s="61">
        <f>D52-BL52</f>
        <v>0</v>
      </c>
      <c r="AX52" s="61"/>
      <c r="AY52" s="61"/>
      <c r="AZ52" s="61"/>
      <c r="BA52" s="61"/>
      <c r="BB52" s="61"/>
      <c r="BC52" s="61"/>
      <c r="BD52" s="61"/>
      <c r="BE52" s="61"/>
      <c r="BF52" s="61"/>
      <c r="BG52" s="61"/>
      <c r="BH52" s="61">
        <f t="shared" si="22"/>
        <v>0</v>
      </c>
      <c r="BI52" s="61"/>
      <c r="BJ52" s="61"/>
      <c r="BK52" s="61"/>
      <c r="BL52" s="61">
        <f>E52+W52+X52+Y52+Z52+AA52+AB52+AC52+AD52+AE52+AQ52+AR52+AS52+AT52+AU52+AV52+AX52+AY52+AZ52+BA52+BB52+BC52+BD52+BE52+BF52+BG52+BH52</f>
        <v>0</v>
      </c>
      <c r="BM52" s="61">
        <f>AW67-BL52</f>
        <v>0</v>
      </c>
      <c r="BN52" s="61">
        <f t="shared" si="29"/>
        <v>0</v>
      </c>
      <c r="BO52" s="123"/>
      <c r="BP52" s="117"/>
    </row>
    <row r="53" spans="1:68" ht="20.100000000000001" customHeight="1">
      <c r="A53" s="20" t="s">
        <v>94</v>
      </c>
      <c r="B53" s="110" t="s">
        <v>95</v>
      </c>
      <c r="C53" s="48" t="s">
        <v>96</v>
      </c>
      <c r="D53" s="61"/>
      <c r="E53" s="61">
        <f t="shared" si="4"/>
        <v>0</v>
      </c>
      <c r="F53" s="61">
        <f t="shared" si="21"/>
        <v>0</v>
      </c>
      <c r="G53" s="61">
        <f t="shared" si="8"/>
        <v>0</v>
      </c>
      <c r="H53" s="61">
        <f t="shared" si="12"/>
        <v>0</v>
      </c>
      <c r="I53" s="61"/>
      <c r="J53" s="61"/>
      <c r="K53" s="61"/>
      <c r="L53" s="61"/>
      <c r="M53" s="61"/>
      <c r="N53" s="61"/>
      <c r="O53" s="61"/>
      <c r="P53" s="61"/>
      <c r="Q53" s="61"/>
      <c r="R53" s="61"/>
      <c r="S53" s="61"/>
      <c r="T53" s="61"/>
      <c r="U53" s="61"/>
      <c r="V53" s="61">
        <f t="shared" si="13"/>
        <v>0</v>
      </c>
      <c r="W53" s="61"/>
      <c r="X53" s="61"/>
      <c r="Y53" s="61"/>
      <c r="Z53" s="61"/>
      <c r="AA53" s="61"/>
      <c r="AB53" s="61"/>
      <c r="AC53" s="61"/>
      <c r="AD53" s="61"/>
      <c r="AE53" s="61">
        <f t="shared" si="27"/>
        <v>0</v>
      </c>
      <c r="AF53" s="61"/>
      <c r="AG53" s="61"/>
      <c r="AH53" s="61"/>
      <c r="AI53" s="61"/>
      <c r="AJ53" s="61"/>
      <c r="AK53" s="61"/>
      <c r="AL53" s="61"/>
      <c r="AM53" s="61"/>
      <c r="AN53" s="61"/>
      <c r="AO53" s="61"/>
      <c r="AP53" s="61"/>
      <c r="AQ53" s="61"/>
      <c r="AR53" s="61"/>
      <c r="AS53" s="61"/>
      <c r="AT53" s="61"/>
      <c r="AU53" s="61"/>
      <c r="AV53" s="61"/>
      <c r="AW53" s="61"/>
      <c r="AX53" s="61">
        <f>D53-BL53</f>
        <v>0</v>
      </c>
      <c r="AY53" s="61"/>
      <c r="AZ53" s="61"/>
      <c r="BA53" s="61"/>
      <c r="BB53" s="61"/>
      <c r="BC53" s="61"/>
      <c r="BD53" s="61"/>
      <c r="BE53" s="61"/>
      <c r="BF53" s="61"/>
      <c r="BG53" s="61"/>
      <c r="BH53" s="61">
        <f t="shared" si="22"/>
        <v>0</v>
      </c>
      <c r="BI53" s="61"/>
      <c r="BJ53" s="61"/>
      <c r="BK53" s="61"/>
      <c r="BL53" s="61">
        <f>E53+W53+X53+Y53+Z53+AA53+AB53+AC53+AD53+AE53+AQ53+AR53+AS53+AT53+AU53+AV53+AW53+AY53+AZ53+BA53+BB53+BC53+BD53+BE53+BF53+BG53+BH53</f>
        <v>0</v>
      </c>
      <c r="BM53" s="61">
        <f>AX67-BL53</f>
        <v>0</v>
      </c>
      <c r="BN53" s="61">
        <f t="shared" si="29"/>
        <v>0</v>
      </c>
      <c r="BO53" s="123"/>
      <c r="BP53" s="117"/>
    </row>
    <row r="54" spans="1:68" ht="20.100000000000001" customHeight="1">
      <c r="A54" s="20" t="s">
        <v>97</v>
      </c>
      <c r="B54" s="110" t="s">
        <v>98</v>
      </c>
      <c r="C54" s="48" t="s">
        <v>99</v>
      </c>
      <c r="D54" s="61"/>
      <c r="E54" s="61">
        <f t="shared" si="4"/>
        <v>0</v>
      </c>
      <c r="F54" s="61">
        <f t="shared" si="21"/>
        <v>0</v>
      </c>
      <c r="G54" s="61">
        <f t="shared" si="8"/>
        <v>0</v>
      </c>
      <c r="H54" s="61">
        <f t="shared" si="12"/>
        <v>0</v>
      </c>
      <c r="I54" s="61"/>
      <c r="J54" s="61"/>
      <c r="K54" s="61"/>
      <c r="L54" s="61"/>
      <c r="M54" s="61"/>
      <c r="N54" s="61"/>
      <c r="O54" s="61"/>
      <c r="P54" s="61"/>
      <c r="Q54" s="61"/>
      <c r="R54" s="61"/>
      <c r="S54" s="61"/>
      <c r="T54" s="61"/>
      <c r="U54" s="61"/>
      <c r="V54" s="61">
        <f t="shared" si="13"/>
        <v>0</v>
      </c>
      <c r="W54" s="61"/>
      <c r="X54" s="61"/>
      <c r="Y54" s="61"/>
      <c r="Z54" s="61"/>
      <c r="AA54" s="61"/>
      <c r="AB54" s="61"/>
      <c r="AC54" s="61"/>
      <c r="AD54" s="61"/>
      <c r="AE54" s="61">
        <f t="shared" si="27"/>
        <v>0</v>
      </c>
      <c r="AF54" s="61"/>
      <c r="AG54" s="61"/>
      <c r="AH54" s="61"/>
      <c r="AI54" s="61"/>
      <c r="AJ54" s="61"/>
      <c r="AK54" s="61"/>
      <c r="AL54" s="61"/>
      <c r="AM54" s="61"/>
      <c r="AN54" s="61"/>
      <c r="AO54" s="61"/>
      <c r="AP54" s="61"/>
      <c r="AQ54" s="61"/>
      <c r="AR54" s="61"/>
      <c r="AS54" s="61"/>
      <c r="AT54" s="61"/>
      <c r="AU54" s="61"/>
      <c r="AV54" s="61"/>
      <c r="AW54" s="61"/>
      <c r="AX54" s="61"/>
      <c r="AY54" s="61">
        <f>D54-BL54</f>
        <v>0</v>
      </c>
      <c r="AZ54" s="61"/>
      <c r="BA54" s="61"/>
      <c r="BB54" s="61"/>
      <c r="BC54" s="61"/>
      <c r="BD54" s="61"/>
      <c r="BE54" s="61"/>
      <c r="BF54" s="61"/>
      <c r="BG54" s="61"/>
      <c r="BH54" s="61">
        <f t="shared" si="22"/>
        <v>0</v>
      </c>
      <c r="BI54" s="61"/>
      <c r="BJ54" s="61"/>
      <c r="BK54" s="61"/>
      <c r="BL54" s="61">
        <f>E54+W54+X54+Y54+Z54+AA54+AB54+AC54+AD54+AE54+AQ54+AR54+AS54+AT54+AU54+AV54+AW54+AX54+AZ54+BA54+BB54+BC54+BD54+BE54+BF54+BG54+BH54</f>
        <v>0</v>
      </c>
      <c r="BM54" s="61">
        <f>AY67-BL54</f>
        <v>0</v>
      </c>
      <c r="BN54" s="61">
        <f t="shared" si="29"/>
        <v>0</v>
      </c>
      <c r="BO54" s="123"/>
      <c r="BP54" s="117"/>
    </row>
    <row r="55" spans="1:68" ht="34.5" customHeight="1">
      <c r="A55" s="20" t="s">
        <v>100</v>
      </c>
      <c r="B55" s="110" t="s">
        <v>490</v>
      </c>
      <c r="C55" s="482" t="s">
        <v>101</v>
      </c>
      <c r="D55" s="484">
        <f>#REF!</f>
        <v>10.59</v>
      </c>
      <c r="E55" s="61">
        <f t="shared" si="4"/>
        <v>0</v>
      </c>
      <c r="F55" s="61">
        <f t="shared" si="21"/>
        <v>0</v>
      </c>
      <c r="G55" s="61">
        <f t="shared" si="8"/>
        <v>0</v>
      </c>
      <c r="H55" s="61">
        <f t="shared" si="12"/>
        <v>0</v>
      </c>
      <c r="I55" s="61"/>
      <c r="J55" s="61"/>
      <c r="K55" s="61"/>
      <c r="L55" s="61"/>
      <c r="M55" s="61"/>
      <c r="N55" s="61"/>
      <c r="O55" s="61"/>
      <c r="P55" s="61"/>
      <c r="Q55" s="61"/>
      <c r="R55" s="61"/>
      <c r="S55" s="61"/>
      <c r="T55" s="61"/>
      <c r="U55" s="61"/>
      <c r="V55" s="61">
        <f t="shared" si="13"/>
        <v>10.59</v>
      </c>
      <c r="W55" s="61"/>
      <c r="X55" s="61"/>
      <c r="Y55" s="61"/>
      <c r="Z55" s="61"/>
      <c r="AA55" s="61"/>
      <c r="AB55" s="61"/>
      <c r="AC55" s="61"/>
      <c r="AD55" s="61"/>
      <c r="AE55" s="61">
        <f t="shared" si="27"/>
        <v>0</v>
      </c>
      <c r="AF55" s="61"/>
      <c r="AG55" s="61"/>
      <c r="AH55" s="61"/>
      <c r="AI55" s="61"/>
      <c r="AJ55" s="61"/>
      <c r="AK55" s="61"/>
      <c r="AL55" s="61"/>
      <c r="AM55" s="61"/>
      <c r="AN55" s="61"/>
      <c r="AO55" s="61"/>
      <c r="AP55" s="61"/>
      <c r="AQ55" s="61"/>
      <c r="AR55" s="61"/>
      <c r="AS55" s="61"/>
      <c r="AT55" s="61"/>
      <c r="AU55" s="61"/>
      <c r="AV55" s="61"/>
      <c r="AW55" s="61"/>
      <c r="AX55" s="61"/>
      <c r="AY55" s="61"/>
      <c r="AZ55" s="61">
        <f>D55-BL55</f>
        <v>10.59</v>
      </c>
      <c r="BA55" s="61"/>
      <c r="BB55" s="61"/>
      <c r="BC55" s="61"/>
      <c r="BD55" s="61"/>
      <c r="BE55" s="61"/>
      <c r="BF55" s="61"/>
      <c r="BG55" s="61"/>
      <c r="BH55" s="61">
        <f t="shared" si="22"/>
        <v>0</v>
      </c>
      <c r="BI55" s="61"/>
      <c r="BJ55" s="61"/>
      <c r="BK55" s="61"/>
      <c r="BL55" s="61">
        <f>E55+W55+X55+Y55+Z55+AA55+AB55+AC55+AD55+AE55+AQ55+AR55+AS55+AT55+AU55+AV55+AW55+AX55+AY55+BA55+BB55+BC55+BD55+BE55+BF55+BG55+BH55</f>
        <v>0</v>
      </c>
      <c r="BM55" s="61">
        <f>AZ67-BL55</f>
        <v>0</v>
      </c>
      <c r="BN55" s="61">
        <f t="shared" si="29"/>
        <v>10.59</v>
      </c>
      <c r="BO55" s="123"/>
      <c r="BP55" s="117"/>
    </row>
    <row r="56" spans="1:68" ht="20.100000000000001" customHeight="1">
      <c r="A56" s="20" t="s">
        <v>102</v>
      </c>
      <c r="B56" s="110" t="s">
        <v>103</v>
      </c>
      <c r="C56" s="48" t="s">
        <v>104</v>
      </c>
      <c r="D56" s="61">
        <f>#REF!</f>
        <v>5.8895</v>
      </c>
      <c r="E56" s="61">
        <f t="shared" si="4"/>
        <v>0</v>
      </c>
      <c r="F56" s="61">
        <f t="shared" si="21"/>
        <v>0</v>
      </c>
      <c r="G56" s="61">
        <f t="shared" si="8"/>
        <v>0</v>
      </c>
      <c r="H56" s="61">
        <f t="shared" si="12"/>
        <v>0</v>
      </c>
      <c r="I56" s="61"/>
      <c r="J56" s="61"/>
      <c r="K56" s="61"/>
      <c r="L56" s="61"/>
      <c r="M56" s="61"/>
      <c r="N56" s="61"/>
      <c r="O56" s="61"/>
      <c r="P56" s="61"/>
      <c r="Q56" s="61"/>
      <c r="R56" s="61"/>
      <c r="S56" s="61"/>
      <c r="T56" s="61"/>
      <c r="U56" s="61"/>
      <c r="V56" s="61">
        <f t="shared" si="13"/>
        <v>5.8895</v>
      </c>
      <c r="W56" s="61"/>
      <c r="X56" s="61"/>
      <c r="Y56" s="61"/>
      <c r="Z56" s="61"/>
      <c r="AA56" s="61"/>
      <c r="AB56" s="61"/>
      <c r="AC56" s="61"/>
      <c r="AD56" s="61"/>
      <c r="AE56" s="61">
        <f t="shared" si="27"/>
        <v>0</v>
      </c>
      <c r="AF56" s="61"/>
      <c r="AG56" s="61"/>
      <c r="AH56" s="61"/>
      <c r="AI56" s="61"/>
      <c r="AJ56" s="61"/>
      <c r="AK56" s="61"/>
      <c r="AL56" s="61"/>
      <c r="AM56" s="61"/>
      <c r="AN56" s="61"/>
      <c r="AO56" s="61"/>
      <c r="AP56" s="61"/>
      <c r="AQ56" s="61"/>
      <c r="AR56" s="61"/>
      <c r="AS56" s="61"/>
      <c r="AT56" s="61"/>
      <c r="AU56" s="61"/>
      <c r="AV56" s="61"/>
      <c r="AW56" s="61"/>
      <c r="AX56" s="61"/>
      <c r="AY56" s="61"/>
      <c r="AZ56" s="61"/>
      <c r="BA56" s="61">
        <f>D56-BL56</f>
        <v>5.8895</v>
      </c>
      <c r="BB56" s="61"/>
      <c r="BC56" s="61"/>
      <c r="BD56" s="61"/>
      <c r="BE56" s="61"/>
      <c r="BF56" s="61"/>
      <c r="BG56" s="61"/>
      <c r="BH56" s="61">
        <f t="shared" si="22"/>
        <v>0</v>
      </c>
      <c r="BI56" s="61"/>
      <c r="BJ56" s="61"/>
      <c r="BK56" s="61"/>
      <c r="BL56" s="61">
        <f>E56+W56+X56+Y56+Z56+AA56+AB56+AC56+AD56+AE56+AQ56+AR56+AS56+AT56+AU56+AV56+AW56+AX56+AY56+AZ56+BB56+BC56+BD56+BE56+BF56+BG56+BH56</f>
        <v>0</v>
      </c>
      <c r="BM56" s="61">
        <f>BA67-BL56</f>
        <v>0.06</v>
      </c>
      <c r="BN56" s="61">
        <f t="shared" si="29"/>
        <v>5.9494999999999996</v>
      </c>
      <c r="BO56" s="123"/>
      <c r="BP56" s="117"/>
    </row>
    <row r="57" spans="1:68" ht="20.100000000000001" customHeight="1">
      <c r="A57" s="20" t="s">
        <v>105</v>
      </c>
      <c r="B57" s="110" t="s">
        <v>106</v>
      </c>
      <c r="C57" s="48" t="s">
        <v>107</v>
      </c>
      <c r="D57" s="61">
        <f>#REF!</f>
        <v>1.6</v>
      </c>
      <c r="E57" s="61">
        <f t="shared" si="4"/>
        <v>0</v>
      </c>
      <c r="F57" s="61">
        <f t="shared" si="21"/>
        <v>0</v>
      </c>
      <c r="G57" s="61">
        <f t="shared" si="8"/>
        <v>0</v>
      </c>
      <c r="H57" s="61">
        <f t="shared" si="12"/>
        <v>0</v>
      </c>
      <c r="I57" s="61"/>
      <c r="J57" s="61"/>
      <c r="K57" s="61"/>
      <c r="L57" s="61"/>
      <c r="M57" s="61"/>
      <c r="N57" s="61"/>
      <c r="O57" s="61"/>
      <c r="P57" s="61"/>
      <c r="Q57" s="61"/>
      <c r="R57" s="61"/>
      <c r="S57" s="61"/>
      <c r="T57" s="61"/>
      <c r="U57" s="61"/>
      <c r="V57" s="61">
        <f t="shared" si="13"/>
        <v>1.6</v>
      </c>
      <c r="W57" s="61"/>
      <c r="X57" s="61"/>
      <c r="Y57" s="61"/>
      <c r="Z57" s="61"/>
      <c r="AA57" s="61"/>
      <c r="AB57" s="61"/>
      <c r="AC57" s="61"/>
      <c r="AD57" s="61"/>
      <c r="AE57" s="61">
        <f>SUM(AF57:AP57)</f>
        <v>0</v>
      </c>
      <c r="AF57" s="61"/>
      <c r="AG57" s="61"/>
      <c r="AH57" s="61"/>
      <c r="AI57" s="61"/>
      <c r="AJ57" s="61"/>
      <c r="AK57" s="61"/>
      <c r="AL57" s="61"/>
      <c r="AM57" s="61"/>
      <c r="AN57" s="61"/>
      <c r="AO57" s="61"/>
      <c r="AP57" s="61"/>
      <c r="AQ57" s="61"/>
      <c r="AR57" s="61"/>
      <c r="AS57" s="61"/>
      <c r="AT57" s="61"/>
      <c r="AU57" s="61"/>
      <c r="AV57" s="61"/>
      <c r="AW57" s="61"/>
      <c r="AX57" s="61"/>
      <c r="AY57" s="61"/>
      <c r="AZ57" s="61"/>
      <c r="BA57" s="61"/>
      <c r="BB57" s="61">
        <f>D57-BL57</f>
        <v>1.6</v>
      </c>
      <c r="BC57" s="61"/>
      <c r="BD57" s="61"/>
      <c r="BE57" s="61"/>
      <c r="BF57" s="61"/>
      <c r="BG57" s="61"/>
      <c r="BH57" s="61">
        <f t="shared" si="22"/>
        <v>0</v>
      </c>
      <c r="BI57" s="61"/>
      <c r="BJ57" s="61"/>
      <c r="BK57" s="61"/>
      <c r="BL57" s="61">
        <f>E57+W57+X57+Y57+Z57+AA57+AB57+AC57+AD57+AE57+AQ57+AR57+AS57+AT57+AU57+AV57+AW57+AX57+AY57+AZ57+BA57+BC57+BD57+BE57+BF57+BG57+BH57</f>
        <v>0</v>
      </c>
      <c r="BM57" s="61">
        <f>BB67-BL57</f>
        <v>0</v>
      </c>
      <c r="BN57" s="61">
        <f t="shared" si="29"/>
        <v>1.6</v>
      </c>
      <c r="BO57" s="123"/>
      <c r="BP57" s="117"/>
    </row>
    <row r="58" spans="1:68" ht="20.100000000000001" customHeight="1">
      <c r="A58" s="20" t="s">
        <v>108</v>
      </c>
      <c r="B58" s="110" t="s">
        <v>491</v>
      </c>
      <c r="C58" s="48" t="s">
        <v>110</v>
      </c>
      <c r="D58" s="61"/>
      <c r="E58" s="61">
        <f t="shared" si="4"/>
        <v>0</v>
      </c>
      <c r="F58" s="61">
        <f t="shared" si="21"/>
        <v>0</v>
      </c>
      <c r="G58" s="61">
        <f t="shared" si="8"/>
        <v>0</v>
      </c>
      <c r="H58" s="61">
        <f t="shared" si="12"/>
        <v>0</v>
      </c>
      <c r="I58" s="61"/>
      <c r="J58" s="61"/>
      <c r="K58" s="61"/>
      <c r="L58" s="61"/>
      <c r="M58" s="61"/>
      <c r="N58" s="61"/>
      <c r="O58" s="61"/>
      <c r="P58" s="61"/>
      <c r="Q58" s="61"/>
      <c r="R58" s="61"/>
      <c r="S58" s="61"/>
      <c r="T58" s="61"/>
      <c r="U58" s="61"/>
      <c r="V58" s="61">
        <f t="shared" si="13"/>
        <v>0</v>
      </c>
      <c r="W58" s="61"/>
      <c r="X58" s="61"/>
      <c r="Y58" s="61"/>
      <c r="Z58" s="61"/>
      <c r="AA58" s="61"/>
      <c r="AB58" s="61"/>
      <c r="AC58" s="61"/>
      <c r="AD58" s="61"/>
      <c r="AE58" s="61">
        <f t="shared" si="27"/>
        <v>0</v>
      </c>
      <c r="AF58" s="61"/>
      <c r="AG58" s="61"/>
      <c r="AH58" s="61"/>
      <c r="AI58" s="61"/>
      <c r="AJ58" s="61"/>
      <c r="AK58" s="61"/>
      <c r="AL58" s="61"/>
      <c r="AM58" s="61"/>
      <c r="AN58" s="61"/>
      <c r="AO58" s="61"/>
      <c r="AP58" s="61"/>
      <c r="AQ58" s="61"/>
      <c r="AR58" s="61"/>
      <c r="AS58" s="61"/>
      <c r="AT58" s="61"/>
      <c r="AU58" s="61"/>
      <c r="AV58" s="61"/>
      <c r="AW58" s="61"/>
      <c r="AX58" s="61"/>
      <c r="AY58" s="61"/>
      <c r="AZ58" s="61"/>
      <c r="BA58" s="61"/>
      <c r="BB58" s="61"/>
      <c r="BC58" s="61">
        <f>D58-BL58</f>
        <v>0</v>
      </c>
      <c r="BD58" s="61"/>
      <c r="BE58" s="61"/>
      <c r="BF58" s="61"/>
      <c r="BG58" s="61"/>
      <c r="BH58" s="61">
        <f t="shared" si="22"/>
        <v>0</v>
      </c>
      <c r="BI58" s="61"/>
      <c r="BJ58" s="61"/>
      <c r="BK58" s="61"/>
      <c r="BL58" s="61">
        <f>E58+W58+X58+Y58+Z58+AA58+AB58+AC58+AD58+AE58+AQ58+AR58+AS58+AT58+AU58+AV58+AW58+AX58+AY58+AZ58+BA58+BB58+BD58+BE58+BF58+BG58+BH58</f>
        <v>0</v>
      </c>
      <c r="BM58" s="61">
        <f>BC67-BL58</f>
        <v>0</v>
      </c>
      <c r="BN58" s="61">
        <f t="shared" si="29"/>
        <v>0</v>
      </c>
      <c r="BO58" s="123"/>
      <c r="BP58" s="117"/>
    </row>
    <row r="59" spans="1:68" ht="20.100000000000001" customHeight="1">
      <c r="A59" s="20" t="s">
        <v>111</v>
      </c>
      <c r="B59" s="110" t="s">
        <v>112</v>
      </c>
      <c r="C59" s="48" t="s">
        <v>113</v>
      </c>
      <c r="D59" s="61">
        <f>#REF!</f>
        <v>0.66</v>
      </c>
      <c r="E59" s="61">
        <f t="shared" si="4"/>
        <v>0</v>
      </c>
      <c r="F59" s="61">
        <f t="shared" si="21"/>
        <v>0</v>
      </c>
      <c r="G59" s="61">
        <f t="shared" si="8"/>
        <v>0</v>
      </c>
      <c r="H59" s="61">
        <f t="shared" si="12"/>
        <v>0</v>
      </c>
      <c r="I59" s="61"/>
      <c r="J59" s="61"/>
      <c r="K59" s="61"/>
      <c r="L59" s="61"/>
      <c r="M59" s="61"/>
      <c r="N59" s="61"/>
      <c r="O59" s="61"/>
      <c r="P59" s="61"/>
      <c r="Q59" s="61"/>
      <c r="R59" s="61"/>
      <c r="S59" s="61"/>
      <c r="T59" s="61"/>
      <c r="U59" s="61"/>
      <c r="V59" s="61">
        <f t="shared" si="13"/>
        <v>0.66</v>
      </c>
      <c r="W59" s="61"/>
      <c r="X59" s="61"/>
      <c r="Y59" s="61"/>
      <c r="Z59" s="61"/>
      <c r="AA59" s="61"/>
      <c r="AB59" s="61"/>
      <c r="AC59" s="61"/>
      <c r="AD59" s="61"/>
      <c r="AE59" s="61">
        <f t="shared" si="27"/>
        <v>0</v>
      </c>
      <c r="AF59" s="61"/>
      <c r="AG59" s="61"/>
      <c r="AH59" s="61"/>
      <c r="AI59" s="61"/>
      <c r="AJ59" s="61"/>
      <c r="AK59" s="61"/>
      <c r="AL59" s="61"/>
      <c r="AM59" s="61"/>
      <c r="AN59" s="61"/>
      <c r="AO59" s="61"/>
      <c r="AP59" s="61"/>
      <c r="AQ59" s="61"/>
      <c r="AR59" s="61"/>
      <c r="AS59" s="61"/>
      <c r="AT59" s="61"/>
      <c r="AU59" s="61"/>
      <c r="AV59" s="61"/>
      <c r="AW59" s="61"/>
      <c r="AX59" s="61"/>
      <c r="AY59" s="61"/>
      <c r="AZ59" s="61"/>
      <c r="BA59" s="61"/>
      <c r="BB59" s="61"/>
      <c r="BC59" s="61"/>
      <c r="BD59" s="61">
        <f>D59-BL59</f>
        <v>0.66</v>
      </c>
      <c r="BE59" s="61"/>
      <c r="BF59" s="61"/>
      <c r="BG59" s="61"/>
      <c r="BH59" s="61">
        <f t="shared" si="22"/>
        <v>0</v>
      </c>
      <c r="BI59" s="61"/>
      <c r="BJ59" s="61"/>
      <c r="BK59" s="61"/>
      <c r="BL59" s="61">
        <f>E59+W59+X59+Y59+Z59+AA59+AB59+AC59+AD59+AE59+AQ59+AR59+AS59+AT59+AU59+AV59+AW59+AX59+AY59+AZ59+BA59+BB59+BC59+BE59+BF59+BG59+BH59</f>
        <v>0</v>
      </c>
      <c r="BM59" s="61">
        <f>BD67-BL59</f>
        <v>0</v>
      </c>
      <c r="BN59" s="61">
        <f t="shared" si="29"/>
        <v>0.66</v>
      </c>
      <c r="BO59" s="123"/>
      <c r="BP59" s="117"/>
    </row>
    <row r="60" spans="1:68" ht="20.100000000000001" customHeight="1">
      <c r="A60" s="20" t="s">
        <v>114</v>
      </c>
      <c r="B60" s="110" t="s">
        <v>115</v>
      </c>
      <c r="C60" s="48" t="s">
        <v>116</v>
      </c>
      <c r="D60" s="61">
        <f>#REF!</f>
        <v>253.2</v>
      </c>
      <c r="E60" s="61">
        <f t="shared" si="4"/>
        <v>3.88</v>
      </c>
      <c r="F60" s="61">
        <f t="shared" si="21"/>
        <v>0</v>
      </c>
      <c r="G60" s="61">
        <f t="shared" si="8"/>
        <v>0</v>
      </c>
      <c r="H60" s="61">
        <f t="shared" si="12"/>
        <v>0</v>
      </c>
      <c r="I60" s="61"/>
      <c r="J60" s="61"/>
      <c r="K60" s="61"/>
      <c r="L60" s="61"/>
      <c r="M60" s="61"/>
      <c r="N60" s="61"/>
      <c r="O60" s="61"/>
      <c r="P60" s="61"/>
      <c r="Q60" s="61"/>
      <c r="R60" s="61"/>
      <c r="S60" s="61">
        <v>3.88</v>
      </c>
      <c r="T60" s="61"/>
      <c r="U60" s="61"/>
      <c r="V60" s="61">
        <f t="shared" si="13"/>
        <v>249.32</v>
      </c>
      <c r="W60" s="61"/>
      <c r="X60" s="61"/>
      <c r="Y60" s="61"/>
      <c r="Z60" s="61"/>
      <c r="AA60" s="61"/>
      <c r="AB60" s="61"/>
      <c r="AC60" s="61"/>
      <c r="AD60" s="61"/>
      <c r="AE60" s="61">
        <f t="shared" si="27"/>
        <v>1.56</v>
      </c>
      <c r="AF60" s="61"/>
      <c r="AG60" s="61"/>
      <c r="AH60" s="61"/>
      <c r="AI60" s="61"/>
      <c r="AJ60" s="61"/>
      <c r="AK60" s="61"/>
      <c r="AL60" s="61">
        <v>1.56</v>
      </c>
      <c r="AM60" s="61"/>
      <c r="AN60" s="61"/>
      <c r="AO60" s="61"/>
      <c r="AP60" s="61"/>
      <c r="AQ60" s="61"/>
      <c r="AR60" s="61"/>
      <c r="AS60" s="61"/>
      <c r="AT60" s="61"/>
      <c r="AU60" s="61"/>
      <c r="AV60" s="61"/>
      <c r="AW60" s="61"/>
      <c r="AX60" s="61"/>
      <c r="AY60" s="61"/>
      <c r="AZ60" s="61"/>
      <c r="BA60" s="61">
        <v>0.06</v>
      </c>
      <c r="BB60" s="61"/>
      <c r="BC60" s="61"/>
      <c r="BD60" s="61"/>
      <c r="BE60" s="61">
        <f>D60-BL60</f>
        <v>247.7</v>
      </c>
      <c r="BF60" s="61"/>
      <c r="BG60" s="61"/>
      <c r="BH60" s="61">
        <f t="shared" si="22"/>
        <v>0</v>
      </c>
      <c r="BI60" s="61"/>
      <c r="BJ60" s="61"/>
      <c r="BK60" s="61"/>
      <c r="BL60" s="61">
        <f>E60+W60+X60+Y60+Z60+AA60+AB60+AC60+AD60+AE60+AQ60+AR60+AS60+AT60+AU60+AV60+AW60+AX60+AY60+AZ60+BA60+BB60+BC60+BD60+BF60+BG60+BH60</f>
        <v>5.4999999999999991</v>
      </c>
      <c r="BM60" s="61">
        <f>BE67-BL60</f>
        <v>-5.4999999999999991</v>
      </c>
      <c r="BN60" s="61">
        <f t="shared" si="29"/>
        <v>247.7</v>
      </c>
      <c r="BO60" s="123"/>
      <c r="BP60" s="117"/>
    </row>
    <row r="61" spans="1:68" ht="20.100000000000001" customHeight="1">
      <c r="A61" s="20" t="s">
        <v>117</v>
      </c>
      <c r="B61" s="110" t="s">
        <v>118</v>
      </c>
      <c r="C61" s="48" t="s">
        <v>119</v>
      </c>
      <c r="D61" s="61">
        <f>#REF!</f>
        <v>33.799999999999997</v>
      </c>
      <c r="E61" s="61">
        <f t="shared" si="4"/>
        <v>0</v>
      </c>
      <c r="F61" s="61">
        <f t="shared" si="21"/>
        <v>0</v>
      </c>
      <c r="G61" s="61">
        <f t="shared" si="8"/>
        <v>0</v>
      </c>
      <c r="H61" s="61">
        <f t="shared" si="12"/>
        <v>0</v>
      </c>
      <c r="I61" s="61"/>
      <c r="J61" s="61"/>
      <c r="K61" s="61"/>
      <c r="L61" s="61"/>
      <c r="M61" s="61"/>
      <c r="N61" s="61"/>
      <c r="O61" s="61"/>
      <c r="P61" s="61"/>
      <c r="Q61" s="61"/>
      <c r="R61" s="61"/>
      <c r="S61" s="61"/>
      <c r="T61" s="61"/>
      <c r="U61" s="61"/>
      <c r="V61" s="61">
        <f t="shared" si="13"/>
        <v>33.799999999999997</v>
      </c>
      <c r="W61" s="61"/>
      <c r="X61" s="61"/>
      <c r="Y61" s="61"/>
      <c r="Z61" s="61"/>
      <c r="AA61" s="61"/>
      <c r="AB61" s="61"/>
      <c r="AC61" s="61"/>
      <c r="AD61" s="61"/>
      <c r="AE61" s="61">
        <f t="shared" si="27"/>
        <v>0</v>
      </c>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f>D61-BL61</f>
        <v>33.799999999999997</v>
      </c>
      <c r="BG61" s="61"/>
      <c r="BH61" s="61">
        <f t="shared" si="22"/>
        <v>0</v>
      </c>
      <c r="BI61" s="61"/>
      <c r="BJ61" s="61"/>
      <c r="BK61" s="61"/>
      <c r="BL61" s="61">
        <f>E61+W61+X61+Y61+Z61+AA61+AB61+AC61+AD61+AE61+AQ61+AR61+AS61+AT61+AU61+AV61+AW61+AX61+AY61+AZ61+BA61+BB61+BC61+BD61+BE61+BG61+BH61</f>
        <v>0</v>
      </c>
      <c r="BM61" s="61">
        <f>BF67-BL61</f>
        <v>0</v>
      </c>
      <c r="BN61" s="61">
        <f t="shared" si="29"/>
        <v>33.799999999999997</v>
      </c>
      <c r="BO61" s="123"/>
      <c r="BP61" s="117"/>
    </row>
    <row r="62" spans="1:68" ht="20.100000000000001" customHeight="1">
      <c r="A62" s="20" t="s">
        <v>120</v>
      </c>
      <c r="B62" s="110" t="s">
        <v>121</v>
      </c>
      <c r="C62" s="48" t="s">
        <v>122</v>
      </c>
      <c r="D62" s="61"/>
      <c r="E62" s="61">
        <f t="shared" si="4"/>
        <v>0</v>
      </c>
      <c r="F62" s="61">
        <f t="shared" si="21"/>
        <v>0</v>
      </c>
      <c r="G62" s="61">
        <f t="shared" si="8"/>
        <v>0</v>
      </c>
      <c r="H62" s="61">
        <f t="shared" si="12"/>
        <v>0</v>
      </c>
      <c r="I62" s="61"/>
      <c r="J62" s="61"/>
      <c r="K62" s="61"/>
      <c r="L62" s="61"/>
      <c r="M62" s="61"/>
      <c r="N62" s="61"/>
      <c r="O62" s="61"/>
      <c r="P62" s="61"/>
      <c r="Q62" s="61"/>
      <c r="R62" s="61"/>
      <c r="S62" s="61"/>
      <c r="T62" s="61"/>
      <c r="U62" s="61"/>
      <c r="V62" s="61">
        <f t="shared" si="13"/>
        <v>0</v>
      </c>
      <c r="W62" s="61"/>
      <c r="X62" s="61"/>
      <c r="Y62" s="61"/>
      <c r="Z62" s="61"/>
      <c r="AA62" s="61"/>
      <c r="AB62" s="61"/>
      <c r="AC62" s="61"/>
      <c r="AD62" s="61"/>
      <c r="AE62" s="61">
        <f t="shared" si="27"/>
        <v>0</v>
      </c>
      <c r="AF62" s="61"/>
      <c r="AG62" s="61"/>
      <c r="AH62" s="61"/>
      <c r="AI62" s="61"/>
      <c r="AJ62" s="61"/>
      <c r="AK62" s="61"/>
      <c r="AL62" s="61"/>
      <c r="AM62" s="61"/>
      <c r="AN62" s="61"/>
      <c r="AO62" s="61"/>
      <c r="AP62" s="61"/>
      <c r="AQ62" s="61"/>
      <c r="AR62" s="61"/>
      <c r="AS62" s="61"/>
      <c r="AT62" s="61"/>
      <c r="AU62" s="61"/>
      <c r="AV62" s="61"/>
      <c r="AW62" s="61"/>
      <c r="AX62" s="61"/>
      <c r="AY62" s="61"/>
      <c r="AZ62" s="61"/>
      <c r="BA62" s="61"/>
      <c r="BB62" s="61"/>
      <c r="BC62" s="61"/>
      <c r="BD62" s="61"/>
      <c r="BE62" s="61"/>
      <c r="BF62" s="61"/>
      <c r="BG62" s="61">
        <f>D62-BL62</f>
        <v>0</v>
      </c>
      <c r="BH62" s="61">
        <f t="shared" si="22"/>
        <v>0</v>
      </c>
      <c r="BI62" s="61"/>
      <c r="BJ62" s="61"/>
      <c r="BK62" s="61"/>
      <c r="BL62" s="61">
        <f>E62+W62+X62+Y62+Z62+AA62+AB62+AC62+AD62+AE62+AQ62+AR62+AS62+AT62+AU62+AV62+AW62+AX62+AY62+AZ62+BA62+BB62+BC62+BD62+BE62+BF62+BH62</f>
        <v>0</v>
      </c>
      <c r="BM62" s="61">
        <f>BG67-BL62</f>
        <v>0</v>
      </c>
      <c r="BN62" s="61">
        <f t="shared" si="29"/>
        <v>0</v>
      </c>
      <c r="BO62" s="123"/>
      <c r="BP62" s="117"/>
    </row>
    <row r="63" spans="1:68" s="115" customFormat="1" ht="21.75" customHeight="1">
      <c r="A63" s="6">
        <v>3</v>
      </c>
      <c r="B63" s="109" t="s">
        <v>123</v>
      </c>
      <c r="C63" s="114" t="s">
        <v>124</v>
      </c>
      <c r="D63" s="461">
        <f>D64+D65+D66</f>
        <v>438.03</v>
      </c>
      <c r="E63" s="461">
        <f>E64+E65+E66</f>
        <v>4.58</v>
      </c>
      <c r="F63" s="461">
        <f t="shared" ref="F63:U63" si="30">F64+F65+F66</f>
        <v>0</v>
      </c>
      <c r="G63" s="461">
        <f t="shared" si="30"/>
        <v>0</v>
      </c>
      <c r="H63" s="461">
        <f t="shared" si="30"/>
        <v>0</v>
      </c>
      <c r="I63" s="461">
        <f t="shared" si="30"/>
        <v>0</v>
      </c>
      <c r="J63" s="461">
        <f t="shared" si="30"/>
        <v>0</v>
      </c>
      <c r="K63" s="461">
        <f t="shared" si="30"/>
        <v>0</v>
      </c>
      <c r="L63" s="461">
        <f t="shared" si="30"/>
        <v>0</v>
      </c>
      <c r="M63" s="461">
        <f t="shared" si="30"/>
        <v>0</v>
      </c>
      <c r="N63" s="461">
        <f t="shared" si="30"/>
        <v>0</v>
      </c>
      <c r="O63" s="461">
        <f t="shared" si="30"/>
        <v>0</v>
      </c>
      <c r="P63" s="461">
        <f t="shared" si="30"/>
        <v>0</v>
      </c>
      <c r="Q63" s="461">
        <f t="shared" si="30"/>
        <v>0</v>
      </c>
      <c r="R63" s="461">
        <f t="shared" si="30"/>
        <v>0</v>
      </c>
      <c r="S63" s="461">
        <f t="shared" si="30"/>
        <v>4.58</v>
      </c>
      <c r="T63" s="461">
        <f t="shared" si="30"/>
        <v>0</v>
      </c>
      <c r="U63" s="461">
        <f t="shared" si="30"/>
        <v>0</v>
      </c>
      <c r="V63" s="461">
        <f>V64+V65+V66</f>
        <v>2.8</v>
      </c>
      <c r="W63" s="461">
        <f t="shared" ref="W63:BG63" si="31">W64+W65+W66</f>
        <v>0</v>
      </c>
      <c r="X63" s="461">
        <f t="shared" si="31"/>
        <v>0</v>
      </c>
      <c r="Y63" s="461">
        <f t="shared" si="31"/>
        <v>0</v>
      </c>
      <c r="Z63" s="461">
        <f t="shared" si="31"/>
        <v>0</v>
      </c>
      <c r="AA63" s="461">
        <f t="shared" si="31"/>
        <v>0</v>
      </c>
      <c r="AB63" s="461">
        <f t="shared" si="31"/>
        <v>0</v>
      </c>
      <c r="AC63" s="461">
        <f t="shared" si="31"/>
        <v>0</v>
      </c>
      <c r="AD63" s="461">
        <f t="shared" si="31"/>
        <v>0</v>
      </c>
      <c r="AE63" s="461">
        <f t="shared" si="31"/>
        <v>1.6300000000000001</v>
      </c>
      <c r="AF63" s="461">
        <f t="shared" si="31"/>
        <v>0</v>
      </c>
      <c r="AG63" s="461">
        <f t="shared" si="31"/>
        <v>0</v>
      </c>
      <c r="AH63" s="461">
        <f t="shared" si="31"/>
        <v>0</v>
      </c>
      <c r="AI63" s="461">
        <f t="shared" si="31"/>
        <v>0</v>
      </c>
      <c r="AJ63" s="461">
        <f t="shared" si="31"/>
        <v>0</v>
      </c>
      <c r="AK63" s="461">
        <f t="shared" si="31"/>
        <v>0</v>
      </c>
      <c r="AL63" s="461">
        <f t="shared" si="31"/>
        <v>1.6300000000000001</v>
      </c>
      <c r="AM63" s="461">
        <f t="shared" si="31"/>
        <v>0</v>
      </c>
      <c r="AN63" s="461">
        <f t="shared" si="31"/>
        <v>0</v>
      </c>
      <c r="AO63" s="461">
        <f t="shared" si="31"/>
        <v>0</v>
      </c>
      <c r="AP63" s="461">
        <f t="shared" si="31"/>
        <v>0</v>
      </c>
      <c r="AQ63" s="461">
        <f t="shared" si="31"/>
        <v>0</v>
      </c>
      <c r="AR63" s="461">
        <f t="shared" si="31"/>
        <v>0</v>
      </c>
      <c r="AS63" s="461">
        <f t="shared" si="31"/>
        <v>0.2</v>
      </c>
      <c r="AT63" s="461">
        <f t="shared" si="31"/>
        <v>0.97</v>
      </c>
      <c r="AU63" s="461">
        <f t="shared" si="31"/>
        <v>0</v>
      </c>
      <c r="AV63" s="461">
        <f t="shared" si="31"/>
        <v>0</v>
      </c>
      <c r="AW63" s="461">
        <f t="shared" si="31"/>
        <v>0</v>
      </c>
      <c r="AX63" s="461">
        <f t="shared" si="31"/>
        <v>0</v>
      </c>
      <c r="AY63" s="461">
        <f t="shared" si="31"/>
        <v>0</v>
      </c>
      <c r="AZ63" s="461">
        <f t="shared" si="31"/>
        <v>0</v>
      </c>
      <c r="BA63" s="461">
        <f t="shared" si="31"/>
        <v>0</v>
      </c>
      <c r="BB63" s="461">
        <f t="shared" si="31"/>
        <v>0</v>
      </c>
      <c r="BC63" s="461">
        <f t="shared" si="31"/>
        <v>0</v>
      </c>
      <c r="BD63" s="461">
        <f t="shared" si="31"/>
        <v>0</v>
      </c>
      <c r="BE63" s="461">
        <f t="shared" si="31"/>
        <v>0</v>
      </c>
      <c r="BF63" s="461">
        <f t="shared" si="31"/>
        <v>0</v>
      </c>
      <c r="BG63" s="461">
        <f t="shared" si="31"/>
        <v>0</v>
      </c>
      <c r="BH63" s="461">
        <f>D63-BL63</f>
        <v>430.65</v>
      </c>
      <c r="BI63" s="461">
        <f t="shared" ref="BI63:BN63" si="32">BI64+BI65+BI66</f>
        <v>420.66999999999996</v>
      </c>
      <c r="BJ63" s="461">
        <f t="shared" si="32"/>
        <v>9.98</v>
      </c>
      <c r="BK63" s="461">
        <f t="shared" si="32"/>
        <v>0</v>
      </c>
      <c r="BL63" s="461">
        <f t="shared" si="32"/>
        <v>7.38</v>
      </c>
      <c r="BM63" s="461">
        <f t="shared" si="32"/>
        <v>-7.38</v>
      </c>
      <c r="BN63" s="461">
        <f t="shared" si="32"/>
        <v>430.65</v>
      </c>
      <c r="BO63" s="123"/>
      <c r="BP63" s="117"/>
    </row>
    <row r="64" spans="1:68" ht="21.75" customHeight="1">
      <c r="A64" s="5" t="s">
        <v>220</v>
      </c>
      <c r="B64" s="72" t="s">
        <v>461</v>
      </c>
      <c r="C64" s="48" t="s">
        <v>209</v>
      </c>
      <c r="D64" s="61">
        <f>#REF!</f>
        <v>427.09</v>
      </c>
      <c r="E64" s="61">
        <f t="shared" si="4"/>
        <v>3.96</v>
      </c>
      <c r="F64" s="61">
        <f t="shared" si="21"/>
        <v>0</v>
      </c>
      <c r="G64" s="61">
        <f t="shared" si="8"/>
        <v>0</v>
      </c>
      <c r="H64" s="61">
        <f t="shared" si="12"/>
        <v>0</v>
      </c>
      <c r="I64" s="61"/>
      <c r="J64" s="61"/>
      <c r="K64" s="61"/>
      <c r="L64" s="61"/>
      <c r="M64" s="61"/>
      <c r="N64" s="61"/>
      <c r="O64" s="61"/>
      <c r="P64" s="61"/>
      <c r="Q64" s="61"/>
      <c r="R64" s="61"/>
      <c r="S64" s="61">
        <v>3.96</v>
      </c>
      <c r="T64" s="61"/>
      <c r="U64" s="61"/>
      <c r="V64" s="61">
        <f t="shared" si="13"/>
        <v>2.46</v>
      </c>
      <c r="W64" s="61"/>
      <c r="X64" s="61"/>
      <c r="Y64" s="61"/>
      <c r="Z64" s="61"/>
      <c r="AA64" s="61"/>
      <c r="AB64" s="61"/>
      <c r="AC64" s="61"/>
      <c r="AD64" s="61"/>
      <c r="AE64" s="61">
        <f t="shared" si="27"/>
        <v>1.29</v>
      </c>
      <c r="AF64" s="61"/>
      <c r="AG64" s="61"/>
      <c r="AH64" s="61"/>
      <c r="AI64" s="61"/>
      <c r="AJ64" s="61"/>
      <c r="AK64" s="61"/>
      <c r="AL64" s="61">
        <v>1.29</v>
      </c>
      <c r="AM64" s="61"/>
      <c r="AN64" s="61"/>
      <c r="AO64" s="61"/>
      <c r="AP64" s="61"/>
      <c r="AQ64" s="61"/>
      <c r="AR64" s="61"/>
      <c r="AS64" s="61">
        <v>0.2</v>
      </c>
      <c r="AT64" s="61">
        <v>0.97</v>
      </c>
      <c r="AU64" s="61"/>
      <c r="AV64" s="61"/>
      <c r="AW64" s="61"/>
      <c r="AX64" s="61"/>
      <c r="AY64" s="61"/>
      <c r="AZ64" s="61"/>
      <c r="BA64" s="61"/>
      <c r="BB64" s="61"/>
      <c r="BC64" s="61"/>
      <c r="BD64" s="61"/>
      <c r="BE64" s="61"/>
      <c r="BF64" s="61"/>
      <c r="BG64" s="61"/>
      <c r="BH64" s="61">
        <f>BI64+BJ64+BK64</f>
        <v>420.66999999999996</v>
      </c>
      <c r="BI64" s="61">
        <f>D64-BL64</f>
        <v>420.66999999999996</v>
      </c>
      <c r="BJ64" s="61"/>
      <c r="BK64" s="61"/>
      <c r="BL64" s="61">
        <f>E64+V64</f>
        <v>6.42</v>
      </c>
      <c r="BM64" s="61">
        <f>BI67-BL64</f>
        <v>-6.42</v>
      </c>
      <c r="BN64" s="61">
        <f>D64+BM64</f>
        <v>420.66999999999996</v>
      </c>
      <c r="BO64" s="123"/>
      <c r="BP64" s="117"/>
    </row>
    <row r="65" spans="1:68" ht="21.75" customHeight="1">
      <c r="A65" s="5" t="s">
        <v>221</v>
      </c>
      <c r="B65" s="72" t="s">
        <v>462</v>
      </c>
      <c r="C65" s="48" t="s">
        <v>210</v>
      </c>
      <c r="D65" s="61">
        <f>#REF!</f>
        <v>10.94</v>
      </c>
      <c r="E65" s="61">
        <f t="shared" si="4"/>
        <v>0.62</v>
      </c>
      <c r="F65" s="61">
        <f t="shared" si="21"/>
        <v>0</v>
      </c>
      <c r="G65" s="61">
        <f t="shared" si="8"/>
        <v>0</v>
      </c>
      <c r="H65" s="61">
        <f t="shared" si="12"/>
        <v>0</v>
      </c>
      <c r="I65" s="61"/>
      <c r="J65" s="61"/>
      <c r="K65" s="61"/>
      <c r="L65" s="61"/>
      <c r="M65" s="61"/>
      <c r="N65" s="61"/>
      <c r="O65" s="61"/>
      <c r="P65" s="61"/>
      <c r="Q65" s="61"/>
      <c r="R65" s="61"/>
      <c r="S65" s="61">
        <v>0.62</v>
      </c>
      <c r="T65" s="61"/>
      <c r="U65" s="61"/>
      <c r="V65" s="61">
        <f t="shared" si="13"/>
        <v>0.34</v>
      </c>
      <c r="W65" s="61"/>
      <c r="X65" s="61"/>
      <c r="Y65" s="61"/>
      <c r="Z65" s="61"/>
      <c r="AA65" s="61"/>
      <c r="AB65" s="61"/>
      <c r="AC65" s="61"/>
      <c r="AD65" s="61"/>
      <c r="AE65" s="61">
        <f t="shared" si="27"/>
        <v>0.34</v>
      </c>
      <c r="AF65" s="61"/>
      <c r="AG65" s="61"/>
      <c r="AH65" s="61"/>
      <c r="AI65" s="61"/>
      <c r="AJ65" s="61"/>
      <c r="AK65" s="61"/>
      <c r="AL65" s="61">
        <v>0.34</v>
      </c>
      <c r="AM65" s="61"/>
      <c r="AN65" s="61"/>
      <c r="AO65" s="61"/>
      <c r="AP65" s="61"/>
      <c r="AQ65" s="61"/>
      <c r="AR65" s="61"/>
      <c r="AS65" s="61"/>
      <c r="AT65" s="61"/>
      <c r="AU65" s="61"/>
      <c r="AV65" s="61"/>
      <c r="AW65" s="61"/>
      <c r="AX65" s="61"/>
      <c r="AY65" s="61"/>
      <c r="AZ65" s="61"/>
      <c r="BA65" s="61"/>
      <c r="BB65" s="61"/>
      <c r="BC65" s="61"/>
      <c r="BD65" s="61"/>
      <c r="BE65" s="61"/>
      <c r="BF65" s="61"/>
      <c r="BG65" s="61"/>
      <c r="BH65" s="61">
        <f>BI65+BJ65+BK65</f>
        <v>9.98</v>
      </c>
      <c r="BI65" s="61"/>
      <c r="BJ65" s="61">
        <f>D65-BL65</f>
        <v>9.98</v>
      </c>
      <c r="BK65" s="61"/>
      <c r="BL65" s="61">
        <f>E65+V65</f>
        <v>0.96</v>
      </c>
      <c r="BM65" s="61">
        <f>BJ67-BL65</f>
        <v>-0.96</v>
      </c>
      <c r="BN65" s="61">
        <f>D65+BM65</f>
        <v>9.98</v>
      </c>
      <c r="BO65" s="123"/>
      <c r="BP65" s="117"/>
    </row>
    <row r="66" spans="1:68" ht="21.75" customHeight="1">
      <c r="A66" s="9" t="s">
        <v>222</v>
      </c>
      <c r="B66" s="73" t="s">
        <v>492</v>
      </c>
      <c r="C66" s="49" t="s">
        <v>211</v>
      </c>
      <c r="D66" s="63"/>
      <c r="E66" s="63">
        <f t="shared" si="4"/>
        <v>0</v>
      </c>
      <c r="F66" s="63">
        <f t="shared" si="21"/>
        <v>0</v>
      </c>
      <c r="G66" s="63">
        <f t="shared" si="8"/>
        <v>0</v>
      </c>
      <c r="H66" s="63">
        <f t="shared" si="12"/>
        <v>0</v>
      </c>
      <c r="I66" s="63"/>
      <c r="J66" s="63"/>
      <c r="K66" s="63"/>
      <c r="L66" s="63"/>
      <c r="M66" s="63"/>
      <c r="N66" s="63"/>
      <c r="O66" s="63"/>
      <c r="P66" s="63"/>
      <c r="Q66" s="63"/>
      <c r="R66" s="63"/>
      <c r="S66" s="63"/>
      <c r="T66" s="63"/>
      <c r="U66" s="63"/>
      <c r="V66" s="63">
        <f t="shared" si="13"/>
        <v>0</v>
      </c>
      <c r="W66" s="63"/>
      <c r="X66" s="63"/>
      <c r="Y66" s="63"/>
      <c r="Z66" s="63"/>
      <c r="AA66" s="63"/>
      <c r="AB66" s="63"/>
      <c r="AC66" s="63"/>
      <c r="AD66" s="63"/>
      <c r="AE66" s="63">
        <f t="shared" si="27"/>
        <v>0</v>
      </c>
      <c r="AF66" s="63"/>
      <c r="AG66" s="63"/>
      <c r="AH66" s="63"/>
      <c r="AI66" s="63"/>
      <c r="AJ66" s="63"/>
      <c r="AK66" s="63"/>
      <c r="AL66" s="63"/>
      <c r="AM66" s="63"/>
      <c r="AN66" s="63"/>
      <c r="AO66" s="63"/>
      <c r="AP66" s="63"/>
      <c r="AQ66" s="63"/>
      <c r="AR66" s="63"/>
      <c r="AS66" s="63"/>
      <c r="AT66" s="63"/>
      <c r="AU66" s="63"/>
      <c r="AV66" s="63"/>
      <c r="AW66" s="63"/>
      <c r="AX66" s="63"/>
      <c r="AY66" s="63"/>
      <c r="AZ66" s="63"/>
      <c r="BA66" s="63"/>
      <c r="BB66" s="63"/>
      <c r="BC66" s="63"/>
      <c r="BD66" s="63"/>
      <c r="BE66" s="63"/>
      <c r="BF66" s="63"/>
      <c r="BG66" s="63"/>
      <c r="BH66" s="63">
        <f>BI66+BJ66+BK66</f>
        <v>0</v>
      </c>
      <c r="BI66" s="63"/>
      <c r="BJ66" s="63"/>
      <c r="BK66" s="63">
        <f>D66-BL66</f>
        <v>0</v>
      </c>
      <c r="BL66" s="63">
        <f>E66+V66</f>
        <v>0</v>
      </c>
      <c r="BM66" s="63">
        <f>D66-BL66</f>
        <v>0</v>
      </c>
      <c r="BN66" s="63">
        <f>D66+BM66</f>
        <v>0</v>
      </c>
      <c r="BO66" s="123"/>
      <c r="BP66" s="117"/>
    </row>
    <row r="67" spans="1:68" s="115" customFormat="1" ht="24.75" customHeight="1">
      <c r="A67" s="11"/>
      <c r="B67" s="11" t="s">
        <v>190</v>
      </c>
      <c r="C67" s="11"/>
      <c r="D67" s="189"/>
      <c r="E67" s="189">
        <f>E25+E63</f>
        <v>8.4600000000000009</v>
      </c>
      <c r="F67" s="189">
        <f>F18+F22+F23+F24+F25+F63</f>
        <v>0</v>
      </c>
      <c r="G67" s="189">
        <f>G17+G18+G22+G23+G24+G25+G63</f>
        <v>0</v>
      </c>
      <c r="H67" s="189">
        <f>H15+H16+H17+H18+H22+H23+H24+H25+H63</f>
        <v>0</v>
      </c>
      <c r="I67" s="189">
        <f>I13+I14+I15+I16+I17+I18+I22+I23+I24+I25+I63</f>
        <v>0</v>
      </c>
      <c r="J67" s="189">
        <f>J12+J14+J15+J16+J17+J18+J22+J23+J24+J25+J63</f>
        <v>0</v>
      </c>
      <c r="K67" s="189">
        <f>K12+K13+K15+K16+K17+K18+K22+K23+K24+K25+K63</f>
        <v>0</v>
      </c>
      <c r="L67" s="189">
        <f>L12+L13+L14+L16+L17+L18+L22+L23+L24+L25+L63</f>
        <v>0</v>
      </c>
      <c r="M67" s="189">
        <f>M12+M13+M14+M15+M17+M18+M22+M23+M24+M25+M63</f>
        <v>0</v>
      </c>
      <c r="N67" s="189">
        <f>N12+N13+N14+N15+N16+N18+N22+N23+N24+N25+N63</f>
        <v>0</v>
      </c>
      <c r="O67" s="189">
        <f>O9+O22+O23+O24+O25+O63</f>
        <v>0</v>
      </c>
      <c r="P67" s="189">
        <f>P10+P17+P20+P21+P22+P23+P24+P25+P63</f>
        <v>0</v>
      </c>
      <c r="Q67" s="735">
        <f>Q12+Q13+Q14+Q15+Q16+Q17+Q19+Q21+Q22+Q23+Q24+Q25+Q63</f>
        <v>0</v>
      </c>
      <c r="R67" s="735">
        <f>R12+R13+R14+R15+R16+R17+R19+R20+R22+R23+R24+R25+R63</f>
        <v>0</v>
      </c>
      <c r="S67" s="731">
        <f>S9+S18+S23+S24+S25+S63</f>
        <v>32.47</v>
      </c>
      <c r="T67" s="735">
        <f>T9+T18+T22+T24+T25+T63</f>
        <v>0</v>
      </c>
      <c r="U67" s="735">
        <f>U9+U18+U22+U23+U25+U63</f>
        <v>0</v>
      </c>
      <c r="V67" s="735">
        <f>V8+V63</f>
        <v>20.81</v>
      </c>
      <c r="W67" s="735">
        <f>W8+W27+W28+W29+W30+W31+W32+W33+W34+W46+W47+W48+W49+W50+W51+W52+W53+W54+W55+W56+W57+W58+W59+W60+W61+W62+W63</f>
        <v>0</v>
      </c>
      <c r="X67" s="735">
        <f>X8+X26+X28+X29+X30+X31+X32+X33+X34+X46+X47+X48+X49+X50+X51+X52+X53+X54+X55+X56+X57+X58+X59+X60+X61+X62+X63</f>
        <v>0</v>
      </c>
      <c r="Y67" s="735">
        <f>Y8+Y26+Y27+Y29+Y30+Y31+Y32+Y33+Y34+Y46+Y47+Y48+Y49+Y50+Y51+Y52+Y53+Y54+Y55+Y56+Y57+Y58+Y59+Y60+Y61+Y62+Y63</f>
        <v>0</v>
      </c>
      <c r="Z67" s="735">
        <f>Z8+Z26+Z27+Z28+Z30+Z31+Z32+Z33+Z34+Z46+Z47+Z48+Z49+Z50+Z51+Z52+Z53+Z54+Z55+Z56+Z57+Z58+Z59+Z60+Z61+Z62+Z63</f>
        <v>0</v>
      </c>
      <c r="AA67" s="735">
        <f>AA8+AA26+AA27+AA28+AA29+AA31+AA32+AA33+AA34+AA46+AA47+AA48+AA49+AA50+AA51+AA52+AA53+AA54+AA55+AA56+AA57+AA58+AA59+AA60+AA61+AA62+AA63</f>
        <v>0</v>
      </c>
      <c r="AB67" s="735">
        <f>AB8+AB26+AB27+AB28+AB29+AB30+AB32+AB33+AB34+AB46+AB47+AB48+AB49+AB50+AB51+AB52+AB53+AB54+AB55+AB56+AB57+AB58+AB59+AB60+AB61+AB62+AB63</f>
        <v>0</v>
      </c>
      <c r="AC67" s="735">
        <f>AC8+AC26+AC27+AC28+AC29+AC30+AC31+AC33+AC34+AC46+AC47+AC48+AC49+AC50+AC51+AC52+AC53+AC54+AC55+AC56+AC57+AC58+AC59+AC60+AC61+AC62+AC63</f>
        <v>0</v>
      </c>
      <c r="AD67" s="735">
        <f>AD8+AD26+AD27+AD28+AD29+AD30+AD31+AD32+AD34+AD46+AD47+AD48+AD49+AD50+AD51+AD52+AD53+AD54+AD55+AD56+AD57+AD58+AD59+AD60+AD61+AD62+AD63</f>
        <v>0</v>
      </c>
      <c r="AE67" s="735">
        <f>AE8+AE26+AE27+AE28+AE29+AE30+AE31+AE32+AE33+AE46+AE47+AE48+AE49+AE50+AE51+AE52+AE53+AE54+AE55+AE56+AE57+AE58+AE59+AE60+AE61+AE62+AE63</f>
        <v>14.080000000000002</v>
      </c>
      <c r="AF67" s="735">
        <f>AF8+AF26+AF27+AF28+AF29+AF30+AF31+AF32+AF33+AF3+AF36+AF37+AF38+AF39+AF40+AF41+AF42+AF43+AF44+AF45+AF46+AF47+AF48+AF49+AF50+AF51+AF52+AF53+AF54+AF55+AF56+AF57+AF58+AF59+AF60+AF61+AF62+AF63</f>
        <v>0</v>
      </c>
      <c r="AG67" s="735">
        <f>AG8+AG26+AG27+AG28+AG29+AG30+AG31+AG32+AG33+AG35+AG37+AG38+AG39+AG40+AG41+AG42+AG43+AG44+AG45+AG46+AG47+AG48+AG49+AG50+AG51+AG52+AG53+AG54+AG55+AG56+AG57+AG58+AG59+AG60+AG61+AG62+AG63</f>
        <v>0</v>
      </c>
      <c r="AH67" s="735">
        <f>AH8+AH26+AH27+AH28+AH29+AH30+AH31+AH32+AH33+AH35+AH36+AH38+AH39+AH40+AH41+AH42+AH43+AH44+AH45+AH46+AH47+AH48+AH49+AH50+AH51+AH52+AH53+AH54+AH55+AH56+AH57+AH58+AH59+AH60+AH61+AH62+AH63</f>
        <v>0</v>
      </c>
      <c r="AI67" s="735">
        <f>AI8+AI26+AI27+AI28+AI29+AI30+AI31+AI32+AI33+AI35+AI36+AI37+AI39+AI40+AI41+AI42+AI43+AI44+AI45+AI46+AI47+AI48+AI49+AI50+AI51+AI52+AI53+AI54+AI55+AI56+AI57+AI58+AI59+AI60+AI61+AI62+AI63</f>
        <v>0</v>
      </c>
      <c r="AJ67" s="735">
        <f>AJ8+AJ26+AJ27+AJ28+AJ29+AJ30+AJ31+AJ32+AJ33+AJ35+AJ36+AJ37+AJ38+AJ40+AJ41+AJ42+AJ43+AJ44+AJ45+AJ46+AJ47+AJ48+AJ49+AJ50+AJ51+AJ52+AJ53+AJ54+AJ55+AJ56+AJ57+AJ58+AJ59+AJ60+AJ61+AJ62+AJ63</f>
        <v>0</v>
      </c>
      <c r="AK67" s="735">
        <f>AK8+AK26+AK27+AK28+AK29+AK30+AK31+AK32+AK33+AK35+AK36+AK37+AK38+AK39+AK41+AK42+AK43+AK44+AK45+AK46+AK47+AK48+AK49+AK50+AK51+AK52+AK53+AK54+AK55+AK56+AK57+AK58+AK59+AK60+AK61+AK62+AK63</f>
        <v>0</v>
      </c>
      <c r="AL67" s="731">
        <f>AL8+AL26+AL27+AL28+AL29+AL30+AL31+AL32+AL33+AL35+AL36+AL37+AL38+AL39+AL40+AL42+AL43+AL44+AL45+AL46+AL47+AL48+AL49+AL50+AL51+AL52+AL53+AL54+AL55+AL56+AL57+AL58+AL59+AL60+AL61+AL62+AL63</f>
        <v>14.100000000000001</v>
      </c>
      <c r="AM67" s="735">
        <f>AM8+AM26+AM27+AM28+AM29+AM30+AM31+AM32+AM33+AM35+AM36+AM37+AM38+AM39+AM40+AM41+AM43+AM44+AM45+AM46+AM47+AM48+AM49+AM50+AM51+AM52+AM53+AM54+AM55+AM56+AM57+AM58+AM59+AM60+AM61+AM62+AM63</f>
        <v>0</v>
      </c>
      <c r="AN67" s="735">
        <f>AN8+AN26+AN27+AN28+AN29+AN30+AN31+AN32+AN33+AN35+AN36+AN37+AN38+AN39+AN40+AN41+AN42+AN44+AN45+AN46+AN47+AN48+AN49+AN50+AN51+AN52+AN53+AN54+AN55+AN56+AN57+AN58+AN59+AN60+AN61+AN62+AN63</f>
        <v>0</v>
      </c>
      <c r="AO67" s="735">
        <f>AO8+AO26+AO27+AO28+AO29+AO30+AO31+AO32+AO33+AO35+AO36+AO37+AO38+AO39+AO40+AO41+AO42+AO43+AO45+AO46+AO47+AO48+AO49+AO50+AO51+AO52+AO53+AO54+AO55+AO56+AO57+AO58+AO59+AO60+AO61+AO62+AO63</f>
        <v>0</v>
      </c>
      <c r="AP67" s="735">
        <f>AP8+AP26+AP27+AP28+AP29+AP30+AP31+AP32+AP33+AP35+AP36+AP37+AP38+AP39+AP40+AP41+AP42+AP43+AP44+AP46+AP47+AP48+AP49+AP50+AP51+AP52+AP53+AP54+AP55+AP56+AP57+AP58+AP59+AP60+AP61+AP62+AP63</f>
        <v>0</v>
      </c>
      <c r="AQ67" s="735">
        <f>AQ8+AQ26+AQ27+AQ28+AQ29+AQ30+AQ31+AQ32+AQ33+AQ34+AQ47+AQ48+AQ49+AQ50+AQ51+AQ52+AQ53+AQ54+AQ55+AQ56+AQ57+AQ58+AQ59+AQ60+AQ61+AQ62+AQ63</f>
        <v>0</v>
      </c>
      <c r="AR67" s="735">
        <f>AR8+AR26+AR27+AR28+AR29+AR30+AR31+AR32+AR33+AR34+AR46+AR48+AR49+AR50+AR51+AR52+AR53+AR54+AR55+AR56+AR57+AR58+AR59+AR60+AR61+AR62+AR63</f>
        <v>0</v>
      </c>
      <c r="AS67" s="735">
        <f>AS8+AS26+AS27+AS28+AS29+AS30+AS31+AS32+AS33+AS34+AS46+AS47+AS49+AS50+AS51+AS52+AS53+AS54+AS55+AS56+AS57+AS58+AS59+AS60+AS61+AS62+AS63</f>
        <v>4.6000000000000005</v>
      </c>
      <c r="AT67" s="731">
        <f>AT8+AT26+AT27+AT28+AT29+AT30+AT31+AT32+AT33+AT34+AT46+AT47+AT48+AT50+AT51+AT52+AT53+AT54+AT55+AT56+AT57+AT58+AT59+AT60+AT61+AT62+AT63</f>
        <v>4.7300000000000004</v>
      </c>
      <c r="AU67" s="735">
        <f>AU8+AU26+AU27+AU28+AU29+AU30+AU31+AU32+AU33+AU34+AU46+AU47+AU48+AU49+AU51+AU52+AU53+AU54+AU55+AU56+AU57+AU58+AU59+AU60+AU61+AU62+AU63</f>
        <v>0</v>
      </c>
      <c r="AV67" s="735">
        <f>AV8+AV26+AV27+AV28+AV29+AV30+AV31+AV32+AV33+AV34+AV46+AV47+AV48+AV49+AV50+AV52+AV53+AV54+AV55+AV56+AV57+AV58+AV59+AV60+AV61+AV62+AV63</f>
        <v>0</v>
      </c>
      <c r="AW67" s="735">
        <f>AW8+AW26+AW27+AW28+AW29+AW30+AW31+AW32+AW33+AW34+AW46+AW47+AW48+AW49+AW50+AW51+AW53+AW54+AW55+AW56+AW57+AW58+AW59+AW60+AW61+AW62+AW63</f>
        <v>0</v>
      </c>
      <c r="AX67" s="735">
        <f>AX8+AX26+AX27+AX28+AX29+AX30+AX31+AX32+AX33+AX34+AX46+AX47+AX48+AX49+AX50+AX51+AX52+AX54+AX55+AX56+AX57+AX58+AX59+AX60+AX61+AX62+AX63</f>
        <v>0</v>
      </c>
      <c r="AY67" s="735">
        <f>AY8+AY26+AY27+AY28+AY29+AY30+AY31+AY32+AY33+AY34+AY46+AY47+AY48+AY49+AY50+AY51+AY52+AY53+AY55+AY56+AY57+AY58+AY59+AY60+AY61+AY62+AY63</f>
        <v>0</v>
      </c>
      <c r="AZ67" s="735">
        <f>AZ8+AZ26+AZ27+AZ28+AZ29+AZ30+AZ31+AZ32+AZ33+AZ34+AZ46+AZ47+AZ48+AZ49+AZ50+AZ51+AZ52+AZ53+AZ54+AZ56+AZ57+AZ58+AZ59+AZ60+AZ61+AZ62+AZ63</f>
        <v>0</v>
      </c>
      <c r="BA67" s="731">
        <f>BA8+BA26+BA27+BA28+BA29+BA30+BA31+BA32+BA33+BA34+BA46+BA47+BA48+BA49+BA50+BA51+BA52+BA53+BA54+BA55+BA57+BA58+BA59+BA60+BA61+BA62+BA63</f>
        <v>0.06</v>
      </c>
      <c r="BB67" s="735">
        <f>BB8+BB26+BB27+BB28+BB29+BB30+BB31+BB32+BB33+BB34+BB46+BB47+BB48+BB49+BB50+BB51+BB52+BB53+BB54+BB55+BB56+BB58+BB59+BB60+BB61+BB62+BB63</f>
        <v>0</v>
      </c>
      <c r="BC67" s="735">
        <f>BC8+BC26+BC27+BC28+BC29+BC30+BC31+BC32+BC33+BC34+BC46+BC47+BC48+BC49+BC50+BC51+BC52+BC53+BC54+BC55+BC56+BC57+BC59+BC60+BC61+BC62+BC63</f>
        <v>0</v>
      </c>
      <c r="BD67" s="735">
        <f>BD8+BD26+BD27+BD28+BD29+BD30+BD31+BD32+BD33+BD34+BD46+BD47+BD48+BD49+BD50+BD51+BD52+BD53+BD54+BD55+BD56+BD57+BD58+BD60+BD61+BD62+BD63</f>
        <v>0</v>
      </c>
      <c r="BE67" s="735">
        <f>BE8+BE26+BE27+BE28+BE29+BE30+BE31+BE32+BE33+BE34+BE46+BE47+BE48+BE49+BE50+BE51+BE52+BE53+BE54+BE55+BE56+BE57+BE58+BE59+BE61+BE62+BE63</f>
        <v>0</v>
      </c>
      <c r="BF67" s="735">
        <f>BF8+BF26+BF27+BF28+BF29+BF30+BF31+BF32+BF33+BF34+BF46+BF47+BF48+BF49+BF50+BF51+BF52+BF53+BF54+BF55+BF56+BF57+BF58+BF59+BF60+BF62+BF63</f>
        <v>0</v>
      </c>
      <c r="BG67" s="735">
        <f>BG8+BG26+BG27+BG28+BG29+BG30+BG31+BG32+BG33+BG34+BG46+BG47+BG48+BG49+BG50+BG51+BG52+BG53+BG54+BG55+BG56+BG57+BG58+BG59+BG60+BG61+BG63</f>
        <v>0</v>
      </c>
      <c r="BH67" s="735">
        <f>BH8+BH25</f>
        <v>0</v>
      </c>
      <c r="BI67" s="735">
        <f>BI8+BI25+BI65+BI66</f>
        <v>0</v>
      </c>
      <c r="BJ67" s="735">
        <f>BJ8+BJ25+BJ64+BJ66</f>
        <v>0</v>
      </c>
      <c r="BK67" s="735">
        <f>BK8+BK25+BK64+BK65</f>
        <v>0</v>
      </c>
      <c r="BL67" s="735"/>
      <c r="BM67" s="735"/>
      <c r="BN67" s="189"/>
      <c r="BO67" s="123"/>
      <c r="BP67" s="117"/>
    </row>
    <row r="68" spans="1:68" s="117" customFormat="1" ht="31.5" customHeight="1">
      <c r="A68" s="10"/>
      <c r="B68" s="10" t="s">
        <v>695</v>
      </c>
      <c r="C68" s="10"/>
      <c r="D68" s="458">
        <f>BN7</f>
        <v>3442.5194999999999</v>
      </c>
      <c r="E68" s="458">
        <f>BN8</f>
        <v>2466.9899999999998</v>
      </c>
      <c r="F68" s="458">
        <f>BN9</f>
        <v>391.95</v>
      </c>
      <c r="G68" s="458">
        <f>BN10</f>
        <v>316.82000000000005</v>
      </c>
      <c r="H68" s="458">
        <f>BN11</f>
        <v>264.73</v>
      </c>
      <c r="I68" s="458">
        <f>BN12</f>
        <v>185.81</v>
      </c>
      <c r="J68" s="458">
        <f>BN13</f>
        <v>78.92</v>
      </c>
      <c r="K68" s="458">
        <f>BN14</f>
        <v>0</v>
      </c>
      <c r="L68" s="458">
        <f>BN15</f>
        <v>0</v>
      </c>
      <c r="M68" s="458">
        <f>BN16</f>
        <v>52.09</v>
      </c>
      <c r="N68" s="458">
        <f>BN17</f>
        <v>75.13</v>
      </c>
      <c r="O68" s="458">
        <f>BN18</f>
        <v>1901.38</v>
      </c>
      <c r="P68" s="458">
        <f>BN19</f>
        <v>888.55000000000007</v>
      </c>
      <c r="Q68" s="458">
        <f>BN20</f>
        <v>0</v>
      </c>
      <c r="R68" s="458">
        <f>BN21</f>
        <v>1012.83</v>
      </c>
      <c r="S68" s="458">
        <f>BN22</f>
        <v>173.66</v>
      </c>
      <c r="T68" s="458">
        <f>BN23</f>
        <v>0</v>
      </c>
      <c r="U68" s="458">
        <f>BN24</f>
        <v>0</v>
      </c>
      <c r="V68" s="458">
        <f>BN25</f>
        <v>544.87950000000001</v>
      </c>
      <c r="W68" s="458">
        <f>BN26</f>
        <v>3.71</v>
      </c>
      <c r="X68" s="458">
        <f>BN27</f>
        <v>0</v>
      </c>
      <c r="Y68" s="458">
        <f>BN28</f>
        <v>0</v>
      </c>
      <c r="Z68" s="458">
        <f>BN29</f>
        <v>0</v>
      </c>
      <c r="AA68" s="458">
        <f>BN30</f>
        <v>0</v>
      </c>
      <c r="AB68" s="458">
        <f>BN31</f>
        <v>6.18</v>
      </c>
      <c r="AC68" s="458">
        <f>BN32</f>
        <v>12.18</v>
      </c>
      <c r="AD68" s="458">
        <f>BN33</f>
        <v>0</v>
      </c>
      <c r="AE68" s="458">
        <f>BN34</f>
        <v>163.15999999999997</v>
      </c>
      <c r="AF68" s="458">
        <f>BN35</f>
        <v>0.6</v>
      </c>
      <c r="AG68" s="458">
        <f>BN36</f>
        <v>0.08</v>
      </c>
      <c r="AH68" s="458">
        <f>BN37</f>
        <v>5</v>
      </c>
      <c r="AI68" s="458">
        <f>BN38</f>
        <v>1.57</v>
      </c>
      <c r="AJ68" s="458">
        <f>BN39</f>
        <v>0</v>
      </c>
      <c r="AK68" s="458">
        <f>BN40</f>
        <v>0</v>
      </c>
      <c r="AL68" s="458">
        <f>BN41</f>
        <v>138.07999999999998</v>
      </c>
      <c r="AM68" s="458">
        <f>BN42</f>
        <v>17.29</v>
      </c>
      <c r="AN68" s="458">
        <f>BN43</f>
        <v>0.03</v>
      </c>
      <c r="AO68" s="458">
        <f>BN44</f>
        <v>0.51</v>
      </c>
      <c r="AP68" s="458">
        <f>BN45</f>
        <v>0</v>
      </c>
      <c r="AQ68" s="458">
        <f>BN46</f>
        <v>0</v>
      </c>
      <c r="AR68" s="458">
        <f>BN47</f>
        <v>0</v>
      </c>
      <c r="AS68" s="458">
        <f>BN48</f>
        <v>4.6000000000000005</v>
      </c>
      <c r="AT68" s="458">
        <f>BN49</f>
        <v>50.28</v>
      </c>
      <c r="AU68" s="458">
        <f>BN50</f>
        <v>0</v>
      </c>
      <c r="AV68" s="458">
        <f>BN51</f>
        <v>4.47</v>
      </c>
      <c r="AW68" s="458">
        <f>BN52</f>
        <v>0</v>
      </c>
      <c r="AX68" s="458">
        <f>BN53</f>
        <v>0</v>
      </c>
      <c r="AY68" s="458">
        <f>BN54</f>
        <v>0</v>
      </c>
      <c r="AZ68" s="458">
        <f>BN55</f>
        <v>10.59</v>
      </c>
      <c r="BA68" s="458">
        <f>BN56</f>
        <v>5.9494999999999996</v>
      </c>
      <c r="BB68" s="458">
        <f>BN57</f>
        <v>1.6</v>
      </c>
      <c r="BC68" s="458">
        <f>BN58</f>
        <v>0</v>
      </c>
      <c r="BD68" s="458">
        <f>BN59</f>
        <v>0.66</v>
      </c>
      <c r="BE68" s="458">
        <f>BN60</f>
        <v>247.7</v>
      </c>
      <c r="BF68" s="458">
        <f>BN61</f>
        <v>33.799999999999997</v>
      </c>
      <c r="BG68" s="458">
        <f>BN62</f>
        <v>0</v>
      </c>
      <c r="BH68" s="458">
        <f>BN63</f>
        <v>430.65</v>
      </c>
      <c r="BI68" s="458">
        <f>BN64</f>
        <v>420.66999999999996</v>
      </c>
      <c r="BJ68" s="458">
        <f>BN65</f>
        <v>9.98</v>
      </c>
      <c r="BK68" s="458">
        <f>BN66</f>
        <v>0</v>
      </c>
      <c r="BL68" s="458"/>
      <c r="BM68" s="458"/>
      <c r="BN68" s="458"/>
      <c r="BO68" s="123"/>
    </row>
    <row r="69" spans="1:68" ht="24.95" customHeight="1">
      <c r="X69">
        <v>180.35</v>
      </c>
      <c r="AB69">
        <v>2.66</v>
      </c>
      <c r="AH69">
        <v>4.2699999999999996</v>
      </c>
      <c r="AL69">
        <v>57.56</v>
      </c>
      <c r="BC69">
        <v>20.2</v>
      </c>
    </row>
    <row r="70" spans="1:68" ht="18" customHeight="1">
      <c r="A70" s="1300" t="s">
        <v>10</v>
      </c>
      <c r="B70" s="1300"/>
      <c r="AB70">
        <f>AB67-AB69</f>
        <v>-2.66</v>
      </c>
      <c r="AH70">
        <f>AH67-AH69</f>
        <v>-4.2699999999999996</v>
      </c>
      <c r="AL70">
        <f>AL67-AL69</f>
        <v>-43.46</v>
      </c>
    </row>
    <row r="71" spans="1:68" ht="28.5" customHeight="1">
      <c r="A71" s="1300" t="s">
        <v>321</v>
      </c>
      <c r="B71" s="1300"/>
      <c r="C71" s="1300"/>
      <c r="D71" s="1300"/>
      <c r="E71" s="1300"/>
      <c r="F71" s="1300"/>
      <c r="G71" s="1300"/>
      <c r="H71" s="1300"/>
      <c r="I71" s="1300"/>
      <c r="J71" s="1300"/>
      <c r="K71" s="1300"/>
      <c r="L71" s="1300"/>
      <c r="M71" s="1300"/>
      <c r="N71" s="1300"/>
      <c r="O71" s="1300"/>
      <c r="P71" s="1300"/>
      <c r="Q71" s="1300"/>
      <c r="R71" s="1300"/>
      <c r="S71" s="1300"/>
      <c r="T71" s="1300"/>
      <c r="U71" s="1300"/>
      <c r="V71" s="1300"/>
      <c r="W71" s="1300"/>
      <c r="X71" s="1300"/>
      <c r="Y71" s="1300"/>
      <c r="Z71" s="1300"/>
      <c r="AA71" s="1300"/>
      <c r="AB71" s="1300"/>
      <c r="AC71" s="1300"/>
      <c r="AD71" s="1300"/>
      <c r="AE71" s="1300"/>
      <c r="AF71" s="1300"/>
      <c r="AG71" s="1300"/>
      <c r="AH71" s="1300"/>
      <c r="AI71" s="1300"/>
      <c r="AJ71" s="1300"/>
      <c r="AK71" s="1300"/>
      <c r="AL71" s="1300"/>
      <c r="AM71" s="1300"/>
      <c r="AN71" s="1300"/>
      <c r="AO71" s="1300"/>
      <c r="AP71" s="1300"/>
      <c r="AQ71" s="1300"/>
      <c r="AR71" s="1300"/>
      <c r="AS71" s="1300"/>
    </row>
    <row r="72" spans="1:68" ht="24.75" customHeight="1">
      <c r="A72" s="1300" t="s">
        <v>322</v>
      </c>
      <c r="B72" s="1300"/>
      <c r="C72" s="1300"/>
      <c r="D72" s="1300"/>
      <c r="E72" s="1300"/>
      <c r="F72" s="1300"/>
      <c r="G72" s="1300"/>
      <c r="H72" s="1300"/>
      <c r="I72" s="1300"/>
      <c r="J72" s="1300"/>
      <c r="K72" s="1300"/>
      <c r="L72" s="1300"/>
      <c r="M72" s="1300"/>
      <c r="N72" s="1300"/>
      <c r="O72" s="1300"/>
      <c r="P72" s="1300"/>
      <c r="Q72" s="1300"/>
      <c r="R72" s="1300"/>
      <c r="S72" s="1300"/>
      <c r="T72" s="1300"/>
      <c r="U72" s="1300"/>
      <c r="V72" s="1300"/>
      <c r="W72" s="1300"/>
      <c r="X72" s="1300"/>
      <c r="Y72" s="1300"/>
      <c r="Z72" s="1300"/>
      <c r="AA72" s="1300"/>
      <c r="AB72" s="1300"/>
      <c r="AC72" s="1300"/>
      <c r="AD72" s="1300"/>
      <c r="AE72" s="1300"/>
      <c r="AF72" s="1300"/>
      <c r="AG72" s="1300"/>
      <c r="AH72" s="1300"/>
      <c r="AI72" s="1300"/>
      <c r="AJ72" s="1300"/>
      <c r="AK72" s="1300"/>
      <c r="AL72" s="1300"/>
      <c r="AM72" s="1300"/>
      <c r="AN72" s="1300"/>
      <c r="AO72" s="1300"/>
      <c r="AP72" s="1300"/>
      <c r="AQ72" s="1300"/>
      <c r="AR72" s="1300"/>
      <c r="AS72" s="1300"/>
    </row>
    <row r="73" spans="1:68" ht="21.75" customHeight="1">
      <c r="AR73" s="1300" t="s">
        <v>138</v>
      </c>
      <c r="AS73" s="1300"/>
    </row>
    <row r="74" spans="1:68" ht="31.5" customHeight="1">
      <c r="A74" s="1300" t="s">
        <v>0</v>
      </c>
      <c r="B74" s="1300" t="s">
        <v>12</v>
      </c>
      <c r="C74" s="1302" t="s">
        <v>13</v>
      </c>
      <c r="D74" s="1300" t="s">
        <v>324</v>
      </c>
      <c r="E74" s="1300" t="s">
        <v>326</v>
      </c>
      <c r="F74" s="1300"/>
      <c r="G74" s="1300"/>
      <c r="H74" s="1300"/>
      <c r="I74" s="1300"/>
      <c r="J74" s="1300"/>
      <c r="K74" s="1300"/>
      <c r="L74" s="1300"/>
      <c r="M74" s="1300"/>
      <c r="N74" s="1300"/>
      <c r="O74" s="1300"/>
      <c r="P74" s="1300"/>
      <c r="Q74" s="1300"/>
      <c r="R74" s="1300"/>
      <c r="S74" s="1300"/>
      <c r="T74" s="1300"/>
      <c r="U74" s="1300"/>
      <c r="V74" s="1300"/>
      <c r="W74" s="1300"/>
      <c r="X74" s="1300"/>
      <c r="Y74" s="1300"/>
      <c r="Z74" s="1300"/>
      <c r="AA74" s="1300"/>
      <c r="AB74" s="1300"/>
      <c r="AC74" s="1300"/>
      <c r="AD74" s="1300"/>
      <c r="AE74" s="1300"/>
      <c r="AF74" s="1300"/>
      <c r="AG74" s="1300"/>
      <c r="AH74" s="1300"/>
      <c r="AI74" s="1300"/>
      <c r="AJ74" s="1300"/>
      <c r="AK74" s="1300"/>
      <c r="AL74" s="1300"/>
      <c r="AM74" s="1300"/>
      <c r="AN74" s="1300"/>
      <c r="AO74" s="1300"/>
      <c r="AP74" s="1300"/>
      <c r="AQ74" s="1300"/>
      <c r="AR74" s="1300" t="s">
        <v>191</v>
      </c>
      <c r="AS74" s="1300" t="s">
        <v>323</v>
      </c>
    </row>
    <row r="75" spans="1:68" ht="30" customHeight="1">
      <c r="A75" s="1300"/>
      <c r="B75" s="1300"/>
      <c r="C75" s="1302"/>
      <c r="D75" s="1300"/>
      <c r="E75" t="s">
        <v>15</v>
      </c>
      <c r="F75" t="s">
        <v>18</v>
      </c>
      <c r="G75" t="s">
        <v>20</v>
      </c>
      <c r="H75" t="s">
        <v>23</v>
      </c>
      <c r="I75" t="s">
        <v>26</v>
      </c>
      <c r="J75" t="s">
        <v>29</v>
      </c>
      <c r="K75" t="s">
        <v>32</v>
      </c>
      <c r="L75" t="s">
        <v>35</v>
      </c>
      <c r="M75" t="s">
        <v>38</v>
      </c>
      <c r="N75" t="s">
        <v>41</v>
      </c>
      <c r="O75" t="s">
        <v>44</v>
      </c>
      <c r="P75" t="s">
        <v>46</v>
      </c>
      <c r="Q75" t="s">
        <v>49</v>
      </c>
      <c r="R75" t="s">
        <v>52</v>
      </c>
      <c r="S75" t="s">
        <v>55</v>
      </c>
      <c r="T75" t="s">
        <v>58</v>
      </c>
      <c r="U75" t="s">
        <v>61</v>
      </c>
      <c r="V75" t="s">
        <v>64</v>
      </c>
      <c r="W75" t="s">
        <v>67</v>
      </c>
      <c r="X75" t="s">
        <v>70</v>
      </c>
      <c r="Y75" t="s">
        <v>72</v>
      </c>
      <c r="Z75" t="s">
        <v>75</v>
      </c>
      <c r="AA75" t="s">
        <v>78</v>
      </c>
      <c r="AB75" t="s">
        <v>81</v>
      </c>
      <c r="AC75" t="s">
        <v>84</v>
      </c>
      <c r="AD75" t="s">
        <v>87</v>
      </c>
      <c r="AE75" t="s">
        <v>90</v>
      </c>
      <c r="AF75" t="s">
        <v>93</v>
      </c>
      <c r="AG75" t="s">
        <v>96</v>
      </c>
      <c r="AH75" t="s">
        <v>99</v>
      </c>
      <c r="AI75" t="s">
        <v>101</v>
      </c>
      <c r="AJ75" t="s">
        <v>104</v>
      </c>
      <c r="AK75" t="s">
        <v>107</v>
      </c>
      <c r="AL75" t="s">
        <v>110</v>
      </c>
      <c r="AM75" t="s">
        <v>113</v>
      </c>
      <c r="AN75" t="s">
        <v>116</v>
      </c>
      <c r="AO75" t="s">
        <v>119</v>
      </c>
      <c r="AP75" t="s">
        <v>122</v>
      </c>
      <c r="AQ75" t="s">
        <v>124</v>
      </c>
      <c r="AR75" s="1300"/>
      <c r="AS75" s="1300"/>
    </row>
    <row r="76" spans="1:68" ht="27.75" customHeight="1">
      <c r="B76" t="s">
        <v>189</v>
      </c>
      <c r="D76">
        <f>D77+D88+D115</f>
        <v>3442.5194999999994</v>
      </c>
      <c r="E76">
        <f t="shared" ref="E76:AS76" si="33">E77+E88+E115</f>
        <v>2466.9900000000002</v>
      </c>
      <c r="F76">
        <f t="shared" si="33"/>
        <v>264.73</v>
      </c>
      <c r="G76">
        <f t="shared" si="33"/>
        <v>0</v>
      </c>
      <c r="H76">
        <f t="shared" si="33"/>
        <v>52.09</v>
      </c>
      <c r="I76">
        <f t="shared" si="33"/>
        <v>75.13</v>
      </c>
      <c r="J76">
        <f>J77+J88+J115</f>
        <v>896.23</v>
      </c>
      <c r="K76">
        <f t="shared" si="33"/>
        <v>-10.74</v>
      </c>
      <c r="L76">
        <f t="shared" si="33"/>
        <v>1015.8900000000001</v>
      </c>
      <c r="M76">
        <f t="shared" si="33"/>
        <v>173.66</v>
      </c>
      <c r="N76">
        <f t="shared" si="33"/>
        <v>0</v>
      </c>
      <c r="O76">
        <f t="shared" si="33"/>
        <v>0</v>
      </c>
      <c r="P76">
        <f t="shared" si="33"/>
        <v>544.87949999999989</v>
      </c>
      <c r="Q76">
        <f t="shared" si="33"/>
        <v>3.71</v>
      </c>
      <c r="R76">
        <f t="shared" si="33"/>
        <v>0</v>
      </c>
      <c r="S76">
        <f t="shared" si="33"/>
        <v>0</v>
      </c>
      <c r="T76">
        <f t="shared" si="33"/>
        <v>0</v>
      </c>
      <c r="U76">
        <f t="shared" si="33"/>
        <v>0</v>
      </c>
      <c r="V76">
        <f t="shared" si="33"/>
        <v>6.18</v>
      </c>
      <c r="W76">
        <f t="shared" si="33"/>
        <v>12.18</v>
      </c>
      <c r="X76">
        <f t="shared" si="33"/>
        <v>0</v>
      </c>
      <c r="Y76">
        <f t="shared" si="33"/>
        <v>163.15999999999997</v>
      </c>
      <c r="Z76">
        <f t="shared" si="33"/>
        <v>0</v>
      </c>
      <c r="AA76">
        <f t="shared" si="33"/>
        <v>0</v>
      </c>
      <c r="AB76">
        <f t="shared" si="33"/>
        <v>4.6000000000000005</v>
      </c>
      <c r="AC76">
        <f t="shared" si="33"/>
        <v>50.279999999999994</v>
      </c>
      <c r="AD76">
        <f t="shared" si="33"/>
        <v>0</v>
      </c>
      <c r="AE76">
        <f t="shared" si="33"/>
        <v>4.47</v>
      </c>
      <c r="AF76">
        <f t="shared" si="33"/>
        <v>0</v>
      </c>
      <c r="AG76">
        <f t="shared" si="33"/>
        <v>0</v>
      </c>
      <c r="AH76">
        <f t="shared" si="33"/>
        <v>0</v>
      </c>
      <c r="AI76">
        <f t="shared" si="33"/>
        <v>10.59</v>
      </c>
      <c r="AJ76">
        <f t="shared" si="33"/>
        <v>5.9494999999999996</v>
      </c>
      <c r="AK76">
        <f t="shared" si="33"/>
        <v>1.6</v>
      </c>
      <c r="AL76">
        <f t="shared" si="33"/>
        <v>0</v>
      </c>
      <c r="AM76">
        <f t="shared" si="33"/>
        <v>0.66</v>
      </c>
      <c r="AN76">
        <f t="shared" si="33"/>
        <v>247.7</v>
      </c>
      <c r="AO76">
        <f t="shared" si="33"/>
        <v>33.799999999999997</v>
      </c>
      <c r="AP76">
        <f t="shared" si="33"/>
        <v>0</v>
      </c>
      <c r="AQ76">
        <f t="shared" si="33"/>
        <v>7.38</v>
      </c>
      <c r="AS76">
        <f t="shared" si="33"/>
        <v>3442.5194999999999</v>
      </c>
    </row>
    <row r="77" spans="1:68" ht="20.25" customHeight="1">
      <c r="A77">
        <v>1</v>
      </c>
      <c r="B77" t="s">
        <v>14</v>
      </c>
      <c r="C77" s="105" t="s">
        <v>15</v>
      </c>
      <c r="D77">
        <f>D78+D80+D81+D82+D83+D84+D85+D86+D87</f>
        <v>2476.54</v>
      </c>
      <c r="E77">
        <f t="shared" ref="E77:AS77" si="34">E78+E80+E81+E82+E83+E84+E85+E86+E87</f>
        <v>2458.5300000000002</v>
      </c>
      <c r="F77">
        <f t="shared" si="34"/>
        <v>264.73</v>
      </c>
      <c r="G77">
        <f t="shared" si="34"/>
        <v>0</v>
      </c>
      <c r="H77">
        <f t="shared" si="34"/>
        <v>52.09</v>
      </c>
      <c r="I77">
        <f t="shared" si="34"/>
        <v>75.13</v>
      </c>
      <c r="J77">
        <f t="shared" si="34"/>
        <v>896.23</v>
      </c>
      <c r="K77">
        <f t="shared" si="34"/>
        <v>-10.74</v>
      </c>
      <c r="L77">
        <f t="shared" si="34"/>
        <v>1015.8900000000001</v>
      </c>
      <c r="M77">
        <f t="shared" si="34"/>
        <v>165.2</v>
      </c>
      <c r="N77">
        <f t="shared" si="34"/>
        <v>0</v>
      </c>
      <c r="O77">
        <f t="shared" si="34"/>
        <v>0</v>
      </c>
      <c r="P77">
        <f>P78+P80+P81+P82+P83+P84+P85+P86+P87</f>
        <v>18.009999999999998</v>
      </c>
      <c r="Q77">
        <f t="shared" si="34"/>
        <v>0</v>
      </c>
      <c r="R77">
        <f t="shared" si="34"/>
        <v>0</v>
      </c>
      <c r="S77">
        <f t="shared" si="34"/>
        <v>0</v>
      </c>
      <c r="T77">
        <f t="shared" si="34"/>
        <v>0</v>
      </c>
      <c r="U77">
        <f t="shared" si="34"/>
        <v>0</v>
      </c>
      <c r="V77">
        <f t="shared" si="34"/>
        <v>0</v>
      </c>
      <c r="W77">
        <f t="shared" si="34"/>
        <v>0</v>
      </c>
      <c r="X77">
        <f t="shared" si="34"/>
        <v>0</v>
      </c>
      <c r="Y77">
        <f t="shared" si="34"/>
        <v>10.75</v>
      </c>
      <c r="Z77">
        <f t="shared" si="34"/>
        <v>0</v>
      </c>
      <c r="AA77">
        <f t="shared" si="34"/>
        <v>0</v>
      </c>
      <c r="AB77">
        <f t="shared" si="34"/>
        <v>4.4000000000000004</v>
      </c>
      <c r="AC77">
        <f t="shared" si="34"/>
        <v>2.8600000000000003</v>
      </c>
      <c r="AD77">
        <f t="shared" si="34"/>
        <v>0</v>
      </c>
      <c r="AE77">
        <f t="shared" si="34"/>
        <v>0</v>
      </c>
      <c r="AF77">
        <f t="shared" si="34"/>
        <v>0</v>
      </c>
      <c r="AG77">
        <f t="shared" si="34"/>
        <v>0</v>
      </c>
      <c r="AH77">
        <f t="shared" si="34"/>
        <v>0</v>
      </c>
      <c r="AI77">
        <f t="shared" si="34"/>
        <v>0</v>
      </c>
      <c r="AJ77">
        <f t="shared" si="34"/>
        <v>0</v>
      </c>
      <c r="AK77">
        <f t="shared" si="34"/>
        <v>0</v>
      </c>
      <c r="AL77">
        <f t="shared" si="34"/>
        <v>0</v>
      </c>
      <c r="AM77">
        <f t="shared" si="34"/>
        <v>0</v>
      </c>
      <c r="AN77">
        <f t="shared" si="34"/>
        <v>0</v>
      </c>
      <c r="AO77">
        <f t="shared" si="34"/>
        <v>0</v>
      </c>
      <c r="AP77">
        <f t="shared" si="34"/>
        <v>0</v>
      </c>
      <c r="AQ77">
        <f t="shared" si="34"/>
        <v>0</v>
      </c>
      <c r="AR77">
        <f>P77</f>
        <v>18.009999999999998</v>
      </c>
      <c r="AS77">
        <f t="shared" si="34"/>
        <v>2466.9899999999998</v>
      </c>
    </row>
    <row r="78" spans="1:68" ht="20.25" customHeight="1">
      <c r="A78" t="s">
        <v>16</v>
      </c>
      <c r="B78" t="s">
        <v>17</v>
      </c>
      <c r="C78" s="105" t="s">
        <v>18</v>
      </c>
      <c r="D78">
        <f>D11</f>
        <v>279.36</v>
      </c>
      <c r="E78">
        <f>F78+H78+I78+J78+K78+L78+M78+N78+O78</f>
        <v>277.67</v>
      </c>
      <c r="F78">
        <f>D78-AR78</f>
        <v>264.73</v>
      </c>
      <c r="G78">
        <f>I13</f>
        <v>0</v>
      </c>
      <c r="H78">
        <f>M11</f>
        <v>0</v>
      </c>
      <c r="I78">
        <f>N11</f>
        <v>0</v>
      </c>
      <c r="J78">
        <f t="shared" ref="J78:O79" si="35">P11</f>
        <v>0</v>
      </c>
      <c r="K78">
        <f t="shared" si="35"/>
        <v>0</v>
      </c>
      <c r="L78">
        <f t="shared" si="35"/>
        <v>0</v>
      </c>
      <c r="M78">
        <f t="shared" si="35"/>
        <v>12.94</v>
      </c>
      <c r="N78">
        <f t="shared" si="35"/>
        <v>0</v>
      </c>
      <c r="O78">
        <f t="shared" si="35"/>
        <v>0</v>
      </c>
      <c r="P78">
        <f>SUM(Q78:AP78)</f>
        <v>1.69</v>
      </c>
      <c r="Q78">
        <f t="shared" ref="Q78:Y79" si="36">W11</f>
        <v>0</v>
      </c>
      <c r="R78">
        <f t="shared" si="36"/>
        <v>0</v>
      </c>
      <c r="S78">
        <f t="shared" si="36"/>
        <v>0</v>
      </c>
      <c r="T78">
        <f t="shared" si="36"/>
        <v>0</v>
      </c>
      <c r="U78">
        <f t="shared" si="36"/>
        <v>0</v>
      </c>
      <c r="V78">
        <f t="shared" si="36"/>
        <v>0</v>
      </c>
      <c r="W78">
        <f t="shared" si="36"/>
        <v>0</v>
      </c>
      <c r="X78">
        <f t="shared" si="36"/>
        <v>0</v>
      </c>
      <c r="Y78">
        <f t="shared" si="36"/>
        <v>1.08</v>
      </c>
      <c r="Z78">
        <f>AQ11</f>
        <v>0</v>
      </c>
      <c r="AA78">
        <f t="shared" ref="AA78:AQ79" si="37">AR11</f>
        <v>0</v>
      </c>
      <c r="AB78">
        <f t="shared" si="37"/>
        <v>0</v>
      </c>
      <c r="AC78">
        <f t="shared" si="37"/>
        <v>0.61</v>
      </c>
      <c r="AD78">
        <f t="shared" si="37"/>
        <v>0</v>
      </c>
      <c r="AE78">
        <f t="shared" si="37"/>
        <v>0</v>
      </c>
      <c r="AF78">
        <f t="shared" si="37"/>
        <v>0</v>
      </c>
      <c r="AG78">
        <f t="shared" si="37"/>
        <v>0</v>
      </c>
      <c r="AH78">
        <f t="shared" si="37"/>
        <v>0</v>
      </c>
      <c r="AI78">
        <f t="shared" si="37"/>
        <v>0</v>
      </c>
      <c r="AJ78">
        <f t="shared" si="37"/>
        <v>0</v>
      </c>
      <c r="AK78">
        <f t="shared" si="37"/>
        <v>0</v>
      </c>
      <c r="AL78">
        <f t="shared" si="37"/>
        <v>0</v>
      </c>
      <c r="AM78">
        <f t="shared" si="37"/>
        <v>0</v>
      </c>
      <c r="AN78">
        <f t="shared" si="37"/>
        <v>0</v>
      </c>
      <c r="AO78">
        <f t="shared" si="37"/>
        <v>0</v>
      </c>
      <c r="AP78">
        <f t="shared" si="37"/>
        <v>0</v>
      </c>
      <c r="AQ78">
        <f t="shared" si="37"/>
        <v>0</v>
      </c>
      <c r="AR78">
        <f>H78+I78+J78+K78+L78+M78+N78+O78+P78+AQ78</f>
        <v>14.629999999999999</v>
      </c>
      <c r="AS78">
        <f>D78+F116-AR78</f>
        <v>264.73</v>
      </c>
    </row>
    <row r="79" spans="1:68" ht="20.25" customHeight="1">
      <c r="B79" t="s">
        <v>19</v>
      </c>
      <c r="C79" s="105" t="s">
        <v>20</v>
      </c>
      <c r="D79">
        <f>D12</f>
        <v>190.68</v>
      </c>
      <c r="E79">
        <f t="shared" ref="E79:E114" si="38">F79+H79+I79+J79+K79+L79+M79+N79+O79</f>
        <v>3.42</v>
      </c>
      <c r="G79">
        <f>D79-AR79</f>
        <v>185.81</v>
      </c>
      <c r="H79">
        <f>M12</f>
        <v>0</v>
      </c>
      <c r="I79">
        <f>N12</f>
        <v>0</v>
      </c>
      <c r="J79">
        <f t="shared" si="35"/>
        <v>0</v>
      </c>
      <c r="K79">
        <f t="shared" si="35"/>
        <v>0</v>
      </c>
      <c r="L79">
        <f t="shared" si="35"/>
        <v>0</v>
      </c>
      <c r="M79">
        <f t="shared" si="35"/>
        <v>3.42</v>
      </c>
      <c r="N79">
        <f t="shared" si="35"/>
        <v>0</v>
      </c>
      <c r="O79">
        <f t="shared" si="35"/>
        <v>0</v>
      </c>
      <c r="P79">
        <f t="shared" ref="P79:P87" si="39">SUM(Q79:AP79)</f>
        <v>1.45</v>
      </c>
      <c r="Q79">
        <f t="shared" si="36"/>
        <v>0</v>
      </c>
      <c r="R79">
        <f t="shared" si="36"/>
        <v>0</v>
      </c>
      <c r="S79">
        <f t="shared" si="36"/>
        <v>0</v>
      </c>
      <c r="T79">
        <f t="shared" si="36"/>
        <v>0</v>
      </c>
      <c r="U79">
        <f t="shared" si="36"/>
        <v>0</v>
      </c>
      <c r="V79">
        <f t="shared" si="36"/>
        <v>0</v>
      </c>
      <c r="W79">
        <f t="shared" si="36"/>
        <v>0</v>
      </c>
      <c r="X79">
        <f t="shared" si="36"/>
        <v>0</v>
      </c>
      <c r="Y79">
        <f t="shared" si="36"/>
        <v>0.84</v>
      </c>
      <c r="Z79">
        <f>AQ12</f>
        <v>0</v>
      </c>
      <c r="AA79">
        <f t="shared" si="37"/>
        <v>0</v>
      </c>
      <c r="AB79">
        <f t="shared" si="37"/>
        <v>0</v>
      </c>
      <c r="AC79">
        <f t="shared" si="37"/>
        <v>0.61</v>
      </c>
      <c r="AD79">
        <f t="shared" si="37"/>
        <v>0</v>
      </c>
      <c r="AE79">
        <f t="shared" si="37"/>
        <v>0</v>
      </c>
      <c r="AF79">
        <f t="shared" si="37"/>
        <v>0</v>
      </c>
      <c r="AG79">
        <f t="shared" si="37"/>
        <v>0</v>
      </c>
      <c r="AH79">
        <f t="shared" si="37"/>
        <v>0</v>
      </c>
      <c r="AI79">
        <f t="shared" si="37"/>
        <v>0</v>
      </c>
      <c r="AJ79">
        <f t="shared" si="37"/>
        <v>0</v>
      </c>
      <c r="AK79">
        <f t="shared" si="37"/>
        <v>0</v>
      </c>
      <c r="AL79">
        <f t="shared" si="37"/>
        <v>0</v>
      </c>
      <c r="AM79">
        <f t="shared" si="37"/>
        <v>0</v>
      </c>
      <c r="AN79">
        <f t="shared" si="37"/>
        <v>0</v>
      </c>
      <c r="AO79">
        <f t="shared" si="37"/>
        <v>0</v>
      </c>
      <c r="AP79">
        <f t="shared" si="37"/>
        <v>0</v>
      </c>
      <c r="AQ79">
        <f t="shared" si="37"/>
        <v>0</v>
      </c>
      <c r="AR79">
        <f>F79+H79+I79+J79+K79+L79+M79+N79+O79+P79</f>
        <v>4.87</v>
      </c>
      <c r="AS79">
        <f>D79+G116-AR79</f>
        <v>185.81</v>
      </c>
    </row>
    <row r="80" spans="1:68" ht="20.25" customHeight="1">
      <c r="A80" t="s">
        <v>21</v>
      </c>
      <c r="B80" t="s">
        <v>22</v>
      </c>
      <c r="C80" s="105" t="s">
        <v>23</v>
      </c>
      <c r="D80">
        <f>D16</f>
        <v>58.82</v>
      </c>
      <c r="E80">
        <f t="shared" si="38"/>
        <v>58.400000000000006</v>
      </c>
      <c r="F80">
        <f>H16</f>
        <v>0</v>
      </c>
      <c r="G80">
        <f>I16</f>
        <v>0</v>
      </c>
      <c r="H80">
        <f>D80-AR80</f>
        <v>52.09</v>
      </c>
      <c r="I80">
        <f>N16</f>
        <v>0</v>
      </c>
      <c r="J80">
        <f t="shared" ref="J80:O81" si="40">P16</f>
        <v>0</v>
      </c>
      <c r="K80">
        <f t="shared" si="40"/>
        <v>0</v>
      </c>
      <c r="L80">
        <f t="shared" si="40"/>
        <v>0</v>
      </c>
      <c r="M80">
        <f t="shared" si="40"/>
        <v>6.31</v>
      </c>
      <c r="N80">
        <f t="shared" si="40"/>
        <v>0</v>
      </c>
      <c r="O80">
        <f t="shared" si="40"/>
        <v>0</v>
      </c>
      <c r="P80">
        <f t="shared" si="39"/>
        <v>0.42000000000000004</v>
      </c>
      <c r="Q80">
        <f t="shared" ref="Q80:Y81" si="41">W16</f>
        <v>0</v>
      </c>
      <c r="R80">
        <f t="shared" si="41"/>
        <v>0</v>
      </c>
      <c r="S80">
        <f t="shared" si="41"/>
        <v>0</v>
      </c>
      <c r="T80">
        <f t="shared" si="41"/>
        <v>0</v>
      </c>
      <c r="U80">
        <f t="shared" si="41"/>
        <v>0</v>
      </c>
      <c r="V80">
        <f t="shared" si="41"/>
        <v>0</v>
      </c>
      <c r="W80">
        <f t="shared" si="41"/>
        <v>0</v>
      </c>
      <c r="X80">
        <f t="shared" si="41"/>
        <v>0</v>
      </c>
      <c r="Y80">
        <f t="shared" si="41"/>
        <v>0.16</v>
      </c>
      <c r="Z80">
        <f>AQ16</f>
        <v>0</v>
      </c>
      <c r="AA80">
        <f t="shared" ref="AA80:AQ81" si="42">AR16</f>
        <v>0</v>
      </c>
      <c r="AB80">
        <f t="shared" si="42"/>
        <v>0</v>
      </c>
      <c r="AC80">
        <f t="shared" si="42"/>
        <v>0.26</v>
      </c>
      <c r="AD80">
        <f t="shared" si="42"/>
        <v>0</v>
      </c>
      <c r="AE80">
        <f t="shared" si="42"/>
        <v>0</v>
      </c>
      <c r="AF80">
        <f t="shared" si="42"/>
        <v>0</v>
      </c>
      <c r="AG80">
        <f t="shared" si="42"/>
        <v>0</v>
      </c>
      <c r="AH80">
        <f t="shared" si="42"/>
        <v>0</v>
      </c>
      <c r="AI80">
        <f t="shared" si="42"/>
        <v>0</v>
      </c>
      <c r="AJ80">
        <f t="shared" si="42"/>
        <v>0</v>
      </c>
      <c r="AK80">
        <f t="shared" si="42"/>
        <v>0</v>
      </c>
      <c r="AL80">
        <f t="shared" si="42"/>
        <v>0</v>
      </c>
      <c r="AM80">
        <f t="shared" si="42"/>
        <v>0</v>
      </c>
      <c r="AN80">
        <f t="shared" si="42"/>
        <v>0</v>
      </c>
      <c r="AO80">
        <f t="shared" si="42"/>
        <v>0</v>
      </c>
      <c r="AP80">
        <f t="shared" si="42"/>
        <v>0</v>
      </c>
      <c r="AQ80">
        <f t="shared" si="42"/>
        <v>0</v>
      </c>
      <c r="AR80">
        <f>F80+I80+J80+K80+L80+M80+N80+O80+P80</f>
        <v>6.7299999999999995</v>
      </c>
      <c r="AS80">
        <f>D80+H116-AR80</f>
        <v>52.09</v>
      </c>
    </row>
    <row r="81" spans="1:45" ht="20.25" customHeight="1">
      <c r="A81" t="s">
        <v>24</v>
      </c>
      <c r="B81" t="s">
        <v>25</v>
      </c>
      <c r="C81" s="105" t="s">
        <v>26</v>
      </c>
      <c r="D81">
        <f>D17</f>
        <v>76.13</v>
      </c>
      <c r="E81">
        <f t="shared" si="38"/>
        <v>75.13</v>
      </c>
      <c r="F81">
        <f>H17</f>
        <v>0</v>
      </c>
      <c r="G81">
        <f>I17</f>
        <v>0</v>
      </c>
      <c r="H81">
        <f>M17</f>
        <v>0</v>
      </c>
      <c r="I81">
        <f>D81-AR81</f>
        <v>75.13</v>
      </c>
      <c r="J81">
        <f t="shared" si="40"/>
        <v>0</v>
      </c>
      <c r="K81">
        <f t="shared" si="40"/>
        <v>0</v>
      </c>
      <c r="L81">
        <f t="shared" si="40"/>
        <v>0</v>
      </c>
      <c r="M81">
        <f t="shared" si="40"/>
        <v>0</v>
      </c>
      <c r="N81">
        <f t="shared" si="40"/>
        <v>0</v>
      </c>
      <c r="O81">
        <f t="shared" si="40"/>
        <v>0</v>
      </c>
      <c r="P81">
        <f t="shared" si="39"/>
        <v>1</v>
      </c>
      <c r="Q81">
        <f t="shared" si="41"/>
        <v>0</v>
      </c>
      <c r="R81">
        <f t="shared" si="41"/>
        <v>0</v>
      </c>
      <c r="S81">
        <f t="shared" si="41"/>
        <v>0</v>
      </c>
      <c r="T81">
        <f t="shared" si="41"/>
        <v>0</v>
      </c>
      <c r="U81">
        <f t="shared" si="41"/>
        <v>0</v>
      </c>
      <c r="V81">
        <f t="shared" si="41"/>
        <v>0</v>
      </c>
      <c r="W81">
        <f t="shared" si="41"/>
        <v>0</v>
      </c>
      <c r="X81">
        <f t="shared" si="41"/>
        <v>0</v>
      </c>
      <c r="Y81">
        <f t="shared" si="41"/>
        <v>0</v>
      </c>
      <c r="Z81">
        <f>AQ17</f>
        <v>0</v>
      </c>
      <c r="AA81">
        <f t="shared" si="42"/>
        <v>0</v>
      </c>
      <c r="AB81">
        <f t="shared" si="42"/>
        <v>0</v>
      </c>
      <c r="AC81">
        <f t="shared" si="42"/>
        <v>1</v>
      </c>
      <c r="AD81">
        <f t="shared" si="42"/>
        <v>0</v>
      </c>
      <c r="AE81">
        <f t="shared" si="42"/>
        <v>0</v>
      </c>
      <c r="AF81">
        <f t="shared" si="42"/>
        <v>0</v>
      </c>
      <c r="AG81">
        <f t="shared" si="42"/>
        <v>0</v>
      </c>
      <c r="AH81">
        <f t="shared" si="42"/>
        <v>0</v>
      </c>
      <c r="AI81">
        <f t="shared" si="42"/>
        <v>0</v>
      </c>
      <c r="AJ81">
        <f t="shared" si="42"/>
        <v>0</v>
      </c>
      <c r="AK81">
        <f t="shared" si="42"/>
        <v>0</v>
      </c>
      <c r="AL81">
        <f t="shared" si="42"/>
        <v>0</v>
      </c>
      <c r="AM81">
        <f t="shared" si="42"/>
        <v>0</v>
      </c>
      <c r="AN81">
        <f t="shared" si="42"/>
        <v>0</v>
      </c>
      <c r="AO81">
        <f t="shared" si="42"/>
        <v>0</v>
      </c>
      <c r="AP81">
        <f t="shared" si="42"/>
        <v>0</v>
      </c>
      <c r="AQ81">
        <f t="shared" si="42"/>
        <v>0</v>
      </c>
      <c r="AR81">
        <f>F81+H81+J81+K81+L81+M81+N81+O81+P81</f>
        <v>1</v>
      </c>
      <c r="AS81">
        <f>D81+I116-AR81</f>
        <v>75.13</v>
      </c>
    </row>
    <row r="82" spans="1:45" ht="20.25" customHeight="1">
      <c r="A82" t="s">
        <v>27</v>
      </c>
      <c r="B82" t="s">
        <v>28</v>
      </c>
      <c r="C82" s="105" t="s">
        <v>29</v>
      </c>
      <c r="D82">
        <f t="shared" ref="D82:D87" si="43">D19</f>
        <v>896.23</v>
      </c>
      <c r="E82">
        <f t="shared" si="38"/>
        <v>896.23</v>
      </c>
      <c r="F82">
        <f>H20</f>
        <v>0</v>
      </c>
      <c r="G82">
        <f>I20</f>
        <v>0</v>
      </c>
      <c r="H82">
        <f>M20</f>
        <v>0</v>
      </c>
      <c r="I82">
        <f>N20</f>
        <v>0</v>
      </c>
      <c r="J82">
        <f>D82-AR82</f>
        <v>896.23</v>
      </c>
      <c r="K82">
        <f>Q19</f>
        <v>0</v>
      </c>
      <c r="L82">
        <f>R19</f>
        <v>0</v>
      </c>
      <c r="M82">
        <f t="shared" ref="M82:O83" si="44">S20</f>
        <v>0</v>
      </c>
      <c r="N82">
        <f t="shared" si="44"/>
        <v>0</v>
      </c>
      <c r="O82">
        <f t="shared" si="44"/>
        <v>0</v>
      </c>
      <c r="P82">
        <f t="shared" si="39"/>
        <v>0</v>
      </c>
      <c r="Q82">
        <f>W20</f>
        <v>0</v>
      </c>
      <c r="R82">
        <f>X20</f>
        <v>0</v>
      </c>
      <c r="S82">
        <f>Z20</f>
        <v>0</v>
      </c>
      <c r="T82">
        <f t="shared" ref="T82:Y83" si="45">Z20</f>
        <v>0</v>
      </c>
      <c r="U82">
        <f t="shared" si="45"/>
        <v>0</v>
      </c>
      <c r="V82">
        <f t="shared" si="45"/>
        <v>0</v>
      </c>
      <c r="W82">
        <f t="shared" si="45"/>
        <v>0</v>
      </c>
      <c r="X82">
        <f t="shared" si="45"/>
        <v>0</v>
      </c>
      <c r="Y82">
        <f t="shared" si="45"/>
        <v>0</v>
      </c>
      <c r="Z82">
        <f>AQ20</f>
        <v>0</v>
      </c>
      <c r="AA82">
        <f t="shared" ref="AA82:AQ83" si="46">AR20</f>
        <v>0</v>
      </c>
      <c r="AB82">
        <f t="shared" si="46"/>
        <v>0</v>
      </c>
      <c r="AC82">
        <f t="shared" si="46"/>
        <v>0</v>
      </c>
      <c r="AD82">
        <f t="shared" si="46"/>
        <v>0</v>
      </c>
      <c r="AE82">
        <f t="shared" si="46"/>
        <v>0</v>
      </c>
      <c r="AF82">
        <f t="shared" si="46"/>
        <v>0</v>
      </c>
      <c r="AG82">
        <f t="shared" si="46"/>
        <v>0</v>
      </c>
      <c r="AH82">
        <f t="shared" si="46"/>
        <v>0</v>
      </c>
      <c r="AI82">
        <f t="shared" si="46"/>
        <v>0</v>
      </c>
      <c r="AJ82">
        <f t="shared" si="46"/>
        <v>0</v>
      </c>
      <c r="AK82">
        <f t="shared" si="46"/>
        <v>0</v>
      </c>
      <c r="AL82">
        <f t="shared" si="46"/>
        <v>0</v>
      </c>
      <c r="AM82">
        <f t="shared" si="46"/>
        <v>0</v>
      </c>
      <c r="AN82">
        <f t="shared" si="46"/>
        <v>0</v>
      </c>
      <c r="AO82">
        <f t="shared" si="46"/>
        <v>0</v>
      </c>
      <c r="AP82">
        <f t="shared" si="46"/>
        <v>0</v>
      </c>
      <c r="AQ82">
        <f t="shared" si="46"/>
        <v>0</v>
      </c>
      <c r="AR82">
        <f>F82+H82+I82+K82+L82+M82+N82+O82+P82</f>
        <v>0</v>
      </c>
      <c r="AS82">
        <f>D82+J116-AR82</f>
        <v>896.23</v>
      </c>
    </row>
    <row r="83" spans="1:45" ht="20.25" customHeight="1">
      <c r="A83" t="s">
        <v>30</v>
      </c>
      <c r="B83" t="s">
        <v>31</v>
      </c>
      <c r="C83" s="105" t="s">
        <v>32</v>
      </c>
      <c r="D83">
        <f t="shared" si="43"/>
        <v>0</v>
      </c>
      <c r="E83">
        <f t="shared" si="38"/>
        <v>-5.98</v>
      </c>
      <c r="F83">
        <f>H21</f>
        <v>0</v>
      </c>
      <c r="G83">
        <f>I21</f>
        <v>0</v>
      </c>
      <c r="H83">
        <f>M21</f>
        <v>0</v>
      </c>
      <c r="I83">
        <f>N21</f>
        <v>0</v>
      </c>
      <c r="J83">
        <f>P20</f>
        <v>0</v>
      </c>
      <c r="K83">
        <f>D83-AR83</f>
        <v>-10.74</v>
      </c>
      <c r="L83">
        <f>R20</f>
        <v>0</v>
      </c>
      <c r="M83">
        <f t="shared" si="44"/>
        <v>4.76</v>
      </c>
      <c r="N83">
        <f t="shared" si="44"/>
        <v>0</v>
      </c>
      <c r="O83">
        <f t="shared" si="44"/>
        <v>0</v>
      </c>
      <c r="P83">
        <f t="shared" si="39"/>
        <v>5.98</v>
      </c>
      <c r="Q83">
        <f>W21</f>
        <v>0</v>
      </c>
      <c r="R83">
        <f>X21</f>
        <v>0</v>
      </c>
      <c r="S83">
        <f>Z21</f>
        <v>0</v>
      </c>
      <c r="T83">
        <f t="shared" si="45"/>
        <v>0</v>
      </c>
      <c r="U83">
        <f t="shared" si="45"/>
        <v>0</v>
      </c>
      <c r="V83">
        <f t="shared" si="45"/>
        <v>0</v>
      </c>
      <c r="W83">
        <f t="shared" si="45"/>
        <v>0</v>
      </c>
      <c r="X83">
        <f t="shared" si="45"/>
        <v>0</v>
      </c>
      <c r="Y83">
        <f t="shared" si="45"/>
        <v>5.98</v>
      </c>
      <c r="Z83">
        <f>AQ21</f>
        <v>0</v>
      </c>
      <c r="AA83">
        <f t="shared" si="46"/>
        <v>0</v>
      </c>
      <c r="AB83">
        <f t="shared" si="46"/>
        <v>0</v>
      </c>
      <c r="AC83">
        <f t="shared" si="46"/>
        <v>0</v>
      </c>
      <c r="AD83">
        <f t="shared" si="46"/>
        <v>0</v>
      </c>
      <c r="AE83">
        <f t="shared" si="46"/>
        <v>0</v>
      </c>
      <c r="AF83">
        <f t="shared" si="46"/>
        <v>0</v>
      </c>
      <c r="AG83">
        <f t="shared" si="46"/>
        <v>0</v>
      </c>
      <c r="AH83">
        <f t="shared" si="46"/>
        <v>0</v>
      </c>
      <c r="AI83">
        <f t="shared" si="46"/>
        <v>0</v>
      </c>
      <c r="AJ83">
        <f t="shared" si="46"/>
        <v>0</v>
      </c>
      <c r="AK83">
        <f t="shared" si="46"/>
        <v>0</v>
      </c>
      <c r="AL83">
        <f t="shared" si="46"/>
        <v>0</v>
      </c>
      <c r="AM83">
        <f t="shared" si="46"/>
        <v>0</v>
      </c>
      <c r="AN83">
        <f t="shared" si="46"/>
        <v>0</v>
      </c>
      <c r="AO83">
        <f t="shared" si="46"/>
        <v>0</v>
      </c>
      <c r="AP83">
        <f t="shared" si="46"/>
        <v>0</v>
      </c>
      <c r="AQ83">
        <f t="shared" si="46"/>
        <v>0</v>
      </c>
      <c r="AR83">
        <f>F83+H83+I83+J83+L83+M83+N83+O83+P83</f>
        <v>10.74</v>
      </c>
      <c r="AS83">
        <f>D83+K116-AR83</f>
        <v>-10.74</v>
      </c>
    </row>
    <row r="84" spans="1:45" ht="20.25" customHeight="1">
      <c r="A84" t="s">
        <v>33</v>
      </c>
      <c r="B84" t="s">
        <v>34</v>
      </c>
      <c r="C84" s="105" t="s">
        <v>35</v>
      </c>
      <c r="D84">
        <f t="shared" si="43"/>
        <v>1023.57</v>
      </c>
      <c r="E84">
        <f t="shared" si="38"/>
        <v>1015.8900000000001</v>
      </c>
      <c r="F84">
        <f>H19</f>
        <v>0</v>
      </c>
      <c r="G84">
        <f>I19</f>
        <v>0</v>
      </c>
      <c r="H84">
        <f>M19</f>
        <v>0</v>
      </c>
      <c r="I84">
        <f>N19</f>
        <v>0</v>
      </c>
      <c r="J84">
        <f>P21</f>
        <v>0</v>
      </c>
      <c r="K84">
        <f>Q21</f>
        <v>0</v>
      </c>
      <c r="L84">
        <f>D84-AR84</f>
        <v>1015.8900000000001</v>
      </c>
      <c r="M84">
        <f>S19</f>
        <v>0</v>
      </c>
      <c r="N84">
        <f>T19</f>
        <v>0</v>
      </c>
      <c r="O84">
        <f>U19</f>
        <v>0</v>
      </c>
      <c r="P84">
        <f t="shared" si="39"/>
        <v>7.68</v>
      </c>
      <c r="Q84">
        <f t="shared" ref="Q84:Y84" si="47">W19</f>
        <v>0</v>
      </c>
      <c r="R84">
        <f t="shared" si="47"/>
        <v>0</v>
      </c>
      <c r="S84">
        <f t="shared" si="47"/>
        <v>0</v>
      </c>
      <c r="T84">
        <f t="shared" si="47"/>
        <v>0</v>
      </c>
      <c r="U84">
        <f t="shared" si="47"/>
        <v>0</v>
      </c>
      <c r="V84">
        <f t="shared" si="47"/>
        <v>0</v>
      </c>
      <c r="W84">
        <f t="shared" si="47"/>
        <v>0</v>
      </c>
      <c r="X84">
        <f t="shared" si="47"/>
        <v>0</v>
      </c>
      <c r="Y84">
        <f t="shared" si="47"/>
        <v>3.28</v>
      </c>
      <c r="Z84">
        <f>AQ19</f>
        <v>0</v>
      </c>
      <c r="AA84">
        <f t="shared" ref="AA84:AQ84" si="48">AR19</f>
        <v>0</v>
      </c>
      <c r="AB84">
        <f t="shared" si="48"/>
        <v>4.4000000000000004</v>
      </c>
      <c r="AC84">
        <f t="shared" si="48"/>
        <v>0</v>
      </c>
      <c r="AD84">
        <f t="shared" si="48"/>
        <v>0</v>
      </c>
      <c r="AE84">
        <f t="shared" si="48"/>
        <v>0</v>
      </c>
      <c r="AF84">
        <f t="shared" si="48"/>
        <v>0</v>
      </c>
      <c r="AG84">
        <f t="shared" si="48"/>
        <v>0</v>
      </c>
      <c r="AH84">
        <f t="shared" si="48"/>
        <v>0</v>
      </c>
      <c r="AI84">
        <f t="shared" si="48"/>
        <v>0</v>
      </c>
      <c r="AJ84">
        <f t="shared" si="48"/>
        <v>0</v>
      </c>
      <c r="AK84">
        <f t="shared" si="48"/>
        <v>0</v>
      </c>
      <c r="AL84">
        <f t="shared" si="48"/>
        <v>0</v>
      </c>
      <c r="AM84">
        <f t="shared" si="48"/>
        <v>0</v>
      </c>
      <c r="AN84">
        <f t="shared" si="48"/>
        <v>0</v>
      </c>
      <c r="AO84">
        <f t="shared" si="48"/>
        <v>0</v>
      </c>
      <c r="AP84">
        <f t="shared" si="48"/>
        <v>0</v>
      </c>
      <c r="AQ84">
        <f t="shared" si="48"/>
        <v>0</v>
      </c>
      <c r="AR84">
        <f>F84+H84+I84+J84+K84+M84+N84+O84+P84</f>
        <v>7.68</v>
      </c>
      <c r="AS84">
        <f>D84+L116-AR84</f>
        <v>1015.8900000000001</v>
      </c>
    </row>
    <row r="85" spans="1:45" ht="20.25" customHeight="1">
      <c r="A85" t="s">
        <v>36</v>
      </c>
      <c r="B85" t="s">
        <v>37</v>
      </c>
      <c r="C85" s="105" t="s">
        <v>38</v>
      </c>
      <c r="D85">
        <f t="shared" si="43"/>
        <v>142.43</v>
      </c>
      <c r="E85">
        <f t="shared" si="38"/>
        <v>141.19</v>
      </c>
      <c r="F85">
        <f t="shared" ref="F85:G87" si="49">H22</f>
        <v>0</v>
      </c>
      <c r="G85">
        <f t="shared" si="49"/>
        <v>0</v>
      </c>
      <c r="H85">
        <f t="shared" ref="H85:I87" si="50">M22</f>
        <v>0</v>
      </c>
      <c r="I85">
        <f t="shared" si="50"/>
        <v>0</v>
      </c>
      <c r="J85">
        <f>P22</f>
        <v>0</v>
      </c>
      <c r="K85">
        <f>Q22</f>
        <v>0</v>
      </c>
      <c r="L85">
        <f>R22</f>
        <v>0</v>
      </c>
      <c r="M85">
        <f>D85-AR85</f>
        <v>141.19</v>
      </c>
      <c r="N85">
        <f>T22</f>
        <v>0</v>
      </c>
      <c r="O85">
        <f>U22</f>
        <v>0</v>
      </c>
      <c r="P85">
        <f>SUM(Q85:AP85)</f>
        <v>1.24</v>
      </c>
      <c r="Q85">
        <f t="shared" ref="Q85:Y87" si="51">W22</f>
        <v>0</v>
      </c>
      <c r="R85">
        <f t="shared" si="51"/>
        <v>0</v>
      </c>
      <c r="S85">
        <f t="shared" si="51"/>
        <v>0</v>
      </c>
      <c r="T85">
        <f t="shared" si="51"/>
        <v>0</v>
      </c>
      <c r="U85">
        <f t="shared" si="51"/>
        <v>0</v>
      </c>
      <c r="V85">
        <f t="shared" si="51"/>
        <v>0</v>
      </c>
      <c r="W85">
        <f t="shared" si="51"/>
        <v>0</v>
      </c>
      <c r="X85">
        <f t="shared" si="51"/>
        <v>0</v>
      </c>
      <c r="Y85">
        <f t="shared" si="51"/>
        <v>0.25</v>
      </c>
      <c r="Z85">
        <f t="shared" ref="Z85:AP85" si="52">AQ22</f>
        <v>0</v>
      </c>
      <c r="AA85">
        <f t="shared" si="52"/>
        <v>0</v>
      </c>
      <c r="AB85">
        <f t="shared" si="52"/>
        <v>0</v>
      </c>
      <c r="AC85">
        <f t="shared" si="52"/>
        <v>0.99</v>
      </c>
      <c r="AD85">
        <f t="shared" si="52"/>
        <v>0</v>
      </c>
      <c r="AE85">
        <f t="shared" si="52"/>
        <v>0</v>
      </c>
      <c r="AF85">
        <f t="shared" si="52"/>
        <v>0</v>
      </c>
      <c r="AG85">
        <f t="shared" si="52"/>
        <v>0</v>
      </c>
      <c r="AH85">
        <f t="shared" si="52"/>
        <v>0</v>
      </c>
      <c r="AI85">
        <f t="shared" si="52"/>
        <v>0</v>
      </c>
      <c r="AJ85">
        <f t="shared" si="52"/>
        <v>0</v>
      </c>
      <c r="AK85">
        <f t="shared" si="52"/>
        <v>0</v>
      </c>
      <c r="AL85">
        <f t="shared" si="52"/>
        <v>0</v>
      </c>
      <c r="AM85">
        <f t="shared" si="52"/>
        <v>0</v>
      </c>
      <c r="AN85">
        <f t="shared" si="52"/>
        <v>0</v>
      </c>
      <c r="AO85">
        <f t="shared" si="52"/>
        <v>0</v>
      </c>
      <c r="AP85">
        <f t="shared" si="52"/>
        <v>0</v>
      </c>
      <c r="AQ85">
        <f t="shared" ref="AA85:AQ87" si="53">BH22</f>
        <v>0</v>
      </c>
      <c r="AR85">
        <f>F85+H85+I85+J85+K85+L85+N85+O85+P85</f>
        <v>1.24</v>
      </c>
      <c r="AS85">
        <f>D85+M116-AR85</f>
        <v>173.66</v>
      </c>
    </row>
    <row r="86" spans="1:45" ht="20.25" customHeight="1">
      <c r="A86" t="s">
        <v>39</v>
      </c>
      <c r="B86" t="s">
        <v>40</v>
      </c>
      <c r="C86" s="105" t="s">
        <v>41</v>
      </c>
      <c r="D86">
        <f t="shared" si="43"/>
        <v>0</v>
      </c>
      <c r="E86">
        <f t="shared" si="38"/>
        <v>0</v>
      </c>
      <c r="F86">
        <f t="shared" si="49"/>
        <v>0</v>
      </c>
      <c r="G86">
        <f t="shared" si="49"/>
        <v>0</v>
      </c>
      <c r="H86">
        <f t="shared" si="50"/>
        <v>0</v>
      </c>
      <c r="I86">
        <f t="shared" si="50"/>
        <v>0</v>
      </c>
      <c r="J86">
        <f>P23</f>
        <v>0</v>
      </c>
      <c r="K86">
        <f>Q23</f>
        <v>0</v>
      </c>
      <c r="L86">
        <f>R23</f>
        <v>0</v>
      </c>
      <c r="M86">
        <f>S23</f>
        <v>0</v>
      </c>
      <c r="N86">
        <f>D86-AR86</f>
        <v>0</v>
      </c>
      <c r="O86">
        <f>U23</f>
        <v>0</v>
      </c>
      <c r="P86">
        <f t="shared" si="39"/>
        <v>0</v>
      </c>
      <c r="Q86">
        <f t="shared" si="51"/>
        <v>0</v>
      </c>
      <c r="R86">
        <f t="shared" si="51"/>
        <v>0</v>
      </c>
      <c r="S86">
        <f t="shared" si="51"/>
        <v>0</v>
      </c>
      <c r="T86">
        <f t="shared" si="51"/>
        <v>0</v>
      </c>
      <c r="U86">
        <f t="shared" si="51"/>
        <v>0</v>
      </c>
      <c r="V86">
        <f t="shared" si="51"/>
        <v>0</v>
      </c>
      <c r="W86">
        <f t="shared" si="51"/>
        <v>0</v>
      </c>
      <c r="X86">
        <f t="shared" si="51"/>
        <v>0</v>
      </c>
      <c r="Y86">
        <f t="shared" si="51"/>
        <v>0</v>
      </c>
      <c r="Z86">
        <f>AQ23</f>
        <v>0</v>
      </c>
      <c r="AA86">
        <f t="shared" si="53"/>
        <v>0</v>
      </c>
      <c r="AB86">
        <f t="shared" si="53"/>
        <v>0</v>
      </c>
      <c r="AC86">
        <f t="shared" si="53"/>
        <v>0</v>
      </c>
      <c r="AD86">
        <f t="shared" si="53"/>
        <v>0</v>
      </c>
      <c r="AE86">
        <f t="shared" si="53"/>
        <v>0</v>
      </c>
      <c r="AF86">
        <f t="shared" si="53"/>
        <v>0</v>
      </c>
      <c r="AG86">
        <f t="shared" si="53"/>
        <v>0</v>
      </c>
      <c r="AH86">
        <f t="shared" si="53"/>
        <v>0</v>
      </c>
      <c r="AI86">
        <f t="shared" si="53"/>
        <v>0</v>
      </c>
      <c r="AJ86">
        <f t="shared" si="53"/>
        <v>0</v>
      </c>
      <c r="AK86">
        <f t="shared" si="53"/>
        <v>0</v>
      </c>
      <c r="AL86">
        <f t="shared" si="53"/>
        <v>0</v>
      </c>
      <c r="AM86">
        <f t="shared" si="53"/>
        <v>0</v>
      </c>
      <c r="AN86">
        <f t="shared" si="53"/>
        <v>0</v>
      </c>
      <c r="AO86">
        <f t="shared" si="53"/>
        <v>0</v>
      </c>
      <c r="AP86">
        <f t="shared" si="53"/>
        <v>0</v>
      </c>
      <c r="AQ86">
        <f t="shared" si="53"/>
        <v>0</v>
      </c>
      <c r="AR86">
        <f>F86+H86+I86+J86+K86+L86+M86+O86+P86</f>
        <v>0</v>
      </c>
      <c r="AS86">
        <f>D86+N116-AR86</f>
        <v>0</v>
      </c>
    </row>
    <row r="87" spans="1:45" ht="20.25" customHeight="1">
      <c r="A87">
        <v>2</v>
      </c>
      <c r="B87" t="s">
        <v>43</v>
      </c>
      <c r="C87" s="105" t="s">
        <v>44</v>
      </c>
      <c r="D87">
        <f t="shared" si="43"/>
        <v>0</v>
      </c>
      <c r="E87">
        <f t="shared" si="38"/>
        <v>0</v>
      </c>
      <c r="F87">
        <f t="shared" si="49"/>
        <v>0</v>
      </c>
      <c r="G87">
        <f t="shared" si="49"/>
        <v>0</v>
      </c>
      <c r="H87">
        <f t="shared" si="50"/>
        <v>0</v>
      </c>
      <c r="I87">
        <f t="shared" si="50"/>
        <v>0</v>
      </c>
      <c r="J87">
        <f>P24</f>
        <v>0</v>
      </c>
      <c r="K87">
        <f>Q24</f>
        <v>0</v>
      </c>
      <c r="L87">
        <f>R24</f>
        <v>0</v>
      </c>
      <c r="M87">
        <f>S24</f>
        <v>0</v>
      </c>
      <c r="N87">
        <f>T24</f>
        <v>0</v>
      </c>
      <c r="O87">
        <f>D87-AR87</f>
        <v>0</v>
      </c>
      <c r="P87">
        <f t="shared" si="39"/>
        <v>0</v>
      </c>
      <c r="Q87">
        <f t="shared" si="51"/>
        <v>0</v>
      </c>
      <c r="R87">
        <f t="shared" si="51"/>
        <v>0</v>
      </c>
      <c r="S87">
        <f t="shared" si="51"/>
        <v>0</v>
      </c>
      <c r="T87">
        <f t="shared" si="51"/>
        <v>0</v>
      </c>
      <c r="U87">
        <f t="shared" si="51"/>
        <v>0</v>
      </c>
      <c r="V87">
        <f t="shared" si="51"/>
        <v>0</v>
      </c>
      <c r="W87">
        <f t="shared" si="51"/>
        <v>0</v>
      </c>
      <c r="X87">
        <f t="shared" si="51"/>
        <v>0</v>
      </c>
      <c r="Y87">
        <f t="shared" si="51"/>
        <v>0</v>
      </c>
      <c r="Z87">
        <f>AQ24</f>
        <v>0</v>
      </c>
      <c r="AA87">
        <f t="shared" si="53"/>
        <v>0</v>
      </c>
      <c r="AB87">
        <f t="shared" si="53"/>
        <v>0</v>
      </c>
      <c r="AC87">
        <f t="shared" si="53"/>
        <v>0</v>
      </c>
      <c r="AD87">
        <f t="shared" si="53"/>
        <v>0</v>
      </c>
      <c r="AE87">
        <f t="shared" si="53"/>
        <v>0</v>
      </c>
      <c r="AF87">
        <f t="shared" si="53"/>
        <v>0</v>
      </c>
      <c r="AG87">
        <f t="shared" si="53"/>
        <v>0</v>
      </c>
      <c r="AH87">
        <f t="shared" si="53"/>
        <v>0</v>
      </c>
      <c r="AI87">
        <f t="shared" si="53"/>
        <v>0</v>
      </c>
      <c r="AJ87">
        <f t="shared" si="53"/>
        <v>0</v>
      </c>
      <c r="AK87">
        <f t="shared" si="53"/>
        <v>0</v>
      </c>
      <c r="AL87">
        <f t="shared" si="53"/>
        <v>0</v>
      </c>
      <c r="AM87">
        <f t="shared" si="53"/>
        <v>0</v>
      </c>
      <c r="AN87">
        <f t="shared" si="53"/>
        <v>0</v>
      </c>
      <c r="AO87">
        <f t="shared" si="53"/>
        <v>0</v>
      </c>
      <c r="AP87">
        <f t="shared" si="53"/>
        <v>0</v>
      </c>
      <c r="AQ87">
        <f t="shared" si="53"/>
        <v>0</v>
      </c>
      <c r="AR87">
        <f>F87+H87+I87+J87+K87+L87+M87+N87+P87</f>
        <v>0</v>
      </c>
      <c r="AS87">
        <f>D87+O116-AR87</f>
        <v>0</v>
      </c>
    </row>
    <row r="88" spans="1:45" ht="20.25" customHeight="1">
      <c r="A88">
        <v>2</v>
      </c>
      <c r="B88" t="s">
        <v>45</v>
      </c>
      <c r="C88" s="105" t="s">
        <v>46</v>
      </c>
      <c r="D88">
        <f>SUM(D89:D114)</f>
        <v>527.94949999999994</v>
      </c>
      <c r="E88">
        <f t="shared" ref="E88:AS88" si="54">SUM(E89:E114)</f>
        <v>3.88</v>
      </c>
      <c r="F88">
        <f t="shared" si="54"/>
        <v>0</v>
      </c>
      <c r="G88">
        <f t="shared" si="54"/>
        <v>0</v>
      </c>
      <c r="H88">
        <f t="shared" si="54"/>
        <v>0</v>
      </c>
      <c r="I88">
        <f t="shared" si="54"/>
        <v>0</v>
      </c>
      <c r="J88">
        <f t="shared" si="54"/>
        <v>0</v>
      </c>
      <c r="K88">
        <f t="shared" si="54"/>
        <v>0</v>
      </c>
      <c r="L88">
        <f t="shared" si="54"/>
        <v>0</v>
      </c>
      <c r="M88">
        <f t="shared" si="54"/>
        <v>3.88</v>
      </c>
      <c r="N88">
        <f t="shared" si="54"/>
        <v>0</v>
      </c>
      <c r="O88">
        <f t="shared" si="54"/>
        <v>0</v>
      </c>
      <c r="P88">
        <f t="shared" si="54"/>
        <v>524.06949999999995</v>
      </c>
      <c r="Q88">
        <f t="shared" si="54"/>
        <v>3.71</v>
      </c>
      <c r="R88">
        <f t="shared" si="54"/>
        <v>0</v>
      </c>
      <c r="S88">
        <f t="shared" si="54"/>
        <v>0</v>
      </c>
      <c r="T88">
        <f t="shared" si="54"/>
        <v>0</v>
      </c>
      <c r="U88">
        <f t="shared" si="54"/>
        <v>0</v>
      </c>
      <c r="V88">
        <f t="shared" si="54"/>
        <v>6.18</v>
      </c>
      <c r="W88">
        <f t="shared" si="54"/>
        <v>12.18</v>
      </c>
      <c r="X88">
        <f t="shared" si="54"/>
        <v>0</v>
      </c>
      <c r="Y88">
        <f t="shared" si="54"/>
        <v>150.77999999999997</v>
      </c>
      <c r="Z88">
        <f t="shared" si="54"/>
        <v>0</v>
      </c>
      <c r="AA88">
        <f t="shared" si="54"/>
        <v>0</v>
      </c>
      <c r="AB88">
        <f t="shared" si="54"/>
        <v>0</v>
      </c>
      <c r="AC88">
        <f t="shared" si="54"/>
        <v>46.449999999999996</v>
      </c>
      <c r="AD88">
        <f t="shared" si="54"/>
        <v>0</v>
      </c>
      <c r="AE88">
        <f t="shared" si="54"/>
        <v>4.47</v>
      </c>
      <c r="AF88">
        <f t="shared" si="54"/>
        <v>0</v>
      </c>
      <c r="AG88">
        <f t="shared" si="54"/>
        <v>0</v>
      </c>
      <c r="AH88">
        <f t="shared" si="54"/>
        <v>0</v>
      </c>
      <c r="AI88">
        <f t="shared" si="54"/>
        <v>10.59</v>
      </c>
      <c r="AJ88">
        <f t="shared" si="54"/>
        <v>5.9494999999999996</v>
      </c>
      <c r="AK88">
        <f t="shared" si="54"/>
        <v>1.6</v>
      </c>
      <c r="AL88">
        <f t="shared" si="54"/>
        <v>0</v>
      </c>
      <c r="AM88">
        <f t="shared" si="54"/>
        <v>0.66</v>
      </c>
      <c r="AN88">
        <f t="shared" si="54"/>
        <v>247.7</v>
      </c>
      <c r="AO88">
        <f t="shared" si="54"/>
        <v>33.799999999999997</v>
      </c>
      <c r="AP88">
        <f t="shared" si="54"/>
        <v>0</v>
      </c>
      <c r="AQ88">
        <f t="shared" si="54"/>
        <v>0</v>
      </c>
      <c r="AR88">
        <f>E88+AQ88</f>
        <v>3.88</v>
      </c>
      <c r="AS88">
        <f t="shared" si="54"/>
        <v>544.87950000000001</v>
      </c>
    </row>
    <row r="89" spans="1:45" ht="20.25" customHeight="1">
      <c r="A89" t="s">
        <v>47</v>
      </c>
      <c r="B89" t="s">
        <v>48</v>
      </c>
      <c r="C89" s="105" t="s">
        <v>49</v>
      </c>
      <c r="D89">
        <f>D26</f>
        <v>3.71</v>
      </c>
      <c r="E89">
        <f t="shared" si="38"/>
        <v>0</v>
      </c>
      <c r="F89">
        <f>H26</f>
        <v>0</v>
      </c>
      <c r="G89">
        <f>I26</f>
        <v>0</v>
      </c>
      <c r="H89">
        <f>M26</f>
        <v>0</v>
      </c>
      <c r="I89">
        <f>N26</f>
        <v>0</v>
      </c>
      <c r="J89">
        <f t="shared" ref="J89:O97" si="55">P26</f>
        <v>0</v>
      </c>
      <c r="K89">
        <f t="shared" si="55"/>
        <v>0</v>
      </c>
      <c r="L89">
        <f t="shared" si="55"/>
        <v>0</v>
      </c>
      <c r="M89">
        <f t="shared" si="55"/>
        <v>0</v>
      </c>
      <c r="N89">
        <f t="shared" si="55"/>
        <v>0</v>
      </c>
      <c r="O89">
        <f t="shared" si="55"/>
        <v>0</v>
      </c>
      <c r="P89">
        <f>SUM(Q89:AP89)</f>
        <v>3.71</v>
      </c>
      <c r="Q89">
        <f>D89-AR89</f>
        <v>3.71</v>
      </c>
      <c r="R89">
        <f t="shared" ref="R89:Y89" si="56">X26</f>
        <v>0</v>
      </c>
      <c r="S89">
        <f t="shared" si="56"/>
        <v>0</v>
      </c>
      <c r="T89">
        <f t="shared" si="56"/>
        <v>0</v>
      </c>
      <c r="U89">
        <f t="shared" si="56"/>
        <v>0</v>
      </c>
      <c r="V89">
        <f t="shared" si="56"/>
        <v>0</v>
      </c>
      <c r="W89">
        <f t="shared" si="56"/>
        <v>0</v>
      </c>
      <c r="X89">
        <f t="shared" si="56"/>
        <v>0</v>
      </c>
      <c r="Y89">
        <f t="shared" si="56"/>
        <v>0</v>
      </c>
      <c r="Z89">
        <f t="shared" ref="Z89:AP89" si="57">AQ26</f>
        <v>0</v>
      </c>
      <c r="AA89">
        <f t="shared" si="57"/>
        <v>0</v>
      </c>
      <c r="AB89">
        <f t="shared" si="57"/>
        <v>0</v>
      </c>
      <c r="AC89">
        <f t="shared" si="57"/>
        <v>0</v>
      </c>
      <c r="AD89">
        <f t="shared" si="57"/>
        <v>0</v>
      </c>
      <c r="AE89">
        <f t="shared" si="57"/>
        <v>0</v>
      </c>
      <c r="AF89">
        <f t="shared" si="57"/>
        <v>0</v>
      </c>
      <c r="AG89">
        <f t="shared" si="57"/>
        <v>0</v>
      </c>
      <c r="AH89">
        <f t="shared" si="57"/>
        <v>0</v>
      </c>
      <c r="AI89">
        <f t="shared" si="57"/>
        <v>0</v>
      </c>
      <c r="AJ89">
        <f t="shared" si="57"/>
        <v>0</v>
      </c>
      <c r="AK89">
        <f t="shared" si="57"/>
        <v>0</v>
      </c>
      <c r="AL89">
        <f t="shared" si="57"/>
        <v>0</v>
      </c>
      <c r="AM89">
        <f t="shared" si="57"/>
        <v>0</v>
      </c>
      <c r="AN89">
        <f t="shared" si="57"/>
        <v>0</v>
      </c>
      <c r="AO89">
        <f t="shared" si="57"/>
        <v>0</v>
      </c>
      <c r="AP89">
        <f t="shared" si="57"/>
        <v>0</v>
      </c>
      <c r="AQ89">
        <f t="shared" ref="AA89:AQ97" si="58">BH26</f>
        <v>0</v>
      </c>
      <c r="AR89">
        <f>E89+R89+S89+T89+U89+V89+W89+X89+Y89+Z89+AA89+AB89+AC89+AD89+AE89+AF89+AG89+AH89+AI89+AJ89+AK89+AL89+AM89+AN89+AO89+AP89+AQ89</f>
        <v>0</v>
      </c>
      <c r="AS89">
        <f>D89+Q116-AR89</f>
        <v>3.71</v>
      </c>
    </row>
    <row r="90" spans="1:45" ht="20.25" customHeight="1">
      <c r="A90" t="s">
        <v>50</v>
      </c>
      <c r="B90" t="s">
        <v>51</v>
      </c>
      <c r="C90" s="105" t="s">
        <v>52</v>
      </c>
      <c r="D90">
        <f t="shared" ref="D90:D97" si="59">D27</f>
        <v>0</v>
      </c>
      <c r="E90">
        <f t="shared" si="38"/>
        <v>0</v>
      </c>
      <c r="F90">
        <f t="shared" ref="F90:G97" si="60">H27</f>
        <v>0</v>
      </c>
      <c r="G90">
        <f t="shared" si="60"/>
        <v>0</v>
      </c>
      <c r="H90">
        <f t="shared" ref="H90:I97" si="61">M27</f>
        <v>0</v>
      </c>
      <c r="I90">
        <f t="shared" si="61"/>
        <v>0</v>
      </c>
      <c r="J90">
        <f t="shared" si="55"/>
        <v>0</v>
      </c>
      <c r="K90">
        <f t="shared" si="55"/>
        <v>0</v>
      </c>
      <c r="L90">
        <f t="shared" si="55"/>
        <v>0</v>
      </c>
      <c r="M90">
        <f t="shared" si="55"/>
        <v>0</v>
      </c>
      <c r="N90">
        <f t="shared" si="55"/>
        <v>0</v>
      </c>
      <c r="O90">
        <f t="shared" si="55"/>
        <v>0</v>
      </c>
      <c r="P90">
        <f t="shared" ref="P90:P114" si="62">SUM(Q90:AP90)</f>
        <v>0</v>
      </c>
      <c r="Q90">
        <f>W27</f>
        <v>0</v>
      </c>
      <c r="R90">
        <f>D90-AR90</f>
        <v>0</v>
      </c>
      <c r="S90">
        <f t="shared" ref="S90:Y90" si="63">Y27</f>
        <v>0</v>
      </c>
      <c r="T90">
        <f t="shared" si="63"/>
        <v>0</v>
      </c>
      <c r="U90">
        <f t="shared" si="63"/>
        <v>0</v>
      </c>
      <c r="V90">
        <f t="shared" si="63"/>
        <v>0</v>
      </c>
      <c r="W90">
        <f t="shared" si="63"/>
        <v>0</v>
      </c>
      <c r="X90">
        <f t="shared" si="63"/>
        <v>0</v>
      </c>
      <c r="Y90">
        <f t="shared" si="63"/>
        <v>0</v>
      </c>
      <c r="Z90">
        <f t="shared" ref="Z90:Z97" si="64">AQ27</f>
        <v>0</v>
      </c>
      <c r="AA90">
        <f t="shared" si="58"/>
        <v>0</v>
      </c>
      <c r="AB90">
        <f t="shared" si="58"/>
        <v>0</v>
      </c>
      <c r="AC90">
        <f t="shared" si="58"/>
        <v>0</v>
      </c>
      <c r="AD90">
        <f t="shared" si="58"/>
        <v>0</v>
      </c>
      <c r="AE90">
        <f t="shared" si="58"/>
        <v>0</v>
      </c>
      <c r="AF90">
        <f t="shared" si="58"/>
        <v>0</v>
      </c>
      <c r="AG90">
        <f t="shared" si="58"/>
        <v>0</v>
      </c>
      <c r="AH90">
        <f t="shared" si="58"/>
        <v>0</v>
      </c>
      <c r="AI90">
        <f t="shared" si="58"/>
        <v>0</v>
      </c>
      <c r="AJ90">
        <f t="shared" si="58"/>
        <v>0</v>
      </c>
      <c r="AK90">
        <f t="shared" si="58"/>
        <v>0</v>
      </c>
      <c r="AL90">
        <f t="shared" si="58"/>
        <v>0</v>
      </c>
      <c r="AM90">
        <f t="shared" si="58"/>
        <v>0</v>
      </c>
      <c r="AN90">
        <f t="shared" si="58"/>
        <v>0</v>
      </c>
      <c r="AO90">
        <f t="shared" si="58"/>
        <v>0</v>
      </c>
      <c r="AP90">
        <f t="shared" si="58"/>
        <v>0</v>
      </c>
      <c r="AQ90">
        <f t="shared" si="58"/>
        <v>0</v>
      </c>
      <c r="AR90">
        <f>E90+Q90+S90+T90+U90+V90+W90+X90+Y90+Z90+AA90+AB90+AC90+AD90+AE90+AF90+AG90+AH90+AI90+AJ90+AK90+AL90+AM90+AN90+AO90+AP90+AQ90</f>
        <v>0</v>
      </c>
      <c r="AS90">
        <f>D90+R116-AR90</f>
        <v>0</v>
      </c>
    </row>
    <row r="91" spans="1:45" ht="20.25" customHeight="1">
      <c r="A91" t="s">
        <v>53</v>
      </c>
      <c r="B91" t="s">
        <v>54</v>
      </c>
      <c r="C91" s="105" t="s">
        <v>55</v>
      </c>
      <c r="D91">
        <f t="shared" si="59"/>
        <v>0</v>
      </c>
      <c r="E91">
        <f t="shared" si="38"/>
        <v>0</v>
      </c>
      <c r="F91">
        <f t="shared" si="60"/>
        <v>0</v>
      </c>
      <c r="G91">
        <f t="shared" si="60"/>
        <v>0</v>
      </c>
      <c r="H91">
        <f t="shared" si="61"/>
        <v>0</v>
      </c>
      <c r="I91">
        <f t="shared" si="61"/>
        <v>0</v>
      </c>
      <c r="J91">
        <f t="shared" si="55"/>
        <v>0</v>
      </c>
      <c r="K91">
        <f t="shared" si="55"/>
        <v>0</v>
      </c>
      <c r="L91">
        <f t="shared" si="55"/>
        <v>0</v>
      </c>
      <c r="M91">
        <f t="shared" si="55"/>
        <v>0</v>
      </c>
      <c r="N91">
        <f t="shared" si="55"/>
        <v>0</v>
      </c>
      <c r="O91">
        <f t="shared" si="55"/>
        <v>0</v>
      </c>
      <c r="P91">
        <f t="shared" si="62"/>
        <v>0</v>
      </c>
      <c r="Q91">
        <f t="shared" ref="Q91:S97" si="65">W28</f>
        <v>0</v>
      </c>
      <c r="R91">
        <f>X28</f>
        <v>0</v>
      </c>
      <c r="S91">
        <f>D91-AR91</f>
        <v>0</v>
      </c>
      <c r="T91">
        <f t="shared" ref="T91:Y91" si="66">Z28</f>
        <v>0</v>
      </c>
      <c r="U91">
        <f t="shared" si="66"/>
        <v>0</v>
      </c>
      <c r="V91">
        <f t="shared" si="66"/>
        <v>0</v>
      </c>
      <c r="W91">
        <f t="shared" si="66"/>
        <v>0</v>
      </c>
      <c r="X91">
        <f t="shared" si="66"/>
        <v>0</v>
      </c>
      <c r="Y91">
        <f t="shared" si="66"/>
        <v>0</v>
      </c>
      <c r="Z91">
        <f t="shared" si="64"/>
        <v>0</v>
      </c>
      <c r="AA91">
        <f t="shared" si="58"/>
        <v>0</v>
      </c>
      <c r="AB91">
        <f t="shared" si="58"/>
        <v>0</v>
      </c>
      <c r="AC91">
        <f t="shared" si="58"/>
        <v>0</v>
      </c>
      <c r="AD91">
        <f t="shared" si="58"/>
        <v>0</v>
      </c>
      <c r="AE91">
        <f t="shared" si="58"/>
        <v>0</v>
      </c>
      <c r="AF91">
        <f t="shared" si="58"/>
        <v>0</v>
      </c>
      <c r="AG91">
        <f t="shared" si="58"/>
        <v>0</v>
      </c>
      <c r="AH91">
        <f t="shared" si="58"/>
        <v>0</v>
      </c>
      <c r="AI91">
        <f t="shared" si="58"/>
        <v>0</v>
      </c>
      <c r="AJ91">
        <f t="shared" si="58"/>
        <v>0</v>
      </c>
      <c r="AK91">
        <f t="shared" si="58"/>
        <v>0</v>
      </c>
      <c r="AL91">
        <f t="shared" si="58"/>
        <v>0</v>
      </c>
      <c r="AM91">
        <f t="shared" si="58"/>
        <v>0</v>
      </c>
      <c r="AN91">
        <f t="shared" si="58"/>
        <v>0</v>
      </c>
      <c r="AO91">
        <f t="shared" si="58"/>
        <v>0</v>
      </c>
      <c r="AP91">
        <f t="shared" si="58"/>
        <v>0</v>
      </c>
      <c r="AQ91">
        <f t="shared" si="58"/>
        <v>0</v>
      </c>
      <c r="AR91">
        <f>E91+Q91+R91+T91+U91+V91+W91+X91+Y91+Z91+AA91+AB91+AC91+AD91+AE91+AF91+AG91+AH91+AI91+AJ91+AK91+AL91+AM91+AN91+AO91+AP91+AQ91</f>
        <v>0</v>
      </c>
      <c r="AS91">
        <f>D91+S116-AR91</f>
        <v>0</v>
      </c>
    </row>
    <row r="92" spans="1:45" ht="20.25" customHeight="1">
      <c r="A92" t="s">
        <v>56</v>
      </c>
      <c r="B92" t="s">
        <v>57</v>
      </c>
      <c r="C92" s="105" t="s">
        <v>58</v>
      </c>
      <c r="D92">
        <f t="shared" si="59"/>
        <v>0</v>
      </c>
      <c r="E92">
        <f t="shared" si="38"/>
        <v>0</v>
      </c>
      <c r="F92">
        <f t="shared" si="60"/>
        <v>0</v>
      </c>
      <c r="G92">
        <f t="shared" si="60"/>
        <v>0</v>
      </c>
      <c r="H92">
        <f t="shared" si="61"/>
        <v>0</v>
      </c>
      <c r="I92">
        <f t="shared" si="61"/>
        <v>0</v>
      </c>
      <c r="J92">
        <f t="shared" si="55"/>
        <v>0</v>
      </c>
      <c r="K92">
        <f t="shared" si="55"/>
        <v>0</v>
      </c>
      <c r="L92">
        <f t="shared" si="55"/>
        <v>0</v>
      </c>
      <c r="M92">
        <f t="shared" si="55"/>
        <v>0</v>
      </c>
      <c r="N92">
        <f t="shared" si="55"/>
        <v>0</v>
      </c>
      <c r="O92">
        <f t="shared" si="55"/>
        <v>0</v>
      </c>
      <c r="P92">
        <f t="shared" si="62"/>
        <v>0</v>
      </c>
      <c r="Q92">
        <f t="shared" si="65"/>
        <v>0</v>
      </c>
      <c r="R92">
        <f t="shared" si="65"/>
        <v>0</v>
      </c>
      <c r="S92">
        <f t="shared" si="65"/>
        <v>0</v>
      </c>
      <c r="T92">
        <f>D92-AR92</f>
        <v>0</v>
      </c>
      <c r="U92">
        <f>AA29</f>
        <v>0</v>
      </c>
      <c r="V92">
        <f>AB29</f>
        <v>0</v>
      </c>
      <c r="W92">
        <f>AC29</f>
        <v>0</v>
      </c>
      <c r="X92">
        <f>AD29</f>
        <v>0</v>
      </c>
      <c r="Y92">
        <f>AE29</f>
        <v>0</v>
      </c>
      <c r="Z92">
        <f t="shared" si="64"/>
        <v>0</v>
      </c>
      <c r="AA92">
        <f t="shared" si="58"/>
        <v>0</v>
      </c>
      <c r="AB92">
        <f t="shared" si="58"/>
        <v>0</v>
      </c>
      <c r="AC92">
        <f t="shared" si="58"/>
        <v>0</v>
      </c>
      <c r="AD92">
        <f t="shared" si="58"/>
        <v>0</v>
      </c>
      <c r="AE92">
        <f t="shared" si="58"/>
        <v>0</v>
      </c>
      <c r="AF92">
        <f t="shared" si="58"/>
        <v>0</v>
      </c>
      <c r="AG92">
        <f t="shared" si="58"/>
        <v>0</v>
      </c>
      <c r="AH92">
        <f t="shared" si="58"/>
        <v>0</v>
      </c>
      <c r="AI92">
        <f t="shared" si="58"/>
        <v>0</v>
      </c>
      <c r="AJ92">
        <f t="shared" si="58"/>
        <v>0</v>
      </c>
      <c r="AK92">
        <f t="shared" si="58"/>
        <v>0</v>
      </c>
      <c r="AL92">
        <f t="shared" si="58"/>
        <v>0</v>
      </c>
      <c r="AM92">
        <f t="shared" si="58"/>
        <v>0</v>
      </c>
      <c r="AN92">
        <f t="shared" si="58"/>
        <v>0</v>
      </c>
      <c r="AO92">
        <f t="shared" si="58"/>
        <v>0</v>
      </c>
      <c r="AP92">
        <f t="shared" si="58"/>
        <v>0</v>
      </c>
      <c r="AQ92">
        <f t="shared" si="58"/>
        <v>0</v>
      </c>
      <c r="AR92">
        <f>E92+Q92+R92+S92+U92+V92+W92+X92+Y92+Z92+AA92+AB92+AC92+AD92+AE92+AF92+AG92+AH92+AI92+AJ92+AK92+AL92+AM92+AN92+AO92+AP92+AQ92</f>
        <v>0</v>
      </c>
      <c r="AS92">
        <f>D92+T116-AR92</f>
        <v>0</v>
      </c>
    </row>
    <row r="93" spans="1:45" ht="20.25" customHeight="1">
      <c r="A93" t="s">
        <v>59</v>
      </c>
      <c r="B93" t="s">
        <v>60</v>
      </c>
      <c r="C93" s="105" t="s">
        <v>61</v>
      </c>
      <c r="D93">
        <f t="shared" si="59"/>
        <v>0</v>
      </c>
      <c r="E93">
        <f t="shared" si="38"/>
        <v>0</v>
      </c>
      <c r="F93">
        <f t="shared" si="60"/>
        <v>0</v>
      </c>
      <c r="G93">
        <f t="shared" si="60"/>
        <v>0</v>
      </c>
      <c r="H93">
        <f t="shared" si="61"/>
        <v>0</v>
      </c>
      <c r="I93">
        <f t="shared" si="61"/>
        <v>0</v>
      </c>
      <c r="J93">
        <f t="shared" si="55"/>
        <v>0</v>
      </c>
      <c r="K93">
        <f t="shared" si="55"/>
        <v>0</v>
      </c>
      <c r="L93">
        <f t="shared" si="55"/>
        <v>0</v>
      </c>
      <c r="M93">
        <f t="shared" si="55"/>
        <v>0</v>
      </c>
      <c r="N93">
        <f t="shared" si="55"/>
        <v>0</v>
      </c>
      <c r="O93">
        <f t="shared" si="55"/>
        <v>0</v>
      </c>
      <c r="P93">
        <f t="shared" si="62"/>
        <v>0</v>
      </c>
      <c r="Q93">
        <f t="shared" si="65"/>
        <v>0</v>
      </c>
      <c r="R93">
        <f t="shared" si="65"/>
        <v>0</v>
      </c>
      <c r="S93">
        <f t="shared" si="65"/>
        <v>0</v>
      </c>
      <c r="T93">
        <f>Z30</f>
        <v>0</v>
      </c>
      <c r="U93">
        <f>D93-AR93</f>
        <v>0</v>
      </c>
      <c r="V93">
        <f>AB30</f>
        <v>0</v>
      </c>
      <c r="W93">
        <f>AC30</f>
        <v>0</v>
      </c>
      <c r="X93">
        <f>AD30</f>
        <v>0</v>
      </c>
      <c r="Y93">
        <f>AE30</f>
        <v>0</v>
      </c>
      <c r="Z93">
        <f t="shared" si="64"/>
        <v>0</v>
      </c>
      <c r="AA93">
        <f t="shared" si="58"/>
        <v>0</v>
      </c>
      <c r="AB93">
        <f t="shared" si="58"/>
        <v>0</v>
      </c>
      <c r="AC93">
        <f t="shared" si="58"/>
        <v>0</v>
      </c>
      <c r="AD93">
        <f t="shared" si="58"/>
        <v>0</v>
      </c>
      <c r="AE93">
        <f t="shared" si="58"/>
        <v>0</v>
      </c>
      <c r="AF93">
        <f t="shared" si="58"/>
        <v>0</v>
      </c>
      <c r="AG93">
        <f t="shared" si="58"/>
        <v>0</v>
      </c>
      <c r="AH93">
        <f t="shared" si="58"/>
        <v>0</v>
      </c>
      <c r="AI93">
        <f t="shared" si="58"/>
        <v>0</v>
      </c>
      <c r="AJ93">
        <f t="shared" si="58"/>
        <v>0</v>
      </c>
      <c r="AK93">
        <f t="shared" si="58"/>
        <v>0</v>
      </c>
      <c r="AL93">
        <f t="shared" si="58"/>
        <v>0</v>
      </c>
      <c r="AM93">
        <f t="shared" si="58"/>
        <v>0</v>
      </c>
      <c r="AN93">
        <f t="shared" si="58"/>
        <v>0</v>
      </c>
      <c r="AO93">
        <f t="shared" si="58"/>
        <v>0</v>
      </c>
      <c r="AP93">
        <f t="shared" si="58"/>
        <v>0</v>
      </c>
      <c r="AQ93">
        <f t="shared" si="58"/>
        <v>0</v>
      </c>
      <c r="AR93">
        <f>E93+Q93+R93+S93+T93+V93+W93+X93+Y93+Z93+AA93+AB93+AC93+AD93+AE93+AF93+AG93+AH93+AI93+AJ93+AK93+AL93+AM93+AN93+AO93+AP93+AQ93</f>
        <v>0</v>
      </c>
      <c r="AS93">
        <f>D93+U116-AR93</f>
        <v>0</v>
      </c>
    </row>
    <row r="94" spans="1:45" ht="20.25" customHeight="1">
      <c r="A94" t="s">
        <v>62</v>
      </c>
      <c r="B94" t="s">
        <v>63</v>
      </c>
      <c r="C94" s="105" t="s">
        <v>64</v>
      </c>
      <c r="D94">
        <f t="shared" si="59"/>
        <v>6.18</v>
      </c>
      <c r="E94">
        <f t="shared" si="38"/>
        <v>0</v>
      </c>
      <c r="F94">
        <f t="shared" si="60"/>
        <v>0</v>
      </c>
      <c r="G94">
        <f t="shared" si="60"/>
        <v>0</v>
      </c>
      <c r="H94">
        <f t="shared" si="61"/>
        <v>0</v>
      </c>
      <c r="I94">
        <f t="shared" si="61"/>
        <v>0</v>
      </c>
      <c r="J94">
        <f t="shared" si="55"/>
        <v>0</v>
      </c>
      <c r="K94">
        <f t="shared" si="55"/>
        <v>0</v>
      </c>
      <c r="L94">
        <f t="shared" si="55"/>
        <v>0</v>
      </c>
      <c r="M94">
        <f t="shared" si="55"/>
        <v>0</v>
      </c>
      <c r="N94">
        <f t="shared" si="55"/>
        <v>0</v>
      </c>
      <c r="O94">
        <f t="shared" si="55"/>
        <v>0</v>
      </c>
      <c r="P94">
        <f t="shared" si="62"/>
        <v>6.18</v>
      </c>
      <c r="Q94">
        <f t="shared" si="65"/>
        <v>0</v>
      </c>
      <c r="R94">
        <f t="shared" si="65"/>
        <v>0</v>
      </c>
      <c r="S94">
        <f t="shared" si="65"/>
        <v>0</v>
      </c>
      <c r="T94">
        <f>Z31</f>
        <v>0</v>
      </c>
      <c r="U94">
        <f>AA31</f>
        <v>0</v>
      </c>
      <c r="V94">
        <f>D94-AR94</f>
        <v>6.18</v>
      </c>
      <c r="W94">
        <f>AC31</f>
        <v>0</v>
      </c>
      <c r="X94">
        <f>AD31</f>
        <v>0</v>
      </c>
      <c r="Y94">
        <f>AE31</f>
        <v>0</v>
      </c>
      <c r="Z94">
        <f t="shared" si="64"/>
        <v>0</v>
      </c>
      <c r="AA94">
        <f t="shared" si="58"/>
        <v>0</v>
      </c>
      <c r="AB94">
        <f t="shared" si="58"/>
        <v>0</v>
      </c>
      <c r="AC94">
        <f t="shared" si="58"/>
        <v>0</v>
      </c>
      <c r="AD94">
        <f t="shared" si="58"/>
        <v>0</v>
      </c>
      <c r="AE94">
        <f t="shared" si="58"/>
        <v>0</v>
      </c>
      <c r="AF94">
        <f t="shared" si="58"/>
        <v>0</v>
      </c>
      <c r="AG94">
        <f t="shared" si="58"/>
        <v>0</v>
      </c>
      <c r="AH94">
        <f t="shared" si="58"/>
        <v>0</v>
      </c>
      <c r="AI94">
        <f t="shared" si="58"/>
        <v>0</v>
      </c>
      <c r="AJ94">
        <f t="shared" si="58"/>
        <v>0</v>
      </c>
      <c r="AK94">
        <f t="shared" si="58"/>
        <v>0</v>
      </c>
      <c r="AL94">
        <f t="shared" si="58"/>
        <v>0</v>
      </c>
      <c r="AM94">
        <f t="shared" si="58"/>
        <v>0</v>
      </c>
      <c r="AN94">
        <f t="shared" si="58"/>
        <v>0</v>
      </c>
      <c r="AO94">
        <f t="shared" si="58"/>
        <v>0</v>
      </c>
      <c r="AP94">
        <f t="shared" si="58"/>
        <v>0</v>
      </c>
      <c r="AQ94">
        <f t="shared" si="58"/>
        <v>0</v>
      </c>
      <c r="AR94">
        <f>E94+Q94+R94+S94+T94+U94+W94+X94+Y94+Z94+AA94+AB94+AC94+AD94+AE94+AF94+AG94+AH94+AI94+AJ94+AK94+AL94+AM94+AN94+AO94+AP94+AQ94</f>
        <v>0</v>
      </c>
      <c r="AS94">
        <f>D94+V116-AR94</f>
        <v>6.18</v>
      </c>
    </row>
    <row r="95" spans="1:45" ht="20.25" customHeight="1">
      <c r="A95" t="s">
        <v>65</v>
      </c>
      <c r="B95" t="s">
        <v>66</v>
      </c>
      <c r="C95" s="105" t="s">
        <v>67</v>
      </c>
      <c r="D95">
        <f t="shared" si="59"/>
        <v>12.18</v>
      </c>
      <c r="E95">
        <f t="shared" si="38"/>
        <v>0</v>
      </c>
      <c r="F95">
        <f t="shared" si="60"/>
        <v>0</v>
      </c>
      <c r="G95">
        <f t="shared" si="60"/>
        <v>0</v>
      </c>
      <c r="H95">
        <f t="shared" si="61"/>
        <v>0</v>
      </c>
      <c r="I95">
        <f t="shared" si="61"/>
        <v>0</v>
      </c>
      <c r="J95">
        <f t="shared" si="55"/>
        <v>0</v>
      </c>
      <c r="K95">
        <f t="shared" si="55"/>
        <v>0</v>
      </c>
      <c r="L95">
        <f t="shared" si="55"/>
        <v>0</v>
      </c>
      <c r="M95">
        <f t="shared" si="55"/>
        <v>0</v>
      </c>
      <c r="N95">
        <f t="shared" si="55"/>
        <v>0</v>
      </c>
      <c r="O95">
        <f t="shared" si="55"/>
        <v>0</v>
      </c>
      <c r="P95">
        <f t="shared" si="62"/>
        <v>12.18</v>
      </c>
      <c r="Q95">
        <f t="shared" si="65"/>
        <v>0</v>
      </c>
      <c r="R95">
        <f t="shared" si="65"/>
        <v>0</v>
      </c>
      <c r="S95">
        <f t="shared" si="65"/>
        <v>0</v>
      </c>
      <c r="T95">
        <f>Z32</f>
        <v>0</v>
      </c>
      <c r="U95">
        <f>AA32</f>
        <v>0</v>
      </c>
      <c r="V95">
        <f>AB32</f>
        <v>0</v>
      </c>
      <c r="W95">
        <f>D95-AR95</f>
        <v>12.18</v>
      </c>
      <c r="X95">
        <f>AD32</f>
        <v>0</v>
      </c>
      <c r="Y95">
        <f>AE32</f>
        <v>0</v>
      </c>
      <c r="Z95">
        <f t="shared" si="64"/>
        <v>0</v>
      </c>
      <c r="AA95">
        <f t="shared" si="58"/>
        <v>0</v>
      </c>
      <c r="AB95">
        <f t="shared" si="58"/>
        <v>0</v>
      </c>
      <c r="AC95">
        <f t="shared" si="58"/>
        <v>0</v>
      </c>
      <c r="AD95">
        <f t="shared" si="58"/>
        <v>0</v>
      </c>
      <c r="AE95">
        <f t="shared" si="58"/>
        <v>0</v>
      </c>
      <c r="AF95">
        <f t="shared" si="58"/>
        <v>0</v>
      </c>
      <c r="AG95">
        <f t="shared" si="58"/>
        <v>0</v>
      </c>
      <c r="AH95">
        <f t="shared" si="58"/>
        <v>0</v>
      </c>
      <c r="AI95">
        <f t="shared" si="58"/>
        <v>0</v>
      </c>
      <c r="AJ95">
        <f t="shared" si="58"/>
        <v>0</v>
      </c>
      <c r="AK95">
        <f t="shared" si="58"/>
        <v>0</v>
      </c>
      <c r="AL95">
        <f t="shared" si="58"/>
        <v>0</v>
      </c>
      <c r="AM95">
        <f t="shared" si="58"/>
        <v>0</v>
      </c>
      <c r="AN95">
        <f t="shared" si="58"/>
        <v>0</v>
      </c>
      <c r="AO95">
        <f t="shared" si="58"/>
        <v>0</v>
      </c>
      <c r="AP95">
        <f t="shared" si="58"/>
        <v>0</v>
      </c>
      <c r="AQ95">
        <f t="shared" si="58"/>
        <v>0</v>
      </c>
      <c r="AR95">
        <f>E95+Q95+R95+S95+T95+U95+V95+X95+Y95+Z95+AA95+AB95+AC95+AD95+AE95+AF95+AG95+AH95+AI95+AJ95+AK95+AL95+AM95+AN95+AO95+AP95+AQ95</f>
        <v>0</v>
      </c>
      <c r="AS95">
        <f>D95+W116-AR95</f>
        <v>12.18</v>
      </c>
    </row>
    <row r="96" spans="1:45" ht="20.25" customHeight="1">
      <c r="A96" t="s">
        <v>68</v>
      </c>
      <c r="B96" t="s">
        <v>69</v>
      </c>
      <c r="C96" s="105" t="s">
        <v>70</v>
      </c>
      <c r="D96">
        <f t="shared" si="59"/>
        <v>0</v>
      </c>
      <c r="E96">
        <f t="shared" si="38"/>
        <v>0</v>
      </c>
      <c r="F96">
        <f t="shared" si="60"/>
        <v>0</v>
      </c>
      <c r="G96">
        <f t="shared" si="60"/>
        <v>0</v>
      </c>
      <c r="H96">
        <f t="shared" si="61"/>
        <v>0</v>
      </c>
      <c r="I96">
        <f t="shared" si="61"/>
        <v>0</v>
      </c>
      <c r="J96">
        <f t="shared" si="55"/>
        <v>0</v>
      </c>
      <c r="K96">
        <f t="shared" si="55"/>
        <v>0</v>
      </c>
      <c r="L96">
        <f t="shared" si="55"/>
        <v>0</v>
      </c>
      <c r="M96">
        <f t="shared" si="55"/>
        <v>0</v>
      </c>
      <c r="N96">
        <f t="shared" si="55"/>
        <v>0</v>
      </c>
      <c r="O96">
        <f t="shared" si="55"/>
        <v>0</v>
      </c>
      <c r="P96">
        <f t="shared" si="62"/>
        <v>0</v>
      </c>
      <c r="Q96">
        <f t="shared" si="65"/>
        <v>0</v>
      </c>
      <c r="R96">
        <f t="shared" si="65"/>
        <v>0</v>
      </c>
      <c r="S96">
        <f t="shared" si="65"/>
        <v>0</v>
      </c>
      <c r="T96">
        <f>Z33</f>
        <v>0</v>
      </c>
      <c r="U96">
        <f>AA33</f>
        <v>0</v>
      </c>
      <c r="V96">
        <f>AB33</f>
        <v>0</v>
      </c>
      <c r="W96">
        <f>AC33</f>
        <v>0</v>
      </c>
      <c r="X96">
        <f>D96-AR96</f>
        <v>0</v>
      </c>
      <c r="Y96">
        <f>AE33</f>
        <v>0</v>
      </c>
      <c r="Z96">
        <f t="shared" si="64"/>
        <v>0</v>
      </c>
      <c r="AA96">
        <f t="shared" si="58"/>
        <v>0</v>
      </c>
      <c r="AB96">
        <f t="shared" si="58"/>
        <v>0</v>
      </c>
      <c r="AC96">
        <f t="shared" si="58"/>
        <v>0</v>
      </c>
      <c r="AD96">
        <f t="shared" si="58"/>
        <v>0</v>
      </c>
      <c r="AE96">
        <f t="shared" si="58"/>
        <v>0</v>
      </c>
      <c r="AF96">
        <f t="shared" si="58"/>
        <v>0</v>
      </c>
      <c r="AG96">
        <f t="shared" si="58"/>
        <v>0</v>
      </c>
      <c r="AH96">
        <f t="shared" si="58"/>
        <v>0</v>
      </c>
      <c r="AI96">
        <f t="shared" si="58"/>
        <v>0</v>
      </c>
      <c r="AJ96">
        <f t="shared" si="58"/>
        <v>0</v>
      </c>
      <c r="AK96">
        <f t="shared" si="58"/>
        <v>0</v>
      </c>
      <c r="AL96">
        <f t="shared" si="58"/>
        <v>0</v>
      </c>
      <c r="AM96">
        <f t="shared" si="58"/>
        <v>0</v>
      </c>
      <c r="AN96">
        <f t="shared" si="58"/>
        <v>0</v>
      </c>
      <c r="AO96">
        <f t="shared" si="58"/>
        <v>0</v>
      </c>
      <c r="AP96">
        <f t="shared" si="58"/>
        <v>0</v>
      </c>
      <c r="AQ96">
        <f t="shared" si="58"/>
        <v>0</v>
      </c>
      <c r="AR96">
        <f>E96+Q96+R96+S96+T96+U96+V96+W96+Y96+Z96+AA96+AB96+AC96+AD96+AE96+AF96+AG96+AH96+AI96+AJ96+AK96+AL96+AM96+AN96+AO96+AP96+AQ96</f>
        <v>0</v>
      </c>
      <c r="AS96">
        <f>D96+X116-AR96</f>
        <v>0</v>
      </c>
    </row>
    <row r="97" spans="1:45" ht="38.25" customHeight="1">
      <c r="A97" t="s">
        <v>71</v>
      </c>
      <c r="B97" t="s">
        <v>135</v>
      </c>
      <c r="C97" s="105" t="s">
        <v>72</v>
      </c>
      <c r="D97">
        <f t="shared" si="59"/>
        <v>149.97999999999999</v>
      </c>
      <c r="E97">
        <f t="shared" si="38"/>
        <v>0</v>
      </c>
      <c r="F97">
        <f t="shared" si="60"/>
        <v>0</v>
      </c>
      <c r="G97">
        <f t="shared" si="60"/>
        <v>0</v>
      </c>
      <c r="H97">
        <f t="shared" si="61"/>
        <v>0</v>
      </c>
      <c r="I97">
        <f t="shared" si="61"/>
        <v>0</v>
      </c>
      <c r="J97">
        <f>P34</f>
        <v>0</v>
      </c>
      <c r="K97">
        <f t="shared" si="55"/>
        <v>0</v>
      </c>
      <c r="L97">
        <f t="shared" si="55"/>
        <v>0</v>
      </c>
      <c r="M97">
        <f t="shared" si="55"/>
        <v>0</v>
      </c>
      <c r="N97">
        <f t="shared" si="55"/>
        <v>0</v>
      </c>
      <c r="O97">
        <f t="shared" si="55"/>
        <v>0</v>
      </c>
      <c r="P97">
        <f t="shared" si="62"/>
        <v>149.97999999999999</v>
      </c>
      <c r="Q97">
        <f t="shared" si="65"/>
        <v>0</v>
      </c>
      <c r="R97">
        <f t="shared" si="65"/>
        <v>0</v>
      </c>
      <c r="S97">
        <f t="shared" si="65"/>
        <v>0</v>
      </c>
      <c r="T97">
        <f>Z34</f>
        <v>0</v>
      </c>
      <c r="U97">
        <f>AA34</f>
        <v>0</v>
      </c>
      <c r="V97">
        <f>AB34</f>
        <v>0</v>
      </c>
      <c r="W97">
        <f>AC34</f>
        <v>0</v>
      </c>
      <c r="X97">
        <f>AD34</f>
        <v>0</v>
      </c>
      <c r="Y97">
        <f>D97-AR97</f>
        <v>149.07999999999998</v>
      </c>
      <c r="Z97">
        <f t="shared" si="64"/>
        <v>0</v>
      </c>
      <c r="AA97">
        <f t="shared" si="58"/>
        <v>0</v>
      </c>
      <c r="AB97">
        <f t="shared" si="58"/>
        <v>0</v>
      </c>
      <c r="AC97">
        <f t="shared" si="58"/>
        <v>0.89999999999999991</v>
      </c>
      <c r="AD97">
        <f t="shared" si="58"/>
        <v>0</v>
      </c>
      <c r="AE97">
        <f t="shared" si="58"/>
        <v>0</v>
      </c>
      <c r="AF97">
        <f t="shared" si="58"/>
        <v>0</v>
      </c>
      <c r="AG97">
        <f t="shared" si="58"/>
        <v>0</v>
      </c>
      <c r="AH97">
        <f t="shared" si="58"/>
        <v>0</v>
      </c>
      <c r="AI97">
        <f t="shared" si="58"/>
        <v>0</v>
      </c>
      <c r="AJ97">
        <f t="shared" si="58"/>
        <v>0</v>
      </c>
      <c r="AK97">
        <f t="shared" si="58"/>
        <v>0</v>
      </c>
      <c r="AL97">
        <f t="shared" si="58"/>
        <v>0</v>
      </c>
      <c r="AM97">
        <f t="shared" si="58"/>
        <v>0</v>
      </c>
      <c r="AN97">
        <f t="shared" si="58"/>
        <v>0</v>
      </c>
      <c r="AO97">
        <f t="shared" si="58"/>
        <v>0</v>
      </c>
      <c r="AP97">
        <f t="shared" si="58"/>
        <v>0</v>
      </c>
      <c r="AQ97">
        <f t="shared" si="58"/>
        <v>0</v>
      </c>
      <c r="AR97">
        <f>E97+Q97+R97+S97+T97+U97+V97+W97+X97+Z97+AA97+AB97+AC97+AD97+AE97+AF97+AG97+AH97+AI97+AJ97+AK97+AL97+AM97+AN97+AO97+AP97+AQ97</f>
        <v>0.89999999999999991</v>
      </c>
      <c r="AS97">
        <f>D97+Y116-AR97</f>
        <v>163.16</v>
      </c>
    </row>
    <row r="98" spans="1:45" ht="20.25" customHeight="1">
      <c r="A98" t="s">
        <v>73</v>
      </c>
      <c r="B98" t="s">
        <v>74</v>
      </c>
      <c r="C98" s="105" t="s">
        <v>75</v>
      </c>
      <c r="D98">
        <f>D46</f>
        <v>0</v>
      </c>
      <c r="E98">
        <f t="shared" si="38"/>
        <v>0</v>
      </c>
      <c r="F98">
        <f>H46</f>
        <v>0</v>
      </c>
      <c r="G98">
        <f>I46</f>
        <v>0</v>
      </c>
      <c r="H98">
        <f>M46</f>
        <v>0</v>
      </c>
      <c r="I98">
        <f>N46</f>
        <v>0</v>
      </c>
      <c r="J98">
        <f t="shared" ref="J98:O113" si="67">P46</f>
        <v>0</v>
      </c>
      <c r="K98">
        <f t="shared" si="67"/>
        <v>0</v>
      </c>
      <c r="L98">
        <f t="shared" si="67"/>
        <v>0</v>
      </c>
      <c r="M98">
        <f t="shared" si="67"/>
        <v>0</v>
      </c>
      <c r="N98">
        <f t="shared" si="67"/>
        <v>0</v>
      </c>
      <c r="O98">
        <f t="shared" si="67"/>
        <v>0</v>
      </c>
      <c r="P98">
        <f t="shared" si="62"/>
        <v>0</v>
      </c>
      <c r="Q98">
        <f t="shared" ref="Q98:Y113" si="68">W46</f>
        <v>0</v>
      </c>
      <c r="R98">
        <f t="shared" si="68"/>
        <v>0</v>
      </c>
      <c r="S98">
        <f t="shared" si="68"/>
        <v>0</v>
      </c>
      <c r="T98">
        <f t="shared" si="68"/>
        <v>0</v>
      </c>
      <c r="U98">
        <f t="shared" si="68"/>
        <v>0</v>
      </c>
      <c r="V98">
        <f t="shared" si="68"/>
        <v>0</v>
      </c>
      <c r="W98">
        <f t="shared" si="68"/>
        <v>0</v>
      </c>
      <c r="X98">
        <f t="shared" si="68"/>
        <v>0</v>
      </c>
      <c r="Y98">
        <f t="shared" si="68"/>
        <v>0</v>
      </c>
      <c r="Z98">
        <f>D98-AR98</f>
        <v>0</v>
      </c>
      <c r="AA98">
        <f>AR46</f>
        <v>0</v>
      </c>
      <c r="AB98">
        <f t="shared" ref="AB98:AQ109" si="69">AS46</f>
        <v>0</v>
      </c>
      <c r="AC98">
        <f t="shared" si="69"/>
        <v>0</v>
      </c>
      <c r="AD98">
        <f t="shared" si="69"/>
        <v>0</v>
      </c>
      <c r="AE98">
        <f t="shared" si="69"/>
        <v>0</v>
      </c>
      <c r="AF98">
        <f t="shared" si="69"/>
        <v>0</v>
      </c>
      <c r="AG98">
        <f t="shared" si="69"/>
        <v>0</v>
      </c>
      <c r="AH98">
        <f t="shared" si="69"/>
        <v>0</v>
      </c>
      <c r="AI98">
        <f t="shared" si="69"/>
        <v>0</v>
      </c>
      <c r="AJ98">
        <f t="shared" si="69"/>
        <v>0</v>
      </c>
      <c r="AK98">
        <f t="shared" si="69"/>
        <v>0</v>
      </c>
      <c r="AL98">
        <f t="shared" si="69"/>
        <v>0</v>
      </c>
      <c r="AM98">
        <f t="shared" si="69"/>
        <v>0</v>
      </c>
      <c r="AN98">
        <f t="shared" si="69"/>
        <v>0</v>
      </c>
      <c r="AO98">
        <f t="shared" si="69"/>
        <v>0</v>
      </c>
      <c r="AP98">
        <f t="shared" si="69"/>
        <v>0</v>
      </c>
      <c r="AQ98">
        <f t="shared" si="69"/>
        <v>0</v>
      </c>
      <c r="AR98">
        <f>E98+Q98+R98+S98+T98+U98+V98+W98+X98+Y98+AA98+AB98+AC98+AD98+AE98+AF98+AG98+AH98+AI98+AJ98+AK98+AL98+AM98+AN98+AO98+AP98+AQ98</f>
        <v>0</v>
      </c>
      <c r="AS98">
        <f>D98+Z116-AR98</f>
        <v>0</v>
      </c>
    </row>
    <row r="99" spans="1:45" ht="20.25" customHeight="1">
      <c r="A99" t="s">
        <v>76</v>
      </c>
      <c r="B99" t="s">
        <v>77</v>
      </c>
      <c r="C99" s="105" t="s">
        <v>78</v>
      </c>
      <c r="D99">
        <f t="shared" ref="D99:D114" si="70">D47</f>
        <v>0</v>
      </c>
      <c r="E99">
        <f t="shared" si="38"/>
        <v>0</v>
      </c>
      <c r="F99">
        <f t="shared" ref="F99:G115" si="71">H47</f>
        <v>0</v>
      </c>
      <c r="G99">
        <f t="shared" si="71"/>
        <v>0</v>
      </c>
      <c r="H99">
        <f t="shared" ref="H99:I115" si="72">M47</f>
        <v>0</v>
      </c>
      <c r="I99">
        <f t="shared" si="72"/>
        <v>0</v>
      </c>
      <c r="J99">
        <f t="shared" si="67"/>
        <v>0</v>
      </c>
      <c r="K99">
        <f t="shared" si="67"/>
        <v>0</v>
      </c>
      <c r="L99">
        <f t="shared" si="67"/>
        <v>0</v>
      </c>
      <c r="M99">
        <f t="shared" si="67"/>
        <v>0</v>
      </c>
      <c r="N99">
        <f t="shared" si="67"/>
        <v>0</v>
      </c>
      <c r="O99">
        <f t="shared" si="67"/>
        <v>0</v>
      </c>
      <c r="P99">
        <f t="shared" si="62"/>
        <v>0</v>
      </c>
      <c r="Q99">
        <f t="shared" si="68"/>
        <v>0</v>
      </c>
      <c r="R99">
        <f t="shared" si="68"/>
        <v>0</v>
      </c>
      <c r="S99">
        <f t="shared" si="68"/>
        <v>0</v>
      </c>
      <c r="T99">
        <f t="shared" si="68"/>
        <v>0</v>
      </c>
      <c r="U99">
        <f t="shared" si="68"/>
        <v>0</v>
      </c>
      <c r="V99">
        <f t="shared" si="68"/>
        <v>0</v>
      </c>
      <c r="W99">
        <f t="shared" si="68"/>
        <v>0</v>
      </c>
      <c r="X99">
        <f t="shared" si="68"/>
        <v>0</v>
      </c>
      <c r="Y99">
        <f t="shared" si="68"/>
        <v>0</v>
      </c>
      <c r="Z99">
        <f>AQ47</f>
        <v>0</v>
      </c>
      <c r="AA99">
        <f>D99-AR99</f>
        <v>0</v>
      </c>
      <c r="AB99">
        <f>AS47</f>
        <v>0</v>
      </c>
      <c r="AC99">
        <f t="shared" si="69"/>
        <v>0</v>
      </c>
      <c r="AD99">
        <f t="shared" si="69"/>
        <v>0</v>
      </c>
      <c r="AE99">
        <f t="shared" si="69"/>
        <v>0</v>
      </c>
      <c r="AF99">
        <f t="shared" si="69"/>
        <v>0</v>
      </c>
      <c r="AG99">
        <f t="shared" si="69"/>
        <v>0</v>
      </c>
      <c r="AH99">
        <f t="shared" si="69"/>
        <v>0</v>
      </c>
      <c r="AI99">
        <f t="shared" si="69"/>
        <v>0</v>
      </c>
      <c r="AJ99">
        <f t="shared" si="69"/>
        <v>0</v>
      </c>
      <c r="AK99">
        <f t="shared" si="69"/>
        <v>0</v>
      </c>
      <c r="AL99">
        <f t="shared" si="69"/>
        <v>0</v>
      </c>
      <c r="AM99">
        <f t="shared" si="69"/>
        <v>0</v>
      </c>
      <c r="AN99">
        <f t="shared" si="69"/>
        <v>0</v>
      </c>
      <c r="AO99">
        <f t="shared" si="69"/>
        <v>0</v>
      </c>
      <c r="AP99">
        <f t="shared" si="69"/>
        <v>0</v>
      </c>
      <c r="AQ99">
        <f t="shared" si="69"/>
        <v>0</v>
      </c>
      <c r="AR99">
        <f>E99+Q99+R99+S99+T99+U99+V99+W99+X99+Y99+Z99+AB99+AC99+AD99+AE99+AF99+AG99+AH99+AI99+AJ99+AK99+AL99+AM99+AN99+AO99+AP99+AQ99</f>
        <v>0</v>
      </c>
      <c r="AS99">
        <f>D99+AA116-AR99</f>
        <v>0</v>
      </c>
    </row>
    <row r="100" spans="1:45" ht="20.25" customHeight="1">
      <c r="A100" t="s">
        <v>79</v>
      </c>
      <c r="B100" t="s">
        <v>80</v>
      </c>
      <c r="C100" s="105" t="s">
        <v>81</v>
      </c>
      <c r="D100">
        <f t="shared" si="70"/>
        <v>0</v>
      </c>
      <c r="E100">
        <f t="shared" si="38"/>
        <v>0</v>
      </c>
      <c r="F100">
        <f t="shared" si="71"/>
        <v>0</v>
      </c>
      <c r="G100">
        <f t="shared" si="71"/>
        <v>0</v>
      </c>
      <c r="H100">
        <f t="shared" si="72"/>
        <v>0</v>
      </c>
      <c r="I100">
        <f t="shared" si="72"/>
        <v>0</v>
      </c>
      <c r="J100">
        <f t="shared" si="67"/>
        <v>0</v>
      </c>
      <c r="K100">
        <f t="shared" si="67"/>
        <v>0</v>
      </c>
      <c r="L100">
        <f t="shared" si="67"/>
        <v>0</v>
      </c>
      <c r="M100">
        <f t="shared" si="67"/>
        <v>0</v>
      </c>
      <c r="N100">
        <f t="shared" si="67"/>
        <v>0</v>
      </c>
      <c r="O100">
        <f t="shared" si="67"/>
        <v>0</v>
      </c>
      <c r="P100">
        <f t="shared" si="62"/>
        <v>0</v>
      </c>
      <c r="Q100">
        <f t="shared" si="68"/>
        <v>0</v>
      </c>
      <c r="R100">
        <f t="shared" si="68"/>
        <v>0</v>
      </c>
      <c r="S100">
        <f t="shared" si="68"/>
        <v>0</v>
      </c>
      <c r="T100">
        <f t="shared" si="68"/>
        <v>0</v>
      </c>
      <c r="U100">
        <f t="shared" si="68"/>
        <v>0</v>
      </c>
      <c r="V100">
        <f t="shared" si="68"/>
        <v>0</v>
      </c>
      <c r="W100">
        <f t="shared" si="68"/>
        <v>0</v>
      </c>
      <c r="X100">
        <f t="shared" si="68"/>
        <v>0</v>
      </c>
      <c r="Y100">
        <f t="shared" si="68"/>
        <v>0</v>
      </c>
      <c r="Z100">
        <f t="shared" ref="Z100:AK115" si="73">AQ48</f>
        <v>0</v>
      </c>
      <c r="AA100">
        <f t="shared" si="73"/>
        <v>0</v>
      </c>
      <c r="AB100">
        <f>D100-AR100</f>
        <v>0</v>
      </c>
      <c r="AC100">
        <f>AT48</f>
        <v>0</v>
      </c>
      <c r="AD100">
        <f t="shared" si="69"/>
        <v>0</v>
      </c>
      <c r="AE100">
        <f t="shared" si="69"/>
        <v>0</v>
      </c>
      <c r="AF100">
        <f t="shared" si="69"/>
        <v>0</v>
      </c>
      <c r="AG100">
        <f t="shared" si="69"/>
        <v>0</v>
      </c>
      <c r="AH100">
        <f t="shared" si="69"/>
        <v>0</v>
      </c>
      <c r="AI100">
        <f t="shared" si="69"/>
        <v>0</v>
      </c>
      <c r="AJ100">
        <f t="shared" si="69"/>
        <v>0</v>
      </c>
      <c r="AK100">
        <f t="shared" si="69"/>
        <v>0</v>
      </c>
      <c r="AL100">
        <f t="shared" si="69"/>
        <v>0</v>
      </c>
      <c r="AM100">
        <f t="shared" si="69"/>
        <v>0</v>
      </c>
      <c r="AN100">
        <f t="shared" si="69"/>
        <v>0</v>
      </c>
      <c r="AO100">
        <f t="shared" si="69"/>
        <v>0</v>
      </c>
      <c r="AP100">
        <f t="shared" si="69"/>
        <v>0</v>
      </c>
      <c r="AQ100">
        <f t="shared" si="69"/>
        <v>0</v>
      </c>
      <c r="AR100">
        <f>E100+Q100+R100+S100+T100+U100+V100+W100+X100+Y100+Z100+AA100+AC100+AD100+AE100+AF100+AG100+AH100+AI100+AJ100+AK100+AL100+AM100+AN100+AO100+AP100+AQ100</f>
        <v>0</v>
      </c>
      <c r="AS100">
        <f>D100+AB116-AR100</f>
        <v>4.6000000000000005</v>
      </c>
    </row>
    <row r="101" spans="1:45" ht="20.25" customHeight="1">
      <c r="A101" t="s">
        <v>82</v>
      </c>
      <c r="B101" t="s">
        <v>83</v>
      </c>
      <c r="C101" s="105" t="s">
        <v>84</v>
      </c>
      <c r="D101">
        <f t="shared" si="70"/>
        <v>45.69</v>
      </c>
      <c r="E101">
        <f t="shared" si="38"/>
        <v>0</v>
      </c>
      <c r="F101">
        <f t="shared" si="71"/>
        <v>0</v>
      </c>
      <c r="G101">
        <f t="shared" si="71"/>
        <v>0</v>
      </c>
      <c r="H101">
        <f t="shared" si="72"/>
        <v>0</v>
      </c>
      <c r="I101">
        <f t="shared" si="72"/>
        <v>0</v>
      </c>
      <c r="J101">
        <f t="shared" si="67"/>
        <v>0</v>
      </c>
      <c r="K101">
        <f t="shared" si="67"/>
        <v>0</v>
      </c>
      <c r="L101">
        <f t="shared" si="67"/>
        <v>0</v>
      </c>
      <c r="M101">
        <f t="shared" si="67"/>
        <v>0</v>
      </c>
      <c r="N101">
        <f t="shared" si="67"/>
        <v>0</v>
      </c>
      <c r="O101">
        <f t="shared" si="67"/>
        <v>0</v>
      </c>
      <c r="P101">
        <f t="shared" si="62"/>
        <v>45.69</v>
      </c>
      <c r="Q101">
        <f t="shared" si="68"/>
        <v>0</v>
      </c>
      <c r="R101">
        <f t="shared" si="68"/>
        <v>0</v>
      </c>
      <c r="S101">
        <f t="shared" si="68"/>
        <v>0</v>
      </c>
      <c r="T101">
        <f t="shared" si="68"/>
        <v>0</v>
      </c>
      <c r="U101">
        <f t="shared" si="68"/>
        <v>0</v>
      </c>
      <c r="V101">
        <f t="shared" si="68"/>
        <v>0</v>
      </c>
      <c r="W101">
        <f t="shared" si="68"/>
        <v>0</v>
      </c>
      <c r="X101">
        <f t="shared" si="68"/>
        <v>0</v>
      </c>
      <c r="Y101">
        <f t="shared" si="68"/>
        <v>0.14000000000000001</v>
      </c>
      <c r="Z101">
        <f t="shared" si="73"/>
        <v>0</v>
      </c>
      <c r="AA101">
        <f t="shared" si="73"/>
        <v>0</v>
      </c>
      <c r="AB101">
        <f t="shared" si="73"/>
        <v>0</v>
      </c>
      <c r="AC101">
        <f>D101-AR101</f>
        <v>45.55</v>
      </c>
      <c r="AD101">
        <f>AU49</f>
        <v>0</v>
      </c>
      <c r="AE101">
        <f t="shared" si="69"/>
        <v>0</v>
      </c>
      <c r="AF101">
        <f t="shared" si="69"/>
        <v>0</v>
      </c>
      <c r="AG101">
        <f t="shared" si="69"/>
        <v>0</v>
      </c>
      <c r="AH101">
        <f t="shared" si="69"/>
        <v>0</v>
      </c>
      <c r="AI101">
        <f t="shared" si="69"/>
        <v>0</v>
      </c>
      <c r="AJ101">
        <f t="shared" si="69"/>
        <v>0</v>
      </c>
      <c r="AK101">
        <f t="shared" si="69"/>
        <v>0</v>
      </c>
      <c r="AL101">
        <f t="shared" si="69"/>
        <v>0</v>
      </c>
      <c r="AM101">
        <f t="shared" si="69"/>
        <v>0</v>
      </c>
      <c r="AN101">
        <f t="shared" si="69"/>
        <v>0</v>
      </c>
      <c r="AO101">
        <f t="shared" si="69"/>
        <v>0</v>
      </c>
      <c r="AP101">
        <f t="shared" si="69"/>
        <v>0</v>
      </c>
      <c r="AQ101">
        <f t="shared" si="69"/>
        <v>0</v>
      </c>
      <c r="AR101">
        <f>E101+Q101+R101+S101+T101+U101+V101+W101+X101+Y101+Z101+AA101+AB101+AD101+AE101+AF101+AG101+AH101+AI101+AJ101+AK101+AL101+AM101+AN101+AO101+AP101+AQ101</f>
        <v>0.14000000000000001</v>
      </c>
      <c r="AS101">
        <f>D101+AC116-AR101</f>
        <v>50.28</v>
      </c>
    </row>
    <row r="102" spans="1:45" ht="20.25" customHeight="1">
      <c r="A102" t="s">
        <v>85</v>
      </c>
      <c r="B102" t="s">
        <v>86</v>
      </c>
      <c r="C102" s="105" t="s">
        <v>87</v>
      </c>
      <c r="D102">
        <f t="shared" si="70"/>
        <v>0</v>
      </c>
      <c r="E102">
        <f t="shared" si="38"/>
        <v>0</v>
      </c>
      <c r="F102">
        <f t="shared" si="71"/>
        <v>0</v>
      </c>
      <c r="G102">
        <f t="shared" si="71"/>
        <v>0</v>
      </c>
      <c r="H102">
        <f t="shared" si="72"/>
        <v>0</v>
      </c>
      <c r="I102">
        <f t="shared" si="72"/>
        <v>0</v>
      </c>
      <c r="J102">
        <f t="shared" si="67"/>
        <v>0</v>
      </c>
      <c r="K102">
        <f t="shared" si="67"/>
        <v>0</v>
      </c>
      <c r="L102">
        <f t="shared" si="67"/>
        <v>0</v>
      </c>
      <c r="M102">
        <f t="shared" si="67"/>
        <v>0</v>
      </c>
      <c r="N102">
        <f t="shared" si="67"/>
        <v>0</v>
      </c>
      <c r="O102">
        <f t="shared" si="67"/>
        <v>0</v>
      </c>
      <c r="P102">
        <f t="shared" si="62"/>
        <v>0</v>
      </c>
      <c r="Q102">
        <f t="shared" si="68"/>
        <v>0</v>
      </c>
      <c r="R102">
        <f t="shared" si="68"/>
        <v>0</v>
      </c>
      <c r="S102">
        <f t="shared" si="68"/>
        <v>0</v>
      </c>
      <c r="T102">
        <f t="shared" si="68"/>
        <v>0</v>
      </c>
      <c r="U102">
        <f t="shared" si="68"/>
        <v>0</v>
      </c>
      <c r="V102">
        <f t="shared" si="68"/>
        <v>0</v>
      </c>
      <c r="W102">
        <f t="shared" si="68"/>
        <v>0</v>
      </c>
      <c r="X102">
        <f t="shared" si="68"/>
        <v>0</v>
      </c>
      <c r="Y102">
        <f t="shared" si="68"/>
        <v>0</v>
      </c>
      <c r="Z102">
        <f t="shared" si="73"/>
        <v>0</v>
      </c>
      <c r="AA102">
        <f t="shared" si="73"/>
        <v>0</v>
      </c>
      <c r="AB102">
        <f t="shared" si="73"/>
        <v>0</v>
      </c>
      <c r="AC102">
        <f t="shared" si="73"/>
        <v>0</v>
      </c>
      <c r="AD102">
        <f>D102-AR102</f>
        <v>0</v>
      </c>
      <c r="AE102">
        <f>AV50</f>
        <v>0</v>
      </c>
      <c r="AF102">
        <f t="shared" si="69"/>
        <v>0</v>
      </c>
      <c r="AG102">
        <f t="shared" si="69"/>
        <v>0</v>
      </c>
      <c r="AH102">
        <f t="shared" si="69"/>
        <v>0</v>
      </c>
      <c r="AI102">
        <f t="shared" si="69"/>
        <v>0</v>
      </c>
      <c r="AJ102">
        <f t="shared" si="69"/>
        <v>0</v>
      </c>
      <c r="AK102">
        <f t="shared" si="69"/>
        <v>0</v>
      </c>
      <c r="AL102">
        <f t="shared" si="69"/>
        <v>0</v>
      </c>
      <c r="AM102">
        <f t="shared" si="69"/>
        <v>0</v>
      </c>
      <c r="AN102">
        <f t="shared" si="69"/>
        <v>0</v>
      </c>
      <c r="AO102">
        <f t="shared" si="69"/>
        <v>0</v>
      </c>
      <c r="AP102">
        <f t="shared" si="69"/>
        <v>0</v>
      </c>
      <c r="AQ102">
        <f t="shared" si="69"/>
        <v>0</v>
      </c>
      <c r="AR102">
        <f>E102+Q102+R102+S102+T102+U102+V102+W102+X102+Y102+Z102+AA102+AB102+AC102+AE102+AF102+AG102+AH102+AI102+AJ102+AK102+AL102+AM102+AN102+AO102+AP102+AQ102</f>
        <v>0</v>
      </c>
      <c r="AS102">
        <f>D102+AD116-AR102</f>
        <v>0</v>
      </c>
    </row>
    <row r="103" spans="1:45" ht="20.25" customHeight="1">
      <c r="A103" t="s">
        <v>88</v>
      </c>
      <c r="B103" t="s">
        <v>89</v>
      </c>
      <c r="C103" s="105" t="s">
        <v>90</v>
      </c>
      <c r="D103">
        <f t="shared" si="70"/>
        <v>4.47</v>
      </c>
      <c r="E103">
        <f t="shared" si="38"/>
        <v>0</v>
      </c>
      <c r="F103">
        <f t="shared" si="71"/>
        <v>0</v>
      </c>
      <c r="G103">
        <f t="shared" si="71"/>
        <v>0</v>
      </c>
      <c r="H103">
        <f t="shared" si="72"/>
        <v>0</v>
      </c>
      <c r="I103">
        <f t="shared" si="72"/>
        <v>0</v>
      </c>
      <c r="J103">
        <f t="shared" si="67"/>
        <v>0</v>
      </c>
      <c r="K103">
        <f t="shared" si="67"/>
        <v>0</v>
      </c>
      <c r="L103">
        <f t="shared" si="67"/>
        <v>0</v>
      </c>
      <c r="M103">
        <f t="shared" si="67"/>
        <v>0</v>
      </c>
      <c r="N103">
        <f t="shared" si="67"/>
        <v>0</v>
      </c>
      <c r="O103">
        <f t="shared" si="67"/>
        <v>0</v>
      </c>
      <c r="P103">
        <f t="shared" si="62"/>
        <v>4.47</v>
      </c>
      <c r="Q103">
        <f t="shared" si="68"/>
        <v>0</v>
      </c>
      <c r="R103">
        <f t="shared" si="68"/>
        <v>0</v>
      </c>
      <c r="S103">
        <f t="shared" si="68"/>
        <v>0</v>
      </c>
      <c r="T103">
        <f t="shared" si="68"/>
        <v>0</v>
      </c>
      <c r="U103">
        <f t="shared" si="68"/>
        <v>0</v>
      </c>
      <c r="V103">
        <f t="shared" si="68"/>
        <v>0</v>
      </c>
      <c r="W103">
        <f t="shared" si="68"/>
        <v>0</v>
      </c>
      <c r="X103">
        <f t="shared" si="68"/>
        <v>0</v>
      </c>
      <c r="Y103">
        <f t="shared" si="68"/>
        <v>0</v>
      </c>
      <c r="Z103">
        <f t="shared" si="73"/>
        <v>0</v>
      </c>
      <c r="AA103">
        <f t="shared" si="73"/>
        <v>0</v>
      </c>
      <c r="AB103">
        <f t="shared" si="73"/>
        <v>0</v>
      </c>
      <c r="AC103">
        <f t="shared" si="73"/>
        <v>0</v>
      </c>
      <c r="AD103">
        <f t="shared" si="73"/>
        <v>0</v>
      </c>
      <c r="AE103">
        <f>D103-AR103</f>
        <v>4.47</v>
      </c>
      <c r="AF103">
        <f>AW51</f>
        <v>0</v>
      </c>
      <c r="AG103">
        <f t="shared" si="69"/>
        <v>0</v>
      </c>
      <c r="AH103">
        <f t="shared" si="69"/>
        <v>0</v>
      </c>
      <c r="AI103">
        <f t="shared" si="69"/>
        <v>0</v>
      </c>
      <c r="AJ103">
        <f t="shared" si="69"/>
        <v>0</v>
      </c>
      <c r="AK103">
        <f t="shared" si="69"/>
        <v>0</v>
      </c>
      <c r="AL103">
        <f t="shared" si="69"/>
        <v>0</v>
      </c>
      <c r="AM103">
        <f t="shared" si="69"/>
        <v>0</v>
      </c>
      <c r="AN103">
        <f t="shared" si="69"/>
        <v>0</v>
      </c>
      <c r="AO103">
        <f t="shared" si="69"/>
        <v>0</v>
      </c>
      <c r="AP103">
        <f t="shared" si="69"/>
        <v>0</v>
      </c>
      <c r="AQ103">
        <f t="shared" si="69"/>
        <v>0</v>
      </c>
      <c r="AR103">
        <f>E103+Q103+R103+S103+T103+U103+V103+W103+X103+Y103+Z103+AA103+AB103+AC103+AD103+AF103+AG103+AH103+AI103+AJ103+AK103+AL103+AM103+AN103+AO103+AP103+AQ103</f>
        <v>0</v>
      </c>
      <c r="AS103">
        <f>D103+AE116-AR103</f>
        <v>4.47</v>
      </c>
    </row>
    <row r="104" spans="1:45" ht="37.5" customHeight="1">
      <c r="A104" t="s">
        <v>91</v>
      </c>
      <c r="B104" t="s">
        <v>92</v>
      </c>
      <c r="C104" s="105" t="s">
        <v>93</v>
      </c>
      <c r="D104">
        <f t="shared" si="70"/>
        <v>0</v>
      </c>
      <c r="E104">
        <f t="shared" si="38"/>
        <v>0</v>
      </c>
      <c r="F104">
        <f t="shared" si="71"/>
        <v>0</v>
      </c>
      <c r="G104">
        <f t="shared" si="71"/>
        <v>0</v>
      </c>
      <c r="H104">
        <f t="shared" si="72"/>
        <v>0</v>
      </c>
      <c r="I104">
        <f t="shared" si="72"/>
        <v>0</v>
      </c>
      <c r="J104">
        <f t="shared" si="67"/>
        <v>0</v>
      </c>
      <c r="K104">
        <f t="shared" si="67"/>
        <v>0</v>
      </c>
      <c r="L104">
        <f t="shared" si="67"/>
        <v>0</v>
      </c>
      <c r="M104">
        <f t="shared" si="67"/>
        <v>0</v>
      </c>
      <c r="N104">
        <f t="shared" si="67"/>
        <v>0</v>
      </c>
      <c r="O104">
        <f t="shared" si="67"/>
        <v>0</v>
      </c>
      <c r="P104">
        <f t="shared" si="62"/>
        <v>0</v>
      </c>
      <c r="Q104">
        <f t="shared" si="68"/>
        <v>0</v>
      </c>
      <c r="R104">
        <f t="shared" si="68"/>
        <v>0</v>
      </c>
      <c r="S104">
        <f t="shared" si="68"/>
        <v>0</v>
      </c>
      <c r="T104">
        <f t="shared" si="68"/>
        <v>0</v>
      </c>
      <c r="U104">
        <f t="shared" si="68"/>
        <v>0</v>
      </c>
      <c r="V104">
        <f t="shared" si="68"/>
        <v>0</v>
      </c>
      <c r="W104">
        <f t="shared" si="68"/>
        <v>0</v>
      </c>
      <c r="X104">
        <f t="shared" si="68"/>
        <v>0</v>
      </c>
      <c r="Y104">
        <f t="shared" si="68"/>
        <v>0</v>
      </c>
      <c r="Z104">
        <f t="shared" si="73"/>
        <v>0</v>
      </c>
      <c r="AA104">
        <f t="shared" si="73"/>
        <v>0</v>
      </c>
      <c r="AB104">
        <f t="shared" si="73"/>
        <v>0</v>
      </c>
      <c r="AC104">
        <f t="shared" si="73"/>
        <v>0</v>
      </c>
      <c r="AD104">
        <f t="shared" si="73"/>
        <v>0</v>
      </c>
      <c r="AE104">
        <f t="shared" si="73"/>
        <v>0</v>
      </c>
      <c r="AF104">
        <f>D104-AR104</f>
        <v>0</v>
      </c>
      <c r="AG104">
        <f>AX52</f>
        <v>0</v>
      </c>
      <c r="AH104">
        <f t="shared" si="69"/>
        <v>0</v>
      </c>
      <c r="AI104">
        <f t="shared" si="69"/>
        <v>0</v>
      </c>
      <c r="AJ104">
        <f t="shared" si="69"/>
        <v>0</v>
      </c>
      <c r="AK104">
        <f t="shared" si="69"/>
        <v>0</v>
      </c>
      <c r="AL104">
        <f t="shared" si="69"/>
        <v>0</v>
      </c>
      <c r="AM104">
        <f t="shared" si="69"/>
        <v>0</v>
      </c>
      <c r="AN104">
        <f t="shared" si="69"/>
        <v>0</v>
      </c>
      <c r="AO104">
        <f t="shared" si="69"/>
        <v>0</v>
      </c>
      <c r="AP104">
        <f t="shared" si="69"/>
        <v>0</v>
      </c>
      <c r="AQ104">
        <f t="shared" si="69"/>
        <v>0</v>
      </c>
      <c r="AR104">
        <f>E104+Q104+R104+S104+T104+U104+V104+W104+X104+Y104+Z104+AA104+AB104+AC104+AD104+AE104+AG104+AH104+AI104+AJ104+AK104+AL104+AM104+AN104+AO104+AP104+AQ104</f>
        <v>0</v>
      </c>
      <c r="AS104">
        <f>D104+AF116-AR104</f>
        <v>0</v>
      </c>
    </row>
    <row r="105" spans="1:45" ht="20.25" customHeight="1">
      <c r="A105" t="s">
        <v>94</v>
      </c>
      <c r="B105" t="s">
        <v>95</v>
      </c>
      <c r="C105" s="105" t="s">
        <v>96</v>
      </c>
      <c r="D105">
        <f t="shared" si="70"/>
        <v>0</v>
      </c>
      <c r="E105">
        <f t="shared" si="38"/>
        <v>0</v>
      </c>
      <c r="F105">
        <f t="shared" si="71"/>
        <v>0</v>
      </c>
      <c r="G105">
        <f t="shared" si="71"/>
        <v>0</v>
      </c>
      <c r="H105">
        <f t="shared" si="72"/>
        <v>0</v>
      </c>
      <c r="I105">
        <f t="shared" si="72"/>
        <v>0</v>
      </c>
      <c r="J105">
        <f t="shared" si="67"/>
        <v>0</v>
      </c>
      <c r="K105">
        <f t="shared" si="67"/>
        <v>0</v>
      </c>
      <c r="L105">
        <f t="shared" si="67"/>
        <v>0</v>
      </c>
      <c r="M105">
        <f t="shared" si="67"/>
        <v>0</v>
      </c>
      <c r="N105">
        <f t="shared" si="67"/>
        <v>0</v>
      </c>
      <c r="O105">
        <f t="shared" si="67"/>
        <v>0</v>
      </c>
      <c r="P105">
        <f t="shared" si="62"/>
        <v>0</v>
      </c>
      <c r="Q105">
        <f t="shared" si="68"/>
        <v>0</v>
      </c>
      <c r="R105">
        <f t="shared" si="68"/>
        <v>0</v>
      </c>
      <c r="S105">
        <f t="shared" si="68"/>
        <v>0</v>
      </c>
      <c r="T105">
        <f t="shared" si="68"/>
        <v>0</v>
      </c>
      <c r="U105">
        <f t="shared" si="68"/>
        <v>0</v>
      </c>
      <c r="V105">
        <f t="shared" si="68"/>
        <v>0</v>
      </c>
      <c r="W105">
        <f t="shared" si="68"/>
        <v>0</v>
      </c>
      <c r="X105">
        <f t="shared" si="68"/>
        <v>0</v>
      </c>
      <c r="Y105">
        <f t="shared" si="68"/>
        <v>0</v>
      </c>
      <c r="Z105">
        <f t="shared" si="73"/>
        <v>0</v>
      </c>
      <c r="AA105">
        <f t="shared" si="73"/>
        <v>0</v>
      </c>
      <c r="AB105">
        <f t="shared" si="73"/>
        <v>0</v>
      </c>
      <c r="AC105">
        <f t="shared" si="73"/>
        <v>0</v>
      </c>
      <c r="AD105">
        <f t="shared" si="73"/>
        <v>0</v>
      </c>
      <c r="AE105">
        <f t="shared" si="73"/>
        <v>0</v>
      </c>
      <c r="AF105">
        <f t="shared" si="73"/>
        <v>0</v>
      </c>
      <c r="AG105">
        <f>D105-AR105</f>
        <v>0</v>
      </c>
      <c r="AH105">
        <f>AY53</f>
        <v>0</v>
      </c>
      <c r="AI105">
        <f t="shared" si="69"/>
        <v>0</v>
      </c>
      <c r="AJ105">
        <f t="shared" si="69"/>
        <v>0</v>
      </c>
      <c r="AK105">
        <f t="shared" si="69"/>
        <v>0</v>
      </c>
      <c r="AL105">
        <f t="shared" si="69"/>
        <v>0</v>
      </c>
      <c r="AM105">
        <f t="shared" si="69"/>
        <v>0</v>
      </c>
      <c r="AN105">
        <f t="shared" si="69"/>
        <v>0</v>
      </c>
      <c r="AO105">
        <f t="shared" si="69"/>
        <v>0</v>
      </c>
      <c r="AP105">
        <f t="shared" si="69"/>
        <v>0</v>
      </c>
      <c r="AQ105">
        <f t="shared" si="69"/>
        <v>0</v>
      </c>
      <c r="AR105">
        <f>E105+Q105+R105+S105+T105+U105+V105+W105+X105+Y105+Z105+AA105+AB105+AC105+AD105+AE105+AF105+AH105+AI105+AJ105+AK105+AL105+AM105+AN105+AO105+AP105+AQ105</f>
        <v>0</v>
      </c>
      <c r="AS105">
        <f>D105+AG116-AR105</f>
        <v>0</v>
      </c>
    </row>
    <row r="106" spans="1:45" ht="20.25" customHeight="1">
      <c r="A106" t="s">
        <v>97</v>
      </c>
      <c r="B106" t="s">
        <v>98</v>
      </c>
      <c r="C106" s="105" t="s">
        <v>99</v>
      </c>
      <c r="D106">
        <f t="shared" si="70"/>
        <v>0</v>
      </c>
      <c r="E106">
        <f t="shared" si="38"/>
        <v>0</v>
      </c>
      <c r="F106">
        <f t="shared" si="71"/>
        <v>0</v>
      </c>
      <c r="G106">
        <f t="shared" si="71"/>
        <v>0</v>
      </c>
      <c r="H106">
        <f t="shared" si="72"/>
        <v>0</v>
      </c>
      <c r="I106">
        <f t="shared" si="72"/>
        <v>0</v>
      </c>
      <c r="J106">
        <f t="shared" si="67"/>
        <v>0</v>
      </c>
      <c r="K106">
        <f t="shared" si="67"/>
        <v>0</v>
      </c>
      <c r="L106">
        <f t="shared" si="67"/>
        <v>0</v>
      </c>
      <c r="M106">
        <f t="shared" si="67"/>
        <v>0</v>
      </c>
      <c r="N106">
        <f t="shared" si="67"/>
        <v>0</v>
      </c>
      <c r="O106">
        <f t="shared" si="67"/>
        <v>0</v>
      </c>
      <c r="P106">
        <f t="shared" si="62"/>
        <v>0</v>
      </c>
      <c r="Q106">
        <f t="shared" si="68"/>
        <v>0</v>
      </c>
      <c r="R106">
        <f t="shared" si="68"/>
        <v>0</v>
      </c>
      <c r="S106">
        <f t="shared" si="68"/>
        <v>0</v>
      </c>
      <c r="T106">
        <f t="shared" si="68"/>
        <v>0</v>
      </c>
      <c r="U106">
        <f t="shared" si="68"/>
        <v>0</v>
      </c>
      <c r="V106">
        <f t="shared" si="68"/>
        <v>0</v>
      </c>
      <c r="W106">
        <f t="shared" si="68"/>
        <v>0</v>
      </c>
      <c r="X106">
        <f t="shared" si="68"/>
        <v>0</v>
      </c>
      <c r="Y106">
        <f t="shared" si="68"/>
        <v>0</v>
      </c>
      <c r="Z106">
        <f t="shared" si="73"/>
        <v>0</v>
      </c>
      <c r="AA106">
        <f t="shared" si="73"/>
        <v>0</v>
      </c>
      <c r="AB106">
        <f t="shared" si="73"/>
        <v>0</v>
      </c>
      <c r="AC106">
        <f t="shared" si="73"/>
        <v>0</v>
      </c>
      <c r="AD106">
        <f t="shared" si="73"/>
        <v>0</v>
      </c>
      <c r="AE106">
        <f t="shared" si="73"/>
        <v>0</v>
      </c>
      <c r="AF106">
        <f t="shared" si="73"/>
        <v>0</v>
      </c>
      <c r="AG106">
        <f t="shared" si="73"/>
        <v>0</v>
      </c>
      <c r="AH106">
        <f>D106-AR106</f>
        <v>0</v>
      </c>
      <c r="AI106">
        <f>AZ54</f>
        <v>0</v>
      </c>
      <c r="AJ106">
        <f t="shared" si="69"/>
        <v>0</v>
      </c>
      <c r="AK106">
        <f t="shared" si="69"/>
        <v>0</v>
      </c>
      <c r="AL106">
        <f t="shared" si="69"/>
        <v>0</v>
      </c>
      <c r="AM106">
        <f t="shared" si="69"/>
        <v>0</v>
      </c>
      <c r="AN106">
        <f t="shared" si="69"/>
        <v>0</v>
      </c>
      <c r="AO106">
        <f t="shared" si="69"/>
        <v>0</v>
      </c>
      <c r="AP106">
        <f t="shared" si="69"/>
        <v>0</v>
      </c>
      <c r="AQ106">
        <f t="shared" si="69"/>
        <v>0</v>
      </c>
      <c r="AR106">
        <f>E106+Q106+R106+S106+T106+U106+V106+W106+X106+Y106+Z106+AA106+AB106+AC106+AD106+AE106+AF106+AG106+AI106+AJ106+AK106+AL106+AM106+AN106+AO106+AP106+AQ106</f>
        <v>0</v>
      </c>
      <c r="AS106">
        <f>D106+AH116-AR106</f>
        <v>0</v>
      </c>
    </row>
    <row r="107" spans="1:45" ht="31.5" customHeight="1">
      <c r="A107" t="s">
        <v>100</v>
      </c>
      <c r="B107" t="s">
        <v>134</v>
      </c>
      <c r="C107" s="105" t="s">
        <v>101</v>
      </c>
      <c r="D107">
        <f t="shared" si="70"/>
        <v>10.59</v>
      </c>
      <c r="E107">
        <f t="shared" si="38"/>
        <v>0</v>
      </c>
      <c r="F107">
        <f t="shared" si="71"/>
        <v>0</v>
      </c>
      <c r="G107">
        <f t="shared" si="71"/>
        <v>0</v>
      </c>
      <c r="H107">
        <f t="shared" si="72"/>
        <v>0</v>
      </c>
      <c r="I107">
        <f t="shared" si="72"/>
        <v>0</v>
      </c>
      <c r="J107">
        <f t="shared" si="67"/>
        <v>0</v>
      </c>
      <c r="K107">
        <f t="shared" si="67"/>
        <v>0</v>
      </c>
      <c r="L107">
        <f t="shared" si="67"/>
        <v>0</v>
      </c>
      <c r="M107">
        <f t="shared" si="67"/>
        <v>0</v>
      </c>
      <c r="N107">
        <f t="shared" si="67"/>
        <v>0</v>
      </c>
      <c r="O107">
        <f t="shared" si="67"/>
        <v>0</v>
      </c>
      <c r="P107">
        <f t="shared" si="62"/>
        <v>10.59</v>
      </c>
      <c r="Q107">
        <f t="shared" si="68"/>
        <v>0</v>
      </c>
      <c r="R107">
        <f t="shared" si="68"/>
        <v>0</v>
      </c>
      <c r="S107">
        <f t="shared" si="68"/>
        <v>0</v>
      </c>
      <c r="T107">
        <f t="shared" si="68"/>
        <v>0</v>
      </c>
      <c r="U107">
        <f t="shared" si="68"/>
        <v>0</v>
      </c>
      <c r="V107">
        <f t="shared" si="68"/>
        <v>0</v>
      </c>
      <c r="W107">
        <f t="shared" si="68"/>
        <v>0</v>
      </c>
      <c r="X107">
        <f t="shared" si="68"/>
        <v>0</v>
      </c>
      <c r="Y107">
        <f t="shared" si="68"/>
        <v>0</v>
      </c>
      <c r="Z107">
        <f t="shared" si="73"/>
        <v>0</v>
      </c>
      <c r="AA107">
        <f t="shared" si="73"/>
        <v>0</v>
      </c>
      <c r="AB107">
        <f t="shared" si="73"/>
        <v>0</v>
      </c>
      <c r="AC107">
        <f t="shared" si="73"/>
        <v>0</v>
      </c>
      <c r="AD107">
        <f t="shared" si="73"/>
        <v>0</v>
      </c>
      <c r="AE107">
        <f t="shared" si="73"/>
        <v>0</v>
      </c>
      <c r="AF107">
        <f t="shared" si="73"/>
        <v>0</v>
      </c>
      <c r="AG107">
        <f t="shared" si="73"/>
        <v>0</v>
      </c>
      <c r="AH107">
        <f t="shared" si="73"/>
        <v>0</v>
      </c>
      <c r="AI107">
        <f>D107-AR107</f>
        <v>10.59</v>
      </c>
      <c r="AJ107">
        <f>BA55</f>
        <v>0</v>
      </c>
      <c r="AK107">
        <f t="shared" si="69"/>
        <v>0</v>
      </c>
      <c r="AL107">
        <f t="shared" si="69"/>
        <v>0</v>
      </c>
      <c r="AM107">
        <f t="shared" si="69"/>
        <v>0</v>
      </c>
      <c r="AN107">
        <f t="shared" si="69"/>
        <v>0</v>
      </c>
      <c r="AO107">
        <f t="shared" si="69"/>
        <v>0</v>
      </c>
      <c r="AP107">
        <f t="shared" si="69"/>
        <v>0</v>
      </c>
      <c r="AQ107">
        <f t="shared" si="69"/>
        <v>0</v>
      </c>
      <c r="AR107">
        <f>E107+Q107+R107+S107+T107+U107+V107+W107+X107+Y107+Z107+AA107+AB107+AC107+AD107+AE107+AF107+AG107+AH107+AJ107+AK107+AL107+AM107+AN107+AO107+AP107+AQ107</f>
        <v>0</v>
      </c>
      <c r="AS107">
        <f>D107+AI116-AR107</f>
        <v>10.59</v>
      </c>
    </row>
    <row r="108" spans="1:45" ht="20.25" customHeight="1">
      <c r="A108" t="s">
        <v>102</v>
      </c>
      <c r="B108" t="s">
        <v>103</v>
      </c>
      <c r="C108" s="105" t="s">
        <v>104</v>
      </c>
      <c r="D108">
        <f t="shared" si="70"/>
        <v>5.8895</v>
      </c>
      <c r="E108">
        <f t="shared" si="38"/>
        <v>0</v>
      </c>
      <c r="F108">
        <f t="shared" si="71"/>
        <v>0</v>
      </c>
      <c r="G108">
        <f t="shared" si="71"/>
        <v>0</v>
      </c>
      <c r="H108">
        <f t="shared" si="72"/>
        <v>0</v>
      </c>
      <c r="I108">
        <f t="shared" si="72"/>
        <v>0</v>
      </c>
      <c r="J108">
        <f t="shared" si="67"/>
        <v>0</v>
      </c>
      <c r="K108">
        <f t="shared" si="67"/>
        <v>0</v>
      </c>
      <c r="L108">
        <f t="shared" si="67"/>
        <v>0</v>
      </c>
      <c r="M108">
        <f t="shared" si="67"/>
        <v>0</v>
      </c>
      <c r="N108">
        <f t="shared" si="67"/>
        <v>0</v>
      </c>
      <c r="O108">
        <f t="shared" si="67"/>
        <v>0</v>
      </c>
      <c r="P108">
        <f t="shared" si="62"/>
        <v>5.8895</v>
      </c>
      <c r="Q108">
        <f t="shared" si="68"/>
        <v>0</v>
      </c>
      <c r="R108">
        <f t="shared" si="68"/>
        <v>0</v>
      </c>
      <c r="S108">
        <f t="shared" si="68"/>
        <v>0</v>
      </c>
      <c r="T108">
        <f t="shared" si="68"/>
        <v>0</v>
      </c>
      <c r="U108">
        <f t="shared" si="68"/>
        <v>0</v>
      </c>
      <c r="V108">
        <f t="shared" si="68"/>
        <v>0</v>
      </c>
      <c r="W108">
        <f t="shared" si="68"/>
        <v>0</v>
      </c>
      <c r="X108">
        <f t="shared" si="68"/>
        <v>0</v>
      </c>
      <c r="Y108">
        <f t="shared" si="68"/>
        <v>0</v>
      </c>
      <c r="Z108">
        <f t="shared" si="73"/>
        <v>0</v>
      </c>
      <c r="AA108">
        <f t="shared" si="73"/>
        <v>0</v>
      </c>
      <c r="AB108">
        <f t="shared" si="73"/>
        <v>0</v>
      </c>
      <c r="AC108">
        <f t="shared" si="73"/>
        <v>0</v>
      </c>
      <c r="AD108">
        <f t="shared" si="73"/>
        <v>0</v>
      </c>
      <c r="AE108">
        <f t="shared" si="73"/>
        <v>0</v>
      </c>
      <c r="AF108">
        <f t="shared" si="73"/>
        <v>0</v>
      </c>
      <c r="AG108">
        <f t="shared" si="73"/>
        <v>0</v>
      </c>
      <c r="AH108">
        <f t="shared" si="73"/>
        <v>0</v>
      </c>
      <c r="AI108">
        <f t="shared" si="73"/>
        <v>0</v>
      </c>
      <c r="AJ108">
        <f>D108-AR108</f>
        <v>5.8895</v>
      </c>
      <c r="AK108">
        <f>BB56</f>
        <v>0</v>
      </c>
      <c r="AL108">
        <f t="shared" si="69"/>
        <v>0</v>
      </c>
      <c r="AM108">
        <f t="shared" si="69"/>
        <v>0</v>
      </c>
      <c r="AN108">
        <f t="shared" si="69"/>
        <v>0</v>
      </c>
      <c r="AO108">
        <f t="shared" si="69"/>
        <v>0</v>
      </c>
      <c r="AP108">
        <f t="shared" si="69"/>
        <v>0</v>
      </c>
      <c r="AQ108">
        <f t="shared" si="69"/>
        <v>0</v>
      </c>
      <c r="AR108">
        <f>E108+Q108+R108+S108+T108+U108+V108+W108+X108+Y108+Z108+AA108+AB108+AC108+AD108+AE108+AF108+AG108+AH108+AI108+AK108+AL108+AM108+AN108+AO108+AP108+AQ108</f>
        <v>0</v>
      </c>
      <c r="AS108">
        <f>D108+AJ116-AR108</f>
        <v>5.9494999999999996</v>
      </c>
    </row>
    <row r="109" spans="1:45" ht="20.25" customHeight="1">
      <c r="A109" t="s">
        <v>105</v>
      </c>
      <c r="B109" t="s">
        <v>106</v>
      </c>
      <c r="C109" s="105" t="s">
        <v>107</v>
      </c>
      <c r="D109">
        <f t="shared" si="70"/>
        <v>1.6</v>
      </c>
      <c r="E109">
        <f t="shared" si="38"/>
        <v>0</v>
      </c>
      <c r="F109">
        <f t="shared" si="71"/>
        <v>0</v>
      </c>
      <c r="G109">
        <f t="shared" si="71"/>
        <v>0</v>
      </c>
      <c r="H109">
        <f t="shared" si="72"/>
        <v>0</v>
      </c>
      <c r="I109">
        <f t="shared" si="72"/>
        <v>0</v>
      </c>
      <c r="J109">
        <f t="shared" si="67"/>
        <v>0</v>
      </c>
      <c r="K109">
        <f t="shared" si="67"/>
        <v>0</v>
      </c>
      <c r="L109">
        <f t="shared" si="67"/>
        <v>0</v>
      </c>
      <c r="M109">
        <f t="shared" si="67"/>
        <v>0</v>
      </c>
      <c r="N109">
        <f t="shared" si="67"/>
        <v>0</v>
      </c>
      <c r="O109">
        <f t="shared" si="67"/>
        <v>0</v>
      </c>
      <c r="P109">
        <f t="shared" si="62"/>
        <v>1.6</v>
      </c>
      <c r="Q109">
        <f t="shared" si="68"/>
        <v>0</v>
      </c>
      <c r="R109">
        <f t="shared" si="68"/>
        <v>0</v>
      </c>
      <c r="S109">
        <f t="shared" si="68"/>
        <v>0</v>
      </c>
      <c r="T109">
        <f t="shared" si="68"/>
        <v>0</v>
      </c>
      <c r="U109">
        <f t="shared" si="68"/>
        <v>0</v>
      </c>
      <c r="V109">
        <f t="shared" si="68"/>
        <v>0</v>
      </c>
      <c r="W109">
        <f t="shared" si="68"/>
        <v>0</v>
      </c>
      <c r="X109">
        <f t="shared" si="68"/>
        <v>0</v>
      </c>
      <c r="Y109">
        <f t="shared" si="68"/>
        <v>0</v>
      </c>
      <c r="Z109">
        <f t="shared" si="73"/>
        <v>0</v>
      </c>
      <c r="AA109">
        <f t="shared" si="73"/>
        <v>0</v>
      </c>
      <c r="AB109">
        <f t="shared" si="73"/>
        <v>0</v>
      </c>
      <c r="AC109">
        <f t="shared" si="73"/>
        <v>0</v>
      </c>
      <c r="AD109">
        <f t="shared" si="73"/>
        <v>0</v>
      </c>
      <c r="AE109">
        <f t="shared" si="73"/>
        <v>0</v>
      </c>
      <c r="AF109">
        <f t="shared" si="73"/>
        <v>0</v>
      </c>
      <c r="AG109">
        <f t="shared" si="73"/>
        <v>0</v>
      </c>
      <c r="AH109">
        <f t="shared" si="73"/>
        <v>0</v>
      </c>
      <c r="AI109">
        <f t="shared" si="73"/>
        <v>0</v>
      </c>
      <c r="AJ109">
        <f t="shared" si="73"/>
        <v>0</v>
      </c>
      <c r="AK109">
        <f>D109-AR109</f>
        <v>1.6</v>
      </c>
      <c r="AL109">
        <f t="shared" si="69"/>
        <v>0</v>
      </c>
      <c r="AM109">
        <f t="shared" si="69"/>
        <v>0</v>
      </c>
      <c r="AN109">
        <f t="shared" si="69"/>
        <v>0</v>
      </c>
      <c r="AO109">
        <f t="shared" si="69"/>
        <v>0</v>
      </c>
      <c r="AP109">
        <f t="shared" si="69"/>
        <v>0</v>
      </c>
      <c r="AQ109">
        <f t="shared" si="69"/>
        <v>0</v>
      </c>
      <c r="AR109">
        <f>E109+Q109+R109+S109+T109+U109+V109+W109+X109+Y109+Z109+AA109+AB109+AC109+AD109+AE109+AF109+AG109+AH109+AI109+AJ109+AL109+AM109+AN109+AO109+AP109+AQ109</f>
        <v>0</v>
      </c>
      <c r="AS109">
        <f>D109+AK116-AR109</f>
        <v>1.6</v>
      </c>
    </row>
    <row r="110" spans="1:45" ht="20.25" customHeight="1">
      <c r="A110" t="s">
        <v>108</v>
      </c>
      <c r="B110" t="s">
        <v>109</v>
      </c>
      <c r="C110" s="105" t="s">
        <v>110</v>
      </c>
      <c r="D110">
        <f t="shared" si="70"/>
        <v>0</v>
      </c>
      <c r="E110">
        <f t="shared" si="38"/>
        <v>0</v>
      </c>
      <c r="F110">
        <f t="shared" si="71"/>
        <v>0</v>
      </c>
      <c r="G110">
        <f t="shared" si="71"/>
        <v>0</v>
      </c>
      <c r="H110">
        <f t="shared" si="72"/>
        <v>0</v>
      </c>
      <c r="I110">
        <f t="shared" si="72"/>
        <v>0</v>
      </c>
      <c r="J110">
        <f t="shared" si="67"/>
        <v>0</v>
      </c>
      <c r="K110">
        <f t="shared" si="67"/>
        <v>0</v>
      </c>
      <c r="L110">
        <f t="shared" si="67"/>
        <v>0</v>
      </c>
      <c r="M110">
        <f t="shared" si="67"/>
        <v>0</v>
      </c>
      <c r="N110">
        <f t="shared" si="67"/>
        <v>0</v>
      </c>
      <c r="O110">
        <f t="shared" si="67"/>
        <v>0</v>
      </c>
      <c r="P110">
        <f t="shared" si="62"/>
        <v>0</v>
      </c>
      <c r="Q110">
        <f t="shared" si="68"/>
        <v>0</v>
      </c>
      <c r="R110">
        <f t="shared" si="68"/>
        <v>0</v>
      </c>
      <c r="S110">
        <f t="shared" si="68"/>
        <v>0</v>
      </c>
      <c r="T110">
        <f t="shared" si="68"/>
        <v>0</v>
      </c>
      <c r="U110">
        <f t="shared" si="68"/>
        <v>0</v>
      </c>
      <c r="V110">
        <f t="shared" si="68"/>
        <v>0</v>
      </c>
      <c r="W110">
        <f t="shared" si="68"/>
        <v>0</v>
      </c>
      <c r="X110">
        <f t="shared" si="68"/>
        <v>0</v>
      </c>
      <c r="Y110">
        <f t="shared" si="68"/>
        <v>0</v>
      </c>
      <c r="Z110">
        <f t="shared" si="73"/>
        <v>0</v>
      </c>
      <c r="AA110">
        <f t="shared" si="73"/>
        <v>0</v>
      </c>
      <c r="AB110">
        <f t="shared" si="73"/>
        <v>0</v>
      </c>
      <c r="AC110">
        <f t="shared" si="73"/>
        <v>0</v>
      </c>
      <c r="AD110">
        <f t="shared" si="73"/>
        <v>0</v>
      </c>
      <c r="AE110">
        <f t="shared" si="73"/>
        <v>0</v>
      </c>
      <c r="AF110">
        <f t="shared" si="73"/>
        <v>0</v>
      </c>
      <c r="AG110">
        <f t="shared" si="73"/>
        <v>0</v>
      </c>
      <c r="AH110">
        <f t="shared" si="73"/>
        <v>0</v>
      </c>
      <c r="AI110">
        <f t="shared" si="73"/>
        <v>0</v>
      </c>
      <c r="AJ110">
        <f t="shared" si="73"/>
        <v>0</v>
      </c>
      <c r="AK110">
        <f t="shared" si="73"/>
        <v>0</v>
      </c>
      <c r="AL110">
        <f>D110-AR110</f>
        <v>0</v>
      </c>
      <c r="AM110">
        <f>BD58</f>
        <v>0</v>
      </c>
      <c r="AN110">
        <f>BE58</f>
        <v>0</v>
      </c>
      <c r="AO110">
        <f>BF58</f>
        <v>0</v>
      </c>
      <c r="AP110">
        <f>BG58</f>
        <v>0</v>
      </c>
      <c r="AQ110">
        <f>BH58</f>
        <v>0</v>
      </c>
      <c r="AR110">
        <f>E110+Q110+R110+S110+T110+U110+V110+W110+X110+Y110+Z110+AA110+AB110+AC110+AD110+AE110+AF110+AG110+AH110+AI110+AJ110+AK110+AM110+AN110+AO110+AP110+AQ110</f>
        <v>0</v>
      </c>
      <c r="AS110">
        <f>D110+AL116-AR110</f>
        <v>0</v>
      </c>
    </row>
    <row r="111" spans="1:45" ht="20.25" customHeight="1">
      <c r="A111" t="s">
        <v>111</v>
      </c>
      <c r="B111" t="s">
        <v>112</v>
      </c>
      <c r="C111" s="105" t="s">
        <v>113</v>
      </c>
      <c r="D111">
        <f t="shared" si="70"/>
        <v>0.66</v>
      </c>
      <c r="E111">
        <f t="shared" si="38"/>
        <v>0</v>
      </c>
      <c r="F111">
        <f t="shared" si="71"/>
        <v>0</v>
      </c>
      <c r="G111">
        <f t="shared" si="71"/>
        <v>0</v>
      </c>
      <c r="H111">
        <f t="shared" si="72"/>
        <v>0</v>
      </c>
      <c r="I111">
        <f t="shared" si="72"/>
        <v>0</v>
      </c>
      <c r="J111">
        <f t="shared" si="67"/>
        <v>0</v>
      </c>
      <c r="K111">
        <f t="shared" si="67"/>
        <v>0</v>
      </c>
      <c r="L111">
        <f t="shared" si="67"/>
        <v>0</v>
      </c>
      <c r="M111">
        <f t="shared" si="67"/>
        <v>0</v>
      </c>
      <c r="N111">
        <f t="shared" si="67"/>
        <v>0</v>
      </c>
      <c r="O111">
        <f t="shared" si="67"/>
        <v>0</v>
      </c>
      <c r="P111">
        <f t="shared" si="62"/>
        <v>0.66</v>
      </c>
      <c r="Q111">
        <f t="shared" si="68"/>
        <v>0</v>
      </c>
      <c r="R111">
        <f t="shared" si="68"/>
        <v>0</v>
      </c>
      <c r="S111">
        <f t="shared" si="68"/>
        <v>0</v>
      </c>
      <c r="T111">
        <f t="shared" si="68"/>
        <v>0</v>
      </c>
      <c r="U111">
        <f t="shared" si="68"/>
        <v>0</v>
      </c>
      <c r="V111">
        <f t="shared" si="68"/>
        <v>0</v>
      </c>
      <c r="W111">
        <f t="shared" si="68"/>
        <v>0</v>
      </c>
      <c r="X111">
        <f t="shared" si="68"/>
        <v>0</v>
      </c>
      <c r="Y111">
        <f t="shared" si="68"/>
        <v>0</v>
      </c>
      <c r="Z111">
        <f t="shared" si="73"/>
        <v>0</v>
      </c>
      <c r="AA111">
        <f t="shared" si="73"/>
        <v>0</v>
      </c>
      <c r="AB111">
        <f t="shared" si="73"/>
        <v>0</v>
      </c>
      <c r="AC111">
        <f t="shared" si="73"/>
        <v>0</v>
      </c>
      <c r="AD111">
        <f t="shared" si="73"/>
        <v>0</v>
      </c>
      <c r="AE111">
        <f t="shared" si="73"/>
        <v>0</v>
      </c>
      <c r="AF111">
        <f t="shared" si="73"/>
        <v>0</v>
      </c>
      <c r="AG111">
        <f t="shared" si="73"/>
        <v>0</v>
      </c>
      <c r="AH111">
        <f t="shared" si="73"/>
        <v>0</v>
      </c>
      <c r="AI111">
        <f t="shared" si="73"/>
        <v>0</v>
      </c>
      <c r="AJ111">
        <f t="shared" si="73"/>
        <v>0</v>
      </c>
      <c r="AK111">
        <f t="shared" si="73"/>
        <v>0</v>
      </c>
      <c r="AL111">
        <f>BC59</f>
        <v>0</v>
      </c>
      <c r="AM111">
        <f>D111-AR111</f>
        <v>0.66</v>
      </c>
      <c r="AN111">
        <f>BE59</f>
        <v>0</v>
      </c>
      <c r="AO111">
        <f>BF59</f>
        <v>0</v>
      </c>
      <c r="AP111">
        <f>BG59</f>
        <v>0</v>
      </c>
      <c r="AQ111">
        <f>BH59</f>
        <v>0</v>
      </c>
      <c r="AR111">
        <f>E111+Q111+R111+S111+T111+U111+V111+W111+X111+Y111+Z111+AA111+AB111+AC111+AD111+AE111+AF111+AG111+AH111+AI111+AJ111+AK111+AL111+AN111+AO111+AP111+AQ111</f>
        <v>0</v>
      </c>
      <c r="AS111">
        <f>D111+AM116-AR111</f>
        <v>0.66</v>
      </c>
    </row>
    <row r="112" spans="1:45" ht="20.25" customHeight="1">
      <c r="A112" t="s">
        <v>114</v>
      </c>
      <c r="B112" t="s">
        <v>115</v>
      </c>
      <c r="C112" s="105" t="s">
        <v>116</v>
      </c>
      <c r="D112">
        <f t="shared" si="70"/>
        <v>253.2</v>
      </c>
      <c r="E112">
        <f t="shared" si="38"/>
        <v>3.88</v>
      </c>
      <c r="F112">
        <f t="shared" si="71"/>
        <v>0</v>
      </c>
      <c r="G112">
        <f t="shared" si="71"/>
        <v>0</v>
      </c>
      <c r="H112">
        <f t="shared" si="72"/>
        <v>0</v>
      </c>
      <c r="I112">
        <f t="shared" si="72"/>
        <v>0</v>
      </c>
      <c r="J112">
        <f t="shared" si="67"/>
        <v>0</v>
      </c>
      <c r="K112">
        <f t="shared" si="67"/>
        <v>0</v>
      </c>
      <c r="L112">
        <f t="shared" si="67"/>
        <v>0</v>
      </c>
      <c r="M112">
        <f t="shared" si="67"/>
        <v>3.88</v>
      </c>
      <c r="N112">
        <f t="shared" si="67"/>
        <v>0</v>
      </c>
      <c r="O112">
        <f t="shared" si="67"/>
        <v>0</v>
      </c>
      <c r="P112">
        <f t="shared" si="62"/>
        <v>249.32</v>
      </c>
      <c r="Q112">
        <f t="shared" si="68"/>
        <v>0</v>
      </c>
      <c r="R112">
        <f t="shared" si="68"/>
        <v>0</v>
      </c>
      <c r="S112">
        <f t="shared" si="68"/>
        <v>0</v>
      </c>
      <c r="T112">
        <f t="shared" si="68"/>
        <v>0</v>
      </c>
      <c r="U112">
        <f t="shared" si="68"/>
        <v>0</v>
      </c>
      <c r="V112">
        <f t="shared" si="68"/>
        <v>0</v>
      </c>
      <c r="W112">
        <f t="shared" si="68"/>
        <v>0</v>
      </c>
      <c r="X112">
        <f t="shared" si="68"/>
        <v>0</v>
      </c>
      <c r="Y112">
        <f t="shared" si="68"/>
        <v>1.56</v>
      </c>
      <c r="Z112">
        <f t="shared" si="73"/>
        <v>0</v>
      </c>
      <c r="AA112">
        <f t="shared" si="73"/>
        <v>0</v>
      </c>
      <c r="AB112">
        <f t="shared" si="73"/>
        <v>0</v>
      </c>
      <c r="AC112">
        <f t="shared" si="73"/>
        <v>0</v>
      </c>
      <c r="AD112">
        <f t="shared" si="73"/>
        <v>0</v>
      </c>
      <c r="AE112">
        <f t="shared" si="73"/>
        <v>0</v>
      </c>
      <c r="AF112">
        <f t="shared" si="73"/>
        <v>0</v>
      </c>
      <c r="AG112">
        <f t="shared" si="73"/>
        <v>0</v>
      </c>
      <c r="AH112">
        <f t="shared" si="73"/>
        <v>0</v>
      </c>
      <c r="AI112">
        <f t="shared" si="73"/>
        <v>0</v>
      </c>
      <c r="AJ112">
        <f t="shared" si="73"/>
        <v>0.06</v>
      </c>
      <c r="AK112">
        <f t="shared" si="73"/>
        <v>0</v>
      </c>
      <c r="AL112">
        <f>BC60</f>
        <v>0</v>
      </c>
      <c r="AM112">
        <f>BD60</f>
        <v>0</v>
      </c>
      <c r="AN112">
        <f>D112-AR112</f>
        <v>247.7</v>
      </c>
      <c r="AO112">
        <f>BF60</f>
        <v>0</v>
      </c>
      <c r="AP112">
        <f>BG60</f>
        <v>0</v>
      </c>
      <c r="AQ112">
        <f>BH60</f>
        <v>0</v>
      </c>
      <c r="AR112">
        <f>E112+Q112+R112+S112+T112+U112+V112+W112+X112+Y112+Z112+AA112+AB112+AC112+AD112+AE112+AF112+AG112+AH112+AI112+AJ112+AK112+AL112+AM112+AO112+AP112+AQ112</f>
        <v>5.4999999999999991</v>
      </c>
      <c r="AS112">
        <f>D112+AN116-AR112</f>
        <v>247.7</v>
      </c>
    </row>
    <row r="113" spans="1:45" ht="20.25" customHeight="1">
      <c r="A113" t="s">
        <v>117</v>
      </c>
      <c r="B113" t="s">
        <v>118</v>
      </c>
      <c r="C113" s="105" t="s">
        <v>119</v>
      </c>
      <c r="D113">
        <f t="shared" si="70"/>
        <v>33.799999999999997</v>
      </c>
      <c r="E113">
        <f t="shared" si="38"/>
        <v>0</v>
      </c>
      <c r="F113">
        <f t="shared" si="71"/>
        <v>0</v>
      </c>
      <c r="G113">
        <f t="shared" si="71"/>
        <v>0</v>
      </c>
      <c r="H113">
        <f t="shared" si="72"/>
        <v>0</v>
      </c>
      <c r="I113">
        <f t="shared" si="72"/>
        <v>0</v>
      </c>
      <c r="J113">
        <f t="shared" si="67"/>
        <v>0</v>
      </c>
      <c r="K113">
        <f t="shared" si="67"/>
        <v>0</v>
      </c>
      <c r="L113">
        <f t="shared" si="67"/>
        <v>0</v>
      </c>
      <c r="M113">
        <f t="shared" si="67"/>
        <v>0</v>
      </c>
      <c r="N113">
        <f t="shared" si="67"/>
        <v>0</v>
      </c>
      <c r="O113">
        <f t="shared" si="67"/>
        <v>0</v>
      </c>
      <c r="P113">
        <f t="shared" si="62"/>
        <v>33.799999999999997</v>
      </c>
      <c r="Q113">
        <f t="shared" si="68"/>
        <v>0</v>
      </c>
      <c r="R113">
        <f t="shared" si="68"/>
        <v>0</v>
      </c>
      <c r="S113">
        <f t="shared" si="68"/>
        <v>0</v>
      </c>
      <c r="T113">
        <f t="shared" si="68"/>
        <v>0</v>
      </c>
      <c r="U113">
        <f t="shared" si="68"/>
        <v>0</v>
      </c>
      <c r="V113">
        <f t="shared" si="68"/>
        <v>0</v>
      </c>
      <c r="W113">
        <f t="shared" si="68"/>
        <v>0</v>
      </c>
      <c r="X113">
        <f t="shared" si="68"/>
        <v>0</v>
      </c>
      <c r="Y113">
        <f t="shared" si="68"/>
        <v>0</v>
      </c>
      <c r="Z113">
        <f t="shared" si="73"/>
        <v>0</v>
      </c>
      <c r="AA113">
        <f t="shared" si="73"/>
        <v>0</v>
      </c>
      <c r="AB113">
        <f t="shared" si="73"/>
        <v>0</v>
      </c>
      <c r="AC113">
        <f t="shared" si="73"/>
        <v>0</v>
      </c>
      <c r="AD113">
        <f t="shared" si="73"/>
        <v>0</v>
      </c>
      <c r="AE113">
        <f t="shared" si="73"/>
        <v>0</v>
      </c>
      <c r="AF113">
        <f t="shared" si="73"/>
        <v>0</v>
      </c>
      <c r="AG113">
        <f t="shared" si="73"/>
        <v>0</v>
      </c>
      <c r="AH113">
        <f t="shared" si="73"/>
        <v>0</v>
      </c>
      <c r="AI113">
        <f t="shared" si="73"/>
        <v>0</v>
      </c>
      <c r="AJ113">
        <f t="shared" si="73"/>
        <v>0</v>
      </c>
      <c r="AK113">
        <f t="shared" si="73"/>
        <v>0</v>
      </c>
      <c r="AL113">
        <f>BC61</f>
        <v>0</v>
      </c>
      <c r="AM113">
        <f>BD61</f>
        <v>0</v>
      </c>
      <c r="AN113">
        <f>BE61</f>
        <v>0</v>
      </c>
      <c r="AO113">
        <f>D113-AR113</f>
        <v>33.799999999999997</v>
      </c>
      <c r="AP113">
        <f>BG61</f>
        <v>0</v>
      </c>
      <c r="AQ113">
        <f>BH61</f>
        <v>0</v>
      </c>
      <c r="AR113">
        <f>E113+Q113+R113+S113+T113+U113+V113+W113+X113+Y113+Z113+AA113+AB113+AC113+AD113+AE113+AF113+AG113+AH113+AI113+AJ113+AK113+AL113+AM113+AN113+AP113+AQ113</f>
        <v>0</v>
      </c>
      <c r="AS113">
        <f>D113+AO116-AR113</f>
        <v>33.799999999999997</v>
      </c>
    </row>
    <row r="114" spans="1:45" ht="20.25" customHeight="1">
      <c r="A114" t="s">
        <v>120</v>
      </c>
      <c r="B114" t="s">
        <v>121</v>
      </c>
      <c r="C114" s="105" t="s">
        <v>122</v>
      </c>
      <c r="D114">
        <f t="shared" si="70"/>
        <v>0</v>
      </c>
      <c r="E114">
        <f t="shared" si="38"/>
        <v>0</v>
      </c>
      <c r="F114">
        <f t="shared" si="71"/>
        <v>0</v>
      </c>
      <c r="G114">
        <f t="shared" si="71"/>
        <v>0</v>
      </c>
      <c r="H114">
        <f t="shared" si="72"/>
        <v>0</v>
      </c>
      <c r="I114">
        <f t="shared" si="72"/>
        <v>0</v>
      </c>
      <c r="J114">
        <f t="shared" ref="J114:O115" si="74">P62</f>
        <v>0</v>
      </c>
      <c r="K114">
        <f t="shared" si="74"/>
        <v>0</v>
      </c>
      <c r="L114">
        <f t="shared" si="74"/>
        <v>0</v>
      </c>
      <c r="M114">
        <f t="shared" si="74"/>
        <v>0</v>
      </c>
      <c r="N114">
        <f t="shared" si="74"/>
        <v>0</v>
      </c>
      <c r="O114">
        <f t="shared" si="74"/>
        <v>0</v>
      </c>
      <c r="P114">
        <f t="shared" si="62"/>
        <v>0</v>
      </c>
      <c r="Q114">
        <f t="shared" ref="Q114:Y115" si="75">W62</f>
        <v>0</v>
      </c>
      <c r="R114">
        <f t="shared" si="75"/>
        <v>0</v>
      </c>
      <c r="S114">
        <f t="shared" si="75"/>
        <v>0</v>
      </c>
      <c r="T114">
        <f t="shared" si="75"/>
        <v>0</v>
      </c>
      <c r="U114">
        <f t="shared" si="75"/>
        <v>0</v>
      </c>
      <c r="V114">
        <f t="shared" si="75"/>
        <v>0</v>
      </c>
      <c r="W114">
        <f t="shared" si="75"/>
        <v>0</v>
      </c>
      <c r="X114">
        <f t="shared" si="75"/>
        <v>0</v>
      </c>
      <c r="Y114">
        <f t="shared" si="75"/>
        <v>0</v>
      </c>
      <c r="Z114">
        <f t="shared" si="73"/>
        <v>0</v>
      </c>
      <c r="AA114">
        <f t="shared" si="73"/>
        <v>0</v>
      </c>
      <c r="AB114">
        <f t="shared" si="73"/>
        <v>0</v>
      </c>
      <c r="AC114">
        <f t="shared" si="73"/>
        <v>0</v>
      </c>
      <c r="AD114">
        <f t="shared" si="73"/>
        <v>0</v>
      </c>
      <c r="AE114">
        <f t="shared" si="73"/>
        <v>0</v>
      </c>
      <c r="AF114">
        <f t="shared" si="73"/>
        <v>0</v>
      </c>
      <c r="AG114">
        <f t="shared" si="73"/>
        <v>0</v>
      </c>
      <c r="AH114">
        <f t="shared" si="73"/>
        <v>0</v>
      </c>
      <c r="AI114">
        <f t="shared" si="73"/>
        <v>0</v>
      </c>
      <c r="AJ114">
        <f t="shared" si="73"/>
        <v>0</v>
      </c>
      <c r="AK114">
        <f t="shared" si="73"/>
        <v>0</v>
      </c>
      <c r="AL114">
        <f>BC62</f>
        <v>0</v>
      </c>
      <c r="AM114">
        <f>BD62</f>
        <v>0</v>
      </c>
      <c r="AN114">
        <f>BE62</f>
        <v>0</v>
      </c>
      <c r="AO114">
        <f>BF62</f>
        <v>0</v>
      </c>
      <c r="AP114">
        <f>D114-AR114</f>
        <v>0</v>
      </c>
      <c r="AQ114">
        <f>BH62</f>
        <v>0</v>
      </c>
      <c r="AR114">
        <f>E114+Q114+R114+S114+T114+U114+V114+W114+X114+Y114+Z114+AA114+AB114+AC114+AD114+AE114+AF114+AG114+AH114+AI114+AJ114+AK114+AL114+AM114+AN114+AO114+AQ114</f>
        <v>0</v>
      </c>
      <c r="AS114">
        <f>D114+AP116-AR114</f>
        <v>0</v>
      </c>
    </row>
    <row r="115" spans="1:45" ht="20.25" customHeight="1">
      <c r="A115">
        <v>3</v>
      </c>
      <c r="B115" t="s">
        <v>123</v>
      </c>
      <c r="C115" s="105" t="s">
        <v>124</v>
      </c>
      <c r="D115">
        <f>D63</f>
        <v>438.03</v>
      </c>
      <c r="E115">
        <f>F115+H115+I115+J115+K115+L115+M115+N115+O115</f>
        <v>4.58</v>
      </c>
      <c r="F115">
        <f t="shared" si="71"/>
        <v>0</v>
      </c>
      <c r="G115">
        <f t="shared" si="71"/>
        <v>0</v>
      </c>
      <c r="H115">
        <f t="shared" si="72"/>
        <v>0</v>
      </c>
      <c r="I115">
        <f t="shared" si="72"/>
        <v>0</v>
      </c>
      <c r="J115">
        <f t="shared" si="74"/>
        <v>0</v>
      </c>
      <c r="K115">
        <f t="shared" si="74"/>
        <v>0</v>
      </c>
      <c r="L115">
        <f t="shared" si="74"/>
        <v>0</v>
      </c>
      <c r="M115">
        <f t="shared" si="74"/>
        <v>4.58</v>
      </c>
      <c r="N115">
        <f t="shared" si="74"/>
        <v>0</v>
      </c>
      <c r="O115">
        <f t="shared" si="74"/>
        <v>0</v>
      </c>
      <c r="P115">
        <f>SUM(Q115:AP115)</f>
        <v>2.8</v>
      </c>
      <c r="Q115">
        <f t="shared" si="75"/>
        <v>0</v>
      </c>
      <c r="R115">
        <f t="shared" si="75"/>
        <v>0</v>
      </c>
      <c r="S115">
        <f t="shared" si="75"/>
        <v>0</v>
      </c>
      <c r="T115">
        <f t="shared" si="75"/>
        <v>0</v>
      </c>
      <c r="U115">
        <f t="shared" si="75"/>
        <v>0</v>
      </c>
      <c r="V115">
        <f t="shared" si="75"/>
        <v>0</v>
      </c>
      <c r="W115">
        <f t="shared" si="75"/>
        <v>0</v>
      </c>
      <c r="X115">
        <f t="shared" si="75"/>
        <v>0</v>
      </c>
      <c r="Y115">
        <f t="shared" si="75"/>
        <v>1.6300000000000001</v>
      </c>
      <c r="Z115">
        <f t="shared" si="73"/>
        <v>0</v>
      </c>
      <c r="AA115">
        <f t="shared" si="73"/>
        <v>0</v>
      </c>
      <c r="AB115">
        <f t="shared" si="73"/>
        <v>0.2</v>
      </c>
      <c r="AC115">
        <f t="shared" si="73"/>
        <v>0.97</v>
      </c>
      <c r="AD115">
        <f t="shared" si="73"/>
        <v>0</v>
      </c>
      <c r="AE115">
        <f t="shared" si="73"/>
        <v>0</v>
      </c>
      <c r="AF115">
        <f t="shared" si="73"/>
        <v>0</v>
      </c>
      <c r="AG115">
        <f t="shared" si="73"/>
        <v>0</v>
      </c>
      <c r="AH115">
        <f t="shared" si="73"/>
        <v>0</v>
      </c>
      <c r="AI115">
        <f t="shared" si="73"/>
        <v>0</v>
      </c>
      <c r="AJ115">
        <f t="shared" si="73"/>
        <v>0</v>
      </c>
      <c r="AK115">
        <f t="shared" si="73"/>
        <v>0</v>
      </c>
      <c r="AL115">
        <f>BC63</f>
        <v>0</v>
      </c>
      <c r="AM115">
        <f>BD63</f>
        <v>0</v>
      </c>
      <c r="AN115">
        <f>BE63</f>
        <v>0</v>
      </c>
      <c r="AO115">
        <f>BF63</f>
        <v>0</v>
      </c>
      <c r="AP115">
        <f>BG63</f>
        <v>0</v>
      </c>
      <c r="AQ115">
        <f>AR115</f>
        <v>7.38</v>
      </c>
      <c r="AR115">
        <f>E115+Q115+R115+S115+T115+U115+V115+W115+X115+Y115+Z115+AA115+AB115+AC115+AD115+AE115+AF115+AG115+AH115+AI115+AJ115+AL115+AM115+AN115+AO115+AP115</f>
        <v>7.38</v>
      </c>
      <c r="AS115">
        <f>D115+AQ116-AR115</f>
        <v>430.65</v>
      </c>
    </row>
    <row r="116" spans="1:45" ht="20.25" customHeight="1">
      <c r="B116" t="s">
        <v>190</v>
      </c>
      <c r="E116">
        <f>E88+E115</f>
        <v>8.4600000000000009</v>
      </c>
      <c r="F116">
        <f>F80+F81+F82+F83+F84+F85+F86+F87+F88+F115</f>
        <v>0</v>
      </c>
      <c r="G116">
        <f>G78+G80+G81+G82+G83+G84+G85+G86+G87+G88+G115</f>
        <v>0</v>
      </c>
      <c r="H116">
        <f>H78+H81+H82+H83+H84+H85+H86+H87+H88+H115</f>
        <v>0</v>
      </c>
      <c r="I116">
        <f>I78+I80+I82+I83+I84+I85+I86+I87+I88+I115</f>
        <v>0</v>
      </c>
      <c r="J116">
        <f>J78+J80+J81+J83+J84+J85+J86+J87+J88+J115</f>
        <v>0</v>
      </c>
      <c r="K116">
        <f>K78+K80+K81+K82+K84+K85+K86+K87+K88+K115</f>
        <v>0</v>
      </c>
      <c r="L116">
        <f>L78+L80+L81+L82+L83+L85+L86+L87+L88+L115</f>
        <v>0</v>
      </c>
      <c r="M116">
        <f>M78+M80+M81+M82+M83+M84+M86+M87+M88+M115</f>
        <v>32.47</v>
      </c>
      <c r="N116">
        <f>N78+N80+N81+N82+N83+N84+N85+N87+N88+N115</f>
        <v>0</v>
      </c>
      <c r="O116">
        <f>O78+O80+O81+O82+O83+O84+O85+O86+O88+O115</f>
        <v>0</v>
      </c>
      <c r="P116">
        <f>P77+P115</f>
        <v>20.81</v>
      </c>
      <c r="Q116">
        <f>Q77+Q90+Q91+Q92+Q93+Q94+Q95+Q96+Q97+Q98+Q99+Q100+Q101+Q102+Q103+Q104+Q105+Q106+Q107+Q108+Q109+Q110+Q111+Q112+Q113+Q114+Q115</f>
        <v>0</v>
      </c>
      <c r="R116">
        <f>R77+R89+R91+R92+R93+R94+R95+R96+R97+R98+R99+R100+R101+R102+R103+R104+R105+R106+R107+R108+R109+R110+R111+R112+R113+R114+R115</f>
        <v>0</v>
      </c>
      <c r="S116">
        <f>S77+S89+S90+S92+S93+S94+S95+S96+S97+S98+S99+S100+S101+S102+S103+S104+S105+S106+S107+S108+S109+S110+S111+S112+S113+S114+S115</f>
        <v>0</v>
      </c>
      <c r="T116">
        <f>T77+T89+T90+T91+T93+T94+T95+T96+T97+T98+T99+T100+T101+T102+T103+T104+T105+T106+T107+T108+T109+T110+T111+T112+T113+T114+T115</f>
        <v>0</v>
      </c>
      <c r="U116">
        <f>U77+U89+U90+U91+U92+U94+U95+U96+U97+U98+U99+U100+U101+U102+U103+U104+U105+U106+U107+U108+U109+U110+U111+U112+U113+U114+U115</f>
        <v>0</v>
      </c>
      <c r="V116">
        <f>V77+V89+V90+V91+V92+V93+V95+V96+V97+V98+V99+V100+V101+V102+V103+V104+V105+V106+V107+V108+V109+V110+V111+V112+V113+V114+V115</f>
        <v>0</v>
      </c>
      <c r="W116">
        <f>W77+W89+W90+W91+W92+W93+W94+W96+W97+W98+W99+W100+W101+W102+W103+W104+W105+W106+W107+W108+W109+W110+W111+W112+W113+W114+W115</f>
        <v>0</v>
      </c>
      <c r="X116">
        <f>X77+X89+X90+X91+X92+X93+X94+X95+X97+X98+X99+X100+X101+X102+X103+X104+X105+X106+X107+X108+X109+X110+X111+X112+X113+X114+X115</f>
        <v>0</v>
      </c>
      <c r="Y116">
        <f>Y77+Y89+Y90+Y91+Y92+Y93+Y94+Y95+Y96+Y98+Y99+Y100+Y101+Y102+Y103+Y104+Y105+Y106+Y107+Y108+Y109+Y110+Y111+Y112+Y113+Y114+Y115</f>
        <v>14.080000000000002</v>
      </c>
      <c r="Z116">
        <f>Z77+Z89+Z90+Z91+Z92+Z93+Z94+Z95+Z96+Z97+Z99+Z100+Z101+Z102+Z103+Z104+Z105+Z106+Z107+Z108+Z109+Z110+Z111+Z112+Z113+Z114+Z115</f>
        <v>0</v>
      </c>
      <c r="AA116">
        <f>AA77+AA89+AA90+AA91+AA92+AA93+AA94+AA95+AA96+AA97+AA98+AA100+AA101+AA102+AA103+AA104+AA105+AA106+AA107+AA108+AA109+AA110+AA111+AA112+AA113+AA114+AA115</f>
        <v>0</v>
      </c>
      <c r="AB116">
        <f>AB77+AB89+AB90+AB91+AB92+AB93+AB94+AB95+AB96+AB97+AB98+AB99+AB101+AB102+AB103+AB104+AB105+AB106+AB107+AB108+AB109+AB110+AB111+AB112+AB113+AB114+AB115</f>
        <v>4.6000000000000005</v>
      </c>
      <c r="AC116">
        <f>AC77+AC89+AC90+AC91+AC92+AC93+AC94+AC95+AC96+AC97+AC98+AC99+AC100+AC102+AC103+AC104+AC105+AC106+AC107+AC108+AC109+AC110+AC111+AC112+AC113+AC114+AC115</f>
        <v>4.7300000000000004</v>
      </c>
      <c r="AD116">
        <f>AD77+AD89+AD90+AD91+AD92+AD93+AD94+AD95+AD96+AD97+AD98+AD99+AD100+AD101+AD103+AD104+AD105+AD106+AD107+AD108+AD109+AD110+AD111+AD112+AD113+AD114+AD115</f>
        <v>0</v>
      </c>
      <c r="AE116">
        <f>AE77+AE89+AE90+AE91+AE92+AE93+AE94+AE95+AE96+AE97+AE98+AE99+AE100+AE101+AE102+AE104+AE105+AE106+AE107+AE108+AE109+AE110+AE111+AE112+AE113+AE114+AE115</f>
        <v>0</v>
      </c>
      <c r="AF116">
        <f>AF77+AF89+AF90+AF91+AF92+AF93+AF94+AF95+AF96+AF97+AF98+AF99+AF100+AF101+AF102+AF103+AF105+AF106+AF107+AF108+AF109+AF110+AF111+AF112+AF113+AF114+AF115</f>
        <v>0</v>
      </c>
      <c r="AG116">
        <f>AG77+AG89+AG90+AG91+AG92+AG93+AG94+AG95+AG96+AG97+AG98+AG99+AG100+AG101+AG102+AG103+AG104+AG106+AG107+AG108+AG109+AG110+AG111+AG112+AG113+AG114+AG115</f>
        <v>0</v>
      </c>
      <c r="AH116">
        <f>AH77+AH89+AH90+AH91+AH92+AH93+AH94+AH95+AH96+AH97+AH98+AH99+AH100+AH101+AH102+AH103+AH104+AH105+AH107+AH108+AH109+AH110+AH111+AH112+AH113+AH114+AH115</f>
        <v>0</v>
      </c>
      <c r="AI116">
        <f>AI77+AI89+AI90+AI91+AI92+AI93+AI94+AI95+AI96+AI97+AI98+AI99+AI100+AI101+AI102+AI103+AI104+AI105+AI106+AI108+AI109+AI110+AI111+AI112+AI113+AI114+AI115</f>
        <v>0</v>
      </c>
      <c r="AJ116">
        <f>AJ77+AJ89+AJ90+AJ91+AJ92+AJ93+AJ94+AJ95+AJ96+AJ97+AJ98+AJ99+AJ100+AJ101+AJ102+AJ103+AJ104+AJ105+AJ106+AJ107+AJ109+AJ110+AJ111+AJ112+AJ113+AJ114+AJ115</f>
        <v>0.06</v>
      </c>
      <c r="AK116">
        <f>AK77+AK89+AK90+AK91+AK92+AK93+AK94+AK95+AK96+AK97+AK98+AK99+AK100+AK101+AK102+AK103+AK104+AK105+AK106+AK107+AK108+AK110+AK111+AK112+AK113+AK114+AK115</f>
        <v>0</v>
      </c>
      <c r="AL116">
        <f>AL77+AL89+AL90+AL91+AL92+AL93+AL94+AL95+AL96+AL97+AL98+AL99+AL100+AL101+AL102+AL103+AL104+AL105+AL106+AL107+AL108+AL109+AL111+AL112+AL113+AL114+AL115</f>
        <v>0</v>
      </c>
      <c r="AM116">
        <f>AM77+AM89+AM90+AM91+AM92+AM93+AM94+AM95+AM96+AM97+AM98+AM99+AM100+AM101+AM102+AM103+AM104+AM105+AM106+AM107+AM108+AM109+AM110+AM112+AM113+AM114+AM115</f>
        <v>0</v>
      </c>
      <c r="AN116">
        <f>AN77+AN89+AN90+AN91+AN92+AN93+AN94+AN95+AN96+AN97+AN98+AN99+AN100+AN101+AN102+AN103+AN104+AN105+AN106+AN107+AN108+AN109+AN110+AN111+AN113+AN114+AN115</f>
        <v>0</v>
      </c>
      <c r="AO116">
        <f>AO77+AO89+AO90+AO91+AO92+AO93+AO94+AO95+AO96+AO97+AO98+AO99+AO100+AO101+AO102+AO103+AO104+AO105+AO106+AO107+AO108+AO109+AO110+AO111+AO112+AO114+AO115</f>
        <v>0</v>
      </c>
      <c r="AP116">
        <f>AP77+AP89+AP90+AP91+AP92+AP93+AP94+AP95+AP96+AP97+AP98+AP99+AP100+AP101+AP102+AP103+AP104+AP105+AP106+AP107+AP108+AP109+AP110+AP111+AP112+AP113+AP115</f>
        <v>0</v>
      </c>
      <c r="AQ116">
        <f>AQ77+AQ88</f>
        <v>0</v>
      </c>
    </row>
    <row r="117" spans="1:45" ht="25.5" customHeight="1">
      <c r="B117" t="s">
        <v>325</v>
      </c>
      <c r="D117">
        <f>AS76</f>
        <v>3442.5194999999999</v>
      </c>
      <c r="E117">
        <f>AS77</f>
        <v>2466.9899999999998</v>
      </c>
      <c r="F117">
        <f>AS78</f>
        <v>264.73</v>
      </c>
      <c r="G117">
        <f>AS79</f>
        <v>185.81</v>
      </c>
      <c r="H117">
        <f>AS80</f>
        <v>52.09</v>
      </c>
      <c r="I117">
        <f>AS81</f>
        <v>75.13</v>
      </c>
      <c r="J117">
        <f>AS82</f>
        <v>896.23</v>
      </c>
      <c r="K117">
        <f>AS83</f>
        <v>-10.74</v>
      </c>
      <c r="L117">
        <f>AS84</f>
        <v>1015.8900000000001</v>
      </c>
      <c r="M117">
        <f>AS85</f>
        <v>173.66</v>
      </c>
      <c r="N117">
        <f>AS86</f>
        <v>0</v>
      </c>
      <c r="O117">
        <f>AS87</f>
        <v>0</v>
      </c>
      <c r="P117">
        <f>AS88</f>
        <v>544.87950000000001</v>
      </c>
      <c r="Q117">
        <f>AS89</f>
        <v>3.71</v>
      </c>
      <c r="R117">
        <f>AS90</f>
        <v>0</v>
      </c>
      <c r="S117">
        <f>AS91</f>
        <v>0</v>
      </c>
      <c r="T117">
        <f>AS92</f>
        <v>0</v>
      </c>
      <c r="U117">
        <f>AS93</f>
        <v>0</v>
      </c>
      <c r="V117">
        <f>AS94</f>
        <v>6.18</v>
      </c>
      <c r="W117">
        <f>AS95</f>
        <v>12.18</v>
      </c>
      <c r="X117">
        <f>AS96</f>
        <v>0</v>
      </c>
      <c r="Y117">
        <f>AS97</f>
        <v>163.16</v>
      </c>
      <c r="Z117">
        <f>AS98</f>
        <v>0</v>
      </c>
      <c r="AA117">
        <f>AS99</f>
        <v>0</v>
      </c>
      <c r="AB117">
        <f>AS100</f>
        <v>4.6000000000000005</v>
      </c>
      <c r="AC117">
        <f>AS101</f>
        <v>50.28</v>
      </c>
      <c r="AD117">
        <f>AS102</f>
        <v>0</v>
      </c>
      <c r="AE117">
        <f>AS103</f>
        <v>4.47</v>
      </c>
      <c r="AF117">
        <f>AS104</f>
        <v>0</v>
      </c>
      <c r="AG117">
        <f>AS105</f>
        <v>0</v>
      </c>
      <c r="AH117">
        <f>AS106</f>
        <v>0</v>
      </c>
      <c r="AI117">
        <f>AS107</f>
        <v>10.59</v>
      </c>
      <c r="AJ117">
        <f>AS108</f>
        <v>5.9494999999999996</v>
      </c>
      <c r="AK117">
        <f>AS109</f>
        <v>1.6</v>
      </c>
      <c r="AL117">
        <f>AS110</f>
        <v>0</v>
      </c>
      <c r="AM117">
        <f>AS111</f>
        <v>0.66</v>
      </c>
      <c r="AN117">
        <f>AS112</f>
        <v>247.7</v>
      </c>
      <c r="AO117">
        <f>AS113</f>
        <v>33.799999999999997</v>
      </c>
      <c r="AP117">
        <f>AS114</f>
        <v>0</v>
      </c>
      <c r="AQ117">
        <f>AS115</f>
        <v>430.65</v>
      </c>
    </row>
  </sheetData>
  <mergeCells count="21">
    <mergeCell ref="A1:B1"/>
    <mergeCell ref="A2:BN2"/>
    <mergeCell ref="A4:A5"/>
    <mergeCell ref="B4:B5"/>
    <mergeCell ref="C4:C5"/>
    <mergeCell ref="A74:A75"/>
    <mergeCell ref="BN4:BN5"/>
    <mergeCell ref="A70:B70"/>
    <mergeCell ref="BM4:BM5"/>
    <mergeCell ref="A72:AS72"/>
    <mergeCell ref="AS74:AS75"/>
    <mergeCell ref="D4:D5"/>
    <mergeCell ref="C74:C75"/>
    <mergeCell ref="A71:AS71"/>
    <mergeCell ref="E74:AQ74"/>
    <mergeCell ref="D74:D75"/>
    <mergeCell ref="E4:BK4"/>
    <mergeCell ref="AR73:AS73"/>
    <mergeCell ref="BL4:BL5"/>
    <mergeCell ref="B74:B75"/>
    <mergeCell ref="AR74:AR75"/>
  </mergeCells>
  <phoneticPr fontId="4" type="noConversion"/>
  <pageMargins left="0.75" right="0.75" top="1" bottom="1" header="0.5" footer="0.5"/>
  <pageSetup paperSize="9" scale="45" orientation="portrait" r:id="rId1"/>
  <headerFooter alignWithMargins="0"/>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6"/>
  <dimension ref="A1:BP117"/>
  <sheetViews>
    <sheetView showZeros="0" topLeftCell="B4" zoomScale="75" workbookViewId="0">
      <pane xSplit="3" ySplit="4" topLeftCell="AT52" activePane="bottomRight" state="frozen"/>
      <selection activeCell="B4" sqref="B4"/>
      <selection pane="topRight" activeCell="E4" sqref="E4"/>
      <selection pane="bottomLeft" activeCell="B8" sqref="B8"/>
      <selection pane="bottomRight" activeCell="AT38" sqref="AT38"/>
    </sheetView>
  </sheetViews>
  <sheetFormatPr defaultRowHeight="24.95" customHeight="1"/>
  <cols>
    <col min="1" max="1" width="9" customWidth="1"/>
    <col min="2" max="2" width="47.140625" customWidth="1"/>
    <col min="3" max="3" width="8.28515625" style="105" customWidth="1"/>
    <col min="4" max="4" width="13.5703125" customWidth="1"/>
    <col min="5" max="5" width="11.5703125" customWidth="1"/>
    <col min="6" max="6" width="0.140625" hidden="1" customWidth="1"/>
    <col min="7" max="7" width="11.28515625" hidden="1" customWidth="1"/>
    <col min="8" max="8" width="10.85546875" customWidth="1"/>
    <col min="9" max="9" width="11.140625" customWidth="1"/>
    <col min="10" max="10" width="11" customWidth="1"/>
    <col min="11" max="11" width="10" hidden="1" customWidth="1"/>
    <col min="12" max="12" width="11.140625" hidden="1" customWidth="1"/>
    <col min="13" max="13" width="11.85546875" customWidth="1"/>
    <col min="14" max="14" width="11.28515625" customWidth="1"/>
    <col min="15" max="15" width="11.28515625" hidden="1" customWidth="1"/>
    <col min="16" max="16" width="12.85546875" customWidth="1"/>
    <col min="17" max="17" width="12.28515625" customWidth="1"/>
    <col min="18" max="18" width="10.85546875" customWidth="1"/>
    <col min="19" max="19" width="11.42578125" customWidth="1"/>
    <col min="20" max="20" width="10.140625" hidden="1" customWidth="1"/>
    <col min="21" max="21" width="9.85546875" customWidth="1"/>
    <col min="22" max="22" width="11.5703125" customWidth="1"/>
    <col min="23" max="23" width="11.140625" customWidth="1"/>
    <col min="24" max="24" width="10.7109375" customWidth="1"/>
    <col min="25" max="25" width="10.42578125" customWidth="1"/>
    <col min="26" max="26" width="11.140625" customWidth="1"/>
    <col min="27" max="27" width="9.85546875" customWidth="1"/>
    <col min="28" max="39" width="10.42578125" customWidth="1"/>
    <col min="40" max="40" width="11" customWidth="1"/>
    <col min="41" max="43" width="9.42578125" customWidth="1"/>
    <col min="44" max="44" width="10.85546875" customWidth="1"/>
    <col min="45" max="45" width="10.42578125" customWidth="1"/>
    <col min="46" max="47" width="9.42578125" customWidth="1"/>
    <col min="48" max="48" width="11.5703125" customWidth="1"/>
    <col min="49" max="59" width="9" customWidth="1"/>
    <col min="60" max="60" width="10.140625" customWidth="1"/>
    <col min="61" max="62" width="9.85546875" customWidth="1"/>
    <col min="63" max="63" width="9.140625" customWidth="1"/>
    <col min="64" max="64" width="10.5703125" customWidth="1"/>
    <col min="65" max="65" width="12.140625" customWidth="1"/>
    <col min="66" max="66" width="13" customWidth="1"/>
    <col min="67" max="67" width="11.85546875" customWidth="1"/>
  </cols>
  <sheetData>
    <row r="1" spans="1:68" ht="24.95" customHeight="1">
      <c r="A1" s="1300" t="s">
        <v>301</v>
      </c>
      <c r="B1" s="1300"/>
    </row>
    <row r="2" spans="1:68" ht="36.75" customHeight="1">
      <c r="A2" s="1282" t="s">
        <v>962</v>
      </c>
      <c r="B2" s="1282"/>
      <c r="C2" s="1282"/>
      <c r="D2" s="1282"/>
      <c r="E2" s="1282"/>
      <c r="F2" s="1282"/>
      <c r="G2" s="1282"/>
      <c r="H2" s="1282"/>
      <c r="I2" s="1282"/>
      <c r="J2" s="1282"/>
      <c r="K2" s="1282"/>
      <c r="L2" s="1282"/>
      <c r="M2" s="1282"/>
      <c r="N2" s="1282"/>
      <c r="O2" s="1282"/>
      <c r="P2" s="1282"/>
      <c r="Q2" s="1282"/>
      <c r="R2" s="1282"/>
      <c r="S2" s="1282"/>
      <c r="T2" s="1282"/>
      <c r="U2" s="1282"/>
      <c r="V2" s="1282"/>
      <c r="W2" s="1282"/>
      <c r="X2" s="1282"/>
      <c r="Y2" s="1282"/>
      <c r="Z2" s="1282"/>
      <c r="AA2" s="1282"/>
      <c r="AB2" s="1282"/>
      <c r="AC2" s="1282"/>
      <c r="AD2" s="1282"/>
      <c r="AE2" s="1282"/>
      <c r="AF2" s="1282"/>
      <c r="AG2" s="1282"/>
      <c r="AH2" s="1282"/>
      <c r="AI2" s="1282"/>
      <c r="AJ2" s="1282"/>
      <c r="AK2" s="1282"/>
      <c r="AL2" s="1282"/>
      <c r="AM2" s="1282"/>
      <c r="AN2" s="1282"/>
      <c r="AO2" s="1282"/>
      <c r="AP2" s="1282"/>
      <c r="AQ2" s="1282"/>
      <c r="AR2" s="1282"/>
      <c r="AS2" s="1282"/>
      <c r="AT2" s="1282"/>
      <c r="AU2" s="1282"/>
      <c r="AV2" s="1282"/>
      <c r="AW2" s="1282"/>
      <c r="AX2" s="1282"/>
      <c r="AY2" s="1282"/>
      <c r="AZ2" s="1282"/>
      <c r="BA2" s="1282"/>
      <c r="BB2" s="1282"/>
      <c r="BC2" s="1282"/>
      <c r="BD2" s="1282"/>
      <c r="BE2" s="1282"/>
      <c r="BF2" s="1282"/>
      <c r="BG2" s="1282"/>
      <c r="BH2" s="1282"/>
      <c r="BI2" s="1282"/>
      <c r="BJ2" s="1282"/>
      <c r="BK2" s="1282"/>
      <c r="BL2" s="1282"/>
      <c r="BM2" s="1282"/>
      <c r="BN2" s="1282"/>
    </row>
    <row r="4" spans="1:68" ht="33" customHeight="1">
      <c r="A4" s="1275" t="s">
        <v>136</v>
      </c>
      <c r="B4" s="1275" t="s">
        <v>469</v>
      </c>
      <c r="C4" s="1275" t="s">
        <v>13</v>
      </c>
      <c r="D4" s="1275" t="s">
        <v>693</v>
      </c>
      <c r="E4" s="1368" t="s">
        <v>694</v>
      </c>
      <c r="F4" s="1368"/>
      <c r="G4" s="1368"/>
      <c r="H4" s="1368"/>
      <c r="I4" s="1368"/>
      <c r="J4" s="1368"/>
      <c r="K4" s="1368"/>
      <c r="L4" s="1368"/>
      <c r="M4" s="1368"/>
      <c r="N4" s="1368"/>
      <c r="O4" s="1368"/>
      <c r="P4" s="1368"/>
      <c r="Q4" s="1368"/>
      <c r="R4" s="1368"/>
      <c r="S4" s="1368"/>
      <c r="T4" s="1368"/>
      <c r="U4" s="1368"/>
      <c r="V4" s="1368"/>
      <c r="W4" s="1368"/>
      <c r="X4" s="1368"/>
      <c r="Y4" s="1368"/>
      <c r="Z4" s="1368"/>
      <c r="AA4" s="1368"/>
      <c r="AB4" s="1368"/>
      <c r="AC4" s="1368"/>
      <c r="AD4" s="1368"/>
      <c r="AE4" s="1368"/>
      <c r="AF4" s="1368"/>
      <c r="AG4" s="1368"/>
      <c r="AH4" s="1368"/>
      <c r="AI4" s="1368"/>
      <c r="AJ4" s="1368"/>
      <c r="AK4" s="1368"/>
      <c r="AL4" s="1368"/>
      <c r="AM4" s="1368"/>
      <c r="AN4" s="1368"/>
      <c r="AO4" s="1368"/>
      <c r="AP4" s="1368"/>
      <c r="AQ4" s="1368"/>
      <c r="AR4" s="1368"/>
      <c r="AS4" s="1368"/>
      <c r="AT4" s="1368"/>
      <c r="AU4" s="1368"/>
      <c r="AV4" s="1368"/>
      <c r="AW4" s="1368"/>
      <c r="AX4" s="1368"/>
      <c r="AY4" s="1368"/>
      <c r="AZ4" s="1368"/>
      <c r="BA4" s="1368"/>
      <c r="BB4" s="1368"/>
      <c r="BC4" s="1368"/>
      <c r="BD4" s="1368"/>
      <c r="BE4" s="1368"/>
      <c r="BF4" s="1368"/>
      <c r="BG4" s="1368"/>
      <c r="BH4" s="1368"/>
      <c r="BI4" s="1368"/>
      <c r="BJ4" s="1368"/>
      <c r="BK4" s="1368"/>
      <c r="BL4" s="1365" t="s">
        <v>191</v>
      </c>
      <c r="BM4" s="1365" t="s">
        <v>493</v>
      </c>
      <c r="BN4" s="1365" t="s">
        <v>695</v>
      </c>
      <c r="BO4" t="s">
        <v>742</v>
      </c>
    </row>
    <row r="5" spans="1:68" ht="35.25" customHeight="1">
      <c r="A5" s="1275"/>
      <c r="B5" s="1275"/>
      <c r="C5" s="1275"/>
      <c r="D5" s="1275"/>
      <c r="E5" s="128" t="s">
        <v>15</v>
      </c>
      <c r="F5" s="128" t="s">
        <v>193</v>
      </c>
      <c r="G5" s="128" t="s">
        <v>194</v>
      </c>
      <c r="H5" s="128" t="s">
        <v>18</v>
      </c>
      <c r="I5" s="128" t="s">
        <v>20</v>
      </c>
      <c r="J5" s="128" t="s">
        <v>195</v>
      </c>
      <c r="K5" s="128" t="s">
        <v>196</v>
      </c>
      <c r="L5" s="128" t="s">
        <v>197</v>
      </c>
      <c r="M5" s="128" t="s">
        <v>23</v>
      </c>
      <c r="N5" s="128" t="s">
        <v>26</v>
      </c>
      <c r="O5" s="128" t="s">
        <v>198</v>
      </c>
      <c r="P5" s="128" t="s">
        <v>29</v>
      </c>
      <c r="Q5" s="128" t="s">
        <v>32</v>
      </c>
      <c r="R5" s="128" t="s">
        <v>35</v>
      </c>
      <c r="S5" s="128" t="s">
        <v>38</v>
      </c>
      <c r="T5" s="128" t="s">
        <v>41</v>
      </c>
      <c r="U5" s="128" t="s">
        <v>44</v>
      </c>
      <c r="V5" s="128" t="s">
        <v>46</v>
      </c>
      <c r="W5" s="128" t="s">
        <v>49</v>
      </c>
      <c r="X5" s="128" t="s">
        <v>52</v>
      </c>
      <c r="Y5" s="128" t="s">
        <v>55</v>
      </c>
      <c r="Z5" s="128" t="s">
        <v>58</v>
      </c>
      <c r="AA5" s="128" t="s">
        <v>61</v>
      </c>
      <c r="AB5" s="128" t="s">
        <v>64</v>
      </c>
      <c r="AC5" s="128" t="s">
        <v>67</v>
      </c>
      <c r="AD5" s="128" t="s">
        <v>70</v>
      </c>
      <c r="AE5" s="128" t="s">
        <v>72</v>
      </c>
      <c r="AF5" s="128" t="s">
        <v>202</v>
      </c>
      <c r="AG5" s="128" t="s">
        <v>203</v>
      </c>
      <c r="AH5" s="128" t="s">
        <v>204</v>
      </c>
      <c r="AI5" s="128" t="s">
        <v>205</v>
      </c>
      <c r="AJ5" s="128" t="s">
        <v>206</v>
      </c>
      <c r="AK5" s="128" t="s">
        <v>207</v>
      </c>
      <c r="AL5" s="128" t="s">
        <v>199</v>
      </c>
      <c r="AM5" s="128" t="s">
        <v>200</v>
      </c>
      <c r="AN5" s="128" t="s">
        <v>223</v>
      </c>
      <c r="AO5" s="128" t="s">
        <v>201</v>
      </c>
      <c r="AP5" s="128" t="s">
        <v>208</v>
      </c>
      <c r="AQ5" s="128" t="s">
        <v>75</v>
      </c>
      <c r="AR5" s="128" t="s">
        <v>78</v>
      </c>
      <c r="AS5" s="128" t="s">
        <v>81</v>
      </c>
      <c r="AT5" s="128" t="s">
        <v>84</v>
      </c>
      <c r="AU5" s="128" t="s">
        <v>87</v>
      </c>
      <c r="AV5" s="128" t="s">
        <v>90</v>
      </c>
      <c r="AW5" s="128" t="s">
        <v>93</v>
      </c>
      <c r="AX5" s="128" t="s">
        <v>96</v>
      </c>
      <c r="AY5" s="128" t="s">
        <v>99</v>
      </c>
      <c r="AZ5" s="128" t="s">
        <v>101</v>
      </c>
      <c r="BA5" s="128" t="s">
        <v>104</v>
      </c>
      <c r="BB5" s="128" t="s">
        <v>107</v>
      </c>
      <c r="BC5" s="128" t="s">
        <v>110</v>
      </c>
      <c r="BD5" s="128" t="s">
        <v>113</v>
      </c>
      <c r="BE5" s="128" t="s">
        <v>116</v>
      </c>
      <c r="BF5" s="128" t="s">
        <v>119</v>
      </c>
      <c r="BG5" s="128" t="s">
        <v>122</v>
      </c>
      <c r="BH5" s="128" t="s">
        <v>124</v>
      </c>
      <c r="BI5" s="128" t="s">
        <v>209</v>
      </c>
      <c r="BJ5" s="128" t="s">
        <v>210</v>
      </c>
      <c r="BK5" s="128" t="s">
        <v>211</v>
      </c>
      <c r="BL5" s="1366"/>
      <c r="BM5" s="1366"/>
      <c r="BN5" s="1366"/>
    </row>
    <row r="6" spans="1:68" ht="24.95" customHeight="1">
      <c r="A6" s="130" t="s">
        <v>235</v>
      </c>
      <c r="B6" s="130" t="s">
        <v>236</v>
      </c>
      <c r="C6" s="129" t="s">
        <v>237</v>
      </c>
      <c r="D6" s="129" t="s">
        <v>238</v>
      </c>
      <c r="E6" s="129" t="s">
        <v>239</v>
      </c>
      <c r="F6" s="129" t="s">
        <v>240</v>
      </c>
      <c r="G6" s="129" t="s">
        <v>241</v>
      </c>
      <c r="H6" s="129" t="s">
        <v>242</v>
      </c>
      <c r="I6" s="129" t="s">
        <v>243</v>
      </c>
      <c r="J6" s="129" t="s">
        <v>244</v>
      </c>
      <c r="K6" s="129" t="s">
        <v>245</v>
      </c>
      <c r="L6" s="129" t="s">
        <v>246</v>
      </c>
      <c r="M6" s="129" t="s">
        <v>247</v>
      </c>
      <c r="N6" s="129" t="s">
        <v>248</v>
      </c>
      <c r="O6" s="129" t="s">
        <v>249</v>
      </c>
      <c r="P6" s="129" t="s">
        <v>250</v>
      </c>
      <c r="Q6" s="129" t="s">
        <v>251</v>
      </c>
      <c r="R6" s="129" t="s">
        <v>252</v>
      </c>
      <c r="S6" s="129" t="s">
        <v>253</v>
      </c>
      <c r="T6" s="129" t="s">
        <v>254</v>
      </c>
      <c r="U6" s="129" t="s">
        <v>255</v>
      </c>
      <c r="V6" s="129" t="s">
        <v>256</v>
      </c>
      <c r="W6" s="129" t="s">
        <v>257</v>
      </c>
      <c r="X6" s="129" t="s">
        <v>258</v>
      </c>
      <c r="Y6" s="129" t="s">
        <v>259</v>
      </c>
      <c r="Z6" s="129" t="s">
        <v>260</v>
      </c>
      <c r="AA6" s="129" t="s">
        <v>261</v>
      </c>
      <c r="AB6" s="129" t="s">
        <v>262</v>
      </c>
      <c r="AC6" s="129" t="s">
        <v>263</v>
      </c>
      <c r="AD6" s="129" t="s">
        <v>264</v>
      </c>
      <c r="AE6" s="129" t="s">
        <v>265</v>
      </c>
      <c r="AF6" s="129" t="s">
        <v>266</v>
      </c>
      <c r="AG6" s="129" t="s">
        <v>267</v>
      </c>
      <c r="AH6" s="129" t="s">
        <v>268</v>
      </c>
      <c r="AI6" s="129" t="s">
        <v>269</v>
      </c>
      <c r="AJ6" s="129" t="s">
        <v>270</v>
      </c>
      <c r="AK6" s="129" t="s">
        <v>271</v>
      </c>
      <c r="AL6" s="129" t="s">
        <v>272</v>
      </c>
      <c r="AM6" s="129" t="s">
        <v>273</v>
      </c>
      <c r="AN6" s="129" t="s">
        <v>274</v>
      </c>
      <c r="AO6" s="129" t="s">
        <v>275</v>
      </c>
      <c r="AP6" s="129" t="s">
        <v>276</v>
      </c>
      <c r="AQ6" s="129" t="s">
        <v>277</v>
      </c>
      <c r="AR6" s="129" t="s">
        <v>278</v>
      </c>
      <c r="AS6" s="129" t="s">
        <v>279</v>
      </c>
      <c r="AT6" s="129" t="s">
        <v>280</v>
      </c>
      <c r="AU6" s="129" t="s">
        <v>281</v>
      </c>
      <c r="AV6" s="129" t="s">
        <v>282</v>
      </c>
      <c r="AW6" s="129" t="s">
        <v>283</v>
      </c>
      <c r="AX6" s="129" t="s">
        <v>284</v>
      </c>
      <c r="AY6" s="129" t="s">
        <v>285</v>
      </c>
      <c r="AZ6" s="129" t="s">
        <v>286</v>
      </c>
      <c r="BA6" s="129" t="s">
        <v>287</v>
      </c>
      <c r="BB6" s="129" t="s">
        <v>288</v>
      </c>
      <c r="BC6" s="129" t="s">
        <v>289</v>
      </c>
      <c r="BD6" s="129" t="s">
        <v>290</v>
      </c>
      <c r="BE6" s="129" t="s">
        <v>291</v>
      </c>
      <c r="BF6" s="129" t="s">
        <v>292</v>
      </c>
      <c r="BG6" s="129" t="s">
        <v>293</v>
      </c>
      <c r="BH6" s="129" t="s">
        <v>294</v>
      </c>
      <c r="BI6" s="129" t="s">
        <v>295</v>
      </c>
      <c r="BJ6" s="129" t="s">
        <v>296</v>
      </c>
      <c r="BK6" s="129" t="s">
        <v>297</v>
      </c>
      <c r="BL6" s="129" t="s">
        <v>298</v>
      </c>
      <c r="BM6" s="129" t="s">
        <v>299</v>
      </c>
      <c r="BN6" s="129" t="s">
        <v>300</v>
      </c>
    </row>
    <row r="7" spans="1:68" s="117" customFormat="1" ht="31.5" customHeight="1">
      <c r="A7" s="13"/>
      <c r="B7" s="13" t="s">
        <v>470</v>
      </c>
      <c r="C7" s="154"/>
      <c r="D7" s="464">
        <f>D8+D25+D63</f>
        <v>1623.425</v>
      </c>
      <c r="E7" s="464">
        <f>E8+E25+E63</f>
        <v>1147.8100000000002</v>
      </c>
      <c r="F7" s="464">
        <f t="shared" ref="F7:BK7" si="0">F8+F25+F63</f>
        <v>559.04999999999995</v>
      </c>
      <c r="G7" s="464">
        <f t="shared" si="0"/>
        <v>418.84999999999997</v>
      </c>
      <c r="H7" s="464">
        <f t="shared" si="0"/>
        <v>379.02</v>
      </c>
      <c r="I7" s="464">
        <f t="shared" si="0"/>
        <v>268.85999999999996</v>
      </c>
      <c r="J7" s="464">
        <f t="shared" si="0"/>
        <v>110.16000000000001</v>
      </c>
      <c r="K7" s="464">
        <f t="shared" si="0"/>
        <v>0</v>
      </c>
      <c r="L7" s="464">
        <f t="shared" si="0"/>
        <v>0</v>
      </c>
      <c r="M7" s="464">
        <f t="shared" si="0"/>
        <v>39.830000000000005</v>
      </c>
      <c r="N7" s="464">
        <f t="shared" si="0"/>
        <v>140.19999999999999</v>
      </c>
      <c r="O7" s="464">
        <f t="shared" si="0"/>
        <v>74.400000000000006</v>
      </c>
      <c r="P7" s="464">
        <f t="shared" si="0"/>
        <v>74.400000000000006</v>
      </c>
      <c r="Q7" s="464">
        <f t="shared" si="0"/>
        <v>0</v>
      </c>
      <c r="R7" s="464">
        <f t="shared" si="0"/>
        <v>0</v>
      </c>
      <c r="S7" s="464">
        <f t="shared" si="0"/>
        <v>514.36</v>
      </c>
      <c r="T7" s="464">
        <f t="shared" si="0"/>
        <v>0</v>
      </c>
      <c r="U7" s="464">
        <f t="shared" si="0"/>
        <v>0</v>
      </c>
      <c r="V7" s="464">
        <f t="shared" si="0"/>
        <v>446.40499999999997</v>
      </c>
      <c r="W7" s="464">
        <f t="shared" si="0"/>
        <v>0</v>
      </c>
      <c r="X7" s="464">
        <f t="shared" si="0"/>
        <v>0</v>
      </c>
      <c r="Y7" s="464">
        <f t="shared" si="0"/>
        <v>0</v>
      </c>
      <c r="Z7" s="464">
        <f t="shared" si="0"/>
        <v>0</v>
      </c>
      <c r="AA7" s="464">
        <f t="shared" si="0"/>
        <v>0</v>
      </c>
      <c r="AB7" s="464">
        <f t="shared" si="0"/>
        <v>1.94</v>
      </c>
      <c r="AC7" s="464">
        <f t="shared" si="0"/>
        <v>5.89</v>
      </c>
      <c r="AD7" s="464">
        <f t="shared" si="0"/>
        <v>0</v>
      </c>
      <c r="AE7" s="464">
        <f t="shared" si="0"/>
        <v>157.13499999999996</v>
      </c>
      <c r="AF7" s="464">
        <f t="shared" si="0"/>
        <v>4.9850000000000003</v>
      </c>
      <c r="AG7" s="464">
        <f t="shared" si="0"/>
        <v>0.08</v>
      </c>
      <c r="AH7" s="464">
        <f t="shared" si="0"/>
        <v>3.19</v>
      </c>
      <c r="AI7" s="464">
        <f t="shared" si="0"/>
        <v>0.01</v>
      </c>
      <c r="AJ7" s="464">
        <f t="shared" si="0"/>
        <v>0</v>
      </c>
      <c r="AK7" s="464">
        <f t="shared" si="0"/>
        <v>0</v>
      </c>
      <c r="AL7" s="464">
        <f t="shared" si="0"/>
        <v>121.86</v>
      </c>
      <c r="AM7" s="464">
        <f t="shared" si="0"/>
        <v>26.75</v>
      </c>
      <c r="AN7" s="464">
        <f t="shared" si="0"/>
        <v>0.03</v>
      </c>
      <c r="AO7" s="464">
        <f t="shared" si="0"/>
        <v>0.04</v>
      </c>
      <c r="AP7" s="464">
        <f t="shared" si="0"/>
        <v>0.19</v>
      </c>
      <c r="AQ7" s="464">
        <f t="shared" si="0"/>
        <v>0</v>
      </c>
      <c r="AR7" s="464">
        <f t="shared" si="0"/>
        <v>0</v>
      </c>
      <c r="AS7" s="464">
        <f t="shared" si="0"/>
        <v>6.38</v>
      </c>
      <c r="AT7" s="464">
        <f t="shared" si="0"/>
        <v>76.69</v>
      </c>
      <c r="AU7" s="464">
        <f t="shared" si="0"/>
        <v>0</v>
      </c>
      <c r="AV7" s="464">
        <f t="shared" si="0"/>
        <v>1.1599999999999999</v>
      </c>
      <c r="AW7" s="464">
        <f t="shared" si="0"/>
        <v>0</v>
      </c>
      <c r="AX7" s="464">
        <f t="shared" si="0"/>
        <v>0</v>
      </c>
      <c r="AY7" s="464">
        <f t="shared" si="0"/>
        <v>2.3199999999999998</v>
      </c>
      <c r="AZ7" s="464">
        <f t="shared" si="0"/>
        <v>30.51</v>
      </c>
      <c r="BA7" s="464">
        <f t="shared" si="0"/>
        <v>2.3199999999999998</v>
      </c>
      <c r="BB7" s="464">
        <f t="shared" si="0"/>
        <v>1.1499999999999999</v>
      </c>
      <c r="BC7" s="464">
        <f t="shared" si="0"/>
        <v>1.71</v>
      </c>
      <c r="BD7" s="464">
        <f t="shared" si="0"/>
        <v>1.77</v>
      </c>
      <c r="BE7" s="464">
        <f t="shared" si="0"/>
        <v>156.84</v>
      </c>
      <c r="BF7" s="464">
        <f t="shared" si="0"/>
        <v>0</v>
      </c>
      <c r="BG7" s="464">
        <f t="shared" si="0"/>
        <v>0.59</v>
      </c>
      <c r="BH7" s="464">
        <f t="shared" si="0"/>
        <v>29.21</v>
      </c>
      <c r="BI7" s="464">
        <f t="shared" si="0"/>
        <v>29.21</v>
      </c>
      <c r="BJ7" s="464">
        <f t="shared" si="0"/>
        <v>0</v>
      </c>
      <c r="BK7" s="464">
        <f t="shared" si="0"/>
        <v>0</v>
      </c>
      <c r="BL7" s="464"/>
      <c r="BM7" s="464">
        <f>BM8+BM25+BM63</f>
        <v>-1.27675647831893E-15</v>
      </c>
      <c r="BN7" s="464">
        <f>BN8+BN25+BN63</f>
        <v>1623.425</v>
      </c>
    </row>
    <row r="8" spans="1:68" s="115" customFormat="1" ht="21" customHeight="1">
      <c r="A8" s="15">
        <v>1</v>
      </c>
      <c r="B8" s="142" t="s">
        <v>14</v>
      </c>
      <c r="C8" s="158" t="s">
        <v>15</v>
      </c>
      <c r="D8" s="420">
        <f>D9+D18+D22+D23+D24</f>
        <v>1146.75</v>
      </c>
      <c r="E8" s="420">
        <f>D8-BL8</f>
        <v>1132.1400000000001</v>
      </c>
      <c r="F8" s="420">
        <f>G8+N8</f>
        <v>559.04999999999995</v>
      </c>
      <c r="G8" s="420">
        <f>H8+L8+M8</f>
        <v>418.84999999999997</v>
      </c>
      <c r="H8" s="420">
        <f>I8+J8+K8</f>
        <v>379.02</v>
      </c>
      <c r="I8" s="420">
        <f>I9+I18+I22+I23+I24</f>
        <v>268.85999999999996</v>
      </c>
      <c r="J8" s="420">
        <f t="shared" ref="J8:BG8" si="1">J9+J18+J22+J23+J24</f>
        <v>110.16000000000001</v>
      </c>
      <c r="K8" s="420">
        <f t="shared" si="1"/>
        <v>0</v>
      </c>
      <c r="L8" s="420">
        <f t="shared" si="1"/>
        <v>0</v>
      </c>
      <c r="M8" s="420">
        <f t="shared" si="1"/>
        <v>39.830000000000005</v>
      </c>
      <c r="N8" s="420">
        <f t="shared" si="1"/>
        <v>140.19999999999999</v>
      </c>
      <c r="O8" s="420">
        <f>P8+Q8+R8</f>
        <v>74.400000000000006</v>
      </c>
      <c r="P8" s="420">
        <f t="shared" si="1"/>
        <v>74.400000000000006</v>
      </c>
      <c r="Q8" s="420">
        <f t="shared" si="1"/>
        <v>0</v>
      </c>
      <c r="R8" s="420">
        <f t="shared" si="1"/>
        <v>0</v>
      </c>
      <c r="S8" s="420">
        <f t="shared" si="1"/>
        <v>498.69</v>
      </c>
      <c r="T8" s="420">
        <f t="shared" si="1"/>
        <v>0</v>
      </c>
      <c r="U8" s="420">
        <f t="shared" si="1"/>
        <v>0</v>
      </c>
      <c r="V8" s="420">
        <f t="shared" si="1"/>
        <v>14.61</v>
      </c>
      <c r="W8" s="420">
        <f t="shared" si="1"/>
        <v>0</v>
      </c>
      <c r="X8" s="420">
        <f t="shared" si="1"/>
        <v>0</v>
      </c>
      <c r="Y8" s="420">
        <f t="shared" si="1"/>
        <v>0</v>
      </c>
      <c r="Z8" s="420">
        <f t="shared" si="1"/>
        <v>0</v>
      </c>
      <c r="AA8" s="420">
        <f t="shared" si="1"/>
        <v>0</v>
      </c>
      <c r="AB8" s="420">
        <f t="shared" si="1"/>
        <v>0.15</v>
      </c>
      <c r="AC8" s="420">
        <f t="shared" si="1"/>
        <v>0</v>
      </c>
      <c r="AD8" s="420">
        <f t="shared" si="1"/>
        <v>0</v>
      </c>
      <c r="AE8" s="420">
        <f t="shared" si="1"/>
        <v>8.94</v>
      </c>
      <c r="AF8" s="420">
        <f t="shared" si="1"/>
        <v>0</v>
      </c>
      <c r="AG8" s="420">
        <f t="shared" si="1"/>
        <v>0</v>
      </c>
      <c r="AH8" s="420">
        <f t="shared" si="1"/>
        <v>0</v>
      </c>
      <c r="AI8" s="420">
        <f t="shared" si="1"/>
        <v>0</v>
      </c>
      <c r="AJ8" s="420">
        <f t="shared" si="1"/>
        <v>0</v>
      </c>
      <c r="AK8" s="420">
        <f t="shared" si="1"/>
        <v>0</v>
      </c>
      <c r="AL8" s="420">
        <f t="shared" si="1"/>
        <v>8.94</v>
      </c>
      <c r="AM8" s="420">
        <f t="shared" si="1"/>
        <v>0</v>
      </c>
      <c r="AN8" s="420">
        <f t="shared" si="1"/>
        <v>0</v>
      </c>
      <c r="AO8" s="420">
        <f t="shared" si="1"/>
        <v>0</v>
      </c>
      <c r="AP8" s="420">
        <f t="shared" si="1"/>
        <v>0</v>
      </c>
      <c r="AQ8" s="420">
        <f t="shared" si="1"/>
        <v>0</v>
      </c>
      <c r="AR8" s="420">
        <f t="shared" si="1"/>
        <v>0</v>
      </c>
      <c r="AS8" s="420">
        <f t="shared" si="1"/>
        <v>3.3</v>
      </c>
      <c r="AT8" s="420">
        <f t="shared" si="1"/>
        <v>2.2200000000000002</v>
      </c>
      <c r="AU8" s="420">
        <f t="shared" si="1"/>
        <v>0</v>
      </c>
      <c r="AV8" s="420">
        <f t="shared" si="1"/>
        <v>0</v>
      </c>
      <c r="AW8" s="420">
        <f t="shared" si="1"/>
        <v>0</v>
      </c>
      <c r="AX8" s="420">
        <f t="shared" si="1"/>
        <v>0</v>
      </c>
      <c r="AY8" s="420">
        <f t="shared" si="1"/>
        <v>0</v>
      </c>
      <c r="AZ8" s="420">
        <f t="shared" si="1"/>
        <v>0</v>
      </c>
      <c r="BA8" s="420">
        <f t="shared" si="1"/>
        <v>0</v>
      </c>
      <c r="BB8" s="420">
        <f t="shared" si="1"/>
        <v>0</v>
      </c>
      <c r="BC8" s="420">
        <f t="shared" si="1"/>
        <v>0</v>
      </c>
      <c r="BD8" s="420">
        <f t="shared" si="1"/>
        <v>0</v>
      </c>
      <c r="BE8" s="420">
        <f t="shared" si="1"/>
        <v>0</v>
      </c>
      <c r="BF8" s="420">
        <f t="shared" si="1"/>
        <v>0</v>
      </c>
      <c r="BG8" s="420">
        <f t="shared" si="1"/>
        <v>0</v>
      </c>
      <c r="BH8" s="420">
        <f>BH9+BH18+BH22+BH23+BH24</f>
        <v>0</v>
      </c>
      <c r="BI8" s="420">
        <f>BI9+BI18+BI22+BI23+BI24</f>
        <v>0</v>
      </c>
      <c r="BJ8" s="420">
        <f>BJ9+BJ18+BJ22+BJ23+BJ24</f>
        <v>0</v>
      </c>
      <c r="BK8" s="420">
        <f>BK9+BK18+BK22+BK23+BK24</f>
        <v>0</v>
      </c>
      <c r="BL8" s="420">
        <f>V8+BH8</f>
        <v>14.61</v>
      </c>
      <c r="BM8" s="420">
        <f>E67-BL8</f>
        <v>1.0599999999999987</v>
      </c>
      <c r="BN8" s="420">
        <f>D8+BM8</f>
        <v>1147.81</v>
      </c>
      <c r="BO8" s="512">
        <f>BN9+BN18+BN22+BN24</f>
        <v>1147.81</v>
      </c>
      <c r="BP8" s="513">
        <f>BO8-BN8</f>
        <v>0</v>
      </c>
    </row>
    <row r="9" spans="1:68" ht="21.75" hidden="1" customHeight="1">
      <c r="A9" s="14" t="s">
        <v>16</v>
      </c>
      <c r="B9" s="143" t="s">
        <v>471</v>
      </c>
      <c r="C9" s="30" t="s">
        <v>193</v>
      </c>
      <c r="D9" s="185">
        <f>D10+D17</f>
        <v>573.47</v>
      </c>
      <c r="E9" s="185">
        <f>F9+O9+S9+T9+U9</f>
        <v>577.68000000000006</v>
      </c>
      <c r="F9" s="185">
        <f>D9-BK9</f>
        <v>573.47</v>
      </c>
      <c r="G9" s="185">
        <f>H9+L9+M9</f>
        <v>418.84999999999997</v>
      </c>
      <c r="H9" s="185">
        <f>I9+J9+K9</f>
        <v>379.02</v>
      </c>
      <c r="I9" s="185">
        <f>I10+I17</f>
        <v>268.85999999999996</v>
      </c>
      <c r="J9" s="185">
        <f t="shared" ref="J9:BG9" si="2">J10+J17</f>
        <v>110.16000000000001</v>
      </c>
      <c r="K9" s="185">
        <f t="shared" si="2"/>
        <v>0</v>
      </c>
      <c r="L9" s="185">
        <f t="shared" si="2"/>
        <v>0</v>
      </c>
      <c r="M9" s="185">
        <f t="shared" si="2"/>
        <v>39.830000000000005</v>
      </c>
      <c r="N9" s="185">
        <f t="shared" si="2"/>
        <v>140.19999999999999</v>
      </c>
      <c r="O9" s="185">
        <f t="shared" ref="O9:O17" si="3">P9+Q9+R9</f>
        <v>0</v>
      </c>
      <c r="P9" s="185">
        <f t="shared" si="2"/>
        <v>0</v>
      </c>
      <c r="Q9" s="185">
        <f t="shared" si="2"/>
        <v>0</v>
      </c>
      <c r="R9" s="185">
        <f t="shared" si="2"/>
        <v>0</v>
      </c>
      <c r="S9" s="185">
        <f t="shared" si="2"/>
        <v>4.21</v>
      </c>
      <c r="T9" s="185">
        <f t="shared" si="2"/>
        <v>0</v>
      </c>
      <c r="U9" s="185">
        <f t="shared" si="2"/>
        <v>0</v>
      </c>
      <c r="V9" s="185">
        <f t="shared" si="2"/>
        <v>10.209999999999999</v>
      </c>
      <c r="W9" s="185">
        <f t="shared" si="2"/>
        <v>0</v>
      </c>
      <c r="X9" s="185">
        <f t="shared" si="2"/>
        <v>0</v>
      </c>
      <c r="Y9" s="185">
        <f t="shared" si="2"/>
        <v>0</v>
      </c>
      <c r="Z9" s="185">
        <f t="shared" si="2"/>
        <v>0</v>
      </c>
      <c r="AA9" s="185">
        <f t="shared" si="2"/>
        <v>0</v>
      </c>
      <c r="AB9" s="185">
        <f t="shared" si="2"/>
        <v>0.15</v>
      </c>
      <c r="AC9" s="185">
        <f t="shared" si="2"/>
        <v>0</v>
      </c>
      <c r="AD9" s="185">
        <f t="shared" si="2"/>
        <v>0</v>
      </c>
      <c r="AE9" s="185">
        <f t="shared" si="2"/>
        <v>6.1499999999999995</v>
      </c>
      <c r="AF9" s="185">
        <f t="shared" si="2"/>
        <v>0</v>
      </c>
      <c r="AG9" s="185">
        <f t="shared" si="2"/>
        <v>0</v>
      </c>
      <c r="AH9" s="185">
        <f t="shared" si="2"/>
        <v>0</v>
      </c>
      <c r="AI9" s="185">
        <f t="shared" si="2"/>
        <v>0</v>
      </c>
      <c r="AJ9" s="185">
        <f t="shared" si="2"/>
        <v>0</v>
      </c>
      <c r="AK9" s="185">
        <f t="shared" si="2"/>
        <v>0</v>
      </c>
      <c r="AL9" s="185">
        <f t="shared" si="2"/>
        <v>6.1499999999999995</v>
      </c>
      <c r="AM9" s="185">
        <f t="shared" si="2"/>
        <v>0</v>
      </c>
      <c r="AN9" s="185">
        <f t="shared" si="2"/>
        <v>0</v>
      </c>
      <c r="AO9" s="185">
        <f t="shared" si="2"/>
        <v>0</v>
      </c>
      <c r="AP9" s="185">
        <f t="shared" si="2"/>
        <v>0</v>
      </c>
      <c r="AQ9" s="185">
        <f t="shared" si="2"/>
        <v>0</v>
      </c>
      <c r="AR9" s="185">
        <f t="shared" si="2"/>
        <v>0</v>
      </c>
      <c r="AS9" s="185">
        <f t="shared" si="2"/>
        <v>1.81</v>
      </c>
      <c r="AT9" s="185">
        <f t="shared" si="2"/>
        <v>2.1</v>
      </c>
      <c r="AU9" s="185">
        <f t="shared" si="2"/>
        <v>0</v>
      </c>
      <c r="AV9" s="185">
        <f t="shared" si="2"/>
        <v>0</v>
      </c>
      <c r="AW9" s="185">
        <f t="shared" si="2"/>
        <v>0</v>
      </c>
      <c r="AX9" s="185">
        <f t="shared" si="2"/>
        <v>0</v>
      </c>
      <c r="AY9" s="185">
        <f t="shared" si="2"/>
        <v>0</v>
      </c>
      <c r="AZ9" s="185">
        <f t="shared" si="2"/>
        <v>0</v>
      </c>
      <c r="BA9" s="185">
        <f t="shared" si="2"/>
        <v>0</v>
      </c>
      <c r="BB9" s="185">
        <f t="shared" si="2"/>
        <v>0</v>
      </c>
      <c r="BC9" s="185">
        <f t="shared" si="2"/>
        <v>0</v>
      </c>
      <c r="BD9" s="185">
        <f t="shared" si="2"/>
        <v>0</v>
      </c>
      <c r="BE9" s="185">
        <f t="shared" si="2"/>
        <v>0</v>
      </c>
      <c r="BF9" s="185">
        <f t="shared" si="2"/>
        <v>0</v>
      </c>
      <c r="BG9" s="185">
        <f t="shared" si="2"/>
        <v>0</v>
      </c>
      <c r="BH9" s="185">
        <f>BH10+BH17</f>
        <v>0</v>
      </c>
      <c r="BI9" s="185">
        <f>BI10+BI17</f>
        <v>0</v>
      </c>
      <c r="BJ9" s="185">
        <f>BJ10+BJ17</f>
        <v>0</v>
      </c>
      <c r="BK9" s="185">
        <f>BK10+BK17</f>
        <v>0</v>
      </c>
      <c r="BL9" s="185">
        <f>O9+S9+T9+U9+V9+BH9</f>
        <v>14.419999999999998</v>
      </c>
      <c r="BM9" s="185">
        <f>BM10+BM17</f>
        <v>-14.42</v>
      </c>
      <c r="BN9" s="185">
        <f>D9+BM9</f>
        <v>559.05000000000007</v>
      </c>
      <c r="BO9" s="177">
        <f>BN10+BN17</f>
        <v>559.04999999999995</v>
      </c>
      <c r="BP9" s="117"/>
    </row>
    <row r="10" spans="1:68" ht="19.5" hidden="1" customHeight="1">
      <c r="A10" s="14" t="s">
        <v>212</v>
      </c>
      <c r="B10" s="143" t="s">
        <v>472</v>
      </c>
      <c r="C10" s="30" t="s">
        <v>194</v>
      </c>
      <c r="D10" s="185">
        <f>D11+D15+D16</f>
        <v>432</v>
      </c>
      <c r="E10" s="185">
        <f t="shared" ref="E10:E66" si="4">F10+O10+S10+T10+U10</f>
        <v>423.05</v>
      </c>
      <c r="F10" s="185">
        <f>G10+N10</f>
        <v>418.85</v>
      </c>
      <c r="G10" s="185">
        <f>D10-BL10</f>
        <v>418.85</v>
      </c>
      <c r="H10" s="185">
        <f>I10+J10+K10</f>
        <v>379.02</v>
      </c>
      <c r="I10" s="185">
        <f>I11+I15+I16</f>
        <v>268.85999999999996</v>
      </c>
      <c r="J10" s="185">
        <f t="shared" ref="J10:BG10" si="5">J11+J15+J16</f>
        <v>110.16000000000001</v>
      </c>
      <c r="K10" s="185">
        <f t="shared" si="5"/>
        <v>0</v>
      </c>
      <c r="L10" s="185">
        <f t="shared" si="5"/>
        <v>0</v>
      </c>
      <c r="M10" s="185">
        <f t="shared" si="5"/>
        <v>39.830000000000005</v>
      </c>
      <c r="N10" s="185">
        <f t="shared" si="5"/>
        <v>0</v>
      </c>
      <c r="O10" s="185">
        <f t="shared" si="3"/>
        <v>0</v>
      </c>
      <c r="P10" s="185">
        <f t="shared" si="5"/>
        <v>0</v>
      </c>
      <c r="Q10" s="185">
        <f t="shared" si="5"/>
        <v>0</v>
      </c>
      <c r="R10" s="185">
        <f t="shared" si="5"/>
        <v>0</v>
      </c>
      <c r="S10" s="185">
        <f t="shared" si="5"/>
        <v>4.2</v>
      </c>
      <c r="T10" s="185">
        <f t="shared" si="5"/>
        <v>0</v>
      </c>
      <c r="U10" s="185">
        <f t="shared" si="5"/>
        <v>0</v>
      </c>
      <c r="V10" s="185">
        <f t="shared" si="5"/>
        <v>8.9499999999999993</v>
      </c>
      <c r="W10" s="185">
        <f t="shared" si="5"/>
        <v>0</v>
      </c>
      <c r="X10" s="185">
        <f t="shared" si="5"/>
        <v>0</v>
      </c>
      <c r="Y10" s="185">
        <f t="shared" si="5"/>
        <v>0</v>
      </c>
      <c r="Z10" s="185">
        <f t="shared" si="5"/>
        <v>0</v>
      </c>
      <c r="AA10" s="185">
        <f t="shared" si="5"/>
        <v>0</v>
      </c>
      <c r="AB10" s="185">
        <f t="shared" si="5"/>
        <v>0.15</v>
      </c>
      <c r="AC10" s="185">
        <f t="shared" si="5"/>
        <v>0</v>
      </c>
      <c r="AD10" s="185">
        <f t="shared" si="5"/>
        <v>0</v>
      </c>
      <c r="AE10" s="185">
        <f t="shared" si="5"/>
        <v>5.7299999999999995</v>
      </c>
      <c r="AF10" s="185">
        <f t="shared" si="5"/>
        <v>0</v>
      </c>
      <c r="AG10" s="185">
        <f t="shared" si="5"/>
        <v>0</v>
      </c>
      <c r="AH10" s="185">
        <f t="shared" si="5"/>
        <v>0</v>
      </c>
      <c r="AI10" s="185">
        <f t="shared" si="5"/>
        <v>0</v>
      </c>
      <c r="AJ10" s="185">
        <f t="shared" si="5"/>
        <v>0</v>
      </c>
      <c r="AK10" s="185">
        <f t="shared" si="5"/>
        <v>0</v>
      </c>
      <c r="AL10" s="185">
        <f t="shared" si="5"/>
        <v>5.7299999999999995</v>
      </c>
      <c r="AM10" s="185">
        <f t="shared" si="5"/>
        <v>0</v>
      </c>
      <c r="AN10" s="185">
        <f t="shared" si="5"/>
        <v>0</v>
      </c>
      <c r="AO10" s="185">
        <f t="shared" si="5"/>
        <v>0</v>
      </c>
      <c r="AP10" s="185">
        <f t="shared" si="5"/>
        <v>0</v>
      </c>
      <c r="AQ10" s="185">
        <f t="shared" si="5"/>
        <v>0</v>
      </c>
      <c r="AR10" s="185">
        <f t="shared" si="5"/>
        <v>0</v>
      </c>
      <c r="AS10" s="185">
        <f t="shared" si="5"/>
        <v>1.27</v>
      </c>
      <c r="AT10" s="185">
        <f t="shared" si="5"/>
        <v>1.8</v>
      </c>
      <c r="AU10" s="185">
        <f t="shared" si="5"/>
        <v>0</v>
      </c>
      <c r="AV10" s="185">
        <f t="shared" si="5"/>
        <v>0</v>
      </c>
      <c r="AW10" s="185">
        <f t="shared" si="5"/>
        <v>0</v>
      </c>
      <c r="AX10" s="185">
        <f t="shared" si="5"/>
        <v>0</v>
      </c>
      <c r="AY10" s="185">
        <f t="shared" si="5"/>
        <v>0</v>
      </c>
      <c r="AZ10" s="185">
        <f t="shared" si="5"/>
        <v>0</v>
      </c>
      <c r="BA10" s="185">
        <f t="shared" si="5"/>
        <v>0</v>
      </c>
      <c r="BB10" s="185">
        <f t="shared" si="5"/>
        <v>0</v>
      </c>
      <c r="BC10" s="185">
        <f t="shared" si="5"/>
        <v>0</v>
      </c>
      <c r="BD10" s="185">
        <f t="shared" si="5"/>
        <v>0</v>
      </c>
      <c r="BE10" s="185">
        <f t="shared" si="5"/>
        <v>0</v>
      </c>
      <c r="BF10" s="185">
        <f t="shared" si="5"/>
        <v>0</v>
      </c>
      <c r="BG10" s="185">
        <f t="shared" si="5"/>
        <v>0</v>
      </c>
      <c r="BH10" s="185">
        <f>BH11+BH15+BH16</f>
        <v>0</v>
      </c>
      <c r="BI10" s="185">
        <f>BI11+BI15+BI16</f>
        <v>0</v>
      </c>
      <c r="BJ10" s="185">
        <f>BJ11+BJ15+BJ16</f>
        <v>0</v>
      </c>
      <c r="BK10" s="185">
        <f>BK11+BK15+BK16</f>
        <v>0</v>
      </c>
      <c r="BL10" s="185">
        <f>N10+O10+S10+T10+U10+V10+BH10</f>
        <v>13.149999999999999</v>
      </c>
      <c r="BM10" s="185">
        <f>BM11+BM15+BM16</f>
        <v>-13.15</v>
      </c>
      <c r="BN10" s="185">
        <f>BN11+BN15+BN16</f>
        <v>418.84999999999997</v>
      </c>
      <c r="BP10" s="117"/>
    </row>
    <row r="11" spans="1:68" ht="20.100000000000001" customHeight="1">
      <c r="A11" s="14" t="s">
        <v>213</v>
      </c>
      <c r="B11" s="143" t="s">
        <v>17</v>
      </c>
      <c r="C11" s="30" t="s">
        <v>18</v>
      </c>
      <c r="D11" s="185">
        <f>D12+D13+D14</f>
        <v>391.48</v>
      </c>
      <c r="E11" s="185">
        <f t="shared" si="4"/>
        <v>383.22</v>
      </c>
      <c r="F11" s="185">
        <f t="shared" ref="F11:F24" si="6">G11+N11</f>
        <v>379.02000000000004</v>
      </c>
      <c r="G11" s="185">
        <f>H11+L11+M11</f>
        <v>379.02000000000004</v>
      </c>
      <c r="H11" s="185">
        <f>D11-BL11</f>
        <v>379.02000000000004</v>
      </c>
      <c r="I11" s="185">
        <f>I12+I13+I14</f>
        <v>268.85999999999996</v>
      </c>
      <c r="J11" s="185">
        <f t="shared" ref="J11:BG11" si="7">J12+J13+J14</f>
        <v>110.16000000000001</v>
      </c>
      <c r="K11" s="185">
        <f t="shared" si="7"/>
        <v>0</v>
      </c>
      <c r="L11" s="185">
        <f t="shared" si="7"/>
        <v>0</v>
      </c>
      <c r="M11" s="185">
        <f t="shared" si="7"/>
        <v>0</v>
      </c>
      <c r="N11" s="185">
        <f t="shared" si="7"/>
        <v>0</v>
      </c>
      <c r="O11" s="185">
        <f t="shared" si="3"/>
        <v>0</v>
      </c>
      <c r="P11" s="185">
        <f t="shared" si="7"/>
        <v>0</v>
      </c>
      <c r="Q11" s="185">
        <f t="shared" si="7"/>
        <v>0</v>
      </c>
      <c r="R11" s="185">
        <f t="shared" si="7"/>
        <v>0</v>
      </c>
      <c r="S11" s="185">
        <f t="shared" si="7"/>
        <v>4.2</v>
      </c>
      <c r="T11" s="185">
        <f t="shared" si="7"/>
        <v>0</v>
      </c>
      <c r="U11" s="185">
        <f t="shared" si="7"/>
        <v>0</v>
      </c>
      <c r="V11" s="185">
        <f t="shared" si="7"/>
        <v>8.26</v>
      </c>
      <c r="W11" s="185">
        <f t="shared" si="7"/>
        <v>0</v>
      </c>
      <c r="X11" s="185">
        <f t="shared" si="7"/>
        <v>0</v>
      </c>
      <c r="Y11" s="185">
        <f t="shared" si="7"/>
        <v>0</v>
      </c>
      <c r="Z11" s="185">
        <f t="shared" si="7"/>
        <v>0</v>
      </c>
      <c r="AA11" s="185">
        <f t="shared" si="7"/>
        <v>0</v>
      </c>
      <c r="AB11" s="185">
        <f t="shared" si="7"/>
        <v>0</v>
      </c>
      <c r="AC11" s="185">
        <f t="shared" si="7"/>
        <v>0</v>
      </c>
      <c r="AD11" s="185">
        <f t="shared" si="7"/>
        <v>0</v>
      </c>
      <c r="AE11" s="185">
        <f t="shared" si="7"/>
        <v>5.72</v>
      </c>
      <c r="AF11" s="185">
        <f t="shared" si="7"/>
        <v>0</v>
      </c>
      <c r="AG11" s="185">
        <f t="shared" si="7"/>
        <v>0</v>
      </c>
      <c r="AH11" s="185">
        <f t="shared" si="7"/>
        <v>0</v>
      </c>
      <c r="AI11" s="185">
        <f t="shared" si="7"/>
        <v>0</v>
      </c>
      <c r="AJ11" s="185">
        <f t="shared" si="7"/>
        <v>0</v>
      </c>
      <c r="AK11" s="185">
        <f t="shared" si="7"/>
        <v>0</v>
      </c>
      <c r="AL11" s="185">
        <f t="shared" si="7"/>
        <v>5.72</v>
      </c>
      <c r="AM11" s="185">
        <f t="shared" si="7"/>
        <v>0</v>
      </c>
      <c r="AN11" s="185">
        <f t="shared" si="7"/>
        <v>0</v>
      </c>
      <c r="AO11" s="185">
        <f t="shared" si="7"/>
        <v>0</v>
      </c>
      <c r="AP11" s="185">
        <f t="shared" si="7"/>
        <v>0</v>
      </c>
      <c r="AQ11" s="185">
        <f t="shared" si="7"/>
        <v>0</v>
      </c>
      <c r="AR11" s="185">
        <f t="shared" si="7"/>
        <v>0</v>
      </c>
      <c r="AS11" s="185">
        <f t="shared" si="7"/>
        <v>0.74</v>
      </c>
      <c r="AT11" s="185">
        <f t="shared" si="7"/>
        <v>1.8</v>
      </c>
      <c r="AU11" s="185">
        <f t="shared" si="7"/>
        <v>0</v>
      </c>
      <c r="AV11" s="185">
        <f t="shared" si="7"/>
        <v>0</v>
      </c>
      <c r="AW11" s="185">
        <f t="shared" si="7"/>
        <v>0</v>
      </c>
      <c r="AX11" s="185">
        <f t="shared" si="7"/>
        <v>0</v>
      </c>
      <c r="AY11" s="185">
        <f t="shared" si="7"/>
        <v>0</v>
      </c>
      <c r="AZ11" s="185">
        <f t="shared" si="7"/>
        <v>0</v>
      </c>
      <c r="BA11" s="185">
        <f t="shared" si="7"/>
        <v>0</v>
      </c>
      <c r="BB11" s="185">
        <f t="shared" si="7"/>
        <v>0</v>
      </c>
      <c r="BC11" s="185">
        <f t="shared" si="7"/>
        <v>0</v>
      </c>
      <c r="BD11" s="185">
        <f t="shared" si="7"/>
        <v>0</v>
      </c>
      <c r="BE11" s="185">
        <f t="shared" si="7"/>
        <v>0</v>
      </c>
      <c r="BF11" s="185">
        <f t="shared" si="7"/>
        <v>0</v>
      </c>
      <c r="BG11" s="185">
        <f t="shared" si="7"/>
        <v>0</v>
      </c>
      <c r="BH11" s="185">
        <f>BH12+BH13+BH14</f>
        <v>0</v>
      </c>
      <c r="BI11" s="185">
        <f>BI12+BI13+BI14</f>
        <v>0</v>
      </c>
      <c r="BJ11" s="185">
        <f>BJ12+BJ13+BJ14</f>
        <v>0</v>
      </c>
      <c r="BK11" s="185">
        <f>BK12+BK13+BK14</f>
        <v>0</v>
      </c>
      <c r="BL11" s="185">
        <f>L11+M11+N11+S11+T11+U11+V11+BH11</f>
        <v>12.46</v>
      </c>
      <c r="BM11" s="185">
        <f>H67-BL11</f>
        <v>-12.46</v>
      </c>
      <c r="BN11" s="185">
        <f>BN12+BN13+BN14</f>
        <v>379.02</v>
      </c>
      <c r="BP11" s="117"/>
    </row>
    <row r="12" spans="1:68" ht="20.100000000000001" customHeight="1">
      <c r="A12" s="14" t="s">
        <v>214</v>
      </c>
      <c r="B12" s="143" t="s">
        <v>473</v>
      </c>
      <c r="C12" s="30" t="s">
        <v>20</v>
      </c>
      <c r="D12" s="185">
        <f>#REF!</f>
        <v>275.83</v>
      </c>
      <c r="E12" s="185">
        <f t="shared" si="4"/>
        <v>268.85999999999996</v>
      </c>
      <c r="F12" s="185">
        <f t="shared" si="6"/>
        <v>268.85999999999996</v>
      </c>
      <c r="G12" s="185">
        <f t="shared" ref="G12:G66" si="8">H12+L12+M12</f>
        <v>268.85999999999996</v>
      </c>
      <c r="H12" s="185">
        <f>I12+J12+K12</f>
        <v>268.85999999999996</v>
      </c>
      <c r="I12" s="185">
        <f>D12-BL12</f>
        <v>268.85999999999996</v>
      </c>
      <c r="J12" s="185"/>
      <c r="K12" s="185"/>
      <c r="L12" s="185"/>
      <c r="M12" s="185"/>
      <c r="N12" s="185"/>
      <c r="O12" s="185">
        <f t="shared" si="3"/>
        <v>0</v>
      </c>
      <c r="P12" s="185"/>
      <c r="Q12" s="185"/>
      <c r="R12" s="185"/>
      <c r="S12" s="185"/>
      <c r="T12" s="185"/>
      <c r="U12" s="185"/>
      <c r="V12" s="185">
        <f>W12+X12+Y12+Z12+AA12+AB12+AC12+AD12+AE12+AQ12+AR12+AS12+AT12+AU12+AV12+AW12+AX12+AY12+AZ12+BA12+BB12+BC12+BD12+BE12+BF12+BG12</f>
        <v>6.97</v>
      </c>
      <c r="W12" s="185"/>
      <c r="X12" s="185"/>
      <c r="Y12" s="185"/>
      <c r="Z12" s="185"/>
      <c r="AA12" s="185"/>
      <c r="AB12" s="185"/>
      <c r="AC12" s="185"/>
      <c r="AD12" s="185"/>
      <c r="AE12" s="185">
        <f t="shared" ref="AE12:AE33" si="9">SUM(AF12:AP12)</f>
        <v>5.17</v>
      </c>
      <c r="AF12" s="185"/>
      <c r="AG12" s="185"/>
      <c r="AH12" s="185"/>
      <c r="AI12" s="185"/>
      <c r="AJ12" s="185"/>
      <c r="AK12" s="185"/>
      <c r="AL12" s="185">
        <v>5.17</v>
      </c>
      <c r="AM12" s="185"/>
      <c r="AN12" s="185"/>
      <c r="AO12" s="185"/>
      <c r="AP12" s="185"/>
      <c r="AQ12" s="185"/>
      <c r="AR12" s="185"/>
      <c r="AS12" s="185"/>
      <c r="AT12" s="185">
        <v>1.8</v>
      </c>
      <c r="AU12" s="185"/>
      <c r="AV12" s="185"/>
      <c r="AW12" s="185"/>
      <c r="AX12" s="185"/>
      <c r="AY12" s="185"/>
      <c r="AZ12" s="185"/>
      <c r="BA12" s="185"/>
      <c r="BB12" s="185"/>
      <c r="BC12" s="185"/>
      <c r="BD12" s="185"/>
      <c r="BE12" s="185"/>
      <c r="BF12" s="185"/>
      <c r="BG12" s="185"/>
      <c r="BH12" s="185">
        <f t="shared" ref="BH12:BH17" si="10">BI12+BJ12+BK12</f>
        <v>0</v>
      </c>
      <c r="BI12" s="185"/>
      <c r="BJ12" s="185"/>
      <c r="BK12" s="185"/>
      <c r="BL12" s="185">
        <f>J12+K12+L12+M12+N12+O12+S12+T12+U12+V12+BH12</f>
        <v>6.97</v>
      </c>
      <c r="BM12" s="185">
        <f>I67-BL12</f>
        <v>-6.97</v>
      </c>
      <c r="BN12" s="185">
        <f t="shared" ref="BN12:BN17" si="11">D12+BM12</f>
        <v>268.85999999999996</v>
      </c>
      <c r="BP12" s="117"/>
    </row>
    <row r="13" spans="1:68" ht="17.25" customHeight="1">
      <c r="A13" s="14" t="s">
        <v>215</v>
      </c>
      <c r="B13" s="143" t="s">
        <v>474</v>
      </c>
      <c r="C13" s="30" t="s">
        <v>195</v>
      </c>
      <c r="D13" s="185">
        <f>#REF!</f>
        <v>115.65</v>
      </c>
      <c r="E13" s="185">
        <f t="shared" si="4"/>
        <v>114.36000000000001</v>
      </c>
      <c r="F13" s="185">
        <f t="shared" si="6"/>
        <v>110.16000000000001</v>
      </c>
      <c r="G13" s="185">
        <f t="shared" si="8"/>
        <v>110.16000000000001</v>
      </c>
      <c r="H13" s="185">
        <f t="shared" ref="H13:H66" si="12">I13+J13+K13</f>
        <v>110.16000000000001</v>
      </c>
      <c r="I13" s="185"/>
      <c r="J13" s="185">
        <f>D13-BL13</f>
        <v>110.16000000000001</v>
      </c>
      <c r="K13" s="185"/>
      <c r="L13" s="185"/>
      <c r="M13" s="185"/>
      <c r="N13" s="185"/>
      <c r="O13" s="185">
        <f t="shared" si="3"/>
        <v>0</v>
      </c>
      <c r="P13" s="185"/>
      <c r="Q13" s="185"/>
      <c r="R13" s="185"/>
      <c r="S13" s="185">
        <v>4.2</v>
      </c>
      <c r="T13" s="185"/>
      <c r="U13" s="185"/>
      <c r="V13" s="185">
        <f t="shared" ref="V13:V66" si="13">W13+X13+Y13+Z13+AA13+AB13+AC13+AD13+AE13+AQ13+AR13+AS13+AT13+AU13+AV13+AW13+AX13+AY13+AZ13+BA13+BB13+BC13+BD13+BE13+BF13+BG13</f>
        <v>1.29</v>
      </c>
      <c r="W13" s="185"/>
      <c r="X13" s="185"/>
      <c r="Y13" s="185"/>
      <c r="Z13" s="185"/>
      <c r="AA13" s="185"/>
      <c r="AB13" s="185"/>
      <c r="AC13" s="185"/>
      <c r="AD13" s="185"/>
      <c r="AE13" s="185">
        <f t="shared" si="9"/>
        <v>0.55000000000000004</v>
      </c>
      <c r="AF13" s="185"/>
      <c r="AG13" s="185"/>
      <c r="AH13" s="185"/>
      <c r="AI13" s="185"/>
      <c r="AJ13" s="185"/>
      <c r="AK13" s="185"/>
      <c r="AL13" s="185">
        <v>0.55000000000000004</v>
      </c>
      <c r="AM13" s="185"/>
      <c r="AN13" s="185"/>
      <c r="AO13" s="185"/>
      <c r="AP13" s="185"/>
      <c r="AQ13" s="185"/>
      <c r="AR13" s="185"/>
      <c r="AS13" s="185">
        <v>0.74</v>
      </c>
      <c r="AT13" s="185"/>
      <c r="AU13" s="185"/>
      <c r="AV13" s="185"/>
      <c r="AW13" s="185"/>
      <c r="AX13" s="185"/>
      <c r="AY13" s="185"/>
      <c r="AZ13" s="185"/>
      <c r="BA13" s="185"/>
      <c r="BB13" s="185"/>
      <c r="BC13" s="185"/>
      <c r="BD13" s="185"/>
      <c r="BE13" s="185"/>
      <c r="BF13" s="185"/>
      <c r="BG13" s="185"/>
      <c r="BH13" s="185">
        <f t="shared" si="10"/>
        <v>0</v>
      </c>
      <c r="BI13" s="185"/>
      <c r="BJ13" s="185"/>
      <c r="BK13" s="185"/>
      <c r="BL13" s="185">
        <f>I13+K13+L13+M13+N13+O13+S13+T13+U13+V13+BH13</f>
        <v>5.49</v>
      </c>
      <c r="BM13" s="185">
        <f>J67-BL13</f>
        <v>-5.49</v>
      </c>
      <c r="BN13" s="185">
        <f t="shared" si="11"/>
        <v>110.16000000000001</v>
      </c>
      <c r="BP13" s="117"/>
    </row>
    <row r="14" spans="1:68" ht="19.5" hidden="1" customHeight="1">
      <c r="A14" s="14" t="s">
        <v>216</v>
      </c>
      <c r="B14" s="143" t="s">
        <v>475</v>
      </c>
      <c r="C14" s="30" t="s">
        <v>196</v>
      </c>
      <c r="D14" s="185"/>
      <c r="E14" s="185">
        <f t="shared" si="4"/>
        <v>0</v>
      </c>
      <c r="F14" s="185">
        <f t="shared" si="6"/>
        <v>0</v>
      </c>
      <c r="G14" s="185">
        <f t="shared" si="8"/>
        <v>0</v>
      </c>
      <c r="H14" s="185">
        <f t="shared" si="12"/>
        <v>0</v>
      </c>
      <c r="I14" s="185"/>
      <c r="J14" s="185"/>
      <c r="K14" s="185">
        <f>D14-BL14</f>
        <v>0</v>
      </c>
      <c r="L14" s="185"/>
      <c r="M14" s="185"/>
      <c r="N14" s="185"/>
      <c r="O14" s="185">
        <f t="shared" si="3"/>
        <v>0</v>
      </c>
      <c r="P14" s="185"/>
      <c r="Q14" s="185"/>
      <c r="R14" s="185"/>
      <c r="S14" s="185"/>
      <c r="T14" s="185"/>
      <c r="U14" s="185"/>
      <c r="V14" s="185">
        <f t="shared" si="13"/>
        <v>0</v>
      </c>
      <c r="W14" s="185"/>
      <c r="X14" s="185"/>
      <c r="Y14" s="185"/>
      <c r="Z14" s="185"/>
      <c r="AA14" s="185"/>
      <c r="AB14" s="185"/>
      <c r="AC14" s="185"/>
      <c r="AD14" s="185"/>
      <c r="AE14" s="185">
        <f t="shared" si="9"/>
        <v>0</v>
      </c>
      <c r="AF14" s="185"/>
      <c r="AG14" s="185"/>
      <c r="AH14" s="185"/>
      <c r="AI14" s="185"/>
      <c r="AJ14" s="185"/>
      <c r="AK14" s="185"/>
      <c r="AL14" s="185"/>
      <c r="AM14" s="185"/>
      <c r="AN14" s="185"/>
      <c r="AO14" s="185"/>
      <c r="AP14" s="185"/>
      <c r="AQ14" s="185"/>
      <c r="AR14" s="185"/>
      <c r="AS14" s="185"/>
      <c r="AT14" s="185"/>
      <c r="AU14" s="185"/>
      <c r="AV14" s="185"/>
      <c r="AW14" s="185"/>
      <c r="AX14" s="185"/>
      <c r="AY14" s="185"/>
      <c r="AZ14" s="185"/>
      <c r="BA14" s="185"/>
      <c r="BB14" s="185"/>
      <c r="BC14" s="185"/>
      <c r="BD14" s="185"/>
      <c r="BE14" s="185"/>
      <c r="BF14" s="185"/>
      <c r="BG14" s="185"/>
      <c r="BH14" s="185">
        <f t="shared" si="10"/>
        <v>0</v>
      </c>
      <c r="BI14" s="185"/>
      <c r="BJ14" s="185"/>
      <c r="BK14" s="185"/>
      <c r="BL14" s="185">
        <f>I14+J14+L14+M14+N14+O14+S14+T14+U14+V14+BH14</f>
        <v>0</v>
      </c>
      <c r="BM14" s="185">
        <f>K67-BL14</f>
        <v>0</v>
      </c>
      <c r="BN14" s="185">
        <f t="shared" si="11"/>
        <v>0</v>
      </c>
      <c r="BP14" s="117"/>
    </row>
    <row r="15" spans="1:68" ht="19.5" hidden="1" customHeight="1">
      <c r="A15" s="14" t="s">
        <v>217</v>
      </c>
      <c r="B15" s="143" t="s">
        <v>476</v>
      </c>
      <c r="C15" s="30" t="s">
        <v>197</v>
      </c>
      <c r="D15" s="185"/>
      <c r="E15" s="185">
        <f t="shared" si="4"/>
        <v>0</v>
      </c>
      <c r="F15" s="185">
        <f t="shared" si="6"/>
        <v>0</v>
      </c>
      <c r="G15" s="185">
        <f t="shared" si="8"/>
        <v>0</v>
      </c>
      <c r="H15" s="185">
        <f t="shared" si="12"/>
        <v>0</v>
      </c>
      <c r="I15" s="185"/>
      <c r="J15" s="185"/>
      <c r="K15" s="185"/>
      <c r="L15" s="185">
        <f>D15-BL15</f>
        <v>0</v>
      </c>
      <c r="M15" s="185"/>
      <c r="N15" s="185"/>
      <c r="O15" s="185">
        <f t="shared" si="3"/>
        <v>0</v>
      </c>
      <c r="P15" s="185"/>
      <c r="Q15" s="185"/>
      <c r="R15" s="185"/>
      <c r="S15" s="185"/>
      <c r="T15" s="185"/>
      <c r="U15" s="185"/>
      <c r="V15" s="185">
        <f t="shared" si="13"/>
        <v>0</v>
      </c>
      <c r="W15" s="185"/>
      <c r="X15" s="185"/>
      <c r="Y15" s="185"/>
      <c r="Z15" s="185"/>
      <c r="AA15" s="185"/>
      <c r="AB15" s="185"/>
      <c r="AC15" s="185"/>
      <c r="AD15" s="185"/>
      <c r="AE15" s="185">
        <f t="shared" si="9"/>
        <v>0</v>
      </c>
      <c r="AF15" s="185"/>
      <c r="AG15" s="185"/>
      <c r="AH15" s="185"/>
      <c r="AI15" s="185"/>
      <c r="AJ15" s="185"/>
      <c r="AK15" s="185"/>
      <c r="AL15" s="185"/>
      <c r="AM15" s="185"/>
      <c r="AN15" s="185"/>
      <c r="AO15" s="185"/>
      <c r="AP15" s="185"/>
      <c r="AQ15" s="185"/>
      <c r="AR15" s="185"/>
      <c r="AS15" s="185"/>
      <c r="AT15" s="185"/>
      <c r="AU15" s="185"/>
      <c r="AV15" s="185"/>
      <c r="AW15" s="185"/>
      <c r="AX15" s="185"/>
      <c r="AY15" s="185"/>
      <c r="AZ15" s="185"/>
      <c r="BA15" s="185"/>
      <c r="BB15" s="185"/>
      <c r="BC15" s="185"/>
      <c r="BD15" s="185"/>
      <c r="BE15" s="185"/>
      <c r="BF15" s="185"/>
      <c r="BG15" s="185"/>
      <c r="BH15" s="185">
        <f t="shared" si="10"/>
        <v>0</v>
      </c>
      <c r="BI15" s="185"/>
      <c r="BJ15" s="185"/>
      <c r="BK15" s="185"/>
      <c r="BL15" s="185">
        <f>H15+M15+N15+O15+S15+T15+U15+V15+BH15</f>
        <v>0</v>
      </c>
      <c r="BM15" s="185">
        <f>L67-BL15</f>
        <v>0</v>
      </c>
      <c r="BN15" s="185">
        <f t="shared" si="11"/>
        <v>0</v>
      </c>
      <c r="BP15" s="117"/>
    </row>
    <row r="16" spans="1:68" ht="20.100000000000001" customHeight="1">
      <c r="A16" s="14" t="s">
        <v>218</v>
      </c>
      <c r="B16" s="143" t="s">
        <v>22</v>
      </c>
      <c r="C16" s="30" t="s">
        <v>23</v>
      </c>
      <c r="D16" s="185">
        <f>#REF!</f>
        <v>40.520000000000003</v>
      </c>
      <c r="E16" s="185">
        <f t="shared" si="4"/>
        <v>39.830000000000005</v>
      </c>
      <c r="F16" s="185">
        <f t="shared" si="6"/>
        <v>39.830000000000005</v>
      </c>
      <c r="G16" s="185">
        <f t="shared" si="8"/>
        <v>39.830000000000005</v>
      </c>
      <c r="H16" s="185">
        <f t="shared" si="12"/>
        <v>0</v>
      </c>
      <c r="I16" s="185"/>
      <c r="J16" s="185"/>
      <c r="K16" s="185"/>
      <c r="L16" s="185"/>
      <c r="M16" s="185">
        <f>D16-BL16</f>
        <v>39.830000000000005</v>
      </c>
      <c r="N16" s="185"/>
      <c r="O16" s="185">
        <f t="shared" si="3"/>
        <v>0</v>
      </c>
      <c r="P16" s="185"/>
      <c r="Q16" s="185"/>
      <c r="R16" s="185"/>
      <c r="S16" s="185"/>
      <c r="T16" s="185"/>
      <c r="U16" s="185"/>
      <c r="V16" s="185">
        <f t="shared" si="13"/>
        <v>0.69000000000000006</v>
      </c>
      <c r="W16" s="185"/>
      <c r="X16" s="185"/>
      <c r="Y16" s="185"/>
      <c r="Z16" s="185"/>
      <c r="AA16" s="185"/>
      <c r="AB16" s="185">
        <v>0.15</v>
      </c>
      <c r="AC16" s="185"/>
      <c r="AD16" s="185"/>
      <c r="AE16" s="185">
        <f t="shared" si="9"/>
        <v>0.01</v>
      </c>
      <c r="AF16" s="185"/>
      <c r="AG16" s="185"/>
      <c r="AH16" s="185"/>
      <c r="AI16" s="185"/>
      <c r="AJ16" s="185"/>
      <c r="AK16" s="185"/>
      <c r="AL16" s="185">
        <v>0.01</v>
      </c>
      <c r="AM16" s="185"/>
      <c r="AN16" s="185"/>
      <c r="AO16" s="185"/>
      <c r="AP16" s="185"/>
      <c r="AQ16" s="185"/>
      <c r="AR16" s="185"/>
      <c r="AS16" s="185">
        <v>0.53</v>
      </c>
      <c r="AT16" s="185"/>
      <c r="AU16" s="185"/>
      <c r="AV16" s="185"/>
      <c r="AW16" s="185"/>
      <c r="AX16" s="185"/>
      <c r="AY16" s="185"/>
      <c r="AZ16" s="185"/>
      <c r="BA16" s="185"/>
      <c r="BB16" s="185"/>
      <c r="BC16" s="185"/>
      <c r="BD16" s="185"/>
      <c r="BE16" s="185"/>
      <c r="BF16" s="185"/>
      <c r="BG16" s="185"/>
      <c r="BH16" s="185">
        <f t="shared" si="10"/>
        <v>0</v>
      </c>
      <c r="BI16" s="185"/>
      <c r="BJ16" s="185"/>
      <c r="BK16" s="185"/>
      <c r="BL16" s="185">
        <f>H16+L16+N16+S16+T16+U16+V16+BH16</f>
        <v>0.69000000000000006</v>
      </c>
      <c r="BM16" s="185">
        <f>M67-BL16</f>
        <v>-0.69000000000000006</v>
      </c>
      <c r="BN16" s="185">
        <f t="shared" si="11"/>
        <v>39.830000000000005</v>
      </c>
      <c r="BP16" s="117"/>
    </row>
    <row r="17" spans="1:68" ht="18.75" customHeight="1">
      <c r="A17" s="14" t="s">
        <v>219</v>
      </c>
      <c r="B17" s="143" t="s">
        <v>25</v>
      </c>
      <c r="C17" s="30" t="s">
        <v>26</v>
      </c>
      <c r="D17" s="185">
        <f>#REF!</f>
        <v>141.47</v>
      </c>
      <c r="E17" s="185">
        <f t="shared" si="4"/>
        <v>140.20999999999998</v>
      </c>
      <c r="F17" s="185">
        <f t="shared" si="6"/>
        <v>140.19999999999999</v>
      </c>
      <c r="G17" s="185">
        <f t="shared" si="8"/>
        <v>0</v>
      </c>
      <c r="H17" s="185">
        <f t="shared" si="12"/>
        <v>0</v>
      </c>
      <c r="I17" s="185"/>
      <c r="J17" s="185"/>
      <c r="K17" s="185"/>
      <c r="L17" s="185"/>
      <c r="M17" s="185"/>
      <c r="N17" s="185">
        <f>D17-BL17</f>
        <v>140.19999999999999</v>
      </c>
      <c r="O17" s="185">
        <f t="shared" si="3"/>
        <v>0</v>
      </c>
      <c r="P17" s="185"/>
      <c r="Q17" s="185"/>
      <c r="R17" s="185"/>
      <c r="S17" s="185">
        <v>0.01</v>
      </c>
      <c r="T17" s="185"/>
      <c r="U17" s="185"/>
      <c r="V17" s="185">
        <f t="shared" si="13"/>
        <v>1.26</v>
      </c>
      <c r="W17" s="185"/>
      <c r="X17" s="185"/>
      <c r="Y17" s="185"/>
      <c r="Z17" s="185"/>
      <c r="AA17" s="185"/>
      <c r="AB17" s="185"/>
      <c r="AC17" s="185"/>
      <c r="AD17" s="185"/>
      <c r="AE17" s="185">
        <f t="shared" si="9"/>
        <v>0.42</v>
      </c>
      <c r="AF17" s="185"/>
      <c r="AG17" s="185"/>
      <c r="AH17" s="185"/>
      <c r="AI17" s="185"/>
      <c r="AJ17" s="185"/>
      <c r="AK17" s="185"/>
      <c r="AL17" s="185">
        <v>0.42</v>
      </c>
      <c r="AM17" s="185"/>
      <c r="AN17" s="185"/>
      <c r="AO17" s="185"/>
      <c r="AP17" s="185"/>
      <c r="AQ17" s="185"/>
      <c r="AR17" s="185"/>
      <c r="AS17" s="185">
        <v>0.54</v>
      </c>
      <c r="AT17" s="185">
        <v>0.3</v>
      </c>
      <c r="AU17" s="185"/>
      <c r="AV17" s="185"/>
      <c r="AW17" s="185"/>
      <c r="AX17" s="185"/>
      <c r="AY17" s="185"/>
      <c r="AZ17" s="185"/>
      <c r="BA17" s="185"/>
      <c r="BB17" s="185"/>
      <c r="BC17" s="185"/>
      <c r="BD17" s="185"/>
      <c r="BE17" s="185"/>
      <c r="BF17" s="185"/>
      <c r="BG17" s="185"/>
      <c r="BH17" s="185">
        <f t="shared" si="10"/>
        <v>0</v>
      </c>
      <c r="BI17" s="185"/>
      <c r="BJ17" s="185"/>
      <c r="BK17" s="185"/>
      <c r="BL17" s="185">
        <f>H17+L17+M17+O17+S17+T17+U17+V17+BH17</f>
        <v>1.27</v>
      </c>
      <c r="BM17" s="185">
        <f>N67-BL17</f>
        <v>-1.27</v>
      </c>
      <c r="BN17" s="185">
        <f t="shared" si="11"/>
        <v>140.19999999999999</v>
      </c>
      <c r="BP17" s="117"/>
    </row>
    <row r="18" spans="1:68" ht="19.5" hidden="1" customHeight="1">
      <c r="A18" s="14" t="s">
        <v>21</v>
      </c>
      <c r="B18" s="143" t="s">
        <v>477</v>
      </c>
      <c r="C18" s="30" t="s">
        <v>198</v>
      </c>
      <c r="D18" s="185">
        <f>#REF!</f>
        <v>74.400000000000006</v>
      </c>
      <c r="E18" s="185">
        <f t="shared" si="4"/>
        <v>74.400000000000006</v>
      </c>
      <c r="F18" s="185">
        <f t="shared" si="6"/>
        <v>0</v>
      </c>
      <c r="G18" s="185">
        <f t="shared" si="8"/>
        <v>0</v>
      </c>
      <c r="H18" s="185">
        <f t="shared" si="12"/>
        <v>0</v>
      </c>
      <c r="I18" s="185">
        <f t="shared" ref="I18:N18" si="14">I19+I20+I21</f>
        <v>0</v>
      </c>
      <c r="J18" s="185">
        <f t="shared" si="14"/>
        <v>0</v>
      </c>
      <c r="K18" s="185">
        <f t="shared" si="14"/>
        <v>0</v>
      </c>
      <c r="L18" s="185">
        <f t="shared" si="14"/>
        <v>0</v>
      </c>
      <c r="M18" s="185">
        <f t="shared" si="14"/>
        <v>0</v>
      </c>
      <c r="N18" s="185">
        <f t="shared" si="14"/>
        <v>0</v>
      </c>
      <c r="O18" s="185">
        <f>D18-BL18</f>
        <v>74.400000000000006</v>
      </c>
      <c r="P18" s="185">
        <f t="shared" ref="P18:BG18" si="15">P19+P20+P21</f>
        <v>74.400000000000006</v>
      </c>
      <c r="Q18" s="185">
        <f t="shared" si="15"/>
        <v>0</v>
      </c>
      <c r="R18" s="185">
        <f t="shared" si="15"/>
        <v>0</v>
      </c>
      <c r="S18" s="185">
        <f t="shared" si="15"/>
        <v>0</v>
      </c>
      <c r="T18" s="185">
        <f t="shared" si="15"/>
        <v>0</v>
      </c>
      <c r="U18" s="185">
        <f t="shared" si="15"/>
        <v>0</v>
      </c>
      <c r="V18" s="185">
        <f t="shared" si="15"/>
        <v>0</v>
      </c>
      <c r="W18" s="185">
        <f t="shared" si="15"/>
        <v>0</v>
      </c>
      <c r="X18" s="185">
        <f t="shared" si="15"/>
        <v>0</v>
      </c>
      <c r="Y18" s="185">
        <f t="shared" si="15"/>
        <v>0</v>
      </c>
      <c r="Z18" s="185">
        <f t="shared" si="15"/>
        <v>0</v>
      </c>
      <c r="AA18" s="185">
        <f t="shared" si="15"/>
        <v>0</v>
      </c>
      <c r="AB18" s="185">
        <f t="shared" si="15"/>
        <v>0</v>
      </c>
      <c r="AC18" s="185">
        <f t="shared" si="15"/>
        <v>0</v>
      </c>
      <c r="AD18" s="185">
        <f t="shared" si="15"/>
        <v>0</v>
      </c>
      <c r="AE18" s="185">
        <f t="shared" si="15"/>
        <v>0</v>
      </c>
      <c r="AF18" s="185">
        <f t="shared" si="15"/>
        <v>0</v>
      </c>
      <c r="AG18" s="185">
        <f t="shared" si="15"/>
        <v>0</v>
      </c>
      <c r="AH18" s="185">
        <f t="shared" si="15"/>
        <v>0</v>
      </c>
      <c r="AI18" s="185">
        <f t="shared" si="15"/>
        <v>0</v>
      </c>
      <c r="AJ18" s="185">
        <f t="shared" si="15"/>
        <v>0</v>
      </c>
      <c r="AK18" s="185">
        <f t="shared" si="15"/>
        <v>0</v>
      </c>
      <c r="AL18" s="185">
        <f t="shared" si="15"/>
        <v>0</v>
      </c>
      <c r="AM18" s="185">
        <f t="shared" si="15"/>
        <v>0</v>
      </c>
      <c r="AN18" s="185">
        <f t="shared" si="15"/>
        <v>0</v>
      </c>
      <c r="AO18" s="185">
        <f t="shared" si="15"/>
        <v>0</v>
      </c>
      <c r="AP18" s="185">
        <f t="shared" si="15"/>
        <v>0</v>
      </c>
      <c r="AQ18" s="185">
        <f t="shared" si="15"/>
        <v>0</v>
      </c>
      <c r="AR18" s="185">
        <f t="shared" si="15"/>
        <v>0</v>
      </c>
      <c r="AS18" s="185">
        <f t="shared" si="15"/>
        <v>0</v>
      </c>
      <c r="AT18" s="185">
        <f t="shared" si="15"/>
        <v>0</v>
      </c>
      <c r="AU18" s="185">
        <f t="shared" si="15"/>
        <v>0</v>
      </c>
      <c r="AV18" s="185">
        <f t="shared" si="15"/>
        <v>0</v>
      </c>
      <c r="AW18" s="185">
        <f t="shared" si="15"/>
        <v>0</v>
      </c>
      <c r="AX18" s="185">
        <f t="shared" si="15"/>
        <v>0</v>
      </c>
      <c r="AY18" s="185">
        <f t="shared" si="15"/>
        <v>0</v>
      </c>
      <c r="AZ18" s="185">
        <f t="shared" si="15"/>
        <v>0</v>
      </c>
      <c r="BA18" s="185">
        <f t="shared" si="15"/>
        <v>0</v>
      </c>
      <c r="BB18" s="185">
        <f t="shared" si="15"/>
        <v>0</v>
      </c>
      <c r="BC18" s="185">
        <f t="shared" si="15"/>
        <v>0</v>
      </c>
      <c r="BD18" s="185">
        <f t="shared" si="15"/>
        <v>0</v>
      </c>
      <c r="BE18" s="185">
        <f t="shared" si="15"/>
        <v>0</v>
      </c>
      <c r="BF18" s="185">
        <f t="shared" si="15"/>
        <v>0</v>
      </c>
      <c r="BG18" s="185">
        <f t="shared" si="15"/>
        <v>0</v>
      </c>
      <c r="BH18" s="185">
        <f>BH19+BH20+BH21</f>
        <v>0</v>
      </c>
      <c r="BI18" s="185">
        <f>BI19+BI20+BI21</f>
        <v>0</v>
      </c>
      <c r="BJ18" s="185">
        <f>BJ19+BJ20+BJ21</f>
        <v>0</v>
      </c>
      <c r="BK18" s="185">
        <f>BK19+BK20+BK21</f>
        <v>0</v>
      </c>
      <c r="BL18" s="185">
        <f>F18+S18+T18+U18+BH18+V18</f>
        <v>0</v>
      </c>
      <c r="BM18" s="185">
        <f>O67-BL18</f>
        <v>0</v>
      </c>
      <c r="BN18" s="185">
        <f>BN19+BN20+BN21</f>
        <v>74.400000000000006</v>
      </c>
      <c r="BP18" s="117"/>
    </row>
    <row r="19" spans="1:68" ht="20.100000000000001" customHeight="1">
      <c r="A19" s="14" t="s">
        <v>182</v>
      </c>
      <c r="B19" s="143" t="s">
        <v>28</v>
      </c>
      <c r="C19" s="30" t="s">
        <v>29</v>
      </c>
      <c r="D19" s="185">
        <f>#REF!</f>
        <v>74.400000000000006</v>
      </c>
      <c r="E19" s="185">
        <f>F19+O19+S19+T19+U19</f>
        <v>74.400000000000006</v>
      </c>
      <c r="F19" s="185">
        <f>G19+N19</f>
        <v>0</v>
      </c>
      <c r="G19" s="185">
        <f>H19+L19+M19</f>
        <v>0</v>
      </c>
      <c r="H19" s="185">
        <f t="shared" si="12"/>
        <v>0</v>
      </c>
      <c r="I19" s="185"/>
      <c r="J19" s="185"/>
      <c r="K19" s="185"/>
      <c r="L19" s="185"/>
      <c r="M19" s="185"/>
      <c r="N19" s="185"/>
      <c r="O19" s="185">
        <f t="shared" ref="O19:O24" si="16">P19+Q19+R19</f>
        <v>74.400000000000006</v>
      </c>
      <c r="P19" s="185">
        <f>D19-BL19</f>
        <v>74.400000000000006</v>
      </c>
      <c r="Q19" s="185"/>
      <c r="R19" s="185"/>
      <c r="S19" s="185"/>
      <c r="T19" s="185"/>
      <c r="U19" s="185"/>
      <c r="V19" s="185">
        <f t="shared" si="13"/>
        <v>0</v>
      </c>
      <c r="W19" s="185"/>
      <c r="X19" s="185"/>
      <c r="Y19" s="185"/>
      <c r="Z19" s="185"/>
      <c r="AA19" s="185"/>
      <c r="AB19" s="185"/>
      <c r="AC19" s="185"/>
      <c r="AD19" s="185"/>
      <c r="AE19" s="185">
        <f t="shared" si="9"/>
        <v>0</v>
      </c>
      <c r="AF19" s="185"/>
      <c r="AG19" s="185"/>
      <c r="AH19" s="185"/>
      <c r="AI19" s="185"/>
      <c r="AJ19" s="185"/>
      <c r="AK19" s="185"/>
      <c r="AL19" s="185"/>
      <c r="AM19" s="185"/>
      <c r="AN19" s="185"/>
      <c r="AO19" s="185"/>
      <c r="AP19" s="185"/>
      <c r="AQ19" s="185"/>
      <c r="AR19" s="185"/>
      <c r="AS19" s="185"/>
      <c r="AT19" s="185"/>
      <c r="AU19" s="185"/>
      <c r="AV19" s="185"/>
      <c r="AW19" s="185"/>
      <c r="AX19" s="185"/>
      <c r="AY19" s="185"/>
      <c r="AZ19" s="185"/>
      <c r="BA19" s="185"/>
      <c r="BB19" s="185"/>
      <c r="BC19" s="185"/>
      <c r="BD19" s="185"/>
      <c r="BE19" s="185"/>
      <c r="BF19" s="185"/>
      <c r="BG19" s="185"/>
      <c r="BH19" s="185">
        <f t="shared" ref="BH19:BH24" si="17">BI19+BJ19+BK19</f>
        <v>0</v>
      </c>
      <c r="BI19" s="185"/>
      <c r="BJ19" s="185"/>
      <c r="BK19" s="185"/>
      <c r="BL19" s="185">
        <f>F19+Q19+R19+S19+T19+U19+V19+BH19</f>
        <v>0</v>
      </c>
      <c r="BM19" s="185">
        <f>P67-BL19</f>
        <v>0</v>
      </c>
      <c r="BN19" s="185">
        <f t="shared" ref="BN19:BN24" si="18">D19+BM19</f>
        <v>74.400000000000006</v>
      </c>
      <c r="BP19" s="117"/>
    </row>
    <row r="20" spans="1:68" ht="20.100000000000001" customHeight="1">
      <c r="A20" s="14" t="s">
        <v>183</v>
      </c>
      <c r="B20" s="143" t="s">
        <v>31</v>
      </c>
      <c r="C20" s="30" t="s">
        <v>32</v>
      </c>
      <c r="D20" s="185"/>
      <c r="E20" s="185">
        <f t="shared" si="4"/>
        <v>0</v>
      </c>
      <c r="F20" s="185">
        <f t="shared" si="6"/>
        <v>0</v>
      </c>
      <c r="G20" s="185">
        <f t="shared" si="8"/>
        <v>0</v>
      </c>
      <c r="H20" s="185">
        <f t="shared" si="12"/>
        <v>0</v>
      </c>
      <c r="I20" s="185"/>
      <c r="J20" s="185"/>
      <c r="K20" s="185"/>
      <c r="L20" s="185"/>
      <c r="M20" s="185"/>
      <c r="N20" s="185"/>
      <c r="O20" s="185">
        <f t="shared" si="16"/>
        <v>0</v>
      </c>
      <c r="P20" s="185"/>
      <c r="Q20" s="185">
        <f>D20-BL20</f>
        <v>0</v>
      </c>
      <c r="R20" s="185"/>
      <c r="S20" s="185"/>
      <c r="T20" s="185"/>
      <c r="U20" s="185"/>
      <c r="V20" s="185">
        <f t="shared" si="13"/>
        <v>0</v>
      </c>
      <c r="W20" s="185"/>
      <c r="X20" s="185"/>
      <c r="Y20" s="185"/>
      <c r="Z20" s="185"/>
      <c r="AA20" s="185"/>
      <c r="AB20" s="185"/>
      <c r="AC20" s="185"/>
      <c r="AD20" s="185"/>
      <c r="AE20" s="185">
        <f t="shared" si="9"/>
        <v>0</v>
      </c>
      <c r="AF20" s="185"/>
      <c r="AG20" s="185"/>
      <c r="AH20" s="185"/>
      <c r="AI20" s="185"/>
      <c r="AJ20" s="185"/>
      <c r="AK20" s="185"/>
      <c r="AL20" s="185"/>
      <c r="AM20" s="185"/>
      <c r="AN20" s="185"/>
      <c r="AO20" s="185"/>
      <c r="AP20" s="185"/>
      <c r="AQ20" s="185"/>
      <c r="AR20" s="185"/>
      <c r="AS20" s="185"/>
      <c r="AT20" s="185"/>
      <c r="AU20" s="185"/>
      <c r="AV20" s="185"/>
      <c r="AW20" s="185"/>
      <c r="AX20" s="185"/>
      <c r="AY20" s="185"/>
      <c r="AZ20" s="185"/>
      <c r="BA20" s="185"/>
      <c r="BB20" s="185"/>
      <c r="BC20" s="185"/>
      <c r="BD20" s="185"/>
      <c r="BE20" s="185"/>
      <c r="BF20" s="185"/>
      <c r="BG20" s="185"/>
      <c r="BH20" s="185">
        <f t="shared" si="17"/>
        <v>0</v>
      </c>
      <c r="BI20" s="185"/>
      <c r="BJ20" s="185"/>
      <c r="BK20" s="185"/>
      <c r="BL20" s="185">
        <f>F20+P20+R20+S20+T20+U20+V20+BH20</f>
        <v>0</v>
      </c>
      <c r="BM20" s="185">
        <f>Q67-BL20</f>
        <v>0</v>
      </c>
      <c r="BN20" s="185">
        <f t="shared" si="18"/>
        <v>0</v>
      </c>
      <c r="BP20" s="117"/>
    </row>
    <row r="21" spans="1:68" ht="20.100000000000001" customHeight="1">
      <c r="A21" s="14" t="s">
        <v>184</v>
      </c>
      <c r="B21" s="143" t="s">
        <v>34</v>
      </c>
      <c r="C21" s="30" t="s">
        <v>35</v>
      </c>
      <c r="D21" s="185"/>
      <c r="E21" s="185">
        <f t="shared" si="4"/>
        <v>0</v>
      </c>
      <c r="F21" s="185">
        <f>G21+N21</f>
        <v>0</v>
      </c>
      <c r="G21" s="185">
        <f t="shared" si="8"/>
        <v>0</v>
      </c>
      <c r="H21" s="185">
        <f t="shared" si="12"/>
        <v>0</v>
      </c>
      <c r="I21" s="185"/>
      <c r="J21" s="185"/>
      <c r="K21" s="185"/>
      <c r="L21" s="185"/>
      <c r="M21" s="185"/>
      <c r="N21" s="185"/>
      <c r="O21" s="185">
        <f t="shared" si="16"/>
        <v>0</v>
      </c>
      <c r="P21" s="185"/>
      <c r="Q21" s="185"/>
      <c r="R21" s="185">
        <f>D21-BL21</f>
        <v>0</v>
      </c>
      <c r="S21" s="185"/>
      <c r="T21" s="185"/>
      <c r="U21" s="185"/>
      <c r="V21" s="185">
        <f t="shared" si="13"/>
        <v>0</v>
      </c>
      <c r="W21" s="185"/>
      <c r="X21" s="185"/>
      <c r="Y21" s="185"/>
      <c r="Z21" s="185"/>
      <c r="AA21" s="185"/>
      <c r="AB21" s="185"/>
      <c r="AC21" s="185"/>
      <c r="AD21" s="185"/>
      <c r="AE21" s="185">
        <f t="shared" si="9"/>
        <v>0</v>
      </c>
      <c r="AF21" s="185"/>
      <c r="AG21" s="185"/>
      <c r="AH21" s="185"/>
      <c r="AI21" s="185"/>
      <c r="AJ21" s="185"/>
      <c r="AK21" s="185"/>
      <c r="AL21" s="185"/>
      <c r="AM21" s="185"/>
      <c r="AN21" s="185"/>
      <c r="AO21" s="185"/>
      <c r="AP21" s="185"/>
      <c r="AQ21" s="185"/>
      <c r="AR21" s="185"/>
      <c r="AS21" s="185"/>
      <c r="AT21" s="185"/>
      <c r="AU21" s="185"/>
      <c r="AV21" s="185"/>
      <c r="AW21" s="185"/>
      <c r="AX21" s="185"/>
      <c r="AY21" s="185"/>
      <c r="AZ21" s="185"/>
      <c r="BA21" s="185"/>
      <c r="BB21" s="185"/>
      <c r="BC21" s="185"/>
      <c r="BD21" s="185"/>
      <c r="BE21" s="185"/>
      <c r="BF21" s="185"/>
      <c r="BG21" s="185"/>
      <c r="BH21" s="185">
        <f t="shared" si="17"/>
        <v>0</v>
      </c>
      <c r="BI21" s="185"/>
      <c r="BJ21" s="185"/>
      <c r="BK21" s="185"/>
      <c r="BL21" s="185">
        <f>F21+P21+Q21+S21+T21+U21+V21+BH21</f>
        <v>0</v>
      </c>
      <c r="BM21" s="185">
        <f>R67-BL21</f>
        <v>0</v>
      </c>
      <c r="BN21" s="185">
        <f t="shared" si="18"/>
        <v>0</v>
      </c>
      <c r="BP21" s="117"/>
    </row>
    <row r="22" spans="1:68" ht="20.100000000000001" customHeight="1">
      <c r="A22" s="14" t="s">
        <v>24</v>
      </c>
      <c r="B22" s="143" t="s">
        <v>37</v>
      </c>
      <c r="C22" s="30" t="s">
        <v>38</v>
      </c>
      <c r="D22" s="185">
        <f>#REF!</f>
        <v>498.88</v>
      </c>
      <c r="E22" s="185">
        <f>F22+O22+S22+T22+U22</f>
        <v>494.48</v>
      </c>
      <c r="F22" s="185">
        <f t="shared" si="6"/>
        <v>0</v>
      </c>
      <c r="G22" s="185">
        <f t="shared" si="8"/>
        <v>0</v>
      </c>
      <c r="H22" s="185">
        <f t="shared" si="12"/>
        <v>0</v>
      </c>
      <c r="I22" s="185"/>
      <c r="J22" s="185"/>
      <c r="K22" s="185"/>
      <c r="L22" s="185"/>
      <c r="M22" s="185"/>
      <c r="N22" s="185"/>
      <c r="O22" s="185">
        <f t="shared" si="16"/>
        <v>0</v>
      </c>
      <c r="P22" s="185"/>
      <c r="Q22" s="185"/>
      <c r="R22" s="185"/>
      <c r="S22" s="185">
        <f>D22-BL22</f>
        <v>494.48</v>
      </c>
      <c r="T22" s="185"/>
      <c r="U22" s="185"/>
      <c r="V22" s="185">
        <f t="shared" si="13"/>
        <v>4.4000000000000004</v>
      </c>
      <c r="W22" s="185"/>
      <c r="X22" s="185"/>
      <c r="Y22" s="185"/>
      <c r="Z22" s="185"/>
      <c r="AA22" s="185"/>
      <c r="AB22" s="185"/>
      <c r="AC22" s="185"/>
      <c r="AD22" s="185"/>
      <c r="AE22" s="185">
        <f t="shared" si="9"/>
        <v>2.79</v>
      </c>
      <c r="AF22" s="185"/>
      <c r="AG22" s="185"/>
      <c r="AH22" s="185"/>
      <c r="AI22" s="185"/>
      <c r="AJ22" s="185"/>
      <c r="AK22" s="185"/>
      <c r="AL22" s="185">
        <v>2.79</v>
      </c>
      <c r="AM22" s="185"/>
      <c r="AN22" s="185"/>
      <c r="AO22" s="185"/>
      <c r="AP22" s="185"/>
      <c r="AQ22" s="185"/>
      <c r="AR22" s="185"/>
      <c r="AS22" s="185">
        <v>1.49</v>
      </c>
      <c r="AT22" s="185">
        <v>0.12</v>
      </c>
      <c r="AU22" s="185"/>
      <c r="AV22" s="185"/>
      <c r="AW22" s="185"/>
      <c r="AX22" s="185"/>
      <c r="AY22" s="185"/>
      <c r="AZ22" s="185"/>
      <c r="BA22" s="185"/>
      <c r="BB22" s="185"/>
      <c r="BC22" s="185"/>
      <c r="BD22" s="185"/>
      <c r="BE22" s="185"/>
      <c r="BF22" s="185"/>
      <c r="BG22" s="185"/>
      <c r="BH22" s="185">
        <f t="shared" si="17"/>
        <v>0</v>
      </c>
      <c r="BI22" s="185"/>
      <c r="BJ22" s="185"/>
      <c r="BK22" s="185"/>
      <c r="BL22" s="185">
        <f>G22+O22+T22+U22+V22+BH22</f>
        <v>4.4000000000000004</v>
      </c>
      <c r="BM22" s="185">
        <f>S67-BL22</f>
        <v>15.479999999999999</v>
      </c>
      <c r="BN22" s="185">
        <f t="shared" si="18"/>
        <v>514.36</v>
      </c>
      <c r="BP22" s="117"/>
    </row>
    <row r="23" spans="1:68" ht="20.100000000000001" customHeight="1">
      <c r="A23" s="14" t="s">
        <v>27</v>
      </c>
      <c r="B23" s="143" t="s">
        <v>40</v>
      </c>
      <c r="C23" s="30" t="s">
        <v>41</v>
      </c>
      <c r="D23" s="185"/>
      <c r="E23" s="185">
        <f t="shared" si="4"/>
        <v>0</v>
      </c>
      <c r="F23" s="185">
        <f t="shared" si="6"/>
        <v>0</v>
      </c>
      <c r="G23" s="185">
        <f t="shared" si="8"/>
        <v>0</v>
      </c>
      <c r="H23" s="185">
        <f t="shared" si="12"/>
        <v>0</v>
      </c>
      <c r="I23" s="185"/>
      <c r="J23" s="185"/>
      <c r="K23" s="185"/>
      <c r="L23" s="185"/>
      <c r="M23" s="185"/>
      <c r="N23" s="185"/>
      <c r="O23" s="185">
        <f t="shared" si="16"/>
        <v>0</v>
      </c>
      <c r="P23" s="185"/>
      <c r="Q23" s="185"/>
      <c r="R23" s="185"/>
      <c r="S23" s="185"/>
      <c r="T23" s="185">
        <f>D23-BL23</f>
        <v>0</v>
      </c>
      <c r="U23" s="185"/>
      <c r="V23" s="185">
        <f t="shared" si="13"/>
        <v>0</v>
      </c>
      <c r="W23" s="185"/>
      <c r="X23" s="185"/>
      <c r="Y23" s="185"/>
      <c r="Z23" s="185"/>
      <c r="AA23" s="185"/>
      <c r="AB23" s="185"/>
      <c r="AC23" s="185"/>
      <c r="AD23" s="185"/>
      <c r="AE23" s="185">
        <f t="shared" si="9"/>
        <v>0</v>
      </c>
      <c r="AF23" s="185"/>
      <c r="AG23" s="185"/>
      <c r="AH23" s="185"/>
      <c r="AI23" s="185"/>
      <c r="AJ23" s="185"/>
      <c r="AK23" s="185"/>
      <c r="AL23" s="185"/>
      <c r="AM23" s="185"/>
      <c r="AN23" s="185"/>
      <c r="AO23" s="185"/>
      <c r="AP23" s="185"/>
      <c r="AQ23" s="185"/>
      <c r="AR23" s="185"/>
      <c r="AS23" s="185"/>
      <c r="AT23" s="185"/>
      <c r="AU23" s="185"/>
      <c r="AV23" s="185"/>
      <c r="AW23" s="185"/>
      <c r="AX23" s="185"/>
      <c r="AY23" s="185"/>
      <c r="AZ23" s="185"/>
      <c r="BA23" s="185"/>
      <c r="BB23" s="185"/>
      <c r="BC23" s="185"/>
      <c r="BD23" s="185"/>
      <c r="BE23" s="185"/>
      <c r="BF23" s="185"/>
      <c r="BG23" s="185"/>
      <c r="BH23" s="185">
        <f t="shared" si="17"/>
        <v>0</v>
      </c>
      <c r="BI23" s="185"/>
      <c r="BJ23" s="185"/>
      <c r="BK23" s="185"/>
      <c r="BL23" s="185">
        <f>F23+O23+S23+U23+V23+BH23</f>
        <v>0</v>
      </c>
      <c r="BM23" s="185">
        <f>T67-BL23</f>
        <v>0</v>
      </c>
      <c r="BN23" s="185">
        <f t="shared" si="18"/>
        <v>0</v>
      </c>
      <c r="BP23" s="117"/>
    </row>
    <row r="24" spans="1:68" ht="20.100000000000001" customHeight="1">
      <c r="A24" s="14" t="s">
        <v>30</v>
      </c>
      <c r="B24" s="143" t="s">
        <v>43</v>
      </c>
      <c r="C24" s="30" t="s">
        <v>44</v>
      </c>
      <c r="D24" s="185"/>
      <c r="E24" s="185">
        <f t="shared" si="4"/>
        <v>0</v>
      </c>
      <c r="F24" s="185">
        <f t="shared" si="6"/>
        <v>0</v>
      </c>
      <c r="G24" s="185">
        <f t="shared" si="8"/>
        <v>0</v>
      </c>
      <c r="H24" s="185">
        <f t="shared" si="12"/>
        <v>0</v>
      </c>
      <c r="I24" s="185"/>
      <c r="J24" s="185"/>
      <c r="K24" s="185"/>
      <c r="L24" s="185"/>
      <c r="M24" s="185"/>
      <c r="N24" s="185"/>
      <c r="O24" s="185">
        <f t="shared" si="16"/>
        <v>0</v>
      </c>
      <c r="P24" s="185"/>
      <c r="Q24" s="185"/>
      <c r="R24" s="185"/>
      <c r="S24" s="185"/>
      <c r="T24" s="185"/>
      <c r="U24" s="185">
        <f>D24-BL24</f>
        <v>0</v>
      </c>
      <c r="V24" s="185">
        <f t="shared" si="13"/>
        <v>0</v>
      </c>
      <c r="W24" s="185"/>
      <c r="X24" s="185"/>
      <c r="Y24" s="185"/>
      <c r="Z24" s="185"/>
      <c r="AA24" s="185"/>
      <c r="AB24" s="185"/>
      <c r="AC24" s="185"/>
      <c r="AD24" s="185"/>
      <c r="AE24" s="185">
        <f t="shared" si="9"/>
        <v>0</v>
      </c>
      <c r="AF24" s="185"/>
      <c r="AG24" s="185"/>
      <c r="AH24" s="185"/>
      <c r="AI24" s="185"/>
      <c r="AJ24" s="185"/>
      <c r="AK24" s="185"/>
      <c r="AL24" s="185"/>
      <c r="AM24" s="185"/>
      <c r="AN24" s="185"/>
      <c r="AO24" s="185"/>
      <c r="AP24" s="185"/>
      <c r="AQ24" s="185"/>
      <c r="AR24" s="185"/>
      <c r="AS24" s="185"/>
      <c r="AT24" s="185"/>
      <c r="AU24" s="185"/>
      <c r="AV24" s="185"/>
      <c r="AW24" s="185"/>
      <c r="AX24" s="185"/>
      <c r="AY24" s="185"/>
      <c r="AZ24" s="185"/>
      <c r="BA24" s="185"/>
      <c r="BB24" s="185"/>
      <c r="BC24" s="185"/>
      <c r="BD24" s="185"/>
      <c r="BE24" s="185"/>
      <c r="BF24" s="185"/>
      <c r="BG24" s="185"/>
      <c r="BH24" s="185">
        <f t="shared" si="17"/>
        <v>0</v>
      </c>
      <c r="BI24" s="185"/>
      <c r="BJ24" s="185"/>
      <c r="BK24" s="185"/>
      <c r="BL24" s="185">
        <f>F24+O24+S24+T24+BH24+V24</f>
        <v>0</v>
      </c>
      <c r="BM24" s="185">
        <f>U67-BL24</f>
        <v>0</v>
      </c>
      <c r="BN24" s="185">
        <f t="shared" si="18"/>
        <v>0</v>
      </c>
      <c r="BP24" s="117"/>
    </row>
    <row r="25" spans="1:68" s="115" customFormat="1" ht="25.5" customHeight="1">
      <c r="A25" s="15">
        <v>2</v>
      </c>
      <c r="B25" s="142" t="s">
        <v>45</v>
      </c>
      <c r="C25" s="158" t="s">
        <v>46</v>
      </c>
      <c r="D25" s="420">
        <f>D26+D27+D28+D29+D30+D31+D32+D33+D34+D46+D47+D48+D49+D50+D51+D52+D53+D54+D55+D56+D57+D58+D59+D60+D61+D62</f>
        <v>447.40499999999992</v>
      </c>
      <c r="E25" s="420">
        <f>E26+E27+E28+E29+E30+E31+E32+E33+E34+E46+E47+E48+E49+E50+E51+E52+E53+E54+E55+E56+E57+E58+E59+E60+E61+E62</f>
        <v>15.649999999999999</v>
      </c>
      <c r="F25" s="420">
        <f t="shared" ref="F25:U25" si="19">F26+F27+F28+F29+F30+F31+F32+F33+F34+F46+F47+F48+F49+F50+F51+F52+F53+F54+F55+F56+F57+F58+F59+F60+F61+F62</f>
        <v>0</v>
      </c>
      <c r="G25" s="420">
        <f t="shared" si="19"/>
        <v>0</v>
      </c>
      <c r="H25" s="420">
        <f t="shared" si="19"/>
        <v>0</v>
      </c>
      <c r="I25" s="420">
        <f t="shared" si="19"/>
        <v>0</v>
      </c>
      <c r="J25" s="420">
        <f t="shared" si="19"/>
        <v>0</v>
      </c>
      <c r="K25" s="420">
        <f t="shared" si="19"/>
        <v>0</v>
      </c>
      <c r="L25" s="420">
        <f t="shared" si="19"/>
        <v>0</v>
      </c>
      <c r="M25" s="420">
        <f t="shared" si="19"/>
        <v>0</v>
      </c>
      <c r="N25" s="420">
        <f t="shared" si="19"/>
        <v>0</v>
      </c>
      <c r="O25" s="420">
        <f t="shared" si="19"/>
        <v>0</v>
      </c>
      <c r="P25" s="420">
        <f t="shared" si="19"/>
        <v>0</v>
      </c>
      <c r="Q25" s="420">
        <f t="shared" si="19"/>
        <v>0</v>
      </c>
      <c r="R25" s="420">
        <f t="shared" si="19"/>
        <v>0</v>
      </c>
      <c r="S25" s="420">
        <f t="shared" si="19"/>
        <v>15.649999999999999</v>
      </c>
      <c r="T25" s="420">
        <f t="shared" si="19"/>
        <v>0</v>
      </c>
      <c r="U25" s="420">
        <f t="shared" si="19"/>
        <v>0</v>
      </c>
      <c r="V25" s="420">
        <f>D25-BL25</f>
        <v>431.75499999999994</v>
      </c>
      <c r="W25" s="420">
        <f>W26+W27+W28+W29+W30+W31+W32+W33+W34+W46+W47+W48+W49+W50+W51+W52+W53+W54+W55+W56+W57+W58+W59+W60+W61+W62</f>
        <v>0</v>
      </c>
      <c r="X25" s="420">
        <f t="shared" ref="X25:BK25" si="20">X26+X27+X28+X29+X30+X31+X32+X33+X34+X46+X47+X48+X49+X50+X51+X52+X53+X54+X55+X56+X57+X58+X59+X60+X61+X62</f>
        <v>0</v>
      </c>
      <c r="Y25" s="420">
        <f t="shared" si="20"/>
        <v>0</v>
      </c>
      <c r="Z25" s="420">
        <f t="shared" si="20"/>
        <v>0</v>
      </c>
      <c r="AA25" s="420">
        <f t="shared" si="20"/>
        <v>0</v>
      </c>
      <c r="AB25" s="420">
        <f t="shared" si="20"/>
        <v>1.79</v>
      </c>
      <c r="AC25" s="420">
        <f t="shared" si="20"/>
        <v>5.89</v>
      </c>
      <c r="AD25" s="420">
        <f t="shared" si="20"/>
        <v>0</v>
      </c>
      <c r="AE25" s="420">
        <f t="shared" si="20"/>
        <v>148.18499999999997</v>
      </c>
      <c r="AF25" s="420">
        <f t="shared" si="20"/>
        <v>4.9850000000000003</v>
      </c>
      <c r="AG25" s="420">
        <f t="shared" si="20"/>
        <v>0.08</v>
      </c>
      <c r="AH25" s="420">
        <f t="shared" si="20"/>
        <v>3.19</v>
      </c>
      <c r="AI25" s="420">
        <f t="shared" si="20"/>
        <v>0.01</v>
      </c>
      <c r="AJ25" s="420">
        <f t="shared" si="20"/>
        <v>0</v>
      </c>
      <c r="AK25" s="420">
        <f t="shared" si="20"/>
        <v>0</v>
      </c>
      <c r="AL25" s="420">
        <f t="shared" si="20"/>
        <v>112.91</v>
      </c>
      <c r="AM25" s="420">
        <f t="shared" si="20"/>
        <v>26.75</v>
      </c>
      <c r="AN25" s="420">
        <f t="shared" si="20"/>
        <v>0.03</v>
      </c>
      <c r="AO25" s="420">
        <f t="shared" si="20"/>
        <v>0.04</v>
      </c>
      <c r="AP25" s="420">
        <f t="shared" si="20"/>
        <v>0.19</v>
      </c>
      <c r="AQ25" s="420">
        <f t="shared" si="20"/>
        <v>0</v>
      </c>
      <c r="AR25" s="420">
        <f t="shared" si="20"/>
        <v>0</v>
      </c>
      <c r="AS25" s="420">
        <f t="shared" si="20"/>
        <v>3.08</v>
      </c>
      <c r="AT25" s="420">
        <f t="shared" si="20"/>
        <v>74.44</v>
      </c>
      <c r="AU25" s="420">
        <f t="shared" si="20"/>
        <v>0</v>
      </c>
      <c r="AV25" s="420">
        <f t="shared" si="20"/>
        <v>1.1599999999999999</v>
      </c>
      <c r="AW25" s="420">
        <f t="shared" si="20"/>
        <v>0</v>
      </c>
      <c r="AX25" s="420">
        <f t="shared" si="20"/>
        <v>0</v>
      </c>
      <c r="AY25" s="420">
        <f t="shared" si="20"/>
        <v>2.3199999999999998</v>
      </c>
      <c r="AZ25" s="420">
        <f t="shared" si="20"/>
        <v>30.51</v>
      </c>
      <c r="BA25" s="420">
        <f t="shared" si="20"/>
        <v>2.3199999999999998</v>
      </c>
      <c r="BB25" s="420">
        <f t="shared" si="20"/>
        <v>1.1499999999999999</v>
      </c>
      <c r="BC25" s="420">
        <f t="shared" si="20"/>
        <v>1.71</v>
      </c>
      <c r="BD25" s="420">
        <f t="shared" si="20"/>
        <v>1.77</v>
      </c>
      <c r="BE25" s="420">
        <f t="shared" si="20"/>
        <v>156.84</v>
      </c>
      <c r="BF25" s="420">
        <f t="shared" si="20"/>
        <v>0</v>
      </c>
      <c r="BG25" s="420">
        <f t="shared" si="20"/>
        <v>0.59</v>
      </c>
      <c r="BH25" s="420">
        <f t="shared" si="20"/>
        <v>0</v>
      </c>
      <c r="BI25" s="420">
        <f t="shared" si="20"/>
        <v>0</v>
      </c>
      <c r="BJ25" s="420">
        <f t="shared" si="20"/>
        <v>0</v>
      </c>
      <c r="BK25" s="420">
        <f t="shared" si="20"/>
        <v>0</v>
      </c>
      <c r="BL25" s="420">
        <f>E25+BH25</f>
        <v>15.649999999999999</v>
      </c>
      <c r="BM25" s="420">
        <f>BM26+BM27+BM28+BM29+BM30+BM31+BM32+BM33+BM34+BM46+BM47+BM48+BM49+BM50+BM51+BM52+BM53+BM54+BM55+BM56+BM57+BM58+BM59+BM60+BM61+BM62</f>
        <v>-1</v>
      </c>
      <c r="BN25" s="420">
        <f>BN26+BN27+BN28+BN29+BN30+BN31+BN32+BN33+BN34+BN46+BN47+BN48+BN49+BN50+BN51+BN52+BN53+BN54+BN55+BN56+BN57+BN58+BN59+BN60+BN61+BN62</f>
        <v>446.40499999999992</v>
      </c>
      <c r="BP25" s="117"/>
    </row>
    <row r="26" spans="1:68" ht="20.100000000000001" customHeight="1">
      <c r="A26" s="19" t="s">
        <v>47</v>
      </c>
      <c r="B26" s="144" t="s">
        <v>48</v>
      </c>
      <c r="C26" s="30" t="s">
        <v>49</v>
      </c>
      <c r="D26" s="185"/>
      <c r="E26" s="185">
        <f t="shared" si="4"/>
        <v>0</v>
      </c>
      <c r="F26" s="185">
        <f>G26+N26</f>
        <v>0</v>
      </c>
      <c r="G26" s="185">
        <f t="shared" si="8"/>
        <v>0</v>
      </c>
      <c r="H26" s="185">
        <f t="shared" si="12"/>
        <v>0</v>
      </c>
      <c r="I26" s="185"/>
      <c r="J26" s="185"/>
      <c r="K26" s="185"/>
      <c r="L26" s="185"/>
      <c r="M26" s="185"/>
      <c r="N26" s="185"/>
      <c r="O26" s="185"/>
      <c r="P26" s="185"/>
      <c r="Q26" s="185"/>
      <c r="R26" s="185"/>
      <c r="S26" s="185"/>
      <c r="T26" s="185"/>
      <c r="U26" s="185"/>
      <c r="V26" s="185">
        <f t="shared" si="13"/>
        <v>0</v>
      </c>
      <c r="W26" s="185">
        <f>D26-BL26</f>
        <v>0</v>
      </c>
      <c r="X26" s="185"/>
      <c r="Y26" s="185"/>
      <c r="Z26" s="185"/>
      <c r="AA26" s="185"/>
      <c r="AB26" s="185"/>
      <c r="AC26" s="185"/>
      <c r="AD26" s="185"/>
      <c r="AE26" s="185">
        <f t="shared" si="9"/>
        <v>0</v>
      </c>
      <c r="AF26" s="185"/>
      <c r="AG26" s="185"/>
      <c r="AH26" s="185"/>
      <c r="AI26" s="185"/>
      <c r="AJ26" s="185"/>
      <c r="AK26" s="185"/>
      <c r="AL26" s="185"/>
      <c r="AM26" s="185"/>
      <c r="AN26" s="185"/>
      <c r="AO26" s="185"/>
      <c r="AP26" s="185"/>
      <c r="AQ26" s="185"/>
      <c r="AR26" s="185"/>
      <c r="AS26" s="185"/>
      <c r="AT26" s="185"/>
      <c r="AU26" s="185"/>
      <c r="AV26" s="185"/>
      <c r="AW26" s="185"/>
      <c r="AX26" s="185"/>
      <c r="AY26" s="185"/>
      <c r="AZ26" s="185"/>
      <c r="BA26" s="185"/>
      <c r="BB26" s="185"/>
      <c r="BC26" s="185"/>
      <c r="BD26" s="185"/>
      <c r="BE26" s="185"/>
      <c r="BF26" s="185"/>
      <c r="BG26" s="185"/>
      <c r="BH26" s="185">
        <f>BI26+BJ26+BK26</f>
        <v>0</v>
      </c>
      <c r="BI26" s="185"/>
      <c r="BJ26" s="185"/>
      <c r="BK26" s="185"/>
      <c r="BL26" s="185">
        <f>X26+Y26+Z26+AA26+AB26+AC26+AD26+AE26+AQ26+AR26+AS26+AT26+AU26+AV26+AW26+AX26+AY26+AZ26+BA26+BB26+BC26+BD26+BE26+BF26+BG26+BH26</f>
        <v>0</v>
      </c>
      <c r="BM26" s="185">
        <f>W67-BL26</f>
        <v>0</v>
      </c>
      <c r="BN26" s="185">
        <f>D26+BM26</f>
        <v>0</v>
      </c>
      <c r="BP26" s="117"/>
    </row>
    <row r="27" spans="1:68" ht="20.100000000000001" customHeight="1">
      <c r="A27" s="19" t="s">
        <v>50</v>
      </c>
      <c r="B27" s="144" t="s">
        <v>51</v>
      </c>
      <c r="C27" s="30" t="s">
        <v>52</v>
      </c>
      <c r="D27" s="185"/>
      <c r="E27" s="185">
        <f t="shared" si="4"/>
        <v>0</v>
      </c>
      <c r="F27" s="185">
        <f t="shared" ref="F27:F66" si="21">G27+N27</f>
        <v>0</v>
      </c>
      <c r="G27" s="185">
        <f t="shared" si="8"/>
        <v>0</v>
      </c>
      <c r="H27" s="185">
        <f t="shared" si="12"/>
        <v>0</v>
      </c>
      <c r="I27" s="185"/>
      <c r="J27" s="185"/>
      <c r="K27" s="185"/>
      <c r="L27" s="185"/>
      <c r="M27" s="185"/>
      <c r="N27" s="185"/>
      <c r="O27" s="185"/>
      <c r="P27" s="185"/>
      <c r="Q27" s="185"/>
      <c r="R27" s="185"/>
      <c r="S27" s="185"/>
      <c r="T27" s="185"/>
      <c r="U27" s="185"/>
      <c r="V27" s="185">
        <f t="shared" si="13"/>
        <v>0</v>
      </c>
      <c r="W27" s="185"/>
      <c r="X27" s="185">
        <f>D27-BL27</f>
        <v>0</v>
      </c>
      <c r="Y27" s="185"/>
      <c r="Z27" s="185"/>
      <c r="AA27" s="185"/>
      <c r="AB27" s="185"/>
      <c r="AC27" s="185"/>
      <c r="AD27" s="185"/>
      <c r="AE27" s="185">
        <f t="shared" si="9"/>
        <v>0</v>
      </c>
      <c r="AF27" s="185"/>
      <c r="AG27" s="185"/>
      <c r="AH27" s="185"/>
      <c r="AI27" s="185"/>
      <c r="AJ27" s="185"/>
      <c r="AK27" s="185"/>
      <c r="AL27" s="185"/>
      <c r="AM27" s="185"/>
      <c r="AN27" s="185"/>
      <c r="AO27" s="185"/>
      <c r="AP27" s="185"/>
      <c r="AQ27" s="185"/>
      <c r="AR27" s="185"/>
      <c r="AS27" s="185"/>
      <c r="AT27" s="185"/>
      <c r="AU27" s="185"/>
      <c r="AV27" s="185"/>
      <c r="AW27" s="185"/>
      <c r="AX27" s="185"/>
      <c r="AY27" s="185"/>
      <c r="AZ27" s="185"/>
      <c r="BA27" s="185"/>
      <c r="BB27" s="185"/>
      <c r="BC27" s="185"/>
      <c r="BD27" s="185"/>
      <c r="BE27" s="185"/>
      <c r="BF27" s="185"/>
      <c r="BG27" s="185"/>
      <c r="BH27" s="185">
        <f t="shared" ref="BH27:BH62" si="22">BI27+BJ27+BK27</f>
        <v>0</v>
      </c>
      <c r="BI27" s="185"/>
      <c r="BJ27" s="185"/>
      <c r="BK27" s="185"/>
      <c r="BL27" s="185">
        <f>F27+W27+Y27+Z27+AA27+AB27+AC27+AD27+AE27+AQ27+AR27+AS27+AT27+AU27+AV27+AW27+AX27+AY27+AZ27+BA27+BB27+BC27+BD27+BE27+BF27+BG27+BH27</f>
        <v>0</v>
      </c>
      <c r="BM27" s="185">
        <f>X67-BL27</f>
        <v>0</v>
      </c>
      <c r="BN27" s="185">
        <f t="shared" ref="BN27:BN33" si="23">D27+BM27</f>
        <v>0</v>
      </c>
      <c r="BP27" s="117"/>
    </row>
    <row r="28" spans="1:68" ht="20.100000000000001" customHeight="1">
      <c r="A28" s="19" t="s">
        <v>53</v>
      </c>
      <c r="B28" s="144" t="s">
        <v>54</v>
      </c>
      <c r="C28" s="30" t="s">
        <v>55</v>
      </c>
      <c r="D28" s="185"/>
      <c r="E28" s="185">
        <f t="shared" si="4"/>
        <v>0</v>
      </c>
      <c r="F28" s="185">
        <f t="shared" si="21"/>
        <v>0</v>
      </c>
      <c r="G28" s="185">
        <f t="shared" si="8"/>
        <v>0</v>
      </c>
      <c r="H28" s="185">
        <f t="shared" si="12"/>
        <v>0</v>
      </c>
      <c r="I28" s="185"/>
      <c r="J28" s="185"/>
      <c r="K28" s="185"/>
      <c r="L28" s="185"/>
      <c r="M28" s="185"/>
      <c r="N28" s="185"/>
      <c r="O28" s="185"/>
      <c r="P28" s="185"/>
      <c r="Q28" s="185"/>
      <c r="R28" s="185"/>
      <c r="S28" s="185"/>
      <c r="T28" s="185"/>
      <c r="U28" s="185"/>
      <c r="V28" s="185">
        <f t="shared" si="13"/>
        <v>0</v>
      </c>
      <c r="W28" s="185"/>
      <c r="X28" s="185"/>
      <c r="Y28" s="185">
        <f>D28-BL28</f>
        <v>0</v>
      </c>
      <c r="Z28" s="185"/>
      <c r="AA28" s="185"/>
      <c r="AB28" s="185"/>
      <c r="AC28" s="185"/>
      <c r="AD28" s="185"/>
      <c r="AE28" s="185">
        <f t="shared" si="9"/>
        <v>0</v>
      </c>
      <c r="AF28" s="185"/>
      <c r="AG28" s="185"/>
      <c r="AH28" s="185"/>
      <c r="AI28" s="185"/>
      <c r="AJ28" s="185"/>
      <c r="AK28" s="185"/>
      <c r="AL28" s="185"/>
      <c r="AM28" s="185"/>
      <c r="AN28" s="185"/>
      <c r="AO28" s="185"/>
      <c r="AP28" s="185"/>
      <c r="AQ28" s="185"/>
      <c r="AR28" s="185"/>
      <c r="AS28" s="185"/>
      <c r="AT28" s="185"/>
      <c r="AU28" s="185"/>
      <c r="AV28" s="185"/>
      <c r="AW28" s="185"/>
      <c r="AX28" s="185"/>
      <c r="AY28" s="185"/>
      <c r="AZ28" s="185"/>
      <c r="BA28" s="185"/>
      <c r="BB28" s="185"/>
      <c r="BC28" s="185"/>
      <c r="BD28" s="185"/>
      <c r="BE28" s="185"/>
      <c r="BF28" s="185"/>
      <c r="BG28" s="185"/>
      <c r="BH28" s="185">
        <f t="shared" si="22"/>
        <v>0</v>
      </c>
      <c r="BI28" s="185"/>
      <c r="BJ28" s="185"/>
      <c r="BK28" s="185"/>
      <c r="BL28" s="185">
        <f>E28+W28+X28+Z28+AA28+AB28+AC28+AD28+AE28+AQ28+AR28+AS28+AT28+AU28+AV28+AW28+AX28+AY28+AZ28+BA28+BB28+BC28+BD28+BE28+BF28+BG28+BH28</f>
        <v>0</v>
      </c>
      <c r="BM28" s="185">
        <f>Y67-BL28</f>
        <v>0</v>
      </c>
      <c r="BN28" s="185">
        <f t="shared" si="23"/>
        <v>0</v>
      </c>
      <c r="BP28" s="117"/>
    </row>
    <row r="29" spans="1:68" ht="20.100000000000001" customHeight="1">
      <c r="A29" s="19" t="s">
        <v>56</v>
      </c>
      <c r="B29" s="144" t="s">
        <v>57</v>
      </c>
      <c r="C29" s="30" t="s">
        <v>58</v>
      </c>
      <c r="D29" s="185"/>
      <c r="E29" s="185">
        <f t="shared" si="4"/>
        <v>0</v>
      </c>
      <c r="F29" s="185">
        <f t="shared" si="21"/>
        <v>0</v>
      </c>
      <c r="G29" s="185">
        <f t="shared" si="8"/>
        <v>0</v>
      </c>
      <c r="H29" s="185">
        <f t="shared" si="12"/>
        <v>0</v>
      </c>
      <c r="I29" s="185"/>
      <c r="J29" s="185"/>
      <c r="K29" s="185"/>
      <c r="L29" s="185"/>
      <c r="M29" s="185"/>
      <c r="N29" s="185"/>
      <c r="O29" s="185"/>
      <c r="P29" s="185"/>
      <c r="Q29" s="185"/>
      <c r="R29" s="185"/>
      <c r="S29" s="185"/>
      <c r="T29" s="185"/>
      <c r="U29" s="185"/>
      <c r="V29" s="185">
        <f t="shared" si="13"/>
        <v>0</v>
      </c>
      <c r="W29" s="185"/>
      <c r="X29" s="185"/>
      <c r="Y29" s="185"/>
      <c r="Z29" s="185">
        <f>D29-BL29</f>
        <v>0</v>
      </c>
      <c r="AA29" s="185"/>
      <c r="AB29" s="185"/>
      <c r="AC29" s="185"/>
      <c r="AD29" s="185"/>
      <c r="AE29" s="185">
        <f t="shared" si="9"/>
        <v>0</v>
      </c>
      <c r="AF29" s="185"/>
      <c r="AG29" s="185"/>
      <c r="AH29" s="185"/>
      <c r="AI29" s="185"/>
      <c r="AJ29" s="185"/>
      <c r="AK29" s="185"/>
      <c r="AL29" s="185"/>
      <c r="AM29" s="185"/>
      <c r="AN29" s="185"/>
      <c r="AO29" s="185"/>
      <c r="AP29" s="185"/>
      <c r="AQ29" s="185"/>
      <c r="AR29" s="185"/>
      <c r="AS29" s="185"/>
      <c r="AT29" s="185"/>
      <c r="AU29" s="185"/>
      <c r="AV29" s="185"/>
      <c r="AW29" s="185"/>
      <c r="AX29" s="185"/>
      <c r="AY29" s="185"/>
      <c r="AZ29" s="185"/>
      <c r="BA29" s="185"/>
      <c r="BB29" s="185"/>
      <c r="BC29" s="185"/>
      <c r="BD29" s="185"/>
      <c r="BE29" s="185"/>
      <c r="BF29" s="185"/>
      <c r="BG29" s="185"/>
      <c r="BH29" s="185">
        <f t="shared" si="22"/>
        <v>0</v>
      </c>
      <c r="BI29" s="185"/>
      <c r="BJ29" s="185"/>
      <c r="BK29" s="185"/>
      <c r="BL29" s="185">
        <f>E29+W29+X29+Y29+AA29+AB29+AC29+AD29+AE29+AQ29+AR29+AS29+AT29+AU29+AV29+AW29+AX29+AY29+AZ29+BA29+BB29+BC29+BD29+BE29+BF29+BG29+BH29</f>
        <v>0</v>
      </c>
      <c r="BM29" s="185">
        <f>Z67-BL29</f>
        <v>0</v>
      </c>
      <c r="BN29" s="185">
        <f t="shared" si="23"/>
        <v>0</v>
      </c>
      <c r="BP29" s="117"/>
    </row>
    <row r="30" spans="1:68" ht="20.100000000000001" customHeight="1">
      <c r="A30" s="19" t="s">
        <v>59</v>
      </c>
      <c r="B30" s="144" t="s">
        <v>60</v>
      </c>
      <c r="C30" s="30" t="s">
        <v>61</v>
      </c>
      <c r="D30" s="185"/>
      <c r="E30" s="185">
        <f t="shared" si="4"/>
        <v>0</v>
      </c>
      <c r="F30" s="185">
        <f t="shared" si="21"/>
        <v>0</v>
      </c>
      <c r="G30" s="185">
        <f t="shared" si="8"/>
        <v>0</v>
      </c>
      <c r="H30" s="185">
        <f t="shared" si="12"/>
        <v>0</v>
      </c>
      <c r="I30" s="185"/>
      <c r="J30" s="185"/>
      <c r="K30" s="185"/>
      <c r="L30" s="185"/>
      <c r="M30" s="185"/>
      <c r="N30" s="185"/>
      <c r="O30" s="185"/>
      <c r="P30" s="185"/>
      <c r="Q30" s="185"/>
      <c r="R30" s="185"/>
      <c r="S30" s="185"/>
      <c r="T30" s="185"/>
      <c r="U30" s="185"/>
      <c r="V30" s="185">
        <f t="shared" si="13"/>
        <v>0</v>
      </c>
      <c r="W30" s="185"/>
      <c r="X30" s="185"/>
      <c r="Y30" s="185"/>
      <c r="Z30" s="185"/>
      <c r="AA30" s="185">
        <f>D30-BL30</f>
        <v>0</v>
      </c>
      <c r="AB30" s="185"/>
      <c r="AC30" s="185"/>
      <c r="AD30" s="185"/>
      <c r="AE30" s="185">
        <f t="shared" si="9"/>
        <v>0</v>
      </c>
      <c r="AF30" s="185"/>
      <c r="AG30" s="185"/>
      <c r="AH30" s="185"/>
      <c r="AI30" s="185"/>
      <c r="AJ30" s="185"/>
      <c r="AK30" s="185"/>
      <c r="AL30" s="185"/>
      <c r="AM30" s="185"/>
      <c r="AN30" s="185"/>
      <c r="AO30" s="185"/>
      <c r="AP30" s="185"/>
      <c r="AQ30" s="185"/>
      <c r="AR30" s="185"/>
      <c r="AS30" s="185"/>
      <c r="AT30" s="185"/>
      <c r="AU30" s="185"/>
      <c r="AV30" s="185"/>
      <c r="AW30" s="185"/>
      <c r="AX30" s="185"/>
      <c r="AY30" s="185"/>
      <c r="AZ30" s="185"/>
      <c r="BA30" s="185"/>
      <c r="BB30" s="185"/>
      <c r="BC30" s="185"/>
      <c r="BD30" s="185"/>
      <c r="BE30" s="185"/>
      <c r="BF30" s="185"/>
      <c r="BG30" s="185"/>
      <c r="BH30" s="185">
        <f t="shared" si="22"/>
        <v>0</v>
      </c>
      <c r="BI30" s="185"/>
      <c r="BJ30" s="185"/>
      <c r="BK30" s="185"/>
      <c r="BL30" s="185">
        <f>E30+W30+X30+Y30+Z30+AB30+AC30+AD30+AE30+AQ30+AR30+AS30+AT30+AU30+AV30+AW30+AX30+AY30+AZ30+BA30+BB30+BC30+BD30+BE30+BF30+BG30+BH30</f>
        <v>0</v>
      </c>
      <c r="BM30" s="185">
        <f>AA67-BL30</f>
        <v>0</v>
      </c>
      <c r="BN30" s="185">
        <f t="shared" si="23"/>
        <v>0</v>
      </c>
      <c r="BP30" s="117"/>
    </row>
    <row r="31" spans="1:68" ht="20.100000000000001" customHeight="1">
      <c r="A31" s="19" t="s">
        <v>62</v>
      </c>
      <c r="B31" s="144" t="s">
        <v>63</v>
      </c>
      <c r="C31" s="30" t="s">
        <v>64</v>
      </c>
      <c r="D31" s="185">
        <f>#REF!</f>
        <v>1.79</v>
      </c>
      <c r="E31" s="185">
        <f t="shared" si="4"/>
        <v>0</v>
      </c>
      <c r="F31" s="185">
        <f t="shared" si="21"/>
        <v>0</v>
      </c>
      <c r="G31" s="185">
        <f t="shared" si="8"/>
        <v>0</v>
      </c>
      <c r="H31" s="185">
        <f t="shared" si="12"/>
        <v>0</v>
      </c>
      <c r="I31" s="185"/>
      <c r="J31" s="185"/>
      <c r="K31" s="185"/>
      <c r="L31" s="185"/>
      <c r="M31" s="185"/>
      <c r="N31" s="185"/>
      <c r="O31" s="185"/>
      <c r="P31" s="185"/>
      <c r="Q31" s="185"/>
      <c r="R31" s="185"/>
      <c r="S31" s="185"/>
      <c r="T31" s="185"/>
      <c r="U31" s="185"/>
      <c r="V31" s="185">
        <f>W31+X31+Y31+Z31+AA31+AB31+AC31+AD31+AE31+AQ31+AR31+AS31+AT31+AU31+AV31+AW31+AX31+AY31+AZ31+BA31+BB31+BC31+BD31+BE31+BF31+BG31</f>
        <v>1.79</v>
      </c>
      <c r="W31" s="185"/>
      <c r="X31" s="185"/>
      <c r="Y31" s="185"/>
      <c r="Z31" s="185"/>
      <c r="AA31" s="185"/>
      <c r="AB31" s="185">
        <f>D31-BL31</f>
        <v>1.79</v>
      </c>
      <c r="AC31" s="185"/>
      <c r="AD31" s="185"/>
      <c r="AE31" s="185">
        <f t="shared" si="9"/>
        <v>0</v>
      </c>
      <c r="AF31" s="185"/>
      <c r="AG31" s="185"/>
      <c r="AH31" s="185"/>
      <c r="AI31" s="185"/>
      <c r="AJ31" s="185"/>
      <c r="AK31" s="185"/>
      <c r="AL31" s="185"/>
      <c r="AM31" s="185"/>
      <c r="AN31" s="185"/>
      <c r="AO31" s="185"/>
      <c r="AP31" s="185"/>
      <c r="AQ31" s="185"/>
      <c r="AR31" s="185"/>
      <c r="AS31" s="185"/>
      <c r="AT31" s="185"/>
      <c r="AU31" s="185"/>
      <c r="AV31" s="185"/>
      <c r="AW31" s="185"/>
      <c r="AX31" s="185"/>
      <c r="AY31" s="185"/>
      <c r="AZ31" s="185"/>
      <c r="BA31" s="185"/>
      <c r="BB31" s="185"/>
      <c r="BC31" s="185"/>
      <c r="BD31" s="185"/>
      <c r="BE31" s="185"/>
      <c r="BF31" s="185"/>
      <c r="BG31" s="185"/>
      <c r="BH31" s="185">
        <f>BI31+BJ31+BK31</f>
        <v>0</v>
      </c>
      <c r="BI31" s="185"/>
      <c r="BJ31" s="185"/>
      <c r="BK31" s="185"/>
      <c r="BL31" s="185">
        <f>E31+W31+X31+Y31+Z31+AA31+AC31+AD31+AE31+AQ31+AR31+AS31+AT31+AU31+AV31+AW31+AX31+AY31+AZ31+BA31+BB31+BC31+BD31+BE31+BF31+BG31+BH31</f>
        <v>0</v>
      </c>
      <c r="BM31" s="185">
        <f>AB67-BL31</f>
        <v>0.15</v>
      </c>
      <c r="BN31" s="185">
        <f t="shared" si="23"/>
        <v>1.94</v>
      </c>
      <c r="BP31" s="117"/>
    </row>
    <row r="32" spans="1:68" ht="20.100000000000001" customHeight="1">
      <c r="A32" s="19" t="s">
        <v>65</v>
      </c>
      <c r="B32" s="144" t="s">
        <v>66</v>
      </c>
      <c r="C32" s="30" t="s">
        <v>67</v>
      </c>
      <c r="D32" s="185">
        <f>#REF!</f>
        <v>5.89</v>
      </c>
      <c r="E32" s="185">
        <f t="shared" si="4"/>
        <v>0</v>
      </c>
      <c r="F32" s="185">
        <f t="shared" si="21"/>
        <v>0</v>
      </c>
      <c r="G32" s="185">
        <f t="shared" si="8"/>
        <v>0</v>
      </c>
      <c r="H32" s="185">
        <f t="shared" si="12"/>
        <v>0</v>
      </c>
      <c r="I32" s="185"/>
      <c r="J32" s="185"/>
      <c r="K32" s="185"/>
      <c r="L32" s="185"/>
      <c r="M32" s="185"/>
      <c r="N32" s="185"/>
      <c r="O32" s="185"/>
      <c r="P32" s="185"/>
      <c r="Q32" s="185"/>
      <c r="R32" s="185"/>
      <c r="S32" s="185"/>
      <c r="T32" s="185"/>
      <c r="U32" s="185"/>
      <c r="V32" s="185">
        <f t="shared" si="13"/>
        <v>5.89</v>
      </c>
      <c r="W32" s="185"/>
      <c r="X32" s="185"/>
      <c r="Y32" s="185"/>
      <c r="Z32" s="185"/>
      <c r="AA32" s="185"/>
      <c r="AB32" s="185"/>
      <c r="AC32" s="185">
        <f>D32-BL32</f>
        <v>5.89</v>
      </c>
      <c r="AD32" s="185"/>
      <c r="AE32" s="185">
        <f t="shared" si="9"/>
        <v>0</v>
      </c>
      <c r="AF32" s="185"/>
      <c r="AG32" s="185"/>
      <c r="AH32" s="185"/>
      <c r="AI32" s="185"/>
      <c r="AJ32" s="185"/>
      <c r="AK32" s="185"/>
      <c r="AL32" s="185"/>
      <c r="AM32" s="185"/>
      <c r="AN32" s="185"/>
      <c r="AO32" s="185"/>
      <c r="AP32" s="185"/>
      <c r="AQ32" s="185"/>
      <c r="AR32" s="185"/>
      <c r="AS32" s="185"/>
      <c r="AT32" s="185"/>
      <c r="AU32" s="185"/>
      <c r="AV32" s="185"/>
      <c r="AW32" s="185"/>
      <c r="AX32" s="185"/>
      <c r="AY32" s="185"/>
      <c r="AZ32" s="185"/>
      <c r="BA32" s="185"/>
      <c r="BB32" s="185"/>
      <c r="BC32" s="185"/>
      <c r="BD32" s="185"/>
      <c r="BE32" s="185"/>
      <c r="BF32" s="185"/>
      <c r="BG32" s="185"/>
      <c r="BH32" s="185">
        <f t="shared" si="22"/>
        <v>0</v>
      </c>
      <c r="BI32" s="185"/>
      <c r="BJ32" s="185"/>
      <c r="BK32" s="185"/>
      <c r="BL32" s="185">
        <f>E32+W32+X32+Y32+Z32+AA32+AB32+AD32+AE32+AQ32+AR32+AS32+AT32+AU32+AV32+AW32+AX32+AY32+AZ32+BA32+BB32+BC32+BD32+BE32+BF32+BG32+BH32</f>
        <v>0</v>
      </c>
      <c r="BM32" s="185">
        <f>AC67-BL32</f>
        <v>0</v>
      </c>
      <c r="BN32" s="185">
        <f t="shared" si="23"/>
        <v>5.89</v>
      </c>
      <c r="BP32" s="117"/>
    </row>
    <row r="33" spans="1:68" ht="20.100000000000001" customHeight="1">
      <c r="A33" s="19" t="s">
        <v>68</v>
      </c>
      <c r="B33" s="144" t="s">
        <v>69</v>
      </c>
      <c r="C33" s="30" t="s">
        <v>70</v>
      </c>
      <c r="D33" s="185"/>
      <c r="E33" s="185">
        <f t="shared" si="4"/>
        <v>0</v>
      </c>
      <c r="F33" s="185">
        <f t="shared" si="21"/>
        <v>0</v>
      </c>
      <c r="G33" s="185">
        <f t="shared" si="8"/>
        <v>0</v>
      </c>
      <c r="H33" s="185">
        <f t="shared" si="12"/>
        <v>0</v>
      </c>
      <c r="I33" s="185"/>
      <c r="J33" s="185"/>
      <c r="K33" s="185"/>
      <c r="L33" s="185"/>
      <c r="M33" s="185"/>
      <c r="N33" s="185"/>
      <c r="O33" s="185"/>
      <c r="P33" s="185"/>
      <c r="Q33" s="185"/>
      <c r="R33" s="185"/>
      <c r="S33" s="185"/>
      <c r="T33" s="185"/>
      <c r="U33" s="185"/>
      <c r="V33" s="185">
        <f t="shared" si="13"/>
        <v>0</v>
      </c>
      <c r="W33" s="185"/>
      <c r="X33" s="185"/>
      <c r="Y33" s="185"/>
      <c r="Z33" s="185"/>
      <c r="AA33" s="185"/>
      <c r="AB33" s="185"/>
      <c r="AC33" s="185"/>
      <c r="AD33" s="185">
        <f>D33-BL33</f>
        <v>0</v>
      </c>
      <c r="AE33" s="185">
        <f t="shared" si="9"/>
        <v>0</v>
      </c>
      <c r="AF33" s="185"/>
      <c r="AG33" s="185"/>
      <c r="AH33" s="185"/>
      <c r="AI33" s="185"/>
      <c r="AJ33" s="185"/>
      <c r="AK33" s="185"/>
      <c r="AL33" s="185"/>
      <c r="AM33" s="185"/>
      <c r="AN33" s="185"/>
      <c r="AO33" s="185"/>
      <c r="AP33" s="185"/>
      <c r="AQ33" s="185"/>
      <c r="AR33" s="185"/>
      <c r="AS33" s="185"/>
      <c r="AT33" s="185"/>
      <c r="AU33" s="185"/>
      <c r="AV33" s="185"/>
      <c r="AW33" s="185"/>
      <c r="AX33" s="185"/>
      <c r="AY33" s="185"/>
      <c r="AZ33" s="185"/>
      <c r="BA33" s="185"/>
      <c r="BB33" s="185"/>
      <c r="BC33" s="185"/>
      <c r="BD33" s="185"/>
      <c r="BE33" s="185"/>
      <c r="BF33" s="185"/>
      <c r="BG33" s="185"/>
      <c r="BH33" s="185">
        <f t="shared" si="22"/>
        <v>0</v>
      </c>
      <c r="BI33" s="185"/>
      <c r="BJ33" s="185"/>
      <c r="BK33" s="185"/>
      <c r="BL33" s="185">
        <f>E33+W33+X33+Y33+Z33+AA33+AB33+AC33+AE33+AQ33+AR33+AS33+AT33+AU33+AV33+AW33+AX33+AY33+AZ33+BA33+BB33+BC33+BD33+BE33+BF33+BG33+BH33</f>
        <v>0</v>
      </c>
      <c r="BM33" s="185">
        <f>AD67-BL33</f>
        <v>0</v>
      </c>
      <c r="BN33" s="185">
        <f t="shared" si="23"/>
        <v>0</v>
      </c>
      <c r="BP33" s="117"/>
    </row>
    <row r="34" spans="1:68" ht="40.5" customHeight="1">
      <c r="A34" s="19" t="s">
        <v>71</v>
      </c>
      <c r="B34" s="144" t="s">
        <v>135</v>
      </c>
      <c r="C34" s="30" t="s">
        <v>72</v>
      </c>
      <c r="D34" s="185">
        <f>SUM(D35:D45)</f>
        <v>158.82499999999999</v>
      </c>
      <c r="E34" s="185">
        <f>SUM(E35:E45)</f>
        <v>11.2</v>
      </c>
      <c r="F34" s="185">
        <f t="shared" ref="F34:U34" si="24">SUM(F35:F45)</f>
        <v>0</v>
      </c>
      <c r="G34" s="185">
        <f t="shared" si="24"/>
        <v>0</v>
      </c>
      <c r="H34" s="185">
        <f t="shared" si="24"/>
        <v>0</v>
      </c>
      <c r="I34" s="185">
        <f t="shared" si="24"/>
        <v>0</v>
      </c>
      <c r="J34" s="185">
        <f t="shared" si="24"/>
        <v>0</v>
      </c>
      <c r="K34" s="185">
        <f t="shared" si="24"/>
        <v>0</v>
      </c>
      <c r="L34" s="185">
        <f t="shared" si="24"/>
        <v>0</v>
      </c>
      <c r="M34" s="185">
        <f t="shared" si="24"/>
        <v>0</v>
      </c>
      <c r="N34" s="185">
        <f t="shared" si="24"/>
        <v>0</v>
      </c>
      <c r="O34" s="185">
        <f t="shared" si="24"/>
        <v>0</v>
      </c>
      <c r="P34" s="185">
        <f t="shared" si="24"/>
        <v>0</v>
      </c>
      <c r="Q34" s="185">
        <f t="shared" si="24"/>
        <v>0</v>
      </c>
      <c r="R34" s="185">
        <f t="shared" si="24"/>
        <v>0</v>
      </c>
      <c r="S34" s="185">
        <f t="shared" si="24"/>
        <v>11.2</v>
      </c>
      <c r="T34" s="185">
        <f t="shared" si="24"/>
        <v>0</v>
      </c>
      <c r="U34" s="185">
        <f t="shared" si="24"/>
        <v>0</v>
      </c>
      <c r="V34" s="185">
        <f>SUM(V35:V45)</f>
        <v>147.625</v>
      </c>
      <c r="W34" s="185">
        <f t="shared" ref="W34:AD34" si="25">SUM(W35:W45)</f>
        <v>0</v>
      </c>
      <c r="X34" s="185">
        <f t="shared" si="25"/>
        <v>0</v>
      </c>
      <c r="Y34" s="185">
        <f t="shared" si="25"/>
        <v>0</v>
      </c>
      <c r="Z34" s="185">
        <f t="shared" si="25"/>
        <v>0</v>
      </c>
      <c r="AA34" s="185">
        <f t="shared" si="25"/>
        <v>0</v>
      </c>
      <c r="AB34" s="185">
        <f t="shared" si="25"/>
        <v>0</v>
      </c>
      <c r="AC34" s="185">
        <f t="shared" si="25"/>
        <v>0</v>
      </c>
      <c r="AD34" s="185">
        <f t="shared" si="25"/>
        <v>0</v>
      </c>
      <c r="AE34" s="185">
        <f>D34-BL34</f>
        <v>146.76499999999999</v>
      </c>
      <c r="AF34" s="185">
        <f>SUM(AF35:AF45)</f>
        <v>4.9850000000000003</v>
      </c>
      <c r="AG34" s="185">
        <f t="shared" ref="AG34:BE34" si="26">SUM(AG35:AG45)</f>
        <v>0.08</v>
      </c>
      <c r="AH34" s="185">
        <f t="shared" si="26"/>
        <v>3.19</v>
      </c>
      <c r="AI34" s="185">
        <f t="shared" si="26"/>
        <v>0.01</v>
      </c>
      <c r="AJ34" s="185">
        <f t="shared" si="26"/>
        <v>0</v>
      </c>
      <c r="AK34" s="185">
        <f t="shared" si="26"/>
        <v>0</v>
      </c>
      <c r="AL34" s="185">
        <f t="shared" si="26"/>
        <v>111.49</v>
      </c>
      <c r="AM34" s="185">
        <f t="shared" si="26"/>
        <v>26.75</v>
      </c>
      <c r="AN34" s="185">
        <f t="shared" si="26"/>
        <v>0.03</v>
      </c>
      <c r="AO34" s="185">
        <f t="shared" si="26"/>
        <v>0.04</v>
      </c>
      <c r="AP34" s="185">
        <f t="shared" si="26"/>
        <v>0.19</v>
      </c>
      <c r="AQ34" s="185">
        <f t="shared" si="26"/>
        <v>0</v>
      </c>
      <c r="AR34" s="185">
        <f t="shared" si="26"/>
        <v>0</v>
      </c>
      <c r="AS34" s="185">
        <f t="shared" si="26"/>
        <v>0.43</v>
      </c>
      <c r="AT34" s="185">
        <f t="shared" si="26"/>
        <v>0.43</v>
      </c>
      <c r="AU34" s="185">
        <f t="shared" si="26"/>
        <v>0</v>
      </c>
      <c r="AV34" s="185">
        <f t="shared" si="26"/>
        <v>0</v>
      </c>
      <c r="AW34" s="185">
        <f t="shared" si="26"/>
        <v>0</v>
      </c>
      <c r="AX34" s="185">
        <f t="shared" si="26"/>
        <v>0</v>
      </c>
      <c r="AY34" s="185">
        <f t="shared" si="26"/>
        <v>0</v>
      </c>
      <c r="AZ34" s="185">
        <f t="shared" si="26"/>
        <v>0</v>
      </c>
      <c r="BA34" s="185">
        <f t="shared" si="26"/>
        <v>0</v>
      </c>
      <c r="BB34" s="185">
        <f t="shared" si="26"/>
        <v>0</v>
      </c>
      <c r="BC34" s="185">
        <f t="shared" si="26"/>
        <v>0</v>
      </c>
      <c r="BD34" s="185">
        <f t="shared" si="26"/>
        <v>0</v>
      </c>
      <c r="BE34" s="185">
        <f t="shared" si="26"/>
        <v>0</v>
      </c>
      <c r="BF34" s="185">
        <f>SUM(BF35:BF45)</f>
        <v>0</v>
      </c>
      <c r="BG34" s="185">
        <f>SUM(BG35:BG45)</f>
        <v>0</v>
      </c>
      <c r="BH34" s="185">
        <f>BI34+BJ34+BK34</f>
        <v>0</v>
      </c>
      <c r="BI34" s="185">
        <f>SUM(BI35:BI45)</f>
        <v>0</v>
      </c>
      <c r="BJ34" s="185">
        <f>SUM(BJ35:BJ45)</f>
        <v>0</v>
      </c>
      <c r="BK34" s="185">
        <f>SUM(BK35:BK45)</f>
        <v>0</v>
      </c>
      <c r="BL34" s="185">
        <f>E34+W34+X34+Y34+Z34+AA34+AB34+AC34+AQ34+AR34+AS34+AT34+AU34+AV34+AW34+AX34+AY34+AZ34+BA34+BB34+BC34+BD34+BE34+BF34+BG34+BH34</f>
        <v>12.059999999999999</v>
      </c>
      <c r="BM34" s="185">
        <f>AE67-BL34</f>
        <v>-1.6899999999999995</v>
      </c>
      <c r="BN34" s="185">
        <f>SUM(BN35:BN45)</f>
        <v>157.13499999999999</v>
      </c>
      <c r="BP34" s="117"/>
    </row>
    <row r="35" spans="1:68" ht="20.100000000000001" customHeight="1">
      <c r="A35" s="14" t="s">
        <v>224</v>
      </c>
      <c r="B35" s="143" t="s">
        <v>478</v>
      </c>
      <c r="C35" s="30" t="s">
        <v>202</v>
      </c>
      <c r="D35" s="185">
        <f>#REF!</f>
        <v>4.9850000000000003</v>
      </c>
      <c r="E35" s="185">
        <f t="shared" si="4"/>
        <v>0</v>
      </c>
      <c r="F35" s="185">
        <f t="shared" si="21"/>
        <v>0</v>
      </c>
      <c r="G35" s="185">
        <f t="shared" si="8"/>
        <v>0</v>
      </c>
      <c r="H35" s="185">
        <f t="shared" si="12"/>
        <v>0</v>
      </c>
      <c r="I35" s="185"/>
      <c r="J35" s="185"/>
      <c r="K35" s="185"/>
      <c r="L35" s="185"/>
      <c r="M35" s="185"/>
      <c r="N35" s="185"/>
      <c r="O35" s="185"/>
      <c r="P35" s="185"/>
      <c r="Q35" s="185"/>
      <c r="R35" s="185"/>
      <c r="S35" s="185"/>
      <c r="T35" s="185"/>
      <c r="U35" s="185"/>
      <c r="V35" s="185">
        <f t="shared" si="13"/>
        <v>4.9850000000000003</v>
      </c>
      <c r="W35" s="185"/>
      <c r="X35" s="185"/>
      <c r="Y35" s="185"/>
      <c r="Z35" s="185"/>
      <c r="AA35" s="185"/>
      <c r="AB35" s="185"/>
      <c r="AC35" s="185"/>
      <c r="AD35" s="185"/>
      <c r="AE35" s="185">
        <f>SUM(AF35:AP35)</f>
        <v>4.9850000000000003</v>
      </c>
      <c r="AF35" s="185">
        <f>D35-BL35</f>
        <v>4.9850000000000003</v>
      </c>
      <c r="AG35" s="185"/>
      <c r="AH35" s="185"/>
      <c r="AI35" s="185"/>
      <c r="AJ35" s="185"/>
      <c r="AK35" s="185"/>
      <c r="AL35" s="185"/>
      <c r="AM35" s="185"/>
      <c r="AN35" s="185"/>
      <c r="AO35" s="185"/>
      <c r="AP35" s="185"/>
      <c r="AQ35" s="185"/>
      <c r="AR35" s="185"/>
      <c r="AS35" s="185"/>
      <c r="AT35" s="185"/>
      <c r="AU35" s="185"/>
      <c r="AV35" s="185"/>
      <c r="AW35" s="185"/>
      <c r="AX35" s="185"/>
      <c r="AY35" s="185"/>
      <c r="AZ35" s="185"/>
      <c r="BA35" s="185"/>
      <c r="BB35" s="185"/>
      <c r="BC35" s="185"/>
      <c r="BD35" s="185"/>
      <c r="BE35" s="185"/>
      <c r="BF35" s="185"/>
      <c r="BG35" s="185"/>
      <c r="BH35" s="185">
        <f t="shared" si="22"/>
        <v>0</v>
      </c>
      <c r="BI35" s="185"/>
      <c r="BJ35" s="185"/>
      <c r="BK35" s="185"/>
      <c r="BL35" s="185">
        <f>E35+W35+X35+Y35+Z35+AA35+AB35+AC35+AD35+AG35+AH35+AI35+AJ35+AK35+AL35+AM35+AN35+AO35+AP35+AQ35+AR35+AS35+AT35+AU35+AV35+AW35+AX35+AY35+AZ35+BA35+BB35+BC35+BD35</f>
        <v>0</v>
      </c>
      <c r="BM35" s="185">
        <f>AF67-BL35</f>
        <v>0</v>
      </c>
      <c r="BN35" s="185">
        <f>D35+BM35</f>
        <v>4.9850000000000003</v>
      </c>
      <c r="BP35" s="117"/>
    </row>
    <row r="36" spans="1:68" ht="20.100000000000001" customHeight="1">
      <c r="A36" s="14" t="s">
        <v>225</v>
      </c>
      <c r="B36" s="143" t="s">
        <v>479</v>
      </c>
      <c r="C36" s="30" t="s">
        <v>203</v>
      </c>
      <c r="D36" s="185">
        <f>#REF!</f>
        <v>0.08</v>
      </c>
      <c r="E36" s="185">
        <f t="shared" si="4"/>
        <v>0</v>
      </c>
      <c r="F36" s="185">
        <f t="shared" si="21"/>
        <v>0</v>
      </c>
      <c r="G36" s="185">
        <f t="shared" si="8"/>
        <v>0</v>
      </c>
      <c r="H36" s="185">
        <f t="shared" si="12"/>
        <v>0</v>
      </c>
      <c r="I36" s="185"/>
      <c r="J36" s="185"/>
      <c r="K36" s="185"/>
      <c r="L36" s="185"/>
      <c r="M36" s="185"/>
      <c r="N36" s="185"/>
      <c r="O36" s="185"/>
      <c r="P36" s="185"/>
      <c r="Q36" s="185"/>
      <c r="R36" s="185"/>
      <c r="S36" s="185"/>
      <c r="T36" s="185"/>
      <c r="U36" s="185"/>
      <c r="V36" s="185">
        <f t="shared" si="13"/>
        <v>0.08</v>
      </c>
      <c r="W36" s="185"/>
      <c r="X36" s="185"/>
      <c r="Y36" s="185"/>
      <c r="Z36" s="185"/>
      <c r="AA36" s="185"/>
      <c r="AB36" s="185"/>
      <c r="AC36" s="185"/>
      <c r="AD36" s="185"/>
      <c r="AE36" s="185">
        <f t="shared" ref="AE36:AE66" si="27">SUM(AF36:AP36)</f>
        <v>0.08</v>
      </c>
      <c r="AF36" s="185"/>
      <c r="AG36" s="185">
        <f>D36-BL36</f>
        <v>0.08</v>
      </c>
      <c r="AH36" s="185"/>
      <c r="AI36" s="185"/>
      <c r="AJ36" s="185"/>
      <c r="AK36" s="185"/>
      <c r="AL36" s="185"/>
      <c r="AM36" s="185"/>
      <c r="AN36" s="185"/>
      <c r="AO36" s="185"/>
      <c r="AP36" s="185"/>
      <c r="AQ36" s="185"/>
      <c r="AR36" s="185"/>
      <c r="AS36" s="185"/>
      <c r="AT36" s="185"/>
      <c r="AU36" s="185"/>
      <c r="AV36" s="185"/>
      <c r="AW36" s="185"/>
      <c r="AX36" s="185"/>
      <c r="AY36" s="185"/>
      <c r="AZ36" s="185"/>
      <c r="BA36" s="185"/>
      <c r="BB36" s="185"/>
      <c r="BC36" s="185"/>
      <c r="BD36" s="185"/>
      <c r="BE36" s="185"/>
      <c r="BF36" s="185"/>
      <c r="BG36" s="185"/>
      <c r="BH36" s="185">
        <f t="shared" si="22"/>
        <v>0</v>
      </c>
      <c r="BI36" s="185"/>
      <c r="BJ36" s="185"/>
      <c r="BK36" s="185"/>
      <c r="BL36" s="185">
        <f>E36+W36+X36+Y36+Z36+AA36+AB36+AC36+AD36+AF36+AH36+AI36+AJ36+AK36+AL36+AM36+AN36+AO36+AP36+AQ36+AR36+AS36+AT36+AU36+AV36+AW36+AX36+AY36+AZ36+BA36+BB36+BC36+BD36+BE36+BF36+BG36+BH36</f>
        <v>0</v>
      </c>
      <c r="BM36" s="185">
        <f>AG67-BL36</f>
        <v>0</v>
      </c>
      <c r="BN36" s="185">
        <f t="shared" ref="BN36:BN45" si="28">D36+BM36</f>
        <v>0.08</v>
      </c>
      <c r="BP36" s="117"/>
    </row>
    <row r="37" spans="1:68" ht="20.100000000000001" customHeight="1">
      <c r="A37" s="14" t="s">
        <v>226</v>
      </c>
      <c r="B37" s="143" t="s">
        <v>480</v>
      </c>
      <c r="C37" s="30" t="s">
        <v>204</v>
      </c>
      <c r="D37" s="185">
        <f>#REF!</f>
        <v>3.56</v>
      </c>
      <c r="E37" s="185">
        <f t="shared" si="4"/>
        <v>0</v>
      </c>
      <c r="F37" s="185">
        <f t="shared" si="21"/>
        <v>0</v>
      </c>
      <c r="G37" s="185">
        <f t="shared" si="8"/>
        <v>0</v>
      </c>
      <c r="H37" s="185">
        <f t="shared" si="12"/>
        <v>0</v>
      </c>
      <c r="I37" s="185"/>
      <c r="J37" s="185"/>
      <c r="K37" s="185"/>
      <c r="L37" s="185"/>
      <c r="M37" s="185"/>
      <c r="N37" s="185"/>
      <c r="O37" s="185"/>
      <c r="P37" s="185"/>
      <c r="Q37" s="185"/>
      <c r="R37" s="185"/>
      <c r="S37" s="185"/>
      <c r="T37" s="185"/>
      <c r="U37" s="185"/>
      <c r="V37" s="185">
        <f t="shared" si="13"/>
        <v>3.56</v>
      </c>
      <c r="W37" s="185"/>
      <c r="X37" s="185"/>
      <c r="Y37" s="185"/>
      <c r="Z37" s="185"/>
      <c r="AA37" s="185"/>
      <c r="AB37" s="185"/>
      <c r="AC37" s="185"/>
      <c r="AD37" s="185"/>
      <c r="AE37" s="185">
        <f t="shared" si="27"/>
        <v>3.19</v>
      </c>
      <c r="AF37" s="185"/>
      <c r="AG37" s="185"/>
      <c r="AH37" s="185">
        <f>D37-BL37</f>
        <v>3.19</v>
      </c>
      <c r="AI37" s="185"/>
      <c r="AJ37" s="185"/>
      <c r="AK37" s="185"/>
      <c r="AL37" s="185"/>
      <c r="AM37" s="185"/>
      <c r="AN37" s="185"/>
      <c r="AO37" s="185"/>
      <c r="AP37" s="185"/>
      <c r="AQ37" s="185"/>
      <c r="AR37" s="185"/>
      <c r="AS37" s="185"/>
      <c r="AT37" s="185">
        <v>0.37</v>
      </c>
      <c r="AU37" s="185"/>
      <c r="AV37" s="185"/>
      <c r="AW37" s="185"/>
      <c r="AX37" s="185"/>
      <c r="AY37" s="185"/>
      <c r="AZ37" s="185"/>
      <c r="BA37" s="185"/>
      <c r="BB37" s="185"/>
      <c r="BC37" s="185"/>
      <c r="BD37" s="185"/>
      <c r="BE37" s="185"/>
      <c r="BF37" s="185"/>
      <c r="BG37" s="185"/>
      <c r="BH37" s="185">
        <f t="shared" si="22"/>
        <v>0</v>
      </c>
      <c r="BI37" s="185"/>
      <c r="BJ37" s="185"/>
      <c r="BK37" s="185"/>
      <c r="BL37" s="185">
        <f>E37+W37+X37+Y37+Z37+AA37+AB37+AC37+AD37+AF37+AG37+AI37+AJ37+AK37+AL37+AM37+AN37+AO37+AP37+AQ37+AR37+AS37+AT37+AU37+AV37+AW37+AX37+AY37+AZ37+BA37+BB37+BC37+BD37+BE37+BF37+BG37+BH37</f>
        <v>0.37</v>
      </c>
      <c r="BM37" s="185">
        <f>AH67-BL37</f>
        <v>-0.37</v>
      </c>
      <c r="BN37" s="185">
        <f t="shared" si="28"/>
        <v>3.19</v>
      </c>
      <c r="BP37" s="117"/>
    </row>
    <row r="38" spans="1:68" ht="20.100000000000001" customHeight="1">
      <c r="A38" s="14" t="s">
        <v>227</v>
      </c>
      <c r="B38" s="143" t="s">
        <v>481</v>
      </c>
      <c r="C38" s="30" t="s">
        <v>205</v>
      </c>
      <c r="D38" s="185">
        <f>#REF!</f>
        <v>0.01</v>
      </c>
      <c r="E38" s="185">
        <f t="shared" si="4"/>
        <v>0</v>
      </c>
      <c r="F38" s="185">
        <f t="shared" si="21"/>
        <v>0</v>
      </c>
      <c r="G38" s="185">
        <f t="shared" si="8"/>
        <v>0</v>
      </c>
      <c r="H38" s="185">
        <f t="shared" si="12"/>
        <v>0</v>
      </c>
      <c r="I38" s="185"/>
      <c r="J38" s="185"/>
      <c r="K38" s="185"/>
      <c r="L38" s="185"/>
      <c r="M38" s="185"/>
      <c r="N38" s="185"/>
      <c r="O38" s="185"/>
      <c r="P38" s="185"/>
      <c r="Q38" s="185"/>
      <c r="R38" s="185"/>
      <c r="S38" s="185"/>
      <c r="T38" s="185"/>
      <c r="U38" s="185"/>
      <c r="V38" s="185">
        <f t="shared" si="13"/>
        <v>0.01</v>
      </c>
      <c r="W38" s="185"/>
      <c r="X38" s="185"/>
      <c r="Y38" s="185"/>
      <c r="Z38" s="185"/>
      <c r="AA38" s="185"/>
      <c r="AB38" s="185"/>
      <c r="AC38" s="185"/>
      <c r="AD38" s="185"/>
      <c r="AE38" s="185">
        <f t="shared" si="27"/>
        <v>0.01</v>
      </c>
      <c r="AF38" s="185"/>
      <c r="AG38" s="185"/>
      <c r="AH38" s="185"/>
      <c r="AI38" s="185">
        <f>D38-BL38</f>
        <v>0.01</v>
      </c>
      <c r="AJ38" s="185"/>
      <c r="AK38" s="185"/>
      <c r="AL38" s="185"/>
      <c r="AM38" s="185"/>
      <c r="AN38" s="185"/>
      <c r="AO38" s="185"/>
      <c r="AP38" s="185"/>
      <c r="AQ38" s="185"/>
      <c r="AR38" s="185"/>
      <c r="AS38" s="185"/>
      <c r="AT38" s="185"/>
      <c r="AU38" s="185"/>
      <c r="AV38" s="185"/>
      <c r="AW38" s="185"/>
      <c r="AX38" s="185"/>
      <c r="AY38" s="185"/>
      <c r="AZ38" s="185"/>
      <c r="BA38" s="185"/>
      <c r="BB38" s="185"/>
      <c r="BC38" s="185"/>
      <c r="BD38" s="185"/>
      <c r="BE38" s="185"/>
      <c r="BF38" s="185"/>
      <c r="BG38" s="185"/>
      <c r="BH38" s="185">
        <f t="shared" si="22"/>
        <v>0</v>
      </c>
      <c r="BI38" s="185"/>
      <c r="BJ38" s="185"/>
      <c r="BK38" s="185"/>
      <c r="BL38" s="185">
        <f>E38+W38+X38+Y38+Z38+AA38+AB38+AC38+AD38+AF38+AG38+AH38+AJ38+AK38+AL38+AM38+AN38+AO38+AP38+AQ38+AR38+AS38+AT38+AU38+AV38+AW38+AX38+AY38+AZ38+BA38+BB38+BC38+BD38+BE38+BF38+BG38+BH38</f>
        <v>0</v>
      </c>
      <c r="BM38" s="185">
        <f>AI67-BL38</f>
        <v>0</v>
      </c>
      <c r="BN38" s="185">
        <f t="shared" si="28"/>
        <v>0.01</v>
      </c>
      <c r="BP38" s="117"/>
    </row>
    <row r="39" spans="1:68" ht="20.100000000000001" customHeight="1">
      <c r="A39" s="14" t="s">
        <v>228</v>
      </c>
      <c r="B39" s="143" t="s">
        <v>482</v>
      </c>
      <c r="C39" s="30" t="s">
        <v>206</v>
      </c>
      <c r="D39" s="185"/>
      <c r="E39" s="185">
        <f t="shared" si="4"/>
        <v>0</v>
      </c>
      <c r="F39" s="185">
        <f t="shared" si="21"/>
        <v>0</v>
      </c>
      <c r="G39" s="185">
        <f t="shared" si="8"/>
        <v>0</v>
      </c>
      <c r="H39" s="185">
        <f t="shared" si="12"/>
        <v>0</v>
      </c>
      <c r="I39" s="185"/>
      <c r="J39" s="185"/>
      <c r="K39" s="185"/>
      <c r="L39" s="185"/>
      <c r="M39" s="185"/>
      <c r="N39" s="185"/>
      <c r="O39" s="185"/>
      <c r="P39" s="185"/>
      <c r="Q39" s="185"/>
      <c r="R39" s="185"/>
      <c r="S39" s="185"/>
      <c r="T39" s="185"/>
      <c r="U39" s="185"/>
      <c r="V39" s="185">
        <f t="shared" si="13"/>
        <v>0</v>
      </c>
      <c r="W39" s="185"/>
      <c r="X39" s="185"/>
      <c r="Y39" s="185"/>
      <c r="Z39" s="185"/>
      <c r="AA39" s="185"/>
      <c r="AB39" s="185"/>
      <c r="AC39" s="185"/>
      <c r="AD39" s="185"/>
      <c r="AE39" s="185">
        <f t="shared" si="27"/>
        <v>0</v>
      </c>
      <c r="AF39" s="185"/>
      <c r="AG39" s="185"/>
      <c r="AH39" s="185"/>
      <c r="AI39" s="185"/>
      <c r="AJ39" s="185">
        <f>D39-BL39</f>
        <v>0</v>
      </c>
      <c r="AK39" s="185"/>
      <c r="AL39" s="185"/>
      <c r="AM39" s="185"/>
      <c r="AN39" s="185"/>
      <c r="AO39" s="185"/>
      <c r="AP39" s="185"/>
      <c r="AQ39" s="185"/>
      <c r="AR39" s="185"/>
      <c r="AS39" s="185"/>
      <c r="AT39" s="185"/>
      <c r="AU39" s="185"/>
      <c r="AV39" s="185"/>
      <c r="AW39" s="185"/>
      <c r="AX39" s="185"/>
      <c r="AY39" s="185"/>
      <c r="AZ39" s="185"/>
      <c r="BA39" s="185"/>
      <c r="BB39" s="185"/>
      <c r="BC39" s="185"/>
      <c r="BD39" s="185"/>
      <c r="BE39" s="185"/>
      <c r="BF39" s="185"/>
      <c r="BG39" s="185"/>
      <c r="BH39" s="185">
        <f t="shared" si="22"/>
        <v>0</v>
      </c>
      <c r="BI39" s="185"/>
      <c r="BJ39" s="185"/>
      <c r="BK39" s="185"/>
      <c r="BL39" s="185">
        <f>E39+W39+X39+Y39+Z39+AA39+AB39+AC39+AD39+AQ39+AR39+AS39+AT39+AU39+AV39+AW39+AX39+AY39+AZ39+BA39+BB39+BC39+BD39+BE39+BF39+BG39+BH39+AF39+AG39+AH39+AI39+AK39+AL39+AM39+AN39+AO39+AP39</f>
        <v>0</v>
      </c>
      <c r="BM39" s="185">
        <f>AJ67-BL39</f>
        <v>0</v>
      </c>
      <c r="BN39" s="185">
        <f t="shared" si="28"/>
        <v>0</v>
      </c>
      <c r="BP39" s="117"/>
    </row>
    <row r="40" spans="1:68" ht="20.100000000000001" customHeight="1">
      <c r="A40" s="14" t="s">
        <v>229</v>
      </c>
      <c r="B40" s="143" t="s">
        <v>483</v>
      </c>
      <c r="C40" s="30" t="s">
        <v>207</v>
      </c>
      <c r="D40" s="185"/>
      <c r="E40" s="185">
        <f t="shared" si="4"/>
        <v>0</v>
      </c>
      <c r="F40" s="185">
        <f t="shared" si="21"/>
        <v>0</v>
      </c>
      <c r="G40" s="185">
        <f t="shared" si="8"/>
        <v>0</v>
      </c>
      <c r="H40" s="185">
        <f t="shared" si="12"/>
        <v>0</v>
      </c>
      <c r="I40" s="185"/>
      <c r="J40" s="185"/>
      <c r="K40" s="185"/>
      <c r="L40" s="185"/>
      <c r="M40" s="185"/>
      <c r="N40" s="185"/>
      <c r="O40" s="185"/>
      <c r="P40" s="185"/>
      <c r="Q40" s="185"/>
      <c r="R40" s="185"/>
      <c r="S40" s="185"/>
      <c r="T40" s="185"/>
      <c r="U40" s="185"/>
      <c r="V40" s="185">
        <f t="shared" si="13"/>
        <v>0</v>
      </c>
      <c r="W40" s="185"/>
      <c r="X40" s="185"/>
      <c r="Y40" s="185"/>
      <c r="Z40" s="185"/>
      <c r="AA40" s="185"/>
      <c r="AB40" s="185"/>
      <c r="AC40" s="185"/>
      <c r="AD40" s="185"/>
      <c r="AE40" s="185">
        <f t="shared" si="27"/>
        <v>0</v>
      </c>
      <c r="AF40" s="185"/>
      <c r="AG40" s="185"/>
      <c r="AH40" s="185"/>
      <c r="AI40" s="185"/>
      <c r="AJ40" s="185"/>
      <c r="AK40" s="185">
        <f>D40-BL40</f>
        <v>0</v>
      </c>
      <c r="AL40" s="185"/>
      <c r="AM40" s="185"/>
      <c r="AN40" s="185"/>
      <c r="AO40" s="185"/>
      <c r="AP40" s="185"/>
      <c r="AQ40" s="185"/>
      <c r="AR40" s="185"/>
      <c r="AS40" s="185"/>
      <c r="AT40" s="185"/>
      <c r="AU40" s="185"/>
      <c r="AV40" s="185"/>
      <c r="AW40" s="185"/>
      <c r="AX40" s="185"/>
      <c r="AY40" s="185"/>
      <c r="AZ40" s="185"/>
      <c r="BA40" s="185"/>
      <c r="BB40" s="185"/>
      <c r="BC40" s="185"/>
      <c r="BD40" s="185"/>
      <c r="BE40" s="185"/>
      <c r="BF40" s="185"/>
      <c r="BG40" s="185"/>
      <c r="BH40" s="185">
        <f t="shared" si="22"/>
        <v>0</v>
      </c>
      <c r="BI40" s="185"/>
      <c r="BJ40" s="185"/>
      <c r="BK40" s="185"/>
      <c r="BL40" s="185">
        <f>E40+W40+X40+Y40+Z40+AA40+AB40+AC40+AD40+AF40+AG40+AH40+AI40+AJ40+AL40+AM40+AN40+AO40+AP40+AQ40+AR40+AS40+AT40+AU40+AV40+AW40+AX40+AY40+AZ40+BA40+BB40+BC40+BD40+BE40+BF40+BG40+BH40</f>
        <v>0</v>
      </c>
      <c r="BM40" s="185">
        <f>AK67-BL40</f>
        <v>0</v>
      </c>
      <c r="BN40" s="185">
        <f t="shared" si="28"/>
        <v>0</v>
      </c>
      <c r="BP40" s="117"/>
    </row>
    <row r="41" spans="1:68" ht="20.100000000000001" customHeight="1">
      <c r="A41" s="14" t="s">
        <v>230</v>
      </c>
      <c r="B41" s="143" t="s">
        <v>484</v>
      </c>
      <c r="C41" s="30" t="s">
        <v>199</v>
      </c>
      <c r="D41" s="185">
        <f>#REF!</f>
        <v>111.82</v>
      </c>
      <c r="E41" s="185">
        <f t="shared" si="4"/>
        <v>0.75</v>
      </c>
      <c r="F41" s="185">
        <f t="shared" si="21"/>
        <v>0</v>
      </c>
      <c r="G41" s="185">
        <f t="shared" si="8"/>
        <v>0</v>
      </c>
      <c r="H41" s="185">
        <f t="shared" si="12"/>
        <v>0</v>
      </c>
      <c r="I41" s="185"/>
      <c r="J41" s="185"/>
      <c r="K41" s="185"/>
      <c r="L41" s="185"/>
      <c r="M41" s="185"/>
      <c r="N41" s="185"/>
      <c r="O41" s="185">
        <f>P41</f>
        <v>0</v>
      </c>
      <c r="P41" s="185"/>
      <c r="Q41" s="185"/>
      <c r="R41" s="185"/>
      <c r="S41" s="185">
        <v>0.75</v>
      </c>
      <c r="T41" s="185"/>
      <c r="U41" s="185"/>
      <c r="V41" s="185">
        <f t="shared" si="13"/>
        <v>111.07</v>
      </c>
      <c r="W41" s="185"/>
      <c r="X41" s="185"/>
      <c r="Y41" s="185"/>
      <c r="Z41" s="185"/>
      <c r="AA41" s="185"/>
      <c r="AB41" s="185"/>
      <c r="AC41" s="185"/>
      <c r="AD41" s="185"/>
      <c r="AE41" s="185">
        <f t="shared" si="27"/>
        <v>111.00999999999999</v>
      </c>
      <c r="AF41" s="185"/>
      <c r="AG41" s="185"/>
      <c r="AH41" s="185"/>
      <c r="AI41" s="185"/>
      <c r="AJ41" s="185"/>
      <c r="AK41" s="185"/>
      <c r="AL41" s="185">
        <f>D41-BL41</f>
        <v>111.00999999999999</v>
      </c>
      <c r="AM41" s="185"/>
      <c r="AN41" s="185"/>
      <c r="AO41" s="185"/>
      <c r="AP41" s="185"/>
      <c r="AQ41" s="185"/>
      <c r="AR41" s="185"/>
      <c r="AS41" s="185"/>
      <c r="AT41" s="185">
        <v>0.06</v>
      </c>
      <c r="AU41" s="185"/>
      <c r="AV41" s="185"/>
      <c r="AW41" s="185"/>
      <c r="AX41" s="185"/>
      <c r="AY41" s="185"/>
      <c r="AZ41" s="185"/>
      <c r="BA41" s="185"/>
      <c r="BB41" s="185"/>
      <c r="BC41" s="185"/>
      <c r="BD41" s="185"/>
      <c r="BE41" s="185"/>
      <c r="BF41" s="185"/>
      <c r="BG41" s="185"/>
      <c r="BH41" s="185">
        <f t="shared" si="22"/>
        <v>0</v>
      </c>
      <c r="BI41" s="185"/>
      <c r="BJ41" s="185"/>
      <c r="BK41" s="185"/>
      <c r="BL41" s="185">
        <f>E41+W41+X41+Y41+Z41+AA41+AB41+AC41+AD41+AF41+AG41+AH41+AI41+AJ41+AK41+AM41+AN41+AO41+AP41+AQ41+AR41+AS41+AT41+AU41+AV41+AW41+AX41+AY41+AZ41+BA41+BB41+BC41+BD41+BE41+BF41+BG41+BH41</f>
        <v>0.81</v>
      </c>
      <c r="BM41" s="185">
        <f>AL67-BL41</f>
        <v>10.039999999999999</v>
      </c>
      <c r="BN41" s="185">
        <f t="shared" si="28"/>
        <v>121.85999999999999</v>
      </c>
      <c r="BP41" s="117"/>
    </row>
    <row r="42" spans="1:68" ht="20.100000000000001" customHeight="1">
      <c r="A42" s="14" t="s">
        <v>231</v>
      </c>
      <c r="B42" s="143" t="s">
        <v>485</v>
      </c>
      <c r="C42" s="30" t="s">
        <v>200</v>
      </c>
      <c r="D42" s="185">
        <f>#REF!</f>
        <v>38.11</v>
      </c>
      <c r="E42" s="185">
        <f t="shared" si="4"/>
        <v>10.45</v>
      </c>
      <c r="F42" s="185">
        <f t="shared" si="21"/>
        <v>0</v>
      </c>
      <c r="G42" s="185">
        <f t="shared" si="8"/>
        <v>0</v>
      </c>
      <c r="H42" s="185">
        <f t="shared" si="12"/>
        <v>0</v>
      </c>
      <c r="I42" s="185"/>
      <c r="J42" s="185"/>
      <c r="K42" s="185"/>
      <c r="L42" s="185"/>
      <c r="M42" s="185"/>
      <c r="N42" s="185"/>
      <c r="O42" s="185"/>
      <c r="P42" s="185"/>
      <c r="Q42" s="185"/>
      <c r="R42" s="185"/>
      <c r="S42" s="185">
        <v>10.45</v>
      </c>
      <c r="T42" s="185"/>
      <c r="U42" s="185"/>
      <c r="V42" s="185">
        <f t="shared" si="13"/>
        <v>27.66</v>
      </c>
      <c r="W42" s="185"/>
      <c r="X42" s="185"/>
      <c r="Y42" s="185"/>
      <c r="Z42" s="185"/>
      <c r="AA42" s="185"/>
      <c r="AB42" s="185"/>
      <c r="AC42" s="185"/>
      <c r="AD42" s="185"/>
      <c r="AE42" s="185">
        <f t="shared" si="27"/>
        <v>27.23</v>
      </c>
      <c r="AF42" s="185"/>
      <c r="AG42" s="185"/>
      <c r="AH42" s="185"/>
      <c r="AI42" s="185"/>
      <c r="AJ42" s="185"/>
      <c r="AK42" s="185"/>
      <c r="AL42" s="185">
        <v>0.48</v>
      </c>
      <c r="AM42" s="185">
        <f>D42-BL42</f>
        <v>26.75</v>
      </c>
      <c r="AN42" s="185"/>
      <c r="AO42" s="185"/>
      <c r="AP42" s="185"/>
      <c r="AQ42" s="185"/>
      <c r="AR42" s="185"/>
      <c r="AS42" s="185">
        <v>0.43</v>
      </c>
      <c r="AT42" s="185"/>
      <c r="AU42" s="185"/>
      <c r="AV42" s="185"/>
      <c r="AW42" s="185"/>
      <c r="AX42" s="185"/>
      <c r="AY42" s="185"/>
      <c r="AZ42" s="185"/>
      <c r="BA42" s="185"/>
      <c r="BB42" s="185"/>
      <c r="BC42" s="185"/>
      <c r="BD42" s="185"/>
      <c r="BE42" s="185"/>
      <c r="BF42" s="185"/>
      <c r="BG42" s="185"/>
      <c r="BH42" s="185">
        <f t="shared" si="22"/>
        <v>0</v>
      </c>
      <c r="BI42" s="185"/>
      <c r="BJ42" s="185"/>
      <c r="BK42" s="185"/>
      <c r="BL42" s="185">
        <f>E42+W42+X42+Y42+Z42+AA42+AB42+AC42+AD42+AF42+AG42+AH42+AI42+AJ42+AK42+AL42+AN42+AO42+AP42+AQ42+AR42+AS42+AT42+AU42+AV42+AW42+AX42+AY42+AZ42+BA42+BB42+BC42+BD42+BE42+BF42+BG42+BH42</f>
        <v>11.36</v>
      </c>
      <c r="BM42" s="185">
        <f>AM67-BL42</f>
        <v>-11.36</v>
      </c>
      <c r="BN42" s="185">
        <f t="shared" si="28"/>
        <v>26.75</v>
      </c>
      <c r="BP42" s="117"/>
    </row>
    <row r="43" spans="1:68" ht="20.100000000000001" customHeight="1">
      <c r="A43" s="14" t="s">
        <v>232</v>
      </c>
      <c r="B43" s="143" t="s">
        <v>486</v>
      </c>
      <c r="C43" s="30" t="s">
        <v>223</v>
      </c>
      <c r="D43" s="185">
        <f>#REF!</f>
        <v>0.03</v>
      </c>
      <c r="E43" s="185">
        <f t="shared" si="4"/>
        <v>0</v>
      </c>
      <c r="F43" s="185">
        <f t="shared" si="21"/>
        <v>0</v>
      </c>
      <c r="G43" s="185">
        <f t="shared" si="8"/>
        <v>0</v>
      </c>
      <c r="H43" s="185">
        <f t="shared" si="12"/>
        <v>0</v>
      </c>
      <c r="I43" s="185"/>
      <c r="J43" s="185"/>
      <c r="K43" s="185"/>
      <c r="L43" s="185"/>
      <c r="M43" s="185"/>
      <c r="N43" s="185"/>
      <c r="O43" s="185"/>
      <c r="P43" s="185"/>
      <c r="Q43" s="185"/>
      <c r="R43" s="185"/>
      <c r="S43" s="185"/>
      <c r="T43" s="185"/>
      <c r="U43" s="185"/>
      <c r="V43" s="185">
        <f t="shared" si="13"/>
        <v>0.03</v>
      </c>
      <c r="W43" s="185"/>
      <c r="X43" s="185"/>
      <c r="Y43" s="185"/>
      <c r="Z43" s="185"/>
      <c r="AA43" s="185"/>
      <c r="AB43" s="185"/>
      <c r="AC43" s="185"/>
      <c r="AD43" s="185"/>
      <c r="AE43" s="185">
        <f t="shared" si="27"/>
        <v>0.03</v>
      </c>
      <c r="AF43" s="185"/>
      <c r="AG43" s="185"/>
      <c r="AH43" s="185"/>
      <c r="AI43" s="185"/>
      <c r="AJ43" s="185"/>
      <c r="AK43" s="185"/>
      <c r="AL43" s="185"/>
      <c r="AM43" s="185"/>
      <c r="AN43" s="185">
        <f>D43-BL43</f>
        <v>0.03</v>
      </c>
      <c r="AO43" s="185"/>
      <c r="AP43" s="185"/>
      <c r="AQ43" s="185"/>
      <c r="AR43" s="185"/>
      <c r="AS43" s="185"/>
      <c r="AT43" s="185"/>
      <c r="AU43" s="185"/>
      <c r="AV43" s="185"/>
      <c r="AW43" s="185"/>
      <c r="AX43" s="185"/>
      <c r="AY43" s="185"/>
      <c r="AZ43" s="185"/>
      <c r="BA43" s="185"/>
      <c r="BB43" s="185"/>
      <c r="BC43" s="185"/>
      <c r="BD43" s="185"/>
      <c r="BE43" s="185"/>
      <c r="BF43" s="185"/>
      <c r="BG43" s="185"/>
      <c r="BH43" s="185">
        <f t="shared" si="22"/>
        <v>0</v>
      </c>
      <c r="BI43" s="185"/>
      <c r="BJ43" s="185"/>
      <c r="BK43" s="185"/>
      <c r="BL43" s="185">
        <f>E43+W43+X43+Y43+Z43+AA43+AB43+AC43+AD43+AF43+AG43+AH43+AI43+AJ43+AK43+AL43+AM43+AO43+AP43+AQ43+AR43+AS43+AT43+AU43+AV43+AW43+AX43+AY43+AZ43+BA43+BB43+BC43+BD43+BE43+BF43+BG43+BH43</f>
        <v>0</v>
      </c>
      <c r="BM43" s="185">
        <f>AN67-BL43</f>
        <v>0</v>
      </c>
      <c r="BN43" s="185">
        <f t="shared" si="28"/>
        <v>0.03</v>
      </c>
      <c r="BP43" s="117"/>
    </row>
    <row r="44" spans="1:68" ht="20.100000000000001" customHeight="1">
      <c r="A44" s="14" t="s">
        <v>233</v>
      </c>
      <c r="B44" s="143" t="s">
        <v>487</v>
      </c>
      <c r="C44" s="30" t="s">
        <v>201</v>
      </c>
      <c r="D44" s="185">
        <f>#REF!</f>
        <v>0.04</v>
      </c>
      <c r="E44" s="185">
        <f t="shared" si="4"/>
        <v>0</v>
      </c>
      <c r="F44" s="185">
        <f t="shared" si="21"/>
        <v>0</v>
      </c>
      <c r="G44" s="185">
        <f t="shared" si="8"/>
        <v>0</v>
      </c>
      <c r="H44" s="185">
        <f t="shared" si="12"/>
        <v>0</v>
      </c>
      <c r="I44" s="185"/>
      <c r="J44" s="185"/>
      <c r="K44" s="185"/>
      <c r="L44" s="185"/>
      <c r="M44" s="185"/>
      <c r="N44" s="185"/>
      <c r="O44" s="185"/>
      <c r="P44" s="185"/>
      <c r="Q44" s="185"/>
      <c r="R44" s="185"/>
      <c r="S44" s="185"/>
      <c r="T44" s="185"/>
      <c r="U44" s="185"/>
      <c r="V44" s="185">
        <f t="shared" si="13"/>
        <v>0.04</v>
      </c>
      <c r="W44" s="185"/>
      <c r="X44" s="185"/>
      <c r="Y44" s="185"/>
      <c r="Z44" s="185"/>
      <c r="AA44" s="185"/>
      <c r="AB44" s="185"/>
      <c r="AC44" s="185"/>
      <c r="AD44" s="185"/>
      <c r="AE44" s="185">
        <f t="shared" si="27"/>
        <v>0.04</v>
      </c>
      <c r="AF44" s="185"/>
      <c r="AG44" s="185"/>
      <c r="AH44" s="185"/>
      <c r="AI44" s="185"/>
      <c r="AJ44" s="185"/>
      <c r="AK44" s="185"/>
      <c r="AL44" s="185"/>
      <c r="AM44" s="185"/>
      <c r="AN44" s="185"/>
      <c r="AO44" s="185">
        <f>D44-BL44</f>
        <v>0.04</v>
      </c>
      <c r="AP44" s="185"/>
      <c r="AQ44" s="185"/>
      <c r="AR44" s="185"/>
      <c r="AS44" s="185"/>
      <c r="AT44" s="185"/>
      <c r="AU44" s="185"/>
      <c r="AV44" s="185"/>
      <c r="AW44" s="185"/>
      <c r="AX44" s="185"/>
      <c r="AY44" s="185"/>
      <c r="AZ44" s="185"/>
      <c r="BA44" s="185"/>
      <c r="BB44" s="185"/>
      <c r="BC44" s="185"/>
      <c r="BD44" s="185"/>
      <c r="BE44" s="185"/>
      <c r="BF44" s="185"/>
      <c r="BG44" s="185"/>
      <c r="BH44" s="185">
        <f t="shared" si="22"/>
        <v>0</v>
      </c>
      <c r="BI44" s="185"/>
      <c r="BJ44" s="185"/>
      <c r="BK44" s="185"/>
      <c r="BL44" s="185">
        <f>E44+W44+X44+Y44+Z44+AA44+AB44+AC44+AD44+AF44+AG44+AH44+AI44+AJ44+AK44+AL44+AM44+AN44+AP44+AQ44+AR44+AS44+AT44+AU44+AV44+AW44+AX44+AY44+AZ44+BA44+BB44+BC44+BD44+BE44+BF44+BG44+BH44</f>
        <v>0</v>
      </c>
      <c r="BM44" s="185">
        <f>AO67-BL44</f>
        <v>0</v>
      </c>
      <c r="BN44" s="185">
        <f t="shared" si="28"/>
        <v>0.04</v>
      </c>
      <c r="BP44" s="117"/>
    </row>
    <row r="45" spans="1:68" ht="20.100000000000001" customHeight="1">
      <c r="A45" s="14" t="s">
        <v>234</v>
      </c>
      <c r="B45" s="143" t="s">
        <v>488</v>
      </c>
      <c r="C45" s="30" t="s">
        <v>208</v>
      </c>
      <c r="D45" s="185">
        <f>#REF!</f>
        <v>0.19</v>
      </c>
      <c r="E45" s="185">
        <f t="shared" si="4"/>
        <v>0</v>
      </c>
      <c r="F45" s="185">
        <f t="shared" si="21"/>
        <v>0</v>
      </c>
      <c r="G45" s="185">
        <f t="shared" si="8"/>
        <v>0</v>
      </c>
      <c r="H45" s="185">
        <f t="shared" si="12"/>
        <v>0</v>
      </c>
      <c r="I45" s="185"/>
      <c r="J45" s="185"/>
      <c r="K45" s="185"/>
      <c r="L45" s="185"/>
      <c r="M45" s="185"/>
      <c r="N45" s="185"/>
      <c r="O45" s="185"/>
      <c r="P45" s="185"/>
      <c r="Q45" s="185"/>
      <c r="R45" s="185"/>
      <c r="S45" s="185"/>
      <c r="T45" s="185"/>
      <c r="U45" s="185"/>
      <c r="V45" s="185">
        <f t="shared" si="13"/>
        <v>0.19</v>
      </c>
      <c r="W45" s="185"/>
      <c r="X45" s="185"/>
      <c r="Y45" s="185"/>
      <c r="Z45" s="185"/>
      <c r="AA45" s="185"/>
      <c r="AB45" s="185"/>
      <c r="AC45" s="185"/>
      <c r="AD45" s="185"/>
      <c r="AE45" s="185">
        <f t="shared" si="27"/>
        <v>0.19</v>
      </c>
      <c r="AF45" s="185"/>
      <c r="AG45" s="185"/>
      <c r="AH45" s="185"/>
      <c r="AI45" s="185"/>
      <c r="AJ45" s="185"/>
      <c r="AK45" s="185"/>
      <c r="AL45" s="185"/>
      <c r="AM45" s="185"/>
      <c r="AN45" s="185"/>
      <c r="AO45" s="185"/>
      <c r="AP45" s="185">
        <f>D45-BL45</f>
        <v>0.19</v>
      </c>
      <c r="AQ45" s="185"/>
      <c r="AR45" s="185"/>
      <c r="AS45" s="185"/>
      <c r="AT45" s="185"/>
      <c r="AU45" s="185"/>
      <c r="AV45" s="185"/>
      <c r="AW45" s="185"/>
      <c r="AX45" s="185"/>
      <c r="AY45" s="185"/>
      <c r="AZ45" s="185"/>
      <c r="BA45" s="185"/>
      <c r="BB45" s="185"/>
      <c r="BC45" s="185"/>
      <c r="BD45" s="185"/>
      <c r="BE45" s="185"/>
      <c r="BF45" s="185"/>
      <c r="BG45" s="185"/>
      <c r="BH45" s="185">
        <f t="shared" si="22"/>
        <v>0</v>
      </c>
      <c r="BI45" s="185"/>
      <c r="BJ45" s="185"/>
      <c r="BK45" s="185"/>
      <c r="BL45" s="185">
        <f>E45+W45+X45+Y45+Z45+AA45+AB45+AC45+AD45+AF45+AG45+AH45+AI45+AJ45+AK45+AL45+AM45+AN45+AO45+AQ45+AR45+AS45+AT45+AU45+AV45+AW45+AX45+AY45+AZ45+BA45+BB45+BC45+BD45+BE45+BF45+BG45+BH45</f>
        <v>0</v>
      </c>
      <c r="BM45" s="185">
        <f>AP67-BL45</f>
        <v>0</v>
      </c>
      <c r="BN45" s="185">
        <f t="shared" si="28"/>
        <v>0.19</v>
      </c>
      <c r="BP45" s="117"/>
    </row>
    <row r="46" spans="1:68" ht="20.100000000000001" customHeight="1">
      <c r="A46" s="19" t="s">
        <v>73</v>
      </c>
      <c r="B46" s="144" t="s">
        <v>74</v>
      </c>
      <c r="C46" s="30" t="s">
        <v>75</v>
      </c>
      <c r="D46" s="185"/>
      <c r="E46" s="185">
        <f t="shared" si="4"/>
        <v>0</v>
      </c>
      <c r="F46" s="185">
        <f t="shared" si="21"/>
        <v>0</v>
      </c>
      <c r="G46" s="185">
        <f t="shared" si="8"/>
        <v>0</v>
      </c>
      <c r="H46" s="185">
        <f t="shared" si="12"/>
        <v>0</v>
      </c>
      <c r="I46" s="185"/>
      <c r="J46" s="185"/>
      <c r="K46" s="185"/>
      <c r="L46" s="185"/>
      <c r="M46" s="185"/>
      <c r="N46" s="185"/>
      <c r="O46" s="185"/>
      <c r="P46" s="185"/>
      <c r="Q46" s="185"/>
      <c r="R46" s="185"/>
      <c r="S46" s="185"/>
      <c r="T46" s="185"/>
      <c r="U46" s="185"/>
      <c r="V46" s="185">
        <f t="shared" si="13"/>
        <v>0</v>
      </c>
      <c r="W46" s="185"/>
      <c r="X46" s="185"/>
      <c r="Y46" s="185"/>
      <c r="Z46" s="185"/>
      <c r="AA46" s="185"/>
      <c r="AB46" s="185"/>
      <c r="AC46" s="185"/>
      <c r="AD46" s="185"/>
      <c r="AE46" s="185">
        <f t="shared" si="27"/>
        <v>0</v>
      </c>
      <c r="AF46" s="185"/>
      <c r="AG46" s="185"/>
      <c r="AH46" s="185"/>
      <c r="AI46" s="185"/>
      <c r="AJ46" s="185"/>
      <c r="AK46" s="185"/>
      <c r="AL46" s="185"/>
      <c r="AM46" s="185"/>
      <c r="AN46" s="185"/>
      <c r="AO46" s="185"/>
      <c r="AP46" s="185"/>
      <c r="AQ46" s="185">
        <f>D46-BL46</f>
        <v>0</v>
      </c>
      <c r="AR46" s="185"/>
      <c r="AS46" s="185"/>
      <c r="AT46" s="185"/>
      <c r="AU46" s="185"/>
      <c r="AV46" s="185"/>
      <c r="AW46" s="185"/>
      <c r="AX46" s="185"/>
      <c r="AY46" s="185"/>
      <c r="AZ46" s="185"/>
      <c r="BA46" s="185"/>
      <c r="BB46" s="185"/>
      <c r="BC46" s="185"/>
      <c r="BD46" s="185"/>
      <c r="BE46" s="185"/>
      <c r="BF46" s="185"/>
      <c r="BG46" s="185"/>
      <c r="BH46" s="185">
        <f t="shared" si="22"/>
        <v>0</v>
      </c>
      <c r="BI46" s="185"/>
      <c r="BJ46" s="185"/>
      <c r="BK46" s="185"/>
      <c r="BL46" s="185">
        <f>E46+W46+X46+Y46+Z46+AA46+AB46+AC46+AD46+AE46+AR46+AS46+AT46+AU46+AV46+AW46+AX46+AY46+AZ46+BA46+BB46+BC46+BD46+BE46+BF46+BG46+BH46</f>
        <v>0</v>
      </c>
      <c r="BM46" s="185">
        <f>AQ67-BL46</f>
        <v>0</v>
      </c>
      <c r="BN46" s="185">
        <f>D46+BM46</f>
        <v>0</v>
      </c>
      <c r="BP46" s="117"/>
    </row>
    <row r="47" spans="1:68" ht="20.100000000000001" customHeight="1">
      <c r="A47" s="19" t="s">
        <v>76</v>
      </c>
      <c r="B47" s="144" t="s">
        <v>77</v>
      </c>
      <c r="C47" s="30" t="s">
        <v>78</v>
      </c>
      <c r="D47" s="185"/>
      <c r="E47" s="185">
        <f t="shared" si="4"/>
        <v>0</v>
      </c>
      <c r="F47" s="185">
        <f t="shared" si="21"/>
        <v>0</v>
      </c>
      <c r="G47" s="185">
        <f t="shared" si="8"/>
        <v>0</v>
      </c>
      <c r="H47" s="185">
        <f t="shared" si="12"/>
        <v>0</v>
      </c>
      <c r="I47" s="185"/>
      <c r="J47" s="185"/>
      <c r="K47" s="185"/>
      <c r="L47" s="185"/>
      <c r="M47" s="185"/>
      <c r="N47" s="185"/>
      <c r="O47" s="185"/>
      <c r="P47" s="185"/>
      <c r="Q47" s="185"/>
      <c r="R47" s="185"/>
      <c r="S47" s="185"/>
      <c r="T47" s="185"/>
      <c r="U47" s="185"/>
      <c r="V47" s="185">
        <f t="shared" si="13"/>
        <v>0</v>
      </c>
      <c r="W47" s="185"/>
      <c r="X47" s="185"/>
      <c r="Y47" s="185"/>
      <c r="Z47" s="185"/>
      <c r="AA47" s="185"/>
      <c r="AB47" s="185"/>
      <c r="AC47" s="185"/>
      <c r="AD47" s="185"/>
      <c r="AE47" s="185">
        <f t="shared" si="27"/>
        <v>0</v>
      </c>
      <c r="AF47" s="185"/>
      <c r="AG47" s="185"/>
      <c r="AH47" s="185"/>
      <c r="AI47" s="185"/>
      <c r="AJ47" s="185"/>
      <c r="AK47" s="185"/>
      <c r="AL47" s="185"/>
      <c r="AM47" s="185"/>
      <c r="AN47" s="185"/>
      <c r="AO47" s="185"/>
      <c r="AP47" s="185"/>
      <c r="AQ47" s="185"/>
      <c r="AR47" s="185">
        <f>D47-BL47</f>
        <v>0</v>
      </c>
      <c r="AS47" s="185"/>
      <c r="AT47" s="185"/>
      <c r="AU47" s="185"/>
      <c r="AV47" s="185"/>
      <c r="AW47" s="185"/>
      <c r="AX47" s="185"/>
      <c r="AY47" s="185"/>
      <c r="AZ47" s="185"/>
      <c r="BA47" s="185"/>
      <c r="BB47" s="185"/>
      <c r="BC47" s="185"/>
      <c r="BD47" s="185"/>
      <c r="BE47" s="185"/>
      <c r="BF47" s="185"/>
      <c r="BG47" s="185"/>
      <c r="BH47" s="185">
        <f t="shared" si="22"/>
        <v>0</v>
      </c>
      <c r="BI47" s="185"/>
      <c r="BJ47" s="185"/>
      <c r="BK47" s="185"/>
      <c r="BL47" s="185">
        <f>E47+W47+X47+Y47+Z47+AA47+AB47+AC47+AD47+AE47+AQ47+AS47+AT47+AU47+AV47+AW47+AX47+AY47+AZ47+BA47+BB47+BC47+BD47+BE47+BF47+BG47+BH47</f>
        <v>0</v>
      </c>
      <c r="BM47" s="185">
        <f>AR67-BL47</f>
        <v>0</v>
      </c>
      <c r="BN47" s="185">
        <f t="shared" ref="BN47:BN62" si="29">D47+BM47</f>
        <v>0</v>
      </c>
      <c r="BP47" s="117"/>
    </row>
    <row r="48" spans="1:68" ht="20.100000000000001" customHeight="1">
      <c r="A48" s="19" t="s">
        <v>79</v>
      </c>
      <c r="B48" s="144" t="s">
        <v>80</v>
      </c>
      <c r="C48" s="30" t="s">
        <v>81</v>
      </c>
      <c r="D48" s="185">
        <f>#REF!</f>
        <v>2.65</v>
      </c>
      <c r="E48" s="185">
        <f t="shared" si="4"/>
        <v>0</v>
      </c>
      <c r="F48" s="185">
        <f t="shared" si="21"/>
        <v>0</v>
      </c>
      <c r="G48" s="185">
        <f t="shared" si="8"/>
        <v>0</v>
      </c>
      <c r="H48" s="185">
        <f t="shared" si="12"/>
        <v>0</v>
      </c>
      <c r="I48" s="185"/>
      <c r="J48" s="185"/>
      <c r="K48" s="185"/>
      <c r="L48" s="185"/>
      <c r="M48" s="185"/>
      <c r="N48" s="185"/>
      <c r="O48" s="185"/>
      <c r="P48" s="185"/>
      <c r="Q48" s="185"/>
      <c r="R48" s="185"/>
      <c r="S48" s="185"/>
      <c r="T48" s="185"/>
      <c r="U48" s="185"/>
      <c r="V48" s="185">
        <f t="shared" si="13"/>
        <v>2.65</v>
      </c>
      <c r="W48" s="185"/>
      <c r="X48" s="185"/>
      <c r="Y48" s="185"/>
      <c r="Z48" s="185"/>
      <c r="AA48" s="185"/>
      <c r="AB48" s="185"/>
      <c r="AC48" s="185"/>
      <c r="AD48" s="185"/>
      <c r="AE48" s="185">
        <f t="shared" si="27"/>
        <v>0</v>
      </c>
      <c r="AF48" s="185"/>
      <c r="AG48" s="185"/>
      <c r="AH48" s="185"/>
      <c r="AI48" s="185"/>
      <c r="AJ48" s="185"/>
      <c r="AK48" s="185"/>
      <c r="AL48" s="185"/>
      <c r="AM48" s="185"/>
      <c r="AN48" s="185"/>
      <c r="AO48" s="185"/>
      <c r="AP48" s="185"/>
      <c r="AQ48" s="185"/>
      <c r="AR48" s="185"/>
      <c r="AS48" s="185">
        <f>D48-BL48</f>
        <v>2.65</v>
      </c>
      <c r="AT48" s="185"/>
      <c r="AU48" s="185"/>
      <c r="AV48" s="185"/>
      <c r="AW48" s="185"/>
      <c r="AX48" s="185"/>
      <c r="AY48" s="185"/>
      <c r="AZ48" s="185"/>
      <c r="BA48" s="185"/>
      <c r="BB48" s="185"/>
      <c r="BC48" s="185"/>
      <c r="BD48" s="185"/>
      <c r="BE48" s="185"/>
      <c r="BF48" s="185"/>
      <c r="BG48" s="185"/>
      <c r="BH48" s="185">
        <f t="shared" si="22"/>
        <v>0</v>
      </c>
      <c r="BI48" s="185"/>
      <c r="BJ48" s="185"/>
      <c r="BK48" s="185"/>
      <c r="BL48" s="185">
        <f>E48+W48+X48+Y48+Z48+AA48+AB48+AC48+AD48+AQ48+AR48+AT48+AU48+AV48+AW48+AX48+AY48+AZ48+BA48+BB48+BC48+BD48+BE48+BF48+BG48+BH48+AF48+AG48+AH48+AI48+AJ48+AK48+AL48+AM48+AN48+AO48+AP48</f>
        <v>0</v>
      </c>
      <c r="BM48" s="185">
        <f>AS67-BL48</f>
        <v>3.73</v>
      </c>
      <c r="BN48" s="185">
        <f t="shared" si="29"/>
        <v>6.38</v>
      </c>
      <c r="BP48" s="117"/>
    </row>
    <row r="49" spans="1:68" ht="20.100000000000001" customHeight="1">
      <c r="A49" s="19" t="s">
        <v>82</v>
      </c>
      <c r="B49" s="144" t="s">
        <v>83</v>
      </c>
      <c r="C49" s="30" t="s">
        <v>84</v>
      </c>
      <c r="D49" s="185">
        <f>#REF!</f>
        <v>74.239999999999995</v>
      </c>
      <c r="E49" s="185">
        <f t="shared" si="4"/>
        <v>0</v>
      </c>
      <c r="F49" s="185">
        <f t="shared" si="21"/>
        <v>0</v>
      </c>
      <c r="G49" s="185">
        <f t="shared" si="8"/>
        <v>0</v>
      </c>
      <c r="H49" s="185">
        <f t="shared" si="12"/>
        <v>0</v>
      </c>
      <c r="I49" s="185"/>
      <c r="J49" s="185"/>
      <c r="K49" s="185"/>
      <c r="L49" s="185"/>
      <c r="M49" s="185"/>
      <c r="N49" s="185"/>
      <c r="O49" s="185"/>
      <c r="P49" s="185"/>
      <c r="Q49" s="185"/>
      <c r="R49" s="185"/>
      <c r="S49" s="185"/>
      <c r="T49" s="185"/>
      <c r="U49" s="185"/>
      <c r="V49" s="185">
        <f t="shared" si="13"/>
        <v>74.239999999999995</v>
      </c>
      <c r="W49" s="185"/>
      <c r="X49" s="185"/>
      <c r="Y49" s="185"/>
      <c r="Z49" s="185"/>
      <c r="AA49" s="185"/>
      <c r="AB49" s="185"/>
      <c r="AC49" s="185"/>
      <c r="AD49" s="185"/>
      <c r="AE49" s="185">
        <f t="shared" si="27"/>
        <v>0.23</v>
      </c>
      <c r="AF49" s="185"/>
      <c r="AG49" s="185"/>
      <c r="AH49" s="185"/>
      <c r="AI49" s="185"/>
      <c r="AJ49" s="185"/>
      <c r="AK49" s="185"/>
      <c r="AL49" s="185">
        <v>0.23</v>
      </c>
      <c r="AM49" s="185"/>
      <c r="AN49" s="185"/>
      <c r="AO49" s="185"/>
      <c r="AP49" s="185"/>
      <c r="AQ49" s="185"/>
      <c r="AR49" s="185"/>
      <c r="AS49" s="185"/>
      <c r="AT49" s="185">
        <f>D49-BL49</f>
        <v>74.009999999999991</v>
      </c>
      <c r="AU49" s="185"/>
      <c r="AV49" s="185"/>
      <c r="AW49" s="185"/>
      <c r="AX49" s="185"/>
      <c r="AY49" s="185"/>
      <c r="AZ49" s="185"/>
      <c r="BA49" s="185"/>
      <c r="BB49" s="185"/>
      <c r="BC49" s="185"/>
      <c r="BD49" s="185"/>
      <c r="BE49" s="185"/>
      <c r="BF49" s="185"/>
      <c r="BG49" s="185"/>
      <c r="BH49" s="185">
        <f t="shared" si="22"/>
        <v>0</v>
      </c>
      <c r="BI49" s="185"/>
      <c r="BJ49" s="185"/>
      <c r="BK49" s="185"/>
      <c r="BL49" s="185">
        <f>E49+W49+X49+Y49+Z49+AA49+AB49+AC49+AD49+AE49+AQ49+AR49+AS49+AU49+AV49+AW49+AX49+AY49+AZ49+BA49+BB49+BC49+BD49+BE49+BF49+BG49+BH49</f>
        <v>0.23</v>
      </c>
      <c r="BM49" s="185">
        <f>AT67-BL49</f>
        <v>2.4500000000000002</v>
      </c>
      <c r="BN49" s="185">
        <f t="shared" si="29"/>
        <v>76.69</v>
      </c>
      <c r="BP49" s="117"/>
    </row>
    <row r="50" spans="1:68" ht="20.100000000000001" customHeight="1">
      <c r="A50" s="19" t="s">
        <v>85</v>
      </c>
      <c r="B50" s="144" t="s">
        <v>86</v>
      </c>
      <c r="C50" s="30" t="s">
        <v>87</v>
      </c>
      <c r="D50" s="185"/>
      <c r="E50" s="185">
        <f t="shared" si="4"/>
        <v>0</v>
      </c>
      <c r="F50" s="185">
        <f t="shared" si="21"/>
        <v>0</v>
      </c>
      <c r="G50" s="185">
        <f t="shared" si="8"/>
        <v>0</v>
      </c>
      <c r="H50" s="185">
        <f t="shared" si="12"/>
        <v>0</v>
      </c>
      <c r="I50" s="185"/>
      <c r="J50" s="185"/>
      <c r="K50" s="185"/>
      <c r="L50" s="185"/>
      <c r="M50" s="185"/>
      <c r="N50" s="185"/>
      <c r="O50" s="185"/>
      <c r="P50" s="185"/>
      <c r="Q50" s="185"/>
      <c r="R50" s="185"/>
      <c r="S50" s="185"/>
      <c r="T50" s="185"/>
      <c r="U50" s="185"/>
      <c r="V50" s="185">
        <f t="shared" si="13"/>
        <v>0</v>
      </c>
      <c r="W50" s="185"/>
      <c r="X50" s="185"/>
      <c r="Y50" s="185"/>
      <c r="Z50" s="185"/>
      <c r="AA50" s="185"/>
      <c r="AB50" s="185"/>
      <c r="AC50" s="185"/>
      <c r="AD50" s="185"/>
      <c r="AE50" s="185">
        <f t="shared" si="27"/>
        <v>0</v>
      </c>
      <c r="AF50" s="185"/>
      <c r="AG50" s="185"/>
      <c r="AH50" s="185"/>
      <c r="AI50" s="185"/>
      <c r="AJ50" s="185"/>
      <c r="AK50" s="185"/>
      <c r="AL50" s="185"/>
      <c r="AM50" s="185"/>
      <c r="AN50" s="185"/>
      <c r="AO50" s="185"/>
      <c r="AP50" s="185"/>
      <c r="AQ50" s="185"/>
      <c r="AR50" s="185"/>
      <c r="AS50" s="185"/>
      <c r="AT50" s="185"/>
      <c r="AU50" s="185">
        <f>D50-BL50</f>
        <v>0</v>
      </c>
      <c r="AV50" s="185"/>
      <c r="AW50" s="185"/>
      <c r="AX50" s="185"/>
      <c r="AY50" s="185"/>
      <c r="AZ50" s="185"/>
      <c r="BA50" s="185"/>
      <c r="BB50" s="185"/>
      <c r="BC50" s="185"/>
      <c r="BD50" s="185"/>
      <c r="BE50" s="185"/>
      <c r="BF50" s="185"/>
      <c r="BG50" s="185"/>
      <c r="BH50" s="185">
        <f t="shared" si="22"/>
        <v>0</v>
      </c>
      <c r="BI50" s="185"/>
      <c r="BJ50" s="185"/>
      <c r="BK50" s="185"/>
      <c r="BL50" s="185">
        <f>E50+W50+X50+Y50+Z50+AA50+AB50+AC50+AD50+AE50+AQ50+AR50+AS50+AT50+AV50+AW50+AX50+AY50+AZ50+BA50+BB50+BC50+BD50+BE50+BF50+BG50+BH50</f>
        <v>0</v>
      </c>
      <c r="BM50" s="185">
        <f>AU67-BL50</f>
        <v>0</v>
      </c>
      <c r="BN50" s="185">
        <f t="shared" si="29"/>
        <v>0</v>
      </c>
      <c r="BP50" s="117"/>
    </row>
    <row r="51" spans="1:68" ht="20.100000000000001" customHeight="1">
      <c r="A51" s="19" t="s">
        <v>88</v>
      </c>
      <c r="B51" s="144" t="s">
        <v>89</v>
      </c>
      <c r="C51" s="30" t="s">
        <v>90</v>
      </c>
      <c r="D51" s="185">
        <f>#REF!</f>
        <v>1.1599999999999999</v>
      </c>
      <c r="E51" s="185">
        <f t="shared" si="4"/>
        <v>0</v>
      </c>
      <c r="F51" s="185">
        <f t="shared" si="21"/>
        <v>0</v>
      </c>
      <c r="G51" s="185">
        <f t="shared" si="8"/>
        <v>0</v>
      </c>
      <c r="H51" s="185">
        <f t="shared" si="12"/>
        <v>0</v>
      </c>
      <c r="I51" s="185"/>
      <c r="J51" s="185"/>
      <c r="K51" s="185"/>
      <c r="L51" s="185"/>
      <c r="M51" s="185"/>
      <c r="N51" s="185"/>
      <c r="O51" s="185"/>
      <c r="P51" s="185"/>
      <c r="Q51" s="185"/>
      <c r="R51" s="185"/>
      <c r="S51" s="185"/>
      <c r="T51" s="185"/>
      <c r="U51" s="185"/>
      <c r="V51" s="185">
        <f t="shared" si="13"/>
        <v>1.1599999999999999</v>
      </c>
      <c r="W51" s="185"/>
      <c r="X51" s="185"/>
      <c r="Y51" s="185"/>
      <c r="Z51" s="185"/>
      <c r="AA51" s="185"/>
      <c r="AB51" s="185"/>
      <c r="AC51" s="185"/>
      <c r="AD51" s="185"/>
      <c r="AE51" s="185">
        <f t="shared" si="27"/>
        <v>0</v>
      </c>
      <c r="AF51" s="185"/>
      <c r="AG51" s="185"/>
      <c r="AH51" s="185"/>
      <c r="AI51" s="185"/>
      <c r="AJ51" s="185"/>
      <c r="AK51" s="185"/>
      <c r="AL51" s="185"/>
      <c r="AM51" s="185"/>
      <c r="AN51" s="185"/>
      <c r="AO51" s="185"/>
      <c r="AP51" s="185"/>
      <c r="AQ51" s="185"/>
      <c r="AR51" s="185"/>
      <c r="AS51" s="185"/>
      <c r="AT51" s="185"/>
      <c r="AU51" s="185"/>
      <c r="AV51" s="185">
        <f>D51-BL51</f>
        <v>1.1599999999999999</v>
      </c>
      <c r="AW51" s="185"/>
      <c r="AX51" s="185"/>
      <c r="AY51" s="185"/>
      <c r="AZ51" s="185"/>
      <c r="BA51" s="185"/>
      <c r="BB51" s="185"/>
      <c r="BC51" s="185"/>
      <c r="BD51" s="185"/>
      <c r="BE51" s="185"/>
      <c r="BF51" s="185"/>
      <c r="BG51" s="185"/>
      <c r="BH51" s="185">
        <f t="shared" si="22"/>
        <v>0</v>
      </c>
      <c r="BI51" s="185"/>
      <c r="BJ51" s="185"/>
      <c r="BK51" s="185"/>
      <c r="BL51" s="185">
        <f>E51+W51+X51+Y51+Z51+AA51+AB51+AC51+AD51+AE51+AQ51+AR51+AS51+AT51+AU51+AW51+AX51+AY51+AZ51+BA51+BB51+BC51+BD51+BE51+BF51+BG51+BH51</f>
        <v>0</v>
      </c>
      <c r="BM51" s="185">
        <f>AV67-BL51</f>
        <v>0</v>
      </c>
      <c r="BN51" s="185">
        <f t="shared" si="29"/>
        <v>1.1599999999999999</v>
      </c>
      <c r="BP51" s="117"/>
    </row>
    <row r="52" spans="1:68" ht="20.100000000000001" customHeight="1">
      <c r="A52" s="19" t="s">
        <v>91</v>
      </c>
      <c r="B52" s="144" t="s">
        <v>489</v>
      </c>
      <c r="C52" s="30" t="s">
        <v>93</v>
      </c>
      <c r="D52" s="185"/>
      <c r="E52" s="185">
        <f t="shared" si="4"/>
        <v>0</v>
      </c>
      <c r="F52" s="185">
        <f t="shared" si="21"/>
        <v>0</v>
      </c>
      <c r="G52" s="185">
        <f t="shared" si="8"/>
        <v>0</v>
      </c>
      <c r="H52" s="185">
        <f t="shared" si="12"/>
        <v>0</v>
      </c>
      <c r="I52" s="185"/>
      <c r="J52" s="185"/>
      <c r="K52" s="185"/>
      <c r="L52" s="185"/>
      <c r="M52" s="185"/>
      <c r="N52" s="185"/>
      <c r="O52" s="185"/>
      <c r="P52" s="185"/>
      <c r="Q52" s="185"/>
      <c r="R52" s="185"/>
      <c r="S52" s="185"/>
      <c r="T52" s="185"/>
      <c r="U52" s="185"/>
      <c r="V52" s="185">
        <f t="shared" si="13"/>
        <v>0</v>
      </c>
      <c r="W52" s="185"/>
      <c r="X52" s="185"/>
      <c r="Y52" s="185"/>
      <c r="Z52" s="185"/>
      <c r="AA52" s="185"/>
      <c r="AB52" s="185"/>
      <c r="AC52" s="185"/>
      <c r="AD52" s="185"/>
      <c r="AE52" s="185">
        <f t="shared" si="27"/>
        <v>0</v>
      </c>
      <c r="AF52" s="185"/>
      <c r="AG52" s="185"/>
      <c r="AH52" s="185"/>
      <c r="AI52" s="185"/>
      <c r="AJ52" s="185"/>
      <c r="AK52" s="185"/>
      <c r="AL52" s="185"/>
      <c r="AM52" s="185"/>
      <c r="AN52" s="185"/>
      <c r="AO52" s="185"/>
      <c r="AP52" s="185"/>
      <c r="AQ52" s="185"/>
      <c r="AR52" s="185"/>
      <c r="AS52" s="185"/>
      <c r="AT52" s="185"/>
      <c r="AU52" s="185"/>
      <c r="AV52" s="185"/>
      <c r="AW52" s="185">
        <f>D52-BL52</f>
        <v>0</v>
      </c>
      <c r="AX52" s="185"/>
      <c r="AY52" s="185"/>
      <c r="AZ52" s="185"/>
      <c r="BA52" s="185"/>
      <c r="BB52" s="185"/>
      <c r="BC52" s="185"/>
      <c r="BD52" s="185"/>
      <c r="BE52" s="185"/>
      <c r="BF52" s="185"/>
      <c r="BG52" s="185"/>
      <c r="BH52" s="185">
        <f t="shared" si="22"/>
        <v>0</v>
      </c>
      <c r="BI52" s="185"/>
      <c r="BJ52" s="185"/>
      <c r="BK52" s="185"/>
      <c r="BL52" s="185">
        <f>E52+W52+X52+Y52+Z52+AA52+AB52+AC52+AD52+AE52+AQ52+AR52+AS52+AT52+AU52+AV52+AX52+AY52+AZ52+BA52+BB52+BC52+BD52+BE52+BF52+BG52+BH52</f>
        <v>0</v>
      </c>
      <c r="BM52" s="185">
        <f>AW67-BL52</f>
        <v>0</v>
      </c>
      <c r="BN52" s="185">
        <f t="shared" si="29"/>
        <v>0</v>
      </c>
      <c r="BP52" s="117"/>
    </row>
    <row r="53" spans="1:68" ht="20.100000000000001" customHeight="1">
      <c r="A53" s="19" t="s">
        <v>94</v>
      </c>
      <c r="B53" s="144" t="s">
        <v>95</v>
      </c>
      <c r="C53" s="30" t="s">
        <v>96</v>
      </c>
      <c r="D53" s="185"/>
      <c r="E53" s="185">
        <f t="shared" si="4"/>
        <v>0</v>
      </c>
      <c r="F53" s="185">
        <f t="shared" si="21"/>
        <v>0</v>
      </c>
      <c r="G53" s="185">
        <f t="shared" si="8"/>
        <v>0</v>
      </c>
      <c r="H53" s="185">
        <f t="shared" si="12"/>
        <v>0</v>
      </c>
      <c r="I53" s="185"/>
      <c r="J53" s="185"/>
      <c r="K53" s="185"/>
      <c r="L53" s="185"/>
      <c r="M53" s="185"/>
      <c r="N53" s="185"/>
      <c r="O53" s="185"/>
      <c r="P53" s="185"/>
      <c r="Q53" s="185"/>
      <c r="R53" s="185"/>
      <c r="S53" s="185"/>
      <c r="T53" s="185"/>
      <c r="U53" s="185"/>
      <c r="V53" s="185">
        <f t="shared" si="13"/>
        <v>0</v>
      </c>
      <c r="W53" s="185"/>
      <c r="X53" s="185"/>
      <c r="Y53" s="185"/>
      <c r="Z53" s="185"/>
      <c r="AA53" s="185"/>
      <c r="AB53" s="185"/>
      <c r="AC53" s="185"/>
      <c r="AD53" s="185"/>
      <c r="AE53" s="185">
        <f t="shared" si="27"/>
        <v>0</v>
      </c>
      <c r="AF53" s="185"/>
      <c r="AG53" s="185"/>
      <c r="AH53" s="185"/>
      <c r="AI53" s="185"/>
      <c r="AJ53" s="185"/>
      <c r="AK53" s="185"/>
      <c r="AL53" s="185"/>
      <c r="AM53" s="185"/>
      <c r="AN53" s="185"/>
      <c r="AO53" s="185"/>
      <c r="AP53" s="185"/>
      <c r="AQ53" s="185"/>
      <c r="AR53" s="185"/>
      <c r="AS53" s="185"/>
      <c r="AT53" s="185"/>
      <c r="AU53" s="185"/>
      <c r="AV53" s="185"/>
      <c r="AW53" s="185"/>
      <c r="AX53" s="185">
        <f>D53-BL53</f>
        <v>0</v>
      </c>
      <c r="AY53" s="185"/>
      <c r="AZ53" s="185"/>
      <c r="BA53" s="185"/>
      <c r="BB53" s="185"/>
      <c r="BC53" s="185"/>
      <c r="BD53" s="185"/>
      <c r="BE53" s="185"/>
      <c r="BF53" s="185"/>
      <c r="BG53" s="185"/>
      <c r="BH53" s="185">
        <f t="shared" si="22"/>
        <v>0</v>
      </c>
      <c r="BI53" s="185"/>
      <c r="BJ53" s="185"/>
      <c r="BK53" s="185"/>
      <c r="BL53" s="185">
        <f>E53+W53+X53+Y53+Z53+AA53+AB53+AC53+AD53+AE53+AQ53+AR53+AS53+AT53+AU53+AV53+AW53+AY53+AZ53+BA53+BB53+BC53+BD53+BE53+BF53+BG53+BH53</f>
        <v>0</v>
      </c>
      <c r="BM53" s="185">
        <f>AX67-BL53</f>
        <v>0</v>
      </c>
      <c r="BN53" s="185">
        <f t="shared" si="29"/>
        <v>0</v>
      </c>
      <c r="BP53" s="117"/>
    </row>
    <row r="54" spans="1:68" ht="20.100000000000001" customHeight="1">
      <c r="A54" s="19" t="s">
        <v>97</v>
      </c>
      <c r="B54" s="144" t="s">
        <v>98</v>
      </c>
      <c r="C54" s="30" t="s">
        <v>99</v>
      </c>
      <c r="D54" s="185">
        <f>#REF!</f>
        <v>2.3199999999999998</v>
      </c>
      <c r="E54" s="185">
        <f t="shared" si="4"/>
        <v>0</v>
      </c>
      <c r="F54" s="185">
        <f t="shared" si="21"/>
        <v>0</v>
      </c>
      <c r="G54" s="185">
        <f t="shared" si="8"/>
        <v>0</v>
      </c>
      <c r="H54" s="185">
        <f t="shared" si="12"/>
        <v>0</v>
      </c>
      <c r="I54" s="185"/>
      <c r="J54" s="185"/>
      <c r="K54" s="185"/>
      <c r="L54" s="185"/>
      <c r="M54" s="185"/>
      <c r="N54" s="185"/>
      <c r="O54" s="185"/>
      <c r="P54" s="185"/>
      <c r="Q54" s="185"/>
      <c r="R54" s="185"/>
      <c r="S54" s="185"/>
      <c r="T54" s="185"/>
      <c r="U54" s="185"/>
      <c r="V54" s="185">
        <f t="shared" si="13"/>
        <v>2.3199999999999998</v>
      </c>
      <c r="W54" s="185"/>
      <c r="X54" s="185"/>
      <c r="Y54" s="185"/>
      <c r="Z54" s="185"/>
      <c r="AA54" s="185"/>
      <c r="AB54" s="185"/>
      <c r="AC54" s="185"/>
      <c r="AD54" s="185"/>
      <c r="AE54" s="185">
        <f t="shared" si="27"/>
        <v>0</v>
      </c>
      <c r="AF54" s="185"/>
      <c r="AG54" s="185"/>
      <c r="AH54" s="185"/>
      <c r="AI54" s="185"/>
      <c r="AJ54" s="185"/>
      <c r="AK54" s="185"/>
      <c r="AL54" s="185"/>
      <c r="AM54" s="185"/>
      <c r="AN54" s="185"/>
      <c r="AO54" s="185"/>
      <c r="AP54" s="185"/>
      <c r="AQ54" s="185"/>
      <c r="AR54" s="185"/>
      <c r="AS54" s="185"/>
      <c r="AT54" s="185"/>
      <c r="AU54" s="185"/>
      <c r="AV54" s="185"/>
      <c r="AW54" s="185"/>
      <c r="AX54" s="185"/>
      <c r="AY54" s="185">
        <f>D54-BL54</f>
        <v>2.3199999999999998</v>
      </c>
      <c r="AZ54" s="185"/>
      <c r="BA54" s="185"/>
      <c r="BB54" s="185"/>
      <c r="BC54" s="185"/>
      <c r="BD54" s="185"/>
      <c r="BE54" s="185"/>
      <c r="BF54" s="185"/>
      <c r="BG54" s="185"/>
      <c r="BH54" s="185">
        <f t="shared" si="22"/>
        <v>0</v>
      </c>
      <c r="BI54" s="185"/>
      <c r="BJ54" s="185"/>
      <c r="BK54" s="185"/>
      <c r="BL54" s="185">
        <f>E54+W54+X54+Y54+Z54+AA54+AB54+AC54+AD54+AE54+AQ54+AR54+AS54+AT54+AU54+AV54+AW54+AX54+AZ54+BA54+BB54+BC54+BD54+BE54+BF54+BG54+BH54</f>
        <v>0</v>
      </c>
      <c r="BM54" s="185">
        <f>AY67-BL54</f>
        <v>0</v>
      </c>
      <c r="BN54" s="185">
        <f t="shared" si="29"/>
        <v>2.3199999999999998</v>
      </c>
      <c r="BP54" s="117"/>
    </row>
    <row r="55" spans="1:68" ht="20.100000000000001" customHeight="1">
      <c r="A55" s="19" t="s">
        <v>100</v>
      </c>
      <c r="B55" s="144" t="s">
        <v>490</v>
      </c>
      <c r="C55" s="30" t="s">
        <v>101</v>
      </c>
      <c r="D55" s="185">
        <f>#REF!</f>
        <v>31</v>
      </c>
      <c r="E55" s="185">
        <f t="shared" si="4"/>
        <v>0</v>
      </c>
      <c r="F55" s="185">
        <f t="shared" si="21"/>
        <v>0</v>
      </c>
      <c r="G55" s="185">
        <f t="shared" si="8"/>
        <v>0</v>
      </c>
      <c r="H55" s="185">
        <f t="shared" si="12"/>
        <v>0</v>
      </c>
      <c r="I55" s="185"/>
      <c r="J55" s="185"/>
      <c r="K55" s="185"/>
      <c r="L55" s="185"/>
      <c r="M55" s="185"/>
      <c r="N55" s="185"/>
      <c r="O55" s="185"/>
      <c r="P55" s="185"/>
      <c r="Q55" s="185"/>
      <c r="R55" s="185"/>
      <c r="S55" s="185"/>
      <c r="T55" s="185"/>
      <c r="U55" s="185"/>
      <c r="V55" s="185">
        <f t="shared" si="13"/>
        <v>31</v>
      </c>
      <c r="W55" s="185"/>
      <c r="X55" s="185"/>
      <c r="Y55" s="185"/>
      <c r="Z55" s="185"/>
      <c r="AA55" s="185"/>
      <c r="AB55" s="185"/>
      <c r="AC55" s="185"/>
      <c r="AD55" s="185"/>
      <c r="AE55" s="185">
        <f t="shared" si="27"/>
        <v>0.49</v>
      </c>
      <c r="AF55" s="185"/>
      <c r="AG55" s="185"/>
      <c r="AH55" s="185"/>
      <c r="AI55" s="185"/>
      <c r="AJ55" s="185"/>
      <c r="AK55" s="185"/>
      <c r="AL55" s="185">
        <v>0.49</v>
      </c>
      <c r="AM55" s="185"/>
      <c r="AN55" s="185"/>
      <c r="AO55" s="185"/>
      <c r="AP55" s="185"/>
      <c r="AQ55" s="185"/>
      <c r="AR55" s="185"/>
      <c r="AS55" s="185"/>
      <c r="AT55" s="185"/>
      <c r="AU55" s="185"/>
      <c r="AV55" s="185"/>
      <c r="AW55" s="185"/>
      <c r="AX55" s="185"/>
      <c r="AY55" s="185"/>
      <c r="AZ55" s="185">
        <f>D55-BL55</f>
        <v>30.51</v>
      </c>
      <c r="BA55" s="185"/>
      <c r="BB55" s="185"/>
      <c r="BC55" s="185"/>
      <c r="BD55" s="185"/>
      <c r="BE55" s="185"/>
      <c r="BF55" s="185"/>
      <c r="BG55" s="185"/>
      <c r="BH55" s="185">
        <f t="shared" si="22"/>
        <v>0</v>
      </c>
      <c r="BI55" s="185"/>
      <c r="BJ55" s="185"/>
      <c r="BK55" s="185"/>
      <c r="BL55" s="185">
        <f>E55+W55+X55+Y55+Z55+AA55+AB55+AC55+AD55+AE55+AQ55+AR55+AS55+AT55+AU55+AV55+AW55+AX55+AY55+BA55+BB55+BC55+BD55+BE55+BF55+BG55+BH55</f>
        <v>0.49</v>
      </c>
      <c r="BM55" s="185">
        <f>AZ67-BL55</f>
        <v>-0.49</v>
      </c>
      <c r="BN55" s="185">
        <f t="shared" si="29"/>
        <v>30.51</v>
      </c>
      <c r="BP55" s="117"/>
    </row>
    <row r="56" spans="1:68" ht="20.100000000000001" customHeight="1">
      <c r="A56" s="19" t="s">
        <v>102</v>
      </c>
      <c r="B56" s="144" t="s">
        <v>103</v>
      </c>
      <c r="C56" s="30" t="s">
        <v>104</v>
      </c>
      <c r="D56" s="185">
        <f>#REF!</f>
        <v>2.3199999999999998</v>
      </c>
      <c r="E56" s="185">
        <f t="shared" si="4"/>
        <v>0</v>
      </c>
      <c r="F56" s="185">
        <f t="shared" si="21"/>
        <v>0</v>
      </c>
      <c r="G56" s="185">
        <f t="shared" si="8"/>
        <v>0</v>
      </c>
      <c r="H56" s="185">
        <f t="shared" si="12"/>
        <v>0</v>
      </c>
      <c r="I56" s="185"/>
      <c r="J56" s="185"/>
      <c r="K56" s="185"/>
      <c r="L56" s="185"/>
      <c r="M56" s="185"/>
      <c r="N56" s="185"/>
      <c r="O56" s="185"/>
      <c r="P56" s="185"/>
      <c r="Q56" s="185"/>
      <c r="R56" s="185"/>
      <c r="S56" s="185"/>
      <c r="T56" s="185"/>
      <c r="U56" s="185"/>
      <c r="V56" s="185">
        <f t="shared" si="13"/>
        <v>2.3199999999999998</v>
      </c>
      <c r="W56" s="185"/>
      <c r="X56" s="185"/>
      <c r="Y56" s="185"/>
      <c r="Z56" s="185"/>
      <c r="AA56" s="185"/>
      <c r="AB56" s="185"/>
      <c r="AC56" s="185"/>
      <c r="AD56" s="185"/>
      <c r="AE56" s="185">
        <f t="shared" si="27"/>
        <v>0</v>
      </c>
      <c r="AF56" s="185"/>
      <c r="AG56" s="185"/>
      <c r="AH56" s="185"/>
      <c r="AI56" s="185"/>
      <c r="AJ56" s="185"/>
      <c r="AK56" s="185"/>
      <c r="AL56" s="185"/>
      <c r="AM56" s="185"/>
      <c r="AN56" s="185"/>
      <c r="AO56" s="185"/>
      <c r="AP56" s="185"/>
      <c r="AQ56" s="185"/>
      <c r="AR56" s="185"/>
      <c r="AS56" s="185"/>
      <c r="AT56" s="185"/>
      <c r="AU56" s="185"/>
      <c r="AV56" s="185"/>
      <c r="AW56" s="185"/>
      <c r="AX56" s="185"/>
      <c r="AY56" s="185"/>
      <c r="AZ56" s="185"/>
      <c r="BA56" s="185">
        <f>D56-BL56</f>
        <v>2.3199999999999998</v>
      </c>
      <c r="BB56" s="185"/>
      <c r="BC56" s="185"/>
      <c r="BD56" s="185"/>
      <c r="BE56" s="185"/>
      <c r="BF56" s="185"/>
      <c r="BG56" s="185"/>
      <c r="BH56" s="185">
        <f t="shared" si="22"/>
        <v>0</v>
      </c>
      <c r="BI56" s="185"/>
      <c r="BJ56" s="185"/>
      <c r="BK56" s="185"/>
      <c r="BL56" s="185">
        <f>E56+W56+X56+Y56+Z56+AA56+AB56+AC56+AD56+AE56+AQ56+AR56+AS56+AT56+AU56+AV56+AW56+AX56+AY56+AZ56+BB56+BC56+BD56+BE56+BF56+BG56+BH56</f>
        <v>0</v>
      </c>
      <c r="BM56" s="185">
        <f>BA67-BL56</f>
        <v>0</v>
      </c>
      <c r="BN56" s="185">
        <f t="shared" si="29"/>
        <v>2.3199999999999998</v>
      </c>
      <c r="BP56" s="117"/>
    </row>
    <row r="57" spans="1:68" ht="20.100000000000001" customHeight="1">
      <c r="A57" s="19" t="s">
        <v>105</v>
      </c>
      <c r="B57" s="144" t="s">
        <v>106</v>
      </c>
      <c r="C57" s="30" t="s">
        <v>107</v>
      </c>
      <c r="D57" s="185">
        <f>#REF!</f>
        <v>1.1499999999999999</v>
      </c>
      <c r="E57" s="185">
        <f t="shared" si="4"/>
        <v>0</v>
      </c>
      <c r="F57" s="185">
        <f t="shared" si="21"/>
        <v>0</v>
      </c>
      <c r="G57" s="185">
        <f t="shared" si="8"/>
        <v>0</v>
      </c>
      <c r="H57" s="185">
        <f t="shared" si="12"/>
        <v>0</v>
      </c>
      <c r="I57" s="185"/>
      <c r="J57" s="185"/>
      <c r="K57" s="185"/>
      <c r="L57" s="185"/>
      <c r="M57" s="185"/>
      <c r="N57" s="185"/>
      <c r="O57" s="185"/>
      <c r="P57" s="185"/>
      <c r="Q57" s="185"/>
      <c r="R57" s="185"/>
      <c r="S57" s="185"/>
      <c r="T57" s="185"/>
      <c r="U57" s="185"/>
      <c r="V57" s="185">
        <f t="shared" si="13"/>
        <v>1.1499999999999999</v>
      </c>
      <c r="W57" s="185"/>
      <c r="X57" s="185"/>
      <c r="Y57" s="185"/>
      <c r="Z57" s="185"/>
      <c r="AA57" s="185"/>
      <c r="AB57" s="185"/>
      <c r="AC57" s="185"/>
      <c r="AD57" s="185"/>
      <c r="AE57" s="185">
        <f>SUM(AF57:AP57)</f>
        <v>0</v>
      </c>
      <c r="AF57" s="185"/>
      <c r="AG57" s="185"/>
      <c r="AH57" s="185"/>
      <c r="AI57" s="185"/>
      <c r="AJ57" s="185"/>
      <c r="AK57" s="185"/>
      <c r="AL57" s="185"/>
      <c r="AM57" s="185"/>
      <c r="AN57" s="185"/>
      <c r="AO57" s="185"/>
      <c r="AP57" s="185"/>
      <c r="AQ57" s="185"/>
      <c r="AR57" s="185"/>
      <c r="AS57" s="185"/>
      <c r="AT57" s="185"/>
      <c r="AU57" s="185"/>
      <c r="AV57" s="185"/>
      <c r="AW57" s="185"/>
      <c r="AX57" s="185"/>
      <c r="AY57" s="185"/>
      <c r="AZ57" s="185"/>
      <c r="BA57" s="185"/>
      <c r="BB57" s="185">
        <f>D57-BL57</f>
        <v>1.1499999999999999</v>
      </c>
      <c r="BC57" s="185"/>
      <c r="BD57" s="185"/>
      <c r="BE57" s="185"/>
      <c r="BF57" s="185"/>
      <c r="BG57" s="185"/>
      <c r="BH57" s="185">
        <f t="shared" si="22"/>
        <v>0</v>
      </c>
      <c r="BI57" s="185"/>
      <c r="BJ57" s="185"/>
      <c r="BK57" s="185"/>
      <c r="BL57" s="185">
        <f>E57+W57+X57+Y57+Z57+AA57+AB57+AC57+AD57+AE57+AQ57+AR57+AS57+AT57+AU57+AV57+AW57+AX57+AY57+AZ57+BA57+BC57+BD57+BE57+BF57+BG57+BH57</f>
        <v>0</v>
      </c>
      <c r="BM57" s="185">
        <f>BB67-BL57</f>
        <v>0</v>
      </c>
      <c r="BN57" s="185">
        <f t="shared" si="29"/>
        <v>1.1499999999999999</v>
      </c>
      <c r="BP57" s="117"/>
    </row>
    <row r="58" spans="1:68" ht="20.100000000000001" customHeight="1">
      <c r="A58" s="19" t="s">
        <v>108</v>
      </c>
      <c r="B58" s="144" t="s">
        <v>491</v>
      </c>
      <c r="C58" s="30" t="s">
        <v>110</v>
      </c>
      <c r="D58" s="185">
        <f>#REF!</f>
        <v>1.71</v>
      </c>
      <c r="E58" s="185">
        <f t="shared" si="4"/>
        <v>0</v>
      </c>
      <c r="F58" s="185">
        <f t="shared" si="21"/>
        <v>0</v>
      </c>
      <c r="G58" s="185">
        <f t="shared" si="8"/>
        <v>0</v>
      </c>
      <c r="H58" s="185">
        <f t="shared" si="12"/>
        <v>0</v>
      </c>
      <c r="I58" s="185"/>
      <c r="J58" s="185"/>
      <c r="K58" s="185"/>
      <c r="L58" s="185"/>
      <c r="M58" s="185"/>
      <c r="N58" s="185"/>
      <c r="O58" s="185"/>
      <c r="P58" s="185"/>
      <c r="Q58" s="185"/>
      <c r="R58" s="185"/>
      <c r="S58" s="185"/>
      <c r="T58" s="185"/>
      <c r="U58" s="185"/>
      <c r="V58" s="185">
        <f t="shared" si="13"/>
        <v>1.71</v>
      </c>
      <c r="W58" s="185"/>
      <c r="X58" s="185"/>
      <c r="Y58" s="185"/>
      <c r="Z58" s="185"/>
      <c r="AA58" s="185"/>
      <c r="AB58" s="185"/>
      <c r="AC58" s="185"/>
      <c r="AD58" s="185"/>
      <c r="AE58" s="185">
        <f t="shared" si="27"/>
        <v>0</v>
      </c>
      <c r="AF58" s="185"/>
      <c r="AG58" s="185"/>
      <c r="AH58" s="185"/>
      <c r="AI58" s="185"/>
      <c r="AJ58" s="185"/>
      <c r="AK58" s="185"/>
      <c r="AL58" s="185"/>
      <c r="AM58" s="185"/>
      <c r="AN58" s="185"/>
      <c r="AO58" s="185"/>
      <c r="AP58" s="185"/>
      <c r="AQ58" s="185"/>
      <c r="AR58" s="185"/>
      <c r="AS58" s="185"/>
      <c r="AT58" s="185"/>
      <c r="AU58" s="185"/>
      <c r="AV58" s="185"/>
      <c r="AW58" s="185"/>
      <c r="AX58" s="185"/>
      <c r="AY58" s="185"/>
      <c r="AZ58" s="185"/>
      <c r="BA58" s="185"/>
      <c r="BB58" s="185"/>
      <c r="BC58" s="185">
        <f>D58-BL58</f>
        <v>1.71</v>
      </c>
      <c r="BD58" s="185"/>
      <c r="BE58" s="185"/>
      <c r="BF58" s="185"/>
      <c r="BG58" s="185"/>
      <c r="BH58" s="185">
        <f t="shared" si="22"/>
        <v>0</v>
      </c>
      <c r="BI58" s="185"/>
      <c r="BJ58" s="185"/>
      <c r="BK58" s="185"/>
      <c r="BL58" s="185">
        <f>E58+W58+X58+Y58+Z58+AA58+AB58+AC58+AD58+AE58+AQ58+AR58+AS58+AT58+AU58+AV58+AW58+AX58+AY58+AZ58+BA58+BB58+BD58+BE58+BF58+BG58+BH58</f>
        <v>0</v>
      </c>
      <c r="BM58" s="185">
        <f>BC67-BL58</f>
        <v>0</v>
      </c>
      <c r="BN58" s="185">
        <f t="shared" si="29"/>
        <v>1.71</v>
      </c>
      <c r="BP58" s="117"/>
    </row>
    <row r="59" spans="1:68" ht="20.100000000000001" customHeight="1">
      <c r="A59" s="19" t="s">
        <v>111</v>
      </c>
      <c r="B59" s="144" t="s">
        <v>112</v>
      </c>
      <c r="C59" s="30" t="s">
        <v>113</v>
      </c>
      <c r="D59" s="185">
        <f>#REF!</f>
        <v>1.77</v>
      </c>
      <c r="E59" s="185">
        <f t="shared" si="4"/>
        <v>0</v>
      </c>
      <c r="F59" s="185">
        <f t="shared" si="21"/>
        <v>0</v>
      </c>
      <c r="G59" s="185">
        <f t="shared" si="8"/>
        <v>0</v>
      </c>
      <c r="H59" s="185">
        <f t="shared" si="12"/>
        <v>0</v>
      </c>
      <c r="I59" s="185"/>
      <c r="J59" s="185"/>
      <c r="K59" s="185"/>
      <c r="L59" s="185"/>
      <c r="M59" s="185"/>
      <c r="N59" s="185"/>
      <c r="O59" s="185"/>
      <c r="P59" s="185"/>
      <c r="Q59" s="185"/>
      <c r="R59" s="185"/>
      <c r="S59" s="185"/>
      <c r="T59" s="185"/>
      <c r="U59" s="185"/>
      <c r="V59" s="185">
        <f t="shared" si="13"/>
        <v>1.77</v>
      </c>
      <c r="W59" s="185"/>
      <c r="X59" s="185"/>
      <c r="Y59" s="185"/>
      <c r="Z59" s="185"/>
      <c r="AA59" s="185"/>
      <c r="AB59" s="185"/>
      <c r="AC59" s="185"/>
      <c r="AD59" s="185"/>
      <c r="AE59" s="185">
        <f t="shared" si="27"/>
        <v>0</v>
      </c>
      <c r="AF59" s="185"/>
      <c r="AG59" s="185"/>
      <c r="AH59" s="185"/>
      <c r="AI59" s="185"/>
      <c r="AJ59" s="185"/>
      <c r="AK59" s="185"/>
      <c r="AL59" s="185"/>
      <c r="AM59" s="185"/>
      <c r="AN59" s="185"/>
      <c r="AO59" s="185"/>
      <c r="AP59" s="185"/>
      <c r="AQ59" s="185"/>
      <c r="AR59" s="185"/>
      <c r="AS59" s="185"/>
      <c r="AT59" s="185"/>
      <c r="AU59" s="185"/>
      <c r="AV59" s="185"/>
      <c r="AW59" s="185"/>
      <c r="AX59" s="185"/>
      <c r="AY59" s="185"/>
      <c r="AZ59" s="185"/>
      <c r="BA59" s="185"/>
      <c r="BB59" s="185"/>
      <c r="BC59" s="185"/>
      <c r="BD59" s="185">
        <f>D59-BL59</f>
        <v>1.77</v>
      </c>
      <c r="BE59" s="185"/>
      <c r="BF59" s="185"/>
      <c r="BG59" s="185"/>
      <c r="BH59" s="185">
        <f t="shared" si="22"/>
        <v>0</v>
      </c>
      <c r="BI59" s="185"/>
      <c r="BJ59" s="185"/>
      <c r="BK59" s="185"/>
      <c r="BL59" s="185">
        <f>E59+W59+X59+Y59+Z59+AA59+AB59+AC59+AD59+AE59+AQ59+AR59+AS59+AT59+AU59+AV59+AW59+AX59+AY59+AZ59+BA59+BB59+BC59+BE59+BF59+BG59+BH59</f>
        <v>0</v>
      </c>
      <c r="BM59" s="185">
        <f>BD67-BL59</f>
        <v>0</v>
      </c>
      <c r="BN59" s="185">
        <f t="shared" si="29"/>
        <v>1.77</v>
      </c>
      <c r="BP59" s="117"/>
    </row>
    <row r="60" spans="1:68" ht="20.100000000000001" customHeight="1">
      <c r="A60" s="19" t="s">
        <v>114</v>
      </c>
      <c r="B60" s="144" t="s">
        <v>115</v>
      </c>
      <c r="C60" s="30" t="s">
        <v>116</v>
      </c>
      <c r="D60" s="185">
        <f>#REF!</f>
        <v>161.99</v>
      </c>
      <c r="E60" s="185">
        <f t="shared" si="4"/>
        <v>4.45</v>
      </c>
      <c r="F60" s="185">
        <f t="shared" si="21"/>
        <v>0</v>
      </c>
      <c r="G60" s="185">
        <f t="shared" si="8"/>
        <v>0</v>
      </c>
      <c r="H60" s="185">
        <f t="shared" si="12"/>
        <v>0</v>
      </c>
      <c r="I60" s="185"/>
      <c r="J60" s="185"/>
      <c r="K60" s="185"/>
      <c r="L60" s="185"/>
      <c r="M60" s="185"/>
      <c r="N60" s="185"/>
      <c r="O60" s="185">
        <f>P60</f>
        <v>0</v>
      </c>
      <c r="P60" s="185"/>
      <c r="Q60" s="185"/>
      <c r="R60" s="185"/>
      <c r="S60" s="185">
        <v>4.45</v>
      </c>
      <c r="T60" s="185"/>
      <c r="U60" s="185"/>
      <c r="V60" s="185">
        <f t="shared" si="13"/>
        <v>157.54</v>
      </c>
      <c r="W60" s="185"/>
      <c r="X60" s="185"/>
      <c r="Y60" s="185"/>
      <c r="Z60" s="185"/>
      <c r="AA60" s="185"/>
      <c r="AB60" s="185"/>
      <c r="AC60" s="185"/>
      <c r="AD60" s="185"/>
      <c r="AE60" s="185">
        <f t="shared" si="27"/>
        <v>0.7</v>
      </c>
      <c r="AF60" s="185"/>
      <c r="AG60" s="185"/>
      <c r="AH60" s="185"/>
      <c r="AI60" s="185"/>
      <c r="AJ60" s="185"/>
      <c r="AK60" s="185"/>
      <c r="AL60" s="185">
        <v>0.7</v>
      </c>
      <c r="AM60" s="185"/>
      <c r="AN60" s="185"/>
      <c r="AO60" s="185"/>
      <c r="AP60" s="185"/>
      <c r="AQ60" s="185"/>
      <c r="AR60" s="185"/>
      <c r="AS60" s="185"/>
      <c r="AT60" s="185"/>
      <c r="AU60" s="185"/>
      <c r="AV60" s="185"/>
      <c r="AW60" s="185"/>
      <c r="AX60" s="185"/>
      <c r="AY60" s="185"/>
      <c r="AZ60" s="185"/>
      <c r="BA60" s="185"/>
      <c r="BB60" s="185"/>
      <c r="BC60" s="185"/>
      <c r="BD60" s="185"/>
      <c r="BE60" s="185">
        <f>D60-BL60</f>
        <v>156.84</v>
      </c>
      <c r="BF60" s="185"/>
      <c r="BG60" s="185"/>
      <c r="BH60" s="185">
        <f t="shared" si="22"/>
        <v>0</v>
      </c>
      <c r="BI60" s="185"/>
      <c r="BJ60" s="185"/>
      <c r="BK60" s="185"/>
      <c r="BL60" s="185">
        <f>E60+W60+X60+Y60+Z60+AA60+AB60+AC60+AD60+AE60+AQ60+AR60+AS60+AT60+AU60+AV60+AW60+AX60+AY60+AZ60+BA60+BB60+BC60+BD60+BF60+BG60+BH60</f>
        <v>5.15</v>
      </c>
      <c r="BM60" s="185">
        <f>BE67-BL60</f>
        <v>-5.15</v>
      </c>
      <c r="BN60" s="185">
        <f t="shared" si="29"/>
        <v>156.84</v>
      </c>
      <c r="BP60" s="117"/>
    </row>
    <row r="61" spans="1:68" ht="20.100000000000001" customHeight="1">
      <c r="A61" s="19" t="s">
        <v>117</v>
      </c>
      <c r="B61" s="144" t="s">
        <v>118</v>
      </c>
      <c r="C61" s="30" t="s">
        <v>119</v>
      </c>
      <c r="D61" s="185"/>
      <c r="E61" s="185">
        <f t="shared" si="4"/>
        <v>0</v>
      </c>
      <c r="F61" s="185">
        <f t="shared" si="21"/>
        <v>0</v>
      </c>
      <c r="G61" s="185">
        <f t="shared" si="8"/>
        <v>0</v>
      </c>
      <c r="H61" s="185">
        <f t="shared" si="12"/>
        <v>0</v>
      </c>
      <c r="I61" s="185"/>
      <c r="J61" s="185"/>
      <c r="K61" s="185"/>
      <c r="L61" s="185"/>
      <c r="M61" s="185"/>
      <c r="N61" s="185"/>
      <c r="O61" s="185"/>
      <c r="P61" s="185"/>
      <c r="Q61" s="185"/>
      <c r="R61" s="185"/>
      <c r="S61" s="185"/>
      <c r="T61" s="185"/>
      <c r="U61" s="185"/>
      <c r="V61" s="185">
        <f t="shared" si="13"/>
        <v>0</v>
      </c>
      <c r="W61" s="185"/>
      <c r="X61" s="185"/>
      <c r="Y61" s="185"/>
      <c r="Z61" s="185"/>
      <c r="AA61" s="185"/>
      <c r="AB61" s="185"/>
      <c r="AC61" s="185"/>
      <c r="AD61" s="185"/>
      <c r="AE61" s="185">
        <f t="shared" si="27"/>
        <v>0</v>
      </c>
      <c r="AF61" s="185"/>
      <c r="AG61" s="185"/>
      <c r="AH61" s="185"/>
      <c r="AI61" s="185"/>
      <c r="AJ61" s="185"/>
      <c r="AK61" s="185"/>
      <c r="AL61" s="185"/>
      <c r="AM61" s="185"/>
      <c r="AN61" s="185"/>
      <c r="AO61" s="185"/>
      <c r="AP61" s="185"/>
      <c r="AQ61" s="185"/>
      <c r="AR61" s="185"/>
      <c r="AS61" s="185"/>
      <c r="AT61" s="185"/>
      <c r="AU61" s="185"/>
      <c r="AV61" s="185"/>
      <c r="AW61" s="185"/>
      <c r="AX61" s="185"/>
      <c r="AY61" s="185"/>
      <c r="AZ61" s="185"/>
      <c r="BA61" s="185"/>
      <c r="BB61" s="185"/>
      <c r="BC61" s="185"/>
      <c r="BD61" s="185"/>
      <c r="BE61" s="185"/>
      <c r="BF61" s="185">
        <f>D61-BL61</f>
        <v>0</v>
      </c>
      <c r="BG61" s="185"/>
      <c r="BH61" s="185">
        <f t="shared" si="22"/>
        <v>0</v>
      </c>
      <c r="BI61" s="185"/>
      <c r="BJ61" s="185"/>
      <c r="BK61" s="185"/>
      <c r="BL61" s="185">
        <f>E61+W61+X61+Y61+Z61+AA61+AB61+AC61+AD61+AE61+AQ61+AR61+AS61+AT61+AU61+AV61+AW61+AX61+AY61+AZ61+BA61+BB61+BC61+BD61+BE61+BG61+BH61</f>
        <v>0</v>
      </c>
      <c r="BM61" s="185">
        <f>BF67-BL61</f>
        <v>0</v>
      </c>
      <c r="BN61" s="185">
        <f t="shared" si="29"/>
        <v>0</v>
      </c>
      <c r="BP61" s="117"/>
    </row>
    <row r="62" spans="1:68" ht="20.100000000000001" customHeight="1">
      <c r="A62" s="19" t="s">
        <v>120</v>
      </c>
      <c r="B62" s="144" t="s">
        <v>121</v>
      </c>
      <c r="C62" s="30" t="s">
        <v>122</v>
      </c>
      <c r="D62" s="185">
        <f>#REF!</f>
        <v>0.59</v>
      </c>
      <c r="E62" s="185">
        <f t="shared" si="4"/>
        <v>0</v>
      </c>
      <c r="F62" s="185">
        <f t="shared" si="21"/>
        <v>0</v>
      </c>
      <c r="G62" s="185">
        <f t="shared" si="8"/>
        <v>0</v>
      </c>
      <c r="H62" s="185">
        <f t="shared" si="12"/>
        <v>0</v>
      </c>
      <c r="I62" s="185"/>
      <c r="J62" s="185"/>
      <c r="K62" s="185"/>
      <c r="L62" s="185"/>
      <c r="M62" s="185"/>
      <c r="N62" s="185"/>
      <c r="O62" s="185"/>
      <c r="P62" s="185"/>
      <c r="Q62" s="185"/>
      <c r="R62" s="185"/>
      <c r="S62" s="185"/>
      <c r="T62" s="185"/>
      <c r="U62" s="185"/>
      <c r="V62" s="185">
        <f t="shared" si="13"/>
        <v>0.59</v>
      </c>
      <c r="W62" s="185"/>
      <c r="X62" s="185"/>
      <c r="Y62" s="185"/>
      <c r="Z62" s="185"/>
      <c r="AA62" s="185"/>
      <c r="AB62" s="185"/>
      <c r="AC62" s="185"/>
      <c r="AD62" s="185"/>
      <c r="AE62" s="185">
        <f t="shared" si="27"/>
        <v>0</v>
      </c>
      <c r="AF62" s="185"/>
      <c r="AG62" s="185"/>
      <c r="AH62" s="185"/>
      <c r="AI62" s="185"/>
      <c r="AJ62" s="185"/>
      <c r="AK62" s="185"/>
      <c r="AL62" s="185"/>
      <c r="AM62" s="185"/>
      <c r="AN62" s="185"/>
      <c r="AO62" s="185"/>
      <c r="AP62" s="185"/>
      <c r="AQ62" s="185"/>
      <c r="AR62" s="185"/>
      <c r="AS62" s="185"/>
      <c r="AT62" s="185"/>
      <c r="AU62" s="185"/>
      <c r="AV62" s="185"/>
      <c r="AW62" s="185"/>
      <c r="AX62" s="185"/>
      <c r="AY62" s="185"/>
      <c r="AZ62" s="185"/>
      <c r="BA62" s="185"/>
      <c r="BB62" s="185"/>
      <c r="BC62" s="185"/>
      <c r="BD62" s="185"/>
      <c r="BE62" s="185"/>
      <c r="BF62" s="185"/>
      <c r="BG62" s="185">
        <f>D62-BL62</f>
        <v>0.59</v>
      </c>
      <c r="BH62" s="185">
        <f t="shared" si="22"/>
        <v>0</v>
      </c>
      <c r="BI62" s="185"/>
      <c r="BJ62" s="185"/>
      <c r="BK62" s="185"/>
      <c r="BL62" s="185">
        <f>E62+W62+X62+Y62+Z62+AA62+AB62+AC62+AD62+AE62+AQ62+AR62+AS62+AT62+AU62+AV62+AW62+AX62+AY62+AZ62+BA62+BB62+BC62+BD62+BE62+BF62+BH62</f>
        <v>0</v>
      </c>
      <c r="BM62" s="185">
        <f>BG67-BL62</f>
        <v>0</v>
      </c>
      <c r="BN62" s="185">
        <f t="shared" si="29"/>
        <v>0.59</v>
      </c>
      <c r="BP62" s="117"/>
    </row>
    <row r="63" spans="1:68" s="115" customFormat="1" ht="21.75" customHeight="1">
      <c r="A63" s="15">
        <v>3</v>
      </c>
      <c r="B63" s="142" t="s">
        <v>123</v>
      </c>
      <c r="C63" s="158" t="s">
        <v>124</v>
      </c>
      <c r="D63" s="420">
        <f>D64+D65+D66</f>
        <v>29.27</v>
      </c>
      <c r="E63" s="420">
        <f>E64+E65+E66</f>
        <v>0.02</v>
      </c>
      <c r="F63" s="420">
        <f t="shared" ref="F63:U63" si="30">F64+F65+F66</f>
        <v>0</v>
      </c>
      <c r="G63" s="420">
        <f t="shared" si="30"/>
        <v>0</v>
      </c>
      <c r="H63" s="420">
        <f t="shared" si="30"/>
        <v>0</v>
      </c>
      <c r="I63" s="420">
        <f t="shared" si="30"/>
        <v>0</v>
      </c>
      <c r="J63" s="420">
        <f t="shared" si="30"/>
        <v>0</v>
      </c>
      <c r="K63" s="420">
        <f t="shared" si="30"/>
        <v>0</v>
      </c>
      <c r="L63" s="420">
        <f t="shared" si="30"/>
        <v>0</v>
      </c>
      <c r="M63" s="420">
        <f t="shared" si="30"/>
        <v>0</v>
      </c>
      <c r="N63" s="420">
        <f t="shared" si="30"/>
        <v>0</v>
      </c>
      <c r="O63" s="420">
        <f>O64+O65+O66</f>
        <v>0</v>
      </c>
      <c r="P63" s="420">
        <f t="shared" si="30"/>
        <v>0</v>
      </c>
      <c r="Q63" s="420">
        <f t="shared" si="30"/>
        <v>0</v>
      </c>
      <c r="R63" s="420">
        <f t="shared" si="30"/>
        <v>0</v>
      </c>
      <c r="S63" s="420">
        <f t="shared" si="30"/>
        <v>0.02</v>
      </c>
      <c r="T63" s="420">
        <f t="shared" si="30"/>
        <v>0</v>
      </c>
      <c r="U63" s="420">
        <f t="shared" si="30"/>
        <v>0</v>
      </c>
      <c r="V63" s="420">
        <f>V64+V65+V66</f>
        <v>0.04</v>
      </c>
      <c r="W63" s="420">
        <f t="shared" ref="W63:BG63" si="31">W64+W65+W66</f>
        <v>0</v>
      </c>
      <c r="X63" s="420">
        <f t="shared" si="31"/>
        <v>0</v>
      </c>
      <c r="Y63" s="420">
        <f t="shared" si="31"/>
        <v>0</v>
      </c>
      <c r="Z63" s="420">
        <f t="shared" si="31"/>
        <v>0</v>
      </c>
      <c r="AA63" s="420">
        <f t="shared" si="31"/>
        <v>0</v>
      </c>
      <c r="AB63" s="420">
        <f t="shared" si="31"/>
        <v>0</v>
      </c>
      <c r="AC63" s="420">
        <f t="shared" si="31"/>
        <v>0</v>
      </c>
      <c r="AD63" s="420">
        <f t="shared" si="31"/>
        <v>0</v>
      </c>
      <c r="AE63" s="420">
        <f t="shared" si="31"/>
        <v>0.01</v>
      </c>
      <c r="AF63" s="420">
        <f t="shared" si="31"/>
        <v>0</v>
      </c>
      <c r="AG63" s="420">
        <f t="shared" si="31"/>
        <v>0</v>
      </c>
      <c r="AH63" s="420">
        <f t="shared" si="31"/>
        <v>0</v>
      </c>
      <c r="AI63" s="420">
        <f t="shared" si="31"/>
        <v>0</v>
      </c>
      <c r="AJ63" s="420">
        <f t="shared" si="31"/>
        <v>0</v>
      </c>
      <c r="AK63" s="420">
        <f t="shared" si="31"/>
        <v>0</v>
      </c>
      <c r="AL63" s="420">
        <f t="shared" si="31"/>
        <v>0.01</v>
      </c>
      <c r="AM63" s="420">
        <f t="shared" si="31"/>
        <v>0</v>
      </c>
      <c r="AN63" s="420">
        <f t="shared" si="31"/>
        <v>0</v>
      </c>
      <c r="AO63" s="420">
        <f t="shared" si="31"/>
        <v>0</v>
      </c>
      <c r="AP63" s="420">
        <f t="shared" si="31"/>
        <v>0</v>
      </c>
      <c r="AQ63" s="420">
        <f t="shared" si="31"/>
        <v>0</v>
      </c>
      <c r="AR63" s="420">
        <f t="shared" si="31"/>
        <v>0</v>
      </c>
      <c r="AS63" s="420">
        <f t="shared" si="31"/>
        <v>0</v>
      </c>
      <c r="AT63" s="420">
        <f t="shared" si="31"/>
        <v>0.03</v>
      </c>
      <c r="AU63" s="420">
        <f t="shared" si="31"/>
        <v>0</v>
      </c>
      <c r="AV63" s="420">
        <f t="shared" si="31"/>
        <v>0</v>
      </c>
      <c r="AW63" s="420">
        <f t="shared" si="31"/>
        <v>0</v>
      </c>
      <c r="AX63" s="420">
        <f t="shared" si="31"/>
        <v>0</v>
      </c>
      <c r="AY63" s="420">
        <f t="shared" si="31"/>
        <v>0</v>
      </c>
      <c r="AZ63" s="420">
        <f t="shared" si="31"/>
        <v>0</v>
      </c>
      <c r="BA63" s="420">
        <f t="shared" si="31"/>
        <v>0</v>
      </c>
      <c r="BB63" s="420">
        <f t="shared" si="31"/>
        <v>0</v>
      </c>
      <c r="BC63" s="420">
        <f t="shared" si="31"/>
        <v>0</v>
      </c>
      <c r="BD63" s="420">
        <f t="shared" si="31"/>
        <v>0</v>
      </c>
      <c r="BE63" s="420">
        <f t="shared" si="31"/>
        <v>0</v>
      </c>
      <c r="BF63" s="420">
        <f t="shared" si="31"/>
        <v>0</v>
      </c>
      <c r="BG63" s="420">
        <f t="shared" si="31"/>
        <v>0</v>
      </c>
      <c r="BH63" s="420">
        <f>D63-BL63</f>
        <v>29.21</v>
      </c>
      <c r="BI63" s="420">
        <f t="shared" ref="BI63:BN63" si="32">BI64+BI65+BI66</f>
        <v>29.21</v>
      </c>
      <c r="BJ63" s="420">
        <f t="shared" si="32"/>
        <v>0</v>
      </c>
      <c r="BK63" s="420">
        <f t="shared" si="32"/>
        <v>0</v>
      </c>
      <c r="BL63" s="420">
        <f t="shared" si="32"/>
        <v>0.06</v>
      </c>
      <c r="BM63" s="420">
        <f t="shared" si="32"/>
        <v>-0.06</v>
      </c>
      <c r="BN63" s="420">
        <f t="shared" si="32"/>
        <v>29.21</v>
      </c>
      <c r="BP63" s="117"/>
    </row>
    <row r="64" spans="1:68" ht="21.75" customHeight="1">
      <c r="A64" s="14" t="s">
        <v>220</v>
      </c>
      <c r="B64" s="143" t="s">
        <v>461</v>
      </c>
      <c r="C64" s="30" t="s">
        <v>209</v>
      </c>
      <c r="D64" s="185">
        <f>#REF!</f>
        <v>29.27</v>
      </c>
      <c r="E64" s="185">
        <f t="shared" si="4"/>
        <v>0.02</v>
      </c>
      <c r="F64" s="185">
        <f t="shared" si="21"/>
        <v>0</v>
      </c>
      <c r="G64" s="185">
        <f t="shared" si="8"/>
        <v>0</v>
      </c>
      <c r="H64" s="185">
        <f t="shared" si="12"/>
        <v>0</v>
      </c>
      <c r="I64" s="185"/>
      <c r="J64" s="185"/>
      <c r="K64" s="185"/>
      <c r="L64" s="185"/>
      <c r="M64" s="185"/>
      <c r="N64" s="185"/>
      <c r="O64" s="185">
        <f>P64+Q64+R64</f>
        <v>0</v>
      </c>
      <c r="P64" s="185"/>
      <c r="Q64" s="185"/>
      <c r="R64" s="185"/>
      <c r="S64" s="185">
        <v>0.02</v>
      </c>
      <c r="T64" s="185"/>
      <c r="U64" s="185"/>
      <c r="V64" s="185">
        <f t="shared" si="13"/>
        <v>0.04</v>
      </c>
      <c r="W64" s="185"/>
      <c r="X64" s="185"/>
      <c r="Y64" s="185"/>
      <c r="Z64" s="185"/>
      <c r="AA64" s="185"/>
      <c r="AB64" s="185"/>
      <c r="AC64" s="185"/>
      <c r="AD64" s="185"/>
      <c r="AE64" s="185">
        <f t="shared" si="27"/>
        <v>0.01</v>
      </c>
      <c r="AF64" s="185"/>
      <c r="AG64" s="185"/>
      <c r="AH64" s="185"/>
      <c r="AI64" s="185"/>
      <c r="AJ64" s="185"/>
      <c r="AK64" s="185"/>
      <c r="AL64" s="185">
        <v>0.01</v>
      </c>
      <c r="AM64" s="185"/>
      <c r="AN64" s="185"/>
      <c r="AO64" s="185"/>
      <c r="AP64" s="185"/>
      <c r="AQ64" s="185"/>
      <c r="AR64" s="185"/>
      <c r="AS64" s="185"/>
      <c r="AT64" s="185">
        <v>0.03</v>
      </c>
      <c r="AU64" s="185"/>
      <c r="AV64" s="185"/>
      <c r="AW64" s="185"/>
      <c r="AX64" s="185"/>
      <c r="AY64" s="185"/>
      <c r="AZ64" s="185"/>
      <c r="BA64" s="185"/>
      <c r="BB64" s="185"/>
      <c r="BC64" s="185"/>
      <c r="BD64" s="185"/>
      <c r="BE64" s="185"/>
      <c r="BF64" s="185"/>
      <c r="BG64" s="185"/>
      <c r="BH64" s="185">
        <f>BI64+BJ64+BK64</f>
        <v>29.21</v>
      </c>
      <c r="BI64" s="185">
        <f>D64-BL64</f>
        <v>29.21</v>
      </c>
      <c r="BJ64" s="185"/>
      <c r="BK64" s="185"/>
      <c r="BL64" s="185">
        <f>E64+V64</f>
        <v>0.06</v>
      </c>
      <c r="BM64" s="185">
        <f>BI67-BL64</f>
        <v>-0.06</v>
      </c>
      <c r="BN64" s="185">
        <f>D64+BM64</f>
        <v>29.21</v>
      </c>
      <c r="BP64" s="117"/>
    </row>
    <row r="65" spans="1:68" ht="21.75" customHeight="1">
      <c r="A65" s="14" t="s">
        <v>221</v>
      </c>
      <c r="B65" s="143" t="s">
        <v>462</v>
      </c>
      <c r="C65" s="30" t="s">
        <v>210</v>
      </c>
      <c r="D65" s="185"/>
      <c r="E65" s="185">
        <f t="shared" si="4"/>
        <v>0</v>
      </c>
      <c r="F65" s="185">
        <f t="shared" si="21"/>
        <v>0</v>
      </c>
      <c r="G65" s="185">
        <f t="shared" si="8"/>
        <v>0</v>
      </c>
      <c r="H65" s="185">
        <f t="shared" si="12"/>
        <v>0</v>
      </c>
      <c r="I65" s="185"/>
      <c r="J65" s="185"/>
      <c r="K65" s="185"/>
      <c r="L65" s="185"/>
      <c r="M65" s="185"/>
      <c r="N65" s="185"/>
      <c r="O65" s="185">
        <f t="shared" ref="O65:O66" si="33">P65+Q65+R65</f>
        <v>0</v>
      </c>
      <c r="P65" s="185"/>
      <c r="Q65" s="185"/>
      <c r="R65" s="185"/>
      <c r="S65" s="185"/>
      <c r="T65" s="185"/>
      <c r="U65" s="185"/>
      <c r="V65" s="185">
        <f t="shared" si="13"/>
        <v>0</v>
      </c>
      <c r="W65" s="185"/>
      <c r="X65" s="185"/>
      <c r="Y65" s="185"/>
      <c r="Z65" s="185"/>
      <c r="AA65" s="185"/>
      <c r="AB65" s="185"/>
      <c r="AC65" s="185"/>
      <c r="AD65" s="185"/>
      <c r="AE65" s="185">
        <f t="shared" si="27"/>
        <v>0</v>
      </c>
      <c r="AF65" s="185"/>
      <c r="AG65" s="185"/>
      <c r="AH65" s="185"/>
      <c r="AI65" s="185"/>
      <c r="AJ65" s="185"/>
      <c r="AK65" s="185"/>
      <c r="AL65" s="185"/>
      <c r="AM65" s="185"/>
      <c r="AN65" s="185"/>
      <c r="AO65" s="185"/>
      <c r="AP65" s="185"/>
      <c r="AQ65" s="185"/>
      <c r="AR65" s="185"/>
      <c r="AS65" s="185"/>
      <c r="AT65" s="185"/>
      <c r="AU65" s="185"/>
      <c r="AV65" s="185"/>
      <c r="AW65" s="185"/>
      <c r="AX65" s="185"/>
      <c r="AY65" s="185"/>
      <c r="AZ65" s="185"/>
      <c r="BA65" s="185"/>
      <c r="BB65" s="185"/>
      <c r="BC65" s="185"/>
      <c r="BD65" s="185"/>
      <c r="BE65" s="185"/>
      <c r="BF65" s="185"/>
      <c r="BG65" s="185"/>
      <c r="BH65" s="185">
        <f>BI65+BJ65+BK65</f>
        <v>0</v>
      </c>
      <c r="BI65" s="185"/>
      <c r="BJ65" s="185">
        <f>D65-BL65</f>
        <v>0</v>
      </c>
      <c r="BK65" s="185"/>
      <c r="BL65" s="185">
        <f>E65+V65</f>
        <v>0</v>
      </c>
      <c r="BM65" s="185">
        <f>BJ67-BL65</f>
        <v>0</v>
      </c>
      <c r="BN65" s="185">
        <f>D65+BM65</f>
        <v>0</v>
      </c>
      <c r="BP65" s="117"/>
    </row>
    <row r="66" spans="1:68" ht="21.75" customHeight="1">
      <c r="A66" s="16" t="s">
        <v>222</v>
      </c>
      <c r="B66" s="145" t="s">
        <v>492</v>
      </c>
      <c r="C66" s="156" t="s">
        <v>211</v>
      </c>
      <c r="D66" s="455"/>
      <c r="E66" s="455">
        <f t="shared" si="4"/>
        <v>0</v>
      </c>
      <c r="F66" s="455">
        <f t="shared" si="21"/>
        <v>0</v>
      </c>
      <c r="G66" s="455">
        <f t="shared" si="8"/>
        <v>0</v>
      </c>
      <c r="H66" s="455">
        <f t="shared" si="12"/>
        <v>0</v>
      </c>
      <c r="I66" s="455"/>
      <c r="J66" s="455"/>
      <c r="K66" s="455"/>
      <c r="L66" s="455"/>
      <c r="M66" s="455"/>
      <c r="N66" s="455"/>
      <c r="O66" s="455">
        <f t="shared" si="33"/>
        <v>0</v>
      </c>
      <c r="P66" s="455"/>
      <c r="Q66" s="455"/>
      <c r="R66" s="455"/>
      <c r="S66" s="455"/>
      <c r="T66" s="455"/>
      <c r="U66" s="455"/>
      <c r="V66" s="455">
        <f t="shared" si="13"/>
        <v>0</v>
      </c>
      <c r="W66" s="455"/>
      <c r="X66" s="455"/>
      <c r="Y66" s="455"/>
      <c r="Z66" s="455"/>
      <c r="AA66" s="455"/>
      <c r="AB66" s="455"/>
      <c r="AC66" s="455"/>
      <c r="AD66" s="455"/>
      <c r="AE66" s="455">
        <f t="shared" si="27"/>
        <v>0</v>
      </c>
      <c r="AF66" s="455"/>
      <c r="AG66" s="455"/>
      <c r="AH66" s="455"/>
      <c r="AI66" s="455"/>
      <c r="AJ66" s="455"/>
      <c r="AK66" s="455"/>
      <c r="AL66" s="455"/>
      <c r="AM66" s="455"/>
      <c r="AN66" s="455"/>
      <c r="AO66" s="455"/>
      <c r="AP66" s="455"/>
      <c r="AQ66" s="455"/>
      <c r="AR66" s="455"/>
      <c r="AS66" s="455"/>
      <c r="AT66" s="455"/>
      <c r="AU66" s="455"/>
      <c r="AV66" s="455"/>
      <c r="AW66" s="455"/>
      <c r="AX66" s="455"/>
      <c r="AY66" s="455"/>
      <c r="AZ66" s="455"/>
      <c r="BA66" s="455"/>
      <c r="BB66" s="455"/>
      <c r="BC66" s="455"/>
      <c r="BD66" s="455"/>
      <c r="BE66" s="455"/>
      <c r="BF66" s="455"/>
      <c r="BG66" s="455"/>
      <c r="BH66" s="455">
        <f>BI66+BJ66+BK66</f>
        <v>0</v>
      </c>
      <c r="BI66" s="455"/>
      <c r="BJ66" s="455"/>
      <c r="BK66" s="455">
        <f>D66-BL66</f>
        <v>0</v>
      </c>
      <c r="BL66" s="455">
        <f>E66+V66</f>
        <v>0</v>
      </c>
      <c r="BM66" s="455">
        <f>D66-BL66</f>
        <v>0</v>
      </c>
      <c r="BN66" s="455">
        <f>D66+BM66</f>
        <v>0</v>
      </c>
      <c r="BP66" s="117"/>
    </row>
    <row r="67" spans="1:68" s="115" customFormat="1" ht="24.75" customHeight="1">
      <c r="A67" s="17"/>
      <c r="B67" s="146" t="s">
        <v>190</v>
      </c>
      <c r="C67" s="17"/>
      <c r="D67" s="399"/>
      <c r="E67" s="399">
        <f>E25+E63</f>
        <v>15.669999999999998</v>
      </c>
      <c r="F67" s="399">
        <f>F18+F22+F23+F24+F25+F63</f>
        <v>0</v>
      </c>
      <c r="G67" s="399">
        <f>G17+G18+G22+G23+G24+G25+G63</f>
        <v>0</v>
      </c>
      <c r="H67" s="399">
        <f>H15+H16+H17+H18+H22+H23+H24+H25+H63</f>
        <v>0</v>
      </c>
      <c r="I67" s="399">
        <f>I13+I14+I15+I16+I17+I18+I22+I23+I24+I25+I63</f>
        <v>0</v>
      </c>
      <c r="J67" s="399">
        <f>J12+J14+J15+J16+J17+J18+J22+J23+J24+J25+J63</f>
        <v>0</v>
      </c>
      <c r="K67" s="399">
        <f>K12+K13+K15+K16+K17+K18+K22+K23+K24+K25+K63</f>
        <v>0</v>
      </c>
      <c r="L67" s="399">
        <f>L12+L13+L14+L16+L17+L18+L22+L23+L24+L25+L63</f>
        <v>0</v>
      </c>
      <c r="M67" s="399">
        <f>M12+M13+M14+M15+M17+M18+M22+M23+M24+M25+M63</f>
        <v>0</v>
      </c>
      <c r="N67" s="399">
        <f>N12+N13+N14+N15+N16+N18+N22+N23+N24+N25+N63</f>
        <v>0</v>
      </c>
      <c r="O67" s="399">
        <f>O9+O22+O23+O24+O25+O63</f>
        <v>0</v>
      </c>
      <c r="P67" s="729">
        <f>P10+P17+P20+P21+P22+P23+P24+P25+P63</f>
        <v>0</v>
      </c>
      <c r="Q67" s="399">
        <f>Q12+Q13+Q14+Q15+Q16+Q17+Q19+Q21+Q22+Q23+Q24+Q25+Q63</f>
        <v>0</v>
      </c>
      <c r="R67" s="733">
        <f>R12+R13+R14+R15+R16+R17+R19+R20+R22+R23+R24+R25+R63</f>
        <v>0</v>
      </c>
      <c r="S67" s="729">
        <f>S9+S18+S23+S24+S25+S63</f>
        <v>19.88</v>
      </c>
      <c r="T67" s="733">
        <f>T9+T18+T22+T24+T25+T63</f>
        <v>0</v>
      </c>
      <c r="U67" s="733">
        <f>U9+U18+U22+U23+U25+U63</f>
        <v>0</v>
      </c>
      <c r="V67" s="733">
        <f>V8+V63</f>
        <v>14.649999999999999</v>
      </c>
      <c r="W67" s="733">
        <f>W8+W27+W28+W29+W30+W31+W32+W33+W34+W46+W47+W48+W49+W50+W51+W52+W53+W54+W55+W56+W57+W58+W59+W60+W61+W62+W63</f>
        <v>0</v>
      </c>
      <c r="X67" s="733">
        <f>X8+X26+X28+X29+X30+X31+X32+X33+X34+X46+X47+X48+X49+X50+X51+X52+X53+X54+X55+X56+X57+X58+X59+X60+X61+X62+X63</f>
        <v>0</v>
      </c>
      <c r="Y67" s="733">
        <f>Y8+Y26+Y27+Y29+Y30+Y31+Y32+Y33+Y34+Y46+Y47+Y48+Y49+Y50+Y51+Y52+Y53+Y54+Y55+Y56+Y57+Y58+Y59+Y60+Y61+Y62+Y63</f>
        <v>0</v>
      </c>
      <c r="Z67" s="733">
        <f>Z8+Z26+Z27+Z28+Z30+Z31+Z32+Z33+Z34+Z46+Z47+Z48+Z49+Z50+Z51+Z52+Z53+Z54+Z55+Z56+Z57+Z58+Z59+Z60+Z61+Z62+Z63</f>
        <v>0</v>
      </c>
      <c r="AA67" s="733">
        <f>AA8+AA26+AA27+AA28+AA29+AA31+AA32+AA33+AA34+AA46+AA47+AA48+AA49+AA50+AA51+AA52+AA53+AA54+AA55+AA56+AA57+AA58+AA59+AA60+AA61+AA62+AA63</f>
        <v>0</v>
      </c>
      <c r="AB67" s="729">
        <f>AB8+AB26+AB27+AB28+AB29+AB30+AB32+AB33+AB34+AB46+AB47+AB48+AB49+AB50+AB51+AB52+AB53+AB54+AB55+AB56+AB57+AB58+AB59+AB60+AB61+AB62+AB63</f>
        <v>0.15</v>
      </c>
      <c r="AC67" s="733">
        <f>AC8+AC26+AC27+AC28+AC29+AC30+AC31+AC33+AC34+AC46+AC47+AC48+AC49+AC50+AC51+AC52+AC53+AC54+AC55+AC56+AC57+AC58+AC59+AC60+AC61+AC62+AC63</f>
        <v>0</v>
      </c>
      <c r="AD67" s="733">
        <f>AD8+AD26+AD27+AD28+AD29+AD30+AD31+AD32+AD34+AD46+AD47+AD48+AD49+AD50+AD51+AD52+AD53+AD54+AD55+AD56+AD57+AD58+AD59+AD60+AD61+AD62+AD63</f>
        <v>0</v>
      </c>
      <c r="AE67" s="733">
        <f>AE8+AE26+AE27+AE28+AE29+AE30+AE31+AE32+AE33+AE46+AE47+AE48+AE49+AE50+AE51+AE52+AE53+AE54+AE55+AE56+AE57+AE58+AE59+AE60+AE61+AE62+AE63</f>
        <v>10.37</v>
      </c>
      <c r="AF67" s="733">
        <f>AF8+AF26+AF27+AF28+AF29+AF30+AF31+AF32+AF33+AF3+AF36+AF37+AF38+AF39+AF40+AF41+AF42+AF43+AF44+AF45+AF46+AF47+AF48+AF49+AF50+AF51+AF52+AF53+AF54+AF55+AF56+AF57+AF58+AF59+AF60+AF61+AF62+AF63</f>
        <v>0</v>
      </c>
      <c r="AG67" s="729">
        <f>AG8+AG26+AG27+AG28+AG29+AG30+AG31+AG32+AG33+AG35+AG37+AG38+AG39+AG40+AG41+AG42+AG43+AG44+AG45+AG46+AG47+AG48+AG49+AG50+AG51+AG52+AG53+AG54+AG55+AG56+AG57+AG58+AG59+AG60+AG61+AG62+AG63</f>
        <v>0</v>
      </c>
      <c r="AH67" s="729">
        <f>AH8+AH26+AH27+AH28+AH29+AH30+AH31+AH32+AH33+AH35+AH36+AH38+AH39+AH40+AH41+AH42+AH43+AH44+AH45+AH46+AH47+AH48+AH49+AH50+AH51+AH52+AH53+AH54+AH55+AH56+AH57+AH58+AH59+AH60+AH61+AH62+AH63</f>
        <v>0</v>
      </c>
      <c r="AI67" s="733">
        <f>AI8+AI26+AI27+AI28+AI29+AI30+AI31+AI32+AI33+AI35+AI36+AI37+AI39+AI40+AI41+AI42+AI43+AI44+AI45+AI46+AI47+AI48+AI49+AI50+AI51+AI52+AI53+AI54+AI55+AI56+AI57+AI58+AI59+AI60+AI61+AI62+AI63</f>
        <v>0</v>
      </c>
      <c r="AJ67" s="733">
        <f>AJ8+AJ26+AJ27+AJ28+AJ29+AJ30+AJ31+AJ32+AJ33+AJ35+AJ36+AJ37+AJ38+AJ40+AJ41+AJ42+AJ43+AJ44+AJ45+AJ46+AJ47+AJ48+AJ49+AJ50+AJ51+AJ52+AJ53+AJ54+AJ55+AJ56+AJ57+AJ58+AJ59+AJ60+AJ61+AJ62+AJ63</f>
        <v>0</v>
      </c>
      <c r="AK67" s="733">
        <f>AK8+AK26+AK27+AK28+AK29+AK30+AK31+AK32+AK33+AK35+AK36+AK37+AK38+AK39+AK41+AK42+AK43+AK44+AK45+AK46+AK47+AK48+AK49+AK50+AK51+AK52+AK53+AK54+AK55+AK56+AK57+AK58+AK59+AK60+AK61+AK62+AK63</f>
        <v>0</v>
      </c>
      <c r="AL67" s="729">
        <f>AL8+AL26+AL27+AL28+AL29+AL30+AL31+AL32+AL33+AL35+AL36+AL37+AL38+AL39+AL40+AL42+AL43+AL44+AL45+AL46+AL47+AL48+AL49+AL50+AL51+AL52+AL53+AL54+AL55+AL56+AL57+AL58+AL59+AL60+AL61+AL62+AL63</f>
        <v>10.85</v>
      </c>
      <c r="AM67" s="733">
        <f>AM8+AM26+AM27+AM28+AM29+AM30+AM31+AM32+AM33+AM35+AM36+AM37+AM38+AM39+AM40+AM41+AM43+AM44+AM45+AM46+AM47+AM48+AM49+AM50+AM51+AM52+AM53+AM54+AM55+AM56+AM57+AM58+AM59+AM60+AM61+AM62+AM63</f>
        <v>0</v>
      </c>
      <c r="AN67" s="733">
        <f>AN8+AN26+AN27+AN28+AN29+AN30+AN31+AN32+AN33+AN35+AN36+AN37+AN38+AN39+AN40+AN41+AN42+AN44+AN45+AN46+AN47+AN48+AN49+AN50+AN51+AN52+AN53+AN54+AN55+AN56+AN57+AN58+AN59+AN60+AN61+AN62+AN63</f>
        <v>0</v>
      </c>
      <c r="AO67" s="733">
        <f>AO8+AO26+AO27+AO28+AO29+AO30+AO31+AO32+AO33+AO35+AO36+AO37+AO38+AO39+AO40+AO41+AO42+AO43+AO45+AO46+AO47+AO48+AO49+AO50+AO51+AO52+AO53+AO54+AO55+AO56+AO57+AO58+AO59+AO60+AO61+AO62+AO63</f>
        <v>0</v>
      </c>
      <c r="AP67" s="733">
        <f>AP8+AP26+AP27+AP28+AP29+AP30+AP31+AP32+AP33+AP35+AP36+AP37+AP38+AP39+AP40+AP41+AP42+AP43+AP44+AP46+AP47+AP48+AP49+AP50+AP51+AP52+AP53+AP54+AP55+AP56+AP57+AP58+AP59+AP60+AP61+AP62+AP63</f>
        <v>0</v>
      </c>
      <c r="AQ67" s="733">
        <f>AQ8+AQ26+AQ27+AQ28+AQ29+AQ30+AQ31+AQ32+AQ33+AQ34+AQ47+AQ48+AQ49+AQ50+AQ51+AQ52+AQ53+AQ54+AQ55+AQ56+AQ57+AQ58+AQ59+AQ60+AQ61+AQ62+AQ63</f>
        <v>0</v>
      </c>
      <c r="AR67" s="733">
        <f>AR8+AR26+AR27+AR28+AR29+AR30+AR31+AR32+AR33+AR34+AR46+AR48+AR49+AR50+AR51+AR52+AR53+AR54+AR55+AR56+AR57+AR58+AR59+AR60+AR61+AR62+AR63</f>
        <v>0</v>
      </c>
      <c r="AS67" s="733">
        <f>AS8+AS26+AS27+AS28+AS29+AS30+AS31+AS32+AS33+AS34+AS46+AS47+AS49+AS50+AS51+AS52+AS53+AS54+AS55+AS56+AS57+AS58+AS59+AS60+AS61+AS62+AS63</f>
        <v>3.73</v>
      </c>
      <c r="AT67" s="729">
        <f>AT8+AT26+AT27+AT28+AT29+AT30+AT31+AT32+AT33+AT34+AT46+AT47+AT48+AT50+AT51+AT52+AT53+AT54+AT55+AT56+AT57+AT58+AT59+AT60+AT61+AT62+AT63</f>
        <v>2.68</v>
      </c>
      <c r="AU67" s="729">
        <f>AU8+AU26+AU27+AU28+AU29+AU30+AU31+AU32+AU33+AU34+AU46+AU47+AU48+AU49+AU51+AU52+AU53+AU54+AU55+AU56+AU57+AU58+AU59+AU60+AU61+AU62+AU63</f>
        <v>0</v>
      </c>
      <c r="AV67" s="733">
        <f>AV8+AV26+AV27+AV28+AV29+AV30+AV31+AV32+AV33+AV34+AV46+AV47+AV48+AV49+AV50+AV52+AV53+AV54+AV55+AV56+AV57+AV58+AV59+AV60+AV61+AV62+AV63</f>
        <v>0</v>
      </c>
      <c r="AW67" s="733">
        <f>AW8+AW26+AW27+AW28+AW29+AW30+AW31+AW32+AW33+AW34+AW46+AW47+AW48+AW49+AW50+AW51+AW53+AW54+AW55+AW56+AW57+AW58+AW59+AW60+AW61+AW62+AW63</f>
        <v>0</v>
      </c>
      <c r="AX67" s="733">
        <f>AX8+AX26+AX27+AX28+AX29+AX30+AX31+AX32+AX33+AX34+AX46+AX47+AX48+AX49+AX50+AX51+AX52+AX54+AX55+AX56+AX57+AX58+AX59+AX60+AX61+AX62+AX63</f>
        <v>0</v>
      </c>
      <c r="AY67" s="733">
        <f>AY8+AY26+AY27+AY28+AY29+AY30+AY31+AY32+AY33+AY34+AY46+AY47+AY48+AY49+AY50+AY51+AY52+AY53+AY55+AY56+AY57+AY58+AY59+AY60+AY61+AY62+AY63</f>
        <v>0</v>
      </c>
      <c r="AZ67" s="733">
        <f>AZ8+AZ26+AZ27+AZ28+AZ29+AZ30+AZ31+AZ32+AZ33+AZ34+AZ46+AZ47+AZ48+AZ49+AZ50+AZ51+AZ52+AZ53+AZ54+AZ56+AZ57+AZ58+AZ59+AZ60+AZ61+AZ62+AZ63</f>
        <v>0</v>
      </c>
      <c r="BA67" s="729">
        <f>BA8+BA26+BA27+BA28+BA29+BA30+BA31+BA32+BA33+BA34+BA46+BA47+BA48+BA49+BA50+BA51+BA52+BA53+BA54+BA55+BA57+BA58+BA59+BA60+BA61+BA62+BA63</f>
        <v>0</v>
      </c>
      <c r="BB67" s="733">
        <f>BB8+BB26+BB27+BB28+BB29+BB30+BB31+BB32+BB33+BB34+BB46+BB47+BB48+BB49+BB50+BB51+BB52+BB53+BB54+BB55+BB56+BB58+BB59+BB60+BB61+BB62+BB63</f>
        <v>0</v>
      </c>
      <c r="BC67" s="729">
        <f>BC8+BC26+BC27+BC28+BC29+BC30+BC31+BC32+BC33+BC34+BC46+BC47+BC48+BC49+BC50+BC51+BC52+BC53+BC54+BC55+BC56+BC57+BC59+BC60+BC61+BC62+BC63</f>
        <v>0</v>
      </c>
      <c r="BD67" s="733">
        <f>BD8+BD26+BD27+BD28+BD29+BD30+BD31+BD32+BD33+BD34+BD46+BD47+BD48+BD49+BD50+BD51+BD52+BD53+BD54+BD55+BD56+BD57+BD58+BD60+BD61+BD62+BD63</f>
        <v>0</v>
      </c>
      <c r="BE67" s="733">
        <f>BE8+BE26+BE27+BE28+BE29+BE30+BE31+BE32+BE33+BE34+BE46+BE47+BE48+BE49+BE50+BE51+BE52+BE53+BE54+BE55+BE56+BE57+BE58+BE59+BE61+BE62+BE63</f>
        <v>0</v>
      </c>
      <c r="BF67" s="729">
        <f>BF8+BF26+BF27+BF28+BF29+BF30+BF31+BF32+BF33+BF34+BF46+BF47+BF48+BF49+BF50+BF51+BF52+BF53+BF54+BF55+BF56+BF57+BF58+BF59+BF60+BF62+BF63</f>
        <v>0</v>
      </c>
      <c r="BG67" s="733">
        <f>BG8+BG26+BG27+BG28+BG29+BG30+BG31+BG32+BG33+BG34+BG46+BG47+BG48+BG49+BG50+BG51+BG52+BG53+BG54+BG55+BG56+BG57+BG58+BG59+BG60+BG61+BG63</f>
        <v>0</v>
      </c>
      <c r="BH67" s="733">
        <f>BH8+BH25</f>
        <v>0</v>
      </c>
      <c r="BI67" s="733">
        <f>BI8+BI25+BI65+BI66</f>
        <v>0</v>
      </c>
      <c r="BJ67" s="733">
        <f>BJ8+BJ25+BJ64+BJ66</f>
        <v>0</v>
      </c>
      <c r="BK67" s="399">
        <f>BK8+BK25+BK64+BK65</f>
        <v>0</v>
      </c>
      <c r="BL67" s="399"/>
      <c r="BM67" s="399"/>
      <c r="BN67" s="399"/>
      <c r="BP67" s="117"/>
    </row>
    <row r="68" spans="1:68" s="117" customFormat="1" ht="31.5" customHeight="1">
      <c r="A68" s="18"/>
      <c r="B68" s="149" t="s">
        <v>695</v>
      </c>
      <c r="C68" s="157"/>
      <c r="D68" s="456">
        <f>BN7</f>
        <v>1623.425</v>
      </c>
      <c r="E68" s="456">
        <f>BN8</f>
        <v>1147.81</v>
      </c>
      <c r="F68" s="456">
        <f>BN9</f>
        <v>559.05000000000007</v>
      </c>
      <c r="G68" s="456">
        <f>BN10</f>
        <v>418.84999999999997</v>
      </c>
      <c r="H68" s="456">
        <f>BN11</f>
        <v>379.02</v>
      </c>
      <c r="I68" s="456">
        <f>BN12</f>
        <v>268.85999999999996</v>
      </c>
      <c r="J68" s="456">
        <f>BN13</f>
        <v>110.16000000000001</v>
      </c>
      <c r="K68" s="456">
        <f>BN14</f>
        <v>0</v>
      </c>
      <c r="L68" s="456">
        <f>BN15</f>
        <v>0</v>
      </c>
      <c r="M68" s="456">
        <f>BN16</f>
        <v>39.830000000000005</v>
      </c>
      <c r="N68" s="456">
        <f>BN17</f>
        <v>140.19999999999999</v>
      </c>
      <c r="O68" s="456">
        <f>BN18</f>
        <v>74.400000000000006</v>
      </c>
      <c r="P68" s="456">
        <f>BN19</f>
        <v>74.400000000000006</v>
      </c>
      <c r="Q68" s="456">
        <f>BN20</f>
        <v>0</v>
      </c>
      <c r="R68" s="456">
        <f>BN21</f>
        <v>0</v>
      </c>
      <c r="S68" s="456">
        <f>BN22</f>
        <v>514.36</v>
      </c>
      <c r="T68" s="456">
        <f>BN23</f>
        <v>0</v>
      </c>
      <c r="U68" s="456">
        <f>BN24</f>
        <v>0</v>
      </c>
      <c r="V68" s="456">
        <f>BN25</f>
        <v>446.40499999999992</v>
      </c>
      <c r="W68" s="456">
        <f>BN26</f>
        <v>0</v>
      </c>
      <c r="X68" s="456">
        <f>BN27</f>
        <v>0</v>
      </c>
      <c r="Y68" s="456">
        <f>BN28</f>
        <v>0</v>
      </c>
      <c r="Z68" s="456">
        <f>BN29</f>
        <v>0</v>
      </c>
      <c r="AA68" s="456">
        <f>BN30</f>
        <v>0</v>
      </c>
      <c r="AB68" s="456">
        <f>BN31</f>
        <v>1.94</v>
      </c>
      <c r="AC68" s="456">
        <f>BN32</f>
        <v>5.89</v>
      </c>
      <c r="AD68" s="456">
        <f>BN33</f>
        <v>0</v>
      </c>
      <c r="AE68" s="456">
        <f>BN34</f>
        <v>157.13499999999999</v>
      </c>
      <c r="AF68" s="456">
        <f>BN35</f>
        <v>4.9850000000000003</v>
      </c>
      <c r="AG68" s="456">
        <f>BN36</f>
        <v>0.08</v>
      </c>
      <c r="AH68" s="456">
        <f>BN37</f>
        <v>3.19</v>
      </c>
      <c r="AI68" s="456">
        <f>BN38</f>
        <v>0.01</v>
      </c>
      <c r="AJ68" s="456">
        <f>BN39</f>
        <v>0</v>
      </c>
      <c r="AK68" s="456">
        <f>BN40</f>
        <v>0</v>
      </c>
      <c r="AL68" s="456">
        <f>BN41</f>
        <v>121.85999999999999</v>
      </c>
      <c r="AM68" s="456">
        <f>BN42</f>
        <v>26.75</v>
      </c>
      <c r="AN68" s="456">
        <f>BN43</f>
        <v>0.03</v>
      </c>
      <c r="AO68" s="456">
        <f>BN44</f>
        <v>0.04</v>
      </c>
      <c r="AP68" s="456">
        <f>BN45</f>
        <v>0.19</v>
      </c>
      <c r="AQ68" s="456">
        <f>BN46</f>
        <v>0</v>
      </c>
      <c r="AR68" s="456">
        <f>BN47</f>
        <v>0</v>
      </c>
      <c r="AS68" s="456">
        <f>BN48</f>
        <v>6.38</v>
      </c>
      <c r="AT68" s="456">
        <f>BN49</f>
        <v>76.69</v>
      </c>
      <c r="AU68" s="456">
        <f>BN50</f>
        <v>0</v>
      </c>
      <c r="AV68" s="456">
        <f>BN51</f>
        <v>1.1599999999999999</v>
      </c>
      <c r="AW68" s="456">
        <f>BN52</f>
        <v>0</v>
      </c>
      <c r="AX68" s="456">
        <f>BN53</f>
        <v>0</v>
      </c>
      <c r="AY68" s="456">
        <f>BN54</f>
        <v>2.3199999999999998</v>
      </c>
      <c r="AZ68" s="456">
        <f>BN55</f>
        <v>30.51</v>
      </c>
      <c r="BA68" s="456">
        <f>BN56</f>
        <v>2.3199999999999998</v>
      </c>
      <c r="BB68" s="456">
        <f>BN57</f>
        <v>1.1499999999999999</v>
      </c>
      <c r="BC68" s="456">
        <f>BN58</f>
        <v>1.71</v>
      </c>
      <c r="BD68" s="456">
        <f>BN59</f>
        <v>1.77</v>
      </c>
      <c r="BE68" s="456">
        <f>BN60</f>
        <v>156.84</v>
      </c>
      <c r="BF68" s="456">
        <f>BN61</f>
        <v>0</v>
      </c>
      <c r="BG68" s="456">
        <f>BN62</f>
        <v>0.59</v>
      </c>
      <c r="BH68" s="456">
        <f>BN63</f>
        <v>29.21</v>
      </c>
      <c r="BI68" s="456">
        <f>BN64</f>
        <v>29.21</v>
      </c>
      <c r="BJ68" s="456">
        <f>BN65</f>
        <v>0</v>
      </c>
      <c r="BK68" s="456">
        <f>BN66</f>
        <v>0</v>
      </c>
      <c r="BL68" s="456"/>
      <c r="BM68" s="456"/>
      <c r="BN68" s="456"/>
    </row>
    <row r="69" spans="1:68" ht="24.95" customHeight="1">
      <c r="AB69">
        <v>67.069999999999993</v>
      </c>
      <c r="AH69">
        <f>40.44</f>
        <v>40.44</v>
      </c>
      <c r="AU69">
        <v>3.46</v>
      </c>
      <c r="BC69">
        <v>0.19</v>
      </c>
    </row>
    <row r="70" spans="1:68" ht="18" customHeight="1">
      <c r="A70" s="1300" t="s">
        <v>10</v>
      </c>
      <c r="B70" s="1300"/>
      <c r="AB70">
        <f>AB67-AB69</f>
        <v>-66.919999999999987</v>
      </c>
      <c r="AH70">
        <f>AH67-AH69</f>
        <v>-40.44</v>
      </c>
      <c r="AU70">
        <f>AU67-AU69</f>
        <v>-3.46</v>
      </c>
      <c r="AV70">
        <f>177.84-AU70</f>
        <v>181.3</v>
      </c>
      <c r="BC70">
        <f>BC67-BC69</f>
        <v>-0.19</v>
      </c>
    </row>
    <row r="71" spans="1:68" ht="28.5" customHeight="1">
      <c r="A71" s="1300" t="s">
        <v>321</v>
      </c>
      <c r="B71" s="1300"/>
      <c r="C71" s="1300"/>
      <c r="D71" s="1300"/>
      <c r="E71" s="1300"/>
      <c r="F71" s="1300"/>
      <c r="G71" s="1300"/>
      <c r="H71" s="1300"/>
      <c r="I71" s="1300"/>
      <c r="J71" s="1300"/>
      <c r="K71" s="1300"/>
      <c r="L71" s="1300"/>
      <c r="M71" s="1300"/>
      <c r="N71" s="1300"/>
      <c r="O71" s="1300"/>
      <c r="P71" s="1300"/>
      <c r="Q71" s="1300"/>
      <c r="R71" s="1300"/>
      <c r="S71" s="1300"/>
      <c r="T71" s="1300"/>
      <c r="U71" s="1300"/>
      <c r="V71" s="1300"/>
      <c r="W71" s="1300"/>
      <c r="X71" s="1300"/>
      <c r="Y71" s="1300"/>
      <c r="Z71" s="1300"/>
      <c r="AA71" s="1300"/>
      <c r="AB71" s="1300"/>
      <c r="AC71" s="1300"/>
      <c r="AD71" s="1300"/>
      <c r="AE71" s="1300"/>
      <c r="AF71" s="1300"/>
      <c r="AG71" s="1300"/>
      <c r="AH71" s="1300"/>
      <c r="AI71" s="1300"/>
      <c r="AJ71" s="1300"/>
      <c r="AK71" s="1300"/>
      <c r="AL71" s="1300"/>
      <c r="AM71" s="1300"/>
      <c r="AN71" s="1300"/>
      <c r="AO71" s="1300"/>
      <c r="AP71" s="1300"/>
      <c r="AQ71" s="1300"/>
      <c r="AR71" s="1300"/>
      <c r="AS71" s="1300"/>
    </row>
    <row r="72" spans="1:68" ht="24.75" customHeight="1">
      <c r="A72" s="1300" t="s">
        <v>322</v>
      </c>
      <c r="B72" s="1300"/>
      <c r="C72" s="1300"/>
      <c r="D72" s="1300"/>
      <c r="E72" s="1300"/>
      <c r="F72" s="1300"/>
      <c r="G72" s="1300"/>
      <c r="H72" s="1300"/>
      <c r="I72" s="1300"/>
      <c r="J72" s="1300"/>
      <c r="K72" s="1300"/>
      <c r="L72" s="1300"/>
      <c r="M72" s="1300"/>
      <c r="N72" s="1300"/>
      <c r="O72" s="1300"/>
      <c r="P72" s="1300"/>
      <c r="Q72" s="1300"/>
      <c r="R72" s="1300"/>
      <c r="S72" s="1300"/>
      <c r="T72" s="1300"/>
      <c r="U72" s="1300"/>
      <c r="V72" s="1300"/>
      <c r="W72" s="1300"/>
      <c r="X72" s="1300"/>
      <c r="Y72" s="1300"/>
      <c r="Z72" s="1300"/>
      <c r="AA72" s="1300"/>
      <c r="AB72" s="1300"/>
      <c r="AC72" s="1300"/>
      <c r="AD72" s="1300"/>
      <c r="AE72" s="1300"/>
      <c r="AF72" s="1300"/>
      <c r="AG72" s="1300"/>
      <c r="AH72" s="1300"/>
      <c r="AI72" s="1300"/>
      <c r="AJ72" s="1300"/>
      <c r="AK72" s="1300"/>
      <c r="AL72" s="1300"/>
      <c r="AM72" s="1300"/>
      <c r="AN72" s="1300"/>
      <c r="AO72" s="1300"/>
      <c r="AP72" s="1300"/>
      <c r="AQ72" s="1300"/>
      <c r="AR72" s="1300"/>
      <c r="AS72" s="1300"/>
    </row>
    <row r="73" spans="1:68" ht="21.75" customHeight="1">
      <c r="AR73" s="1300" t="s">
        <v>138</v>
      </c>
      <c r="AS73" s="1300"/>
    </row>
    <row r="74" spans="1:68" ht="31.5" customHeight="1">
      <c r="A74" s="1300" t="s">
        <v>0</v>
      </c>
      <c r="B74" s="1300" t="s">
        <v>12</v>
      </c>
      <c r="C74" s="1302" t="s">
        <v>13</v>
      </c>
      <c r="D74" s="1300" t="s">
        <v>324</v>
      </c>
      <c r="E74" s="1300" t="s">
        <v>326</v>
      </c>
      <c r="F74" s="1300"/>
      <c r="G74" s="1300"/>
      <c r="H74" s="1300"/>
      <c r="I74" s="1300"/>
      <c r="J74" s="1300"/>
      <c r="K74" s="1300"/>
      <c r="L74" s="1300"/>
      <c r="M74" s="1300"/>
      <c r="N74" s="1300"/>
      <c r="O74" s="1300"/>
      <c r="P74" s="1300"/>
      <c r="Q74" s="1300"/>
      <c r="R74" s="1300"/>
      <c r="S74" s="1300"/>
      <c r="T74" s="1300"/>
      <c r="U74" s="1300"/>
      <c r="V74" s="1300"/>
      <c r="W74" s="1300"/>
      <c r="X74" s="1300"/>
      <c r="Y74" s="1300"/>
      <c r="Z74" s="1300"/>
      <c r="AA74" s="1300"/>
      <c r="AB74" s="1300"/>
      <c r="AC74" s="1300"/>
      <c r="AD74" s="1300"/>
      <c r="AE74" s="1300"/>
      <c r="AF74" s="1300"/>
      <c r="AG74" s="1300"/>
      <c r="AH74" s="1300"/>
      <c r="AI74" s="1300"/>
      <c r="AJ74" s="1300"/>
      <c r="AK74" s="1300"/>
      <c r="AL74" s="1300"/>
      <c r="AM74" s="1300"/>
      <c r="AN74" s="1300"/>
      <c r="AO74" s="1300"/>
      <c r="AP74" s="1300"/>
      <c r="AQ74" s="1300"/>
      <c r="AR74" s="1300" t="s">
        <v>191</v>
      </c>
      <c r="AS74" s="1300" t="s">
        <v>323</v>
      </c>
    </row>
    <row r="75" spans="1:68" ht="30" customHeight="1">
      <c r="A75" s="1300"/>
      <c r="B75" s="1300"/>
      <c r="C75" s="1302"/>
      <c r="D75" s="1300"/>
      <c r="E75" t="s">
        <v>15</v>
      </c>
      <c r="F75" t="s">
        <v>18</v>
      </c>
      <c r="G75" t="s">
        <v>20</v>
      </c>
      <c r="H75" t="s">
        <v>23</v>
      </c>
      <c r="I75" t="s">
        <v>26</v>
      </c>
      <c r="J75" t="s">
        <v>29</v>
      </c>
      <c r="K75" t="s">
        <v>32</v>
      </c>
      <c r="L75" t="s">
        <v>35</v>
      </c>
      <c r="M75" t="s">
        <v>38</v>
      </c>
      <c r="N75" t="s">
        <v>41</v>
      </c>
      <c r="O75" t="s">
        <v>44</v>
      </c>
      <c r="P75" t="s">
        <v>46</v>
      </c>
      <c r="Q75" t="s">
        <v>49</v>
      </c>
      <c r="R75" t="s">
        <v>52</v>
      </c>
      <c r="S75" t="s">
        <v>55</v>
      </c>
      <c r="T75" t="s">
        <v>58</v>
      </c>
      <c r="U75" t="s">
        <v>61</v>
      </c>
      <c r="V75" t="s">
        <v>64</v>
      </c>
      <c r="W75" t="s">
        <v>67</v>
      </c>
      <c r="X75" t="s">
        <v>70</v>
      </c>
      <c r="Y75" t="s">
        <v>72</v>
      </c>
      <c r="Z75" t="s">
        <v>75</v>
      </c>
      <c r="AA75" t="s">
        <v>78</v>
      </c>
      <c r="AB75" t="s">
        <v>81</v>
      </c>
      <c r="AC75" t="s">
        <v>84</v>
      </c>
      <c r="AD75" t="s">
        <v>87</v>
      </c>
      <c r="AE75" t="s">
        <v>90</v>
      </c>
      <c r="AF75" t="s">
        <v>93</v>
      </c>
      <c r="AG75" t="s">
        <v>96</v>
      </c>
      <c r="AH75" t="s">
        <v>99</v>
      </c>
      <c r="AI75" t="s">
        <v>101</v>
      </c>
      <c r="AJ75" t="s">
        <v>104</v>
      </c>
      <c r="AK75" t="s">
        <v>107</v>
      </c>
      <c r="AL75" t="s">
        <v>110</v>
      </c>
      <c r="AM75" t="s">
        <v>113</v>
      </c>
      <c r="AN75" t="s">
        <v>116</v>
      </c>
      <c r="AO75" t="s">
        <v>119</v>
      </c>
      <c r="AP75" t="s">
        <v>122</v>
      </c>
      <c r="AQ75" t="s">
        <v>124</v>
      </c>
      <c r="AR75" s="1300"/>
      <c r="AS75" s="1300"/>
    </row>
    <row r="76" spans="1:68" ht="27.75" customHeight="1">
      <c r="B76" t="s">
        <v>189</v>
      </c>
      <c r="D76">
        <f>D77+D88+D115</f>
        <v>1623.425</v>
      </c>
      <c r="E76">
        <f t="shared" ref="E76:AS76" si="34">E77+E88+E115</f>
        <v>1147.81</v>
      </c>
      <c r="F76">
        <f t="shared" si="34"/>
        <v>379.02000000000004</v>
      </c>
      <c r="G76">
        <f t="shared" si="34"/>
        <v>0</v>
      </c>
      <c r="H76">
        <f t="shared" si="34"/>
        <v>39.830000000000005</v>
      </c>
      <c r="I76">
        <f t="shared" si="34"/>
        <v>140.19999999999999</v>
      </c>
      <c r="J76">
        <f>J77+J88+J115</f>
        <v>74.400000000000006</v>
      </c>
      <c r="K76">
        <f t="shared" si="34"/>
        <v>0</v>
      </c>
      <c r="L76">
        <f t="shared" si="34"/>
        <v>0</v>
      </c>
      <c r="M76">
        <f t="shared" si="34"/>
        <v>514.36</v>
      </c>
      <c r="N76">
        <f t="shared" si="34"/>
        <v>0</v>
      </c>
      <c r="O76">
        <f t="shared" si="34"/>
        <v>0</v>
      </c>
      <c r="P76">
        <f t="shared" si="34"/>
        <v>446.40499999999986</v>
      </c>
      <c r="Q76">
        <f t="shared" si="34"/>
        <v>0</v>
      </c>
      <c r="R76">
        <f t="shared" si="34"/>
        <v>0</v>
      </c>
      <c r="S76">
        <f t="shared" si="34"/>
        <v>0</v>
      </c>
      <c r="T76">
        <f t="shared" si="34"/>
        <v>0</v>
      </c>
      <c r="U76">
        <f t="shared" si="34"/>
        <v>0</v>
      </c>
      <c r="V76">
        <f t="shared" si="34"/>
        <v>1.94</v>
      </c>
      <c r="W76">
        <f t="shared" si="34"/>
        <v>5.89</v>
      </c>
      <c r="X76">
        <f t="shared" si="34"/>
        <v>0</v>
      </c>
      <c r="Y76">
        <f t="shared" si="34"/>
        <v>157.13499999999996</v>
      </c>
      <c r="Z76">
        <f t="shared" si="34"/>
        <v>0</v>
      </c>
      <c r="AA76">
        <f t="shared" si="34"/>
        <v>0</v>
      </c>
      <c r="AB76">
        <f t="shared" si="34"/>
        <v>6.38</v>
      </c>
      <c r="AC76">
        <f t="shared" si="34"/>
        <v>76.69</v>
      </c>
      <c r="AD76">
        <f t="shared" si="34"/>
        <v>0</v>
      </c>
      <c r="AE76">
        <f t="shared" si="34"/>
        <v>1.1599999999999999</v>
      </c>
      <c r="AF76">
        <f t="shared" si="34"/>
        <v>0</v>
      </c>
      <c r="AG76">
        <f t="shared" si="34"/>
        <v>0</v>
      </c>
      <c r="AH76">
        <f t="shared" si="34"/>
        <v>2.3199999999999998</v>
      </c>
      <c r="AI76">
        <f t="shared" si="34"/>
        <v>30.51</v>
      </c>
      <c r="AJ76">
        <f t="shared" si="34"/>
        <v>2.3199999999999998</v>
      </c>
      <c r="AK76">
        <f t="shared" si="34"/>
        <v>1.1499999999999999</v>
      </c>
      <c r="AL76">
        <f t="shared" si="34"/>
        <v>1.71</v>
      </c>
      <c r="AM76">
        <f t="shared" si="34"/>
        <v>1.77</v>
      </c>
      <c r="AN76">
        <f t="shared" si="34"/>
        <v>156.84</v>
      </c>
      <c r="AO76">
        <f t="shared" si="34"/>
        <v>0</v>
      </c>
      <c r="AP76">
        <f t="shared" si="34"/>
        <v>0.59</v>
      </c>
      <c r="AQ76">
        <f t="shared" si="34"/>
        <v>0.06</v>
      </c>
      <c r="AS76">
        <f t="shared" si="34"/>
        <v>1623.425</v>
      </c>
    </row>
    <row r="77" spans="1:68" ht="20.25" customHeight="1">
      <c r="A77">
        <v>1</v>
      </c>
      <c r="B77" t="s">
        <v>14</v>
      </c>
      <c r="C77" s="105" t="s">
        <v>15</v>
      </c>
      <c r="D77">
        <f>D78+D80+D81+D82+D83+D84+D85+D86+D87</f>
        <v>1146.75</v>
      </c>
      <c r="E77">
        <f t="shared" ref="E77:AS77" si="35">E78+E80+E81+E82+E83+E84+E85+E86+E87</f>
        <v>1132.1399999999999</v>
      </c>
      <c r="F77">
        <f t="shared" si="35"/>
        <v>379.02000000000004</v>
      </c>
      <c r="G77">
        <f t="shared" si="35"/>
        <v>0</v>
      </c>
      <c r="H77">
        <f t="shared" si="35"/>
        <v>39.830000000000005</v>
      </c>
      <c r="I77">
        <f t="shared" si="35"/>
        <v>140.19999999999999</v>
      </c>
      <c r="J77">
        <f t="shared" si="35"/>
        <v>74.400000000000006</v>
      </c>
      <c r="K77">
        <f t="shared" si="35"/>
        <v>0</v>
      </c>
      <c r="L77">
        <f t="shared" si="35"/>
        <v>0</v>
      </c>
      <c r="M77">
        <f t="shared" si="35"/>
        <v>498.69</v>
      </c>
      <c r="N77">
        <f t="shared" si="35"/>
        <v>0</v>
      </c>
      <c r="O77">
        <f t="shared" si="35"/>
        <v>0</v>
      </c>
      <c r="P77">
        <f>P78+P80+P81+P82+P83+P84+P85+P86+P87</f>
        <v>14.61</v>
      </c>
      <c r="Q77">
        <f t="shared" si="35"/>
        <v>0</v>
      </c>
      <c r="R77">
        <f t="shared" si="35"/>
        <v>0</v>
      </c>
      <c r="S77">
        <f t="shared" si="35"/>
        <v>0</v>
      </c>
      <c r="T77">
        <f t="shared" si="35"/>
        <v>0</v>
      </c>
      <c r="U77">
        <f t="shared" si="35"/>
        <v>0</v>
      </c>
      <c r="V77">
        <f t="shared" si="35"/>
        <v>0.15</v>
      </c>
      <c r="W77">
        <f t="shared" si="35"/>
        <v>0</v>
      </c>
      <c r="X77">
        <f t="shared" si="35"/>
        <v>0</v>
      </c>
      <c r="Y77">
        <f t="shared" si="35"/>
        <v>8.94</v>
      </c>
      <c r="Z77">
        <f t="shared" si="35"/>
        <v>0</v>
      </c>
      <c r="AA77">
        <f t="shared" si="35"/>
        <v>0</v>
      </c>
      <c r="AB77">
        <f t="shared" si="35"/>
        <v>3.3</v>
      </c>
      <c r="AC77">
        <f t="shared" si="35"/>
        <v>2.2200000000000002</v>
      </c>
      <c r="AD77">
        <f t="shared" si="35"/>
        <v>0</v>
      </c>
      <c r="AE77">
        <f t="shared" si="35"/>
        <v>0</v>
      </c>
      <c r="AF77">
        <f t="shared" si="35"/>
        <v>0</v>
      </c>
      <c r="AG77">
        <f t="shared" si="35"/>
        <v>0</v>
      </c>
      <c r="AH77">
        <f t="shared" si="35"/>
        <v>0</v>
      </c>
      <c r="AI77">
        <f t="shared" si="35"/>
        <v>0</v>
      </c>
      <c r="AJ77">
        <f t="shared" si="35"/>
        <v>0</v>
      </c>
      <c r="AK77">
        <f t="shared" si="35"/>
        <v>0</v>
      </c>
      <c r="AL77">
        <f t="shared" si="35"/>
        <v>0</v>
      </c>
      <c r="AM77">
        <f t="shared" si="35"/>
        <v>0</v>
      </c>
      <c r="AN77">
        <f t="shared" si="35"/>
        <v>0</v>
      </c>
      <c r="AO77">
        <f t="shared" si="35"/>
        <v>0</v>
      </c>
      <c r="AP77">
        <f t="shared" si="35"/>
        <v>0</v>
      </c>
      <c r="AQ77">
        <f t="shared" si="35"/>
        <v>0</v>
      </c>
      <c r="AR77">
        <f>P77</f>
        <v>14.61</v>
      </c>
      <c r="AS77">
        <f t="shared" si="35"/>
        <v>1147.81</v>
      </c>
    </row>
    <row r="78" spans="1:68" ht="20.25" customHeight="1">
      <c r="A78" t="s">
        <v>16</v>
      </c>
      <c r="B78" t="s">
        <v>17</v>
      </c>
      <c r="C78" s="105" t="s">
        <v>18</v>
      </c>
      <c r="D78">
        <f>D11</f>
        <v>391.48</v>
      </c>
      <c r="E78">
        <f>F78+H78+I78+J78+K78+L78+M78+N78+O78</f>
        <v>383.22</v>
      </c>
      <c r="F78">
        <f>D78-AR78</f>
        <v>379.02000000000004</v>
      </c>
      <c r="G78">
        <f>I13</f>
        <v>0</v>
      </c>
      <c r="H78">
        <f>M11</f>
        <v>0</v>
      </c>
      <c r="I78">
        <f>N11</f>
        <v>0</v>
      </c>
      <c r="J78">
        <f t="shared" ref="J78:O79" si="36">P11</f>
        <v>0</v>
      </c>
      <c r="K78">
        <f t="shared" si="36"/>
        <v>0</v>
      </c>
      <c r="L78">
        <f t="shared" si="36"/>
        <v>0</v>
      </c>
      <c r="M78">
        <f t="shared" si="36"/>
        <v>4.2</v>
      </c>
      <c r="N78">
        <f t="shared" si="36"/>
        <v>0</v>
      </c>
      <c r="O78">
        <f t="shared" si="36"/>
        <v>0</v>
      </c>
      <c r="P78">
        <f>SUM(Q78:AP78)</f>
        <v>8.26</v>
      </c>
      <c r="Q78">
        <f t="shared" ref="Q78:Y79" si="37">W11</f>
        <v>0</v>
      </c>
      <c r="R78">
        <f t="shared" si="37"/>
        <v>0</v>
      </c>
      <c r="S78">
        <f t="shared" si="37"/>
        <v>0</v>
      </c>
      <c r="T78">
        <f t="shared" si="37"/>
        <v>0</v>
      </c>
      <c r="U78">
        <f t="shared" si="37"/>
        <v>0</v>
      </c>
      <c r="V78">
        <f t="shared" si="37"/>
        <v>0</v>
      </c>
      <c r="W78">
        <f t="shared" si="37"/>
        <v>0</v>
      </c>
      <c r="X78">
        <f t="shared" si="37"/>
        <v>0</v>
      </c>
      <c r="Y78">
        <f t="shared" si="37"/>
        <v>5.72</v>
      </c>
      <c r="Z78">
        <f>AQ11</f>
        <v>0</v>
      </c>
      <c r="AA78">
        <f t="shared" ref="AA78:AQ79" si="38">AR11</f>
        <v>0</v>
      </c>
      <c r="AB78">
        <f t="shared" si="38"/>
        <v>0.74</v>
      </c>
      <c r="AC78">
        <f t="shared" si="38"/>
        <v>1.8</v>
      </c>
      <c r="AD78">
        <f t="shared" si="38"/>
        <v>0</v>
      </c>
      <c r="AE78">
        <f t="shared" si="38"/>
        <v>0</v>
      </c>
      <c r="AF78">
        <f t="shared" si="38"/>
        <v>0</v>
      </c>
      <c r="AG78">
        <f t="shared" si="38"/>
        <v>0</v>
      </c>
      <c r="AH78">
        <f t="shared" si="38"/>
        <v>0</v>
      </c>
      <c r="AI78">
        <f t="shared" si="38"/>
        <v>0</v>
      </c>
      <c r="AJ78">
        <f t="shared" si="38"/>
        <v>0</v>
      </c>
      <c r="AK78">
        <f t="shared" si="38"/>
        <v>0</v>
      </c>
      <c r="AL78">
        <f t="shared" si="38"/>
        <v>0</v>
      </c>
      <c r="AM78">
        <f t="shared" si="38"/>
        <v>0</v>
      </c>
      <c r="AN78">
        <f t="shared" si="38"/>
        <v>0</v>
      </c>
      <c r="AO78">
        <f t="shared" si="38"/>
        <v>0</v>
      </c>
      <c r="AP78">
        <f t="shared" si="38"/>
        <v>0</v>
      </c>
      <c r="AQ78">
        <f t="shared" si="38"/>
        <v>0</v>
      </c>
      <c r="AR78">
        <f>H78+I78+J78+K78+L78+M78+N78+O78+P78+AQ78</f>
        <v>12.46</v>
      </c>
      <c r="AS78">
        <f>D78+F116-AR78</f>
        <v>379.02000000000004</v>
      </c>
    </row>
    <row r="79" spans="1:68" ht="20.25" customHeight="1">
      <c r="B79" t="s">
        <v>19</v>
      </c>
      <c r="C79" s="105" t="s">
        <v>20</v>
      </c>
      <c r="D79">
        <f>D12</f>
        <v>275.83</v>
      </c>
      <c r="E79">
        <f t="shared" ref="E79:E114" si="39">F79+H79+I79+J79+K79+L79+M79+N79+O79</f>
        <v>0</v>
      </c>
      <c r="G79">
        <f>D79-AR79</f>
        <v>268.85999999999996</v>
      </c>
      <c r="H79">
        <f>M12</f>
        <v>0</v>
      </c>
      <c r="I79">
        <f>N12</f>
        <v>0</v>
      </c>
      <c r="J79">
        <f t="shared" si="36"/>
        <v>0</v>
      </c>
      <c r="K79">
        <f t="shared" si="36"/>
        <v>0</v>
      </c>
      <c r="L79">
        <f t="shared" si="36"/>
        <v>0</v>
      </c>
      <c r="M79">
        <f t="shared" si="36"/>
        <v>0</v>
      </c>
      <c r="N79">
        <f t="shared" si="36"/>
        <v>0</v>
      </c>
      <c r="O79">
        <f t="shared" si="36"/>
        <v>0</v>
      </c>
      <c r="P79">
        <f t="shared" ref="P79:P87" si="40">SUM(Q79:AP79)</f>
        <v>6.97</v>
      </c>
      <c r="Q79">
        <f t="shared" si="37"/>
        <v>0</v>
      </c>
      <c r="R79">
        <f t="shared" si="37"/>
        <v>0</v>
      </c>
      <c r="S79">
        <f t="shared" si="37"/>
        <v>0</v>
      </c>
      <c r="T79">
        <f t="shared" si="37"/>
        <v>0</v>
      </c>
      <c r="U79">
        <f t="shared" si="37"/>
        <v>0</v>
      </c>
      <c r="V79">
        <f t="shared" si="37"/>
        <v>0</v>
      </c>
      <c r="W79">
        <f t="shared" si="37"/>
        <v>0</v>
      </c>
      <c r="X79">
        <f t="shared" si="37"/>
        <v>0</v>
      </c>
      <c r="Y79">
        <f t="shared" si="37"/>
        <v>5.17</v>
      </c>
      <c r="Z79">
        <f>AQ12</f>
        <v>0</v>
      </c>
      <c r="AA79">
        <f t="shared" si="38"/>
        <v>0</v>
      </c>
      <c r="AB79">
        <f t="shared" si="38"/>
        <v>0</v>
      </c>
      <c r="AC79">
        <f t="shared" si="38"/>
        <v>1.8</v>
      </c>
      <c r="AD79">
        <f t="shared" si="38"/>
        <v>0</v>
      </c>
      <c r="AE79">
        <f t="shared" si="38"/>
        <v>0</v>
      </c>
      <c r="AF79">
        <f t="shared" si="38"/>
        <v>0</v>
      </c>
      <c r="AG79">
        <f t="shared" si="38"/>
        <v>0</v>
      </c>
      <c r="AH79">
        <f t="shared" si="38"/>
        <v>0</v>
      </c>
      <c r="AI79">
        <f t="shared" si="38"/>
        <v>0</v>
      </c>
      <c r="AJ79">
        <f t="shared" si="38"/>
        <v>0</v>
      </c>
      <c r="AK79">
        <f t="shared" si="38"/>
        <v>0</v>
      </c>
      <c r="AL79">
        <f t="shared" si="38"/>
        <v>0</v>
      </c>
      <c r="AM79">
        <f t="shared" si="38"/>
        <v>0</v>
      </c>
      <c r="AN79">
        <f t="shared" si="38"/>
        <v>0</v>
      </c>
      <c r="AO79">
        <f t="shared" si="38"/>
        <v>0</v>
      </c>
      <c r="AP79">
        <f t="shared" si="38"/>
        <v>0</v>
      </c>
      <c r="AQ79">
        <f t="shared" si="38"/>
        <v>0</v>
      </c>
      <c r="AR79">
        <f>F79+H79+I79+J79+K79+L79+M79+N79+O79+P79</f>
        <v>6.97</v>
      </c>
      <c r="AS79">
        <f>D79+G116-AR79</f>
        <v>268.85999999999996</v>
      </c>
    </row>
    <row r="80" spans="1:68" ht="20.25" customHeight="1">
      <c r="A80" t="s">
        <v>21</v>
      </c>
      <c r="B80" t="s">
        <v>22</v>
      </c>
      <c r="C80" s="105" t="s">
        <v>23</v>
      </c>
      <c r="D80">
        <f>D16</f>
        <v>40.520000000000003</v>
      </c>
      <c r="E80">
        <f t="shared" si="39"/>
        <v>39.830000000000005</v>
      </c>
      <c r="F80">
        <f>H16</f>
        <v>0</v>
      </c>
      <c r="G80">
        <f>I16</f>
        <v>0</v>
      </c>
      <c r="H80">
        <f>D80-AR80</f>
        <v>39.830000000000005</v>
      </c>
      <c r="I80">
        <f>N16</f>
        <v>0</v>
      </c>
      <c r="J80">
        <f t="shared" ref="J80:O81" si="41">P16</f>
        <v>0</v>
      </c>
      <c r="K80">
        <f t="shared" si="41"/>
        <v>0</v>
      </c>
      <c r="L80">
        <f t="shared" si="41"/>
        <v>0</v>
      </c>
      <c r="M80">
        <f t="shared" si="41"/>
        <v>0</v>
      </c>
      <c r="N80">
        <f t="shared" si="41"/>
        <v>0</v>
      </c>
      <c r="O80">
        <f t="shared" si="41"/>
        <v>0</v>
      </c>
      <c r="P80">
        <f t="shared" si="40"/>
        <v>0.69000000000000006</v>
      </c>
      <c r="Q80">
        <f t="shared" ref="Q80:Y81" si="42">W16</f>
        <v>0</v>
      </c>
      <c r="R80">
        <f t="shared" si="42"/>
        <v>0</v>
      </c>
      <c r="S80">
        <f t="shared" si="42"/>
        <v>0</v>
      </c>
      <c r="T80">
        <f t="shared" si="42"/>
        <v>0</v>
      </c>
      <c r="U80">
        <f t="shared" si="42"/>
        <v>0</v>
      </c>
      <c r="V80">
        <f t="shared" si="42"/>
        <v>0.15</v>
      </c>
      <c r="W80">
        <f t="shared" si="42"/>
        <v>0</v>
      </c>
      <c r="X80">
        <f t="shared" si="42"/>
        <v>0</v>
      </c>
      <c r="Y80">
        <f t="shared" si="42"/>
        <v>0.01</v>
      </c>
      <c r="Z80">
        <f>AQ16</f>
        <v>0</v>
      </c>
      <c r="AA80">
        <f t="shared" ref="AA80:AQ81" si="43">AR16</f>
        <v>0</v>
      </c>
      <c r="AB80">
        <f t="shared" si="43"/>
        <v>0.53</v>
      </c>
      <c r="AC80">
        <f t="shared" si="43"/>
        <v>0</v>
      </c>
      <c r="AD80">
        <f t="shared" si="43"/>
        <v>0</v>
      </c>
      <c r="AE80">
        <f t="shared" si="43"/>
        <v>0</v>
      </c>
      <c r="AF80">
        <f t="shared" si="43"/>
        <v>0</v>
      </c>
      <c r="AG80">
        <f t="shared" si="43"/>
        <v>0</v>
      </c>
      <c r="AH80">
        <f t="shared" si="43"/>
        <v>0</v>
      </c>
      <c r="AI80">
        <f t="shared" si="43"/>
        <v>0</v>
      </c>
      <c r="AJ80">
        <f t="shared" si="43"/>
        <v>0</v>
      </c>
      <c r="AK80">
        <f t="shared" si="43"/>
        <v>0</v>
      </c>
      <c r="AL80">
        <f t="shared" si="43"/>
        <v>0</v>
      </c>
      <c r="AM80">
        <f t="shared" si="43"/>
        <v>0</v>
      </c>
      <c r="AN80">
        <f t="shared" si="43"/>
        <v>0</v>
      </c>
      <c r="AO80">
        <f t="shared" si="43"/>
        <v>0</v>
      </c>
      <c r="AP80">
        <f t="shared" si="43"/>
        <v>0</v>
      </c>
      <c r="AQ80">
        <f t="shared" si="43"/>
        <v>0</v>
      </c>
      <c r="AR80">
        <f>F80+I80+J80+K80+L80+M80+N80+O80+P80</f>
        <v>0.69000000000000006</v>
      </c>
      <c r="AS80">
        <f>D80+H116-AR80</f>
        <v>39.830000000000005</v>
      </c>
    </row>
    <row r="81" spans="1:45" ht="20.25" customHeight="1">
      <c r="A81" t="s">
        <v>24</v>
      </c>
      <c r="B81" t="s">
        <v>25</v>
      </c>
      <c r="C81" s="105" t="s">
        <v>26</v>
      </c>
      <c r="D81">
        <f>D17</f>
        <v>141.47</v>
      </c>
      <c r="E81">
        <f t="shared" si="39"/>
        <v>140.20999999999998</v>
      </c>
      <c r="F81">
        <f>H17</f>
        <v>0</v>
      </c>
      <c r="G81">
        <f>I17</f>
        <v>0</v>
      </c>
      <c r="H81">
        <f>M17</f>
        <v>0</v>
      </c>
      <c r="I81">
        <f>D81-AR81</f>
        <v>140.19999999999999</v>
      </c>
      <c r="J81">
        <f t="shared" si="41"/>
        <v>0</v>
      </c>
      <c r="K81">
        <f t="shared" si="41"/>
        <v>0</v>
      </c>
      <c r="L81">
        <f t="shared" si="41"/>
        <v>0</v>
      </c>
      <c r="M81">
        <f t="shared" si="41"/>
        <v>0.01</v>
      </c>
      <c r="N81">
        <f t="shared" si="41"/>
        <v>0</v>
      </c>
      <c r="O81">
        <f t="shared" si="41"/>
        <v>0</v>
      </c>
      <c r="P81">
        <f t="shared" si="40"/>
        <v>1.26</v>
      </c>
      <c r="Q81">
        <f t="shared" si="42"/>
        <v>0</v>
      </c>
      <c r="R81">
        <f t="shared" si="42"/>
        <v>0</v>
      </c>
      <c r="S81">
        <f t="shared" si="42"/>
        <v>0</v>
      </c>
      <c r="T81">
        <f t="shared" si="42"/>
        <v>0</v>
      </c>
      <c r="U81">
        <f t="shared" si="42"/>
        <v>0</v>
      </c>
      <c r="V81">
        <f t="shared" si="42"/>
        <v>0</v>
      </c>
      <c r="W81">
        <f t="shared" si="42"/>
        <v>0</v>
      </c>
      <c r="X81">
        <f t="shared" si="42"/>
        <v>0</v>
      </c>
      <c r="Y81">
        <f t="shared" si="42"/>
        <v>0.42</v>
      </c>
      <c r="Z81">
        <f>AQ17</f>
        <v>0</v>
      </c>
      <c r="AA81">
        <f t="shared" si="43"/>
        <v>0</v>
      </c>
      <c r="AB81">
        <f t="shared" si="43"/>
        <v>0.54</v>
      </c>
      <c r="AC81">
        <f t="shared" si="43"/>
        <v>0.3</v>
      </c>
      <c r="AD81">
        <f t="shared" si="43"/>
        <v>0</v>
      </c>
      <c r="AE81">
        <f t="shared" si="43"/>
        <v>0</v>
      </c>
      <c r="AF81">
        <f t="shared" si="43"/>
        <v>0</v>
      </c>
      <c r="AG81">
        <f t="shared" si="43"/>
        <v>0</v>
      </c>
      <c r="AH81">
        <f t="shared" si="43"/>
        <v>0</v>
      </c>
      <c r="AI81">
        <f t="shared" si="43"/>
        <v>0</v>
      </c>
      <c r="AJ81">
        <f t="shared" si="43"/>
        <v>0</v>
      </c>
      <c r="AK81">
        <f t="shared" si="43"/>
        <v>0</v>
      </c>
      <c r="AL81">
        <f t="shared" si="43"/>
        <v>0</v>
      </c>
      <c r="AM81">
        <f t="shared" si="43"/>
        <v>0</v>
      </c>
      <c r="AN81">
        <f t="shared" si="43"/>
        <v>0</v>
      </c>
      <c r="AO81">
        <f t="shared" si="43"/>
        <v>0</v>
      </c>
      <c r="AP81">
        <f t="shared" si="43"/>
        <v>0</v>
      </c>
      <c r="AQ81">
        <f t="shared" si="43"/>
        <v>0</v>
      </c>
      <c r="AR81">
        <f>F81+H81+J81+K81+L81+M81+N81+O81+P81</f>
        <v>1.27</v>
      </c>
      <c r="AS81">
        <f>D81+I116-AR81</f>
        <v>140.19999999999999</v>
      </c>
    </row>
    <row r="82" spans="1:45" ht="20.25" customHeight="1">
      <c r="A82" t="s">
        <v>27</v>
      </c>
      <c r="B82" t="s">
        <v>28</v>
      </c>
      <c r="C82" s="105" t="s">
        <v>29</v>
      </c>
      <c r="D82">
        <f t="shared" ref="D82:D87" si="44">D19</f>
        <v>74.400000000000006</v>
      </c>
      <c r="E82">
        <f t="shared" si="39"/>
        <v>74.400000000000006</v>
      </c>
      <c r="F82">
        <f>H20</f>
        <v>0</v>
      </c>
      <c r="G82">
        <f>I20</f>
        <v>0</v>
      </c>
      <c r="H82">
        <f>M20</f>
        <v>0</v>
      </c>
      <c r="I82">
        <f>N20</f>
        <v>0</v>
      </c>
      <c r="J82">
        <f>D82-AR82</f>
        <v>74.400000000000006</v>
      </c>
      <c r="K82">
        <f>Q19</f>
        <v>0</v>
      </c>
      <c r="L82">
        <f>R19</f>
        <v>0</v>
      </c>
      <c r="M82">
        <f t="shared" ref="M82:O83" si="45">S20</f>
        <v>0</v>
      </c>
      <c r="N82">
        <f t="shared" si="45"/>
        <v>0</v>
      </c>
      <c r="O82">
        <f t="shared" si="45"/>
        <v>0</v>
      </c>
      <c r="P82">
        <f t="shared" si="40"/>
        <v>0</v>
      </c>
      <c r="Q82">
        <f>W20</f>
        <v>0</v>
      </c>
      <c r="R82">
        <f>X20</f>
        <v>0</v>
      </c>
      <c r="S82">
        <f>Z20</f>
        <v>0</v>
      </c>
      <c r="T82">
        <f t="shared" ref="T82:Y83" si="46">Z20</f>
        <v>0</v>
      </c>
      <c r="U82">
        <f t="shared" si="46"/>
        <v>0</v>
      </c>
      <c r="V82">
        <f t="shared" si="46"/>
        <v>0</v>
      </c>
      <c r="W82">
        <f t="shared" si="46"/>
        <v>0</v>
      </c>
      <c r="X82">
        <f t="shared" si="46"/>
        <v>0</v>
      </c>
      <c r="Y82">
        <f t="shared" si="46"/>
        <v>0</v>
      </c>
      <c r="Z82">
        <f>AQ20</f>
        <v>0</v>
      </c>
      <c r="AA82">
        <f t="shared" ref="AA82:AQ83" si="47">AR20</f>
        <v>0</v>
      </c>
      <c r="AB82">
        <f t="shared" si="47"/>
        <v>0</v>
      </c>
      <c r="AC82">
        <f t="shared" si="47"/>
        <v>0</v>
      </c>
      <c r="AD82">
        <f t="shared" si="47"/>
        <v>0</v>
      </c>
      <c r="AE82">
        <f t="shared" si="47"/>
        <v>0</v>
      </c>
      <c r="AF82">
        <f t="shared" si="47"/>
        <v>0</v>
      </c>
      <c r="AG82">
        <f t="shared" si="47"/>
        <v>0</v>
      </c>
      <c r="AH82">
        <f t="shared" si="47"/>
        <v>0</v>
      </c>
      <c r="AI82">
        <f t="shared" si="47"/>
        <v>0</v>
      </c>
      <c r="AJ82">
        <f t="shared" si="47"/>
        <v>0</v>
      </c>
      <c r="AK82">
        <f t="shared" si="47"/>
        <v>0</v>
      </c>
      <c r="AL82">
        <f t="shared" si="47"/>
        <v>0</v>
      </c>
      <c r="AM82">
        <f t="shared" si="47"/>
        <v>0</v>
      </c>
      <c r="AN82">
        <f t="shared" si="47"/>
        <v>0</v>
      </c>
      <c r="AO82">
        <f t="shared" si="47"/>
        <v>0</v>
      </c>
      <c r="AP82">
        <f t="shared" si="47"/>
        <v>0</v>
      </c>
      <c r="AQ82">
        <f t="shared" si="47"/>
        <v>0</v>
      </c>
      <c r="AR82">
        <f>F82+H82+I82+K82+L82+M82+N82+O82+P82</f>
        <v>0</v>
      </c>
      <c r="AS82">
        <f>D82+J116-AR82</f>
        <v>74.400000000000006</v>
      </c>
    </row>
    <row r="83" spans="1:45" ht="20.25" customHeight="1">
      <c r="A83" t="s">
        <v>30</v>
      </c>
      <c r="B83" t="s">
        <v>31</v>
      </c>
      <c r="C83" s="105" t="s">
        <v>32</v>
      </c>
      <c r="D83">
        <f t="shared" si="44"/>
        <v>0</v>
      </c>
      <c r="E83">
        <f t="shared" si="39"/>
        <v>0</v>
      </c>
      <c r="F83">
        <f>H21</f>
        <v>0</v>
      </c>
      <c r="G83">
        <f>I21</f>
        <v>0</v>
      </c>
      <c r="H83">
        <f>M21</f>
        <v>0</v>
      </c>
      <c r="I83">
        <f>N21</f>
        <v>0</v>
      </c>
      <c r="J83">
        <f>P20</f>
        <v>0</v>
      </c>
      <c r="K83">
        <f>D83-AR83</f>
        <v>0</v>
      </c>
      <c r="L83">
        <f>R20</f>
        <v>0</v>
      </c>
      <c r="M83">
        <f t="shared" si="45"/>
        <v>0</v>
      </c>
      <c r="N83">
        <f t="shared" si="45"/>
        <v>0</v>
      </c>
      <c r="O83">
        <f t="shared" si="45"/>
        <v>0</v>
      </c>
      <c r="P83">
        <f t="shared" si="40"/>
        <v>0</v>
      </c>
      <c r="Q83">
        <f>W21</f>
        <v>0</v>
      </c>
      <c r="R83">
        <f>X21</f>
        <v>0</v>
      </c>
      <c r="S83">
        <f>Z21</f>
        <v>0</v>
      </c>
      <c r="T83">
        <f t="shared" si="46"/>
        <v>0</v>
      </c>
      <c r="U83">
        <f t="shared" si="46"/>
        <v>0</v>
      </c>
      <c r="V83">
        <f t="shared" si="46"/>
        <v>0</v>
      </c>
      <c r="W83">
        <f t="shared" si="46"/>
        <v>0</v>
      </c>
      <c r="X83">
        <f t="shared" si="46"/>
        <v>0</v>
      </c>
      <c r="Y83">
        <f t="shared" si="46"/>
        <v>0</v>
      </c>
      <c r="Z83">
        <f>AQ21</f>
        <v>0</v>
      </c>
      <c r="AA83">
        <f t="shared" si="47"/>
        <v>0</v>
      </c>
      <c r="AB83">
        <f t="shared" si="47"/>
        <v>0</v>
      </c>
      <c r="AC83">
        <f t="shared" si="47"/>
        <v>0</v>
      </c>
      <c r="AD83">
        <f t="shared" si="47"/>
        <v>0</v>
      </c>
      <c r="AE83">
        <f t="shared" si="47"/>
        <v>0</v>
      </c>
      <c r="AF83">
        <f t="shared" si="47"/>
        <v>0</v>
      </c>
      <c r="AG83">
        <f t="shared" si="47"/>
        <v>0</v>
      </c>
      <c r="AH83">
        <f t="shared" si="47"/>
        <v>0</v>
      </c>
      <c r="AI83">
        <f t="shared" si="47"/>
        <v>0</v>
      </c>
      <c r="AJ83">
        <f t="shared" si="47"/>
        <v>0</v>
      </c>
      <c r="AK83">
        <f t="shared" si="47"/>
        <v>0</v>
      </c>
      <c r="AL83">
        <f t="shared" si="47"/>
        <v>0</v>
      </c>
      <c r="AM83">
        <f t="shared" si="47"/>
        <v>0</v>
      </c>
      <c r="AN83">
        <f t="shared" si="47"/>
        <v>0</v>
      </c>
      <c r="AO83">
        <f t="shared" si="47"/>
        <v>0</v>
      </c>
      <c r="AP83">
        <f t="shared" si="47"/>
        <v>0</v>
      </c>
      <c r="AQ83">
        <f t="shared" si="47"/>
        <v>0</v>
      </c>
      <c r="AR83">
        <f>F83+H83+I83+J83+L83+M83+N83+O83+P83</f>
        <v>0</v>
      </c>
      <c r="AS83">
        <f>D83+K116-AR83</f>
        <v>0</v>
      </c>
    </row>
    <row r="84" spans="1:45" ht="20.25" customHeight="1">
      <c r="A84" t="s">
        <v>33</v>
      </c>
      <c r="B84" t="s">
        <v>34</v>
      </c>
      <c r="C84" s="105" t="s">
        <v>35</v>
      </c>
      <c r="D84">
        <f t="shared" si="44"/>
        <v>0</v>
      </c>
      <c r="E84">
        <f t="shared" si="39"/>
        <v>0</v>
      </c>
      <c r="F84">
        <f>H19</f>
        <v>0</v>
      </c>
      <c r="G84">
        <f>I19</f>
        <v>0</v>
      </c>
      <c r="H84">
        <f>M19</f>
        <v>0</v>
      </c>
      <c r="I84">
        <f>N19</f>
        <v>0</v>
      </c>
      <c r="J84">
        <f>P21</f>
        <v>0</v>
      </c>
      <c r="K84">
        <f>Q21</f>
        <v>0</v>
      </c>
      <c r="L84">
        <f>D84-AR84</f>
        <v>0</v>
      </c>
      <c r="M84">
        <f>S19</f>
        <v>0</v>
      </c>
      <c r="N84">
        <f>T19</f>
        <v>0</v>
      </c>
      <c r="O84">
        <f>U19</f>
        <v>0</v>
      </c>
      <c r="P84">
        <f t="shared" si="40"/>
        <v>0</v>
      </c>
      <c r="Q84">
        <f t="shared" ref="Q84:Y84" si="48">W19</f>
        <v>0</v>
      </c>
      <c r="R84">
        <f t="shared" si="48"/>
        <v>0</v>
      </c>
      <c r="S84">
        <f t="shared" si="48"/>
        <v>0</v>
      </c>
      <c r="T84">
        <f t="shared" si="48"/>
        <v>0</v>
      </c>
      <c r="U84">
        <f t="shared" si="48"/>
        <v>0</v>
      </c>
      <c r="V84">
        <f t="shared" si="48"/>
        <v>0</v>
      </c>
      <c r="W84">
        <f t="shared" si="48"/>
        <v>0</v>
      </c>
      <c r="X84">
        <f t="shared" si="48"/>
        <v>0</v>
      </c>
      <c r="Y84">
        <f t="shared" si="48"/>
        <v>0</v>
      </c>
      <c r="Z84">
        <f>AQ19</f>
        <v>0</v>
      </c>
      <c r="AA84">
        <f t="shared" ref="AA84:AQ84" si="49">AR19</f>
        <v>0</v>
      </c>
      <c r="AB84">
        <f t="shared" si="49"/>
        <v>0</v>
      </c>
      <c r="AC84">
        <f t="shared" si="49"/>
        <v>0</v>
      </c>
      <c r="AD84">
        <f t="shared" si="49"/>
        <v>0</v>
      </c>
      <c r="AE84">
        <f t="shared" si="49"/>
        <v>0</v>
      </c>
      <c r="AF84">
        <f t="shared" si="49"/>
        <v>0</v>
      </c>
      <c r="AG84">
        <f t="shared" si="49"/>
        <v>0</v>
      </c>
      <c r="AH84">
        <f t="shared" si="49"/>
        <v>0</v>
      </c>
      <c r="AI84">
        <f t="shared" si="49"/>
        <v>0</v>
      </c>
      <c r="AJ84">
        <f t="shared" si="49"/>
        <v>0</v>
      </c>
      <c r="AK84">
        <f t="shared" si="49"/>
        <v>0</v>
      </c>
      <c r="AL84">
        <f t="shared" si="49"/>
        <v>0</v>
      </c>
      <c r="AM84">
        <f t="shared" si="49"/>
        <v>0</v>
      </c>
      <c r="AN84">
        <f t="shared" si="49"/>
        <v>0</v>
      </c>
      <c r="AO84">
        <f t="shared" si="49"/>
        <v>0</v>
      </c>
      <c r="AP84">
        <f t="shared" si="49"/>
        <v>0</v>
      </c>
      <c r="AQ84">
        <f t="shared" si="49"/>
        <v>0</v>
      </c>
      <c r="AR84">
        <f>F84+H84+I84+J84+K84+M84+N84+O84+P84</f>
        <v>0</v>
      </c>
      <c r="AS84">
        <f>D84+L116-AR84</f>
        <v>0</v>
      </c>
    </row>
    <row r="85" spans="1:45" ht="20.25" customHeight="1">
      <c r="A85" t="s">
        <v>36</v>
      </c>
      <c r="B85" t="s">
        <v>37</v>
      </c>
      <c r="C85" s="105" t="s">
        <v>38</v>
      </c>
      <c r="D85">
        <f t="shared" si="44"/>
        <v>498.88</v>
      </c>
      <c r="E85">
        <f t="shared" si="39"/>
        <v>494.48</v>
      </c>
      <c r="F85">
        <f t="shared" ref="F85:G87" si="50">H22</f>
        <v>0</v>
      </c>
      <c r="G85">
        <f t="shared" si="50"/>
        <v>0</v>
      </c>
      <c r="H85">
        <f t="shared" ref="H85:I87" si="51">M22</f>
        <v>0</v>
      </c>
      <c r="I85">
        <f t="shared" si="51"/>
        <v>0</v>
      </c>
      <c r="J85">
        <f>P22</f>
        <v>0</v>
      </c>
      <c r="K85">
        <f>Q22</f>
        <v>0</v>
      </c>
      <c r="L85">
        <f>R22</f>
        <v>0</v>
      </c>
      <c r="M85">
        <f>D85-AR85</f>
        <v>494.48</v>
      </c>
      <c r="N85">
        <f>T22</f>
        <v>0</v>
      </c>
      <c r="O85">
        <f>U22</f>
        <v>0</v>
      </c>
      <c r="P85">
        <f>SUM(Q85:AP85)</f>
        <v>4.4000000000000004</v>
      </c>
      <c r="Q85">
        <f t="shared" ref="Q85:Y87" si="52">W22</f>
        <v>0</v>
      </c>
      <c r="R85">
        <f t="shared" si="52"/>
        <v>0</v>
      </c>
      <c r="S85">
        <f t="shared" si="52"/>
        <v>0</v>
      </c>
      <c r="T85">
        <f t="shared" si="52"/>
        <v>0</v>
      </c>
      <c r="U85">
        <f t="shared" si="52"/>
        <v>0</v>
      </c>
      <c r="V85">
        <f t="shared" si="52"/>
        <v>0</v>
      </c>
      <c r="W85">
        <f t="shared" si="52"/>
        <v>0</v>
      </c>
      <c r="X85">
        <f t="shared" si="52"/>
        <v>0</v>
      </c>
      <c r="Y85">
        <f t="shared" si="52"/>
        <v>2.79</v>
      </c>
      <c r="Z85">
        <f t="shared" ref="Z85:AP85" si="53">AQ22</f>
        <v>0</v>
      </c>
      <c r="AA85">
        <f t="shared" si="53"/>
        <v>0</v>
      </c>
      <c r="AB85">
        <f t="shared" si="53"/>
        <v>1.49</v>
      </c>
      <c r="AC85">
        <f t="shared" si="53"/>
        <v>0.12</v>
      </c>
      <c r="AD85">
        <f t="shared" si="53"/>
        <v>0</v>
      </c>
      <c r="AE85">
        <f t="shared" si="53"/>
        <v>0</v>
      </c>
      <c r="AF85">
        <f t="shared" si="53"/>
        <v>0</v>
      </c>
      <c r="AG85">
        <f t="shared" si="53"/>
        <v>0</v>
      </c>
      <c r="AH85">
        <f t="shared" si="53"/>
        <v>0</v>
      </c>
      <c r="AI85">
        <f t="shared" si="53"/>
        <v>0</v>
      </c>
      <c r="AJ85">
        <f t="shared" si="53"/>
        <v>0</v>
      </c>
      <c r="AK85">
        <f t="shared" si="53"/>
        <v>0</v>
      </c>
      <c r="AL85">
        <f t="shared" si="53"/>
        <v>0</v>
      </c>
      <c r="AM85">
        <f t="shared" si="53"/>
        <v>0</v>
      </c>
      <c r="AN85">
        <f t="shared" si="53"/>
        <v>0</v>
      </c>
      <c r="AO85">
        <f t="shared" si="53"/>
        <v>0</v>
      </c>
      <c r="AP85">
        <f t="shared" si="53"/>
        <v>0</v>
      </c>
      <c r="AQ85">
        <f t="shared" ref="AA85:AQ87" si="54">BH22</f>
        <v>0</v>
      </c>
      <c r="AR85">
        <f>F85+H85+I85+J85+K85+L85+N85+O85+P85</f>
        <v>4.4000000000000004</v>
      </c>
      <c r="AS85">
        <f>D85+M116-AR85</f>
        <v>514.36</v>
      </c>
    </row>
    <row r="86" spans="1:45" ht="20.25" customHeight="1">
      <c r="A86" t="s">
        <v>39</v>
      </c>
      <c r="B86" t="s">
        <v>40</v>
      </c>
      <c r="C86" s="105" t="s">
        <v>41</v>
      </c>
      <c r="D86">
        <f t="shared" si="44"/>
        <v>0</v>
      </c>
      <c r="E86">
        <f t="shared" si="39"/>
        <v>0</v>
      </c>
      <c r="F86">
        <f t="shared" si="50"/>
        <v>0</v>
      </c>
      <c r="G86">
        <f t="shared" si="50"/>
        <v>0</v>
      </c>
      <c r="H86">
        <f t="shared" si="51"/>
        <v>0</v>
      </c>
      <c r="I86">
        <f t="shared" si="51"/>
        <v>0</v>
      </c>
      <c r="J86">
        <f>P23</f>
        <v>0</v>
      </c>
      <c r="K86">
        <f>Q23</f>
        <v>0</v>
      </c>
      <c r="L86">
        <f>R23</f>
        <v>0</v>
      </c>
      <c r="M86">
        <f>S23</f>
        <v>0</v>
      </c>
      <c r="N86">
        <f>D86-AR86</f>
        <v>0</v>
      </c>
      <c r="O86">
        <f>U23</f>
        <v>0</v>
      </c>
      <c r="P86">
        <f t="shared" si="40"/>
        <v>0</v>
      </c>
      <c r="Q86">
        <f t="shared" si="52"/>
        <v>0</v>
      </c>
      <c r="R86">
        <f t="shared" si="52"/>
        <v>0</v>
      </c>
      <c r="S86">
        <f t="shared" si="52"/>
        <v>0</v>
      </c>
      <c r="T86">
        <f t="shared" si="52"/>
        <v>0</v>
      </c>
      <c r="U86">
        <f t="shared" si="52"/>
        <v>0</v>
      </c>
      <c r="V86">
        <f t="shared" si="52"/>
        <v>0</v>
      </c>
      <c r="W86">
        <f t="shared" si="52"/>
        <v>0</v>
      </c>
      <c r="X86">
        <f t="shared" si="52"/>
        <v>0</v>
      </c>
      <c r="Y86">
        <f t="shared" si="52"/>
        <v>0</v>
      </c>
      <c r="Z86">
        <f>AQ23</f>
        <v>0</v>
      </c>
      <c r="AA86">
        <f t="shared" si="54"/>
        <v>0</v>
      </c>
      <c r="AB86">
        <f t="shared" si="54"/>
        <v>0</v>
      </c>
      <c r="AC86">
        <f t="shared" si="54"/>
        <v>0</v>
      </c>
      <c r="AD86">
        <f t="shared" si="54"/>
        <v>0</v>
      </c>
      <c r="AE86">
        <f t="shared" si="54"/>
        <v>0</v>
      </c>
      <c r="AF86">
        <f t="shared" si="54"/>
        <v>0</v>
      </c>
      <c r="AG86">
        <f t="shared" si="54"/>
        <v>0</v>
      </c>
      <c r="AH86">
        <f t="shared" si="54"/>
        <v>0</v>
      </c>
      <c r="AI86">
        <f t="shared" si="54"/>
        <v>0</v>
      </c>
      <c r="AJ86">
        <f t="shared" si="54"/>
        <v>0</v>
      </c>
      <c r="AK86">
        <f t="shared" si="54"/>
        <v>0</v>
      </c>
      <c r="AL86">
        <f t="shared" si="54"/>
        <v>0</v>
      </c>
      <c r="AM86">
        <f t="shared" si="54"/>
        <v>0</v>
      </c>
      <c r="AN86">
        <f t="shared" si="54"/>
        <v>0</v>
      </c>
      <c r="AO86">
        <f t="shared" si="54"/>
        <v>0</v>
      </c>
      <c r="AP86">
        <f t="shared" si="54"/>
        <v>0</v>
      </c>
      <c r="AQ86">
        <f t="shared" si="54"/>
        <v>0</v>
      </c>
      <c r="AR86">
        <f>F86+H86+I86+J86+K86+L86+M86+O86+P86</f>
        <v>0</v>
      </c>
      <c r="AS86">
        <f>D86+N116-AR86</f>
        <v>0</v>
      </c>
    </row>
    <row r="87" spans="1:45" ht="20.25" customHeight="1">
      <c r="A87">
        <v>2</v>
      </c>
      <c r="B87" t="s">
        <v>43</v>
      </c>
      <c r="C87" s="105" t="s">
        <v>44</v>
      </c>
      <c r="D87">
        <f t="shared" si="44"/>
        <v>0</v>
      </c>
      <c r="E87">
        <f t="shared" si="39"/>
        <v>0</v>
      </c>
      <c r="F87">
        <f t="shared" si="50"/>
        <v>0</v>
      </c>
      <c r="G87">
        <f t="shared" si="50"/>
        <v>0</v>
      </c>
      <c r="H87">
        <f t="shared" si="51"/>
        <v>0</v>
      </c>
      <c r="I87">
        <f t="shared" si="51"/>
        <v>0</v>
      </c>
      <c r="J87">
        <f>P24</f>
        <v>0</v>
      </c>
      <c r="K87">
        <f>Q24</f>
        <v>0</v>
      </c>
      <c r="L87">
        <f>R24</f>
        <v>0</v>
      </c>
      <c r="M87">
        <f>S24</f>
        <v>0</v>
      </c>
      <c r="N87">
        <f>T24</f>
        <v>0</v>
      </c>
      <c r="O87">
        <f>D87-AR87</f>
        <v>0</v>
      </c>
      <c r="P87">
        <f t="shared" si="40"/>
        <v>0</v>
      </c>
      <c r="Q87">
        <f t="shared" si="52"/>
        <v>0</v>
      </c>
      <c r="R87">
        <f t="shared" si="52"/>
        <v>0</v>
      </c>
      <c r="S87">
        <f t="shared" si="52"/>
        <v>0</v>
      </c>
      <c r="T87">
        <f t="shared" si="52"/>
        <v>0</v>
      </c>
      <c r="U87">
        <f t="shared" si="52"/>
        <v>0</v>
      </c>
      <c r="V87">
        <f t="shared" si="52"/>
        <v>0</v>
      </c>
      <c r="W87">
        <f t="shared" si="52"/>
        <v>0</v>
      </c>
      <c r="X87">
        <f t="shared" si="52"/>
        <v>0</v>
      </c>
      <c r="Y87">
        <f t="shared" si="52"/>
        <v>0</v>
      </c>
      <c r="Z87">
        <f>AQ24</f>
        <v>0</v>
      </c>
      <c r="AA87">
        <f t="shared" si="54"/>
        <v>0</v>
      </c>
      <c r="AB87">
        <f t="shared" si="54"/>
        <v>0</v>
      </c>
      <c r="AC87">
        <f t="shared" si="54"/>
        <v>0</v>
      </c>
      <c r="AD87">
        <f t="shared" si="54"/>
        <v>0</v>
      </c>
      <c r="AE87">
        <f t="shared" si="54"/>
        <v>0</v>
      </c>
      <c r="AF87">
        <f t="shared" si="54"/>
        <v>0</v>
      </c>
      <c r="AG87">
        <f t="shared" si="54"/>
        <v>0</v>
      </c>
      <c r="AH87">
        <f t="shared" si="54"/>
        <v>0</v>
      </c>
      <c r="AI87">
        <f t="shared" si="54"/>
        <v>0</v>
      </c>
      <c r="AJ87">
        <f t="shared" si="54"/>
        <v>0</v>
      </c>
      <c r="AK87">
        <f t="shared" si="54"/>
        <v>0</v>
      </c>
      <c r="AL87">
        <f t="shared" si="54"/>
        <v>0</v>
      </c>
      <c r="AM87">
        <f t="shared" si="54"/>
        <v>0</v>
      </c>
      <c r="AN87">
        <f t="shared" si="54"/>
        <v>0</v>
      </c>
      <c r="AO87">
        <f t="shared" si="54"/>
        <v>0</v>
      </c>
      <c r="AP87">
        <f t="shared" si="54"/>
        <v>0</v>
      </c>
      <c r="AQ87">
        <f t="shared" si="54"/>
        <v>0</v>
      </c>
      <c r="AR87">
        <f>F87+H87+I87+J87+K87+L87+M87+N87+P87</f>
        <v>0</v>
      </c>
      <c r="AS87">
        <f>D87+O116-AR87</f>
        <v>0</v>
      </c>
    </row>
    <row r="88" spans="1:45" ht="20.25" customHeight="1">
      <c r="A88">
        <v>2</v>
      </c>
      <c r="B88" t="s">
        <v>45</v>
      </c>
      <c r="C88" s="105" t="s">
        <v>46</v>
      </c>
      <c r="D88">
        <f>SUM(D89:D114)</f>
        <v>447.40499999999992</v>
      </c>
      <c r="E88">
        <f t="shared" ref="E88:AS88" si="55">SUM(E89:E114)</f>
        <v>15.649999999999999</v>
      </c>
      <c r="F88">
        <f t="shared" si="55"/>
        <v>0</v>
      </c>
      <c r="G88">
        <f t="shared" si="55"/>
        <v>0</v>
      </c>
      <c r="H88">
        <f t="shared" si="55"/>
        <v>0</v>
      </c>
      <c r="I88">
        <f t="shared" si="55"/>
        <v>0</v>
      </c>
      <c r="J88">
        <f t="shared" si="55"/>
        <v>0</v>
      </c>
      <c r="K88">
        <f t="shared" si="55"/>
        <v>0</v>
      </c>
      <c r="L88">
        <f t="shared" si="55"/>
        <v>0</v>
      </c>
      <c r="M88">
        <f t="shared" si="55"/>
        <v>15.649999999999999</v>
      </c>
      <c r="N88">
        <f t="shared" si="55"/>
        <v>0</v>
      </c>
      <c r="O88">
        <f t="shared" si="55"/>
        <v>0</v>
      </c>
      <c r="P88">
        <f t="shared" si="55"/>
        <v>431.75499999999982</v>
      </c>
      <c r="Q88">
        <f t="shared" si="55"/>
        <v>0</v>
      </c>
      <c r="R88">
        <f t="shared" si="55"/>
        <v>0</v>
      </c>
      <c r="S88">
        <f t="shared" si="55"/>
        <v>0</v>
      </c>
      <c r="T88">
        <f t="shared" si="55"/>
        <v>0</v>
      </c>
      <c r="U88">
        <f t="shared" si="55"/>
        <v>0</v>
      </c>
      <c r="V88">
        <f t="shared" si="55"/>
        <v>1.79</v>
      </c>
      <c r="W88">
        <f t="shared" si="55"/>
        <v>5.89</v>
      </c>
      <c r="X88">
        <f t="shared" si="55"/>
        <v>0</v>
      </c>
      <c r="Y88">
        <f t="shared" si="55"/>
        <v>148.18499999999997</v>
      </c>
      <c r="Z88">
        <f t="shared" si="55"/>
        <v>0</v>
      </c>
      <c r="AA88">
        <f t="shared" si="55"/>
        <v>0</v>
      </c>
      <c r="AB88">
        <f t="shared" si="55"/>
        <v>3.08</v>
      </c>
      <c r="AC88">
        <f t="shared" si="55"/>
        <v>74.44</v>
      </c>
      <c r="AD88">
        <f t="shared" si="55"/>
        <v>0</v>
      </c>
      <c r="AE88">
        <f t="shared" si="55"/>
        <v>1.1599999999999999</v>
      </c>
      <c r="AF88">
        <f t="shared" si="55"/>
        <v>0</v>
      </c>
      <c r="AG88">
        <f t="shared" si="55"/>
        <v>0</v>
      </c>
      <c r="AH88">
        <f t="shared" si="55"/>
        <v>2.3199999999999998</v>
      </c>
      <c r="AI88">
        <f t="shared" si="55"/>
        <v>30.51</v>
      </c>
      <c r="AJ88">
        <f t="shared" si="55"/>
        <v>2.3199999999999998</v>
      </c>
      <c r="AK88">
        <f t="shared" si="55"/>
        <v>1.1499999999999999</v>
      </c>
      <c r="AL88">
        <f t="shared" si="55"/>
        <v>1.71</v>
      </c>
      <c r="AM88">
        <f t="shared" si="55"/>
        <v>1.77</v>
      </c>
      <c r="AN88">
        <f t="shared" si="55"/>
        <v>156.84</v>
      </c>
      <c r="AO88">
        <f t="shared" si="55"/>
        <v>0</v>
      </c>
      <c r="AP88">
        <f t="shared" si="55"/>
        <v>0.59</v>
      </c>
      <c r="AQ88">
        <f t="shared" si="55"/>
        <v>0</v>
      </c>
      <c r="AR88">
        <f>E88+AQ88</f>
        <v>15.649999999999999</v>
      </c>
      <c r="AS88">
        <f t="shared" si="55"/>
        <v>446.40499999999992</v>
      </c>
    </row>
    <row r="89" spans="1:45" ht="20.25" customHeight="1">
      <c r="A89" t="s">
        <v>47</v>
      </c>
      <c r="B89" t="s">
        <v>48</v>
      </c>
      <c r="C89" s="105" t="s">
        <v>49</v>
      </c>
      <c r="D89">
        <f>D26</f>
        <v>0</v>
      </c>
      <c r="E89">
        <f t="shared" si="39"/>
        <v>0</v>
      </c>
      <c r="F89">
        <f>H26</f>
        <v>0</v>
      </c>
      <c r="G89">
        <f>I26</f>
        <v>0</v>
      </c>
      <c r="H89">
        <f>M26</f>
        <v>0</v>
      </c>
      <c r="I89">
        <f>N26</f>
        <v>0</v>
      </c>
      <c r="J89">
        <f t="shared" ref="J89:O97" si="56">P26</f>
        <v>0</v>
      </c>
      <c r="K89">
        <f t="shared" si="56"/>
        <v>0</v>
      </c>
      <c r="L89">
        <f t="shared" si="56"/>
        <v>0</v>
      </c>
      <c r="M89">
        <f t="shared" si="56"/>
        <v>0</v>
      </c>
      <c r="N89">
        <f t="shared" si="56"/>
        <v>0</v>
      </c>
      <c r="O89">
        <f t="shared" si="56"/>
        <v>0</v>
      </c>
      <c r="P89">
        <f>SUM(Q89:AP89)</f>
        <v>0</v>
      </c>
      <c r="Q89">
        <f>D89-AR89</f>
        <v>0</v>
      </c>
      <c r="R89">
        <f t="shared" ref="R89:Y89" si="57">X26</f>
        <v>0</v>
      </c>
      <c r="S89">
        <f t="shared" si="57"/>
        <v>0</v>
      </c>
      <c r="T89">
        <f t="shared" si="57"/>
        <v>0</v>
      </c>
      <c r="U89">
        <f t="shared" si="57"/>
        <v>0</v>
      </c>
      <c r="V89">
        <f t="shared" si="57"/>
        <v>0</v>
      </c>
      <c r="W89">
        <f t="shared" si="57"/>
        <v>0</v>
      </c>
      <c r="X89">
        <f t="shared" si="57"/>
        <v>0</v>
      </c>
      <c r="Y89">
        <f t="shared" si="57"/>
        <v>0</v>
      </c>
      <c r="Z89">
        <f t="shared" ref="Z89:AP89" si="58">AQ26</f>
        <v>0</v>
      </c>
      <c r="AA89">
        <f t="shared" si="58"/>
        <v>0</v>
      </c>
      <c r="AB89">
        <f t="shared" si="58"/>
        <v>0</v>
      </c>
      <c r="AC89">
        <f t="shared" si="58"/>
        <v>0</v>
      </c>
      <c r="AD89">
        <f t="shared" si="58"/>
        <v>0</v>
      </c>
      <c r="AE89">
        <f t="shared" si="58"/>
        <v>0</v>
      </c>
      <c r="AF89">
        <f t="shared" si="58"/>
        <v>0</v>
      </c>
      <c r="AG89">
        <f t="shared" si="58"/>
        <v>0</v>
      </c>
      <c r="AH89">
        <f t="shared" si="58"/>
        <v>0</v>
      </c>
      <c r="AI89">
        <f t="shared" si="58"/>
        <v>0</v>
      </c>
      <c r="AJ89">
        <f t="shared" si="58"/>
        <v>0</v>
      </c>
      <c r="AK89">
        <f t="shared" si="58"/>
        <v>0</v>
      </c>
      <c r="AL89">
        <f t="shared" si="58"/>
        <v>0</v>
      </c>
      <c r="AM89">
        <f t="shared" si="58"/>
        <v>0</v>
      </c>
      <c r="AN89">
        <f t="shared" si="58"/>
        <v>0</v>
      </c>
      <c r="AO89">
        <f t="shared" si="58"/>
        <v>0</v>
      </c>
      <c r="AP89">
        <f t="shared" si="58"/>
        <v>0</v>
      </c>
      <c r="AQ89">
        <f t="shared" ref="AA89:AQ97" si="59">BH26</f>
        <v>0</v>
      </c>
      <c r="AR89">
        <f>E89+R89+S89+T89+U89+V89+W89+X89+Y89+Z89+AA89+AB89+AC89+AD89+AE89+AF89+AG89+AH89+AI89+AJ89+AK89+AL89+AM89+AN89+AO89+AP89+AQ89</f>
        <v>0</v>
      </c>
      <c r="AS89">
        <f>D89+Q116-AR89</f>
        <v>0</v>
      </c>
    </row>
    <row r="90" spans="1:45" ht="20.25" customHeight="1">
      <c r="A90" t="s">
        <v>50</v>
      </c>
      <c r="B90" t="s">
        <v>51</v>
      </c>
      <c r="C90" s="105" t="s">
        <v>52</v>
      </c>
      <c r="D90">
        <f t="shared" ref="D90:D97" si="60">D27</f>
        <v>0</v>
      </c>
      <c r="E90">
        <f t="shared" si="39"/>
        <v>0</v>
      </c>
      <c r="F90">
        <f t="shared" ref="F90:G97" si="61">H27</f>
        <v>0</v>
      </c>
      <c r="G90">
        <f t="shared" si="61"/>
        <v>0</v>
      </c>
      <c r="H90">
        <f t="shared" ref="H90:I97" si="62">M27</f>
        <v>0</v>
      </c>
      <c r="I90">
        <f t="shared" si="62"/>
        <v>0</v>
      </c>
      <c r="J90">
        <f t="shared" si="56"/>
        <v>0</v>
      </c>
      <c r="K90">
        <f t="shared" si="56"/>
        <v>0</v>
      </c>
      <c r="L90">
        <f t="shared" si="56"/>
        <v>0</v>
      </c>
      <c r="M90">
        <f t="shared" si="56"/>
        <v>0</v>
      </c>
      <c r="N90">
        <f t="shared" si="56"/>
        <v>0</v>
      </c>
      <c r="O90">
        <f t="shared" si="56"/>
        <v>0</v>
      </c>
      <c r="P90">
        <f t="shared" ref="P90:P114" si="63">SUM(Q90:AP90)</f>
        <v>0</v>
      </c>
      <c r="Q90">
        <f>W27</f>
        <v>0</v>
      </c>
      <c r="R90">
        <f>D90-AR90</f>
        <v>0</v>
      </c>
      <c r="S90">
        <f t="shared" ref="S90:Y90" si="64">Y27</f>
        <v>0</v>
      </c>
      <c r="T90">
        <f t="shared" si="64"/>
        <v>0</v>
      </c>
      <c r="U90">
        <f t="shared" si="64"/>
        <v>0</v>
      </c>
      <c r="V90">
        <f t="shared" si="64"/>
        <v>0</v>
      </c>
      <c r="W90">
        <f t="shared" si="64"/>
        <v>0</v>
      </c>
      <c r="X90">
        <f t="shared" si="64"/>
        <v>0</v>
      </c>
      <c r="Y90">
        <f t="shared" si="64"/>
        <v>0</v>
      </c>
      <c r="Z90">
        <f t="shared" ref="Z90:Z97" si="65">AQ27</f>
        <v>0</v>
      </c>
      <c r="AA90">
        <f t="shared" si="59"/>
        <v>0</v>
      </c>
      <c r="AB90">
        <f t="shared" si="59"/>
        <v>0</v>
      </c>
      <c r="AC90">
        <f t="shared" si="59"/>
        <v>0</v>
      </c>
      <c r="AD90">
        <f t="shared" si="59"/>
        <v>0</v>
      </c>
      <c r="AE90">
        <f t="shared" si="59"/>
        <v>0</v>
      </c>
      <c r="AF90">
        <f t="shared" si="59"/>
        <v>0</v>
      </c>
      <c r="AG90">
        <f t="shared" si="59"/>
        <v>0</v>
      </c>
      <c r="AH90">
        <f t="shared" si="59"/>
        <v>0</v>
      </c>
      <c r="AI90">
        <f t="shared" si="59"/>
        <v>0</v>
      </c>
      <c r="AJ90">
        <f t="shared" si="59"/>
        <v>0</v>
      </c>
      <c r="AK90">
        <f t="shared" si="59"/>
        <v>0</v>
      </c>
      <c r="AL90">
        <f t="shared" si="59"/>
        <v>0</v>
      </c>
      <c r="AM90">
        <f t="shared" si="59"/>
        <v>0</v>
      </c>
      <c r="AN90">
        <f t="shared" si="59"/>
        <v>0</v>
      </c>
      <c r="AO90">
        <f t="shared" si="59"/>
        <v>0</v>
      </c>
      <c r="AP90">
        <f t="shared" si="59"/>
        <v>0</v>
      </c>
      <c r="AQ90">
        <f t="shared" si="59"/>
        <v>0</v>
      </c>
      <c r="AR90">
        <f>E90+Q90+S90+T90+U90+V90+W90+X90+Y90+Z90+AA90+AB90+AC90+AD90+AE90+AF90+AG90+AH90+AI90+AJ90+AK90+AL90+AM90+AN90+AO90+AP90+AQ90</f>
        <v>0</v>
      </c>
      <c r="AS90">
        <f>D90+R116-AR90</f>
        <v>0</v>
      </c>
    </row>
    <row r="91" spans="1:45" ht="20.25" customHeight="1">
      <c r="A91" t="s">
        <v>53</v>
      </c>
      <c r="B91" t="s">
        <v>54</v>
      </c>
      <c r="C91" s="105" t="s">
        <v>55</v>
      </c>
      <c r="D91">
        <f t="shared" si="60"/>
        <v>0</v>
      </c>
      <c r="E91">
        <f t="shared" si="39"/>
        <v>0</v>
      </c>
      <c r="F91">
        <f t="shared" si="61"/>
        <v>0</v>
      </c>
      <c r="G91">
        <f t="shared" si="61"/>
        <v>0</v>
      </c>
      <c r="H91">
        <f t="shared" si="62"/>
        <v>0</v>
      </c>
      <c r="I91">
        <f t="shared" si="62"/>
        <v>0</v>
      </c>
      <c r="J91">
        <f t="shared" si="56"/>
        <v>0</v>
      </c>
      <c r="K91">
        <f t="shared" si="56"/>
        <v>0</v>
      </c>
      <c r="L91">
        <f t="shared" si="56"/>
        <v>0</v>
      </c>
      <c r="M91">
        <f t="shared" si="56"/>
        <v>0</v>
      </c>
      <c r="N91">
        <f t="shared" si="56"/>
        <v>0</v>
      </c>
      <c r="O91">
        <f t="shared" si="56"/>
        <v>0</v>
      </c>
      <c r="P91">
        <f t="shared" si="63"/>
        <v>0</v>
      </c>
      <c r="Q91">
        <f t="shared" ref="Q91:S97" si="66">W28</f>
        <v>0</v>
      </c>
      <c r="R91">
        <f>X28</f>
        <v>0</v>
      </c>
      <c r="S91">
        <f>D91-AR91</f>
        <v>0</v>
      </c>
      <c r="T91">
        <f t="shared" ref="T91:Y91" si="67">Z28</f>
        <v>0</v>
      </c>
      <c r="U91">
        <f t="shared" si="67"/>
        <v>0</v>
      </c>
      <c r="V91">
        <f t="shared" si="67"/>
        <v>0</v>
      </c>
      <c r="W91">
        <f t="shared" si="67"/>
        <v>0</v>
      </c>
      <c r="X91">
        <f t="shared" si="67"/>
        <v>0</v>
      </c>
      <c r="Y91">
        <f t="shared" si="67"/>
        <v>0</v>
      </c>
      <c r="Z91">
        <f t="shared" si="65"/>
        <v>0</v>
      </c>
      <c r="AA91">
        <f t="shared" si="59"/>
        <v>0</v>
      </c>
      <c r="AB91">
        <f t="shared" si="59"/>
        <v>0</v>
      </c>
      <c r="AC91">
        <f t="shared" si="59"/>
        <v>0</v>
      </c>
      <c r="AD91">
        <f t="shared" si="59"/>
        <v>0</v>
      </c>
      <c r="AE91">
        <f t="shared" si="59"/>
        <v>0</v>
      </c>
      <c r="AF91">
        <f t="shared" si="59"/>
        <v>0</v>
      </c>
      <c r="AG91">
        <f t="shared" si="59"/>
        <v>0</v>
      </c>
      <c r="AH91">
        <f t="shared" si="59"/>
        <v>0</v>
      </c>
      <c r="AI91">
        <f t="shared" si="59"/>
        <v>0</v>
      </c>
      <c r="AJ91">
        <f t="shared" si="59"/>
        <v>0</v>
      </c>
      <c r="AK91">
        <f t="shared" si="59"/>
        <v>0</v>
      </c>
      <c r="AL91">
        <f t="shared" si="59"/>
        <v>0</v>
      </c>
      <c r="AM91">
        <f t="shared" si="59"/>
        <v>0</v>
      </c>
      <c r="AN91">
        <f t="shared" si="59"/>
        <v>0</v>
      </c>
      <c r="AO91">
        <f t="shared" si="59"/>
        <v>0</v>
      </c>
      <c r="AP91">
        <f t="shared" si="59"/>
        <v>0</v>
      </c>
      <c r="AQ91">
        <f t="shared" si="59"/>
        <v>0</v>
      </c>
      <c r="AR91">
        <f>E91+Q91+R91+T91+U91+V91+W91+X91+Y91+Z91+AA91+AB91+AC91+AD91+AE91+AF91+AG91+AH91+AI91+AJ91+AK91+AL91+AM91+AN91+AO91+AP91+AQ91</f>
        <v>0</v>
      </c>
      <c r="AS91">
        <f>D91+S116-AR91</f>
        <v>0</v>
      </c>
    </row>
    <row r="92" spans="1:45" ht="20.25" customHeight="1">
      <c r="A92" t="s">
        <v>56</v>
      </c>
      <c r="B92" t="s">
        <v>57</v>
      </c>
      <c r="C92" s="105" t="s">
        <v>58</v>
      </c>
      <c r="D92">
        <f t="shared" si="60"/>
        <v>0</v>
      </c>
      <c r="E92">
        <f t="shared" si="39"/>
        <v>0</v>
      </c>
      <c r="F92">
        <f t="shared" si="61"/>
        <v>0</v>
      </c>
      <c r="G92">
        <f t="shared" si="61"/>
        <v>0</v>
      </c>
      <c r="H92">
        <f t="shared" si="62"/>
        <v>0</v>
      </c>
      <c r="I92">
        <f t="shared" si="62"/>
        <v>0</v>
      </c>
      <c r="J92">
        <f t="shared" si="56"/>
        <v>0</v>
      </c>
      <c r="K92">
        <f t="shared" si="56"/>
        <v>0</v>
      </c>
      <c r="L92">
        <f t="shared" si="56"/>
        <v>0</v>
      </c>
      <c r="M92">
        <f t="shared" si="56"/>
        <v>0</v>
      </c>
      <c r="N92">
        <f t="shared" si="56"/>
        <v>0</v>
      </c>
      <c r="O92">
        <f t="shared" si="56"/>
        <v>0</v>
      </c>
      <c r="P92">
        <f t="shared" si="63"/>
        <v>0</v>
      </c>
      <c r="Q92">
        <f t="shared" si="66"/>
        <v>0</v>
      </c>
      <c r="R92">
        <f t="shared" si="66"/>
        <v>0</v>
      </c>
      <c r="S92">
        <f t="shared" si="66"/>
        <v>0</v>
      </c>
      <c r="T92">
        <f>D92-AR92</f>
        <v>0</v>
      </c>
      <c r="U92">
        <f>AA29</f>
        <v>0</v>
      </c>
      <c r="V92">
        <f>AB29</f>
        <v>0</v>
      </c>
      <c r="W92">
        <f>AC29</f>
        <v>0</v>
      </c>
      <c r="X92">
        <f>AD29</f>
        <v>0</v>
      </c>
      <c r="Y92">
        <f>AE29</f>
        <v>0</v>
      </c>
      <c r="Z92">
        <f t="shared" si="65"/>
        <v>0</v>
      </c>
      <c r="AA92">
        <f t="shared" si="59"/>
        <v>0</v>
      </c>
      <c r="AB92">
        <f t="shared" si="59"/>
        <v>0</v>
      </c>
      <c r="AC92">
        <f t="shared" si="59"/>
        <v>0</v>
      </c>
      <c r="AD92">
        <f t="shared" si="59"/>
        <v>0</v>
      </c>
      <c r="AE92">
        <f t="shared" si="59"/>
        <v>0</v>
      </c>
      <c r="AF92">
        <f t="shared" si="59"/>
        <v>0</v>
      </c>
      <c r="AG92">
        <f t="shared" si="59"/>
        <v>0</v>
      </c>
      <c r="AH92">
        <f t="shared" si="59"/>
        <v>0</v>
      </c>
      <c r="AI92">
        <f t="shared" si="59"/>
        <v>0</v>
      </c>
      <c r="AJ92">
        <f t="shared" si="59"/>
        <v>0</v>
      </c>
      <c r="AK92">
        <f t="shared" si="59"/>
        <v>0</v>
      </c>
      <c r="AL92">
        <f t="shared" si="59"/>
        <v>0</v>
      </c>
      <c r="AM92">
        <f t="shared" si="59"/>
        <v>0</v>
      </c>
      <c r="AN92">
        <f t="shared" si="59"/>
        <v>0</v>
      </c>
      <c r="AO92">
        <f t="shared" si="59"/>
        <v>0</v>
      </c>
      <c r="AP92">
        <f t="shared" si="59"/>
        <v>0</v>
      </c>
      <c r="AQ92">
        <f t="shared" si="59"/>
        <v>0</v>
      </c>
      <c r="AR92">
        <f>E92+Q92+R92+S92+U92+V92+W92+X92+Y92+Z92+AA92+AB92+AC92+AD92+AE92+AF92+AG92+AH92+AI92+AJ92+AK92+AL92+AM92+AN92+AO92+AP92+AQ92</f>
        <v>0</v>
      </c>
      <c r="AS92">
        <f>D92+T116-AR92</f>
        <v>0</v>
      </c>
    </row>
    <row r="93" spans="1:45" ht="20.25" customHeight="1">
      <c r="A93" t="s">
        <v>59</v>
      </c>
      <c r="B93" t="s">
        <v>60</v>
      </c>
      <c r="C93" s="105" t="s">
        <v>61</v>
      </c>
      <c r="D93">
        <f t="shared" si="60"/>
        <v>0</v>
      </c>
      <c r="E93">
        <f t="shared" si="39"/>
        <v>0</v>
      </c>
      <c r="F93">
        <f t="shared" si="61"/>
        <v>0</v>
      </c>
      <c r="G93">
        <f t="shared" si="61"/>
        <v>0</v>
      </c>
      <c r="H93">
        <f t="shared" si="62"/>
        <v>0</v>
      </c>
      <c r="I93">
        <f t="shared" si="62"/>
        <v>0</v>
      </c>
      <c r="J93">
        <f t="shared" si="56"/>
        <v>0</v>
      </c>
      <c r="K93">
        <f t="shared" si="56"/>
        <v>0</v>
      </c>
      <c r="L93">
        <f t="shared" si="56"/>
        <v>0</v>
      </c>
      <c r="M93">
        <f t="shared" si="56"/>
        <v>0</v>
      </c>
      <c r="N93">
        <f t="shared" si="56"/>
        <v>0</v>
      </c>
      <c r="O93">
        <f t="shared" si="56"/>
        <v>0</v>
      </c>
      <c r="P93">
        <f t="shared" si="63"/>
        <v>0</v>
      </c>
      <c r="Q93">
        <f t="shared" si="66"/>
        <v>0</v>
      </c>
      <c r="R93">
        <f t="shared" si="66"/>
        <v>0</v>
      </c>
      <c r="S93">
        <f t="shared" si="66"/>
        <v>0</v>
      </c>
      <c r="T93">
        <f>Z30</f>
        <v>0</v>
      </c>
      <c r="U93">
        <f>D93-AR93</f>
        <v>0</v>
      </c>
      <c r="V93">
        <f>AB30</f>
        <v>0</v>
      </c>
      <c r="W93">
        <f>AC30</f>
        <v>0</v>
      </c>
      <c r="X93">
        <f>AD30</f>
        <v>0</v>
      </c>
      <c r="Y93">
        <f>AE30</f>
        <v>0</v>
      </c>
      <c r="Z93">
        <f t="shared" si="65"/>
        <v>0</v>
      </c>
      <c r="AA93">
        <f t="shared" si="59"/>
        <v>0</v>
      </c>
      <c r="AB93">
        <f t="shared" si="59"/>
        <v>0</v>
      </c>
      <c r="AC93">
        <f t="shared" si="59"/>
        <v>0</v>
      </c>
      <c r="AD93">
        <f t="shared" si="59"/>
        <v>0</v>
      </c>
      <c r="AE93">
        <f t="shared" si="59"/>
        <v>0</v>
      </c>
      <c r="AF93">
        <f t="shared" si="59"/>
        <v>0</v>
      </c>
      <c r="AG93">
        <f t="shared" si="59"/>
        <v>0</v>
      </c>
      <c r="AH93">
        <f t="shared" si="59"/>
        <v>0</v>
      </c>
      <c r="AI93">
        <f t="shared" si="59"/>
        <v>0</v>
      </c>
      <c r="AJ93">
        <f t="shared" si="59"/>
        <v>0</v>
      </c>
      <c r="AK93">
        <f t="shared" si="59"/>
        <v>0</v>
      </c>
      <c r="AL93">
        <f t="shared" si="59"/>
        <v>0</v>
      </c>
      <c r="AM93">
        <f t="shared" si="59"/>
        <v>0</v>
      </c>
      <c r="AN93">
        <f t="shared" si="59"/>
        <v>0</v>
      </c>
      <c r="AO93">
        <f t="shared" si="59"/>
        <v>0</v>
      </c>
      <c r="AP93">
        <f t="shared" si="59"/>
        <v>0</v>
      </c>
      <c r="AQ93">
        <f t="shared" si="59"/>
        <v>0</v>
      </c>
      <c r="AR93">
        <f>E93+Q93+R93+S93+T93+V93+W93+X93+Y93+Z93+AA93+AB93+AC93+AD93+AE93+AF93+AG93+AH93+AI93+AJ93+AK93+AL93+AM93+AN93+AO93+AP93+AQ93</f>
        <v>0</v>
      </c>
      <c r="AS93">
        <f>D93+U116-AR93</f>
        <v>0</v>
      </c>
    </row>
    <row r="94" spans="1:45" ht="20.25" customHeight="1">
      <c r="A94" t="s">
        <v>62</v>
      </c>
      <c r="B94" t="s">
        <v>63</v>
      </c>
      <c r="C94" s="105" t="s">
        <v>64</v>
      </c>
      <c r="D94">
        <f t="shared" si="60"/>
        <v>1.79</v>
      </c>
      <c r="E94">
        <f t="shared" si="39"/>
        <v>0</v>
      </c>
      <c r="F94">
        <f t="shared" si="61"/>
        <v>0</v>
      </c>
      <c r="G94">
        <f t="shared" si="61"/>
        <v>0</v>
      </c>
      <c r="H94">
        <f t="shared" si="62"/>
        <v>0</v>
      </c>
      <c r="I94">
        <f t="shared" si="62"/>
        <v>0</v>
      </c>
      <c r="J94">
        <f t="shared" si="56"/>
        <v>0</v>
      </c>
      <c r="K94">
        <f t="shared" si="56"/>
        <v>0</v>
      </c>
      <c r="L94">
        <f t="shared" si="56"/>
        <v>0</v>
      </c>
      <c r="M94">
        <f t="shared" si="56"/>
        <v>0</v>
      </c>
      <c r="N94">
        <f t="shared" si="56"/>
        <v>0</v>
      </c>
      <c r="O94">
        <f t="shared" si="56"/>
        <v>0</v>
      </c>
      <c r="P94">
        <f t="shared" si="63"/>
        <v>1.79</v>
      </c>
      <c r="Q94">
        <f t="shared" si="66"/>
        <v>0</v>
      </c>
      <c r="R94">
        <f t="shared" si="66"/>
        <v>0</v>
      </c>
      <c r="S94">
        <f t="shared" si="66"/>
        <v>0</v>
      </c>
      <c r="T94">
        <f>Z31</f>
        <v>0</v>
      </c>
      <c r="U94">
        <f>AA31</f>
        <v>0</v>
      </c>
      <c r="V94">
        <f>D94-AR94</f>
        <v>1.79</v>
      </c>
      <c r="W94">
        <f>AC31</f>
        <v>0</v>
      </c>
      <c r="X94">
        <f>AD31</f>
        <v>0</v>
      </c>
      <c r="Y94">
        <f>AE31</f>
        <v>0</v>
      </c>
      <c r="Z94">
        <f t="shared" si="65"/>
        <v>0</v>
      </c>
      <c r="AA94">
        <f t="shared" si="59"/>
        <v>0</v>
      </c>
      <c r="AB94">
        <f t="shared" si="59"/>
        <v>0</v>
      </c>
      <c r="AC94">
        <f t="shared" si="59"/>
        <v>0</v>
      </c>
      <c r="AD94">
        <f t="shared" si="59"/>
        <v>0</v>
      </c>
      <c r="AE94">
        <f t="shared" si="59"/>
        <v>0</v>
      </c>
      <c r="AF94">
        <f t="shared" si="59"/>
        <v>0</v>
      </c>
      <c r="AG94">
        <f t="shared" si="59"/>
        <v>0</v>
      </c>
      <c r="AH94">
        <f t="shared" si="59"/>
        <v>0</v>
      </c>
      <c r="AI94">
        <f t="shared" si="59"/>
        <v>0</v>
      </c>
      <c r="AJ94">
        <f t="shared" si="59"/>
        <v>0</v>
      </c>
      <c r="AK94">
        <f t="shared" si="59"/>
        <v>0</v>
      </c>
      <c r="AL94">
        <f t="shared" si="59"/>
        <v>0</v>
      </c>
      <c r="AM94">
        <f t="shared" si="59"/>
        <v>0</v>
      </c>
      <c r="AN94">
        <f t="shared" si="59"/>
        <v>0</v>
      </c>
      <c r="AO94">
        <f t="shared" si="59"/>
        <v>0</v>
      </c>
      <c r="AP94">
        <f t="shared" si="59"/>
        <v>0</v>
      </c>
      <c r="AQ94">
        <f t="shared" si="59"/>
        <v>0</v>
      </c>
      <c r="AR94">
        <f>E94+Q94+R94+S94+T94+U94+W94+X94+Y94+Z94+AA94+AB94+AC94+AD94+AE94+AF94+AG94+AH94+AI94+AJ94+AK94+AL94+AM94+AN94+AO94+AP94+AQ94</f>
        <v>0</v>
      </c>
      <c r="AS94">
        <f>D94+V116-AR94</f>
        <v>1.94</v>
      </c>
    </row>
    <row r="95" spans="1:45" ht="20.25" customHeight="1">
      <c r="A95" t="s">
        <v>65</v>
      </c>
      <c r="B95" t="s">
        <v>66</v>
      </c>
      <c r="C95" s="105" t="s">
        <v>67</v>
      </c>
      <c r="D95">
        <f t="shared" si="60"/>
        <v>5.89</v>
      </c>
      <c r="E95">
        <f t="shared" si="39"/>
        <v>0</v>
      </c>
      <c r="F95">
        <f t="shared" si="61"/>
        <v>0</v>
      </c>
      <c r="G95">
        <f t="shared" si="61"/>
        <v>0</v>
      </c>
      <c r="H95">
        <f t="shared" si="62"/>
        <v>0</v>
      </c>
      <c r="I95">
        <f t="shared" si="62"/>
        <v>0</v>
      </c>
      <c r="J95">
        <f t="shared" si="56"/>
        <v>0</v>
      </c>
      <c r="K95">
        <f t="shared" si="56"/>
        <v>0</v>
      </c>
      <c r="L95">
        <f t="shared" si="56"/>
        <v>0</v>
      </c>
      <c r="M95">
        <f t="shared" si="56"/>
        <v>0</v>
      </c>
      <c r="N95">
        <f t="shared" si="56"/>
        <v>0</v>
      </c>
      <c r="O95">
        <f t="shared" si="56"/>
        <v>0</v>
      </c>
      <c r="P95">
        <f t="shared" si="63"/>
        <v>5.89</v>
      </c>
      <c r="Q95">
        <f t="shared" si="66"/>
        <v>0</v>
      </c>
      <c r="R95">
        <f t="shared" si="66"/>
        <v>0</v>
      </c>
      <c r="S95">
        <f t="shared" si="66"/>
        <v>0</v>
      </c>
      <c r="T95">
        <f>Z32</f>
        <v>0</v>
      </c>
      <c r="U95">
        <f>AA32</f>
        <v>0</v>
      </c>
      <c r="V95">
        <f>AB32</f>
        <v>0</v>
      </c>
      <c r="W95">
        <f>D95-AR95</f>
        <v>5.89</v>
      </c>
      <c r="X95">
        <f>AD32</f>
        <v>0</v>
      </c>
      <c r="Y95">
        <f>AE32</f>
        <v>0</v>
      </c>
      <c r="Z95">
        <f t="shared" si="65"/>
        <v>0</v>
      </c>
      <c r="AA95">
        <f t="shared" si="59"/>
        <v>0</v>
      </c>
      <c r="AB95">
        <f t="shared" si="59"/>
        <v>0</v>
      </c>
      <c r="AC95">
        <f t="shared" si="59"/>
        <v>0</v>
      </c>
      <c r="AD95">
        <f t="shared" si="59"/>
        <v>0</v>
      </c>
      <c r="AE95">
        <f t="shared" si="59"/>
        <v>0</v>
      </c>
      <c r="AF95">
        <f t="shared" si="59"/>
        <v>0</v>
      </c>
      <c r="AG95">
        <f t="shared" si="59"/>
        <v>0</v>
      </c>
      <c r="AH95">
        <f t="shared" si="59"/>
        <v>0</v>
      </c>
      <c r="AI95">
        <f t="shared" si="59"/>
        <v>0</v>
      </c>
      <c r="AJ95">
        <f t="shared" si="59"/>
        <v>0</v>
      </c>
      <c r="AK95">
        <f t="shared" si="59"/>
        <v>0</v>
      </c>
      <c r="AL95">
        <f t="shared" si="59"/>
        <v>0</v>
      </c>
      <c r="AM95">
        <f t="shared" si="59"/>
        <v>0</v>
      </c>
      <c r="AN95">
        <f t="shared" si="59"/>
        <v>0</v>
      </c>
      <c r="AO95">
        <f t="shared" si="59"/>
        <v>0</v>
      </c>
      <c r="AP95">
        <f t="shared" si="59"/>
        <v>0</v>
      </c>
      <c r="AQ95">
        <f t="shared" si="59"/>
        <v>0</v>
      </c>
      <c r="AR95">
        <f>E95+Q95+R95+S95+T95+U95+V95+X95+Y95+Z95+AA95+AB95+AC95+AD95+AE95+AF95+AG95+AH95+AI95+AJ95+AK95+AL95+AM95+AN95+AO95+AP95+AQ95</f>
        <v>0</v>
      </c>
      <c r="AS95">
        <f>D95+W116-AR95</f>
        <v>5.89</v>
      </c>
    </row>
    <row r="96" spans="1:45" ht="20.25" customHeight="1">
      <c r="A96" t="s">
        <v>68</v>
      </c>
      <c r="B96" t="s">
        <v>69</v>
      </c>
      <c r="C96" s="105" t="s">
        <v>70</v>
      </c>
      <c r="D96">
        <f t="shared" si="60"/>
        <v>0</v>
      </c>
      <c r="E96">
        <f t="shared" si="39"/>
        <v>0</v>
      </c>
      <c r="F96">
        <f t="shared" si="61"/>
        <v>0</v>
      </c>
      <c r="G96">
        <f t="shared" si="61"/>
        <v>0</v>
      </c>
      <c r="H96">
        <f t="shared" si="62"/>
        <v>0</v>
      </c>
      <c r="I96">
        <f t="shared" si="62"/>
        <v>0</v>
      </c>
      <c r="J96">
        <f t="shared" si="56"/>
        <v>0</v>
      </c>
      <c r="K96">
        <f t="shared" si="56"/>
        <v>0</v>
      </c>
      <c r="L96">
        <f t="shared" si="56"/>
        <v>0</v>
      </c>
      <c r="M96">
        <f t="shared" si="56"/>
        <v>0</v>
      </c>
      <c r="N96">
        <f t="shared" si="56"/>
        <v>0</v>
      </c>
      <c r="O96">
        <f t="shared" si="56"/>
        <v>0</v>
      </c>
      <c r="P96">
        <f t="shared" si="63"/>
        <v>0</v>
      </c>
      <c r="Q96">
        <f t="shared" si="66"/>
        <v>0</v>
      </c>
      <c r="R96">
        <f t="shared" si="66"/>
        <v>0</v>
      </c>
      <c r="S96">
        <f t="shared" si="66"/>
        <v>0</v>
      </c>
      <c r="T96">
        <f>Z33</f>
        <v>0</v>
      </c>
      <c r="U96">
        <f>AA33</f>
        <v>0</v>
      </c>
      <c r="V96">
        <f>AB33</f>
        <v>0</v>
      </c>
      <c r="W96">
        <f>AC33</f>
        <v>0</v>
      </c>
      <c r="X96">
        <f>D96-AR96</f>
        <v>0</v>
      </c>
      <c r="Y96">
        <f>AE33</f>
        <v>0</v>
      </c>
      <c r="Z96">
        <f t="shared" si="65"/>
        <v>0</v>
      </c>
      <c r="AA96">
        <f t="shared" si="59"/>
        <v>0</v>
      </c>
      <c r="AB96">
        <f t="shared" si="59"/>
        <v>0</v>
      </c>
      <c r="AC96">
        <f t="shared" si="59"/>
        <v>0</v>
      </c>
      <c r="AD96">
        <f t="shared" si="59"/>
        <v>0</v>
      </c>
      <c r="AE96">
        <f t="shared" si="59"/>
        <v>0</v>
      </c>
      <c r="AF96">
        <f t="shared" si="59"/>
        <v>0</v>
      </c>
      <c r="AG96">
        <f t="shared" si="59"/>
        <v>0</v>
      </c>
      <c r="AH96">
        <f t="shared" si="59"/>
        <v>0</v>
      </c>
      <c r="AI96">
        <f t="shared" si="59"/>
        <v>0</v>
      </c>
      <c r="AJ96">
        <f t="shared" si="59"/>
        <v>0</v>
      </c>
      <c r="AK96">
        <f t="shared" si="59"/>
        <v>0</v>
      </c>
      <c r="AL96">
        <f t="shared" si="59"/>
        <v>0</v>
      </c>
      <c r="AM96">
        <f t="shared" si="59"/>
        <v>0</v>
      </c>
      <c r="AN96">
        <f t="shared" si="59"/>
        <v>0</v>
      </c>
      <c r="AO96">
        <f t="shared" si="59"/>
        <v>0</v>
      </c>
      <c r="AP96">
        <f t="shared" si="59"/>
        <v>0</v>
      </c>
      <c r="AQ96">
        <f t="shared" si="59"/>
        <v>0</v>
      </c>
      <c r="AR96">
        <f>E96+Q96+R96+S96+T96+U96+V96+W96+Y96+Z96+AA96+AB96+AC96+AD96+AE96+AF96+AG96+AH96+AI96+AJ96+AK96+AL96+AM96+AN96+AO96+AP96+AQ96</f>
        <v>0</v>
      </c>
      <c r="AS96">
        <f>D96+X116-AR96</f>
        <v>0</v>
      </c>
    </row>
    <row r="97" spans="1:45" ht="38.25" customHeight="1">
      <c r="A97" t="s">
        <v>71</v>
      </c>
      <c r="B97" t="s">
        <v>135</v>
      </c>
      <c r="C97" s="105" t="s">
        <v>72</v>
      </c>
      <c r="D97">
        <f t="shared" si="60"/>
        <v>158.82499999999999</v>
      </c>
      <c r="E97">
        <f t="shared" si="39"/>
        <v>11.2</v>
      </c>
      <c r="F97">
        <f t="shared" si="61"/>
        <v>0</v>
      </c>
      <c r="G97">
        <f t="shared" si="61"/>
        <v>0</v>
      </c>
      <c r="H97">
        <f t="shared" si="62"/>
        <v>0</v>
      </c>
      <c r="I97">
        <f t="shared" si="62"/>
        <v>0</v>
      </c>
      <c r="J97">
        <f>P34</f>
        <v>0</v>
      </c>
      <c r="K97">
        <f t="shared" si="56"/>
        <v>0</v>
      </c>
      <c r="L97">
        <f t="shared" si="56"/>
        <v>0</v>
      </c>
      <c r="M97">
        <f t="shared" si="56"/>
        <v>11.2</v>
      </c>
      <c r="N97">
        <f t="shared" si="56"/>
        <v>0</v>
      </c>
      <c r="O97">
        <f t="shared" si="56"/>
        <v>0</v>
      </c>
      <c r="P97">
        <f t="shared" si="63"/>
        <v>147.625</v>
      </c>
      <c r="Q97">
        <f t="shared" si="66"/>
        <v>0</v>
      </c>
      <c r="R97">
        <f t="shared" si="66"/>
        <v>0</v>
      </c>
      <c r="S97">
        <f t="shared" si="66"/>
        <v>0</v>
      </c>
      <c r="T97">
        <f>Z34</f>
        <v>0</v>
      </c>
      <c r="U97">
        <f>AA34</f>
        <v>0</v>
      </c>
      <c r="V97">
        <f>AB34</f>
        <v>0</v>
      </c>
      <c r="W97">
        <f>AC34</f>
        <v>0</v>
      </c>
      <c r="X97">
        <f>AD34</f>
        <v>0</v>
      </c>
      <c r="Y97">
        <f>D97-AR97</f>
        <v>146.76499999999999</v>
      </c>
      <c r="Z97">
        <f t="shared" si="65"/>
        <v>0</v>
      </c>
      <c r="AA97">
        <f t="shared" si="59"/>
        <v>0</v>
      </c>
      <c r="AB97">
        <f t="shared" si="59"/>
        <v>0.43</v>
      </c>
      <c r="AC97">
        <f t="shared" si="59"/>
        <v>0.43</v>
      </c>
      <c r="AD97">
        <f t="shared" si="59"/>
        <v>0</v>
      </c>
      <c r="AE97">
        <f t="shared" si="59"/>
        <v>0</v>
      </c>
      <c r="AF97">
        <f t="shared" si="59"/>
        <v>0</v>
      </c>
      <c r="AG97">
        <f t="shared" si="59"/>
        <v>0</v>
      </c>
      <c r="AH97">
        <f t="shared" si="59"/>
        <v>0</v>
      </c>
      <c r="AI97">
        <f t="shared" si="59"/>
        <v>0</v>
      </c>
      <c r="AJ97">
        <f t="shared" si="59"/>
        <v>0</v>
      </c>
      <c r="AK97">
        <f t="shared" si="59"/>
        <v>0</v>
      </c>
      <c r="AL97">
        <f t="shared" si="59"/>
        <v>0</v>
      </c>
      <c r="AM97">
        <f t="shared" si="59"/>
        <v>0</v>
      </c>
      <c r="AN97">
        <f t="shared" si="59"/>
        <v>0</v>
      </c>
      <c r="AO97">
        <f t="shared" si="59"/>
        <v>0</v>
      </c>
      <c r="AP97">
        <f t="shared" si="59"/>
        <v>0</v>
      </c>
      <c r="AQ97">
        <f t="shared" si="59"/>
        <v>0</v>
      </c>
      <c r="AR97">
        <f>E97+Q97+R97+S97+T97+U97+V97+W97+X97+Z97+AA97+AB97+AC97+AD97+AE97+AF97+AG97+AH97+AI97+AJ97+AK97+AL97+AM97+AN97+AO97+AP97+AQ97</f>
        <v>12.059999999999999</v>
      </c>
      <c r="AS97">
        <f>D97+Y116-AR97</f>
        <v>157.13499999999999</v>
      </c>
    </row>
    <row r="98" spans="1:45" ht="20.25" customHeight="1">
      <c r="A98" t="s">
        <v>73</v>
      </c>
      <c r="B98" t="s">
        <v>74</v>
      </c>
      <c r="C98" s="105" t="s">
        <v>75</v>
      </c>
      <c r="D98">
        <f>D46</f>
        <v>0</v>
      </c>
      <c r="E98">
        <f t="shared" si="39"/>
        <v>0</v>
      </c>
      <c r="F98">
        <f>H46</f>
        <v>0</v>
      </c>
      <c r="G98">
        <f>I46</f>
        <v>0</v>
      </c>
      <c r="H98">
        <f>M46</f>
        <v>0</v>
      </c>
      <c r="I98">
        <f>N46</f>
        <v>0</v>
      </c>
      <c r="J98">
        <f t="shared" ref="J98:O113" si="68">P46</f>
        <v>0</v>
      </c>
      <c r="K98">
        <f t="shared" si="68"/>
        <v>0</v>
      </c>
      <c r="L98">
        <f t="shared" si="68"/>
        <v>0</v>
      </c>
      <c r="M98">
        <f t="shared" si="68"/>
        <v>0</v>
      </c>
      <c r="N98">
        <f t="shared" si="68"/>
        <v>0</v>
      </c>
      <c r="O98">
        <f t="shared" si="68"/>
        <v>0</v>
      </c>
      <c r="P98">
        <f t="shared" si="63"/>
        <v>0</v>
      </c>
      <c r="Q98">
        <f t="shared" ref="Q98:Y113" si="69">W46</f>
        <v>0</v>
      </c>
      <c r="R98">
        <f t="shared" si="69"/>
        <v>0</v>
      </c>
      <c r="S98">
        <f t="shared" si="69"/>
        <v>0</v>
      </c>
      <c r="T98">
        <f t="shared" si="69"/>
        <v>0</v>
      </c>
      <c r="U98">
        <f t="shared" si="69"/>
        <v>0</v>
      </c>
      <c r="V98">
        <f t="shared" si="69"/>
        <v>0</v>
      </c>
      <c r="W98">
        <f t="shared" si="69"/>
        <v>0</v>
      </c>
      <c r="X98">
        <f t="shared" si="69"/>
        <v>0</v>
      </c>
      <c r="Y98">
        <f t="shared" si="69"/>
        <v>0</v>
      </c>
      <c r="Z98">
        <f>D98-AR98</f>
        <v>0</v>
      </c>
      <c r="AA98">
        <f>AR46</f>
        <v>0</v>
      </c>
      <c r="AB98">
        <f t="shared" ref="AB98:AQ109" si="70">AS46</f>
        <v>0</v>
      </c>
      <c r="AC98">
        <f t="shared" si="70"/>
        <v>0</v>
      </c>
      <c r="AD98">
        <f t="shared" si="70"/>
        <v>0</v>
      </c>
      <c r="AE98">
        <f t="shared" si="70"/>
        <v>0</v>
      </c>
      <c r="AF98">
        <f t="shared" si="70"/>
        <v>0</v>
      </c>
      <c r="AG98">
        <f t="shared" si="70"/>
        <v>0</v>
      </c>
      <c r="AH98">
        <f t="shared" si="70"/>
        <v>0</v>
      </c>
      <c r="AI98">
        <f t="shared" si="70"/>
        <v>0</v>
      </c>
      <c r="AJ98">
        <f t="shared" si="70"/>
        <v>0</v>
      </c>
      <c r="AK98">
        <f t="shared" si="70"/>
        <v>0</v>
      </c>
      <c r="AL98">
        <f t="shared" si="70"/>
        <v>0</v>
      </c>
      <c r="AM98">
        <f t="shared" si="70"/>
        <v>0</v>
      </c>
      <c r="AN98">
        <f t="shared" si="70"/>
        <v>0</v>
      </c>
      <c r="AO98">
        <f t="shared" si="70"/>
        <v>0</v>
      </c>
      <c r="AP98">
        <f t="shared" si="70"/>
        <v>0</v>
      </c>
      <c r="AQ98">
        <f t="shared" si="70"/>
        <v>0</v>
      </c>
      <c r="AR98">
        <f>E98+Q98+R98+S98+T98+U98+V98+W98+X98+Y98+AA98+AB98+AC98+AD98+AE98+AF98+AG98+AH98+AI98+AJ98+AK98+AL98+AM98+AN98+AO98+AP98+AQ98</f>
        <v>0</v>
      </c>
      <c r="AS98">
        <f>D98+Z116-AR98</f>
        <v>0</v>
      </c>
    </row>
    <row r="99" spans="1:45" ht="20.25" customHeight="1">
      <c r="A99" t="s">
        <v>76</v>
      </c>
      <c r="B99" t="s">
        <v>77</v>
      </c>
      <c r="C99" s="105" t="s">
        <v>78</v>
      </c>
      <c r="D99">
        <f t="shared" ref="D99:D114" si="71">D47</f>
        <v>0</v>
      </c>
      <c r="E99">
        <f t="shared" si="39"/>
        <v>0</v>
      </c>
      <c r="F99">
        <f t="shared" ref="F99:G115" si="72">H47</f>
        <v>0</v>
      </c>
      <c r="G99">
        <f t="shared" si="72"/>
        <v>0</v>
      </c>
      <c r="H99">
        <f t="shared" ref="H99:I115" si="73">M47</f>
        <v>0</v>
      </c>
      <c r="I99">
        <f t="shared" si="73"/>
        <v>0</v>
      </c>
      <c r="J99">
        <f t="shared" si="68"/>
        <v>0</v>
      </c>
      <c r="K99">
        <f t="shared" si="68"/>
        <v>0</v>
      </c>
      <c r="L99">
        <f t="shared" si="68"/>
        <v>0</v>
      </c>
      <c r="M99">
        <f t="shared" si="68"/>
        <v>0</v>
      </c>
      <c r="N99">
        <f t="shared" si="68"/>
        <v>0</v>
      </c>
      <c r="O99">
        <f t="shared" si="68"/>
        <v>0</v>
      </c>
      <c r="P99">
        <f t="shared" si="63"/>
        <v>0</v>
      </c>
      <c r="Q99">
        <f t="shared" si="69"/>
        <v>0</v>
      </c>
      <c r="R99">
        <f t="shared" si="69"/>
        <v>0</v>
      </c>
      <c r="S99">
        <f t="shared" si="69"/>
        <v>0</v>
      </c>
      <c r="T99">
        <f t="shared" si="69"/>
        <v>0</v>
      </c>
      <c r="U99">
        <f t="shared" si="69"/>
        <v>0</v>
      </c>
      <c r="V99">
        <f t="shared" si="69"/>
        <v>0</v>
      </c>
      <c r="W99">
        <f t="shared" si="69"/>
        <v>0</v>
      </c>
      <c r="X99">
        <f t="shared" si="69"/>
        <v>0</v>
      </c>
      <c r="Y99">
        <f t="shared" si="69"/>
        <v>0</v>
      </c>
      <c r="Z99">
        <f>AQ47</f>
        <v>0</v>
      </c>
      <c r="AA99">
        <f>D99-AR99</f>
        <v>0</v>
      </c>
      <c r="AB99">
        <f>AS47</f>
        <v>0</v>
      </c>
      <c r="AC99">
        <f t="shared" si="70"/>
        <v>0</v>
      </c>
      <c r="AD99">
        <f t="shared" si="70"/>
        <v>0</v>
      </c>
      <c r="AE99">
        <f t="shared" si="70"/>
        <v>0</v>
      </c>
      <c r="AF99">
        <f t="shared" si="70"/>
        <v>0</v>
      </c>
      <c r="AG99">
        <f t="shared" si="70"/>
        <v>0</v>
      </c>
      <c r="AH99">
        <f t="shared" si="70"/>
        <v>0</v>
      </c>
      <c r="AI99">
        <f t="shared" si="70"/>
        <v>0</v>
      </c>
      <c r="AJ99">
        <f t="shared" si="70"/>
        <v>0</v>
      </c>
      <c r="AK99">
        <f t="shared" si="70"/>
        <v>0</v>
      </c>
      <c r="AL99">
        <f t="shared" si="70"/>
        <v>0</v>
      </c>
      <c r="AM99">
        <f t="shared" si="70"/>
        <v>0</v>
      </c>
      <c r="AN99">
        <f t="shared" si="70"/>
        <v>0</v>
      </c>
      <c r="AO99">
        <f t="shared" si="70"/>
        <v>0</v>
      </c>
      <c r="AP99">
        <f t="shared" si="70"/>
        <v>0</v>
      </c>
      <c r="AQ99">
        <f t="shared" si="70"/>
        <v>0</v>
      </c>
      <c r="AR99">
        <f>E99+Q99+R99+S99+T99+U99+V99+W99+X99+Y99+Z99+AB99+AC99+AD99+AE99+AF99+AG99+AH99+AI99+AJ99+AK99+AL99+AM99+AN99+AO99+AP99+AQ99</f>
        <v>0</v>
      </c>
      <c r="AS99">
        <f>D99+AA116-AR99</f>
        <v>0</v>
      </c>
    </row>
    <row r="100" spans="1:45" ht="20.25" customHeight="1">
      <c r="A100" t="s">
        <v>79</v>
      </c>
      <c r="B100" t="s">
        <v>80</v>
      </c>
      <c r="C100" s="105" t="s">
        <v>81</v>
      </c>
      <c r="D100">
        <f t="shared" si="71"/>
        <v>2.65</v>
      </c>
      <c r="E100">
        <f t="shared" si="39"/>
        <v>0</v>
      </c>
      <c r="F100">
        <f t="shared" si="72"/>
        <v>0</v>
      </c>
      <c r="G100">
        <f t="shared" si="72"/>
        <v>0</v>
      </c>
      <c r="H100">
        <f t="shared" si="73"/>
        <v>0</v>
      </c>
      <c r="I100">
        <f t="shared" si="73"/>
        <v>0</v>
      </c>
      <c r="J100">
        <f t="shared" si="68"/>
        <v>0</v>
      </c>
      <c r="K100">
        <f t="shared" si="68"/>
        <v>0</v>
      </c>
      <c r="L100">
        <f t="shared" si="68"/>
        <v>0</v>
      </c>
      <c r="M100">
        <f t="shared" si="68"/>
        <v>0</v>
      </c>
      <c r="N100">
        <f t="shared" si="68"/>
        <v>0</v>
      </c>
      <c r="O100">
        <f t="shared" si="68"/>
        <v>0</v>
      </c>
      <c r="P100">
        <f t="shared" si="63"/>
        <v>2.65</v>
      </c>
      <c r="Q100">
        <f t="shared" si="69"/>
        <v>0</v>
      </c>
      <c r="R100">
        <f t="shared" si="69"/>
        <v>0</v>
      </c>
      <c r="S100">
        <f t="shared" si="69"/>
        <v>0</v>
      </c>
      <c r="T100">
        <f t="shared" si="69"/>
        <v>0</v>
      </c>
      <c r="U100">
        <f t="shared" si="69"/>
        <v>0</v>
      </c>
      <c r="V100">
        <f t="shared" si="69"/>
        <v>0</v>
      </c>
      <c r="W100">
        <f t="shared" si="69"/>
        <v>0</v>
      </c>
      <c r="X100">
        <f t="shared" si="69"/>
        <v>0</v>
      </c>
      <c r="Y100">
        <f t="shared" si="69"/>
        <v>0</v>
      </c>
      <c r="Z100">
        <f t="shared" ref="Z100:AK115" si="74">AQ48</f>
        <v>0</v>
      </c>
      <c r="AA100">
        <f t="shared" si="74"/>
        <v>0</v>
      </c>
      <c r="AB100">
        <f>D100-AR100</f>
        <v>2.65</v>
      </c>
      <c r="AC100">
        <f>AT48</f>
        <v>0</v>
      </c>
      <c r="AD100">
        <f t="shared" si="70"/>
        <v>0</v>
      </c>
      <c r="AE100">
        <f t="shared" si="70"/>
        <v>0</v>
      </c>
      <c r="AF100">
        <f t="shared" si="70"/>
        <v>0</v>
      </c>
      <c r="AG100">
        <f t="shared" si="70"/>
        <v>0</v>
      </c>
      <c r="AH100">
        <f t="shared" si="70"/>
        <v>0</v>
      </c>
      <c r="AI100">
        <f t="shared" si="70"/>
        <v>0</v>
      </c>
      <c r="AJ100">
        <f t="shared" si="70"/>
        <v>0</v>
      </c>
      <c r="AK100">
        <f t="shared" si="70"/>
        <v>0</v>
      </c>
      <c r="AL100">
        <f t="shared" si="70"/>
        <v>0</v>
      </c>
      <c r="AM100">
        <f t="shared" si="70"/>
        <v>0</v>
      </c>
      <c r="AN100">
        <f t="shared" si="70"/>
        <v>0</v>
      </c>
      <c r="AO100">
        <f t="shared" si="70"/>
        <v>0</v>
      </c>
      <c r="AP100">
        <f t="shared" si="70"/>
        <v>0</v>
      </c>
      <c r="AQ100">
        <f t="shared" si="70"/>
        <v>0</v>
      </c>
      <c r="AR100">
        <f>E100+Q100+R100+S100+T100+U100+V100+W100+X100+Y100+Z100+AA100+AC100+AD100+AE100+AF100+AG100+AH100+AI100+AJ100+AK100+AL100+AM100+AN100+AO100+AP100+AQ100</f>
        <v>0</v>
      </c>
      <c r="AS100">
        <f>D100+AB116-AR100</f>
        <v>6.38</v>
      </c>
    </row>
    <row r="101" spans="1:45" ht="20.25" customHeight="1">
      <c r="A101" t="s">
        <v>82</v>
      </c>
      <c r="B101" t="s">
        <v>83</v>
      </c>
      <c r="C101" s="105" t="s">
        <v>84</v>
      </c>
      <c r="D101">
        <f t="shared" si="71"/>
        <v>74.239999999999995</v>
      </c>
      <c r="E101">
        <f t="shared" si="39"/>
        <v>0</v>
      </c>
      <c r="F101">
        <f t="shared" si="72"/>
        <v>0</v>
      </c>
      <c r="G101">
        <f t="shared" si="72"/>
        <v>0</v>
      </c>
      <c r="H101">
        <f t="shared" si="73"/>
        <v>0</v>
      </c>
      <c r="I101">
        <f t="shared" si="73"/>
        <v>0</v>
      </c>
      <c r="J101">
        <f t="shared" si="68"/>
        <v>0</v>
      </c>
      <c r="K101">
        <f t="shared" si="68"/>
        <v>0</v>
      </c>
      <c r="L101">
        <f t="shared" si="68"/>
        <v>0</v>
      </c>
      <c r="M101">
        <f t="shared" si="68"/>
        <v>0</v>
      </c>
      <c r="N101">
        <f t="shared" si="68"/>
        <v>0</v>
      </c>
      <c r="O101">
        <f t="shared" si="68"/>
        <v>0</v>
      </c>
      <c r="P101">
        <f t="shared" si="63"/>
        <v>74.239999999999995</v>
      </c>
      <c r="Q101">
        <f t="shared" si="69"/>
        <v>0</v>
      </c>
      <c r="R101">
        <f t="shared" si="69"/>
        <v>0</v>
      </c>
      <c r="S101">
        <f t="shared" si="69"/>
        <v>0</v>
      </c>
      <c r="T101">
        <f t="shared" si="69"/>
        <v>0</v>
      </c>
      <c r="U101">
        <f t="shared" si="69"/>
        <v>0</v>
      </c>
      <c r="V101">
        <f t="shared" si="69"/>
        <v>0</v>
      </c>
      <c r="W101">
        <f t="shared" si="69"/>
        <v>0</v>
      </c>
      <c r="X101">
        <f t="shared" si="69"/>
        <v>0</v>
      </c>
      <c r="Y101">
        <f t="shared" si="69"/>
        <v>0.23</v>
      </c>
      <c r="Z101">
        <f t="shared" si="74"/>
        <v>0</v>
      </c>
      <c r="AA101">
        <f t="shared" si="74"/>
        <v>0</v>
      </c>
      <c r="AB101">
        <f t="shared" si="74"/>
        <v>0</v>
      </c>
      <c r="AC101">
        <f>D101-AR101</f>
        <v>74.009999999999991</v>
      </c>
      <c r="AD101">
        <f>AU49</f>
        <v>0</v>
      </c>
      <c r="AE101">
        <f t="shared" si="70"/>
        <v>0</v>
      </c>
      <c r="AF101">
        <f t="shared" si="70"/>
        <v>0</v>
      </c>
      <c r="AG101">
        <f t="shared" si="70"/>
        <v>0</v>
      </c>
      <c r="AH101">
        <f t="shared" si="70"/>
        <v>0</v>
      </c>
      <c r="AI101">
        <f t="shared" si="70"/>
        <v>0</v>
      </c>
      <c r="AJ101">
        <f t="shared" si="70"/>
        <v>0</v>
      </c>
      <c r="AK101">
        <f t="shared" si="70"/>
        <v>0</v>
      </c>
      <c r="AL101">
        <f t="shared" si="70"/>
        <v>0</v>
      </c>
      <c r="AM101">
        <f t="shared" si="70"/>
        <v>0</v>
      </c>
      <c r="AN101">
        <f t="shared" si="70"/>
        <v>0</v>
      </c>
      <c r="AO101">
        <f t="shared" si="70"/>
        <v>0</v>
      </c>
      <c r="AP101">
        <f t="shared" si="70"/>
        <v>0</v>
      </c>
      <c r="AQ101">
        <f t="shared" si="70"/>
        <v>0</v>
      </c>
      <c r="AR101">
        <f>E101+Q101+R101+S101+T101+U101+V101+W101+X101+Y101+Z101+AA101+AB101+AD101+AE101+AF101+AG101+AH101+AI101+AJ101+AK101+AL101+AM101+AN101+AO101+AP101+AQ101</f>
        <v>0.23</v>
      </c>
      <c r="AS101">
        <f>D101+AC116-AR101</f>
        <v>76.69</v>
      </c>
    </row>
    <row r="102" spans="1:45" ht="20.25" customHeight="1">
      <c r="A102" t="s">
        <v>85</v>
      </c>
      <c r="B102" t="s">
        <v>86</v>
      </c>
      <c r="C102" s="105" t="s">
        <v>87</v>
      </c>
      <c r="D102">
        <f t="shared" si="71"/>
        <v>0</v>
      </c>
      <c r="E102">
        <f t="shared" si="39"/>
        <v>0</v>
      </c>
      <c r="F102">
        <f t="shared" si="72"/>
        <v>0</v>
      </c>
      <c r="G102">
        <f t="shared" si="72"/>
        <v>0</v>
      </c>
      <c r="H102">
        <f t="shared" si="73"/>
        <v>0</v>
      </c>
      <c r="I102">
        <f t="shared" si="73"/>
        <v>0</v>
      </c>
      <c r="J102">
        <f t="shared" si="68"/>
        <v>0</v>
      </c>
      <c r="K102">
        <f t="shared" si="68"/>
        <v>0</v>
      </c>
      <c r="L102">
        <f t="shared" si="68"/>
        <v>0</v>
      </c>
      <c r="M102">
        <f t="shared" si="68"/>
        <v>0</v>
      </c>
      <c r="N102">
        <f t="shared" si="68"/>
        <v>0</v>
      </c>
      <c r="O102">
        <f t="shared" si="68"/>
        <v>0</v>
      </c>
      <c r="P102">
        <f t="shared" si="63"/>
        <v>0</v>
      </c>
      <c r="Q102">
        <f t="shared" si="69"/>
        <v>0</v>
      </c>
      <c r="R102">
        <f t="shared" si="69"/>
        <v>0</v>
      </c>
      <c r="S102">
        <f t="shared" si="69"/>
        <v>0</v>
      </c>
      <c r="T102">
        <f t="shared" si="69"/>
        <v>0</v>
      </c>
      <c r="U102">
        <f t="shared" si="69"/>
        <v>0</v>
      </c>
      <c r="V102">
        <f t="shared" si="69"/>
        <v>0</v>
      </c>
      <c r="W102">
        <f t="shared" si="69"/>
        <v>0</v>
      </c>
      <c r="X102">
        <f t="shared" si="69"/>
        <v>0</v>
      </c>
      <c r="Y102">
        <f t="shared" si="69"/>
        <v>0</v>
      </c>
      <c r="Z102">
        <f t="shared" si="74"/>
        <v>0</v>
      </c>
      <c r="AA102">
        <f t="shared" si="74"/>
        <v>0</v>
      </c>
      <c r="AB102">
        <f t="shared" si="74"/>
        <v>0</v>
      </c>
      <c r="AC102">
        <f t="shared" si="74"/>
        <v>0</v>
      </c>
      <c r="AD102">
        <f>D102-AR102</f>
        <v>0</v>
      </c>
      <c r="AE102">
        <f>AV50</f>
        <v>0</v>
      </c>
      <c r="AF102">
        <f t="shared" si="70"/>
        <v>0</v>
      </c>
      <c r="AG102">
        <f t="shared" si="70"/>
        <v>0</v>
      </c>
      <c r="AH102">
        <f t="shared" si="70"/>
        <v>0</v>
      </c>
      <c r="AI102">
        <f t="shared" si="70"/>
        <v>0</v>
      </c>
      <c r="AJ102">
        <f t="shared" si="70"/>
        <v>0</v>
      </c>
      <c r="AK102">
        <f t="shared" si="70"/>
        <v>0</v>
      </c>
      <c r="AL102">
        <f t="shared" si="70"/>
        <v>0</v>
      </c>
      <c r="AM102">
        <f t="shared" si="70"/>
        <v>0</v>
      </c>
      <c r="AN102">
        <f t="shared" si="70"/>
        <v>0</v>
      </c>
      <c r="AO102">
        <f t="shared" si="70"/>
        <v>0</v>
      </c>
      <c r="AP102">
        <f t="shared" si="70"/>
        <v>0</v>
      </c>
      <c r="AQ102">
        <f t="shared" si="70"/>
        <v>0</v>
      </c>
      <c r="AR102">
        <f>E102+Q102+R102+S102+T102+U102+V102+W102+X102+Y102+Z102+AA102+AB102+AC102+AE102+AF102+AG102+AH102+AI102+AJ102+AK102+AL102+AM102+AN102+AO102+AP102+AQ102</f>
        <v>0</v>
      </c>
      <c r="AS102">
        <f>D102+AD116-AR102</f>
        <v>0</v>
      </c>
    </row>
    <row r="103" spans="1:45" ht="20.25" customHeight="1">
      <c r="A103" t="s">
        <v>88</v>
      </c>
      <c r="B103" t="s">
        <v>89</v>
      </c>
      <c r="C103" s="105" t="s">
        <v>90</v>
      </c>
      <c r="D103">
        <f t="shared" si="71"/>
        <v>1.1599999999999999</v>
      </c>
      <c r="E103">
        <f t="shared" si="39"/>
        <v>0</v>
      </c>
      <c r="F103">
        <f t="shared" si="72"/>
        <v>0</v>
      </c>
      <c r="G103">
        <f t="shared" si="72"/>
        <v>0</v>
      </c>
      <c r="H103">
        <f t="shared" si="73"/>
        <v>0</v>
      </c>
      <c r="I103">
        <f t="shared" si="73"/>
        <v>0</v>
      </c>
      <c r="J103">
        <f t="shared" si="68"/>
        <v>0</v>
      </c>
      <c r="K103">
        <f t="shared" si="68"/>
        <v>0</v>
      </c>
      <c r="L103">
        <f t="shared" si="68"/>
        <v>0</v>
      </c>
      <c r="M103">
        <f t="shared" si="68"/>
        <v>0</v>
      </c>
      <c r="N103">
        <f t="shared" si="68"/>
        <v>0</v>
      </c>
      <c r="O103">
        <f t="shared" si="68"/>
        <v>0</v>
      </c>
      <c r="P103">
        <f t="shared" si="63"/>
        <v>1.1599999999999999</v>
      </c>
      <c r="Q103">
        <f t="shared" si="69"/>
        <v>0</v>
      </c>
      <c r="R103">
        <f t="shared" si="69"/>
        <v>0</v>
      </c>
      <c r="S103">
        <f t="shared" si="69"/>
        <v>0</v>
      </c>
      <c r="T103">
        <f t="shared" si="69"/>
        <v>0</v>
      </c>
      <c r="U103">
        <f t="shared" si="69"/>
        <v>0</v>
      </c>
      <c r="V103">
        <f t="shared" si="69"/>
        <v>0</v>
      </c>
      <c r="W103">
        <f t="shared" si="69"/>
        <v>0</v>
      </c>
      <c r="X103">
        <f t="shared" si="69"/>
        <v>0</v>
      </c>
      <c r="Y103">
        <f t="shared" si="69"/>
        <v>0</v>
      </c>
      <c r="Z103">
        <f t="shared" si="74"/>
        <v>0</v>
      </c>
      <c r="AA103">
        <f t="shared" si="74"/>
        <v>0</v>
      </c>
      <c r="AB103">
        <f t="shared" si="74"/>
        <v>0</v>
      </c>
      <c r="AC103">
        <f t="shared" si="74"/>
        <v>0</v>
      </c>
      <c r="AD103">
        <f t="shared" si="74"/>
        <v>0</v>
      </c>
      <c r="AE103">
        <f>D103-AR103</f>
        <v>1.1599999999999999</v>
      </c>
      <c r="AF103">
        <f>AW51</f>
        <v>0</v>
      </c>
      <c r="AG103">
        <f t="shared" si="70"/>
        <v>0</v>
      </c>
      <c r="AH103">
        <f t="shared" si="70"/>
        <v>0</v>
      </c>
      <c r="AI103">
        <f t="shared" si="70"/>
        <v>0</v>
      </c>
      <c r="AJ103">
        <f t="shared" si="70"/>
        <v>0</v>
      </c>
      <c r="AK103">
        <f t="shared" si="70"/>
        <v>0</v>
      </c>
      <c r="AL103">
        <f t="shared" si="70"/>
        <v>0</v>
      </c>
      <c r="AM103">
        <f t="shared" si="70"/>
        <v>0</v>
      </c>
      <c r="AN103">
        <f t="shared" si="70"/>
        <v>0</v>
      </c>
      <c r="AO103">
        <f t="shared" si="70"/>
        <v>0</v>
      </c>
      <c r="AP103">
        <f t="shared" si="70"/>
        <v>0</v>
      </c>
      <c r="AQ103">
        <f t="shared" si="70"/>
        <v>0</v>
      </c>
      <c r="AR103">
        <f>E103+Q103+R103+S103+T103+U103+V103+W103+X103+Y103+Z103+AA103+AB103+AC103+AD103+AF103+AG103+AH103+AI103+AJ103+AK103+AL103+AM103+AN103+AO103+AP103+AQ103</f>
        <v>0</v>
      </c>
      <c r="AS103">
        <f>D103+AE116-AR103</f>
        <v>1.1599999999999999</v>
      </c>
    </row>
    <row r="104" spans="1:45" ht="37.5" customHeight="1">
      <c r="A104" t="s">
        <v>91</v>
      </c>
      <c r="B104" t="s">
        <v>92</v>
      </c>
      <c r="C104" s="105" t="s">
        <v>93</v>
      </c>
      <c r="D104">
        <f t="shared" si="71"/>
        <v>0</v>
      </c>
      <c r="E104">
        <f t="shared" si="39"/>
        <v>0</v>
      </c>
      <c r="F104">
        <f t="shared" si="72"/>
        <v>0</v>
      </c>
      <c r="G104">
        <f t="shared" si="72"/>
        <v>0</v>
      </c>
      <c r="H104">
        <f t="shared" si="73"/>
        <v>0</v>
      </c>
      <c r="I104">
        <f t="shared" si="73"/>
        <v>0</v>
      </c>
      <c r="J104">
        <f t="shared" si="68"/>
        <v>0</v>
      </c>
      <c r="K104">
        <f t="shared" si="68"/>
        <v>0</v>
      </c>
      <c r="L104">
        <f t="shared" si="68"/>
        <v>0</v>
      </c>
      <c r="M104">
        <f t="shared" si="68"/>
        <v>0</v>
      </c>
      <c r="N104">
        <f t="shared" si="68"/>
        <v>0</v>
      </c>
      <c r="O104">
        <f t="shared" si="68"/>
        <v>0</v>
      </c>
      <c r="P104">
        <f t="shared" si="63"/>
        <v>0</v>
      </c>
      <c r="Q104">
        <f t="shared" si="69"/>
        <v>0</v>
      </c>
      <c r="R104">
        <f t="shared" si="69"/>
        <v>0</v>
      </c>
      <c r="S104">
        <f t="shared" si="69"/>
        <v>0</v>
      </c>
      <c r="T104">
        <f t="shared" si="69"/>
        <v>0</v>
      </c>
      <c r="U104">
        <f t="shared" si="69"/>
        <v>0</v>
      </c>
      <c r="V104">
        <f t="shared" si="69"/>
        <v>0</v>
      </c>
      <c r="W104">
        <f t="shared" si="69"/>
        <v>0</v>
      </c>
      <c r="X104">
        <f t="shared" si="69"/>
        <v>0</v>
      </c>
      <c r="Y104">
        <f t="shared" si="69"/>
        <v>0</v>
      </c>
      <c r="Z104">
        <f t="shared" si="74"/>
        <v>0</v>
      </c>
      <c r="AA104">
        <f t="shared" si="74"/>
        <v>0</v>
      </c>
      <c r="AB104">
        <f t="shared" si="74"/>
        <v>0</v>
      </c>
      <c r="AC104">
        <f t="shared" si="74"/>
        <v>0</v>
      </c>
      <c r="AD104">
        <f t="shared" si="74"/>
        <v>0</v>
      </c>
      <c r="AE104">
        <f t="shared" si="74"/>
        <v>0</v>
      </c>
      <c r="AF104">
        <f>D104-AR104</f>
        <v>0</v>
      </c>
      <c r="AG104">
        <f>AX52</f>
        <v>0</v>
      </c>
      <c r="AH104">
        <f t="shared" si="70"/>
        <v>0</v>
      </c>
      <c r="AI104">
        <f t="shared" si="70"/>
        <v>0</v>
      </c>
      <c r="AJ104">
        <f t="shared" si="70"/>
        <v>0</v>
      </c>
      <c r="AK104">
        <f t="shared" si="70"/>
        <v>0</v>
      </c>
      <c r="AL104">
        <f t="shared" si="70"/>
        <v>0</v>
      </c>
      <c r="AM104">
        <f t="shared" si="70"/>
        <v>0</v>
      </c>
      <c r="AN104">
        <f t="shared" si="70"/>
        <v>0</v>
      </c>
      <c r="AO104">
        <f t="shared" si="70"/>
        <v>0</v>
      </c>
      <c r="AP104">
        <f t="shared" si="70"/>
        <v>0</v>
      </c>
      <c r="AQ104">
        <f t="shared" si="70"/>
        <v>0</v>
      </c>
      <c r="AR104">
        <f>E104+Q104+R104+S104+T104+U104+V104+W104+X104+Y104+Z104+AA104+AB104+AC104+AD104+AE104+AG104+AH104+AI104+AJ104+AK104+AL104+AM104+AN104+AO104+AP104+AQ104</f>
        <v>0</v>
      </c>
      <c r="AS104">
        <f>D104+AF116-AR104</f>
        <v>0</v>
      </c>
    </row>
    <row r="105" spans="1:45" ht="20.25" customHeight="1">
      <c r="A105" t="s">
        <v>94</v>
      </c>
      <c r="B105" t="s">
        <v>95</v>
      </c>
      <c r="C105" s="105" t="s">
        <v>96</v>
      </c>
      <c r="D105">
        <f t="shared" si="71"/>
        <v>0</v>
      </c>
      <c r="E105">
        <f t="shared" si="39"/>
        <v>0</v>
      </c>
      <c r="F105">
        <f t="shared" si="72"/>
        <v>0</v>
      </c>
      <c r="G105">
        <f t="shared" si="72"/>
        <v>0</v>
      </c>
      <c r="H105">
        <f t="shared" si="73"/>
        <v>0</v>
      </c>
      <c r="I105">
        <f t="shared" si="73"/>
        <v>0</v>
      </c>
      <c r="J105">
        <f t="shared" si="68"/>
        <v>0</v>
      </c>
      <c r="K105">
        <f t="shared" si="68"/>
        <v>0</v>
      </c>
      <c r="L105">
        <f t="shared" si="68"/>
        <v>0</v>
      </c>
      <c r="M105">
        <f t="shared" si="68"/>
        <v>0</v>
      </c>
      <c r="N105">
        <f t="shared" si="68"/>
        <v>0</v>
      </c>
      <c r="O105">
        <f t="shared" si="68"/>
        <v>0</v>
      </c>
      <c r="P105">
        <f t="shared" si="63"/>
        <v>0</v>
      </c>
      <c r="Q105">
        <f t="shared" si="69"/>
        <v>0</v>
      </c>
      <c r="R105">
        <f t="shared" si="69"/>
        <v>0</v>
      </c>
      <c r="S105">
        <f t="shared" si="69"/>
        <v>0</v>
      </c>
      <c r="T105">
        <f t="shared" si="69"/>
        <v>0</v>
      </c>
      <c r="U105">
        <f t="shared" si="69"/>
        <v>0</v>
      </c>
      <c r="V105">
        <f t="shared" si="69"/>
        <v>0</v>
      </c>
      <c r="W105">
        <f t="shared" si="69"/>
        <v>0</v>
      </c>
      <c r="X105">
        <f t="shared" si="69"/>
        <v>0</v>
      </c>
      <c r="Y105">
        <f t="shared" si="69"/>
        <v>0</v>
      </c>
      <c r="Z105">
        <f t="shared" si="74"/>
        <v>0</v>
      </c>
      <c r="AA105">
        <f t="shared" si="74"/>
        <v>0</v>
      </c>
      <c r="AB105">
        <f t="shared" si="74"/>
        <v>0</v>
      </c>
      <c r="AC105">
        <f t="shared" si="74"/>
        <v>0</v>
      </c>
      <c r="AD105">
        <f t="shared" si="74"/>
        <v>0</v>
      </c>
      <c r="AE105">
        <f t="shared" si="74"/>
        <v>0</v>
      </c>
      <c r="AF105">
        <f t="shared" si="74"/>
        <v>0</v>
      </c>
      <c r="AG105">
        <f>D105-AR105</f>
        <v>0</v>
      </c>
      <c r="AH105">
        <f>AY53</f>
        <v>0</v>
      </c>
      <c r="AI105">
        <f t="shared" si="70"/>
        <v>0</v>
      </c>
      <c r="AJ105">
        <f t="shared" si="70"/>
        <v>0</v>
      </c>
      <c r="AK105">
        <f t="shared" si="70"/>
        <v>0</v>
      </c>
      <c r="AL105">
        <f t="shared" si="70"/>
        <v>0</v>
      </c>
      <c r="AM105">
        <f t="shared" si="70"/>
        <v>0</v>
      </c>
      <c r="AN105">
        <f t="shared" si="70"/>
        <v>0</v>
      </c>
      <c r="AO105">
        <f t="shared" si="70"/>
        <v>0</v>
      </c>
      <c r="AP105">
        <f t="shared" si="70"/>
        <v>0</v>
      </c>
      <c r="AQ105">
        <f t="shared" si="70"/>
        <v>0</v>
      </c>
      <c r="AR105">
        <f>E105+Q105+R105+S105+T105+U105+V105+W105+X105+Y105+Z105+AA105+AB105+AC105+AD105+AE105+AF105+AH105+AI105+AJ105+AK105+AL105+AM105+AN105+AO105+AP105+AQ105</f>
        <v>0</v>
      </c>
      <c r="AS105">
        <f>D105+AG116-AR105</f>
        <v>0</v>
      </c>
    </row>
    <row r="106" spans="1:45" ht="20.25" customHeight="1">
      <c r="A106" t="s">
        <v>97</v>
      </c>
      <c r="B106" t="s">
        <v>98</v>
      </c>
      <c r="C106" s="105" t="s">
        <v>99</v>
      </c>
      <c r="D106">
        <f t="shared" si="71"/>
        <v>2.3199999999999998</v>
      </c>
      <c r="E106">
        <f t="shared" si="39"/>
        <v>0</v>
      </c>
      <c r="F106">
        <f t="shared" si="72"/>
        <v>0</v>
      </c>
      <c r="G106">
        <f t="shared" si="72"/>
        <v>0</v>
      </c>
      <c r="H106">
        <f t="shared" si="73"/>
        <v>0</v>
      </c>
      <c r="I106">
        <f t="shared" si="73"/>
        <v>0</v>
      </c>
      <c r="J106">
        <f t="shared" si="68"/>
        <v>0</v>
      </c>
      <c r="K106">
        <f t="shared" si="68"/>
        <v>0</v>
      </c>
      <c r="L106">
        <f t="shared" si="68"/>
        <v>0</v>
      </c>
      <c r="M106">
        <f t="shared" si="68"/>
        <v>0</v>
      </c>
      <c r="N106">
        <f t="shared" si="68"/>
        <v>0</v>
      </c>
      <c r="O106">
        <f t="shared" si="68"/>
        <v>0</v>
      </c>
      <c r="P106">
        <f t="shared" si="63"/>
        <v>2.3199999999999998</v>
      </c>
      <c r="Q106">
        <f t="shared" si="69"/>
        <v>0</v>
      </c>
      <c r="R106">
        <f t="shared" si="69"/>
        <v>0</v>
      </c>
      <c r="S106">
        <f t="shared" si="69"/>
        <v>0</v>
      </c>
      <c r="T106">
        <f t="shared" si="69"/>
        <v>0</v>
      </c>
      <c r="U106">
        <f t="shared" si="69"/>
        <v>0</v>
      </c>
      <c r="V106">
        <f t="shared" si="69"/>
        <v>0</v>
      </c>
      <c r="W106">
        <f t="shared" si="69"/>
        <v>0</v>
      </c>
      <c r="X106">
        <f t="shared" si="69"/>
        <v>0</v>
      </c>
      <c r="Y106">
        <f t="shared" si="69"/>
        <v>0</v>
      </c>
      <c r="Z106">
        <f t="shared" si="74"/>
        <v>0</v>
      </c>
      <c r="AA106">
        <f t="shared" si="74"/>
        <v>0</v>
      </c>
      <c r="AB106">
        <f t="shared" si="74"/>
        <v>0</v>
      </c>
      <c r="AC106">
        <f t="shared" si="74"/>
        <v>0</v>
      </c>
      <c r="AD106">
        <f t="shared" si="74"/>
        <v>0</v>
      </c>
      <c r="AE106">
        <f t="shared" si="74"/>
        <v>0</v>
      </c>
      <c r="AF106">
        <f t="shared" si="74"/>
        <v>0</v>
      </c>
      <c r="AG106">
        <f t="shared" si="74"/>
        <v>0</v>
      </c>
      <c r="AH106">
        <f>D106-AR106</f>
        <v>2.3199999999999998</v>
      </c>
      <c r="AI106">
        <f>AZ54</f>
        <v>0</v>
      </c>
      <c r="AJ106">
        <f t="shared" si="70"/>
        <v>0</v>
      </c>
      <c r="AK106">
        <f t="shared" si="70"/>
        <v>0</v>
      </c>
      <c r="AL106">
        <f t="shared" si="70"/>
        <v>0</v>
      </c>
      <c r="AM106">
        <f t="shared" si="70"/>
        <v>0</v>
      </c>
      <c r="AN106">
        <f t="shared" si="70"/>
        <v>0</v>
      </c>
      <c r="AO106">
        <f t="shared" si="70"/>
        <v>0</v>
      </c>
      <c r="AP106">
        <f t="shared" si="70"/>
        <v>0</v>
      </c>
      <c r="AQ106">
        <f t="shared" si="70"/>
        <v>0</v>
      </c>
      <c r="AR106">
        <f>E106+Q106+R106+S106+T106+U106+V106+W106+X106+Y106+Z106+AA106+AB106+AC106+AD106+AE106+AF106+AG106+AI106+AJ106+AK106+AL106+AM106+AN106+AO106+AP106+AQ106</f>
        <v>0</v>
      </c>
      <c r="AS106">
        <f>D106+AH116-AR106</f>
        <v>2.3199999999999998</v>
      </c>
    </row>
    <row r="107" spans="1:45" ht="31.5" customHeight="1">
      <c r="A107" t="s">
        <v>100</v>
      </c>
      <c r="B107" t="s">
        <v>134</v>
      </c>
      <c r="C107" s="105" t="s">
        <v>101</v>
      </c>
      <c r="D107">
        <f t="shared" si="71"/>
        <v>31</v>
      </c>
      <c r="E107">
        <f t="shared" si="39"/>
        <v>0</v>
      </c>
      <c r="F107">
        <f t="shared" si="72"/>
        <v>0</v>
      </c>
      <c r="G107">
        <f t="shared" si="72"/>
        <v>0</v>
      </c>
      <c r="H107">
        <f t="shared" si="73"/>
        <v>0</v>
      </c>
      <c r="I107">
        <f t="shared" si="73"/>
        <v>0</v>
      </c>
      <c r="J107">
        <f t="shared" si="68"/>
        <v>0</v>
      </c>
      <c r="K107">
        <f t="shared" si="68"/>
        <v>0</v>
      </c>
      <c r="L107">
        <f t="shared" si="68"/>
        <v>0</v>
      </c>
      <c r="M107">
        <f t="shared" si="68"/>
        <v>0</v>
      </c>
      <c r="N107">
        <f t="shared" si="68"/>
        <v>0</v>
      </c>
      <c r="O107">
        <f t="shared" si="68"/>
        <v>0</v>
      </c>
      <c r="P107">
        <f t="shared" si="63"/>
        <v>31</v>
      </c>
      <c r="Q107">
        <f t="shared" si="69"/>
        <v>0</v>
      </c>
      <c r="R107">
        <f t="shared" si="69"/>
        <v>0</v>
      </c>
      <c r="S107">
        <f t="shared" si="69"/>
        <v>0</v>
      </c>
      <c r="T107">
        <f t="shared" si="69"/>
        <v>0</v>
      </c>
      <c r="U107">
        <f t="shared" si="69"/>
        <v>0</v>
      </c>
      <c r="V107">
        <f t="shared" si="69"/>
        <v>0</v>
      </c>
      <c r="W107">
        <f t="shared" si="69"/>
        <v>0</v>
      </c>
      <c r="X107">
        <f t="shared" si="69"/>
        <v>0</v>
      </c>
      <c r="Y107">
        <f t="shared" si="69"/>
        <v>0.49</v>
      </c>
      <c r="Z107">
        <f t="shared" si="74"/>
        <v>0</v>
      </c>
      <c r="AA107">
        <f t="shared" si="74"/>
        <v>0</v>
      </c>
      <c r="AB107">
        <f t="shared" si="74"/>
        <v>0</v>
      </c>
      <c r="AC107">
        <f t="shared" si="74"/>
        <v>0</v>
      </c>
      <c r="AD107">
        <f t="shared" si="74"/>
        <v>0</v>
      </c>
      <c r="AE107">
        <f t="shared" si="74"/>
        <v>0</v>
      </c>
      <c r="AF107">
        <f t="shared" si="74"/>
        <v>0</v>
      </c>
      <c r="AG107">
        <f t="shared" si="74"/>
        <v>0</v>
      </c>
      <c r="AH107">
        <f t="shared" si="74"/>
        <v>0</v>
      </c>
      <c r="AI107">
        <f>D107-AR107</f>
        <v>30.51</v>
      </c>
      <c r="AJ107">
        <f>BA55</f>
        <v>0</v>
      </c>
      <c r="AK107">
        <f t="shared" si="70"/>
        <v>0</v>
      </c>
      <c r="AL107">
        <f t="shared" si="70"/>
        <v>0</v>
      </c>
      <c r="AM107">
        <f t="shared" si="70"/>
        <v>0</v>
      </c>
      <c r="AN107">
        <f t="shared" si="70"/>
        <v>0</v>
      </c>
      <c r="AO107">
        <f t="shared" si="70"/>
        <v>0</v>
      </c>
      <c r="AP107">
        <f t="shared" si="70"/>
        <v>0</v>
      </c>
      <c r="AQ107">
        <f t="shared" si="70"/>
        <v>0</v>
      </c>
      <c r="AR107">
        <f>E107+Q107+R107+S107+T107+U107+V107+W107+X107+Y107+Z107+AA107+AB107+AC107+AD107+AE107+AF107+AG107+AH107+AJ107+AK107+AL107+AM107+AN107+AO107+AP107+AQ107</f>
        <v>0.49</v>
      </c>
      <c r="AS107">
        <f>D107+AI116-AR107</f>
        <v>30.51</v>
      </c>
    </row>
    <row r="108" spans="1:45" ht="20.25" customHeight="1">
      <c r="A108" t="s">
        <v>102</v>
      </c>
      <c r="B108" t="s">
        <v>103</v>
      </c>
      <c r="C108" s="105" t="s">
        <v>104</v>
      </c>
      <c r="D108">
        <f t="shared" si="71"/>
        <v>2.3199999999999998</v>
      </c>
      <c r="E108">
        <f t="shared" si="39"/>
        <v>0</v>
      </c>
      <c r="F108">
        <f t="shared" si="72"/>
        <v>0</v>
      </c>
      <c r="G108">
        <f t="shared" si="72"/>
        <v>0</v>
      </c>
      <c r="H108">
        <f t="shared" si="73"/>
        <v>0</v>
      </c>
      <c r="I108">
        <f t="shared" si="73"/>
        <v>0</v>
      </c>
      <c r="J108">
        <f t="shared" si="68"/>
        <v>0</v>
      </c>
      <c r="K108">
        <f t="shared" si="68"/>
        <v>0</v>
      </c>
      <c r="L108">
        <f t="shared" si="68"/>
        <v>0</v>
      </c>
      <c r="M108">
        <f t="shared" si="68"/>
        <v>0</v>
      </c>
      <c r="N108">
        <f t="shared" si="68"/>
        <v>0</v>
      </c>
      <c r="O108">
        <f t="shared" si="68"/>
        <v>0</v>
      </c>
      <c r="P108">
        <f t="shared" si="63"/>
        <v>2.3199999999999998</v>
      </c>
      <c r="Q108">
        <f t="shared" si="69"/>
        <v>0</v>
      </c>
      <c r="R108">
        <f t="shared" si="69"/>
        <v>0</v>
      </c>
      <c r="S108">
        <f t="shared" si="69"/>
        <v>0</v>
      </c>
      <c r="T108">
        <f t="shared" si="69"/>
        <v>0</v>
      </c>
      <c r="U108">
        <f t="shared" si="69"/>
        <v>0</v>
      </c>
      <c r="V108">
        <f t="shared" si="69"/>
        <v>0</v>
      </c>
      <c r="W108">
        <f t="shared" si="69"/>
        <v>0</v>
      </c>
      <c r="X108">
        <f t="shared" si="69"/>
        <v>0</v>
      </c>
      <c r="Y108">
        <f t="shared" si="69"/>
        <v>0</v>
      </c>
      <c r="Z108">
        <f t="shared" si="74"/>
        <v>0</v>
      </c>
      <c r="AA108">
        <f t="shared" si="74"/>
        <v>0</v>
      </c>
      <c r="AB108">
        <f t="shared" si="74"/>
        <v>0</v>
      </c>
      <c r="AC108">
        <f t="shared" si="74"/>
        <v>0</v>
      </c>
      <c r="AD108">
        <f t="shared" si="74"/>
        <v>0</v>
      </c>
      <c r="AE108">
        <f t="shared" si="74"/>
        <v>0</v>
      </c>
      <c r="AF108">
        <f t="shared" si="74"/>
        <v>0</v>
      </c>
      <c r="AG108">
        <f t="shared" si="74"/>
        <v>0</v>
      </c>
      <c r="AH108">
        <f t="shared" si="74"/>
        <v>0</v>
      </c>
      <c r="AI108">
        <f t="shared" si="74"/>
        <v>0</v>
      </c>
      <c r="AJ108">
        <f>D108-AR108</f>
        <v>2.3199999999999998</v>
      </c>
      <c r="AK108">
        <f>BB56</f>
        <v>0</v>
      </c>
      <c r="AL108">
        <f t="shared" si="70"/>
        <v>0</v>
      </c>
      <c r="AM108">
        <f t="shared" si="70"/>
        <v>0</v>
      </c>
      <c r="AN108">
        <f t="shared" si="70"/>
        <v>0</v>
      </c>
      <c r="AO108">
        <f t="shared" si="70"/>
        <v>0</v>
      </c>
      <c r="AP108">
        <f t="shared" si="70"/>
        <v>0</v>
      </c>
      <c r="AQ108">
        <f t="shared" si="70"/>
        <v>0</v>
      </c>
      <c r="AR108">
        <f>E108+Q108+R108+S108+T108+U108+V108+W108+X108+Y108+Z108+AA108+AB108+AC108+AD108+AE108+AF108+AG108+AH108+AI108+AK108+AL108+AM108+AN108+AO108+AP108+AQ108</f>
        <v>0</v>
      </c>
      <c r="AS108">
        <f>D108+AJ116-AR108</f>
        <v>2.3199999999999998</v>
      </c>
    </row>
    <row r="109" spans="1:45" ht="20.25" customHeight="1">
      <c r="A109" t="s">
        <v>105</v>
      </c>
      <c r="B109" t="s">
        <v>106</v>
      </c>
      <c r="C109" s="105" t="s">
        <v>107</v>
      </c>
      <c r="D109">
        <f t="shared" si="71"/>
        <v>1.1499999999999999</v>
      </c>
      <c r="E109">
        <f t="shared" si="39"/>
        <v>0</v>
      </c>
      <c r="F109">
        <f t="shared" si="72"/>
        <v>0</v>
      </c>
      <c r="G109">
        <f t="shared" si="72"/>
        <v>0</v>
      </c>
      <c r="H109">
        <f t="shared" si="73"/>
        <v>0</v>
      </c>
      <c r="I109">
        <f t="shared" si="73"/>
        <v>0</v>
      </c>
      <c r="J109">
        <f t="shared" si="68"/>
        <v>0</v>
      </c>
      <c r="K109">
        <f t="shared" si="68"/>
        <v>0</v>
      </c>
      <c r="L109">
        <f t="shared" si="68"/>
        <v>0</v>
      </c>
      <c r="M109">
        <f t="shared" si="68"/>
        <v>0</v>
      </c>
      <c r="N109">
        <f t="shared" si="68"/>
        <v>0</v>
      </c>
      <c r="O109">
        <f t="shared" si="68"/>
        <v>0</v>
      </c>
      <c r="P109">
        <f t="shared" si="63"/>
        <v>1.1499999999999999</v>
      </c>
      <c r="Q109">
        <f t="shared" si="69"/>
        <v>0</v>
      </c>
      <c r="R109">
        <f t="shared" si="69"/>
        <v>0</v>
      </c>
      <c r="S109">
        <f t="shared" si="69"/>
        <v>0</v>
      </c>
      <c r="T109">
        <f t="shared" si="69"/>
        <v>0</v>
      </c>
      <c r="U109">
        <f t="shared" si="69"/>
        <v>0</v>
      </c>
      <c r="V109">
        <f t="shared" si="69"/>
        <v>0</v>
      </c>
      <c r="W109">
        <f t="shared" si="69"/>
        <v>0</v>
      </c>
      <c r="X109">
        <f t="shared" si="69"/>
        <v>0</v>
      </c>
      <c r="Y109">
        <f t="shared" si="69"/>
        <v>0</v>
      </c>
      <c r="Z109">
        <f t="shared" si="74"/>
        <v>0</v>
      </c>
      <c r="AA109">
        <f t="shared" si="74"/>
        <v>0</v>
      </c>
      <c r="AB109">
        <f t="shared" si="74"/>
        <v>0</v>
      </c>
      <c r="AC109">
        <f t="shared" si="74"/>
        <v>0</v>
      </c>
      <c r="AD109">
        <f t="shared" si="74"/>
        <v>0</v>
      </c>
      <c r="AE109">
        <f t="shared" si="74"/>
        <v>0</v>
      </c>
      <c r="AF109">
        <f t="shared" si="74"/>
        <v>0</v>
      </c>
      <c r="AG109">
        <f t="shared" si="74"/>
        <v>0</v>
      </c>
      <c r="AH109">
        <f t="shared" si="74"/>
        <v>0</v>
      </c>
      <c r="AI109">
        <f t="shared" si="74"/>
        <v>0</v>
      </c>
      <c r="AJ109">
        <f t="shared" si="74"/>
        <v>0</v>
      </c>
      <c r="AK109">
        <f>D109-AR109</f>
        <v>1.1499999999999999</v>
      </c>
      <c r="AL109">
        <f t="shared" si="70"/>
        <v>0</v>
      </c>
      <c r="AM109">
        <f t="shared" si="70"/>
        <v>0</v>
      </c>
      <c r="AN109">
        <f t="shared" si="70"/>
        <v>0</v>
      </c>
      <c r="AO109">
        <f t="shared" si="70"/>
        <v>0</v>
      </c>
      <c r="AP109">
        <f t="shared" si="70"/>
        <v>0</v>
      </c>
      <c r="AQ109">
        <f t="shared" si="70"/>
        <v>0</v>
      </c>
      <c r="AR109">
        <f>E109+Q109+R109+S109+T109+U109+V109+W109+X109+Y109+Z109+AA109+AB109+AC109+AD109+AE109+AF109+AG109+AH109+AI109+AJ109+AL109+AM109+AN109+AO109+AP109+AQ109</f>
        <v>0</v>
      </c>
      <c r="AS109">
        <f>D109+AK116-AR109</f>
        <v>1.1499999999999999</v>
      </c>
    </row>
    <row r="110" spans="1:45" ht="20.25" customHeight="1">
      <c r="A110" t="s">
        <v>108</v>
      </c>
      <c r="B110" t="s">
        <v>109</v>
      </c>
      <c r="C110" s="105" t="s">
        <v>110</v>
      </c>
      <c r="D110">
        <f t="shared" si="71"/>
        <v>1.71</v>
      </c>
      <c r="E110">
        <f t="shared" si="39"/>
        <v>0</v>
      </c>
      <c r="F110">
        <f t="shared" si="72"/>
        <v>0</v>
      </c>
      <c r="G110">
        <f t="shared" si="72"/>
        <v>0</v>
      </c>
      <c r="H110">
        <f t="shared" si="73"/>
        <v>0</v>
      </c>
      <c r="I110">
        <f t="shared" si="73"/>
        <v>0</v>
      </c>
      <c r="J110">
        <f t="shared" si="68"/>
        <v>0</v>
      </c>
      <c r="K110">
        <f t="shared" si="68"/>
        <v>0</v>
      </c>
      <c r="L110">
        <f t="shared" si="68"/>
        <v>0</v>
      </c>
      <c r="M110">
        <f t="shared" si="68"/>
        <v>0</v>
      </c>
      <c r="N110">
        <f t="shared" si="68"/>
        <v>0</v>
      </c>
      <c r="O110">
        <f t="shared" si="68"/>
        <v>0</v>
      </c>
      <c r="P110">
        <f t="shared" si="63"/>
        <v>1.71</v>
      </c>
      <c r="Q110">
        <f t="shared" si="69"/>
        <v>0</v>
      </c>
      <c r="R110">
        <f t="shared" si="69"/>
        <v>0</v>
      </c>
      <c r="S110">
        <f t="shared" si="69"/>
        <v>0</v>
      </c>
      <c r="T110">
        <f t="shared" si="69"/>
        <v>0</v>
      </c>
      <c r="U110">
        <f t="shared" si="69"/>
        <v>0</v>
      </c>
      <c r="V110">
        <f t="shared" si="69"/>
        <v>0</v>
      </c>
      <c r="W110">
        <f t="shared" si="69"/>
        <v>0</v>
      </c>
      <c r="X110">
        <f t="shared" si="69"/>
        <v>0</v>
      </c>
      <c r="Y110">
        <f t="shared" si="69"/>
        <v>0</v>
      </c>
      <c r="Z110">
        <f t="shared" si="74"/>
        <v>0</v>
      </c>
      <c r="AA110">
        <f t="shared" si="74"/>
        <v>0</v>
      </c>
      <c r="AB110">
        <f t="shared" si="74"/>
        <v>0</v>
      </c>
      <c r="AC110">
        <f t="shared" si="74"/>
        <v>0</v>
      </c>
      <c r="AD110">
        <f t="shared" si="74"/>
        <v>0</v>
      </c>
      <c r="AE110">
        <f t="shared" si="74"/>
        <v>0</v>
      </c>
      <c r="AF110">
        <f t="shared" si="74"/>
        <v>0</v>
      </c>
      <c r="AG110">
        <f t="shared" si="74"/>
        <v>0</v>
      </c>
      <c r="AH110">
        <f t="shared" si="74"/>
        <v>0</v>
      </c>
      <c r="AI110">
        <f t="shared" si="74"/>
        <v>0</v>
      </c>
      <c r="AJ110">
        <f t="shared" si="74"/>
        <v>0</v>
      </c>
      <c r="AK110">
        <f t="shared" si="74"/>
        <v>0</v>
      </c>
      <c r="AL110">
        <f>D110-AR110</f>
        <v>1.71</v>
      </c>
      <c r="AM110">
        <f>BD58</f>
        <v>0</v>
      </c>
      <c r="AN110">
        <f>BE58</f>
        <v>0</v>
      </c>
      <c r="AO110">
        <f>BF58</f>
        <v>0</v>
      </c>
      <c r="AP110">
        <f>BG58</f>
        <v>0</v>
      </c>
      <c r="AQ110">
        <f>BH58</f>
        <v>0</v>
      </c>
      <c r="AR110">
        <f>E110+Q110+R110+S110+T110+U110+V110+W110+X110+Y110+Z110+AA110+AB110+AC110+AD110+AE110+AF110+AG110+AH110+AI110+AJ110+AK110+AM110+AN110+AO110+AP110+AQ110</f>
        <v>0</v>
      </c>
      <c r="AS110">
        <f>D110+AL116-AR110</f>
        <v>1.71</v>
      </c>
    </row>
    <row r="111" spans="1:45" ht="20.25" customHeight="1">
      <c r="A111" t="s">
        <v>111</v>
      </c>
      <c r="B111" t="s">
        <v>112</v>
      </c>
      <c r="C111" s="105" t="s">
        <v>113</v>
      </c>
      <c r="D111">
        <f t="shared" si="71"/>
        <v>1.77</v>
      </c>
      <c r="E111">
        <f t="shared" si="39"/>
        <v>0</v>
      </c>
      <c r="F111">
        <f t="shared" si="72"/>
        <v>0</v>
      </c>
      <c r="G111">
        <f t="shared" si="72"/>
        <v>0</v>
      </c>
      <c r="H111">
        <f t="shared" si="73"/>
        <v>0</v>
      </c>
      <c r="I111">
        <f t="shared" si="73"/>
        <v>0</v>
      </c>
      <c r="J111">
        <f t="shared" si="68"/>
        <v>0</v>
      </c>
      <c r="K111">
        <f t="shared" si="68"/>
        <v>0</v>
      </c>
      <c r="L111">
        <f t="shared" si="68"/>
        <v>0</v>
      </c>
      <c r="M111">
        <f t="shared" si="68"/>
        <v>0</v>
      </c>
      <c r="N111">
        <f t="shared" si="68"/>
        <v>0</v>
      </c>
      <c r="O111">
        <f t="shared" si="68"/>
        <v>0</v>
      </c>
      <c r="P111">
        <f t="shared" si="63"/>
        <v>1.77</v>
      </c>
      <c r="Q111">
        <f t="shared" si="69"/>
        <v>0</v>
      </c>
      <c r="R111">
        <f t="shared" si="69"/>
        <v>0</v>
      </c>
      <c r="S111">
        <f t="shared" si="69"/>
        <v>0</v>
      </c>
      <c r="T111">
        <f t="shared" si="69"/>
        <v>0</v>
      </c>
      <c r="U111">
        <f t="shared" si="69"/>
        <v>0</v>
      </c>
      <c r="V111">
        <f t="shared" si="69"/>
        <v>0</v>
      </c>
      <c r="W111">
        <f t="shared" si="69"/>
        <v>0</v>
      </c>
      <c r="X111">
        <f t="shared" si="69"/>
        <v>0</v>
      </c>
      <c r="Y111">
        <f t="shared" si="69"/>
        <v>0</v>
      </c>
      <c r="Z111">
        <f t="shared" si="74"/>
        <v>0</v>
      </c>
      <c r="AA111">
        <f t="shared" si="74"/>
        <v>0</v>
      </c>
      <c r="AB111">
        <f t="shared" si="74"/>
        <v>0</v>
      </c>
      <c r="AC111">
        <f t="shared" si="74"/>
        <v>0</v>
      </c>
      <c r="AD111">
        <f t="shared" si="74"/>
        <v>0</v>
      </c>
      <c r="AE111">
        <f t="shared" si="74"/>
        <v>0</v>
      </c>
      <c r="AF111">
        <f t="shared" si="74"/>
        <v>0</v>
      </c>
      <c r="AG111">
        <f t="shared" si="74"/>
        <v>0</v>
      </c>
      <c r="AH111">
        <f t="shared" si="74"/>
        <v>0</v>
      </c>
      <c r="AI111">
        <f t="shared" si="74"/>
        <v>0</v>
      </c>
      <c r="AJ111">
        <f t="shared" si="74"/>
        <v>0</v>
      </c>
      <c r="AK111">
        <f t="shared" si="74"/>
        <v>0</v>
      </c>
      <c r="AL111">
        <f>BC59</f>
        <v>0</v>
      </c>
      <c r="AM111">
        <f>D111-AR111</f>
        <v>1.77</v>
      </c>
      <c r="AN111">
        <f>BE59</f>
        <v>0</v>
      </c>
      <c r="AO111">
        <f>BF59</f>
        <v>0</v>
      </c>
      <c r="AP111">
        <f>BG59</f>
        <v>0</v>
      </c>
      <c r="AQ111">
        <f>BH59</f>
        <v>0</v>
      </c>
      <c r="AR111">
        <f>E111+Q111+R111+S111+T111+U111+V111+W111+X111+Y111+Z111+AA111+AB111+AC111+AD111+AE111+AF111+AG111+AH111+AI111+AJ111+AK111+AL111+AN111+AO111+AP111+AQ111</f>
        <v>0</v>
      </c>
      <c r="AS111">
        <f>D111+AM116-AR111</f>
        <v>1.77</v>
      </c>
    </row>
    <row r="112" spans="1:45" ht="20.25" customHeight="1">
      <c r="A112" t="s">
        <v>114</v>
      </c>
      <c r="B112" t="s">
        <v>115</v>
      </c>
      <c r="C112" s="105" t="s">
        <v>116</v>
      </c>
      <c r="D112">
        <f t="shared" si="71"/>
        <v>161.99</v>
      </c>
      <c r="E112">
        <f t="shared" si="39"/>
        <v>4.45</v>
      </c>
      <c r="F112">
        <f t="shared" si="72"/>
        <v>0</v>
      </c>
      <c r="G112">
        <f t="shared" si="72"/>
        <v>0</v>
      </c>
      <c r="H112">
        <f t="shared" si="73"/>
        <v>0</v>
      </c>
      <c r="I112">
        <f t="shared" si="73"/>
        <v>0</v>
      </c>
      <c r="J112">
        <f t="shared" si="68"/>
        <v>0</v>
      </c>
      <c r="K112">
        <f t="shared" si="68"/>
        <v>0</v>
      </c>
      <c r="L112">
        <f t="shared" si="68"/>
        <v>0</v>
      </c>
      <c r="M112">
        <f t="shared" si="68"/>
        <v>4.45</v>
      </c>
      <c r="N112">
        <f t="shared" si="68"/>
        <v>0</v>
      </c>
      <c r="O112">
        <f t="shared" si="68"/>
        <v>0</v>
      </c>
      <c r="P112">
        <f t="shared" si="63"/>
        <v>157.54</v>
      </c>
      <c r="Q112">
        <f t="shared" si="69"/>
        <v>0</v>
      </c>
      <c r="R112">
        <f t="shared" si="69"/>
        <v>0</v>
      </c>
      <c r="S112">
        <f t="shared" si="69"/>
        <v>0</v>
      </c>
      <c r="T112">
        <f t="shared" si="69"/>
        <v>0</v>
      </c>
      <c r="U112">
        <f t="shared" si="69"/>
        <v>0</v>
      </c>
      <c r="V112">
        <f t="shared" si="69"/>
        <v>0</v>
      </c>
      <c r="W112">
        <f t="shared" si="69"/>
        <v>0</v>
      </c>
      <c r="X112">
        <f t="shared" si="69"/>
        <v>0</v>
      </c>
      <c r="Y112">
        <f t="shared" si="69"/>
        <v>0.7</v>
      </c>
      <c r="Z112">
        <f t="shared" si="74"/>
        <v>0</v>
      </c>
      <c r="AA112">
        <f t="shared" si="74"/>
        <v>0</v>
      </c>
      <c r="AB112">
        <f t="shared" si="74"/>
        <v>0</v>
      </c>
      <c r="AC112">
        <f t="shared" si="74"/>
        <v>0</v>
      </c>
      <c r="AD112">
        <f t="shared" si="74"/>
        <v>0</v>
      </c>
      <c r="AE112">
        <f t="shared" si="74"/>
        <v>0</v>
      </c>
      <c r="AF112">
        <f t="shared" si="74"/>
        <v>0</v>
      </c>
      <c r="AG112">
        <f t="shared" si="74"/>
        <v>0</v>
      </c>
      <c r="AH112">
        <f t="shared" si="74"/>
        <v>0</v>
      </c>
      <c r="AI112">
        <f t="shared" si="74"/>
        <v>0</v>
      </c>
      <c r="AJ112">
        <f t="shared" si="74"/>
        <v>0</v>
      </c>
      <c r="AK112">
        <f t="shared" si="74"/>
        <v>0</v>
      </c>
      <c r="AL112">
        <f>BC60</f>
        <v>0</v>
      </c>
      <c r="AM112">
        <f>BD60</f>
        <v>0</v>
      </c>
      <c r="AN112">
        <f>D112-AR112</f>
        <v>156.84</v>
      </c>
      <c r="AO112">
        <f>BF60</f>
        <v>0</v>
      </c>
      <c r="AP112">
        <f>BG60</f>
        <v>0</v>
      </c>
      <c r="AQ112">
        <f>BH60</f>
        <v>0</v>
      </c>
      <c r="AR112">
        <f>E112+Q112+R112+S112+T112+U112+V112+W112+X112+Y112+Z112+AA112+AB112+AC112+AD112+AE112+AF112+AG112+AH112+AI112+AJ112+AK112+AL112+AM112+AO112+AP112+AQ112</f>
        <v>5.15</v>
      </c>
      <c r="AS112">
        <f>D112+AN116-AR112</f>
        <v>156.84</v>
      </c>
    </row>
    <row r="113" spans="1:45" ht="20.25" customHeight="1">
      <c r="A113" t="s">
        <v>117</v>
      </c>
      <c r="B113" t="s">
        <v>118</v>
      </c>
      <c r="C113" s="105" t="s">
        <v>119</v>
      </c>
      <c r="D113">
        <f t="shared" si="71"/>
        <v>0</v>
      </c>
      <c r="E113">
        <f t="shared" si="39"/>
        <v>0</v>
      </c>
      <c r="F113">
        <f t="shared" si="72"/>
        <v>0</v>
      </c>
      <c r="G113">
        <f t="shared" si="72"/>
        <v>0</v>
      </c>
      <c r="H113">
        <f t="shared" si="73"/>
        <v>0</v>
      </c>
      <c r="I113">
        <f t="shared" si="73"/>
        <v>0</v>
      </c>
      <c r="J113">
        <f t="shared" si="68"/>
        <v>0</v>
      </c>
      <c r="K113">
        <f t="shared" si="68"/>
        <v>0</v>
      </c>
      <c r="L113">
        <f t="shared" si="68"/>
        <v>0</v>
      </c>
      <c r="M113">
        <f t="shared" si="68"/>
        <v>0</v>
      </c>
      <c r="N113">
        <f t="shared" si="68"/>
        <v>0</v>
      </c>
      <c r="O113">
        <f t="shared" si="68"/>
        <v>0</v>
      </c>
      <c r="P113">
        <f t="shared" si="63"/>
        <v>0</v>
      </c>
      <c r="Q113">
        <f t="shared" si="69"/>
        <v>0</v>
      </c>
      <c r="R113">
        <f t="shared" si="69"/>
        <v>0</v>
      </c>
      <c r="S113">
        <f t="shared" si="69"/>
        <v>0</v>
      </c>
      <c r="T113">
        <f t="shared" si="69"/>
        <v>0</v>
      </c>
      <c r="U113">
        <f t="shared" si="69"/>
        <v>0</v>
      </c>
      <c r="V113">
        <f t="shared" si="69"/>
        <v>0</v>
      </c>
      <c r="W113">
        <f t="shared" si="69"/>
        <v>0</v>
      </c>
      <c r="X113">
        <f t="shared" si="69"/>
        <v>0</v>
      </c>
      <c r="Y113">
        <f t="shared" si="69"/>
        <v>0</v>
      </c>
      <c r="Z113">
        <f t="shared" si="74"/>
        <v>0</v>
      </c>
      <c r="AA113">
        <f t="shared" si="74"/>
        <v>0</v>
      </c>
      <c r="AB113">
        <f t="shared" si="74"/>
        <v>0</v>
      </c>
      <c r="AC113">
        <f t="shared" si="74"/>
        <v>0</v>
      </c>
      <c r="AD113">
        <f t="shared" si="74"/>
        <v>0</v>
      </c>
      <c r="AE113">
        <f t="shared" si="74"/>
        <v>0</v>
      </c>
      <c r="AF113">
        <f t="shared" si="74"/>
        <v>0</v>
      </c>
      <c r="AG113">
        <f t="shared" si="74"/>
        <v>0</v>
      </c>
      <c r="AH113">
        <f t="shared" si="74"/>
        <v>0</v>
      </c>
      <c r="AI113">
        <f t="shared" si="74"/>
        <v>0</v>
      </c>
      <c r="AJ113">
        <f t="shared" si="74"/>
        <v>0</v>
      </c>
      <c r="AK113">
        <f t="shared" si="74"/>
        <v>0</v>
      </c>
      <c r="AL113">
        <f>BC61</f>
        <v>0</v>
      </c>
      <c r="AM113">
        <f>BD61</f>
        <v>0</v>
      </c>
      <c r="AN113">
        <f>BE61</f>
        <v>0</v>
      </c>
      <c r="AO113">
        <f>D113-AR113</f>
        <v>0</v>
      </c>
      <c r="AP113">
        <f>BG61</f>
        <v>0</v>
      </c>
      <c r="AQ113">
        <f>BH61</f>
        <v>0</v>
      </c>
      <c r="AR113">
        <f>E113+Q113+R113+S113+T113+U113+V113+W113+X113+Y113+Z113+AA113+AB113+AC113+AD113+AE113+AF113+AG113+AH113+AI113+AJ113+AK113+AL113+AM113+AN113+AP113+AQ113</f>
        <v>0</v>
      </c>
      <c r="AS113">
        <f>D113+AO116-AR113</f>
        <v>0</v>
      </c>
    </row>
    <row r="114" spans="1:45" ht="20.25" customHeight="1">
      <c r="A114" t="s">
        <v>120</v>
      </c>
      <c r="B114" t="s">
        <v>121</v>
      </c>
      <c r="C114" s="105" t="s">
        <v>122</v>
      </c>
      <c r="D114">
        <f t="shared" si="71"/>
        <v>0.59</v>
      </c>
      <c r="E114">
        <f t="shared" si="39"/>
        <v>0</v>
      </c>
      <c r="F114">
        <f t="shared" si="72"/>
        <v>0</v>
      </c>
      <c r="G114">
        <f t="shared" si="72"/>
        <v>0</v>
      </c>
      <c r="H114">
        <f t="shared" si="73"/>
        <v>0</v>
      </c>
      <c r="I114">
        <f t="shared" si="73"/>
        <v>0</v>
      </c>
      <c r="J114">
        <f t="shared" ref="J114:O115" si="75">P62</f>
        <v>0</v>
      </c>
      <c r="K114">
        <f t="shared" si="75"/>
        <v>0</v>
      </c>
      <c r="L114">
        <f t="shared" si="75"/>
        <v>0</v>
      </c>
      <c r="M114">
        <f t="shared" si="75"/>
        <v>0</v>
      </c>
      <c r="N114">
        <f t="shared" si="75"/>
        <v>0</v>
      </c>
      <c r="O114">
        <f t="shared" si="75"/>
        <v>0</v>
      </c>
      <c r="P114">
        <f t="shared" si="63"/>
        <v>0.59</v>
      </c>
      <c r="Q114">
        <f t="shared" ref="Q114:Y115" si="76">W62</f>
        <v>0</v>
      </c>
      <c r="R114">
        <f t="shared" si="76"/>
        <v>0</v>
      </c>
      <c r="S114">
        <f t="shared" si="76"/>
        <v>0</v>
      </c>
      <c r="T114">
        <f t="shared" si="76"/>
        <v>0</v>
      </c>
      <c r="U114">
        <f t="shared" si="76"/>
        <v>0</v>
      </c>
      <c r="V114">
        <f t="shared" si="76"/>
        <v>0</v>
      </c>
      <c r="W114">
        <f t="shared" si="76"/>
        <v>0</v>
      </c>
      <c r="X114">
        <f t="shared" si="76"/>
        <v>0</v>
      </c>
      <c r="Y114">
        <f t="shared" si="76"/>
        <v>0</v>
      </c>
      <c r="Z114">
        <f t="shared" si="74"/>
        <v>0</v>
      </c>
      <c r="AA114">
        <f t="shared" si="74"/>
        <v>0</v>
      </c>
      <c r="AB114">
        <f t="shared" si="74"/>
        <v>0</v>
      </c>
      <c r="AC114">
        <f t="shared" si="74"/>
        <v>0</v>
      </c>
      <c r="AD114">
        <f t="shared" si="74"/>
        <v>0</v>
      </c>
      <c r="AE114">
        <f t="shared" si="74"/>
        <v>0</v>
      </c>
      <c r="AF114">
        <f t="shared" si="74"/>
        <v>0</v>
      </c>
      <c r="AG114">
        <f t="shared" si="74"/>
        <v>0</v>
      </c>
      <c r="AH114">
        <f t="shared" si="74"/>
        <v>0</v>
      </c>
      <c r="AI114">
        <f t="shared" si="74"/>
        <v>0</v>
      </c>
      <c r="AJ114">
        <f t="shared" si="74"/>
        <v>0</v>
      </c>
      <c r="AK114">
        <f t="shared" si="74"/>
        <v>0</v>
      </c>
      <c r="AL114">
        <f>BC62</f>
        <v>0</v>
      </c>
      <c r="AM114">
        <f>BD62</f>
        <v>0</v>
      </c>
      <c r="AN114">
        <f>BE62</f>
        <v>0</v>
      </c>
      <c r="AO114">
        <f>BF62</f>
        <v>0</v>
      </c>
      <c r="AP114">
        <f>D114-AR114</f>
        <v>0.59</v>
      </c>
      <c r="AQ114">
        <f>BH62</f>
        <v>0</v>
      </c>
      <c r="AR114">
        <f>E114+Q114+R114+S114+T114+U114+V114+W114+X114+Y114+Z114+AA114+AB114+AC114+AD114+AE114+AF114+AG114+AH114+AI114+AJ114+AK114+AL114+AM114+AN114+AO114+AQ114</f>
        <v>0</v>
      </c>
      <c r="AS114">
        <f>D114+AP116-AR114</f>
        <v>0.59</v>
      </c>
    </row>
    <row r="115" spans="1:45" ht="20.25" customHeight="1">
      <c r="A115">
        <v>3</v>
      </c>
      <c r="B115" t="s">
        <v>123</v>
      </c>
      <c r="C115" s="105" t="s">
        <v>124</v>
      </c>
      <c r="D115">
        <f>D63</f>
        <v>29.27</v>
      </c>
      <c r="E115">
        <f>F115+H115+I115+J115+K115+L115+M115+N115+O115</f>
        <v>0.02</v>
      </c>
      <c r="F115">
        <f t="shared" si="72"/>
        <v>0</v>
      </c>
      <c r="G115">
        <f t="shared" si="72"/>
        <v>0</v>
      </c>
      <c r="H115">
        <f t="shared" si="73"/>
        <v>0</v>
      </c>
      <c r="I115">
        <f t="shared" si="73"/>
        <v>0</v>
      </c>
      <c r="J115">
        <f t="shared" si="75"/>
        <v>0</v>
      </c>
      <c r="K115">
        <f t="shared" si="75"/>
        <v>0</v>
      </c>
      <c r="L115">
        <f t="shared" si="75"/>
        <v>0</v>
      </c>
      <c r="M115">
        <f t="shared" si="75"/>
        <v>0.02</v>
      </c>
      <c r="N115">
        <f t="shared" si="75"/>
        <v>0</v>
      </c>
      <c r="O115">
        <f t="shared" si="75"/>
        <v>0</v>
      </c>
      <c r="P115">
        <f>SUM(Q115:AP115)</f>
        <v>0.04</v>
      </c>
      <c r="Q115">
        <f t="shared" si="76"/>
        <v>0</v>
      </c>
      <c r="R115">
        <f t="shared" si="76"/>
        <v>0</v>
      </c>
      <c r="S115">
        <f t="shared" si="76"/>
        <v>0</v>
      </c>
      <c r="T115">
        <f t="shared" si="76"/>
        <v>0</v>
      </c>
      <c r="U115">
        <f t="shared" si="76"/>
        <v>0</v>
      </c>
      <c r="V115">
        <f t="shared" si="76"/>
        <v>0</v>
      </c>
      <c r="W115">
        <f t="shared" si="76"/>
        <v>0</v>
      </c>
      <c r="X115">
        <f t="shared" si="76"/>
        <v>0</v>
      </c>
      <c r="Y115">
        <f t="shared" si="76"/>
        <v>0.01</v>
      </c>
      <c r="Z115">
        <f t="shared" si="74"/>
        <v>0</v>
      </c>
      <c r="AA115">
        <f t="shared" si="74"/>
        <v>0</v>
      </c>
      <c r="AB115">
        <f t="shared" si="74"/>
        <v>0</v>
      </c>
      <c r="AC115">
        <f t="shared" si="74"/>
        <v>0.03</v>
      </c>
      <c r="AD115">
        <f t="shared" si="74"/>
        <v>0</v>
      </c>
      <c r="AE115">
        <f t="shared" si="74"/>
        <v>0</v>
      </c>
      <c r="AF115">
        <f t="shared" si="74"/>
        <v>0</v>
      </c>
      <c r="AG115">
        <f t="shared" si="74"/>
        <v>0</v>
      </c>
      <c r="AH115">
        <f t="shared" si="74"/>
        <v>0</v>
      </c>
      <c r="AI115">
        <f t="shared" si="74"/>
        <v>0</v>
      </c>
      <c r="AJ115">
        <f t="shared" si="74"/>
        <v>0</v>
      </c>
      <c r="AK115">
        <f t="shared" si="74"/>
        <v>0</v>
      </c>
      <c r="AL115">
        <f>BC63</f>
        <v>0</v>
      </c>
      <c r="AM115">
        <f>BD63</f>
        <v>0</v>
      </c>
      <c r="AN115">
        <f>BE63</f>
        <v>0</v>
      </c>
      <c r="AO115">
        <f>BF63</f>
        <v>0</v>
      </c>
      <c r="AP115">
        <f>BG63</f>
        <v>0</v>
      </c>
      <c r="AQ115">
        <f>AR115</f>
        <v>0.06</v>
      </c>
      <c r="AR115">
        <f>E115+Q115+R115+S115+T115+U115+V115+W115+X115+Y115+Z115+AA115+AB115+AC115+AD115+AE115+AF115+AG115+AH115+AI115+AJ115+AL115+AM115+AN115+AO115+AP115</f>
        <v>0.06</v>
      </c>
      <c r="AS115">
        <f>D115+AQ116-AR115</f>
        <v>29.21</v>
      </c>
    </row>
    <row r="116" spans="1:45" ht="20.25" customHeight="1">
      <c r="B116" t="s">
        <v>190</v>
      </c>
      <c r="E116">
        <f>E88+E115</f>
        <v>15.669999999999998</v>
      </c>
      <c r="F116">
        <f>F80+F81+F82+F83+F84+F85+F86+F87+F88+F115</f>
        <v>0</v>
      </c>
      <c r="G116">
        <f>G78+G80+G81+G82+G83+G84+G85+G86+G87+G88+G115</f>
        <v>0</v>
      </c>
      <c r="H116">
        <f>H78+H81+H82+H83+H84+H85+H86+H87+H88+H115</f>
        <v>0</v>
      </c>
      <c r="I116">
        <f>I78+I80+I82+I83+I84+I85+I86+I87+I88+I115</f>
        <v>0</v>
      </c>
      <c r="J116">
        <f>J78+J80+J81+J83+J84+J85+J86+J87+J88+J115</f>
        <v>0</v>
      </c>
      <c r="K116">
        <f>K78+K80+K81+K82+K84+K85+K86+K87+K88+K115</f>
        <v>0</v>
      </c>
      <c r="L116">
        <f>L78+L80+L81+L82+L83+L85+L86+L87+L88+L115</f>
        <v>0</v>
      </c>
      <c r="M116">
        <f>M78+M80+M81+M82+M83+M84+M86+M87+M88+M115</f>
        <v>19.88</v>
      </c>
      <c r="N116">
        <f>N78+N80+N81+N82+N83+N84+N85+N87+N88+N115</f>
        <v>0</v>
      </c>
      <c r="O116">
        <f>O78+O80+O81+O82+O83+O84+O85+O86+O88+O115</f>
        <v>0</v>
      </c>
      <c r="P116">
        <f>P77+P115</f>
        <v>14.649999999999999</v>
      </c>
      <c r="Q116">
        <f>Q77+Q90+Q91+Q92+Q93+Q94+Q95+Q96+Q97+Q98+Q99+Q100+Q101+Q102+Q103+Q104+Q105+Q106+Q107+Q108+Q109+Q110+Q111+Q112+Q113+Q114+Q115</f>
        <v>0</v>
      </c>
      <c r="R116">
        <f>R77+R89+R91+R92+R93+R94+R95+R96+R97+R98+R99+R100+R101+R102+R103+R104+R105+R106+R107+R108+R109+R110+R111+R112+R113+R114+R115</f>
        <v>0</v>
      </c>
      <c r="S116">
        <f>S77+S89+S90+S92+S93+S94+S95+S96+S97+S98+S99+S100+S101+S102+S103+S104+S105+S106+S107+S108+S109+S110+S111+S112+S113+S114+S115</f>
        <v>0</v>
      </c>
      <c r="T116">
        <f>T77+T89+T90+T91+T93+T94+T95+T96+T97+T98+T99+T100+T101+T102+T103+T104+T105+T106+T107+T108+T109+T110+T111+T112+T113+T114+T115</f>
        <v>0</v>
      </c>
      <c r="U116">
        <f>U77+U89+U90+U91+U92+U94+U95+U96+U97+U98+U99+U100+U101+U102+U103+U104+U105+U106+U107+U108+U109+U110+U111+U112+U113+U114+U115</f>
        <v>0</v>
      </c>
      <c r="V116">
        <f>V77+V89+V90+V91+V92+V93+V95+V96+V97+V98+V99+V100+V101+V102+V103+V104+V105+V106+V107+V108+V109+V110+V111+V112+V113+V114+V115</f>
        <v>0.15</v>
      </c>
      <c r="W116">
        <f>W77+W89+W90+W91+W92+W93+W94+W96+W97+W98+W99+W100+W101+W102+W103+W104+W105+W106+W107+W108+W109+W110+W111+W112+W113+W114+W115</f>
        <v>0</v>
      </c>
      <c r="X116">
        <f>X77+X89+X90+X91+X92+X93+X94+X95+X97+X98+X99+X100+X101+X102+X103+X104+X105+X106+X107+X108+X109+X110+X111+X112+X113+X114+X115</f>
        <v>0</v>
      </c>
      <c r="Y116">
        <f>Y77+Y89+Y90+Y91+Y92+Y93+Y94+Y95+Y96+Y98+Y99+Y100+Y101+Y102+Y103+Y104+Y105+Y106+Y107+Y108+Y109+Y110+Y111+Y112+Y113+Y114+Y115</f>
        <v>10.37</v>
      </c>
      <c r="Z116">
        <f>Z77+Z89+Z90+Z91+Z92+Z93+Z94+Z95+Z96+Z97+Z99+Z100+Z101+Z102+Z103+Z104+Z105+Z106+Z107+Z108+Z109+Z110+Z111+Z112+Z113+Z114+Z115</f>
        <v>0</v>
      </c>
      <c r="AA116">
        <f>AA77+AA89+AA90+AA91+AA92+AA93+AA94+AA95+AA96+AA97+AA98+AA100+AA101+AA102+AA103+AA104+AA105+AA106+AA107+AA108+AA109+AA110+AA111+AA112+AA113+AA114+AA115</f>
        <v>0</v>
      </c>
      <c r="AB116">
        <f>AB77+AB89+AB90+AB91+AB92+AB93+AB94+AB95+AB96+AB97+AB98+AB99+AB101+AB102+AB103+AB104+AB105+AB106+AB107+AB108+AB109+AB110+AB111+AB112+AB113+AB114+AB115</f>
        <v>3.73</v>
      </c>
      <c r="AC116">
        <f>AC77+AC89+AC90+AC91+AC92+AC93+AC94+AC95+AC96+AC97+AC98+AC99+AC100+AC102+AC103+AC104+AC105+AC106+AC107+AC108+AC109+AC110+AC111+AC112+AC113+AC114+AC115</f>
        <v>2.68</v>
      </c>
      <c r="AD116">
        <f>AD77+AD89+AD90+AD91+AD92+AD93+AD94+AD95+AD96+AD97+AD98+AD99+AD100+AD101+AD103+AD104+AD105+AD106+AD107+AD108+AD109+AD110+AD111+AD112+AD113+AD114+AD115</f>
        <v>0</v>
      </c>
      <c r="AE116">
        <f>AE77+AE89+AE90+AE91+AE92+AE93+AE94+AE95+AE96+AE97+AE98+AE99+AE100+AE101+AE102+AE104+AE105+AE106+AE107+AE108+AE109+AE110+AE111+AE112+AE113+AE114+AE115</f>
        <v>0</v>
      </c>
      <c r="AF116">
        <f>AF77+AF89+AF90+AF91+AF92+AF93+AF94+AF95+AF96+AF97+AF98+AF99+AF100+AF101+AF102+AF103+AF105+AF106+AF107+AF108+AF109+AF110+AF111+AF112+AF113+AF114+AF115</f>
        <v>0</v>
      </c>
      <c r="AG116">
        <f>AG77+AG89+AG90+AG91+AG92+AG93+AG94+AG95+AG96+AG97+AG98+AG99+AG100+AG101+AG102+AG103+AG104+AG106+AG107+AG108+AG109+AG110+AG111+AG112+AG113+AG114+AG115</f>
        <v>0</v>
      </c>
      <c r="AH116">
        <f>AH77+AH89+AH90+AH91+AH92+AH93+AH94+AH95+AH96+AH97+AH98+AH99+AH100+AH101+AH102+AH103+AH104+AH105+AH107+AH108+AH109+AH110+AH111+AH112+AH113+AH114+AH115</f>
        <v>0</v>
      </c>
      <c r="AI116">
        <f>AI77+AI89+AI90+AI91+AI92+AI93+AI94+AI95+AI96+AI97+AI98+AI99+AI100+AI101+AI102+AI103+AI104+AI105+AI106+AI108+AI109+AI110+AI111+AI112+AI113+AI114+AI115</f>
        <v>0</v>
      </c>
      <c r="AJ116">
        <f>AJ77+AJ89+AJ90+AJ91+AJ92+AJ93+AJ94+AJ95+AJ96+AJ97+AJ98+AJ99+AJ100+AJ101+AJ102+AJ103+AJ104+AJ105+AJ106+AJ107+AJ109+AJ110+AJ111+AJ112+AJ113+AJ114+AJ115</f>
        <v>0</v>
      </c>
      <c r="AK116">
        <f>AK77+AK89+AK90+AK91+AK92+AK93+AK94+AK95+AK96+AK97+AK98+AK99+AK100+AK101+AK102+AK103+AK104+AK105+AK106+AK107+AK108+AK110+AK111+AK112+AK113+AK114+AK115</f>
        <v>0</v>
      </c>
      <c r="AL116">
        <f>AL77+AL89+AL90+AL91+AL92+AL93+AL94+AL95+AL96+AL97+AL98+AL99+AL100+AL101+AL102+AL103+AL104+AL105+AL106+AL107+AL108+AL109+AL111+AL112+AL113+AL114+AL115</f>
        <v>0</v>
      </c>
      <c r="AM116">
        <f>AM77+AM89+AM90+AM91+AM92+AM93+AM94+AM95+AM96+AM97+AM98+AM99+AM100+AM101+AM102+AM103+AM104+AM105+AM106+AM107+AM108+AM109+AM110+AM112+AM113+AM114+AM115</f>
        <v>0</v>
      </c>
      <c r="AN116">
        <f>AN77+AN89+AN90+AN91+AN92+AN93+AN94+AN95+AN96+AN97+AN98+AN99+AN100+AN101+AN102+AN103+AN104+AN105+AN106+AN107+AN108+AN109+AN110+AN111+AN113+AN114+AN115</f>
        <v>0</v>
      </c>
      <c r="AO116">
        <f>AO77+AO89+AO90+AO91+AO92+AO93+AO94+AO95+AO96+AO97+AO98+AO99+AO100+AO101+AO102+AO103+AO104+AO105+AO106+AO107+AO108+AO109+AO110+AO111+AO112+AO114+AO115</f>
        <v>0</v>
      </c>
      <c r="AP116">
        <f>AP77+AP89+AP90+AP91+AP92+AP93+AP94+AP95+AP96+AP97+AP98+AP99+AP100+AP101+AP102+AP103+AP104+AP105+AP106+AP107+AP108+AP109+AP110+AP111+AP112+AP113+AP115</f>
        <v>0</v>
      </c>
      <c r="AQ116">
        <f>AQ77+AQ88</f>
        <v>0</v>
      </c>
    </row>
    <row r="117" spans="1:45" ht="25.5" customHeight="1">
      <c r="B117" t="s">
        <v>325</v>
      </c>
      <c r="D117">
        <f>AS76</f>
        <v>1623.425</v>
      </c>
      <c r="E117">
        <f>AS77</f>
        <v>1147.81</v>
      </c>
      <c r="F117">
        <f>AS78</f>
        <v>379.02000000000004</v>
      </c>
      <c r="G117">
        <f>AS79</f>
        <v>268.85999999999996</v>
      </c>
      <c r="H117">
        <f>AS80</f>
        <v>39.830000000000005</v>
      </c>
      <c r="I117">
        <f>AS81</f>
        <v>140.19999999999999</v>
      </c>
      <c r="J117">
        <f>AS82</f>
        <v>74.400000000000006</v>
      </c>
      <c r="K117">
        <f>AS83</f>
        <v>0</v>
      </c>
      <c r="L117">
        <f>AS84</f>
        <v>0</v>
      </c>
      <c r="M117">
        <f>AS85</f>
        <v>514.36</v>
      </c>
      <c r="N117">
        <f>AS86</f>
        <v>0</v>
      </c>
      <c r="O117">
        <f>AS87</f>
        <v>0</v>
      </c>
      <c r="P117">
        <f>AS88</f>
        <v>446.40499999999992</v>
      </c>
      <c r="Q117">
        <f>AS89</f>
        <v>0</v>
      </c>
      <c r="R117">
        <f>AS90</f>
        <v>0</v>
      </c>
      <c r="S117">
        <f>AS91</f>
        <v>0</v>
      </c>
      <c r="T117">
        <f>AS92</f>
        <v>0</v>
      </c>
      <c r="U117">
        <f>AS93</f>
        <v>0</v>
      </c>
      <c r="V117">
        <f>AS94</f>
        <v>1.94</v>
      </c>
      <c r="W117">
        <f>AS95</f>
        <v>5.89</v>
      </c>
      <c r="X117">
        <f>AS96</f>
        <v>0</v>
      </c>
      <c r="Y117">
        <f>AS97</f>
        <v>157.13499999999999</v>
      </c>
      <c r="Z117">
        <f>AS98</f>
        <v>0</v>
      </c>
      <c r="AA117">
        <f>AS99</f>
        <v>0</v>
      </c>
      <c r="AB117">
        <f>AS100</f>
        <v>6.38</v>
      </c>
      <c r="AC117">
        <f>AS101</f>
        <v>76.69</v>
      </c>
      <c r="AD117">
        <f>AS102</f>
        <v>0</v>
      </c>
      <c r="AE117">
        <f>AS103</f>
        <v>1.1599999999999999</v>
      </c>
      <c r="AF117">
        <f>AS104</f>
        <v>0</v>
      </c>
      <c r="AG117">
        <f>AS105</f>
        <v>0</v>
      </c>
      <c r="AH117">
        <f>AS106</f>
        <v>2.3199999999999998</v>
      </c>
      <c r="AI117">
        <f>AS107</f>
        <v>30.51</v>
      </c>
      <c r="AJ117">
        <f>AS108</f>
        <v>2.3199999999999998</v>
      </c>
      <c r="AK117">
        <f>AS109</f>
        <v>1.1499999999999999</v>
      </c>
      <c r="AL117">
        <f>AS110</f>
        <v>1.71</v>
      </c>
      <c r="AM117">
        <f>AS111</f>
        <v>1.77</v>
      </c>
      <c r="AN117">
        <f>AS112</f>
        <v>156.84</v>
      </c>
      <c r="AO117">
        <f>AS113</f>
        <v>0</v>
      </c>
      <c r="AP117">
        <f>AS114</f>
        <v>0.59</v>
      </c>
      <c r="AQ117">
        <f>AS115</f>
        <v>29.21</v>
      </c>
    </row>
  </sheetData>
  <mergeCells count="21">
    <mergeCell ref="A1:B1"/>
    <mergeCell ref="A2:BN2"/>
    <mergeCell ref="A4:A5"/>
    <mergeCell ref="B4:B5"/>
    <mergeCell ref="C4:C5"/>
    <mergeCell ref="A74:A75"/>
    <mergeCell ref="BN4:BN5"/>
    <mergeCell ref="A70:B70"/>
    <mergeCell ref="BM4:BM5"/>
    <mergeCell ref="A72:AS72"/>
    <mergeCell ref="AS74:AS75"/>
    <mergeCell ref="D4:D5"/>
    <mergeCell ref="C74:C75"/>
    <mergeCell ref="A71:AS71"/>
    <mergeCell ref="E74:AQ74"/>
    <mergeCell ref="D74:D75"/>
    <mergeCell ref="E4:BK4"/>
    <mergeCell ref="AR73:AS73"/>
    <mergeCell ref="BL4:BL5"/>
    <mergeCell ref="B74:B75"/>
    <mergeCell ref="AR74:AR75"/>
  </mergeCells>
  <phoneticPr fontId="4" type="noConversion"/>
  <pageMargins left="0.75" right="0.75" top="1" bottom="1" header="0.5" footer="0.5"/>
  <pageSetup paperSize="9" scale="45" orientation="portrait" r:id="rId1"/>
  <headerFooter alignWithMargins="0"/>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dimension ref="A1:BS118"/>
  <sheetViews>
    <sheetView showZeros="0" topLeftCell="A4" zoomScale="75" workbookViewId="0">
      <pane xSplit="4" ySplit="4" topLeftCell="AS54" activePane="bottomRight" state="frozen"/>
      <selection activeCell="A4" sqref="A4"/>
      <selection pane="topRight" activeCell="E4" sqref="E4"/>
      <selection pane="bottomLeft" activeCell="A8" sqref="A8"/>
      <selection pane="bottomRight" activeCell="AW72" sqref="AW72"/>
    </sheetView>
  </sheetViews>
  <sheetFormatPr defaultRowHeight="24.95" customHeight="1"/>
  <cols>
    <col min="1" max="1" width="6.7109375" customWidth="1"/>
    <col min="2" max="2" width="47.140625" customWidth="1"/>
    <col min="3" max="3" width="8.28515625" style="105" customWidth="1"/>
    <col min="4" max="4" width="13.5703125" customWidth="1"/>
    <col min="5" max="5" width="11.5703125" customWidth="1"/>
    <col min="6" max="6" width="0.140625" hidden="1" customWidth="1"/>
    <col min="7" max="7" width="11.28515625" hidden="1" customWidth="1"/>
    <col min="8" max="8" width="10.85546875" customWidth="1"/>
    <col min="9" max="9" width="11.140625" customWidth="1"/>
    <col min="10" max="10" width="10.5703125" customWidth="1"/>
    <col min="11" max="11" width="10" hidden="1" customWidth="1"/>
    <col min="12" max="12" width="11.140625" hidden="1" customWidth="1"/>
    <col min="13" max="13" width="11.85546875" customWidth="1"/>
    <col min="14" max="15" width="11.28515625" customWidth="1"/>
    <col min="16" max="16" width="12.85546875" customWidth="1"/>
    <col min="17" max="17" width="10.5703125" customWidth="1"/>
    <col min="18" max="18" width="10.85546875" customWidth="1"/>
    <col min="20" max="20" width="10.140625" customWidth="1"/>
    <col min="21" max="21" width="9.85546875" customWidth="1"/>
    <col min="22" max="22" width="11.5703125" customWidth="1"/>
    <col min="23" max="23" width="11.140625" customWidth="1"/>
    <col min="24" max="24" width="10.7109375" customWidth="1"/>
    <col min="25" max="25" width="10.42578125" customWidth="1"/>
    <col min="26" max="26" width="11.140625" customWidth="1"/>
    <col min="27" max="27" width="9.85546875" customWidth="1"/>
    <col min="28" max="39" width="10.42578125" customWidth="1"/>
    <col min="40" max="40" width="11" customWidth="1"/>
    <col min="41" max="43" width="9.42578125" customWidth="1"/>
    <col min="44" max="44" width="10.85546875" customWidth="1"/>
    <col min="45" max="45" width="13.7109375" customWidth="1"/>
    <col min="46" max="47" width="9.42578125" customWidth="1"/>
    <col min="48" max="48" width="11.5703125" customWidth="1"/>
    <col min="49" max="59" width="9" customWidth="1"/>
    <col min="60" max="60" width="10.140625" customWidth="1"/>
    <col min="61" max="62" width="9.85546875" customWidth="1"/>
    <col min="64" max="64" width="10.5703125" customWidth="1"/>
    <col min="65" max="65" width="12.140625" customWidth="1"/>
    <col min="66" max="66" width="13" customWidth="1"/>
    <col min="67" max="67" width="12.5703125" customWidth="1"/>
    <col min="68" max="68" width="12" customWidth="1"/>
  </cols>
  <sheetData>
    <row r="1" spans="1:71" ht="24.95" customHeight="1">
      <c r="A1" s="1300" t="s">
        <v>301</v>
      </c>
      <c r="B1" s="1300"/>
    </row>
    <row r="2" spans="1:71" ht="36.75" customHeight="1">
      <c r="A2" s="1282" t="s">
        <v>963</v>
      </c>
      <c r="B2" s="1282"/>
      <c r="C2" s="1282"/>
      <c r="D2" s="1282"/>
      <c r="E2" s="1282"/>
      <c r="F2" s="1282"/>
      <c r="G2" s="1282"/>
      <c r="H2" s="1282"/>
      <c r="I2" s="1282"/>
      <c r="J2" s="1282"/>
      <c r="K2" s="1282"/>
      <c r="L2" s="1282"/>
      <c r="M2" s="1282"/>
      <c r="N2" s="1282"/>
      <c r="O2" s="1282"/>
      <c r="P2" s="1282"/>
      <c r="Q2" s="1282"/>
      <c r="R2" s="1282"/>
      <c r="S2" s="1282"/>
      <c r="T2" s="1282"/>
      <c r="U2" s="1282"/>
      <c r="V2" s="1282"/>
      <c r="W2" s="1282"/>
      <c r="X2" s="1282"/>
      <c r="Y2" s="1282"/>
      <c r="Z2" s="1282"/>
      <c r="AA2" s="1282"/>
      <c r="AB2" s="1282"/>
      <c r="AC2" s="1282"/>
      <c r="AD2" s="1282"/>
      <c r="AE2" s="1282"/>
      <c r="AF2" s="1282"/>
      <c r="AG2" s="1282"/>
      <c r="AH2" s="1282"/>
      <c r="AI2" s="1282"/>
      <c r="AJ2" s="1282"/>
      <c r="AK2" s="1282"/>
      <c r="AL2" s="1282"/>
      <c r="AM2" s="1282"/>
      <c r="AN2" s="1282"/>
      <c r="AO2" s="1282"/>
      <c r="AP2" s="1282"/>
      <c r="AQ2" s="1282"/>
      <c r="AR2" s="1282"/>
      <c r="AS2" s="1282"/>
      <c r="AT2" s="1282"/>
      <c r="AU2" s="1282"/>
      <c r="AV2" s="1282"/>
      <c r="AW2" s="1282"/>
      <c r="AX2" s="1282"/>
      <c r="AY2" s="1282"/>
      <c r="AZ2" s="1282"/>
      <c r="BA2" s="1282"/>
      <c r="BB2" s="1282"/>
      <c r="BC2" s="1282"/>
      <c r="BD2" s="1282"/>
      <c r="BE2" s="1282"/>
      <c r="BF2" s="1282"/>
      <c r="BG2" s="1282"/>
      <c r="BH2" s="1282"/>
      <c r="BI2" s="1282"/>
      <c r="BJ2" s="1282"/>
      <c r="BK2" s="1282"/>
      <c r="BL2" s="1282"/>
      <c r="BM2" s="1282"/>
      <c r="BN2" s="1282"/>
    </row>
    <row r="4" spans="1:71" ht="33" customHeight="1">
      <c r="A4" s="1275" t="s">
        <v>136</v>
      </c>
      <c r="B4" s="1275" t="s">
        <v>469</v>
      </c>
      <c r="C4" s="1275" t="s">
        <v>13</v>
      </c>
      <c r="D4" s="1275" t="s">
        <v>693</v>
      </c>
      <c r="E4" s="1368" t="s">
        <v>694</v>
      </c>
      <c r="F4" s="1368"/>
      <c r="G4" s="1368"/>
      <c r="H4" s="1368"/>
      <c r="I4" s="1368"/>
      <c r="J4" s="1368"/>
      <c r="K4" s="1368"/>
      <c r="L4" s="1368"/>
      <c r="M4" s="1368"/>
      <c r="N4" s="1368"/>
      <c r="O4" s="1368"/>
      <c r="P4" s="1368"/>
      <c r="Q4" s="1368"/>
      <c r="R4" s="1368"/>
      <c r="S4" s="1368"/>
      <c r="T4" s="1368"/>
      <c r="U4" s="1368"/>
      <c r="V4" s="1368"/>
      <c r="W4" s="1368"/>
      <c r="X4" s="1368"/>
      <c r="Y4" s="1368"/>
      <c r="Z4" s="1368"/>
      <c r="AA4" s="1368"/>
      <c r="AB4" s="1368"/>
      <c r="AC4" s="1368"/>
      <c r="AD4" s="1368"/>
      <c r="AE4" s="1368"/>
      <c r="AF4" s="1368"/>
      <c r="AG4" s="1368"/>
      <c r="AH4" s="1368"/>
      <c r="AI4" s="1368"/>
      <c r="AJ4" s="1368"/>
      <c r="AK4" s="1368"/>
      <c r="AL4" s="1368"/>
      <c r="AM4" s="1368"/>
      <c r="AN4" s="1368"/>
      <c r="AO4" s="1368"/>
      <c r="AP4" s="1368"/>
      <c r="AQ4" s="1368"/>
      <c r="AR4" s="1368"/>
      <c r="AS4" s="1368"/>
      <c r="AT4" s="1368"/>
      <c r="AU4" s="1368"/>
      <c r="AV4" s="1368"/>
      <c r="AW4" s="1368"/>
      <c r="AX4" s="1368"/>
      <c r="AY4" s="1368"/>
      <c r="AZ4" s="1368"/>
      <c r="BA4" s="1368"/>
      <c r="BB4" s="1368"/>
      <c r="BC4" s="1368"/>
      <c r="BD4" s="1368"/>
      <c r="BE4" s="1368"/>
      <c r="BF4" s="1368"/>
      <c r="BG4" s="1368"/>
      <c r="BH4" s="1368"/>
      <c r="BI4" s="1368"/>
      <c r="BJ4" s="1368"/>
      <c r="BK4" s="1368"/>
      <c r="BL4" s="1365" t="s">
        <v>191</v>
      </c>
      <c r="BM4" s="1365" t="s">
        <v>493</v>
      </c>
      <c r="BN4" s="1365" t="s">
        <v>695</v>
      </c>
    </row>
    <row r="5" spans="1:71" ht="35.25" customHeight="1">
      <c r="A5" s="1275"/>
      <c r="B5" s="1275"/>
      <c r="C5" s="1275"/>
      <c r="D5" s="1275"/>
      <c r="E5" s="128" t="s">
        <v>15</v>
      </c>
      <c r="F5" s="128" t="s">
        <v>193</v>
      </c>
      <c r="G5" s="128" t="s">
        <v>194</v>
      </c>
      <c r="H5" s="128" t="s">
        <v>18</v>
      </c>
      <c r="I5" s="128" t="s">
        <v>20</v>
      </c>
      <c r="J5" s="128" t="s">
        <v>195</v>
      </c>
      <c r="K5" s="128" t="s">
        <v>196</v>
      </c>
      <c r="L5" s="128" t="s">
        <v>197</v>
      </c>
      <c r="M5" s="128" t="s">
        <v>23</v>
      </c>
      <c r="N5" s="128" t="s">
        <v>26</v>
      </c>
      <c r="O5" s="128" t="s">
        <v>198</v>
      </c>
      <c r="P5" s="128" t="s">
        <v>29</v>
      </c>
      <c r="Q5" s="128" t="s">
        <v>32</v>
      </c>
      <c r="R5" s="128" t="s">
        <v>35</v>
      </c>
      <c r="S5" s="128" t="s">
        <v>38</v>
      </c>
      <c r="T5" s="128" t="s">
        <v>41</v>
      </c>
      <c r="U5" s="128" t="s">
        <v>44</v>
      </c>
      <c r="V5" s="128" t="s">
        <v>46</v>
      </c>
      <c r="W5" s="128" t="s">
        <v>49</v>
      </c>
      <c r="X5" s="128" t="s">
        <v>52</v>
      </c>
      <c r="Y5" s="128" t="s">
        <v>55</v>
      </c>
      <c r="Z5" s="128" t="s">
        <v>58</v>
      </c>
      <c r="AA5" s="128" t="s">
        <v>61</v>
      </c>
      <c r="AB5" s="128" t="s">
        <v>64</v>
      </c>
      <c r="AC5" s="128" t="s">
        <v>67</v>
      </c>
      <c r="AD5" s="128" t="s">
        <v>70</v>
      </c>
      <c r="AE5" s="128" t="s">
        <v>72</v>
      </c>
      <c r="AF5" s="128" t="s">
        <v>202</v>
      </c>
      <c r="AG5" s="128" t="s">
        <v>203</v>
      </c>
      <c r="AH5" s="128" t="s">
        <v>204</v>
      </c>
      <c r="AI5" s="128" t="s">
        <v>205</v>
      </c>
      <c r="AJ5" s="128" t="s">
        <v>206</v>
      </c>
      <c r="AK5" s="128" t="s">
        <v>207</v>
      </c>
      <c r="AL5" s="128" t="s">
        <v>199</v>
      </c>
      <c r="AM5" s="128" t="s">
        <v>200</v>
      </c>
      <c r="AN5" s="128" t="s">
        <v>223</v>
      </c>
      <c r="AO5" s="128" t="s">
        <v>201</v>
      </c>
      <c r="AP5" s="128" t="s">
        <v>208</v>
      </c>
      <c r="AQ5" s="128" t="s">
        <v>75</v>
      </c>
      <c r="AR5" s="128" t="s">
        <v>78</v>
      </c>
      <c r="AS5" s="128" t="s">
        <v>81</v>
      </c>
      <c r="AT5" s="128" t="s">
        <v>84</v>
      </c>
      <c r="AU5" s="128" t="s">
        <v>87</v>
      </c>
      <c r="AV5" s="128" t="s">
        <v>90</v>
      </c>
      <c r="AW5" s="128" t="s">
        <v>93</v>
      </c>
      <c r="AX5" s="128" t="s">
        <v>96</v>
      </c>
      <c r="AY5" s="128" t="s">
        <v>99</v>
      </c>
      <c r="AZ5" s="128" t="s">
        <v>101</v>
      </c>
      <c r="BA5" s="128" t="s">
        <v>104</v>
      </c>
      <c r="BB5" s="128" t="s">
        <v>107</v>
      </c>
      <c r="BC5" s="128" t="s">
        <v>110</v>
      </c>
      <c r="BD5" s="128" t="s">
        <v>113</v>
      </c>
      <c r="BE5" s="128" t="s">
        <v>116</v>
      </c>
      <c r="BF5" s="128" t="s">
        <v>119</v>
      </c>
      <c r="BG5" s="128" t="s">
        <v>122</v>
      </c>
      <c r="BH5" s="128" t="s">
        <v>124</v>
      </c>
      <c r="BI5" s="128" t="s">
        <v>209</v>
      </c>
      <c r="BJ5" s="128" t="s">
        <v>210</v>
      </c>
      <c r="BK5" s="128" t="s">
        <v>211</v>
      </c>
      <c r="BL5" s="1366"/>
      <c r="BM5" s="1366"/>
      <c r="BN5" s="1366"/>
    </row>
    <row r="6" spans="1:71" ht="24.95" customHeight="1">
      <c r="A6" s="104" t="s">
        <v>235</v>
      </c>
      <c r="B6" s="104" t="s">
        <v>236</v>
      </c>
      <c r="C6" s="104" t="s">
        <v>237</v>
      </c>
      <c r="D6" s="104" t="s">
        <v>238</v>
      </c>
      <c r="E6" s="104" t="s">
        <v>239</v>
      </c>
      <c r="F6" s="104" t="s">
        <v>240</v>
      </c>
      <c r="G6" s="104" t="s">
        <v>241</v>
      </c>
      <c r="H6" s="104" t="s">
        <v>242</v>
      </c>
      <c r="I6" s="104" t="s">
        <v>243</v>
      </c>
      <c r="J6" s="104" t="s">
        <v>244</v>
      </c>
      <c r="K6" s="104" t="s">
        <v>245</v>
      </c>
      <c r="L6" s="104" t="s">
        <v>246</v>
      </c>
      <c r="M6" s="104" t="s">
        <v>247</v>
      </c>
      <c r="N6" s="104" t="s">
        <v>248</v>
      </c>
      <c r="O6" s="104" t="s">
        <v>249</v>
      </c>
      <c r="P6" s="104" t="s">
        <v>250</v>
      </c>
      <c r="Q6" s="104" t="s">
        <v>251</v>
      </c>
      <c r="R6" s="104" t="s">
        <v>252</v>
      </c>
      <c r="S6" s="104" t="s">
        <v>253</v>
      </c>
      <c r="T6" s="104" t="s">
        <v>254</v>
      </c>
      <c r="U6" s="104" t="s">
        <v>255</v>
      </c>
      <c r="V6" s="104" t="s">
        <v>256</v>
      </c>
      <c r="W6" s="104" t="s">
        <v>257</v>
      </c>
      <c r="X6" s="104" t="s">
        <v>258</v>
      </c>
      <c r="Y6" s="104" t="s">
        <v>259</v>
      </c>
      <c r="Z6" s="104" t="s">
        <v>260</v>
      </c>
      <c r="AA6" s="104" t="s">
        <v>261</v>
      </c>
      <c r="AB6" s="104" t="s">
        <v>262</v>
      </c>
      <c r="AC6" s="104" t="s">
        <v>263</v>
      </c>
      <c r="AD6" s="104" t="s">
        <v>264</v>
      </c>
      <c r="AE6" s="104" t="s">
        <v>265</v>
      </c>
      <c r="AF6" s="104" t="s">
        <v>266</v>
      </c>
      <c r="AG6" s="104" t="s">
        <v>267</v>
      </c>
      <c r="AH6" s="104" t="s">
        <v>268</v>
      </c>
      <c r="AI6" s="104" t="s">
        <v>269</v>
      </c>
      <c r="AJ6" s="104" t="s">
        <v>270</v>
      </c>
      <c r="AK6" s="104" t="s">
        <v>271</v>
      </c>
      <c r="AL6" s="104" t="s">
        <v>272</v>
      </c>
      <c r="AM6" s="104" t="s">
        <v>273</v>
      </c>
      <c r="AN6" s="104" t="s">
        <v>274</v>
      </c>
      <c r="AO6" s="104" t="s">
        <v>275</v>
      </c>
      <c r="AP6" s="104" t="s">
        <v>276</v>
      </c>
      <c r="AQ6" s="104" t="s">
        <v>277</v>
      </c>
      <c r="AR6" s="104" t="s">
        <v>278</v>
      </c>
      <c r="AS6" s="104" t="s">
        <v>279</v>
      </c>
      <c r="AT6" s="104" t="s">
        <v>280</v>
      </c>
      <c r="AU6" s="104" t="s">
        <v>281</v>
      </c>
      <c r="AV6" s="104" t="s">
        <v>282</v>
      </c>
      <c r="AW6" s="104" t="s">
        <v>283</v>
      </c>
      <c r="AX6" s="104" t="s">
        <v>284</v>
      </c>
      <c r="AY6" s="104" t="s">
        <v>285</v>
      </c>
      <c r="AZ6" s="104" t="s">
        <v>286</v>
      </c>
      <c r="BA6" s="104" t="s">
        <v>287</v>
      </c>
      <c r="BB6" s="104" t="s">
        <v>288</v>
      </c>
      <c r="BC6" s="104" t="s">
        <v>289</v>
      </c>
      <c r="BD6" s="104" t="s">
        <v>290</v>
      </c>
      <c r="BE6" s="104" t="s">
        <v>291</v>
      </c>
      <c r="BF6" s="104" t="s">
        <v>292</v>
      </c>
      <c r="BG6" s="104" t="s">
        <v>293</v>
      </c>
      <c r="BH6" s="104" t="s">
        <v>294</v>
      </c>
      <c r="BI6" s="104" t="s">
        <v>295</v>
      </c>
      <c r="BJ6" s="104" t="s">
        <v>296</v>
      </c>
      <c r="BK6" s="104" t="s">
        <v>297</v>
      </c>
      <c r="BL6" s="104" t="s">
        <v>298</v>
      </c>
      <c r="BM6" s="104" t="s">
        <v>299</v>
      </c>
      <c r="BN6" s="104" t="s">
        <v>300</v>
      </c>
    </row>
    <row r="7" spans="1:71" s="8" customFormat="1" ht="31.5" customHeight="1">
      <c r="A7" s="3"/>
      <c r="B7" s="3" t="s">
        <v>470</v>
      </c>
      <c r="C7" s="3"/>
      <c r="D7" s="174">
        <f>D8+D25+D63</f>
        <v>5982.15</v>
      </c>
      <c r="E7" s="174">
        <f>E8+E25+E63</f>
        <v>2761.9</v>
      </c>
      <c r="F7" s="174">
        <f t="shared" ref="F7:BN7" si="0">F8+F25+F63</f>
        <v>351.20000000000005</v>
      </c>
      <c r="G7" s="174">
        <f t="shared" si="0"/>
        <v>306.48</v>
      </c>
      <c r="H7" s="174">
        <f t="shared" si="0"/>
        <v>217.68</v>
      </c>
      <c r="I7" s="174">
        <f t="shared" si="0"/>
        <v>164.66</v>
      </c>
      <c r="J7" s="174">
        <f t="shared" si="0"/>
        <v>53.02</v>
      </c>
      <c r="K7" s="174">
        <f t="shared" si="0"/>
        <v>0</v>
      </c>
      <c r="L7" s="174">
        <f t="shared" si="0"/>
        <v>0</v>
      </c>
      <c r="M7" s="174">
        <f t="shared" si="0"/>
        <v>88.8</v>
      </c>
      <c r="N7" s="174">
        <f t="shared" si="0"/>
        <v>44.72</v>
      </c>
      <c r="O7" s="174">
        <f t="shared" si="0"/>
        <v>1786.2500000000002</v>
      </c>
      <c r="P7" s="174">
        <f t="shared" si="0"/>
        <v>1778.1000000000001</v>
      </c>
      <c r="Q7" s="174">
        <f t="shared" si="0"/>
        <v>0</v>
      </c>
      <c r="R7" s="174">
        <f t="shared" si="0"/>
        <v>8.15</v>
      </c>
      <c r="S7" s="174">
        <f t="shared" si="0"/>
        <v>624.07000000000005</v>
      </c>
      <c r="T7" s="174">
        <f t="shared" si="0"/>
        <v>0</v>
      </c>
      <c r="U7" s="174">
        <f t="shared" si="0"/>
        <v>0.38</v>
      </c>
      <c r="V7" s="174">
        <f t="shared" si="0"/>
        <v>371.06999999999994</v>
      </c>
      <c r="W7" s="174">
        <f t="shared" si="0"/>
        <v>0</v>
      </c>
      <c r="X7" s="174">
        <f t="shared" si="0"/>
        <v>0</v>
      </c>
      <c r="Y7" s="174">
        <f t="shared" si="0"/>
        <v>0</v>
      </c>
      <c r="Z7" s="174">
        <f t="shared" si="0"/>
        <v>0</v>
      </c>
      <c r="AA7" s="174">
        <f t="shared" si="0"/>
        <v>0</v>
      </c>
      <c r="AB7" s="174">
        <f t="shared" si="0"/>
        <v>5.2700000000000005</v>
      </c>
      <c r="AC7" s="174">
        <f t="shared" si="0"/>
        <v>1.4499999999999993</v>
      </c>
      <c r="AD7" s="174">
        <f t="shared" si="0"/>
        <v>0</v>
      </c>
      <c r="AE7" s="174">
        <f t="shared" si="0"/>
        <v>166.46999999999997</v>
      </c>
      <c r="AF7" s="174">
        <f t="shared" si="0"/>
        <v>0</v>
      </c>
      <c r="AG7" s="174">
        <f t="shared" si="0"/>
        <v>0.1</v>
      </c>
      <c r="AH7" s="174">
        <f t="shared" si="0"/>
        <v>3.66</v>
      </c>
      <c r="AI7" s="174">
        <f t="shared" si="0"/>
        <v>2.0499999999999998</v>
      </c>
      <c r="AJ7" s="174">
        <f t="shared" si="0"/>
        <v>0</v>
      </c>
      <c r="AK7" s="174">
        <f t="shared" si="0"/>
        <v>0</v>
      </c>
      <c r="AL7" s="174">
        <f t="shared" si="0"/>
        <v>63.51</v>
      </c>
      <c r="AM7" s="174">
        <f t="shared" si="0"/>
        <v>97.05</v>
      </c>
      <c r="AN7" s="174">
        <f t="shared" si="0"/>
        <v>0.06</v>
      </c>
      <c r="AO7" s="174">
        <f t="shared" si="0"/>
        <v>0.04</v>
      </c>
      <c r="AP7" s="174">
        <f t="shared" si="0"/>
        <v>0</v>
      </c>
      <c r="AQ7" s="174">
        <f t="shared" si="0"/>
        <v>7.0000000000000007E-2</v>
      </c>
      <c r="AR7" s="174">
        <f t="shared" si="0"/>
        <v>0</v>
      </c>
      <c r="AS7" s="174">
        <f t="shared" si="0"/>
        <v>1.23</v>
      </c>
      <c r="AT7" s="174">
        <f t="shared" si="0"/>
        <v>50.499999999999993</v>
      </c>
      <c r="AU7" s="174">
        <f t="shared" si="0"/>
        <v>0</v>
      </c>
      <c r="AV7" s="174">
        <f t="shared" si="0"/>
        <v>0.91</v>
      </c>
      <c r="AW7" s="174">
        <f t="shared" si="0"/>
        <v>0</v>
      </c>
      <c r="AX7" s="174">
        <f t="shared" si="0"/>
        <v>0</v>
      </c>
      <c r="AY7" s="174">
        <f t="shared" si="0"/>
        <v>0.71</v>
      </c>
      <c r="AZ7" s="174">
        <f t="shared" si="0"/>
        <v>19</v>
      </c>
      <c r="BA7" s="174">
        <f t="shared" si="0"/>
        <v>0</v>
      </c>
      <c r="BB7" s="174">
        <f t="shared" si="0"/>
        <v>0.56999999999999995</v>
      </c>
      <c r="BC7" s="174">
        <f t="shared" si="0"/>
        <v>0</v>
      </c>
      <c r="BD7" s="174">
        <f t="shared" si="0"/>
        <v>1.53</v>
      </c>
      <c r="BE7" s="174">
        <f t="shared" si="0"/>
        <v>96.1</v>
      </c>
      <c r="BF7" s="174">
        <f t="shared" si="0"/>
        <v>25.759999999999998</v>
      </c>
      <c r="BG7" s="174">
        <f t="shared" si="0"/>
        <v>1.5</v>
      </c>
      <c r="BH7" s="174">
        <f t="shared" si="0"/>
        <v>2849.18</v>
      </c>
      <c r="BI7" s="174">
        <f t="shared" si="0"/>
        <v>2845.24</v>
      </c>
      <c r="BJ7" s="174">
        <f t="shared" si="0"/>
        <v>3.94</v>
      </c>
      <c r="BK7" s="174">
        <f t="shared" si="0"/>
        <v>0</v>
      </c>
      <c r="BL7" s="174"/>
      <c r="BM7" s="174">
        <f t="shared" si="0"/>
        <v>22.009999999999991</v>
      </c>
      <c r="BN7" s="174">
        <f t="shared" si="0"/>
        <v>6004.16</v>
      </c>
      <c r="BO7" s="510">
        <f>BN8+BN25+BN63</f>
        <v>6004.16</v>
      </c>
    </row>
    <row r="8" spans="1:71" s="7" customFormat="1" ht="21" customHeight="1">
      <c r="A8" s="6">
        <v>1</v>
      </c>
      <c r="B8" s="109" t="s">
        <v>14</v>
      </c>
      <c r="C8" s="6" t="s">
        <v>15</v>
      </c>
      <c r="D8" s="175">
        <f>D9+D18+D22+D23+D24</f>
        <v>2732.84</v>
      </c>
      <c r="E8" s="175">
        <f>D8-BL8</f>
        <v>2719.38</v>
      </c>
      <c r="F8" s="175">
        <f>G8+N8</f>
        <v>351.20000000000005</v>
      </c>
      <c r="G8" s="175">
        <f>H8+L8+M8</f>
        <v>306.48</v>
      </c>
      <c r="H8" s="175">
        <f>I8+J8+K8</f>
        <v>217.68</v>
      </c>
      <c r="I8" s="175">
        <f>I9+I18+I22+I23+I24</f>
        <v>164.66</v>
      </c>
      <c r="J8" s="175">
        <f t="shared" ref="J8:BG8" si="1">J9+J18+J22+J23+J24</f>
        <v>53.02</v>
      </c>
      <c r="K8" s="175">
        <f t="shared" si="1"/>
        <v>0</v>
      </c>
      <c r="L8" s="175">
        <f t="shared" si="1"/>
        <v>0</v>
      </c>
      <c r="M8" s="175">
        <f t="shared" si="1"/>
        <v>88.8</v>
      </c>
      <c r="N8" s="175">
        <f t="shared" si="1"/>
        <v>44.72</v>
      </c>
      <c r="O8" s="175">
        <f>P8+Q8+R8</f>
        <v>1786.2500000000002</v>
      </c>
      <c r="P8" s="175">
        <f t="shared" si="1"/>
        <v>1778.1000000000001</v>
      </c>
      <c r="Q8" s="175">
        <f t="shared" si="1"/>
        <v>0</v>
      </c>
      <c r="R8" s="175">
        <f t="shared" si="1"/>
        <v>8.15</v>
      </c>
      <c r="S8" s="175">
        <f t="shared" si="1"/>
        <v>581.55000000000007</v>
      </c>
      <c r="T8" s="175">
        <f t="shared" si="1"/>
        <v>0</v>
      </c>
      <c r="U8" s="175">
        <f t="shared" si="1"/>
        <v>0.38</v>
      </c>
      <c r="V8" s="175">
        <f t="shared" si="1"/>
        <v>13.46</v>
      </c>
      <c r="W8" s="175">
        <f t="shared" si="1"/>
        <v>0</v>
      </c>
      <c r="X8" s="175">
        <f t="shared" si="1"/>
        <v>0</v>
      </c>
      <c r="Y8" s="175">
        <f t="shared" si="1"/>
        <v>0</v>
      </c>
      <c r="Z8" s="175">
        <f t="shared" si="1"/>
        <v>0</v>
      </c>
      <c r="AA8" s="175">
        <f t="shared" si="1"/>
        <v>0</v>
      </c>
      <c r="AB8" s="175">
        <f t="shared" si="1"/>
        <v>0.04</v>
      </c>
      <c r="AC8" s="175">
        <f t="shared" si="1"/>
        <v>0</v>
      </c>
      <c r="AD8" s="175">
        <f t="shared" si="1"/>
        <v>0</v>
      </c>
      <c r="AE8" s="175">
        <f t="shared" si="1"/>
        <v>12.53</v>
      </c>
      <c r="AF8" s="175">
        <f t="shared" si="1"/>
        <v>0</v>
      </c>
      <c r="AG8" s="175">
        <f t="shared" si="1"/>
        <v>0</v>
      </c>
      <c r="AH8" s="175">
        <f t="shared" si="1"/>
        <v>0</v>
      </c>
      <c r="AI8" s="175">
        <f t="shared" si="1"/>
        <v>0</v>
      </c>
      <c r="AJ8" s="175">
        <f t="shared" si="1"/>
        <v>0</v>
      </c>
      <c r="AK8" s="175">
        <f t="shared" si="1"/>
        <v>0</v>
      </c>
      <c r="AL8" s="175">
        <f t="shared" si="1"/>
        <v>12.53</v>
      </c>
      <c r="AM8" s="175">
        <f t="shared" si="1"/>
        <v>0</v>
      </c>
      <c r="AN8" s="175">
        <f t="shared" si="1"/>
        <v>0</v>
      </c>
      <c r="AO8" s="175">
        <f t="shared" si="1"/>
        <v>0</v>
      </c>
      <c r="AP8" s="175">
        <f t="shared" si="1"/>
        <v>0</v>
      </c>
      <c r="AQ8" s="175">
        <f t="shared" si="1"/>
        <v>0</v>
      </c>
      <c r="AR8" s="175">
        <f t="shared" si="1"/>
        <v>0</v>
      </c>
      <c r="AS8" s="175">
        <f t="shared" si="1"/>
        <v>0.09</v>
      </c>
      <c r="AT8" s="175">
        <f t="shared" si="1"/>
        <v>0.8</v>
      </c>
      <c r="AU8" s="175">
        <f t="shared" si="1"/>
        <v>0</v>
      </c>
      <c r="AV8" s="175">
        <f t="shared" si="1"/>
        <v>0</v>
      </c>
      <c r="AW8" s="175">
        <f t="shared" si="1"/>
        <v>0</v>
      </c>
      <c r="AX8" s="175">
        <f t="shared" si="1"/>
        <v>0</v>
      </c>
      <c r="AY8" s="175">
        <f t="shared" si="1"/>
        <v>0</v>
      </c>
      <c r="AZ8" s="175">
        <f t="shared" si="1"/>
        <v>0</v>
      </c>
      <c r="BA8" s="175">
        <f t="shared" si="1"/>
        <v>0</v>
      </c>
      <c r="BB8" s="175">
        <f t="shared" si="1"/>
        <v>0</v>
      </c>
      <c r="BC8" s="175">
        <f t="shared" si="1"/>
        <v>0</v>
      </c>
      <c r="BD8" s="175">
        <f t="shared" si="1"/>
        <v>0</v>
      </c>
      <c r="BE8" s="175">
        <f t="shared" si="1"/>
        <v>0</v>
      </c>
      <c r="BF8" s="175">
        <f t="shared" si="1"/>
        <v>0</v>
      </c>
      <c r="BG8" s="175">
        <f t="shared" si="1"/>
        <v>0</v>
      </c>
      <c r="BH8" s="175">
        <f>BH9+BH18+BH22+BH23+BH24</f>
        <v>0</v>
      </c>
      <c r="BI8" s="175">
        <f>BI9+BI18+BI22+BI23+BI24</f>
        <v>0</v>
      </c>
      <c r="BJ8" s="175">
        <f>BJ9+BJ18+BJ22+BJ23+BJ24</f>
        <v>0</v>
      </c>
      <c r="BK8" s="175">
        <f>BK9+BK18+BK22+BK23+BK24</f>
        <v>0</v>
      </c>
      <c r="BL8" s="175">
        <f>V8+BH8</f>
        <v>13.46</v>
      </c>
      <c r="BM8" s="175">
        <f>E68-BL8</f>
        <v>48.62</v>
      </c>
      <c r="BN8" s="175">
        <f>D8+BM8</f>
        <v>2781.46</v>
      </c>
      <c r="BO8" s="511">
        <f>E68-BL8</f>
        <v>48.62</v>
      </c>
      <c r="BP8" s="8"/>
    </row>
    <row r="9" spans="1:71" s="2" customFormat="1" ht="21.75" hidden="1" customHeight="1">
      <c r="A9" s="5" t="s">
        <v>16</v>
      </c>
      <c r="B9" s="72" t="s">
        <v>471</v>
      </c>
      <c r="C9" s="5" t="s">
        <v>193</v>
      </c>
      <c r="D9" s="100">
        <f>D10+D17</f>
        <v>361.37</v>
      </c>
      <c r="E9" s="100">
        <f>F9+O9+S9+T9+U9</f>
        <v>365.34000000000003</v>
      </c>
      <c r="F9" s="100">
        <f>D9-BK9</f>
        <v>361.37</v>
      </c>
      <c r="G9" s="100">
        <f>H9+L9+M9</f>
        <v>306.48</v>
      </c>
      <c r="H9" s="100">
        <f>I9+J9+K9</f>
        <v>217.68</v>
      </c>
      <c r="I9" s="100">
        <f>I10+I17</f>
        <v>164.66</v>
      </c>
      <c r="J9" s="100">
        <f t="shared" ref="J9:BG9" si="2">J10+J17</f>
        <v>53.02</v>
      </c>
      <c r="K9" s="100">
        <f t="shared" si="2"/>
        <v>0</v>
      </c>
      <c r="L9" s="100">
        <f t="shared" si="2"/>
        <v>0</v>
      </c>
      <c r="M9" s="100">
        <f t="shared" si="2"/>
        <v>88.8</v>
      </c>
      <c r="N9" s="100">
        <f t="shared" si="2"/>
        <v>44.72</v>
      </c>
      <c r="O9" s="100">
        <f t="shared" ref="O9:O17" si="3">P9+Q9+R9</f>
        <v>0</v>
      </c>
      <c r="P9" s="100">
        <f t="shared" si="2"/>
        <v>0</v>
      </c>
      <c r="Q9" s="100">
        <f t="shared" si="2"/>
        <v>0</v>
      </c>
      <c r="R9" s="100">
        <f t="shared" si="2"/>
        <v>0</v>
      </c>
      <c r="S9" s="100">
        <f t="shared" si="2"/>
        <v>3.9699999999999998</v>
      </c>
      <c r="T9" s="100">
        <f t="shared" si="2"/>
        <v>0</v>
      </c>
      <c r="U9" s="100">
        <f t="shared" si="2"/>
        <v>0</v>
      </c>
      <c r="V9" s="100">
        <f t="shared" si="2"/>
        <v>6.2000000000000011</v>
      </c>
      <c r="W9" s="100">
        <f t="shared" si="2"/>
        <v>0</v>
      </c>
      <c r="X9" s="100">
        <f t="shared" si="2"/>
        <v>0</v>
      </c>
      <c r="Y9" s="100">
        <f t="shared" si="2"/>
        <v>0</v>
      </c>
      <c r="Z9" s="100">
        <f t="shared" si="2"/>
        <v>0</v>
      </c>
      <c r="AA9" s="100">
        <f t="shared" si="2"/>
        <v>0</v>
      </c>
      <c r="AB9" s="100">
        <f t="shared" si="2"/>
        <v>0.04</v>
      </c>
      <c r="AC9" s="100">
        <f t="shared" si="2"/>
        <v>0</v>
      </c>
      <c r="AD9" s="100">
        <f t="shared" si="2"/>
        <v>0</v>
      </c>
      <c r="AE9" s="100">
        <f t="shared" si="2"/>
        <v>5.3599999999999994</v>
      </c>
      <c r="AF9" s="100">
        <f t="shared" si="2"/>
        <v>0</v>
      </c>
      <c r="AG9" s="100">
        <f t="shared" si="2"/>
        <v>0</v>
      </c>
      <c r="AH9" s="100">
        <f t="shared" si="2"/>
        <v>0</v>
      </c>
      <c r="AI9" s="100">
        <f t="shared" si="2"/>
        <v>0</v>
      </c>
      <c r="AJ9" s="100">
        <f t="shared" si="2"/>
        <v>0</v>
      </c>
      <c r="AK9" s="100">
        <f t="shared" si="2"/>
        <v>0</v>
      </c>
      <c r="AL9" s="100">
        <f t="shared" si="2"/>
        <v>5.3599999999999994</v>
      </c>
      <c r="AM9" s="100">
        <f t="shared" si="2"/>
        <v>0</v>
      </c>
      <c r="AN9" s="100">
        <f t="shared" si="2"/>
        <v>0</v>
      </c>
      <c r="AO9" s="100">
        <f t="shared" si="2"/>
        <v>0</v>
      </c>
      <c r="AP9" s="100">
        <f t="shared" si="2"/>
        <v>0</v>
      </c>
      <c r="AQ9" s="100">
        <f t="shared" si="2"/>
        <v>0</v>
      </c>
      <c r="AR9" s="100">
        <f t="shared" si="2"/>
        <v>0</v>
      </c>
      <c r="AS9" s="100">
        <f t="shared" si="2"/>
        <v>0</v>
      </c>
      <c r="AT9" s="100">
        <f t="shared" si="2"/>
        <v>0.8</v>
      </c>
      <c r="AU9" s="100">
        <f t="shared" si="2"/>
        <v>0</v>
      </c>
      <c r="AV9" s="100">
        <f t="shared" si="2"/>
        <v>0</v>
      </c>
      <c r="AW9" s="100">
        <f t="shared" si="2"/>
        <v>0</v>
      </c>
      <c r="AX9" s="100">
        <f t="shared" si="2"/>
        <v>0</v>
      </c>
      <c r="AY9" s="100">
        <f t="shared" si="2"/>
        <v>0</v>
      </c>
      <c r="AZ9" s="100">
        <f t="shared" si="2"/>
        <v>0</v>
      </c>
      <c r="BA9" s="100">
        <f t="shared" si="2"/>
        <v>0</v>
      </c>
      <c r="BB9" s="100">
        <f t="shared" si="2"/>
        <v>0</v>
      </c>
      <c r="BC9" s="100">
        <f t="shared" si="2"/>
        <v>0</v>
      </c>
      <c r="BD9" s="100">
        <f t="shared" si="2"/>
        <v>0</v>
      </c>
      <c r="BE9" s="100">
        <f t="shared" si="2"/>
        <v>0</v>
      </c>
      <c r="BF9" s="100">
        <f t="shared" si="2"/>
        <v>0</v>
      </c>
      <c r="BG9" s="100">
        <f t="shared" si="2"/>
        <v>0</v>
      </c>
      <c r="BH9" s="100">
        <f>BH10+BH17</f>
        <v>0</v>
      </c>
      <c r="BI9" s="100">
        <f>BI10+BI17</f>
        <v>0</v>
      </c>
      <c r="BJ9" s="100">
        <f>BJ10+BJ17</f>
        <v>0</v>
      </c>
      <c r="BK9" s="100">
        <f>BK10+BK17</f>
        <v>0</v>
      </c>
      <c r="BL9" s="100">
        <f>O9+S9+T9+U9+V9+BH9</f>
        <v>10.170000000000002</v>
      </c>
      <c r="BM9" s="100">
        <f>BM10+BM17</f>
        <v>-10.170000000000002</v>
      </c>
      <c r="BN9" s="100">
        <f>D9+BM9</f>
        <v>351.2</v>
      </c>
      <c r="BO9" s="190">
        <f>BO10+BN17</f>
        <v>351.20000000000005</v>
      </c>
      <c r="BP9" s="8"/>
    </row>
    <row r="10" spans="1:71" s="2" customFormat="1" ht="19.5" hidden="1" customHeight="1">
      <c r="A10" s="5" t="s">
        <v>212</v>
      </c>
      <c r="B10" s="72" t="s">
        <v>472</v>
      </c>
      <c r="C10" s="5" t="s">
        <v>194</v>
      </c>
      <c r="D10" s="100">
        <f>D11+D15+D16</f>
        <v>315.58</v>
      </c>
      <c r="E10" s="100">
        <f t="shared" ref="E10:E66" si="4">F10+O10+S10+T10+U10</f>
        <v>310.43999999999994</v>
      </c>
      <c r="F10" s="100">
        <f>G10+N10</f>
        <v>306.47999999999996</v>
      </c>
      <c r="G10" s="100">
        <f>D10-BL10</f>
        <v>306.47999999999996</v>
      </c>
      <c r="H10" s="100">
        <f>I10+J10+K10</f>
        <v>217.68</v>
      </c>
      <c r="I10" s="100">
        <f>I11+I15+I16</f>
        <v>164.66</v>
      </c>
      <c r="J10" s="100">
        <f t="shared" ref="J10:BG10" si="5">J11+J15+J16</f>
        <v>53.02</v>
      </c>
      <c r="K10" s="100">
        <f t="shared" si="5"/>
        <v>0</v>
      </c>
      <c r="L10" s="100">
        <f t="shared" si="5"/>
        <v>0</v>
      </c>
      <c r="M10" s="100">
        <f t="shared" si="5"/>
        <v>88.8</v>
      </c>
      <c r="N10" s="100">
        <f t="shared" si="5"/>
        <v>0</v>
      </c>
      <c r="O10" s="100">
        <f t="shared" si="3"/>
        <v>0</v>
      </c>
      <c r="P10" s="100">
        <f t="shared" si="5"/>
        <v>0</v>
      </c>
      <c r="Q10" s="100">
        <f t="shared" si="5"/>
        <v>0</v>
      </c>
      <c r="R10" s="100">
        <f t="shared" si="5"/>
        <v>0</v>
      </c>
      <c r="S10" s="100">
        <f t="shared" si="5"/>
        <v>3.96</v>
      </c>
      <c r="T10" s="100">
        <f t="shared" si="5"/>
        <v>0</v>
      </c>
      <c r="U10" s="100">
        <f t="shared" si="5"/>
        <v>0</v>
      </c>
      <c r="V10" s="100">
        <f t="shared" si="5"/>
        <v>5.1400000000000006</v>
      </c>
      <c r="W10" s="100">
        <f t="shared" si="5"/>
        <v>0</v>
      </c>
      <c r="X10" s="100">
        <f t="shared" si="5"/>
        <v>0</v>
      </c>
      <c r="Y10" s="100">
        <f t="shared" si="5"/>
        <v>0</v>
      </c>
      <c r="Z10" s="100">
        <f t="shared" si="5"/>
        <v>0</v>
      </c>
      <c r="AA10" s="100">
        <f t="shared" si="5"/>
        <v>0</v>
      </c>
      <c r="AB10" s="100">
        <f t="shared" si="5"/>
        <v>0.04</v>
      </c>
      <c r="AC10" s="100">
        <f t="shared" si="5"/>
        <v>0</v>
      </c>
      <c r="AD10" s="100">
        <f t="shared" si="5"/>
        <v>0</v>
      </c>
      <c r="AE10" s="100">
        <f t="shared" si="5"/>
        <v>5.0999999999999996</v>
      </c>
      <c r="AF10" s="100">
        <f t="shared" si="5"/>
        <v>0</v>
      </c>
      <c r="AG10" s="100">
        <f t="shared" si="5"/>
        <v>0</v>
      </c>
      <c r="AH10" s="100">
        <f t="shared" si="5"/>
        <v>0</v>
      </c>
      <c r="AI10" s="100">
        <f t="shared" si="5"/>
        <v>0</v>
      </c>
      <c r="AJ10" s="100">
        <f t="shared" si="5"/>
        <v>0</v>
      </c>
      <c r="AK10" s="100">
        <f t="shared" si="5"/>
        <v>0</v>
      </c>
      <c r="AL10" s="100">
        <f t="shared" si="5"/>
        <v>5.0999999999999996</v>
      </c>
      <c r="AM10" s="100">
        <f t="shared" si="5"/>
        <v>0</v>
      </c>
      <c r="AN10" s="100">
        <f t="shared" si="5"/>
        <v>0</v>
      </c>
      <c r="AO10" s="100">
        <f t="shared" si="5"/>
        <v>0</v>
      </c>
      <c r="AP10" s="100">
        <f t="shared" si="5"/>
        <v>0</v>
      </c>
      <c r="AQ10" s="100">
        <f t="shared" si="5"/>
        <v>0</v>
      </c>
      <c r="AR10" s="100">
        <f t="shared" si="5"/>
        <v>0</v>
      </c>
      <c r="AS10" s="100">
        <f t="shared" si="5"/>
        <v>0</v>
      </c>
      <c r="AT10" s="100">
        <f t="shared" si="5"/>
        <v>0</v>
      </c>
      <c r="AU10" s="100">
        <f t="shared" si="5"/>
        <v>0</v>
      </c>
      <c r="AV10" s="100">
        <f t="shared" si="5"/>
        <v>0</v>
      </c>
      <c r="AW10" s="100">
        <f t="shared" si="5"/>
        <v>0</v>
      </c>
      <c r="AX10" s="100">
        <f t="shared" si="5"/>
        <v>0</v>
      </c>
      <c r="AY10" s="100">
        <f t="shared" si="5"/>
        <v>0</v>
      </c>
      <c r="AZ10" s="100">
        <f t="shared" si="5"/>
        <v>0</v>
      </c>
      <c r="BA10" s="100">
        <f t="shared" si="5"/>
        <v>0</v>
      </c>
      <c r="BB10" s="100">
        <f t="shared" si="5"/>
        <v>0</v>
      </c>
      <c r="BC10" s="100">
        <f t="shared" si="5"/>
        <v>0</v>
      </c>
      <c r="BD10" s="100">
        <f t="shared" si="5"/>
        <v>0</v>
      </c>
      <c r="BE10" s="100">
        <f t="shared" si="5"/>
        <v>0</v>
      </c>
      <c r="BF10" s="100">
        <f t="shared" si="5"/>
        <v>0</v>
      </c>
      <c r="BG10" s="100">
        <f t="shared" si="5"/>
        <v>0</v>
      </c>
      <c r="BH10" s="100">
        <f>BH11+BH15+BH16</f>
        <v>0</v>
      </c>
      <c r="BI10" s="100">
        <f>BI11+BI15+BI16</f>
        <v>0</v>
      </c>
      <c r="BJ10" s="100">
        <f>BJ11+BJ15+BJ16</f>
        <v>0</v>
      </c>
      <c r="BK10" s="100">
        <f>BK11+BK15+BK16</f>
        <v>0</v>
      </c>
      <c r="BL10" s="100">
        <f>N10+O10+S10+T10+U10+V10+BH10</f>
        <v>9.1000000000000014</v>
      </c>
      <c r="BM10" s="100">
        <f>BM11+BM15+BM16</f>
        <v>-9.1000000000000014</v>
      </c>
      <c r="BN10" s="100">
        <f>BN11+BN15+BN16</f>
        <v>306.48</v>
      </c>
      <c r="BO10" s="190">
        <f>BN11+BN16</f>
        <v>306.48</v>
      </c>
      <c r="BP10" s="8"/>
    </row>
    <row r="11" spans="1:71" s="2" customFormat="1" ht="20.100000000000001" customHeight="1">
      <c r="A11" s="5" t="s">
        <v>213</v>
      </c>
      <c r="B11" s="72" t="s">
        <v>17</v>
      </c>
      <c r="C11" s="5" t="s">
        <v>18</v>
      </c>
      <c r="D11" s="100">
        <f>D12+D13+D14</f>
        <v>223.16</v>
      </c>
      <c r="E11" s="100">
        <f t="shared" si="4"/>
        <v>219.46</v>
      </c>
      <c r="F11" s="100">
        <f t="shared" ref="F11:F24" si="6">G11+N11</f>
        <v>217.68</v>
      </c>
      <c r="G11" s="100">
        <f>H11+L11+M11</f>
        <v>217.68</v>
      </c>
      <c r="H11" s="100">
        <f>D11-BL11</f>
        <v>217.68</v>
      </c>
      <c r="I11" s="100">
        <f>I12+I13+I14</f>
        <v>164.66</v>
      </c>
      <c r="J11" s="100">
        <f t="shared" ref="J11:BG11" si="7">J12+J13+J14</f>
        <v>53.02</v>
      </c>
      <c r="K11" s="100">
        <f t="shared" si="7"/>
        <v>0</v>
      </c>
      <c r="L11" s="100">
        <f t="shared" si="7"/>
        <v>0</v>
      </c>
      <c r="M11" s="100">
        <f t="shared" si="7"/>
        <v>0</v>
      </c>
      <c r="N11" s="100">
        <f t="shared" si="7"/>
        <v>0</v>
      </c>
      <c r="O11" s="100">
        <f t="shared" si="3"/>
        <v>0</v>
      </c>
      <c r="P11" s="100">
        <f t="shared" si="7"/>
        <v>0</v>
      </c>
      <c r="Q11" s="100">
        <f t="shared" si="7"/>
        <v>0</v>
      </c>
      <c r="R11" s="100">
        <f t="shared" si="7"/>
        <v>0</v>
      </c>
      <c r="S11" s="100">
        <f t="shared" si="7"/>
        <v>1.78</v>
      </c>
      <c r="T11" s="100">
        <f t="shared" si="7"/>
        <v>0</v>
      </c>
      <c r="U11" s="100">
        <f t="shared" si="7"/>
        <v>0</v>
      </c>
      <c r="V11" s="100">
        <f t="shared" si="7"/>
        <v>3.7</v>
      </c>
      <c r="W11" s="100">
        <f t="shared" si="7"/>
        <v>0</v>
      </c>
      <c r="X11" s="100">
        <f t="shared" si="7"/>
        <v>0</v>
      </c>
      <c r="Y11" s="100">
        <f t="shared" si="7"/>
        <v>0</v>
      </c>
      <c r="Z11" s="100">
        <f t="shared" si="7"/>
        <v>0</v>
      </c>
      <c r="AA11" s="100">
        <f t="shared" si="7"/>
        <v>0</v>
      </c>
      <c r="AB11" s="100">
        <f t="shared" si="7"/>
        <v>0</v>
      </c>
      <c r="AC11" s="100">
        <f t="shared" si="7"/>
        <v>0</v>
      </c>
      <c r="AD11" s="100">
        <f t="shared" si="7"/>
        <v>0</v>
      </c>
      <c r="AE11" s="100">
        <f t="shared" si="7"/>
        <v>3.7</v>
      </c>
      <c r="AF11" s="100">
        <f t="shared" si="7"/>
        <v>0</v>
      </c>
      <c r="AG11" s="100">
        <f t="shared" si="7"/>
        <v>0</v>
      </c>
      <c r="AH11" s="100">
        <f t="shared" si="7"/>
        <v>0</v>
      </c>
      <c r="AI11" s="100">
        <f t="shared" si="7"/>
        <v>0</v>
      </c>
      <c r="AJ11" s="100">
        <f t="shared" si="7"/>
        <v>0</v>
      </c>
      <c r="AK11" s="100">
        <f t="shared" si="7"/>
        <v>0</v>
      </c>
      <c r="AL11" s="100">
        <f t="shared" si="7"/>
        <v>3.7</v>
      </c>
      <c r="AM11" s="100">
        <f t="shared" si="7"/>
        <v>0</v>
      </c>
      <c r="AN11" s="100">
        <f t="shared" si="7"/>
        <v>0</v>
      </c>
      <c r="AO11" s="100">
        <f t="shared" si="7"/>
        <v>0</v>
      </c>
      <c r="AP11" s="100">
        <f t="shared" si="7"/>
        <v>0</v>
      </c>
      <c r="AQ11" s="100">
        <f t="shared" si="7"/>
        <v>0</v>
      </c>
      <c r="AR11" s="100">
        <f t="shared" si="7"/>
        <v>0</v>
      </c>
      <c r="AS11" s="100">
        <f t="shared" si="7"/>
        <v>0</v>
      </c>
      <c r="AT11" s="100">
        <f t="shared" si="7"/>
        <v>0</v>
      </c>
      <c r="AU11" s="100">
        <f t="shared" si="7"/>
        <v>0</v>
      </c>
      <c r="AV11" s="100">
        <f t="shared" si="7"/>
        <v>0</v>
      </c>
      <c r="AW11" s="100">
        <f t="shared" si="7"/>
        <v>0</v>
      </c>
      <c r="AX11" s="100">
        <f t="shared" si="7"/>
        <v>0</v>
      </c>
      <c r="AY11" s="100">
        <f t="shared" si="7"/>
        <v>0</v>
      </c>
      <c r="AZ11" s="100">
        <f t="shared" si="7"/>
        <v>0</v>
      </c>
      <c r="BA11" s="100">
        <f t="shared" si="7"/>
        <v>0</v>
      </c>
      <c r="BB11" s="100">
        <f t="shared" si="7"/>
        <v>0</v>
      </c>
      <c r="BC11" s="100">
        <f t="shared" si="7"/>
        <v>0</v>
      </c>
      <c r="BD11" s="100">
        <f t="shared" si="7"/>
        <v>0</v>
      </c>
      <c r="BE11" s="100">
        <f t="shared" si="7"/>
        <v>0</v>
      </c>
      <c r="BF11" s="100">
        <f t="shared" si="7"/>
        <v>0</v>
      </c>
      <c r="BG11" s="100">
        <f t="shared" si="7"/>
        <v>0</v>
      </c>
      <c r="BH11" s="100">
        <f>BH12+BH13+BH14</f>
        <v>0</v>
      </c>
      <c r="BI11" s="100">
        <f>BI12+BI13+BI14</f>
        <v>0</v>
      </c>
      <c r="BJ11" s="100">
        <f>BJ12+BJ13+BJ14</f>
        <v>0</v>
      </c>
      <c r="BK11" s="100">
        <f>BK12+BK13+BK14</f>
        <v>0</v>
      </c>
      <c r="BL11" s="100">
        <f>L11+M11+N11+S11+T11+U11+V11+BH11</f>
        <v>5.48</v>
      </c>
      <c r="BM11" s="100">
        <f>H68-BL11</f>
        <v>-5.48</v>
      </c>
      <c r="BN11" s="100">
        <f>BN12+BN13+BN14</f>
        <v>217.68</v>
      </c>
      <c r="BP11" s="8"/>
    </row>
    <row r="12" spans="1:71" s="2" customFormat="1" ht="20.100000000000001" customHeight="1">
      <c r="A12" s="5" t="s">
        <v>214</v>
      </c>
      <c r="B12" s="72" t="s">
        <v>473</v>
      </c>
      <c r="C12" s="5" t="s">
        <v>20</v>
      </c>
      <c r="D12" s="100">
        <f>#REF!</f>
        <v>168.84</v>
      </c>
      <c r="E12" s="100">
        <f t="shared" si="4"/>
        <v>165.51</v>
      </c>
      <c r="F12" s="100">
        <f t="shared" si="6"/>
        <v>164.66</v>
      </c>
      <c r="G12" s="100">
        <f t="shared" ref="G12:G66" si="8">H12+L12+M12</f>
        <v>164.66</v>
      </c>
      <c r="H12" s="100">
        <f>I12+J12+K12</f>
        <v>164.66</v>
      </c>
      <c r="I12" s="100">
        <f>D12-BL12</f>
        <v>164.66</v>
      </c>
      <c r="J12" s="100"/>
      <c r="K12" s="100"/>
      <c r="L12" s="100"/>
      <c r="M12" s="100"/>
      <c r="N12" s="100"/>
      <c r="O12" s="100">
        <f t="shared" si="3"/>
        <v>0</v>
      </c>
      <c r="P12" s="100"/>
      <c r="Q12" s="100"/>
      <c r="R12" s="100"/>
      <c r="S12" s="100">
        <v>0.85</v>
      </c>
      <c r="T12" s="100"/>
      <c r="U12" s="100"/>
      <c r="V12" s="100">
        <f>W12+X12+Y12+Z12+AA12+AB12+AC12+AD12+AE12+AQ12+AR12+AS12+AT12+AU12+AV12+AW12+AX12+AY12+AZ12+BA12+BB12+BC12+BD12+BE12+BF12+BG12</f>
        <v>3.33</v>
      </c>
      <c r="W12" s="100"/>
      <c r="X12" s="100"/>
      <c r="Y12" s="100"/>
      <c r="Z12" s="100"/>
      <c r="AA12" s="100"/>
      <c r="AB12" s="100"/>
      <c r="AC12" s="100"/>
      <c r="AD12" s="100"/>
      <c r="AE12" s="100">
        <f t="shared" ref="AE12:AE33" si="9">SUM(AF12:AP12)</f>
        <v>3.33</v>
      </c>
      <c r="AF12" s="100"/>
      <c r="AG12" s="100"/>
      <c r="AH12" s="100"/>
      <c r="AI12" s="100"/>
      <c r="AJ12" s="100"/>
      <c r="AK12" s="100"/>
      <c r="AL12" s="100">
        <v>3.33</v>
      </c>
      <c r="AM12" s="100"/>
      <c r="AN12" s="100"/>
      <c r="AO12" s="100"/>
      <c r="AP12" s="100"/>
      <c r="AQ12" s="100"/>
      <c r="AR12" s="100"/>
      <c r="AS12" s="100"/>
      <c r="AT12" s="100"/>
      <c r="AU12" s="100"/>
      <c r="AV12" s="100"/>
      <c r="AW12" s="100"/>
      <c r="AX12" s="100"/>
      <c r="AY12" s="100"/>
      <c r="AZ12" s="100"/>
      <c r="BA12" s="100"/>
      <c r="BB12" s="100"/>
      <c r="BC12" s="100"/>
      <c r="BD12" s="100"/>
      <c r="BE12" s="100"/>
      <c r="BF12" s="100"/>
      <c r="BG12" s="100"/>
      <c r="BH12" s="100">
        <f t="shared" ref="BH12:BH17" si="10">BI12+BJ12+BK12</f>
        <v>0</v>
      </c>
      <c r="BI12" s="100"/>
      <c r="BJ12" s="100"/>
      <c r="BK12" s="100"/>
      <c r="BL12" s="100">
        <f>J12+K12+L12+M12+N12+O12+S12+T12+U12+V12+BH12</f>
        <v>4.18</v>
      </c>
      <c r="BM12" s="100">
        <f>I68-BL12</f>
        <v>-4.18</v>
      </c>
      <c r="BN12" s="100">
        <f t="shared" ref="BN12:BN17" si="11">D12+BM12</f>
        <v>164.66</v>
      </c>
      <c r="BP12" s="8"/>
    </row>
    <row r="13" spans="1:71" s="2" customFormat="1" ht="17.25" customHeight="1">
      <c r="A13" s="5" t="s">
        <v>215</v>
      </c>
      <c r="B13" s="72" t="s">
        <v>474</v>
      </c>
      <c r="C13" s="5" t="s">
        <v>195</v>
      </c>
      <c r="D13" s="100">
        <f>#REF!</f>
        <v>54.32</v>
      </c>
      <c r="E13" s="100">
        <f t="shared" si="4"/>
        <v>53.95</v>
      </c>
      <c r="F13" s="100">
        <f t="shared" si="6"/>
        <v>53.02</v>
      </c>
      <c r="G13" s="100">
        <f t="shared" si="8"/>
        <v>53.02</v>
      </c>
      <c r="H13" s="100">
        <f t="shared" ref="H13:H66" si="12">I13+J13+K13</f>
        <v>53.02</v>
      </c>
      <c r="I13" s="100"/>
      <c r="J13" s="100">
        <f>D13-BL13</f>
        <v>53.02</v>
      </c>
      <c r="K13" s="100"/>
      <c r="L13" s="100"/>
      <c r="M13" s="100"/>
      <c r="N13" s="100"/>
      <c r="O13" s="100">
        <f t="shared" si="3"/>
        <v>0</v>
      </c>
      <c r="P13" s="100"/>
      <c r="Q13" s="100"/>
      <c r="R13" s="100"/>
      <c r="S13" s="100">
        <v>0.93</v>
      </c>
      <c r="T13" s="100"/>
      <c r="U13" s="100"/>
      <c r="V13" s="100">
        <f t="shared" ref="V13:V67" si="13">W13+X13+Y13+Z13+AA13+AB13+AC13+AD13+AE13+AQ13+AR13+AS13+AT13+AU13+AV13+AW13+AX13+AY13+AZ13+BA13+BB13+BC13+BD13+BE13+BF13+BG13</f>
        <v>0.37</v>
      </c>
      <c r="W13" s="100"/>
      <c r="X13" s="100"/>
      <c r="Y13" s="100"/>
      <c r="Z13" s="100"/>
      <c r="AA13" s="100"/>
      <c r="AB13" s="100"/>
      <c r="AC13" s="100"/>
      <c r="AD13" s="100"/>
      <c r="AE13" s="100">
        <f t="shared" si="9"/>
        <v>0.37</v>
      </c>
      <c r="AF13" s="100"/>
      <c r="AG13" s="100"/>
      <c r="AH13" s="100"/>
      <c r="AI13" s="100"/>
      <c r="AJ13" s="100"/>
      <c r="AK13" s="100"/>
      <c r="AL13" s="100">
        <v>0.37</v>
      </c>
      <c r="AM13" s="100"/>
      <c r="AN13" s="100"/>
      <c r="AO13" s="100"/>
      <c r="AP13" s="100"/>
      <c r="AQ13" s="100"/>
      <c r="AR13" s="100"/>
      <c r="AS13" s="100"/>
      <c r="AT13" s="100"/>
      <c r="AU13" s="100"/>
      <c r="AV13" s="100"/>
      <c r="AW13" s="100"/>
      <c r="AX13" s="100"/>
      <c r="AY13" s="100"/>
      <c r="AZ13" s="100"/>
      <c r="BA13" s="100"/>
      <c r="BB13" s="100"/>
      <c r="BC13" s="100"/>
      <c r="BD13" s="100"/>
      <c r="BE13" s="100"/>
      <c r="BF13" s="100"/>
      <c r="BG13" s="100"/>
      <c r="BH13" s="100">
        <f t="shared" si="10"/>
        <v>0</v>
      </c>
      <c r="BI13" s="100"/>
      <c r="BJ13" s="100"/>
      <c r="BK13" s="100"/>
      <c r="BL13" s="100">
        <f>I13+K13+L13+M13+N13+O13+S13+T13+U13+V13+BH13</f>
        <v>1.3</v>
      </c>
      <c r="BM13" s="100">
        <f>J68-BL13</f>
        <v>-1.3</v>
      </c>
      <c r="BN13" s="100">
        <f t="shared" si="11"/>
        <v>53.02</v>
      </c>
      <c r="BP13" s="8"/>
    </row>
    <row r="14" spans="1:71" s="2" customFormat="1" ht="19.5" hidden="1" customHeight="1">
      <c r="A14" s="5" t="s">
        <v>216</v>
      </c>
      <c r="B14" s="72" t="s">
        <v>475</v>
      </c>
      <c r="C14" s="5" t="s">
        <v>196</v>
      </c>
      <c r="D14" s="100"/>
      <c r="E14" s="100">
        <f t="shared" si="4"/>
        <v>0</v>
      </c>
      <c r="F14" s="100">
        <f t="shared" si="6"/>
        <v>0</v>
      </c>
      <c r="G14" s="100">
        <f t="shared" si="8"/>
        <v>0</v>
      </c>
      <c r="H14" s="100">
        <f t="shared" si="12"/>
        <v>0</v>
      </c>
      <c r="I14" s="100"/>
      <c r="J14" s="100"/>
      <c r="K14" s="100">
        <f>D14-BL14</f>
        <v>0</v>
      </c>
      <c r="L14" s="100"/>
      <c r="M14" s="100"/>
      <c r="N14" s="100"/>
      <c r="O14" s="100">
        <f t="shared" si="3"/>
        <v>0</v>
      </c>
      <c r="P14" s="100"/>
      <c r="Q14" s="100"/>
      <c r="R14" s="100"/>
      <c r="S14" s="100"/>
      <c r="T14" s="100"/>
      <c r="U14" s="100"/>
      <c r="V14" s="100">
        <f t="shared" si="13"/>
        <v>0</v>
      </c>
      <c r="W14" s="100"/>
      <c r="X14" s="100"/>
      <c r="Y14" s="100"/>
      <c r="Z14" s="100"/>
      <c r="AA14" s="100"/>
      <c r="AB14" s="100"/>
      <c r="AC14" s="100"/>
      <c r="AD14" s="100"/>
      <c r="AE14" s="100">
        <f t="shared" si="9"/>
        <v>0</v>
      </c>
      <c r="AF14" s="100"/>
      <c r="AG14" s="100"/>
      <c r="AH14" s="100"/>
      <c r="AI14" s="100"/>
      <c r="AJ14" s="100"/>
      <c r="AK14" s="100"/>
      <c r="AL14" s="100"/>
      <c r="AM14" s="100"/>
      <c r="AN14" s="100"/>
      <c r="AO14" s="100"/>
      <c r="AP14" s="100"/>
      <c r="AQ14" s="100"/>
      <c r="AR14" s="100"/>
      <c r="AS14" s="100"/>
      <c r="AT14" s="100"/>
      <c r="AU14" s="100"/>
      <c r="AV14" s="100"/>
      <c r="AW14" s="100"/>
      <c r="AX14" s="100"/>
      <c r="AY14" s="100"/>
      <c r="AZ14" s="100"/>
      <c r="BA14" s="100"/>
      <c r="BB14" s="100"/>
      <c r="BC14" s="100"/>
      <c r="BD14" s="100"/>
      <c r="BE14" s="100"/>
      <c r="BF14" s="100"/>
      <c r="BG14" s="100"/>
      <c r="BH14" s="100">
        <f t="shared" si="10"/>
        <v>0</v>
      </c>
      <c r="BI14" s="100"/>
      <c r="BJ14" s="100"/>
      <c r="BK14" s="100"/>
      <c r="BL14" s="100">
        <f>I14+J14+L14+M14+N14+O14+S14+T14+U14+V14+BH14</f>
        <v>0</v>
      </c>
      <c r="BM14" s="100">
        <f>K68-BL14</f>
        <v>0</v>
      </c>
      <c r="BN14" s="100">
        <f t="shared" si="11"/>
        <v>0</v>
      </c>
      <c r="BP14" s="8"/>
    </row>
    <row r="15" spans="1:71" s="2" customFormat="1" ht="19.5" hidden="1" customHeight="1">
      <c r="A15" s="5" t="s">
        <v>217</v>
      </c>
      <c r="B15" s="72" t="s">
        <v>476</v>
      </c>
      <c r="C15" s="5" t="s">
        <v>197</v>
      </c>
      <c r="D15" s="100"/>
      <c r="E15" s="100">
        <f t="shared" si="4"/>
        <v>0</v>
      </c>
      <c r="F15" s="100">
        <f t="shared" si="6"/>
        <v>0</v>
      </c>
      <c r="G15" s="100">
        <f t="shared" si="8"/>
        <v>0</v>
      </c>
      <c r="H15" s="100">
        <f t="shared" si="12"/>
        <v>0</v>
      </c>
      <c r="I15" s="100"/>
      <c r="J15" s="100"/>
      <c r="K15" s="100"/>
      <c r="L15" s="100">
        <f>D15-BL15</f>
        <v>0</v>
      </c>
      <c r="M15" s="100"/>
      <c r="N15" s="100"/>
      <c r="O15" s="100">
        <f t="shared" si="3"/>
        <v>0</v>
      </c>
      <c r="P15" s="100"/>
      <c r="Q15" s="100"/>
      <c r="R15" s="100"/>
      <c r="S15" s="100"/>
      <c r="T15" s="100"/>
      <c r="U15" s="100"/>
      <c r="V15" s="100">
        <f t="shared" si="13"/>
        <v>0</v>
      </c>
      <c r="W15" s="100"/>
      <c r="X15" s="100"/>
      <c r="Y15" s="100"/>
      <c r="Z15" s="100"/>
      <c r="AA15" s="100"/>
      <c r="AB15" s="100"/>
      <c r="AC15" s="100"/>
      <c r="AD15" s="100"/>
      <c r="AE15" s="100">
        <f t="shared" si="9"/>
        <v>0</v>
      </c>
      <c r="AF15" s="100"/>
      <c r="AG15" s="100"/>
      <c r="AH15" s="100"/>
      <c r="AI15" s="100"/>
      <c r="AJ15" s="100"/>
      <c r="AK15" s="100"/>
      <c r="AL15" s="100"/>
      <c r="AM15" s="100"/>
      <c r="AN15" s="100"/>
      <c r="AO15" s="100"/>
      <c r="AP15" s="100"/>
      <c r="AQ15" s="100"/>
      <c r="AR15" s="100"/>
      <c r="AS15" s="100"/>
      <c r="AT15" s="100"/>
      <c r="AU15" s="100"/>
      <c r="AV15" s="100"/>
      <c r="AW15" s="100"/>
      <c r="AX15" s="100"/>
      <c r="AY15" s="100"/>
      <c r="AZ15" s="100"/>
      <c r="BA15" s="100"/>
      <c r="BB15" s="100"/>
      <c r="BC15" s="100"/>
      <c r="BD15" s="100"/>
      <c r="BE15" s="100"/>
      <c r="BF15" s="100"/>
      <c r="BG15" s="100"/>
      <c r="BH15" s="100">
        <f t="shared" si="10"/>
        <v>0</v>
      </c>
      <c r="BI15" s="100"/>
      <c r="BJ15" s="100"/>
      <c r="BK15" s="100"/>
      <c r="BL15" s="100">
        <f>H15+M15+N15+O15+S15+T15+U15+V15+BH15</f>
        <v>0</v>
      </c>
      <c r="BM15" s="100">
        <f>L68-BL15</f>
        <v>0</v>
      </c>
      <c r="BN15" s="100">
        <f t="shared" si="11"/>
        <v>0</v>
      </c>
      <c r="BP15" s="8"/>
    </row>
    <row r="16" spans="1:71" s="2" customFormat="1" ht="20.100000000000001" customHeight="1">
      <c r="A16" s="5" t="s">
        <v>218</v>
      </c>
      <c r="B16" s="72" t="s">
        <v>22</v>
      </c>
      <c r="C16" s="5" t="s">
        <v>23</v>
      </c>
      <c r="D16" s="100">
        <f>#REF!</f>
        <v>92.42</v>
      </c>
      <c r="E16" s="100">
        <f t="shared" si="4"/>
        <v>90.98</v>
      </c>
      <c r="F16" s="100">
        <f t="shared" si="6"/>
        <v>88.8</v>
      </c>
      <c r="G16" s="100">
        <f t="shared" si="8"/>
        <v>88.8</v>
      </c>
      <c r="H16" s="100">
        <f t="shared" si="12"/>
        <v>0</v>
      </c>
      <c r="I16" s="100"/>
      <c r="J16" s="100"/>
      <c r="K16" s="100"/>
      <c r="L16" s="100"/>
      <c r="M16" s="100">
        <f>D16-BL16</f>
        <v>88.8</v>
      </c>
      <c r="N16" s="100"/>
      <c r="O16" s="100">
        <f t="shared" si="3"/>
        <v>0</v>
      </c>
      <c r="P16" s="100"/>
      <c r="Q16" s="100"/>
      <c r="R16" s="100"/>
      <c r="S16" s="100">
        <v>2.1800000000000002</v>
      </c>
      <c r="T16" s="100"/>
      <c r="U16" s="100"/>
      <c r="V16" s="100">
        <f t="shared" si="13"/>
        <v>1.44</v>
      </c>
      <c r="W16" s="100"/>
      <c r="X16" s="100"/>
      <c r="Y16" s="100"/>
      <c r="Z16" s="100"/>
      <c r="AA16" s="100"/>
      <c r="AB16" s="100">
        <v>0.04</v>
      </c>
      <c r="AC16" s="100"/>
      <c r="AD16" s="100"/>
      <c r="AE16" s="100">
        <f t="shared" si="9"/>
        <v>1.4</v>
      </c>
      <c r="AF16" s="100"/>
      <c r="AG16" s="100"/>
      <c r="AH16" s="100"/>
      <c r="AI16" s="100"/>
      <c r="AJ16" s="100"/>
      <c r="AK16" s="100"/>
      <c r="AL16" s="100">
        <v>1.4</v>
      </c>
      <c r="AM16" s="100"/>
      <c r="AN16" s="100"/>
      <c r="AO16" s="100"/>
      <c r="AP16" s="100"/>
      <c r="AQ16" s="100"/>
      <c r="AR16" s="100"/>
      <c r="AS16" s="100"/>
      <c r="AT16" s="100"/>
      <c r="AU16" s="100"/>
      <c r="AV16" s="100"/>
      <c r="AW16" s="100"/>
      <c r="AX16" s="100"/>
      <c r="AY16" s="100"/>
      <c r="AZ16" s="100"/>
      <c r="BA16" s="100"/>
      <c r="BB16" s="100"/>
      <c r="BC16" s="100"/>
      <c r="BD16" s="100"/>
      <c r="BE16" s="100"/>
      <c r="BF16" s="100"/>
      <c r="BG16" s="100"/>
      <c r="BH16" s="100">
        <f t="shared" si="10"/>
        <v>0</v>
      </c>
      <c r="BI16" s="100"/>
      <c r="BJ16" s="100"/>
      <c r="BK16" s="100"/>
      <c r="BL16" s="100">
        <f>H16+L16+N16+S16+T16+U16+V16+BH16</f>
        <v>3.62</v>
      </c>
      <c r="BM16" s="100">
        <f>M68-BL16</f>
        <v>-3.62</v>
      </c>
      <c r="BN16" s="100">
        <f t="shared" si="11"/>
        <v>88.8</v>
      </c>
      <c r="BP16" s="8"/>
      <c r="BS16" s="2" t="s">
        <v>743</v>
      </c>
    </row>
    <row r="17" spans="1:69" s="2" customFormat="1" ht="18.75" customHeight="1">
      <c r="A17" s="5" t="s">
        <v>219</v>
      </c>
      <c r="B17" s="72" t="s">
        <v>25</v>
      </c>
      <c r="C17" s="5" t="s">
        <v>26</v>
      </c>
      <c r="D17" s="100">
        <f>#REF!</f>
        <v>45.79</v>
      </c>
      <c r="E17" s="100">
        <f t="shared" si="4"/>
        <v>44.73</v>
      </c>
      <c r="F17" s="100">
        <f t="shared" si="6"/>
        <v>44.72</v>
      </c>
      <c r="G17" s="100">
        <f t="shared" si="8"/>
        <v>0</v>
      </c>
      <c r="H17" s="100">
        <f t="shared" si="12"/>
        <v>0</v>
      </c>
      <c r="I17" s="100"/>
      <c r="J17" s="100"/>
      <c r="K17" s="100"/>
      <c r="L17" s="100"/>
      <c r="M17" s="100"/>
      <c r="N17" s="100">
        <f>D17-BL17</f>
        <v>44.72</v>
      </c>
      <c r="O17" s="100">
        <f t="shared" si="3"/>
        <v>0</v>
      </c>
      <c r="P17" s="100"/>
      <c r="Q17" s="100"/>
      <c r="R17" s="100"/>
      <c r="S17" s="100">
        <v>0.01</v>
      </c>
      <c r="T17" s="100"/>
      <c r="U17" s="100"/>
      <c r="V17" s="100">
        <f t="shared" si="13"/>
        <v>1.06</v>
      </c>
      <c r="W17" s="100"/>
      <c r="X17" s="100"/>
      <c r="Y17" s="100"/>
      <c r="Z17" s="100"/>
      <c r="AA17" s="100"/>
      <c r="AB17" s="100"/>
      <c r="AC17" s="100"/>
      <c r="AD17" s="100"/>
      <c r="AE17" s="100">
        <f t="shared" si="9"/>
        <v>0.26</v>
      </c>
      <c r="AF17" s="100"/>
      <c r="AG17" s="100"/>
      <c r="AH17" s="100"/>
      <c r="AI17" s="100"/>
      <c r="AJ17" s="100"/>
      <c r="AK17" s="100"/>
      <c r="AL17" s="100">
        <v>0.26</v>
      </c>
      <c r="AM17" s="100"/>
      <c r="AN17" s="100"/>
      <c r="AO17" s="100"/>
      <c r="AP17" s="100"/>
      <c r="AQ17" s="100"/>
      <c r="AR17" s="100"/>
      <c r="AS17" s="100"/>
      <c r="AT17" s="100">
        <v>0.8</v>
      </c>
      <c r="AU17" s="100"/>
      <c r="AV17" s="100"/>
      <c r="AW17" s="100"/>
      <c r="AX17" s="100"/>
      <c r="AY17" s="100"/>
      <c r="AZ17" s="100"/>
      <c r="BA17" s="100"/>
      <c r="BB17" s="100"/>
      <c r="BC17" s="100"/>
      <c r="BD17" s="100"/>
      <c r="BE17" s="100"/>
      <c r="BF17" s="100"/>
      <c r="BG17" s="100"/>
      <c r="BH17" s="100">
        <f t="shared" si="10"/>
        <v>0</v>
      </c>
      <c r="BI17" s="100"/>
      <c r="BJ17" s="100"/>
      <c r="BK17" s="100"/>
      <c r="BL17" s="100">
        <f>H17+L17+M17+O17+S17+T17+U17+V17+BH17</f>
        <v>1.07</v>
      </c>
      <c r="BM17" s="100">
        <f>N68-BL17</f>
        <v>-1.07</v>
      </c>
      <c r="BN17" s="100">
        <f t="shared" si="11"/>
        <v>44.72</v>
      </c>
      <c r="BP17" s="8"/>
    </row>
    <row r="18" spans="1:69" s="2" customFormat="1" ht="19.5" hidden="1" customHeight="1">
      <c r="A18" s="5" t="s">
        <v>21</v>
      </c>
      <c r="B18" s="72" t="s">
        <v>477</v>
      </c>
      <c r="C18" s="5" t="s">
        <v>198</v>
      </c>
      <c r="D18" s="100">
        <f>#REF!</f>
        <v>1791.8600000000001</v>
      </c>
      <c r="E18" s="100">
        <f t="shared" si="4"/>
        <v>1786.2500000000002</v>
      </c>
      <c r="F18" s="100">
        <f t="shared" si="6"/>
        <v>0</v>
      </c>
      <c r="G18" s="100">
        <f t="shared" si="8"/>
        <v>0</v>
      </c>
      <c r="H18" s="100">
        <f t="shared" si="12"/>
        <v>0</v>
      </c>
      <c r="I18" s="100">
        <f t="shared" ref="I18:N18" si="14">I19+I20+I21</f>
        <v>0</v>
      </c>
      <c r="J18" s="100">
        <f t="shared" si="14"/>
        <v>0</v>
      </c>
      <c r="K18" s="100">
        <f t="shared" si="14"/>
        <v>0</v>
      </c>
      <c r="L18" s="100">
        <f t="shared" si="14"/>
        <v>0</v>
      </c>
      <c r="M18" s="100">
        <f t="shared" si="14"/>
        <v>0</v>
      </c>
      <c r="N18" s="100">
        <f t="shared" si="14"/>
        <v>0</v>
      </c>
      <c r="O18" s="100">
        <f>D18-BL18</f>
        <v>1786.2500000000002</v>
      </c>
      <c r="P18" s="100">
        <f t="shared" ref="P18:BG18" si="15">P19+P20+P21</f>
        <v>1778.1000000000001</v>
      </c>
      <c r="Q18" s="100">
        <f t="shared" si="15"/>
        <v>0</v>
      </c>
      <c r="R18" s="100">
        <f t="shared" si="15"/>
        <v>8.15</v>
      </c>
      <c r="S18" s="100">
        <f t="shared" si="15"/>
        <v>0</v>
      </c>
      <c r="T18" s="100">
        <f t="shared" si="15"/>
        <v>0</v>
      </c>
      <c r="U18" s="100">
        <f t="shared" si="15"/>
        <v>0</v>
      </c>
      <c r="V18" s="100">
        <f t="shared" si="15"/>
        <v>5.6099999999999994</v>
      </c>
      <c r="W18" s="100">
        <f t="shared" si="15"/>
        <v>0</v>
      </c>
      <c r="X18" s="100">
        <f t="shared" si="15"/>
        <v>0</v>
      </c>
      <c r="Y18" s="100">
        <f t="shared" si="15"/>
        <v>0</v>
      </c>
      <c r="Z18" s="100">
        <f t="shared" si="15"/>
        <v>0</v>
      </c>
      <c r="AA18" s="100">
        <f t="shared" si="15"/>
        <v>0</v>
      </c>
      <c r="AB18" s="100">
        <f t="shared" si="15"/>
        <v>0</v>
      </c>
      <c r="AC18" s="100">
        <f t="shared" si="15"/>
        <v>0</v>
      </c>
      <c r="AD18" s="100">
        <f t="shared" si="15"/>
        <v>0</v>
      </c>
      <c r="AE18" s="100">
        <f t="shared" si="15"/>
        <v>5.52</v>
      </c>
      <c r="AF18" s="100">
        <f t="shared" si="15"/>
        <v>0</v>
      </c>
      <c r="AG18" s="100">
        <f t="shared" si="15"/>
        <v>0</v>
      </c>
      <c r="AH18" s="100">
        <f t="shared" si="15"/>
        <v>0</v>
      </c>
      <c r="AI18" s="100">
        <f t="shared" si="15"/>
        <v>0</v>
      </c>
      <c r="AJ18" s="100">
        <f t="shared" si="15"/>
        <v>0</v>
      </c>
      <c r="AK18" s="100">
        <f t="shared" si="15"/>
        <v>0</v>
      </c>
      <c r="AL18" s="100">
        <f t="shared" si="15"/>
        <v>5.52</v>
      </c>
      <c r="AM18" s="100">
        <f t="shared" si="15"/>
        <v>0</v>
      </c>
      <c r="AN18" s="100">
        <f t="shared" si="15"/>
        <v>0</v>
      </c>
      <c r="AO18" s="100">
        <f t="shared" si="15"/>
        <v>0</v>
      </c>
      <c r="AP18" s="100">
        <f t="shared" si="15"/>
        <v>0</v>
      </c>
      <c r="AQ18" s="100">
        <f t="shared" si="15"/>
        <v>0</v>
      </c>
      <c r="AR18" s="100">
        <f t="shared" si="15"/>
        <v>0</v>
      </c>
      <c r="AS18" s="100">
        <f t="shared" si="15"/>
        <v>0.09</v>
      </c>
      <c r="AT18" s="100">
        <f t="shared" si="15"/>
        <v>0</v>
      </c>
      <c r="AU18" s="100">
        <f t="shared" si="15"/>
        <v>0</v>
      </c>
      <c r="AV18" s="100">
        <f t="shared" si="15"/>
        <v>0</v>
      </c>
      <c r="AW18" s="100">
        <f t="shared" si="15"/>
        <v>0</v>
      </c>
      <c r="AX18" s="100">
        <f t="shared" si="15"/>
        <v>0</v>
      </c>
      <c r="AY18" s="100">
        <f t="shared" si="15"/>
        <v>0</v>
      </c>
      <c r="AZ18" s="100">
        <f t="shared" si="15"/>
        <v>0</v>
      </c>
      <c r="BA18" s="100">
        <f t="shared" si="15"/>
        <v>0</v>
      </c>
      <c r="BB18" s="100">
        <f t="shared" si="15"/>
        <v>0</v>
      </c>
      <c r="BC18" s="100">
        <f t="shared" si="15"/>
        <v>0</v>
      </c>
      <c r="BD18" s="100">
        <f t="shared" si="15"/>
        <v>0</v>
      </c>
      <c r="BE18" s="100">
        <f t="shared" si="15"/>
        <v>0</v>
      </c>
      <c r="BF18" s="100">
        <f t="shared" si="15"/>
        <v>0</v>
      </c>
      <c r="BG18" s="100">
        <f t="shared" si="15"/>
        <v>0</v>
      </c>
      <c r="BH18" s="100">
        <f>BH19+BH20+BH21</f>
        <v>0</v>
      </c>
      <c r="BI18" s="100">
        <f>BI19+BI20+BI21</f>
        <v>0</v>
      </c>
      <c r="BJ18" s="100">
        <f>BJ19+BJ20+BJ21</f>
        <v>0</v>
      </c>
      <c r="BK18" s="100">
        <f>BK19+BK20+BK21</f>
        <v>0</v>
      </c>
      <c r="BL18" s="100">
        <f>F18+S18+T18+U18+BH18+V18</f>
        <v>5.6099999999999994</v>
      </c>
      <c r="BM18" s="100">
        <f>O68-BL18</f>
        <v>-5.6099999999999994</v>
      </c>
      <c r="BN18" s="100">
        <f>BN19+BN20+BN21</f>
        <v>1786.2500000000002</v>
      </c>
      <c r="BO18" s="190">
        <f>BN19+BN21</f>
        <v>1786.2500000000002</v>
      </c>
      <c r="BP18" s="8"/>
    </row>
    <row r="19" spans="1:69" s="2" customFormat="1" ht="20.100000000000001" customHeight="1">
      <c r="A19" s="5" t="s">
        <v>182</v>
      </c>
      <c r="B19" s="72" t="s">
        <v>28</v>
      </c>
      <c r="C19" s="5" t="s">
        <v>29</v>
      </c>
      <c r="D19" s="100">
        <f>#REF!</f>
        <v>1783.71</v>
      </c>
      <c r="E19" s="100">
        <f>F19+O19+S19+T19+U19</f>
        <v>1778.1000000000001</v>
      </c>
      <c r="F19" s="100">
        <f>G19+N19</f>
        <v>0</v>
      </c>
      <c r="G19" s="100">
        <f>H19+L19+M19</f>
        <v>0</v>
      </c>
      <c r="H19" s="100">
        <f t="shared" si="12"/>
        <v>0</v>
      </c>
      <c r="I19" s="100"/>
      <c r="J19" s="100"/>
      <c r="K19" s="100"/>
      <c r="L19" s="100"/>
      <c r="M19" s="100"/>
      <c r="N19" s="100"/>
      <c r="O19" s="100">
        <f t="shared" ref="O19:O24" si="16">P19+Q19+R19</f>
        <v>1778.1000000000001</v>
      </c>
      <c r="P19" s="100">
        <f>D19-BL19</f>
        <v>1778.1000000000001</v>
      </c>
      <c r="Q19" s="100"/>
      <c r="R19" s="100"/>
      <c r="S19" s="100"/>
      <c r="T19" s="100"/>
      <c r="U19" s="100"/>
      <c r="V19" s="100">
        <f t="shared" si="13"/>
        <v>5.6099999999999994</v>
      </c>
      <c r="W19" s="100"/>
      <c r="X19" s="100"/>
      <c r="Y19" s="100"/>
      <c r="Z19" s="100"/>
      <c r="AA19" s="100"/>
      <c r="AB19" s="100"/>
      <c r="AC19" s="100"/>
      <c r="AD19" s="100"/>
      <c r="AE19" s="100">
        <f t="shared" si="9"/>
        <v>5.52</v>
      </c>
      <c r="AF19" s="100"/>
      <c r="AG19" s="100"/>
      <c r="AH19" s="100"/>
      <c r="AI19" s="100"/>
      <c r="AJ19" s="100"/>
      <c r="AK19" s="100"/>
      <c r="AL19" s="100">
        <v>5.52</v>
      </c>
      <c r="AM19" s="100"/>
      <c r="AN19" s="100"/>
      <c r="AO19" s="100"/>
      <c r="AP19" s="100"/>
      <c r="AQ19" s="100"/>
      <c r="AR19" s="100"/>
      <c r="AS19" s="100">
        <v>0.09</v>
      </c>
      <c r="AT19" s="100"/>
      <c r="AU19" s="100"/>
      <c r="AV19" s="100"/>
      <c r="AW19" s="100"/>
      <c r="AX19" s="100"/>
      <c r="AY19" s="100"/>
      <c r="AZ19" s="100"/>
      <c r="BA19" s="100"/>
      <c r="BB19" s="100"/>
      <c r="BC19" s="100"/>
      <c r="BD19" s="100"/>
      <c r="BE19" s="100"/>
      <c r="BF19" s="100"/>
      <c r="BG19" s="100"/>
      <c r="BH19" s="100">
        <f t="shared" ref="BH19:BH24" si="17">BI19+BJ19+BK19</f>
        <v>0</v>
      </c>
      <c r="BI19" s="100"/>
      <c r="BJ19" s="100"/>
      <c r="BK19" s="100"/>
      <c r="BL19" s="100">
        <f>F19+Q19+R19+S19+T19+U19+V19+BH19</f>
        <v>5.6099999999999994</v>
      </c>
      <c r="BM19" s="100">
        <f>P68-BL19</f>
        <v>-5.6099999999999994</v>
      </c>
      <c r="BN19" s="100">
        <f t="shared" ref="BN19:BN24" si="18">D19+BM19</f>
        <v>1778.1000000000001</v>
      </c>
      <c r="BP19" s="8"/>
    </row>
    <row r="20" spans="1:69" s="2" customFormat="1" ht="20.100000000000001" customHeight="1">
      <c r="A20" s="5" t="s">
        <v>183</v>
      </c>
      <c r="B20" s="72" t="s">
        <v>31</v>
      </c>
      <c r="C20" s="5" t="s">
        <v>32</v>
      </c>
      <c r="D20" s="100"/>
      <c r="E20" s="100">
        <f t="shared" si="4"/>
        <v>0</v>
      </c>
      <c r="F20" s="100">
        <f t="shared" si="6"/>
        <v>0</v>
      </c>
      <c r="G20" s="100">
        <f t="shared" si="8"/>
        <v>0</v>
      </c>
      <c r="H20" s="100">
        <f t="shared" si="12"/>
        <v>0</v>
      </c>
      <c r="I20" s="100"/>
      <c r="J20" s="100"/>
      <c r="K20" s="100"/>
      <c r="L20" s="100"/>
      <c r="M20" s="100"/>
      <c r="N20" s="100"/>
      <c r="O20" s="100">
        <f t="shared" si="16"/>
        <v>0</v>
      </c>
      <c r="P20" s="100"/>
      <c r="Q20" s="100">
        <f>D20-BL20</f>
        <v>0</v>
      </c>
      <c r="R20" s="100"/>
      <c r="S20" s="100"/>
      <c r="T20" s="100"/>
      <c r="U20" s="100"/>
      <c r="V20" s="100">
        <f t="shared" si="13"/>
        <v>0</v>
      </c>
      <c r="W20" s="100"/>
      <c r="X20" s="100"/>
      <c r="Y20" s="100"/>
      <c r="Z20" s="100"/>
      <c r="AA20" s="100"/>
      <c r="AB20" s="100"/>
      <c r="AC20" s="100"/>
      <c r="AD20" s="100"/>
      <c r="AE20" s="100">
        <f t="shared" si="9"/>
        <v>0</v>
      </c>
      <c r="AF20" s="100"/>
      <c r="AG20" s="100"/>
      <c r="AH20" s="100"/>
      <c r="AI20" s="100"/>
      <c r="AJ20" s="100"/>
      <c r="AK20" s="100"/>
      <c r="AL20" s="100"/>
      <c r="AM20" s="100"/>
      <c r="AN20" s="100"/>
      <c r="AO20" s="100"/>
      <c r="AP20" s="100"/>
      <c r="AQ20" s="100"/>
      <c r="AR20" s="100"/>
      <c r="AS20" s="100"/>
      <c r="AT20" s="100"/>
      <c r="AU20" s="100"/>
      <c r="AV20" s="100"/>
      <c r="AW20" s="100"/>
      <c r="AX20" s="100"/>
      <c r="AY20" s="100"/>
      <c r="AZ20" s="100"/>
      <c r="BA20" s="100"/>
      <c r="BB20" s="100"/>
      <c r="BC20" s="100"/>
      <c r="BD20" s="100"/>
      <c r="BE20" s="100"/>
      <c r="BF20" s="100"/>
      <c r="BG20" s="100"/>
      <c r="BH20" s="100">
        <f t="shared" si="17"/>
        <v>0</v>
      </c>
      <c r="BI20" s="100"/>
      <c r="BJ20" s="100"/>
      <c r="BK20" s="100"/>
      <c r="BL20" s="100">
        <f>F20+P20+R20+S20+T20+U20+V20+BH20</f>
        <v>0</v>
      </c>
      <c r="BM20" s="100">
        <f>Q68-BL20</f>
        <v>0</v>
      </c>
      <c r="BN20" s="100">
        <f t="shared" si="18"/>
        <v>0</v>
      </c>
      <c r="BP20" s="8"/>
    </row>
    <row r="21" spans="1:69" s="2" customFormat="1" ht="20.100000000000001" customHeight="1">
      <c r="A21" s="5" t="s">
        <v>184</v>
      </c>
      <c r="B21" s="72" t="s">
        <v>34</v>
      </c>
      <c r="C21" s="5" t="s">
        <v>35</v>
      </c>
      <c r="D21" s="100">
        <f>#REF!</f>
        <v>8.15</v>
      </c>
      <c r="E21" s="100">
        <f t="shared" si="4"/>
        <v>8.15</v>
      </c>
      <c r="F21" s="100">
        <f>G21+N21</f>
        <v>0</v>
      </c>
      <c r="G21" s="100">
        <f t="shared" si="8"/>
        <v>0</v>
      </c>
      <c r="H21" s="100">
        <f t="shared" si="12"/>
        <v>0</v>
      </c>
      <c r="I21" s="100"/>
      <c r="J21" s="100"/>
      <c r="K21" s="100"/>
      <c r="L21" s="100"/>
      <c r="M21" s="100"/>
      <c r="N21" s="100"/>
      <c r="O21" s="100">
        <f t="shared" si="16"/>
        <v>8.15</v>
      </c>
      <c r="P21" s="100"/>
      <c r="Q21" s="100"/>
      <c r="R21" s="100">
        <f>D21-BL21</f>
        <v>8.15</v>
      </c>
      <c r="S21" s="100"/>
      <c r="T21" s="100"/>
      <c r="U21" s="100"/>
      <c r="V21" s="100">
        <f t="shared" si="13"/>
        <v>0</v>
      </c>
      <c r="W21" s="100"/>
      <c r="X21" s="100"/>
      <c r="Y21" s="100"/>
      <c r="Z21" s="100"/>
      <c r="AA21" s="100"/>
      <c r="AB21" s="100"/>
      <c r="AC21" s="100"/>
      <c r="AD21" s="100"/>
      <c r="AE21" s="100">
        <f t="shared" si="9"/>
        <v>0</v>
      </c>
      <c r="AF21" s="100"/>
      <c r="AG21" s="100"/>
      <c r="AH21" s="100"/>
      <c r="AI21" s="100"/>
      <c r="AJ21" s="100"/>
      <c r="AK21" s="100"/>
      <c r="AL21" s="100"/>
      <c r="AM21" s="100"/>
      <c r="AN21" s="100"/>
      <c r="AO21" s="100"/>
      <c r="AP21" s="100"/>
      <c r="AQ21" s="100"/>
      <c r="AR21" s="100"/>
      <c r="AS21" s="100"/>
      <c r="AT21" s="100"/>
      <c r="AU21" s="100"/>
      <c r="AV21" s="100"/>
      <c r="AW21" s="100"/>
      <c r="AX21" s="100"/>
      <c r="AY21" s="100"/>
      <c r="AZ21" s="100"/>
      <c r="BA21" s="100"/>
      <c r="BB21" s="100"/>
      <c r="BC21" s="100"/>
      <c r="BD21" s="100"/>
      <c r="BE21" s="100"/>
      <c r="BF21" s="100"/>
      <c r="BG21" s="100"/>
      <c r="BH21" s="100">
        <f t="shared" si="17"/>
        <v>0</v>
      </c>
      <c r="BI21" s="100"/>
      <c r="BJ21" s="100"/>
      <c r="BK21" s="100"/>
      <c r="BL21" s="100">
        <f>F21+P21+Q21+S21+T21+U21+V21+BH21</f>
        <v>0</v>
      </c>
      <c r="BM21" s="100">
        <f>R68-BL21</f>
        <v>0</v>
      </c>
      <c r="BN21" s="100">
        <f t="shared" si="18"/>
        <v>8.15</v>
      </c>
      <c r="BP21" s="8"/>
    </row>
    <row r="22" spans="1:69" s="2" customFormat="1" ht="18" customHeight="1">
      <c r="A22" s="5" t="s">
        <v>24</v>
      </c>
      <c r="B22" s="72" t="s">
        <v>37</v>
      </c>
      <c r="C22" s="5" t="s">
        <v>38</v>
      </c>
      <c r="D22" s="100">
        <f>#REF!</f>
        <v>579.23</v>
      </c>
      <c r="E22" s="100">
        <f>F22+O22+S22+T22+U22</f>
        <v>577.58000000000004</v>
      </c>
      <c r="F22" s="100">
        <f t="shared" si="6"/>
        <v>0</v>
      </c>
      <c r="G22" s="100">
        <f t="shared" si="8"/>
        <v>0</v>
      </c>
      <c r="H22" s="100">
        <f t="shared" si="12"/>
        <v>0</v>
      </c>
      <c r="I22" s="100"/>
      <c r="J22" s="100"/>
      <c r="K22" s="100"/>
      <c r="L22" s="100"/>
      <c r="M22" s="100"/>
      <c r="N22" s="100"/>
      <c r="O22" s="100">
        <f t="shared" si="16"/>
        <v>0</v>
      </c>
      <c r="P22" s="100"/>
      <c r="Q22" s="100"/>
      <c r="R22" s="100"/>
      <c r="S22" s="100">
        <f>D22-BL22</f>
        <v>577.58000000000004</v>
      </c>
      <c r="T22" s="100"/>
      <c r="U22" s="100"/>
      <c r="V22" s="100">
        <f t="shared" si="13"/>
        <v>1.65</v>
      </c>
      <c r="W22" s="100"/>
      <c r="X22" s="100"/>
      <c r="Y22" s="100"/>
      <c r="Z22" s="100"/>
      <c r="AA22" s="100"/>
      <c r="AB22" s="100"/>
      <c r="AC22" s="100"/>
      <c r="AD22" s="100"/>
      <c r="AE22" s="100">
        <f t="shared" si="9"/>
        <v>1.65</v>
      </c>
      <c r="AF22" s="100"/>
      <c r="AG22" s="100"/>
      <c r="AH22" s="100"/>
      <c r="AI22" s="100"/>
      <c r="AJ22" s="100"/>
      <c r="AK22" s="100"/>
      <c r="AL22" s="100">
        <v>1.65</v>
      </c>
      <c r="AM22" s="100"/>
      <c r="AN22" s="100"/>
      <c r="AO22" s="100"/>
      <c r="AP22" s="100"/>
      <c r="AQ22" s="100"/>
      <c r="AR22" s="100"/>
      <c r="AS22" s="100"/>
      <c r="AT22" s="100"/>
      <c r="AU22" s="100"/>
      <c r="AV22" s="100"/>
      <c r="AW22" s="100"/>
      <c r="AX22" s="100"/>
      <c r="AY22" s="100"/>
      <c r="AZ22" s="100"/>
      <c r="BA22" s="100"/>
      <c r="BB22" s="100"/>
      <c r="BC22" s="100"/>
      <c r="BD22" s="100"/>
      <c r="BE22" s="100"/>
      <c r="BF22" s="100"/>
      <c r="BG22" s="100"/>
      <c r="BH22" s="100">
        <f t="shared" si="17"/>
        <v>0</v>
      </c>
      <c r="BI22" s="100"/>
      <c r="BJ22" s="100"/>
      <c r="BK22" s="100"/>
      <c r="BL22" s="100">
        <f>G22+O22+T22+U22+V22+BH22</f>
        <v>1.65</v>
      </c>
      <c r="BM22" s="100">
        <f>S68-BL22</f>
        <v>64.399999999999991</v>
      </c>
      <c r="BN22" s="100">
        <f t="shared" si="18"/>
        <v>643.63</v>
      </c>
      <c r="BP22" s="8"/>
    </row>
    <row r="23" spans="1:69" s="2" customFormat="1" ht="19.5" hidden="1" customHeight="1">
      <c r="A23" s="5" t="s">
        <v>27</v>
      </c>
      <c r="B23" s="72" t="s">
        <v>40</v>
      </c>
      <c r="C23" s="5" t="s">
        <v>41</v>
      </c>
      <c r="D23" s="100"/>
      <c r="E23" s="100">
        <f t="shared" si="4"/>
        <v>0</v>
      </c>
      <c r="F23" s="100">
        <f t="shared" si="6"/>
        <v>0</v>
      </c>
      <c r="G23" s="100">
        <f t="shared" si="8"/>
        <v>0</v>
      </c>
      <c r="H23" s="100">
        <f t="shared" si="12"/>
        <v>0</v>
      </c>
      <c r="I23" s="100"/>
      <c r="J23" s="100"/>
      <c r="K23" s="100"/>
      <c r="L23" s="100"/>
      <c r="M23" s="100"/>
      <c r="N23" s="100"/>
      <c r="O23" s="100">
        <f t="shared" si="16"/>
        <v>0</v>
      </c>
      <c r="P23" s="100"/>
      <c r="Q23" s="100"/>
      <c r="R23" s="100"/>
      <c r="S23" s="100"/>
      <c r="T23" s="100">
        <f>D23-BL23</f>
        <v>0</v>
      </c>
      <c r="U23" s="100"/>
      <c r="V23" s="100">
        <f t="shared" si="13"/>
        <v>0</v>
      </c>
      <c r="W23" s="100"/>
      <c r="X23" s="100"/>
      <c r="Y23" s="100"/>
      <c r="Z23" s="100"/>
      <c r="AA23" s="100"/>
      <c r="AB23" s="100"/>
      <c r="AC23" s="100"/>
      <c r="AD23" s="100"/>
      <c r="AE23" s="100">
        <f t="shared" si="9"/>
        <v>0</v>
      </c>
      <c r="AF23" s="100"/>
      <c r="AG23" s="100"/>
      <c r="AH23" s="100"/>
      <c r="AI23" s="100"/>
      <c r="AJ23" s="100"/>
      <c r="AK23" s="100"/>
      <c r="AL23" s="100"/>
      <c r="AM23" s="100"/>
      <c r="AN23" s="100"/>
      <c r="AO23" s="100"/>
      <c r="AP23" s="100"/>
      <c r="AQ23" s="100"/>
      <c r="AR23" s="100"/>
      <c r="AS23" s="100"/>
      <c r="AT23" s="100"/>
      <c r="AU23" s="100"/>
      <c r="AV23" s="100"/>
      <c r="AW23" s="100"/>
      <c r="AX23" s="100"/>
      <c r="AY23" s="100"/>
      <c r="AZ23" s="100"/>
      <c r="BA23" s="100"/>
      <c r="BB23" s="100"/>
      <c r="BC23" s="100"/>
      <c r="BD23" s="100"/>
      <c r="BE23" s="100"/>
      <c r="BF23" s="100"/>
      <c r="BG23" s="100"/>
      <c r="BH23" s="100">
        <f t="shared" si="17"/>
        <v>0</v>
      </c>
      <c r="BI23" s="100"/>
      <c r="BJ23" s="100"/>
      <c r="BK23" s="100"/>
      <c r="BL23" s="100">
        <f>F23+O23+S23+U23+V23+BH23</f>
        <v>0</v>
      </c>
      <c r="BM23" s="100">
        <f>T68-BL23</f>
        <v>0</v>
      </c>
      <c r="BN23" s="100">
        <f t="shared" si="18"/>
        <v>0</v>
      </c>
      <c r="BP23" s="8"/>
    </row>
    <row r="24" spans="1:69" s="2" customFormat="1" ht="20.100000000000001" customHeight="1">
      <c r="A24" s="5" t="s">
        <v>30</v>
      </c>
      <c r="B24" s="72" t="s">
        <v>43</v>
      </c>
      <c r="C24" s="5" t="s">
        <v>44</v>
      </c>
      <c r="D24" s="100">
        <f>#REF!</f>
        <v>0.38</v>
      </c>
      <c r="E24" s="100">
        <f t="shared" si="4"/>
        <v>0.38</v>
      </c>
      <c r="F24" s="100">
        <f t="shared" si="6"/>
        <v>0</v>
      </c>
      <c r="G24" s="100">
        <f t="shared" si="8"/>
        <v>0</v>
      </c>
      <c r="H24" s="100">
        <f t="shared" si="12"/>
        <v>0</v>
      </c>
      <c r="I24" s="100"/>
      <c r="J24" s="100"/>
      <c r="K24" s="100"/>
      <c r="L24" s="100"/>
      <c r="M24" s="100"/>
      <c r="N24" s="100"/>
      <c r="O24" s="100">
        <f t="shared" si="16"/>
        <v>0</v>
      </c>
      <c r="P24" s="100"/>
      <c r="Q24" s="100"/>
      <c r="R24" s="100"/>
      <c r="S24" s="100"/>
      <c r="T24" s="100"/>
      <c r="U24" s="100">
        <f>D24-BL24</f>
        <v>0.38</v>
      </c>
      <c r="V24" s="100">
        <f t="shared" si="13"/>
        <v>0</v>
      </c>
      <c r="W24" s="100"/>
      <c r="X24" s="100"/>
      <c r="Y24" s="100"/>
      <c r="Z24" s="100"/>
      <c r="AA24" s="100"/>
      <c r="AB24" s="100"/>
      <c r="AC24" s="100"/>
      <c r="AD24" s="100"/>
      <c r="AE24" s="100">
        <f t="shared" si="9"/>
        <v>0</v>
      </c>
      <c r="AF24" s="100"/>
      <c r="AG24" s="100"/>
      <c r="AH24" s="100"/>
      <c r="AI24" s="100"/>
      <c r="AJ24" s="100"/>
      <c r="AK24" s="100"/>
      <c r="AL24" s="100"/>
      <c r="AM24" s="100"/>
      <c r="AN24" s="100"/>
      <c r="AO24" s="100"/>
      <c r="AP24" s="100"/>
      <c r="AQ24" s="100"/>
      <c r="AR24" s="100"/>
      <c r="AS24" s="100"/>
      <c r="AT24" s="100"/>
      <c r="AU24" s="100"/>
      <c r="AV24" s="100"/>
      <c r="AW24" s="100"/>
      <c r="AX24" s="100"/>
      <c r="AY24" s="100"/>
      <c r="AZ24" s="100"/>
      <c r="BA24" s="100"/>
      <c r="BB24" s="100"/>
      <c r="BC24" s="100"/>
      <c r="BD24" s="100"/>
      <c r="BE24" s="100"/>
      <c r="BF24" s="100"/>
      <c r="BG24" s="100"/>
      <c r="BH24" s="100">
        <f t="shared" si="17"/>
        <v>0</v>
      </c>
      <c r="BI24" s="100"/>
      <c r="BJ24" s="100"/>
      <c r="BK24" s="100"/>
      <c r="BL24" s="100">
        <f>V24</f>
        <v>0</v>
      </c>
      <c r="BM24" s="100">
        <f>U68-BL24</f>
        <v>0</v>
      </c>
      <c r="BN24" s="100">
        <f t="shared" si="18"/>
        <v>0.38</v>
      </c>
      <c r="BP24" s="8"/>
    </row>
    <row r="25" spans="1:69" s="7" customFormat="1" ht="25.5" customHeight="1">
      <c r="A25" s="6">
        <v>2</v>
      </c>
      <c r="B25" s="109" t="s">
        <v>45</v>
      </c>
      <c r="C25" s="6" t="s">
        <v>46</v>
      </c>
      <c r="D25" s="175">
        <f>D26+D27+D28+D29+D30+D31+D32+D33+D34+D46+D47+D48+D49+D50+D51+D52+D53+D54+D55+D56+D57+D58+D59+D60+D61+D62</f>
        <v>395.38</v>
      </c>
      <c r="E25" s="175">
        <f>E26+E27+E28+E29+E30+E31+E32+E33+E34+E46+E47+E48+E49+E50+E51+E52+E53+E54+E55+E56+E57+E58+E59+E60+E61+E62</f>
        <v>41.47</v>
      </c>
      <c r="F25" s="175">
        <f t="shared" ref="F25:U25" si="19">F26+F27+F28+F29+F30+F31+F32+F33+F34+F46+F47+F48+F49+F50+F51+F52+F53+F54+F55+F56+F57+F58+F59+F60+F61+F62</f>
        <v>0</v>
      </c>
      <c r="G25" s="175">
        <f t="shared" si="19"/>
        <v>0</v>
      </c>
      <c r="H25" s="175">
        <f t="shared" si="19"/>
        <v>0</v>
      </c>
      <c r="I25" s="175">
        <f t="shared" si="19"/>
        <v>0</v>
      </c>
      <c r="J25" s="175">
        <f t="shared" si="19"/>
        <v>0</v>
      </c>
      <c r="K25" s="175">
        <f t="shared" si="19"/>
        <v>0</v>
      </c>
      <c r="L25" s="175">
        <f t="shared" si="19"/>
        <v>0</v>
      </c>
      <c r="M25" s="175">
        <f t="shared" si="19"/>
        <v>0</v>
      </c>
      <c r="N25" s="175">
        <f t="shared" si="19"/>
        <v>0</v>
      </c>
      <c r="O25" s="175">
        <f t="shared" si="19"/>
        <v>0</v>
      </c>
      <c r="P25" s="175">
        <f t="shared" si="19"/>
        <v>0</v>
      </c>
      <c r="Q25" s="175">
        <f t="shared" si="19"/>
        <v>0</v>
      </c>
      <c r="R25" s="175">
        <f t="shared" si="19"/>
        <v>0</v>
      </c>
      <c r="S25" s="175">
        <f t="shared" si="19"/>
        <v>41.47</v>
      </c>
      <c r="T25" s="175">
        <f t="shared" si="19"/>
        <v>0</v>
      </c>
      <c r="U25" s="175">
        <f t="shared" si="19"/>
        <v>0</v>
      </c>
      <c r="V25" s="175">
        <f>D25-BL25</f>
        <v>353.90999999999997</v>
      </c>
      <c r="W25" s="175">
        <f>W26+W27+W28+W29+W30+W31+W32+W33+W34+W46+W47+W48+W49+W50+W51+W52+W53+W54+W55+W56+W57+W58+W59+W60+W61+W62</f>
        <v>0</v>
      </c>
      <c r="X25" s="175">
        <f t="shared" ref="X25:BK25" si="20">X26+X27+X28+X29+X30+X31+X32+X33+X34+X46+X47+X48+X49+X50+X51+X52+X53+X54+X55+X56+X57+X58+X59+X60+X61+X62</f>
        <v>0</v>
      </c>
      <c r="Y25" s="175">
        <f t="shared" si="20"/>
        <v>0</v>
      </c>
      <c r="Z25" s="175">
        <f t="shared" si="20"/>
        <v>0</v>
      </c>
      <c r="AA25" s="175">
        <f t="shared" si="20"/>
        <v>0</v>
      </c>
      <c r="AB25" s="175">
        <f t="shared" si="20"/>
        <v>5.23</v>
      </c>
      <c r="AC25" s="175">
        <f t="shared" si="20"/>
        <v>1.4499999999999993</v>
      </c>
      <c r="AD25" s="175">
        <f t="shared" si="20"/>
        <v>0</v>
      </c>
      <c r="AE25" s="175">
        <f t="shared" si="20"/>
        <v>151.36999999999998</v>
      </c>
      <c r="AF25" s="175">
        <f t="shared" si="20"/>
        <v>0</v>
      </c>
      <c r="AG25" s="175">
        <f t="shared" si="20"/>
        <v>0.1</v>
      </c>
      <c r="AH25" s="175">
        <f t="shared" si="20"/>
        <v>3.66</v>
      </c>
      <c r="AI25" s="175">
        <f t="shared" si="20"/>
        <v>2.0499999999999998</v>
      </c>
      <c r="AJ25" s="175">
        <f t="shared" si="20"/>
        <v>0</v>
      </c>
      <c r="AK25" s="175">
        <f t="shared" si="20"/>
        <v>0</v>
      </c>
      <c r="AL25" s="175">
        <f t="shared" si="20"/>
        <v>48.41</v>
      </c>
      <c r="AM25" s="175">
        <f t="shared" si="20"/>
        <v>97.05</v>
      </c>
      <c r="AN25" s="175">
        <f t="shared" si="20"/>
        <v>0.06</v>
      </c>
      <c r="AO25" s="175">
        <f t="shared" si="20"/>
        <v>0.04</v>
      </c>
      <c r="AP25" s="175">
        <f t="shared" si="20"/>
        <v>0</v>
      </c>
      <c r="AQ25" s="175">
        <f t="shared" si="20"/>
        <v>7.0000000000000007E-2</v>
      </c>
      <c r="AR25" s="175">
        <f t="shared" si="20"/>
        <v>0</v>
      </c>
      <c r="AS25" s="175">
        <f t="shared" si="20"/>
        <v>0.01</v>
      </c>
      <c r="AT25" s="175">
        <f t="shared" si="20"/>
        <v>49.699999999999996</v>
      </c>
      <c r="AU25" s="175">
        <f t="shared" si="20"/>
        <v>0</v>
      </c>
      <c r="AV25" s="175">
        <f t="shared" si="20"/>
        <v>0.91</v>
      </c>
      <c r="AW25" s="175">
        <f t="shared" si="20"/>
        <v>0</v>
      </c>
      <c r="AX25" s="175">
        <f t="shared" si="20"/>
        <v>0</v>
      </c>
      <c r="AY25" s="175">
        <f t="shared" si="20"/>
        <v>0.71</v>
      </c>
      <c r="AZ25" s="175">
        <f t="shared" si="20"/>
        <v>19</v>
      </c>
      <c r="BA25" s="175">
        <f t="shared" si="20"/>
        <v>0</v>
      </c>
      <c r="BB25" s="175">
        <f t="shared" si="20"/>
        <v>0.56999999999999995</v>
      </c>
      <c r="BC25" s="175">
        <f t="shared" si="20"/>
        <v>0</v>
      </c>
      <c r="BD25" s="175">
        <f t="shared" si="20"/>
        <v>1.53</v>
      </c>
      <c r="BE25" s="175">
        <f t="shared" si="20"/>
        <v>96.1</v>
      </c>
      <c r="BF25" s="175">
        <f t="shared" si="20"/>
        <v>25.759999999999998</v>
      </c>
      <c r="BG25" s="175">
        <f t="shared" si="20"/>
        <v>1.5</v>
      </c>
      <c r="BH25" s="175">
        <f t="shared" si="20"/>
        <v>0</v>
      </c>
      <c r="BI25" s="175">
        <f t="shared" si="20"/>
        <v>0</v>
      </c>
      <c r="BJ25" s="175">
        <f t="shared" si="20"/>
        <v>0</v>
      </c>
      <c r="BK25" s="175">
        <f t="shared" si="20"/>
        <v>0</v>
      </c>
      <c r="BL25" s="175">
        <f>E25+BH25</f>
        <v>41.47</v>
      </c>
      <c r="BM25" s="175">
        <f>BM26+BM27+BM28+BM29+BM30+BM31+BM32+BM33+BM34+BM46+BM47+BM48+BM49+BM50+BM51+BM52+BM53+BM54+BM55+BM56+BM57+BM58+BM59+BM60+BM61+BM62</f>
        <v>-21.860000000000007</v>
      </c>
      <c r="BN25" s="175">
        <f>BN26+BN27+BN28+BN29+BN30+BN31+BN32+BN33+BN34+BN46+BN47+BN48+BN49+BN50+BN51+BN52+BN53+BN54+BN55+BN56+BN57+BN58+BN59+BN60+BN61+BN62</f>
        <v>373.52</v>
      </c>
      <c r="BP25" s="510">
        <f>+D25+BM25</f>
        <v>373.52</v>
      </c>
      <c r="BQ25" s="511">
        <f>BP25-BO34</f>
        <v>204.6</v>
      </c>
    </row>
    <row r="26" spans="1:69" s="2" customFormat="1" ht="20.100000000000001" customHeight="1">
      <c r="A26" s="20" t="s">
        <v>47</v>
      </c>
      <c r="B26" s="110" t="s">
        <v>48</v>
      </c>
      <c r="C26" s="5" t="s">
        <v>49</v>
      </c>
      <c r="D26" s="100"/>
      <c r="E26" s="100">
        <f t="shared" si="4"/>
        <v>0</v>
      </c>
      <c r="F26" s="100">
        <f>G26+N26</f>
        <v>0</v>
      </c>
      <c r="G26" s="100">
        <f t="shared" si="8"/>
        <v>0</v>
      </c>
      <c r="H26" s="100">
        <f t="shared" si="12"/>
        <v>0</v>
      </c>
      <c r="I26" s="100"/>
      <c r="J26" s="100"/>
      <c r="K26" s="100"/>
      <c r="L26" s="100"/>
      <c r="M26" s="100"/>
      <c r="N26" s="100"/>
      <c r="O26" s="100"/>
      <c r="P26" s="100"/>
      <c r="Q26" s="100"/>
      <c r="R26" s="100"/>
      <c r="S26" s="100"/>
      <c r="T26" s="100"/>
      <c r="U26" s="100"/>
      <c r="V26" s="100">
        <f t="shared" si="13"/>
        <v>0</v>
      </c>
      <c r="W26" s="100">
        <f>D26-BL26</f>
        <v>0</v>
      </c>
      <c r="X26" s="100"/>
      <c r="Y26" s="100"/>
      <c r="Z26" s="100"/>
      <c r="AA26" s="100"/>
      <c r="AB26" s="100"/>
      <c r="AC26" s="100"/>
      <c r="AD26" s="100"/>
      <c r="AE26" s="100">
        <f t="shared" si="9"/>
        <v>0</v>
      </c>
      <c r="AF26" s="100"/>
      <c r="AG26" s="100"/>
      <c r="AH26" s="100"/>
      <c r="AI26" s="100"/>
      <c r="AJ26" s="100"/>
      <c r="AK26" s="100"/>
      <c r="AL26" s="100"/>
      <c r="AM26" s="100"/>
      <c r="AN26" s="100"/>
      <c r="AO26" s="100"/>
      <c r="AP26" s="100"/>
      <c r="AQ26" s="100"/>
      <c r="AR26" s="100"/>
      <c r="AS26" s="100"/>
      <c r="AT26" s="100"/>
      <c r="AU26" s="100"/>
      <c r="AV26" s="100"/>
      <c r="AW26" s="100"/>
      <c r="AX26" s="100"/>
      <c r="AY26" s="100"/>
      <c r="AZ26" s="100"/>
      <c r="BA26" s="100"/>
      <c r="BB26" s="100"/>
      <c r="BC26" s="100"/>
      <c r="BD26" s="100"/>
      <c r="BE26" s="100"/>
      <c r="BF26" s="100"/>
      <c r="BG26" s="100"/>
      <c r="BH26" s="100">
        <f>BI26+BJ26+BK26</f>
        <v>0</v>
      </c>
      <c r="BI26" s="100"/>
      <c r="BJ26" s="100"/>
      <c r="BK26" s="100"/>
      <c r="BL26" s="100">
        <f>X26+Y26+Z26+AA26+AB26+AC26+AD26+AE26+AQ26+AR26+AS26+AT26+AU26+AV26+AW26+AX26+AY26+AZ26+BA26+BB26+BC26+BD26+BE26+BF26+BG26+BH26</f>
        <v>0</v>
      </c>
      <c r="BM26" s="100">
        <f>W68-BL26</f>
        <v>0</v>
      </c>
      <c r="BN26" s="100">
        <f>D26+BM26</f>
        <v>0</v>
      </c>
      <c r="BP26" s="8"/>
    </row>
    <row r="27" spans="1:69" s="2" customFormat="1" ht="20.100000000000001" customHeight="1">
      <c r="A27" s="20" t="s">
        <v>50</v>
      </c>
      <c r="B27" s="110" t="s">
        <v>51</v>
      </c>
      <c r="C27" s="5" t="s">
        <v>52</v>
      </c>
      <c r="D27" s="100"/>
      <c r="E27" s="100">
        <f t="shared" si="4"/>
        <v>0</v>
      </c>
      <c r="F27" s="100">
        <f t="shared" ref="F27:F66" si="21">G27+N27</f>
        <v>0</v>
      </c>
      <c r="G27" s="100">
        <f t="shared" si="8"/>
        <v>0</v>
      </c>
      <c r="H27" s="100">
        <f t="shared" si="12"/>
        <v>0</v>
      </c>
      <c r="I27" s="100"/>
      <c r="J27" s="100"/>
      <c r="K27" s="100"/>
      <c r="L27" s="100"/>
      <c r="M27" s="100"/>
      <c r="N27" s="100"/>
      <c r="O27" s="100"/>
      <c r="P27" s="100"/>
      <c r="Q27" s="100"/>
      <c r="R27" s="100"/>
      <c r="S27" s="100"/>
      <c r="T27" s="100"/>
      <c r="U27" s="100"/>
      <c r="V27" s="100">
        <f t="shared" si="13"/>
        <v>0</v>
      </c>
      <c r="W27" s="100"/>
      <c r="X27" s="100">
        <f>D27-BL27</f>
        <v>0</v>
      </c>
      <c r="Y27" s="100"/>
      <c r="Z27" s="100"/>
      <c r="AA27" s="100"/>
      <c r="AB27" s="100"/>
      <c r="AC27" s="100"/>
      <c r="AD27" s="100"/>
      <c r="AE27" s="100">
        <f t="shared" si="9"/>
        <v>0</v>
      </c>
      <c r="AF27" s="100"/>
      <c r="AG27" s="100"/>
      <c r="AH27" s="100"/>
      <c r="AI27" s="100"/>
      <c r="AJ27" s="100"/>
      <c r="AK27" s="100"/>
      <c r="AL27" s="100"/>
      <c r="AM27" s="100"/>
      <c r="AN27" s="100"/>
      <c r="AO27" s="100"/>
      <c r="AP27" s="100"/>
      <c r="AQ27" s="100"/>
      <c r="AR27" s="100"/>
      <c r="AS27" s="100"/>
      <c r="AT27" s="100"/>
      <c r="AU27" s="100"/>
      <c r="AV27" s="100"/>
      <c r="AW27" s="100"/>
      <c r="AX27" s="100"/>
      <c r="AY27" s="100"/>
      <c r="AZ27" s="100"/>
      <c r="BA27" s="100"/>
      <c r="BB27" s="100"/>
      <c r="BC27" s="100"/>
      <c r="BD27" s="100"/>
      <c r="BE27" s="100"/>
      <c r="BF27" s="100"/>
      <c r="BG27" s="100"/>
      <c r="BH27" s="100">
        <f t="shared" ref="BH27:BH62" si="22">BI27+BJ27+BK27</f>
        <v>0</v>
      </c>
      <c r="BI27" s="100"/>
      <c r="BJ27" s="100"/>
      <c r="BK27" s="100"/>
      <c r="BL27" s="100">
        <f>F27+W27+Y27+Z27+AA27+AB27+AC27+AD27+AE27+AQ27+AR27+AS27+AT27+AU27+AV27+AW27+AX27+AY27+AZ27+BA27+BB27+BC27+BD27+BE27+BF27+BG27+BH27</f>
        <v>0</v>
      </c>
      <c r="BM27" s="100">
        <f>X68-BL27</f>
        <v>0</v>
      </c>
      <c r="BN27" s="100">
        <f t="shared" ref="BN27:BN33" si="23">D27+BM27</f>
        <v>0</v>
      </c>
      <c r="BP27" s="8"/>
    </row>
    <row r="28" spans="1:69" s="2" customFormat="1" ht="20.100000000000001" customHeight="1">
      <c r="A28" s="20" t="s">
        <v>53</v>
      </c>
      <c r="B28" s="110" t="s">
        <v>54</v>
      </c>
      <c r="C28" s="5" t="s">
        <v>55</v>
      </c>
      <c r="D28" s="100"/>
      <c r="E28" s="100">
        <f t="shared" si="4"/>
        <v>0</v>
      </c>
      <c r="F28" s="100">
        <f t="shared" si="21"/>
        <v>0</v>
      </c>
      <c r="G28" s="100">
        <f t="shared" si="8"/>
        <v>0</v>
      </c>
      <c r="H28" s="100">
        <f t="shared" si="12"/>
        <v>0</v>
      </c>
      <c r="I28" s="100"/>
      <c r="J28" s="100"/>
      <c r="K28" s="100"/>
      <c r="L28" s="100"/>
      <c r="M28" s="100"/>
      <c r="N28" s="100"/>
      <c r="O28" s="100"/>
      <c r="P28" s="100"/>
      <c r="Q28" s="100"/>
      <c r="R28" s="100"/>
      <c r="S28" s="100"/>
      <c r="T28" s="100"/>
      <c r="U28" s="100"/>
      <c r="V28" s="100">
        <f t="shared" si="13"/>
        <v>0</v>
      </c>
      <c r="W28" s="100"/>
      <c r="X28" s="100"/>
      <c r="Y28" s="100">
        <f>D28-BL28</f>
        <v>0</v>
      </c>
      <c r="Z28" s="100"/>
      <c r="AA28" s="100"/>
      <c r="AB28" s="100"/>
      <c r="AC28" s="100"/>
      <c r="AD28" s="100"/>
      <c r="AE28" s="100">
        <f t="shared" si="9"/>
        <v>0</v>
      </c>
      <c r="AF28" s="100"/>
      <c r="AG28" s="100"/>
      <c r="AH28" s="100"/>
      <c r="AI28" s="100"/>
      <c r="AJ28" s="100"/>
      <c r="AK28" s="100"/>
      <c r="AL28" s="100"/>
      <c r="AM28" s="100"/>
      <c r="AN28" s="100"/>
      <c r="AO28" s="100"/>
      <c r="AP28" s="100"/>
      <c r="AQ28" s="100"/>
      <c r="AR28" s="100"/>
      <c r="AS28" s="100"/>
      <c r="AT28" s="100"/>
      <c r="AU28" s="100"/>
      <c r="AV28" s="100"/>
      <c r="AW28" s="100"/>
      <c r="AX28" s="100"/>
      <c r="AY28" s="100"/>
      <c r="AZ28" s="100"/>
      <c r="BA28" s="100"/>
      <c r="BB28" s="100"/>
      <c r="BC28" s="100"/>
      <c r="BD28" s="100"/>
      <c r="BE28" s="100"/>
      <c r="BF28" s="100"/>
      <c r="BG28" s="100"/>
      <c r="BH28" s="100">
        <f t="shared" si="22"/>
        <v>0</v>
      </c>
      <c r="BI28" s="100"/>
      <c r="BJ28" s="100"/>
      <c r="BK28" s="100"/>
      <c r="BL28" s="100">
        <f>E28+W28+X28+Z28+AA28+AB28+AC28+AD28+AE28+AQ28+AR28+AS28+AT28+AU28+AV28+AW28+AX28+AY28+AZ28+BA28+BB28+BC28+BD28+BE28+BF28+BG28+BH28</f>
        <v>0</v>
      </c>
      <c r="BM28" s="100">
        <f>Y68-BL28</f>
        <v>0</v>
      </c>
      <c r="BN28" s="100">
        <f t="shared" si="23"/>
        <v>0</v>
      </c>
      <c r="BP28" s="8"/>
    </row>
    <row r="29" spans="1:69" s="2" customFormat="1" ht="20.100000000000001" customHeight="1">
      <c r="A29" s="20" t="s">
        <v>56</v>
      </c>
      <c r="B29" s="110" t="s">
        <v>57</v>
      </c>
      <c r="C29" s="5" t="s">
        <v>58</v>
      </c>
      <c r="D29" s="100"/>
      <c r="E29" s="100">
        <f t="shared" si="4"/>
        <v>0</v>
      </c>
      <c r="F29" s="100">
        <f t="shared" si="21"/>
        <v>0</v>
      </c>
      <c r="G29" s="100">
        <f t="shared" si="8"/>
        <v>0</v>
      </c>
      <c r="H29" s="100">
        <f t="shared" si="12"/>
        <v>0</v>
      </c>
      <c r="I29" s="100"/>
      <c r="J29" s="100"/>
      <c r="K29" s="100"/>
      <c r="L29" s="100"/>
      <c r="M29" s="100"/>
      <c r="N29" s="100"/>
      <c r="O29" s="100"/>
      <c r="P29" s="100"/>
      <c r="Q29" s="100"/>
      <c r="R29" s="100"/>
      <c r="S29" s="100"/>
      <c r="T29" s="100"/>
      <c r="U29" s="100"/>
      <c r="V29" s="100">
        <f t="shared" si="13"/>
        <v>0</v>
      </c>
      <c r="W29" s="100"/>
      <c r="X29" s="100"/>
      <c r="Y29" s="100"/>
      <c r="Z29" s="100">
        <f>D29-BL29</f>
        <v>0</v>
      </c>
      <c r="AA29" s="100"/>
      <c r="AB29" s="100"/>
      <c r="AC29" s="100"/>
      <c r="AD29" s="100"/>
      <c r="AE29" s="100">
        <f t="shared" si="9"/>
        <v>0</v>
      </c>
      <c r="AF29" s="100"/>
      <c r="AG29" s="100"/>
      <c r="AH29" s="100"/>
      <c r="AI29" s="100"/>
      <c r="AJ29" s="100"/>
      <c r="AK29" s="100"/>
      <c r="AL29" s="100"/>
      <c r="AM29" s="100"/>
      <c r="AN29" s="100"/>
      <c r="AO29" s="100"/>
      <c r="AP29" s="100"/>
      <c r="AQ29" s="100"/>
      <c r="AR29" s="100"/>
      <c r="AS29" s="100"/>
      <c r="AT29" s="100"/>
      <c r="AU29" s="100"/>
      <c r="AV29" s="100"/>
      <c r="AW29" s="100"/>
      <c r="AX29" s="100"/>
      <c r="AY29" s="100"/>
      <c r="AZ29" s="100"/>
      <c r="BA29" s="100"/>
      <c r="BB29" s="100"/>
      <c r="BC29" s="100"/>
      <c r="BD29" s="100"/>
      <c r="BE29" s="100"/>
      <c r="BF29" s="100"/>
      <c r="BG29" s="100"/>
      <c r="BH29" s="100">
        <f t="shared" si="22"/>
        <v>0</v>
      </c>
      <c r="BI29" s="100"/>
      <c r="BJ29" s="100"/>
      <c r="BK29" s="100"/>
      <c r="BL29" s="100">
        <f>E29+W29+X29+Y29+AA29+AB29+AC29+AD29+AE29+AQ29+AR29+AS29+AT29+AU29+AV29+AW29+AX29+AY29+AZ29+BA29+BB29+BC29+BD29+BE29+BF29+BG29+BH29</f>
        <v>0</v>
      </c>
      <c r="BM29" s="100">
        <f>Z68-BL29</f>
        <v>0</v>
      </c>
      <c r="BN29" s="100">
        <f t="shared" si="23"/>
        <v>0</v>
      </c>
      <c r="BP29" s="8"/>
    </row>
    <row r="30" spans="1:69" s="2" customFormat="1" ht="20.100000000000001" customHeight="1">
      <c r="A30" s="20" t="s">
        <v>59</v>
      </c>
      <c r="B30" s="110" t="s">
        <v>60</v>
      </c>
      <c r="C30" s="5" t="s">
        <v>61</v>
      </c>
      <c r="D30" s="100"/>
      <c r="E30" s="100">
        <f t="shared" si="4"/>
        <v>0</v>
      </c>
      <c r="F30" s="100">
        <f t="shared" si="21"/>
        <v>0</v>
      </c>
      <c r="G30" s="100">
        <f t="shared" si="8"/>
        <v>0</v>
      </c>
      <c r="H30" s="100">
        <f t="shared" si="12"/>
        <v>0</v>
      </c>
      <c r="I30" s="100"/>
      <c r="J30" s="100"/>
      <c r="K30" s="100"/>
      <c r="L30" s="100"/>
      <c r="M30" s="100"/>
      <c r="N30" s="100"/>
      <c r="O30" s="100"/>
      <c r="P30" s="100"/>
      <c r="Q30" s="100"/>
      <c r="R30" s="100"/>
      <c r="S30" s="100"/>
      <c r="T30" s="100"/>
      <c r="U30" s="100"/>
      <c r="V30" s="100">
        <f t="shared" si="13"/>
        <v>0</v>
      </c>
      <c r="W30" s="100"/>
      <c r="X30" s="100"/>
      <c r="Y30" s="100"/>
      <c r="Z30" s="100"/>
      <c r="AA30" s="100">
        <f>D30-BL30</f>
        <v>0</v>
      </c>
      <c r="AB30" s="100"/>
      <c r="AC30" s="100"/>
      <c r="AD30" s="100"/>
      <c r="AE30" s="100">
        <f t="shared" si="9"/>
        <v>0</v>
      </c>
      <c r="AF30" s="100"/>
      <c r="AG30" s="100"/>
      <c r="AH30" s="100"/>
      <c r="AI30" s="100"/>
      <c r="AJ30" s="100"/>
      <c r="AK30" s="100"/>
      <c r="AL30" s="100"/>
      <c r="AM30" s="100"/>
      <c r="AN30" s="100"/>
      <c r="AO30" s="100"/>
      <c r="AP30" s="100"/>
      <c r="AQ30" s="100"/>
      <c r="AR30" s="100"/>
      <c r="AS30" s="100"/>
      <c r="AT30" s="100"/>
      <c r="AU30" s="100"/>
      <c r="AV30" s="100"/>
      <c r="AW30" s="100"/>
      <c r="AX30" s="100"/>
      <c r="AY30" s="100"/>
      <c r="AZ30" s="100"/>
      <c r="BA30" s="100"/>
      <c r="BB30" s="100"/>
      <c r="BC30" s="100"/>
      <c r="BD30" s="100"/>
      <c r="BE30" s="100"/>
      <c r="BF30" s="100"/>
      <c r="BG30" s="100"/>
      <c r="BH30" s="100">
        <f t="shared" si="22"/>
        <v>0</v>
      </c>
      <c r="BI30" s="100"/>
      <c r="BJ30" s="100"/>
      <c r="BK30" s="100"/>
      <c r="BL30" s="100">
        <f>E30+W30+X30+Y30+Z30+AB30+AC30+AD30+AE30+AQ30+AR30+AS30+AT30+AU30+AV30+AW30+AX30+AY30+AZ30+BA30+BB30+BC30+BD30+BE30+BF30+BG30+BH30</f>
        <v>0</v>
      </c>
      <c r="BM30" s="100">
        <f>AA68-BL30</f>
        <v>0</v>
      </c>
      <c r="BN30" s="100">
        <f t="shared" si="23"/>
        <v>0</v>
      </c>
      <c r="BP30" s="8"/>
    </row>
    <row r="31" spans="1:69" s="2" customFormat="1" ht="20.100000000000001" customHeight="1">
      <c r="A31" s="20" t="s">
        <v>62</v>
      </c>
      <c r="B31" s="110" t="s">
        <v>63</v>
      </c>
      <c r="C31" s="5" t="s">
        <v>64</v>
      </c>
      <c r="D31" s="100"/>
      <c r="E31" s="100">
        <f t="shared" si="4"/>
        <v>0</v>
      </c>
      <c r="F31" s="100">
        <f t="shared" si="21"/>
        <v>0</v>
      </c>
      <c r="G31" s="100">
        <f t="shared" si="8"/>
        <v>0</v>
      </c>
      <c r="H31" s="100">
        <f t="shared" si="12"/>
        <v>0</v>
      </c>
      <c r="I31" s="100"/>
      <c r="J31" s="100"/>
      <c r="K31" s="100"/>
      <c r="L31" s="100"/>
      <c r="M31" s="100"/>
      <c r="N31" s="100"/>
      <c r="O31" s="100"/>
      <c r="P31" s="100"/>
      <c r="Q31" s="100"/>
      <c r="R31" s="100"/>
      <c r="S31" s="100"/>
      <c r="T31" s="100"/>
      <c r="U31" s="100"/>
      <c r="V31" s="100">
        <f>W31+X31+Y31+Z31+AA31+AB31+AC31+AD31+AE31+AQ31+AR31+AS31+AT31+AU31+AV31+AW31+AX31+AY31+AZ31+BA31+BB31+BC31+BD31+BE31+BF31+BG31</f>
        <v>0</v>
      </c>
      <c r="W31" s="100"/>
      <c r="X31" s="100"/>
      <c r="Y31" s="100"/>
      <c r="Z31" s="100"/>
      <c r="AA31" s="100"/>
      <c r="AB31" s="100">
        <f>D31-BL31</f>
        <v>0</v>
      </c>
      <c r="AC31" s="100"/>
      <c r="AD31" s="100"/>
      <c r="AE31" s="100">
        <f t="shared" si="9"/>
        <v>0</v>
      </c>
      <c r="AF31" s="100"/>
      <c r="AG31" s="100"/>
      <c r="AH31" s="100"/>
      <c r="AI31" s="100"/>
      <c r="AJ31" s="100"/>
      <c r="AK31" s="100"/>
      <c r="AL31" s="100"/>
      <c r="AM31" s="100"/>
      <c r="AN31" s="100"/>
      <c r="AO31" s="100"/>
      <c r="AP31" s="100"/>
      <c r="AQ31" s="100"/>
      <c r="AR31" s="100"/>
      <c r="AS31" s="100"/>
      <c r="AT31" s="100"/>
      <c r="AU31" s="100"/>
      <c r="AV31" s="100"/>
      <c r="AW31" s="100"/>
      <c r="AX31" s="100"/>
      <c r="AY31" s="100"/>
      <c r="AZ31" s="100"/>
      <c r="BA31" s="100"/>
      <c r="BB31" s="100"/>
      <c r="BC31" s="100"/>
      <c r="BD31" s="100"/>
      <c r="BE31" s="100"/>
      <c r="BF31" s="100"/>
      <c r="BG31" s="100"/>
      <c r="BH31" s="100">
        <f>BI31+BJ31+BK31</f>
        <v>0</v>
      </c>
      <c r="BI31" s="100"/>
      <c r="BJ31" s="100"/>
      <c r="BK31" s="100"/>
      <c r="BL31" s="100">
        <f>E31+W31+X31+Y31+Z31+AA31+AC31+AD31+AE31+AQ31+AR31+AS31+AT31+AU31+AV31+AW31+AX31+AY31+AZ31+BA31+BB31+BC31+BD31+BE31+BF31+BG31+BH31</f>
        <v>0</v>
      </c>
      <c r="BM31" s="100">
        <f>AB68-BL31</f>
        <v>5.27</v>
      </c>
      <c r="BN31" s="100">
        <f t="shared" si="23"/>
        <v>5.27</v>
      </c>
      <c r="BP31" s="8"/>
    </row>
    <row r="32" spans="1:69" s="2" customFormat="1" ht="20.100000000000001" customHeight="1">
      <c r="A32" s="20" t="s">
        <v>65</v>
      </c>
      <c r="B32" s="110" t="s">
        <v>66</v>
      </c>
      <c r="C32" s="5" t="s">
        <v>67</v>
      </c>
      <c r="D32" s="100">
        <f>#REF!</f>
        <v>6.39</v>
      </c>
      <c r="E32" s="100">
        <f t="shared" si="4"/>
        <v>0</v>
      </c>
      <c r="F32" s="100">
        <f t="shared" si="21"/>
        <v>0</v>
      </c>
      <c r="G32" s="100">
        <f t="shared" si="8"/>
        <v>0</v>
      </c>
      <c r="H32" s="100">
        <f t="shared" si="12"/>
        <v>0</v>
      </c>
      <c r="I32" s="100"/>
      <c r="J32" s="100"/>
      <c r="K32" s="100"/>
      <c r="L32" s="100"/>
      <c r="M32" s="100"/>
      <c r="N32" s="100"/>
      <c r="O32" s="100"/>
      <c r="P32" s="100"/>
      <c r="Q32" s="100"/>
      <c r="R32" s="100"/>
      <c r="S32" s="100"/>
      <c r="T32" s="100"/>
      <c r="U32" s="100"/>
      <c r="V32" s="100">
        <f t="shared" si="13"/>
        <v>6.39</v>
      </c>
      <c r="W32" s="100"/>
      <c r="X32" s="100"/>
      <c r="Y32" s="100"/>
      <c r="Z32" s="100"/>
      <c r="AA32" s="100"/>
      <c r="AB32" s="100">
        <v>4.9400000000000004</v>
      </c>
      <c r="AC32" s="100">
        <f>D32-BL32</f>
        <v>1.4499999999999993</v>
      </c>
      <c r="AD32" s="100"/>
      <c r="AE32" s="100">
        <f t="shared" si="9"/>
        <v>0</v>
      </c>
      <c r="AF32" s="100"/>
      <c r="AG32" s="100"/>
      <c r="AH32" s="100"/>
      <c r="AI32" s="100"/>
      <c r="AJ32" s="100"/>
      <c r="AK32" s="100"/>
      <c r="AL32" s="100"/>
      <c r="AM32" s="100"/>
      <c r="AN32" s="100"/>
      <c r="AO32" s="100"/>
      <c r="AP32" s="100"/>
      <c r="AQ32" s="100"/>
      <c r="AR32" s="100"/>
      <c r="AS32" s="100"/>
      <c r="AT32" s="100"/>
      <c r="AU32" s="100"/>
      <c r="AV32" s="100"/>
      <c r="AW32" s="100"/>
      <c r="AX32" s="100"/>
      <c r="AY32" s="100"/>
      <c r="AZ32" s="100"/>
      <c r="BA32" s="100"/>
      <c r="BB32" s="100"/>
      <c r="BC32" s="100"/>
      <c r="BD32" s="100"/>
      <c r="BE32" s="100"/>
      <c r="BF32" s="100"/>
      <c r="BG32" s="100"/>
      <c r="BH32" s="100">
        <f t="shared" si="22"/>
        <v>0</v>
      </c>
      <c r="BI32" s="100"/>
      <c r="BJ32" s="100"/>
      <c r="BK32" s="100"/>
      <c r="BL32" s="100">
        <f>E32+W32+X32+Y32+Z32+AA32+AB32+AD32+AE32+AQ32+AR32+AS32+AT32+AU32+AV32+AW32+AX32+AY32+AZ32+BA32+BB32+BC32+BD32+BE32+BF32+BG32+BH32</f>
        <v>4.9400000000000004</v>
      </c>
      <c r="BM32" s="100">
        <f>AC68-BL32</f>
        <v>-4.9400000000000004</v>
      </c>
      <c r="BN32" s="100">
        <f t="shared" si="23"/>
        <v>1.4499999999999993</v>
      </c>
      <c r="BP32" s="8"/>
    </row>
    <row r="33" spans="1:68" s="2" customFormat="1" ht="20.100000000000001" customHeight="1">
      <c r="A33" s="20" t="s">
        <v>68</v>
      </c>
      <c r="B33" s="110" t="s">
        <v>69</v>
      </c>
      <c r="C33" s="5" t="s">
        <v>70</v>
      </c>
      <c r="D33" s="100"/>
      <c r="E33" s="100">
        <f t="shared" si="4"/>
        <v>0</v>
      </c>
      <c r="F33" s="100">
        <f t="shared" si="21"/>
        <v>0</v>
      </c>
      <c r="G33" s="100">
        <f t="shared" si="8"/>
        <v>0</v>
      </c>
      <c r="H33" s="100">
        <f t="shared" si="12"/>
        <v>0</v>
      </c>
      <c r="I33" s="100"/>
      <c r="J33" s="100"/>
      <c r="K33" s="100"/>
      <c r="L33" s="100"/>
      <c r="M33" s="100"/>
      <c r="N33" s="100"/>
      <c r="O33" s="100"/>
      <c r="P33" s="100"/>
      <c r="Q33" s="100"/>
      <c r="R33" s="100"/>
      <c r="S33" s="100"/>
      <c r="T33" s="100"/>
      <c r="U33" s="100"/>
      <c r="V33" s="100">
        <f t="shared" si="13"/>
        <v>0</v>
      </c>
      <c r="W33" s="100"/>
      <c r="X33" s="100"/>
      <c r="Y33" s="100"/>
      <c r="Z33" s="100"/>
      <c r="AA33" s="100"/>
      <c r="AB33" s="100"/>
      <c r="AC33" s="100"/>
      <c r="AD33" s="100">
        <f>D33-BL33</f>
        <v>0</v>
      </c>
      <c r="AE33" s="100">
        <f t="shared" si="9"/>
        <v>0</v>
      </c>
      <c r="AF33" s="100"/>
      <c r="AG33" s="100"/>
      <c r="AH33" s="100"/>
      <c r="AI33" s="100"/>
      <c r="AJ33" s="100"/>
      <c r="AK33" s="100"/>
      <c r="AL33" s="100"/>
      <c r="AM33" s="100"/>
      <c r="AN33" s="100"/>
      <c r="AO33" s="100"/>
      <c r="AP33" s="100"/>
      <c r="AQ33" s="100"/>
      <c r="AR33" s="100"/>
      <c r="AS33" s="100"/>
      <c r="AT33" s="100"/>
      <c r="AU33" s="100"/>
      <c r="AV33" s="100"/>
      <c r="AW33" s="100"/>
      <c r="AX33" s="100"/>
      <c r="AY33" s="100"/>
      <c r="AZ33" s="100"/>
      <c r="BA33" s="100"/>
      <c r="BB33" s="100"/>
      <c r="BC33" s="100"/>
      <c r="BD33" s="100"/>
      <c r="BE33" s="100"/>
      <c r="BF33" s="100"/>
      <c r="BG33" s="100"/>
      <c r="BH33" s="100">
        <f t="shared" si="22"/>
        <v>0</v>
      </c>
      <c r="BI33" s="100"/>
      <c r="BJ33" s="100"/>
      <c r="BK33" s="100"/>
      <c r="BL33" s="100">
        <f>E33+W33+X33+Y33+Z33+AA33+AB33+AC33+AE33+AQ33+AR33+AS33+AT33+AU33+AV33+AW33+AX33+AY33+AZ33+BA33+BB33+BC33+BD33+BE33+BF33+BG33+BH33</f>
        <v>0</v>
      </c>
      <c r="BM33" s="100">
        <f>AD68-BL33</f>
        <v>0</v>
      </c>
      <c r="BN33" s="100">
        <f t="shared" si="23"/>
        <v>0</v>
      </c>
      <c r="BP33" s="8"/>
    </row>
    <row r="34" spans="1:68" s="2" customFormat="1" ht="40.5" customHeight="1">
      <c r="A34" s="20" t="s">
        <v>71</v>
      </c>
      <c r="B34" s="110" t="s">
        <v>135</v>
      </c>
      <c r="C34" s="5" t="s">
        <v>72</v>
      </c>
      <c r="D34" s="100">
        <f>SUM(D35:D45)</f>
        <v>157.42999999999998</v>
      </c>
      <c r="E34" s="100">
        <f>SUM(E35:E45)</f>
        <v>6.51</v>
      </c>
      <c r="F34" s="100">
        <f t="shared" ref="F34:U34" si="24">SUM(F35:F45)</f>
        <v>0</v>
      </c>
      <c r="G34" s="100">
        <f t="shared" si="24"/>
        <v>0</v>
      </c>
      <c r="H34" s="100">
        <f t="shared" si="24"/>
        <v>0</v>
      </c>
      <c r="I34" s="100">
        <f t="shared" si="24"/>
        <v>0</v>
      </c>
      <c r="J34" s="100">
        <f t="shared" si="24"/>
        <v>0</v>
      </c>
      <c r="K34" s="100">
        <f t="shared" si="24"/>
        <v>0</v>
      </c>
      <c r="L34" s="100">
        <f t="shared" si="24"/>
        <v>0</v>
      </c>
      <c r="M34" s="100">
        <f t="shared" si="24"/>
        <v>0</v>
      </c>
      <c r="N34" s="100">
        <f t="shared" si="24"/>
        <v>0</v>
      </c>
      <c r="O34" s="100">
        <f t="shared" si="24"/>
        <v>0</v>
      </c>
      <c r="P34" s="100">
        <f t="shared" si="24"/>
        <v>0</v>
      </c>
      <c r="Q34" s="100">
        <f t="shared" si="24"/>
        <v>0</v>
      </c>
      <c r="R34" s="100">
        <f t="shared" si="24"/>
        <v>0</v>
      </c>
      <c r="S34" s="100">
        <f t="shared" si="24"/>
        <v>6.51</v>
      </c>
      <c r="T34" s="100">
        <f t="shared" si="24"/>
        <v>0</v>
      </c>
      <c r="U34" s="100">
        <f t="shared" si="24"/>
        <v>0</v>
      </c>
      <c r="V34" s="100">
        <f>SUM(V35:V45)</f>
        <v>150.91999999999999</v>
      </c>
      <c r="W34" s="100">
        <f t="shared" ref="W34:AD34" si="25">SUM(W35:W45)</f>
        <v>0</v>
      </c>
      <c r="X34" s="100">
        <f t="shared" si="25"/>
        <v>0</v>
      </c>
      <c r="Y34" s="100">
        <f t="shared" si="25"/>
        <v>0</v>
      </c>
      <c r="Z34" s="100">
        <f t="shared" si="25"/>
        <v>0</v>
      </c>
      <c r="AA34" s="100">
        <f t="shared" si="25"/>
        <v>0</v>
      </c>
      <c r="AB34" s="100">
        <f t="shared" si="25"/>
        <v>0.02</v>
      </c>
      <c r="AC34" s="100">
        <f t="shared" si="25"/>
        <v>0</v>
      </c>
      <c r="AD34" s="100">
        <f t="shared" si="25"/>
        <v>0</v>
      </c>
      <c r="AE34" s="100">
        <f>D34-BL34</f>
        <v>150.74999999999997</v>
      </c>
      <c r="AF34" s="100">
        <f>SUM(AF35:AF45)</f>
        <v>0</v>
      </c>
      <c r="AG34" s="100">
        <f t="shared" ref="AG34:BE34" si="26">SUM(AG35:AG45)</f>
        <v>0.1</v>
      </c>
      <c r="AH34" s="100">
        <f t="shared" si="26"/>
        <v>3.66</v>
      </c>
      <c r="AI34" s="100">
        <f t="shared" si="26"/>
        <v>2.0499999999999998</v>
      </c>
      <c r="AJ34" s="100">
        <f t="shared" si="26"/>
        <v>0</v>
      </c>
      <c r="AK34" s="100">
        <f t="shared" si="26"/>
        <v>0</v>
      </c>
      <c r="AL34" s="100">
        <f t="shared" si="26"/>
        <v>47.79</v>
      </c>
      <c r="AM34" s="100">
        <f t="shared" si="26"/>
        <v>97.05</v>
      </c>
      <c r="AN34" s="100">
        <f t="shared" si="26"/>
        <v>0.06</v>
      </c>
      <c r="AO34" s="100">
        <f t="shared" si="26"/>
        <v>0.04</v>
      </c>
      <c r="AP34" s="100">
        <f t="shared" si="26"/>
        <v>0</v>
      </c>
      <c r="AQ34" s="100">
        <f t="shared" si="26"/>
        <v>0</v>
      </c>
      <c r="AR34" s="100">
        <f t="shared" si="26"/>
        <v>0</v>
      </c>
      <c r="AS34" s="100">
        <f t="shared" si="26"/>
        <v>0</v>
      </c>
      <c r="AT34" s="100">
        <f t="shared" si="26"/>
        <v>0.15</v>
      </c>
      <c r="AU34" s="100">
        <f t="shared" si="26"/>
        <v>0</v>
      </c>
      <c r="AV34" s="100">
        <f t="shared" si="26"/>
        <v>0</v>
      </c>
      <c r="AW34" s="100">
        <f t="shared" si="26"/>
        <v>0</v>
      </c>
      <c r="AX34" s="100">
        <f t="shared" si="26"/>
        <v>0</v>
      </c>
      <c r="AY34" s="100">
        <f t="shared" si="26"/>
        <v>0</v>
      </c>
      <c r="AZ34" s="100">
        <f t="shared" si="26"/>
        <v>0</v>
      </c>
      <c r="BA34" s="100">
        <f t="shared" si="26"/>
        <v>0</v>
      </c>
      <c r="BB34" s="100">
        <f t="shared" si="26"/>
        <v>0</v>
      </c>
      <c r="BC34" s="100">
        <f t="shared" si="26"/>
        <v>0</v>
      </c>
      <c r="BD34" s="100">
        <f t="shared" si="26"/>
        <v>0</v>
      </c>
      <c r="BE34" s="100">
        <f t="shared" si="26"/>
        <v>0</v>
      </c>
      <c r="BF34" s="100">
        <f>SUM(BF35:BF45)</f>
        <v>0</v>
      </c>
      <c r="BG34" s="100">
        <f>SUM(BG35:BG45)</f>
        <v>0</v>
      </c>
      <c r="BH34" s="100">
        <f>BI34+BJ34+BK34</f>
        <v>0</v>
      </c>
      <c r="BI34" s="100">
        <f>SUM(BI35:BI45)</f>
        <v>0</v>
      </c>
      <c r="BJ34" s="100">
        <f>SUM(BJ35:BJ45)</f>
        <v>0</v>
      </c>
      <c r="BK34" s="100">
        <f>SUM(BK35:BK45)</f>
        <v>0</v>
      </c>
      <c r="BL34" s="100">
        <f>E34+W34+X34+Y34+Z34+AA34+AB34+AC34+AQ34+AR34+AS34+AT34+AU34+AV34+AW34+AX34+AY34+AZ34+BA34+BB34+BC34+BD34+BE34+BF34+BG34+BH34</f>
        <v>6.68</v>
      </c>
      <c r="BM34" s="100">
        <f>AE68-BL34</f>
        <v>11.489999999999998</v>
      </c>
      <c r="BN34" s="100">
        <f>SUM(BN35:BN45)</f>
        <v>168.92</v>
      </c>
      <c r="BO34" s="190">
        <f>SUM(BN35:BN45)</f>
        <v>168.92</v>
      </c>
      <c r="BP34" s="510">
        <f>+D34+BM34</f>
        <v>168.92</v>
      </c>
    </row>
    <row r="35" spans="1:68" s="2" customFormat="1" ht="20.100000000000001" customHeight="1">
      <c r="A35" s="5" t="s">
        <v>224</v>
      </c>
      <c r="B35" s="72" t="s">
        <v>478</v>
      </c>
      <c r="C35" s="5" t="s">
        <v>202</v>
      </c>
      <c r="D35" s="100"/>
      <c r="E35" s="100">
        <f t="shared" si="4"/>
        <v>0</v>
      </c>
      <c r="F35" s="100">
        <f t="shared" si="21"/>
        <v>0</v>
      </c>
      <c r="G35" s="100">
        <f t="shared" si="8"/>
        <v>0</v>
      </c>
      <c r="H35" s="100">
        <f t="shared" si="12"/>
        <v>0</v>
      </c>
      <c r="I35" s="100"/>
      <c r="J35" s="100"/>
      <c r="K35" s="100"/>
      <c r="L35" s="100"/>
      <c r="M35" s="100"/>
      <c r="N35" s="100"/>
      <c r="O35" s="100"/>
      <c r="P35" s="100"/>
      <c r="Q35" s="100"/>
      <c r="R35" s="100"/>
      <c r="S35" s="100"/>
      <c r="T35" s="100"/>
      <c r="U35" s="100"/>
      <c r="V35" s="100">
        <f t="shared" si="13"/>
        <v>0</v>
      </c>
      <c r="W35" s="100"/>
      <c r="X35" s="100"/>
      <c r="Y35" s="100"/>
      <c r="Z35" s="100"/>
      <c r="AA35" s="100"/>
      <c r="AB35" s="100"/>
      <c r="AC35" s="100"/>
      <c r="AD35" s="100"/>
      <c r="AE35" s="100">
        <f>SUM(AF35:AP35)</f>
        <v>0</v>
      </c>
      <c r="AF35" s="100">
        <f>D35-BL35</f>
        <v>0</v>
      </c>
      <c r="AG35" s="100"/>
      <c r="AH35" s="100"/>
      <c r="AI35" s="100"/>
      <c r="AJ35" s="100"/>
      <c r="AK35" s="100"/>
      <c r="AL35" s="100"/>
      <c r="AM35" s="100"/>
      <c r="AN35" s="100"/>
      <c r="AO35" s="100"/>
      <c r="AP35" s="100"/>
      <c r="AQ35" s="100"/>
      <c r="AR35" s="100"/>
      <c r="AS35" s="100"/>
      <c r="AT35" s="100"/>
      <c r="AU35" s="100"/>
      <c r="AV35" s="100"/>
      <c r="AW35" s="100"/>
      <c r="AX35" s="100"/>
      <c r="AY35" s="100"/>
      <c r="AZ35" s="100"/>
      <c r="BA35" s="100"/>
      <c r="BB35" s="100"/>
      <c r="BC35" s="100"/>
      <c r="BD35" s="100"/>
      <c r="BE35" s="100"/>
      <c r="BF35" s="100"/>
      <c r="BG35" s="100"/>
      <c r="BH35" s="100">
        <f t="shared" si="22"/>
        <v>0</v>
      </c>
      <c r="BI35" s="100"/>
      <c r="BJ35" s="100"/>
      <c r="BK35" s="100"/>
      <c r="BL35" s="100">
        <f>E35+W35+X35+Y35+Z35+AA35+AB35+AC35+AD35+AG35+AH35+AI35+AJ35+AK35+AL35+AM35+AN35+AO35+AP35+AQ35+AR35+AS35+AT35+AU35+AV35+AW35+AX35+AY35+AZ35+BA35+BB35+BC35+BD35</f>
        <v>0</v>
      </c>
      <c r="BM35" s="100">
        <f>AF68-BL35</f>
        <v>0</v>
      </c>
      <c r="BN35" s="100">
        <f>D35+BM35</f>
        <v>0</v>
      </c>
      <c r="BP35" s="8"/>
    </row>
    <row r="36" spans="1:68" s="2" customFormat="1" ht="20.100000000000001" customHeight="1">
      <c r="A36" s="5" t="s">
        <v>225</v>
      </c>
      <c r="B36" s="72" t="s">
        <v>479</v>
      </c>
      <c r="C36" s="5" t="s">
        <v>203</v>
      </c>
      <c r="D36" s="100">
        <f>#REF!</f>
        <v>0.1</v>
      </c>
      <c r="E36" s="100">
        <f t="shared" si="4"/>
        <v>0</v>
      </c>
      <c r="F36" s="100">
        <f t="shared" si="21"/>
        <v>0</v>
      </c>
      <c r="G36" s="100">
        <f t="shared" si="8"/>
        <v>0</v>
      </c>
      <c r="H36" s="100">
        <f t="shared" si="12"/>
        <v>0</v>
      </c>
      <c r="I36" s="100"/>
      <c r="J36" s="100"/>
      <c r="K36" s="100"/>
      <c r="L36" s="100"/>
      <c r="M36" s="100"/>
      <c r="N36" s="100"/>
      <c r="O36" s="100"/>
      <c r="P36" s="100"/>
      <c r="Q36" s="100"/>
      <c r="R36" s="100"/>
      <c r="S36" s="100"/>
      <c r="T36" s="100"/>
      <c r="U36" s="100"/>
      <c r="V36" s="100">
        <f t="shared" si="13"/>
        <v>0.1</v>
      </c>
      <c r="W36" s="100"/>
      <c r="X36" s="100"/>
      <c r="Y36" s="100"/>
      <c r="Z36" s="100"/>
      <c r="AA36" s="100"/>
      <c r="AB36" s="100"/>
      <c r="AC36" s="100"/>
      <c r="AD36" s="100"/>
      <c r="AE36" s="100">
        <f t="shared" ref="AE36:AE66" si="27">SUM(AF36:AP36)</f>
        <v>0.1</v>
      </c>
      <c r="AF36" s="100"/>
      <c r="AG36" s="100">
        <f>D36-BL36</f>
        <v>0.1</v>
      </c>
      <c r="AH36" s="100"/>
      <c r="AI36" s="100"/>
      <c r="AJ36" s="100"/>
      <c r="AK36" s="100"/>
      <c r="AL36" s="100"/>
      <c r="AM36" s="100"/>
      <c r="AN36" s="100"/>
      <c r="AO36" s="100"/>
      <c r="AP36" s="100"/>
      <c r="AQ36" s="100"/>
      <c r="AR36" s="100"/>
      <c r="AS36" s="100"/>
      <c r="AT36" s="100"/>
      <c r="AU36" s="100"/>
      <c r="AV36" s="100"/>
      <c r="AW36" s="100"/>
      <c r="AX36" s="100"/>
      <c r="AY36" s="100"/>
      <c r="AZ36" s="100"/>
      <c r="BA36" s="100"/>
      <c r="BB36" s="100"/>
      <c r="BC36" s="100"/>
      <c r="BD36" s="100"/>
      <c r="BE36" s="100"/>
      <c r="BF36" s="100"/>
      <c r="BG36" s="100"/>
      <c r="BH36" s="100">
        <f t="shared" si="22"/>
        <v>0</v>
      </c>
      <c r="BI36" s="100"/>
      <c r="BJ36" s="100"/>
      <c r="BK36" s="100"/>
      <c r="BL36" s="100">
        <f>E36+W36+X36+Y36+Z36+AA36+AB36+AC36+AD36+AF36+AH36+AI36+AJ36+AK36+AL36+AM36+AN36+AO36+AP36+AQ36+AR36+AS36+AT36+AU36+AV36+AW36+AX36+AY36+AZ36+BA36+BB36+BC36+BD36+BE36+BF36+BG36+BH36</f>
        <v>0</v>
      </c>
      <c r="BM36" s="100">
        <f>AG68-BL36</f>
        <v>0</v>
      </c>
      <c r="BN36" s="100">
        <f t="shared" ref="BN36:BN45" si="28">D36+BM36</f>
        <v>0.1</v>
      </c>
      <c r="BP36" s="8"/>
    </row>
    <row r="37" spans="1:68" s="2" customFormat="1" ht="20.100000000000001" customHeight="1">
      <c r="A37" s="5" t="s">
        <v>226</v>
      </c>
      <c r="B37" s="72" t="s">
        <v>480</v>
      </c>
      <c r="C37" s="5" t="s">
        <v>204</v>
      </c>
      <c r="D37" s="100">
        <f>#REF!</f>
        <v>3.81</v>
      </c>
      <c r="E37" s="100">
        <f t="shared" si="4"/>
        <v>0</v>
      </c>
      <c r="F37" s="100">
        <f t="shared" si="21"/>
        <v>0</v>
      </c>
      <c r="G37" s="100">
        <f t="shared" si="8"/>
        <v>0</v>
      </c>
      <c r="H37" s="100">
        <f t="shared" si="12"/>
        <v>0</v>
      </c>
      <c r="I37" s="100"/>
      <c r="J37" s="100"/>
      <c r="K37" s="100"/>
      <c r="L37" s="100"/>
      <c r="M37" s="100"/>
      <c r="N37" s="100"/>
      <c r="O37" s="100"/>
      <c r="P37" s="100"/>
      <c r="Q37" s="100"/>
      <c r="R37" s="100"/>
      <c r="S37" s="100"/>
      <c r="T37" s="100"/>
      <c r="U37" s="100"/>
      <c r="V37" s="100">
        <f t="shared" si="13"/>
        <v>3.81</v>
      </c>
      <c r="W37" s="100"/>
      <c r="X37" s="100"/>
      <c r="Y37" s="100"/>
      <c r="Z37" s="100"/>
      <c r="AA37" s="100"/>
      <c r="AB37" s="100"/>
      <c r="AC37" s="100"/>
      <c r="AD37" s="100"/>
      <c r="AE37" s="100">
        <f t="shared" si="27"/>
        <v>3.66</v>
      </c>
      <c r="AF37" s="100"/>
      <c r="AG37" s="100"/>
      <c r="AH37" s="100">
        <f>D37-BL37</f>
        <v>3.66</v>
      </c>
      <c r="AI37" s="100"/>
      <c r="AJ37" s="100"/>
      <c r="AK37" s="100"/>
      <c r="AL37" s="100"/>
      <c r="AM37" s="100"/>
      <c r="AN37" s="100"/>
      <c r="AO37" s="100"/>
      <c r="AP37" s="100"/>
      <c r="AQ37" s="100"/>
      <c r="AR37" s="100"/>
      <c r="AS37" s="100"/>
      <c r="AT37" s="100">
        <v>0.15</v>
      </c>
      <c r="AU37" s="100"/>
      <c r="AV37" s="100"/>
      <c r="AW37" s="100"/>
      <c r="AX37" s="100"/>
      <c r="AY37" s="100"/>
      <c r="AZ37" s="100"/>
      <c r="BA37" s="100"/>
      <c r="BB37" s="100"/>
      <c r="BC37" s="100"/>
      <c r="BD37" s="100"/>
      <c r="BE37" s="100"/>
      <c r="BF37" s="100"/>
      <c r="BG37" s="100"/>
      <c r="BH37" s="100">
        <f t="shared" si="22"/>
        <v>0</v>
      </c>
      <c r="BI37" s="100"/>
      <c r="BJ37" s="100"/>
      <c r="BK37" s="100"/>
      <c r="BL37" s="100">
        <f>E37+W37+X37+Y37+Z37+AA37+AB37+AC37+AD37+AF37+AG37+AI37+AJ37+AK37+AL37+AM37+AN37+AO37+AP37+AQ37+AR37+AS37+AT37+AU37+AV37+AW37+AX37+AY37+AZ37+BA37+BB37+BC37+BD37+BE37+BF37+BG37+BH37</f>
        <v>0.15</v>
      </c>
      <c r="BM37" s="100">
        <f>AH68-BL37</f>
        <v>-0.15</v>
      </c>
      <c r="BN37" s="100">
        <f t="shared" si="28"/>
        <v>3.66</v>
      </c>
      <c r="BP37" s="8"/>
    </row>
    <row r="38" spans="1:68" s="2" customFormat="1" ht="20.100000000000001" customHeight="1">
      <c r="A38" s="5" t="s">
        <v>227</v>
      </c>
      <c r="B38" s="72" t="s">
        <v>481</v>
      </c>
      <c r="C38" s="5" t="s">
        <v>205</v>
      </c>
      <c r="D38" s="100">
        <f>#REF!</f>
        <v>2.0499999999999998</v>
      </c>
      <c r="E38" s="100">
        <f t="shared" si="4"/>
        <v>0</v>
      </c>
      <c r="F38" s="100">
        <f t="shared" si="21"/>
        <v>0</v>
      </c>
      <c r="G38" s="100">
        <f t="shared" si="8"/>
        <v>0</v>
      </c>
      <c r="H38" s="100">
        <f t="shared" si="12"/>
        <v>0</v>
      </c>
      <c r="I38" s="100"/>
      <c r="J38" s="100"/>
      <c r="K38" s="100"/>
      <c r="L38" s="100"/>
      <c r="M38" s="100"/>
      <c r="N38" s="100"/>
      <c r="O38" s="100"/>
      <c r="P38" s="100"/>
      <c r="Q38" s="100"/>
      <c r="R38" s="100"/>
      <c r="S38" s="100"/>
      <c r="T38" s="100"/>
      <c r="U38" s="100"/>
      <c r="V38" s="100">
        <f t="shared" si="13"/>
        <v>2.0499999999999998</v>
      </c>
      <c r="W38" s="100"/>
      <c r="X38" s="100"/>
      <c r="Y38" s="100"/>
      <c r="Z38" s="100"/>
      <c r="AA38" s="100"/>
      <c r="AB38" s="100"/>
      <c r="AC38" s="100"/>
      <c r="AD38" s="100"/>
      <c r="AE38" s="100">
        <f t="shared" si="27"/>
        <v>2.0499999999999998</v>
      </c>
      <c r="AF38" s="100"/>
      <c r="AG38" s="100"/>
      <c r="AH38" s="100"/>
      <c r="AI38" s="100">
        <f>D38-BL38</f>
        <v>2.0499999999999998</v>
      </c>
      <c r="AJ38" s="100"/>
      <c r="AK38" s="100"/>
      <c r="AL38" s="100"/>
      <c r="AM38" s="100"/>
      <c r="AN38" s="100"/>
      <c r="AO38" s="100"/>
      <c r="AP38" s="100"/>
      <c r="AQ38" s="100"/>
      <c r="AR38" s="100"/>
      <c r="AS38" s="100"/>
      <c r="AT38" s="100"/>
      <c r="AU38" s="100"/>
      <c r="AV38" s="100"/>
      <c r="AW38" s="100"/>
      <c r="AX38" s="100"/>
      <c r="AY38" s="100"/>
      <c r="AZ38" s="100"/>
      <c r="BA38" s="100"/>
      <c r="BB38" s="100"/>
      <c r="BC38" s="100"/>
      <c r="BD38" s="100"/>
      <c r="BE38" s="100"/>
      <c r="BF38" s="100"/>
      <c r="BG38" s="100"/>
      <c r="BH38" s="100">
        <f t="shared" si="22"/>
        <v>0</v>
      </c>
      <c r="BI38" s="100"/>
      <c r="BJ38" s="100"/>
      <c r="BK38" s="100"/>
      <c r="BL38" s="100">
        <f>E38+W38+X38+Y38+Z38+AA38+AB38+AC38+AD38+AF38+AG38+AH38+AJ38+AK38+AL38+AM38+AN38+AO38+AP38+AQ38+AR38+AS38+AT38+AU38+AV38+AW38+AX38+AY38+AZ38+BA38+BB38+BC38+BD38+BE38+BF38+BG38+BH38</f>
        <v>0</v>
      </c>
      <c r="BM38" s="100">
        <f>AI68-BL38</f>
        <v>0</v>
      </c>
      <c r="BN38" s="100">
        <f t="shared" si="28"/>
        <v>2.0499999999999998</v>
      </c>
      <c r="BP38" s="8"/>
    </row>
    <row r="39" spans="1:68" s="2" customFormat="1" ht="20.100000000000001" customHeight="1">
      <c r="A39" s="5" t="s">
        <v>228</v>
      </c>
      <c r="B39" s="72" t="s">
        <v>482</v>
      </c>
      <c r="C39" s="5" t="s">
        <v>206</v>
      </c>
      <c r="D39" s="100"/>
      <c r="E39" s="100">
        <f t="shared" si="4"/>
        <v>0</v>
      </c>
      <c r="F39" s="100">
        <f t="shared" si="21"/>
        <v>0</v>
      </c>
      <c r="G39" s="100">
        <f t="shared" si="8"/>
        <v>0</v>
      </c>
      <c r="H39" s="100">
        <f t="shared" si="12"/>
        <v>0</v>
      </c>
      <c r="I39" s="100"/>
      <c r="J39" s="100"/>
      <c r="K39" s="100"/>
      <c r="L39" s="100"/>
      <c r="M39" s="100"/>
      <c r="N39" s="100"/>
      <c r="O39" s="100"/>
      <c r="P39" s="100"/>
      <c r="Q39" s="100"/>
      <c r="R39" s="100"/>
      <c r="S39" s="100"/>
      <c r="T39" s="100"/>
      <c r="U39" s="100"/>
      <c r="V39" s="100">
        <f t="shared" si="13"/>
        <v>0</v>
      </c>
      <c r="W39" s="100"/>
      <c r="X39" s="100"/>
      <c r="Y39" s="100"/>
      <c r="Z39" s="100"/>
      <c r="AA39" s="100"/>
      <c r="AB39" s="100"/>
      <c r="AC39" s="100"/>
      <c r="AD39" s="100"/>
      <c r="AE39" s="100">
        <f t="shared" si="27"/>
        <v>0</v>
      </c>
      <c r="AF39" s="100"/>
      <c r="AG39" s="100"/>
      <c r="AH39" s="100"/>
      <c r="AI39" s="100"/>
      <c r="AJ39" s="100">
        <f>D39-BL39</f>
        <v>0</v>
      </c>
      <c r="AK39" s="100"/>
      <c r="AL39" s="100"/>
      <c r="AM39" s="100"/>
      <c r="AN39" s="100"/>
      <c r="AO39" s="100"/>
      <c r="AP39" s="100"/>
      <c r="AQ39" s="100"/>
      <c r="AR39" s="100"/>
      <c r="AS39" s="100"/>
      <c r="AT39" s="100"/>
      <c r="AU39" s="100"/>
      <c r="AV39" s="100"/>
      <c r="AW39" s="100"/>
      <c r="AX39" s="100"/>
      <c r="AY39" s="100"/>
      <c r="AZ39" s="100"/>
      <c r="BA39" s="100"/>
      <c r="BB39" s="100"/>
      <c r="BC39" s="100"/>
      <c r="BD39" s="100"/>
      <c r="BE39" s="100"/>
      <c r="BF39" s="100"/>
      <c r="BG39" s="100"/>
      <c r="BH39" s="100">
        <f t="shared" si="22"/>
        <v>0</v>
      </c>
      <c r="BI39" s="100"/>
      <c r="BJ39" s="100"/>
      <c r="BK39" s="100"/>
      <c r="BL39" s="100">
        <f>E39+W39+X39+Y39+Z39+AA39+AB39+AC39+AD39+AQ39+AR39+AS39+AT39+AU39+AV39+AW39+AX39+AY39+AZ39+BA39+BB39+BC39+BD39+BE39+BF39+BG39+BH39+AF39+AG39+AH39+AI39+AK39+AL39+AM39+AN39+AO39+AP39</f>
        <v>0</v>
      </c>
      <c r="BM39" s="100">
        <f>AJ68-BL39</f>
        <v>0</v>
      </c>
      <c r="BN39" s="100">
        <f t="shared" si="28"/>
        <v>0</v>
      </c>
      <c r="BP39" s="8"/>
    </row>
    <row r="40" spans="1:68" s="2" customFormat="1" ht="20.100000000000001" customHeight="1">
      <c r="A40" s="5" t="s">
        <v>229</v>
      </c>
      <c r="B40" s="72" t="s">
        <v>483</v>
      </c>
      <c r="C40" s="5" t="s">
        <v>207</v>
      </c>
      <c r="D40" s="100"/>
      <c r="E40" s="100">
        <f t="shared" si="4"/>
        <v>0</v>
      </c>
      <c r="F40" s="100">
        <f t="shared" si="21"/>
        <v>0</v>
      </c>
      <c r="G40" s="100">
        <f t="shared" si="8"/>
        <v>0</v>
      </c>
      <c r="H40" s="100">
        <f t="shared" si="12"/>
        <v>0</v>
      </c>
      <c r="I40" s="100"/>
      <c r="J40" s="100"/>
      <c r="K40" s="100"/>
      <c r="L40" s="100"/>
      <c r="M40" s="100"/>
      <c r="N40" s="100"/>
      <c r="O40" s="100"/>
      <c r="P40" s="100"/>
      <c r="Q40" s="100"/>
      <c r="R40" s="100"/>
      <c r="S40" s="100"/>
      <c r="T40" s="100"/>
      <c r="U40" s="100"/>
      <c r="V40" s="100">
        <f t="shared" si="13"/>
        <v>0</v>
      </c>
      <c r="W40" s="100"/>
      <c r="X40" s="100"/>
      <c r="Y40" s="100"/>
      <c r="Z40" s="100"/>
      <c r="AA40" s="100"/>
      <c r="AB40" s="100"/>
      <c r="AC40" s="100"/>
      <c r="AD40" s="100"/>
      <c r="AE40" s="100">
        <f t="shared" si="27"/>
        <v>0</v>
      </c>
      <c r="AF40" s="100"/>
      <c r="AG40" s="100"/>
      <c r="AH40" s="100"/>
      <c r="AI40" s="100"/>
      <c r="AJ40" s="100"/>
      <c r="AK40" s="100">
        <f>D40-BL40</f>
        <v>0</v>
      </c>
      <c r="AL40" s="100"/>
      <c r="AM40" s="100"/>
      <c r="AN40" s="100"/>
      <c r="AO40" s="100"/>
      <c r="AP40" s="100"/>
      <c r="AQ40" s="100"/>
      <c r="AR40" s="100"/>
      <c r="AS40" s="100"/>
      <c r="AT40" s="100"/>
      <c r="AU40" s="100"/>
      <c r="AV40" s="100"/>
      <c r="AW40" s="100"/>
      <c r="AX40" s="100"/>
      <c r="AY40" s="100"/>
      <c r="AZ40" s="100"/>
      <c r="BA40" s="100"/>
      <c r="BB40" s="100"/>
      <c r="BC40" s="100"/>
      <c r="BD40" s="100"/>
      <c r="BE40" s="100"/>
      <c r="BF40" s="100"/>
      <c r="BG40" s="100"/>
      <c r="BH40" s="100">
        <f t="shared" si="22"/>
        <v>0</v>
      </c>
      <c r="BI40" s="100"/>
      <c r="BJ40" s="100"/>
      <c r="BK40" s="100"/>
      <c r="BL40" s="100">
        <f>E40+W40+X40+Y40+Z40+AA40+AB40+AC40+AD40+AF40+AG40+AH40+AI40+AJ40+AL40+AM40+AN40+AO40+AP40+AQ40+AR40+AS40+AT40+AU40+AV40+AW40+AX40+AY40+AZ40+BA40+BB40+BC40+BD40+BE40+BF40+BG40+BH40</f>
        <v>0</v>
      </c>
      <c r="BM40" s="100">
        <f>AK68-BL40</f>
        <v>0</v>
      </c>
      <c r="BN40" s="100">
        <f t="shared" si="28"/>
        <v>0</v>
      </c>
      <c r="BP40" s="8"/>
    </row>
    <row r="41" spans="1:68" s="2" customFormat="1" ht="20.100000000000001" customHeight="1">
      <c r="A41" s="5" t="s">
        <v>230</v>
      </c>
      <c r="B41" s="72" t="s">
        <v>484</v>
      </c>
      <c r="C41" s="5" t="s">
        <v>199</v>
      </c>
      <c r="D41" s="100">
        <f>#REF!</f>
        <v>47.68</v>
      </c>
      <c r="E41" s="100">
        <f t="shared" si="4"/>
        <v>0</v>
      </c>
      <c r="F41" s="100">
        <f t="shared" si="21"/>
        <v>0</v>
      </c>
      <c r="G41" s="100">
        <f t="shared" si="8"/>
        <v>0</v>
      </c>
      <c r="H41" s="100">
        <f t="shared" si="12"/>
        <v>0</v>
      </c>
      <c r="I41" s="100"/>
      <c r="J41" s="100"/>
      <c r="K41" s="100"/>
      <c r="L41" s="100"/>
      <c r="M41" s="100"/>
      <c r="N41" s="100"/>
      <c r="O41" s="100"/>
      <c r="P41" s="100"/>
      <c r="Q41" s="100"/>
      <c r="R41" s="100"/>
      <c r="S41" s="100"/>
      <c r="T41" s="100"/>
      <c r="U41" s="100"/>
      <c r="V41" s="100">
        <f t="shared" si="13"/>
        <v>47.68</v>
      </c>
      <c r="W41" s="100"/>
      <c r="X41" s="100"/>
      <c r="Y41" s="100"/>
      <c r="Z41" s="100"/>
      <c r="AA41" s="100"/>
      <c r="AB41" s="100">
        <v>0.01</v>
      </c>
      <c r="AC41" s="100"/>
      <c r="AD41" s="100"/>
      <c r="AE41" s="100">
        <f t="shared" si="27"/>
        <v>47.67</v>
      </c>
      <c r="AF41" s="100"/>
      <c r="AG41" s="100"/>
      <c r="AH41" s="100"/>
      <c r="AI41" s="100"/>
      <c r="AJ41" s="100"/>
      <c r="AK41" s="100"/>
      <c r="AL41" s="100">
        <f>D41-BL41</f>
        <v>47.67</v>
      </c>
      <c r="AM41" s="100"/>
      <c r="AN41" s="100"/>
      <c r="AO41" s="100"/>
      <c r="AP41" s="100"/>
      <c r="AQ41" s="100"/>
      <c r="AR41" s="100"/>
      <c r="AS41" s="100"/>
      <c r="AT41" s="100"/>
      <c r="AU41" s="100"/>
      <c r="AV41" s="100"/>
      <c r="AW41" s="100"/>
      <c r="AX41" s="100"/>
      <c r="AY41" s="100"/>
      <c r="AZ41" s="100"/>
      <c r="BA41" s="100"/>
      <c r="BB41" s="100"/>
      <c r="BC41" s="100"/>
      <c r="BD41" s="100"/>
      <c r="BE41" s="100"/>
      <c r="BF41" s="100"/>
      <c r="BG41" s="100"/>
      <c r="BH41" s="100">
        <f t="shared" si="22"/>
        <v>0</v>
      </c>
      <c r="BI41" s="100"/>
      <c r="BJ41" s="100"/>
      <c r="BK41" s="100"/>
      <c r="BL41" s="100">
        <f>E41+W41+X41+Y41+Z41+AA41+AB41+AC41+AD41+AF41+AG41+AH41+AI41+AJ41+AK41+AM41+AN41+AO41+AP41+AQ41+AR41+AS41+AT41+AU41+AV41+AW41+AX41+AY41+AZ41+BA41+BB41+BC41+BD41+BE41+BF41+BG41+BH41</f>
        <v>0.01</v>
      </c>
      <c r="BM41" s="100">
        <f>AL68-BL41</f>
        <v>18.279999999999998</v>
      </c>
      <c r="BN41" s="100">
        <f t="shared" si="28"/>
        <v>65.959999999999994</v>
      </c>
      <c r="BO41" s="190">
        <f>D41+BM41</f>
        <v>65.959999999999994</v>
      </c>
      <c r="BP41" s="8"/>
    </row>
    <row r="42" spans="1:68" s="2" customFormat="1" ht="20.100000000000001" customHeight="1">
      <c r="A42" s="5" t="s">
        <v>231</v>
      </c>
      <c r="B42" s="72" t="s">
        <v>485</v>
      </c>
      <c r="C42" s="5" t="s">
        <v>200</v>
      </c>
      <c r="D42" s="100">
        <f>#REF!</f>
        <v>103.69</v>
      </c>
      <c r="E42" s="100">
        <f t="shared" si="4"/>
        <v>6.51</v>
      </c>
      <c r="F42" s="100">
        <f t="shared" si="21"/>
        <v>0</v>
      </c>
      <c r="G42" s="100">
        <f t="shared" si="8"/>
        <v>0</v>
      </c>
      <c r="H42" s="100">
        <f t="shared" si="12"/>
        <v>0</v>
      </c>
      <c r="I42" s="100"/>
      <c r="J42" s="100"/>
      <c r="K42" s="100"/>
      <c r="L42" s="100"/>
      <c r="M42" s="100"/>
      <c r="N42" s="100"/>
      <c r="O42" s="100"/>
      <c r="P42" s="100"/>
      <c r="Q42" s="100"/>
      <c r="R42" s="100"/>
      <c r="S42" s="100">
        <v>6.51</v>
      </c>
      <c r="T42" s="100"/>
      <c r="U42" s="100"/>
      <c r="V42" s="100">
        <f t="shared" si="13"/>
        <v>97.18</v>
      </c>
      <c r="W42" s="100"/>
      <c r="X42" s="100"/>
      <c r="Y42" s="100"/>
      <c r="Z42" s="100"/>
      <c r="AA42" s="100"/>
      <c r="AB42" s="100">
        <v>0.01</v>
      </c>
      <c r="AC42" s="100"/>
      <c r="AD42" s="100"/>
      <c r="AE42" s="100">
        <f t="shared" si="27"/>
        <v>97.17</v>
      </c>
      <c r="AF42" s="100"/>
      <c r="AG42" s="100"/>
      <c r="AH42" s="100"/>
      <c r="AI42" s="100"/>
      <c r="AJ42" s="100"/>
      <c r="AK42" s="100"/>
      <c r="AL42" s="100">
        <v>0.12</v>
      </c>
      <c r="AM42" s="100">
        <f>D42-BL42</f>
        <v>97.05</v>
      </c>
      <c r="AN42" s="100"/>
      <c r="AO42" s="100"/>
      <c r="AP42" s="100"/>
      <c r="AQ42" s="100"/>
      <c r="AR42" s="100"/>
      <c r="AS42" s="100"/>
      <c r="AT42" s="100"/>
      <c r="AU42" s="100"/>
      <c r="AV42" s="100"/>
      <c r="AW42" s="100"/>
      <c r="AX42" s="100"/>
      <c r="AY42" s="100"/>
      <c r="AZ42" s="100"/>
      <c r="BA42" s="100"/>
      <c r="BB42" s="100"/>
      <c r="BC42" s="100"/>
      <c r="BD42" s="100"/>
      <c r="BE42" s="100"/>
      <c r="BF42" s="100"/>
      <c r="BG42" s="100"/>
      <c r="BH42" s="100">
        <f t="shared" si="22"/>
        <v>0</v>
      </c>
      <c r="BI42" s="100"/>
      <c r="BJ42" s="100"/>
      <c r="BK42" s="100"/>
      <c r="BL42" s="100">
        <f>E42+W42+X42+Y42+Z42+AA42+AB42+AC42+AD42+AF42+AG42+AH42+AI42+AJ42+AK42+AL42+AN42+AO42+AP42+AQ42+AR42+AS42+AT42+AU42+AV42+AW42+AX42+AY42+AZ42+BA42+BB42+BC42+BD42+BE42+BF42+BG42+BH42</f>
        <v>6.64</v>
      </c>
      <c r="BM42" s="100">
        <f>AM68-BL42</f>
        <v>-6.64</v>
      </c>
      <c r="BN42" s="100">
        <f t="shared" si="28"/>
        <v>97.05</v>
      </c>
      <c r="BP42" s="8"/>
    </row>
    <row r="43" spans="1:68" s="2" customFormat="1" ht="20.100000000000001" customHeight="1">
      <c r="A43" s="5" t="s">
        <v>232</v>
      </c>
      <c r="B43" s="72" t="s">
        <v>486</v>
      </c>
      <c r="C43" s="5" t="s">
        <v>223</v>
      </c>
      <c r="D43" s="100">
        <f>#REF!</f>
        <v>0.06</v>
      </c>
      <c r="E43" s="100">
        <f t="shared" si="4"/>
        <v>0</v>
      </c>
      <c r="F43" s="100">
        <f t="shared" si="21"/>
        <v>0</v>
      </c>
      <c r="G43" s="100">
        <f t="shared" si="8"/>
        <v>0</v>
      </c>
      <c r="H43" s="100">
        <f t="shared" si="12"/>
        <v>0</v>
      </c>
      <c r="I43" s="100"/>
      <c r="J43" s="100"/>
      <c r="K43" s="100"/>
      <c r="L43" s="100"/>
      <c r="M43" s="100"/>
      <c r="N43" s="100"/>
      <c r="O43" s="100"/>
      <c r="P43" s="100"/>
      <c r="Q43" s="100"/>
      <c r="R43" s="100"/>
      <c r="S43" s="100"/>
      <c r="T43" s="100"/>
      <c r="U43" s="100"/>
      <c r="V43" s="100">
        <f t="shared" si="13"/>
        <v>0.06</v>
      </c>
      <c r="W43" s="100"/>
      <c r="X43" s="100"/>
      <c r="Y43" s="100"/>
      <c r="Z43" s="100"/>
      <c r="AA43" s="100"/>
      <c r="AB43" s="100"/>
      <c r="AC43" s="100"/>
      <c r="AD43" s="100"/>
      <c r="AE43" s="100">
        <f t="shared" si="27"/>
        <v>0.06</v>
      </c>
      <c r="AF43" s="100"/>
      <c r="AG43" s="100"/>
      <c r="AH43" s="100"/>
      <c r="AI43" s="100"/>
      <c r="AJ43" s="100"/>
      <c r="AK43" s="100"/>
      <c r="AL43" s="100"/>
      <c r="AM43" s="100"/>
      <c r="AN43" s="100">
        <f>D43-BL43</f>
        <v>0.06</v>
      </c>
      <c r="AO43" s="100"/>
      <c r="AP43" s="100"/>
      <c r="AQ43" s="100"/>
      <c r="AR43" s="100"/>
      <c r="AS43" s="100"/>
      <c r="AT43" s="100"/>
      <c r="AU43" s="100"/>
      <c r="AV43" s="100"/>
      <c r="AW43" s="100"/>
      <c r="AX43" s="100"/>
      <c r="AY43" s="100"/>
      <c r="AZ43" s="100"/>
      <c r="BA43" s="100"/>
      <c r="BB43" s="100"/>
      <c r="BC43" s="100"/>
      <c r="BD43" s="100"/>
      <c r="BE43" s="100"/>
      <c r="BF43" s="100"/>
      <c r="BG43" s="100"/>
      <c r="BH43" s="100">
        <f t="shared" si="22"/>
        <v>0</v>
      </c>
      <c r="BI43" s="100"/>
      <c r="BJ43" s="100"/>
      <c r="BK43" s="100"/>
      <c r="BL43" s="100">
        <f>E43+W43+X43+Y43+Z43+AA43+AB43+AC43+AD43+AF43+AG43+AH43+AI43+AJ43+AK43+AL43+AM43+AO43+AP43+AQ43+AR43+AS43+AT43+AU43+AV43+AW43+AX43+AY43+AZ43+BA43+BB43+BC43+BD43+BE43+BF43+BG43+BH43</f>
        <v>0</v>
      </c>
      <c r="BM43" s="100">
        <f>AN68-BL43</f>
        <v>0</v>
      </c>
      <c r="BN43" s="100">
        <f t="shared" si="28"/>
        <v>0.06</v>
      </c>
      <c r="BP43" s="8"/>
    </row>
    <row r="44" spans="1:68" s="2" customFormat="1" ht="20.100000000000001" customHeight="1">
      <c r="A44" s="5" t="s">
        <v>233</v>
      </c>
      <c r="B44" s="72" t="s">
        <v>487</v>
      </c>
      <c r="C44" s="5" t="s">
        <v>201</v>
      </c>
      <c r="D44" s="100">
        <f>#REF!</f>
        <v>0.04</v>
      </c>
      <c r="E44" s="100">
        <f t="shared" si="4"/>
        <v>0</v>
      </c>
      <c r="F44" s="100">
        <f t="shared" si="21"/>
        <v>0</v>
      </c>
      <c r="G44" s="100">
        <f t="shared" si="8"/>
        <v>0</v>
      </c>
      <c r="H44" s="100">
        <f t="shared" si="12"/>
        <v>0</v>
      </c>
      <c r="I44" s="100"/>
      <c r="J44" s="100"/>
      <c r="K44" s="100"/>
      <c r="L44" s="100"/>
      <c r="M44" s="100"/>
      <c r="N44" s="100"/>
      <c r="O44" s="100"/>
      <c r="P44" s="100"/>
      <c r="Q44" s="100"/>
      <c r="R44" s="100"/>
      <c r="S44" s="100"/>
      <c r="T44" s="100"/>
      <c r="U44" s="100"/>
      <c r="V44" s="100">
        <f t="shared" si="13"/>
        <v>0.04</v>
      </c>
      <c r="W44" s="100"/>
      <c r="X44" s="100"/>
      <c r="Y44" s="100"/>
      <c r="Z44" s="100"/>
      <c r="AA44" s="100"/>
      <c r="AB44" s="100"/>
      <c r="AC44" s="100"/>
      <c r="AD44" s="100"/>
      <c r="AE44" s="100">
        <f t="shared" si="27"/>
        <v>0.04</v>
      </c>
      <c r="AF44" s="100"/>
      <c r="AG44" s="100"/>
      <c r="AH44" s="100"/>
      <c r="AI44" s="100"/>
      <c r="AJ44" s="100"/>
      <c r="AK44" s="100"/>
      <c r="AL44" s="100"/>
      <c r="AM44" s="100"/>
      <c r="AN44" s="100"/>
      <c r="AO44" s="100">
        <f>D44-BL44</f>
        <v>0.04</v>
      </c>
      <c r="AP44" s="100"/>
      <c r="AQ44" s="100"/>
      <c r="AR44" s="100"/>
      <c r="AS44" s="100"/>
      <c r="AT44" s="100"/>
      <c r="AU44" s="100"/>
      <c r="AV44" s="100"/>
      <c r="AW44" s="100"/>
      <c r="AX44" s="100"/>
      <c r="AY44" s="100"/>
      <c r="AZ44" s="100"/>
      <c r="BA44" s="100"/>
      <c r="BB44" s="100"/>
      <c r="BC44" s="100"/>
      <c r="BD44" s="100"/>
      <c r="BE44" s="100"/>
      <c r="BF44" s="100"/>
      <c r="BG44" s="100"/>
      <c r="BH44" s="100">
        <f t="shared" si="22"/>
        <v>0</v>
      </c>
      <c r="BI44" s="100"/>
      <c r="BJ44" s="100"/>
      <c r="BK44" s="100"/>
      <c r="BL44" s="100">
        <f>E44+W44+X44+Y44+Z44+AA44+AB44+AC44+AD44+AF44+AG44+AH44+AI44+AJ44+AK44+AL44+AM44+AN44+AP44+AQ44+AR44+AS44+AT44+AU44+AV44+AW44+AX44+AY44+AZ44+BA44+BB44+BC44+BD44+BE44+BF44+BG44+BH44</f>
        <v>0</v>
      </c>
      <c r="BM44" s="100">
        <f>AO68-BL44</f>
        <v>0</v>
      </c>
      <c r="BN44" s="100">
        <f t="shared" si="28"/>
        <v>0.04</v>
      </c>
      <c r="BP44" s="8"/>
    </row>
    <row r="45" spans="1:68" s="2" customFormat="1" ht="20.100000000000001" customHeight="1">
      <c r="A45" s="5" t="s">
        <v>234</v>
      </c>
      <c r="B45" s="72" t="s">
        <v>488</v>
      </c>
      <c r="C45" s="5" t="s">
        <v>208</v>
      </c>
      <c r="D45" s="100"/>
      <c r="E45" s="100">
        <f t="shared" si="4"/>
        <v>0</v>
      </c>
      <c r="F45" s="100">
        <f t="shared" si="21"/>
        <v>0</v>
      </c>
      <c r="G45" s="100">
        <f t="shared" si="8"/>
        <v>0</v>
      </c>
      <c r="H45" s="100">
        <f t="shared" si="12"/>
        <v>0</v>
      </c>
      <c r="I45" s="100"/>
      <c r="J45" s="100"/>
      <c r="K45" s="100"/>
      <c r="L45" s="100"/>
      <c r="M45" s="100"/>
      <c r="N45" s="100"/>
      <c r="O45" s="100"/>
      <c r="P45" s="100"/>
      <c r="Q45" s="100"/>
      <c r="R45" s="100"/>
      <c r="S45" s="100"/>
      <c r="T45" s="100"/>
      <c r="U45" s="100"/>
      <c r="V45" s="100">
        <f t="shared" si="13"/>
        <v>0</v>
      </c>
      <c r="W45" s="100"/>
      <c r="X45" s="100"/>
      <c r="Y45" s="100"/>
      <c r="Z45" s="100"/>
      <c r="AA45" s="100"/>
      <c r="AB45" s="100"/>
      <c r="AC45" s="100"/>
      <c r="AD45" s="100"/>
      <c r="AE45" s="100">
        <f t="shared" si="27"/>
        <v>0</v>
      </c>
      <c r="AF45" s="100"/>
      <c r="AG45" s="100"/>
      <c r="AH45" s="100"/>
      <c r="AI45" s="100"/>
      <c r="AJ45" s="100"/>
      <c r="AK45" s="100"/>
      <c r="AL45" s="100"/>
      <c r="AM45" s="100"/>
      <c r="AN45" s="100"/>
      <c r="AO45" s="100"/>
      <c r="AP45" s="100">
        <f>D45-BL45</f>
        <v>0</v>
      </c>
      <c r="AQ45" s="100"/>
      <c r="AR45" s="100"/>
      <c r="AS45" s="100"/>
      <c r="AT45" s="100"/>
      <c r="AU45" s="100"/>
      <c r="AV45" s="100"/>
      <c r="AW45" s="100"/>
      <c r="AX45" s="100"/>
      <c r="AY45" s="100"/>
      <c r="AZ45" s="100"/>
      <c r="BA45" s="100"/>
      <c r="BB45" s="100"/>
      <c r="BC45" s="100"/>
      <c r="BD45" s="100"/>
      <c r="BE45" s="100"/>
      <c r="BF45" s="100"/>
      <c r="BG45" s="100"/>
      <c r="BH45" s="100">
        <f t="shared" si="22"/>
        <v>0</v>
      </c>
      <c r="BI45" s="100"/>
      <c r="BJ45" s="100"/>
      <c r="BK45" s="100"/>
      <c r="BL45" s="100">
        <f>E45+W45+X45+Y45+Z45+AA45+AB45+AC45+AD45+AF45+AG45+AH45+AI45+AJ45+AK45+AL45+AM45+AN45+AO45+AQ45+AR45+AS45+AT45+AU45+AV45+AW45+AX45+AY45+AZ45+BA45+BB45+BC45+BD45+BE45+BF45+BG45+BH45</f>
        <v>0</v>
      </c>
      <c r="BM45" s="100">
        <f>AP68-BL45</f>
        <v>0</v>
      </c>
      <c r="BN45" s="100">
        <f t="shared" si="28"/>
        <v>0</v>
      </c>
      <c r="BP45" s="8"/>
    </row>
    <row r="46" spans="1:68" s="2" customFormat="1" ht="20.100000000000001" customHeight="1">
      <c r="A46" s="20" t="s">
        <v>73</v>
      </c>
      <c r="B46" s="110" t="s">
        <v>74</v>
      </c>
      <c r="C46" s="5" t="s">
        <v>75</v>
      </c>
      <c r="D46" s="100">
        <f>#REF!</f>
        <v>7.0000000000000007E-2</v>
      </c>
      <c r="E46" s="100">
        <f t="shared" si="4"/>
        <v>0</v>
      </c>
      <c r="F46" s="100">
        <f t="shared" si="21"/>
        <v>0</v>
      </c>
      <c r="G46" s="100">
        <f t="shared" si="8"/>
        <v>0</v>
      </c>
      <c r="H46" s="100">
        <f t="shared" si="12"/>
        <v>0</v>
      </c>
      <c r="I46" s="100"/>
      <c r="J46" s="100"/>
      <c r="K46" s="100"/>
      <c r="L46" s="100"/>
      <c r="M46" s="100"/>
      <c r="N46" s="100"/>
      <c r="O46" s="100"/>
      <c r="P46" s="100"/>
      <c r="Q46" s="100"/>
      <c r="R46" s="100"/>
      <c r="S46" s="100"/>
      <c r="T46" s="100"/>
      <c r="U46" s="100"/>
      <c r="V46" s="100">
        <f t="shared" si="13"/>
        <v>7.0000000000000007E-2</v>
      </c>
      <c r="W46" s="100"/>
      <c r="X46" s="100"/>
      <c r="Y46" s="100"/>
      <c r="Z46" s="100"/>
      <c r="AA46" s="100"/>
      <c r="AB46" s="100"/>
      <c r="AC46" s="100"/>
      <c r="AD46" s="100"/>
      <c r="AE46" s="100">
        <f t="shared" si="27"/>
        <v>0</v>
      </c>
      <c r="AF46" s="100"/>
      <c r="AG46" s="100"/>
      <c r="AH46" s="100"/>
      <c r="AI46" s="100"/>
      <c r="AJ46" s="100"/>
      <c r="AK46" s="100"/>
      <c r="AL46" s="100"/>
      <c r="AM46" s="100"/>
      <c r="AN46" s="100"/>
      <c r="AO46" s="100"/>
      <c r="AP46" s="100"/>
      <c r="AQ46" s="100">
        <f>D46-BL46</f>
        <v>7.0000000000000007E-2</v>
      </c>
      <c r="AR46" s="100"/>
      <c r="AS46" s="100"/>
      <c r="AT46" s="100"/>
      <c r="AU46" s="100"/>
      <c r="AV46" s="100"/>
      <c r="AW46" s="100"/>
      <c r="AX46" s="100"/>
      <c r="AY46" s="100"/>
      <c r="AZ46" s="100"/>
      <c r="BA46" s="100"/>
      <c r="BB46" s="100"/>
      <c r="BC46" s="100"/>
      <c r="BD46" s="100"/>
      <c r="BE46" s="100"/>
      <c r="BF46" s="100"/>
      <c r="BG46" s="100"/>
      <c r="BH46" s="100">
        <f t="shared" si="22"/>
        <v>0</v>
      </c>
      <c r="BI46" s="100"/>
      <c r="BJ46" s="100"/>
      <c r="BK46" s="100"/>
      <c r="BL46" s="100">
        <f>E46+W46+X46+Y46+Z46+AA46+AB46+AC46+AD46+AE46+AR46+AS46+AT46+AU46+AV46+AW46+AX46+AY46+AZ46+BA46+BB46+BC46+BD46+BE46+BF46+BG46+BH46</f>
        <v>0</v>
      </c>
      <c r="BM46" s="100">
        <f>AQ68-BL46</f>
        <v>0</v>
      </c>
      <c r="BN46" s="100">
        <f>D46+BM46</f>
        <v>7.0000000000000007E-2</v>
      </c>
      <c r="BP46" s="8"/>
    </row>
    <row r="47" spans="1:68" s="2" customFormat="1" ht="20.100000000000001" customHeight="1">
      <c r="A47" s="20" t="s">
        <v>76</v>
      </c>
      <c r="B47" s="110" t="s">
        <v>77</v>
      </c>
      <c r="C47" s="5" t="s">
        <v>78</v>
      </c>
      <c r="D47" s="100"/>
      <c r="E47" s="100">
        <f t="shared" si="4"/>
        <v>0</v>
      </c>
      <c r="F47" s="100">
        <f t="shared" si="21"/>
        <v>0</v>
      </c>
      <c r="G47" s="100">
        <f t="shared" si="8"/>
        <v>0</v>
      </c>
      <c r="H47" s="100">
        <f t="shared" si="12"/>
        <v>0</v>
      </c>
      <c r="I47" s="100"/>
      <c r="J47" s="100"/>
      <c r="K47" s="100"/>
      <c r="L47" s="100"/>
      <c r="M47" s="100"/>
      <c r="N47" s="100"/>
      <c r="O47" s="100"/>
      <c r="P47" s="100"/>
      <c r="Q47" s="100"/>
      <c r="R47" s="100"/>
      <c r="S47" s="100"/>
      <c r="T47" s="100"/>
      <c r="U47" s="100"/>
      <c r="V47" s="100">
        <f t="shared" si="13"/>
        <v>0</v>
      </c>
      <c r="W47" s="100"/>
      <c r="X47" s="100"/>
      <c r="Y47" s="100"/>
      <c r="Z47" s="100"/>
      <c r="AA47" s="100"/>
      <c r="AB47" s="100"/>
      <c r="AC47" s="100"/>
      <c r="AD47" s="100"/>
      <c r="AE47" s="100">
        <f t="shared" si="27"/>
        <v>0</v>
      </c>
      <c r="AF47" s="100"/>
      <c r="AG47" s="100"/>
      <c r="AH47" s="100"/>
      <c r="AI47" s="100"/>
      <c r="AJ47" s="100"/>
      <c r="AK47" s="100"/>
      <c r="AL47" s="100"/>
      <c r="AM47" s="100"/>
      <c r="AN47" s="100"/>
      <c r="AO47" s="100"/>
      <c r="AP47" s="100"/>
      <c r="AQ47" s="100"/>
      <c r="AR47" s="100">
        <f>D47-BL47</f>
        <v>0</v>
      </c>
      <c r="AS47" s="100"/>
      <c r="AT47" s="100"/>
      <c r="AU47" s="100"/>
      <c r="AV47" s="100"/>
      <c r="AW47" s="100"/>
      <c r="AX47" s="100"/>
      <c r="AY47" s="100"/>
      <c r="AZ47" s="100"/>
      <c r="BA47" s="100"/>
      <c r="BB47" s="100"/>
      <c r="BC47" s="100"/>
      <c r="BD47" s="100"/>
      <c r="BE47" s="100"/>
      <c r="BF47" s="100"/>
      <c r="BG47" s="100"/>
      <c r="BH47" s="100">
        <f t="shared" si="22"/>
        <v>0</v>
      </c>
      <c r="BI47" s="100"/>
      <c r="BJ47" s="100"/>
      <c r="BK47" s="100"/>
      <c r="BL47" s="100">
        <f>E47+W47+X47+Y47+Z47+AA47+AB47+AC47+AD47+AE47+AQ47+AS47+AT47+AU47+AV47+AW47+AX47+AY47+AZ47+BA47+BB47+BC47+BD47+BE47+BF47+BG47+BH47</f>
        <v>0</v>
      </c>
      <c r="BM47" s="100">
        <f>AR68-BL47</f>
        <v>0</v>
      </c>
      <c r="BN47" s="100">
        <f t="shared" ref="BN47:BN62" si="29">D47+BM47</f>
        <v>0</v>
      </c>
      <c r="BP47" s="8"/>
    </row>
    <row r="48" spans="1:68" s="2" customFormat="1" ht="20.100000000000001" customHeight="1">
      <c r="A48" s="20" t="s">
        <v>79</v>
      </c>
      <c r="B48" s="110" t="s">
        <v>80</v>
      </c>
      <c r="C48" s="5" t="s">
        <v>81</v>
      </c>
      <c r="D48" s="100">
        <f>#REF!</f>
        <v>0.01</v>
      </c>
      <c r="E48" s="100">
        <f t="shared" si="4"/>
        <v>0</v>
      </c>
      <c r="F48" s="100">
        <f t="shared" si="21"/>
        <v>0</v>
      </c>
      <c r="G48" s="100">
        <f t="shared" si="8"/>
        <v>0</v>
      </c>
      <c r="H48" s="100">
        <f t="shared" si="12"/>
        <v>0</v>
      </c>
      <c r="I48" s="100"/>
      <c r="J48" s="100"/>
      <c r="K48" s="100"/>
      <c r="L48" s="100"/>
      <c r="M48" s="100"/>
      <c r="N48" s="100"/>
      <c r="O48" s="100"/>
      <c r="P48" s="100"/>
      <c r="Q48" s="100"/>
      <c r="R48" s="100"/>
      <c r="S48" s="100"/>
      <c r="T48" s="100"/>
      <c r="U48" s="100"/>
      <c r="V48" s="100">
        <f t="shared" si="13"/>
        <v>0.01</v>
      </c>
      <c r="W48" s="100"/>
      <c r="X48" s="100"/>
      <c r="Y48" s="100"/>
      <c r="Z48" s="100"/>
      <c r="AA48" s="100"/>
      <c r="AB48" s="100"/>
      <c r="AC48" s="100"/>
      <c r="AD48" s="100"/>
      <c r="AE48" s="100">
        <f t="shared" si="27"/>
        <v>0</v>
      </c>
      <c r="AF48" s="100"/>
      <c r="AG48" s="100"/>
      <c r="AH48" s="100"/>
      <c r="AI48" s="100"/>
      <c r="AJ48" s="100"/>
      <c r="AK48" s="100"/>
      <c r="AL48" s="100"/>
      <c r="AM48" s="100"/>
      <c r="AN48" s="100"/>
      <c r="AO48" s="100"/>
      <c r="AP48" s="100"/>
      <c r="AQ48" s="100"/>
      <c r="AR48" s="100"/>
      <c r="AS48" s="100">
        <f>D48-BL48</f>
        <v>0.01</v>
      </c>
      <c r="AT48" s="100"/>
      <c r="AU48" s="100"/>
      <c r="AV48" s="100"/>
      <c r="AW48" s="100"/>
      <c r="AX48" s="100"/>
      <c r="AY48" s="100"/>
      <c r="AZ48" s="100"/>
      <c r="BA48" s="100"/>
      <c r="BB48" s="100"/>
      <c r="BC48" s="100"/>
      <c r="BD48" s="100"/>
      <c r="BE48" s="100"/>
      <c r="BF48" s="100"/>
      <c r="BG48" s="100"/>
      <c r="BH48" s="100">
        <f t="shared" si="22"/>
        <v>0</v>
      </c>
      <c r="BI48" s="100"/>
      <c r="BJ48" s="100"/>
      <c r="BK48" s="100"/>
      <c r="BL48" s="100">
        <f>E48+W48+X48+Y48+Z48+AA48+AB48+AC48+AD48+AQ48+AR48+AT48+AU48+AV48+AW48+AX48+AY48+AZ48+BA48+BB48+BC48+BD48+BE48+BF48+BG48+BH48</f>
        <v>0</v>
      </c>
      <c r="BM48" s="100">
        <f>AS68-BL48</f>
        <v>1.22</v>
      </c>
      <c r="BN48" s="100">
        <f t="shared" si="29"/>
        <v>1.23</v>
      </c>
      <c r="BP48" s="8"/>
    </row>
    <row r="49" spans="1:68" s="2" customFormat="1" ht="20.100000000000001" customHeight="1">
      <c r="A49" s="20" t="s">
        <v>82</v>
      </c>
      <c r="B49" s="110" t="s">
        <v>83</v>
      </c>
      <c r="C49" s="5" t="s">
        <v>84</v>
      </c>
      <c r="D49" s="100">
        <f>#REF!</f>
        <v>49.83</v>
      </c>
      <c r="E49" s="100">
        <f t="shared" si="4"/>
        <v>0</v>
      </c>
      <c r="F49" s="100">
        <f t="shared" si="21"/>
        <v>0</v>
      </c>
      <c r="G49" s="100">
        <f t="shared" si="8"/>
        <v>0</v>
      </c>
      <c r="H49" s="100">
        <f t="shared" si="12"/>
        <v>0</v>
      </c>
      <c r="I49" s="100"/>
      <c r="J49" s="100"/>
      <c r="K49" s="100"/>
      <c r="L49" s="100"/>
      <c r="M49" s="100"/>
      <c r="N49" s="100"/>
      <c r="O49" s="100"/>
      <c r="P49" s="100"/>
      <c r="Q49" s="100"/>
      <c r="R49" s="100"/>
      <c r="S49" s="100"/>
      <c r="T49" s="100"/>
      <c r="U49" s="100"/>
      <c r="V49" s="100">
        <f t="shared" si="13"/>
        <v>49.83</v>
      </c>
      <c r="W49" s="100"/>
      <c r="X49" s="100"/>
      <c r="Y49" s="100"/>
      <c r="Z49" s="100"/>
      <c r="AA49" s="100"/>
      <c r="AB49" s="100"/>
      <c r="AC49" s="100"/>
      <c r="AD49" s="100"/>
      <c r="AE49" s="100">
        <f t="shared" si="27"/>
        <v>0.28000000000000003</v>
      </c>
      <c r="AF49" s="100"/>
      <c r="AG49" s="100"/>
      <c r="AH49" s="100"/>
      <c r="AI49" s="100"/>
      <c r="AJ49" s="100"/>
      <c r="AK49" s="100"/>
      <c r="AL49" s="100">
        <v>0.28000000000000003</v>
      </c>
      <c r="AM49" s="100"/>
      <c r="AN49" s="100"/>
      <c r="AO49" s="100"/>
      <c r="AP49" s="100"/>
      <c r="AQ49" s="100"/>
      <c r="AR49" s="100"/>
      <c r="AS49" s="100"/>
      <c r="AT49" s="100">
        <f>D49-BL49</f>
        <v>49.55</v>
      </c>
      <c r="AU49" s="100"/>
      <c r="AV49" s="100"/>
      <c r="AW49" s="100"/>
      <c r="AX49" s="100"/>
      <c r="AY49" s="100"/>
      <c r="AZ49" s="100"/>
      <c r="BA49" s="100"/>
      <c r="BB49" s="100"/>
      <c r="BC49" s="100"/>
      <c r="BD49" s="100"/>
      <c r="BE49" s="100"/>
      <c r="BF49" s="100"/>
      <c r="BG49" s="100"/>
      <c r="BH49" s="100">
        <f t="shared" si="22"/>
        <v>0</v>
      </c>
      <c r="BI49" s="100"/>
      <c r="BJ49" s="100"/>
      <c r="BK49" s="100"/>
      <c r="BL49" s="100">
        <f>E49+W49+X49+Y49+Z49+AA49+AB49+AC49+AD49+AE49+AQ49+AR49+AS49+AU49+AV49+AW49+AX49+AY49+AZ49+BA49+BB49+BC49+BD49+BE49+BF49+BG49+BH49</f>
        <v>0.28000000000000003</v>
      </c>
      <c r="BM49" s="100">
        <f>AT68-BL49</f>
        <v>0.67</v>
      </c>
      <c r="BN49" s="100">
        <f t="shared" si="29"/>
        <v>50.5</v>
      </c>
      <c r="BP49" s="8"/>
    </row>
    <row r="50" spans="1:68" s="2" customFormat="1" ht="20.100000000000001" customHeight="1">
      <c r="A50" s="20" t="s">
        <v>85</v>
      </c>
      <c r="B50" s="110" t="s">
        <v>86</v>
      </c>
      <c r="C50" s="5" t="s">
        <v>87</v>
      </c>
      <c r="D50" s="100"/>
      <c r="E50" s="100">
        <f t="shared" si="4"/>
        <v>0</v>
      </c>
      <c r="F50" s="100">
        <f t="shared" si="21"/>
        <v>0</v>
      </c>
      <c r="G50" s="100">
        <f t="shared" si="8"/>
        <v>0</v>
      </c>
      <c r="H50" s="100">
        <f t="shared" si="12"/>
        <v>0</v>
      </c>
      <c r="I50" s="100"/>
      <c r="J50" s="100"/>
      <c r="K50" s="100"/>
      <c r="L50" s="100"/>
      <c r="M50" s="100"/>
      <c r="N50" s="100"/>
      <c r="O50" s="100"/>
      <c r="P50" s="100"/>
      <c r="Q50" s="100"/>
      <c r="R50" s="100"/>
      <c r="S50" s="100"/>
      <c r="T50" s="100"/>
      <c r="U50" s="100"/>
      <c r="V50" s="100">
        <f t="shared" si="13"/>
        <v>0</v>
      </c>
      <c r="W50" s="100"/>
      <c r="X50" s="100"/>
      <c r="Y50" s="100"/>
      <c r="Z50" s="100"/>
      <c r="AA50" s="100"/>
      <c r="AB50" s="100"/>
      <c r="AC50" s="100"/>
      <c r="AD50" s="100"/>
      <c r="AE50" s="100">
        <f t="shared" si="27"/>
        <v>0</v>
      </c>
      <c r="AF50" s="100"/>
      <c r="AG50" s="100"/>
      <c r="AH50" s="100"/>
      <c r="AI50" s="100"/>
      <c r="AJ50" s="100"/>
      <c r="AK50" s="100"/>
      <c r="AL50" s="100"/>
      <c r="AM50" s="100"/>
      <c r="AN50" s="100"/>
      <c r="AO50" s="100"/>
      <c r="AP50" s="100"/>
      <c r="AQ50" s="100"/>
      <c r="AR50" s="100"/>
      <c r="AS50" s="100"/>
      <c r="AT50" s="100"/>
      <c r="AU50" s="100">
        <f>D50-BL50</f>
        <v>0</v>
      </c>
      <c r="AV50" s="100"/>
      <c r="AW50" s="100"/>
      <c r="AX50" s="100"/>
      <c r="AY50" s="100"/>
      <c r="AZ50" s="100"/>
      <c r="BA50" s="100"/>
      <c r="BB50" s="100"/>
      <c r="BC50" s="100"/>
      <c r="BD50" s="100"/>
      <c r="BE50" s="100"/>
      <c r="BF50" s="100"/>
      <c r="BG50" s="100"/>
      <c r="BH50" s="100">
        <f t="shared" si="22"/>
        <v>0</v>
      </c>
      <c r="BI50" s="100"/>
      <c r="BJ50" s="100"/>
      <c r="BK50" s="100"/>
      <c r="BL50" s="100">
        <f>E50+W50+X50+Y50+Z50+AA50+AB50+AC50+AD50+AE50+AQ50+AR50+AS50+AT50+AV50+AW50+AX50+AY50+AZ50+BA50+BB50+BC50+BD50+BE50+BF50+BG50+BH50</f>
        <v>0</v>
      </c>
      <c r="BM50" s="100">
        <f>AU68-BL50</f>
        <v>0</v>
      </c>
      <c r="BN50" s="100">
        <f t="shared" si="29"/>
        <v>0</v>
      </c>
      <c r="BP50" s="8"/>
    </row>
    <row r="51" spans="1:68" s="2" customFormat="1" ht="20.100000000000001" customHeight="1">
      <c r="A51" s="20" t="s">
        <v>88</v>
      </c>
      <c r="B51" s="110" t="s">
        <v>89</v>
      </c>
      <c r="C51" s="5" t="s">
        <v>90</v>
      </c>
      <c r="D51" s="100">
        <f>#REF!</f>
        <v>0.91</v>
      </c>
      <c r="E51" s="100">
        <f t="shared" si="4"/>
        <v>0</v>
      </c>
      <c r="F51" s="100">
        <f t="shared" si="21"/>
        <v>0</v>
      </c>
      <c r="G51" s="100">
        <f t="shared" si="8"/>
        <v>0</v>
      </c>
      <c r="H51" s="100">
        <f t="shared" si="12"/>
        <v>0</v>
      </c>
      <c r="I51" s="100"/>
      <c r="J51" s="100"/>
      <c r="K51" s="100"/>
      <c r="L51" s="100"/>
      <c r="M51" s="100"/>
      <c r="N51" s="100"/>
      <c r="O51" s="100"/>
      <c r="P51" s="100"/>
      <c r="Q51" s="100"/>
      <c r="R51" s="100"/>
      <c r="S51" s="100"/>
      <c r="T51" s="100"/>
      <c r="U51" s="100"/>
      <c r="V51" s="100">
        <f t="shared" si="13"/>
        <v>0.91</v>
      </c>
      <c r="W51" s="100"/>
      <c r="X51" s="100"/>
      <c r="Y51" s="100"/>
      <c r="Z51" s="100"/>
      <c r="AA51" s="100"/>
      <c r="AB51" s="100"/>
      <c r="AC51" s="100"/>
      <c r="AD51" s="100"/>
      <c r="AE51" s="100">
        <f t="shared" si="27"/>
        <v>0</v>
      </c>
      <c r="AF51" s="100"/>
      <c r="AG51" s="100"/>
      <c r="AH51" s="100"/>
      <c r="AI51" s="100"/>
      <c r="AJ51" s="100"/>
      <c r="AK51" s="100"/>
      <c r="AL51" s="100"/>
      <c r="AM51" s="100"/>
      <c r="AN51" s="100"/>
      <c r="AO51" s="100"/>
      <c r="AP51" s="100"/>
      <c r="AQ51" s="100"/>
      <c r="AR51" s="100"/>
      <c r="AS51" s="100"/>
      <c r="AT51" s="100"/>
      <c r="AU51" s="100"/>
      <c r="AV51" s="100">
        <f>D51-BL51</f>
        <v>0.91</v>
      </c>
      <c r="AW51" s="100"/>
      <c r="AX51" s="100"/>
      <c r="AY51" s="100"/>
      <c r="AZ51" s="100"/>
      <c r="BA51" s="100"/>
      <c r="BB51" s="100"/>
      <c r="BC51" s="100"/>
      <c r="BD51" s="100"/>
      <c r="BE51" s="100"/>
      <c r="BF51" s="100"/>
      <c r="BG51" s="100"/>
      <c r="BH51" s="100">
        <f t="shared" si="22"/>
        <v>0</v>
      </c>
      <c r="BI51" s="100"/>
      <c r="BJ51" s="100"/>
      <c r="BK51" s="100"/>
      <c r="BL51" s="100">
        <f>E51+W51+X51+Y51+Z51+AA51+AB51+AC51+AD51+AE51+AQ51+AR51+AS51+AT51+AU51+AW51+AX51+AY51+AZ51+BA51+BB51+BC51+BD51+BE51+BF51+BG51+BH51</f>
        <v>0</v>
      </c>
      <c r="BM51" s="100">
        <f>AV68-BL51</f>
        <v>0</v>
      </c>
      <c r="BN51" s="100">
        <f t="shared" si="29"/>
        <v>0.91</v>
      </c>
      <c r="BP51" s="8"/>
    </row>
    <row r="52" spans="1:68" s="2" customFormat="1" ht="20.100000000000001" customHeight="1">
      <c r="A52" s="20" t="s">
        <v>91</v>
      </c>
      <c r="B52" s="110" t="s">
        <v>489</v>
      </c>
      <c r="C52" s="5" t="s">
        <v>93</v>
      </c>
      <c r="D52" s="100"/>
      <c r="E52" s="100">
        <f t="shared" si="4"/>
        <v>0</v>
      </c>
      <c r="F52" s="100">
        <f t="shared" si="21"/>
        <v>0</v>
      </c>
      <c r="G52" s="100">
        <f t="shared" si="8"/>
        <v>0</v>
      </c>
      <c r="H52" s="100">
        <f t="shared" si="12"/>
        <v>0</v>
      </c>
      <c r="I52" s="100"/>
      <c r="J52" s="100"/>
      <c r="K52" s="100"/>
      <c r="L52" s="100"/>
      <c r="M52" s="100"/>
      <c r="N52" s="100"/>
      <c r="O52" s="100"/>
      <c r="P52" s="100"/>
      <c r="Q52" s="100"/>
      <c r="R52" s="100"/>
      <c r="S52" s="100"/>
      <c r="T52" s="100"/>
      <c r="U52" s="100"/>
      <c r="V52" s="100">
        <f t="shared" si="13"/>
        <v>0</v>
      </c>
      <c r="W52" s="100"/>
      <c r="X52" s="100"/>
      <c r="Y52" s="100"/>
      <c r="Z52" s="100"/>
      <c r="AA52" s="100"/>
      <c r="AB52" s="100"/>
      <c r="AC52" s="100"/>
      <c r="AD52" s="100"/>
      <c r="AE52" s="100">
        <f t="shared" si="27"/>
        <v>0</v>
      </c>
      <c r="AF52" s="100"/>
      <c r="AG52" s="100"/>
      <c r="AH52" s="100"/>
      <c r="AI52" s="100"/>
      <c r="AJ52" s="100"/>
      <c r="AK52" s="100"/>
      <c r="AL52" s="100"/>
      <c r="AM52" s="100"/>
      <c r="AN52" s="100"/>
      <c r="AO52" s="100"/>
      <c r="AP52" s="100"/>
      <c r="AQ52" s="100"/>
      <c r="AR52" s="100"/>
      <c r="AS52" s="100"/>
      <c r="AT52" s="100"/>
      <c r="AU52" s="100"/>
      <c r="AV52" s="100"/>
      <c r="AW52" s="100">
        <f>D52-BL52</f>
        <v>0</v>
      </c>
      <c r="AX52" s="100"/>
      <c r="AY52" s="100"/>
      <c r="AZ52" s="100"/>
      <c r="BA52" s="100"/>
      <c r="BB52" s="100"/>
      <c r="BC52" s="100"/>
      <c r="BD52" s="100"/>
      <c r="BE52" s="100"/>
      <c r="BF52" s="100"/>
      <c r="BG52" s="100"/>
      <c r="BH52" s="100">
        <f t="shared" si="22"/>
        <v>0</v>
      </c>
      <c r="BI52" s="100"/>
      <c r="BJ52" s="100"/>
      <c r="BK52" s="100"/>
      <c r="BL52" s="100">
        <f>E52+W52+X52+Y52+Z52+AA52+AB52+AC52+AD52+AE52+AQ52+AR52+AS52+AT52+AU52+AV52+AX52+AY52+AZ52+BA52+BB52+BC52+BD52+BE52+BF52+BG52+BH52</f>
        <v>0</v>
      </c>
      <c r="BM52" s="100">
        <f>AW68-BL52</f>
        <v>0</v>
      </c>
      <c r="BN52" s="100">
        <f t="shared" si="29"/>
        <v>0</v>
      </c>
      <c r="BP52" s="8"/>
    </row>
    <row r="53" spans="1:68" s="2" customFormat="1" ht="20.100000000000001" customHeight="1">
      <c r="A53" s="20" t="s">
        <v>94</v>
      </c>
      <c r="B53" s="110" t="s">
        <v>95</v>
      </c>
      <c r="C53" s="5" t="s">
        <v>96</v>
      </c>
      <c r="D53" s="100"/>
      <c r="E53" s="100">
        <f t="shared" si="4"/>
        <v>0</v>
      </c>
      <c r="F53" s="100">
        <f t="shared" si="21"/>
        <v>0</v>
      </c>
      <c r="G53" s="100">
        <f t="shared" si="8"/>
        <v>0</v>
      </c>
      <c r="H53" s="100">
        <f t="shared" si="12"/>
        <v>0</v>
      </c>
      <c r="I53" s="100"/>
      <c r="J53" s="100"/>
      <c r="K53" s="100"/>
      <c r="L53" s="100"/>
      <c r="M53" s="100"/>
      <c r="N53" s="100"/>
      <c r="O53" s="100"/>
      <c r="P53" s="100"/>
      <c r="Q53" s="100"/>
      <c r="R53" s="100"/>
      <c r="S53" s="100"/>
      <c r="T53" s="100"/>
      <c r="U53" s="100"/>
      <c r="V53" s="100">
        <f t="shared" si="13"/>
        <v>0</v>
      </c>
      <c r="W53" s="100"/>
      <c r="X53" s="100"/>
      <c r="Y53" s="100"/>
      <c r="Z53" s="100"/>
      <c r="AA53" s="100"/>
      <c r="AB53" s="100"/>
      <c r="AC53" s="100"/>
      <c r="AD53" s="100"/>
      <c r="AE53" s="100">
        <f t="shared" si="27"/>
        <v>0</v>
      </c>
      <c r="AF53" s="100"/>
      <c r="AG53" s="100"/>
      <c r="AH53" s="100"/>
      <c r="AI53" s="100"/>
      <c r="AJ53" s="100"/>
      <c r="AK53" s="100"/>
      <c r="AL53" s="100"/>
      <c r="AM53" s="100"/>
      <c r="AN53" s="100"/>
      <c r="AO53" s="100"/>
      <c r="AP53" s="100"/>
      <c r="AQ53" s="100"/>
      <c r="AR53" s="100"/>
      <c r="AS53" s="100"/>
      <c r="AT53" s="100"/>
      <c r="AU53" s="100"/>
      <c r="AV53" s="100"/>
      <c r="AW53" s="100"/>
      <c r="AX53" s="100">
        <f>D53-BL53</f>
        <v>0</v>
      </c>
      <c r="AY53" s="100"/>
      <c r="AZ53" s="100"/>
      <c r="BA53" s="100"/>
      <c r="BB53" s="100"/>
      <c r="BC53" s="100"/>
      <c r="BD53" s="100"/>
      <c r="BE53" s="100"/>
      <c r="BF53" s="100"/>
      <c r="BG53" s="100"/>
      <c r="BH53" s="100">
        <f t="shared" si="22"/>
        <v>0</v>
      </c>
      <c r="BI53" s="100"/>
      <c r="BJ53" s="100"/>
      <c r="BK53" s="100"/>
      <c r="BL53" s="100">
        <f>E53+W53+X53+Y53+Z53+AA53+AB53+AC53+AD53+AE53+AQ53+AR53+AS53+AT53+AU53+AV53+AW53+AY53+AZ53+BA53+BB53+BC53+BD53+BE53+BF53+BG53+BH53</f>
        <v>0</v>
      </c>
      <c r="BM53" s="100">
        <f>AX68-BL53</f>
        <v>0</v>
      </c>
      <c r="BN53" s="100">
        <f t="shared" si="29"/>
        <v>0</v>
      </c>
      <c r="BP53" s="8"/>
    </row>
    <row r="54" spans="1:68" s="2" customFormat="1" ht="20.100000000000001" customHeight="1">
      <c r="A54" s="20" t="s">
        <v>97</v>
      </c>
      <c r="B54" s="110" t="s">
        <v>98</v>
      </c>
      <c r="C54" s="5" t="s">
        <v>99</v>
      </c>
      <c r="D54" s="100">
        <f>#REF!</f>
        <v>0.71</v>
      </c>
      <c r="E54" s="100">
        <f t="shared" si="4"/>
        <v>0</v>
      </c>
      <c r="F54" s="100">
        <f t="shared" si="21"/>
        <v>0</v>
      </c>
      <c r="G54" s="100">
        <f t="shared" si="8"/>
        <v>0</v>
      </c>
      <c r="H54" s="100">
        <f t="shared" si="12"/>
        <v>0</v>
      </c>
      <c r="I54" s="100"/>
      <c r="J54" s="100"/>
      <c r="K54" s="100"/>
      <c r="L54" s="100"/>
      <c r="M54" s="100"/>
      <c r="N54" s="100"/>
      <c r="O54" s="100"/>
      <c r="P54" s="100"/>
      <c r="Q54" s="100"/>
      <c r="R54" s="100"/>
      <c r="S54" s="100"/>
      <c r="T54" s="100"/>
      <c r="U54" s="100"/>
      <c r="V54" s="100">
        <f t="shared" si="13"/>
        <v>0.71</v>
      </c>
      <c r="W54" s="100"/>
      <c r="X54" s="100"/>
      <c r="Y54" s="100"/>
      <c r="Z54" s="100"/>
      <c r="AA54" s="100"/>
      <c r="AB54" s="100"/>
      <c r="AC54" s="100"/>
      <c r="AD54" s="100"/>
      <c r="AE54" s="100">
        <f t="shared" si="27"/>
        <v>0</v>
      </c>
      <c r="AF54" s="100"/>
      <c r="AG54" s="100"/>
      <c r="AH54" s="100"/>
      <c r="AI54" s="100"/>
      <c r="AJ54" s="100"/>
      <c r="AK54" s="100"/>
      <c r="AL54" s="100"/>
      <c r="AM54" s="100"/>
      <c r="AN54" s="100"/>
      <c r="AO54" s="100"/>
      <c r="AP54" s="100"/>
      <c r="AQ54" s="100"/>
      <c r="AR54" s="100"/>
      <c r="AS54" s="100"/>
      <c r="AT54" s="100"/>
      <c r="AU54" s="100"/>
      <c r="AV54" s="100"/>
      <c r="AW54" s="100"/>
      <c r="AX54" s="100"/>
      <c r="AY54" s="100">
        <f>D54-BL54</f>
        <v>0.71</v>
      </c>
      <c r="AZ54" s="100"/>
      <c r="BA54" s="100"/>
      <c r="BB54" s="100"/>
      <c r="BC54" s="100"/>
      <c r="BD54" s="100"/>
      <c r="BE54" s="100"/>
      <c r="BF54" s="100"/>
      <c r="BG54" s="100"/>
      <c r="BH54" s="100">
        <f t="shared" si="22"/>
        <v>0</v>
      </c>
      <c r="BI54" s="100"/>
      <c r="BJ54" s="100"/>
      <c r="BK54" s="100"/>
      <c r="BL54" s="100">
        <f>E54+W54+X54+Y54+Z54+AA54+AB54+AC54+AD54+AE54+AQ54+AR54+AS54+AT54+AU54+AV54+AW54+AX54+AZ54+BA54+BB54+BC54+BD54+BE54+BF54+BG54+BH54</f>
        <v>0</v>
      </c>
      <c r="BM54" s="100">
        <f>AY68-BL54</f>
        <v>0</v>
      </c>
      <c r="BN54" s="100">
        <f t="shared" si="29"/>
        <v>0.71</v>
      </c>
      <c r="BP54" s="8"/>
    </row>
    <row r="55" spans="1:68" s="2" customFormat="1" ht="33.75" customHeight="1">
      <c r="A55" s="20" t="s">
        <v>100</v>
      </c>
      <c r="B55" s="110" t="s">
        <v>490</v>
      </c>
      <c r="C55" s="5" t="s">
        <v>101</v>
      </c>
      <c r="D55" s="100">
        <f>#REF!</f>
        <v>19</v>
      </c>
      <c r="E55" s="100">
        <f t="shared" si="4"/>
        <v>0</v>
      </c>
      <c r="F55" s="100">
        <f t="shared" si="21"/>
        <v>0</v>
      </c>
      <c r="G55" s="100">
        <f t="shared" si="8"/>
        <v>0</v>
      </c>
      <c r="H55" s="100">
        <f t="shared" si="12"/>
        <v>0</v>
      </c>
      <c r="I55" s="100"/>
      <c r="J55" s="100"/>
      <c r="K55" s="100"/>
      <c r="L55" s="100"/>
      <c r="M55" s="100"/>
      <c r="N55" s="100"/>
      <c r="O55" s="100"/>
      <c r="P55" s="100"/>
      <c r="Q55" s="100"/>
      <c r="R55" s="100"/>
      <c r="S55" s="100"/>
      <c r="T55" s="100"/>
      <c r="U55" s="100"/>
      <c r="V55" s="100">
        <f t="shared" si="13"/>
        <v>19</v>
      </c>
      <c r="W55" s="100"/>
      <c r="X55" s="100"/>
      <c r="Y55" s="100"/>
      <c r="Z55" s="100"/>
      <c r="AA55" s="100"/>
      <c r="AB55" s="100"/>
      <c r="AC55" s="100"/>
      <c r="AD55" s="100"/>
      <c r="AE55" s="100">
        <f t="shared" si="27"/>
        <v>0</v>
      </c>
      <c r="AF55" s="100"/>
      <c r="AG55" s="100"/>
      <c r="AH55" s="100"/>
      <c r="AI55" s="100"/>
      <c r="AJ55" s="100"/>
      <c r="AK55" s="100"/>
      <c r="AL55" s="100"/>
      <c r="AM55" s="100"/>
      <c r="AN55" s="100"/>
      <c r="AO55" s="100"/>
      <c r="AP55" s="100"/>
      <c r="AQ55" s="100"/>
      <c r="AR55" s="100"/>
      <c r="AS55" s="100"/>
      <c r="AT55" s="100"/>
      <c r="AU55" s="100"/>
      <c r="AV55" s="100"/>
      <c r="AW55" s="100"/>
      <c r="AX55" s="100"/>
      <c r="AY55" s="100"/>
      <c r="AZ55" s="100">
        <f>D55-BL55</f>
        <v>19</v>
      </c>
      <c r="BA55" s="100"/>
      <c r="BB55" s="100"/>
      <c r="BC55" s="100"/>
      <c r="BD55" s="100"/>
      <c r="BE55" s="100"/>
      <c r="BF55" s="100"/>
      <c r="BG55" s="100"/>
      <c r="BH55" s="100">
        <f t="shared" si="22"/>
        <v>0</v>
      </c>
      <c r="BI55" s="100"/>
      <c r="BJ55" s="100"/>
      <c r="BK55" s="100"/>
      <c r="BL55" s="100">
        <f>E55+W55+X55+Y55+Z55+AA55+AB55+AC55+AD55+AE55+AQ55+AR55+AS55+AT55+AU55+AV55+AW55+AX55+AY55+BA55+BB55+BC55+BD55+BE55+BF55+BG55+BH55</f>
        <v>0</v>
      </c>
      <c r="BM55" s="100">
        <f>AZ68-BL55</f>
        <v>0</v>
      </c>
      <c r="BN55" s="100">
        <f t="shared" si="29"/>
        <v>19</v>
      </c>
      <c r="BP55" s="8"/>
    </row>
    <row r="56" spans="1:68" s="2" customFormat="1" ht="20.100000000000001" customHeight="1">
      <c r="A56" s="20" t="s">
        <v>102</v>
      </c>
      <c r="B56" s="110" t="s">
        <v>103</v>
      </c>
      <c r="C56" s="5" t="s">
        <v>104</v>
      </c>
      <c r="D56" s="100"/>
      <c r="E56" s="100">
        <f t="shared" si="4"/>
        <v>0</v>
      </c>
      <c r="F56" s="100">
        <f t="shared" si="21"/>
        <v>0</v>
      </c>
      <c r="G56" s="100">
        <f t="shared" si="8"/>
        <v>0</v>
      </c>
      <c r="H56" s="100">
        <f t="shared" si="12"/>
        <v>0</v>
      </c>
      <c r="I56" s="100"/>
      <c r="J56" s="100"/>
      <c r="K56" s="100"/>
      <c r="L56" s="100"/>
      <c r="M56" s="100"/>
      <c r="N56" s="100"/>
      <c r="O56" s="100"/>
      <c r="P56" s="100"/>
      <c r="Q56" s="100"/>
      <c r="R56" s="100"/>
      <c r="S56" s="100"/>
      <c r="T56" s="100"/>
      <c r="U56" s="100"/>
      <c r="V56" s="100">
        <f t="shared" si="13"/>
        <v>0</v>
      </c>
      <c r="W56" s="100"/>
      <c r="X56" s="100"/>
      <c r="Y56" s="100"/>
      <c r="Z56" s="100"/>
      <c r="AA56" s="100"/>
      <c r="AB56" s="100"/>
      <c r="AC56" s="100"/>
      <c r="AD56" s="100"/>
      <c r="AE56" s="100">
        <f t="shared" si="27"/>
        <v>0</v>
      </c>
      <c r="AF56" s="100"/>
      <c r="AG56" s="100"/>
      <c r="AH56" s="100"/>
      <c r="AI56" s="100"/>
      <c r="AJ56" s="100"/>
      <c r="AK56" s="100"/>
      <c r="AL56" s="100"/>
      <c r="AM56" s="100"/>
      <c r="AN56" s="100"/>
      <c r="AO56" s="100"/>
      <c r="AP56" s="100"/>
      <c r="AQ56" s="100"/>
      <c r="AR56" s="100"/>
      <c r="AS56" s="100"/>
      <c r="AT56" s="100"/>
      <c r="AU56" s="100"/>
      <c r="AV56" s="100"/>
      <c r="AW56" s="100"/>
      <c r="AX56" s="100"/>
      <c r="AY56" s="100"/>
      <c r="AZ56" s="100"/>
      <c r="BA56" s="100">
        <f>D56-BL56</f>
        <v>0</v>
      </c>
      <c r="BB56" s="100"/>
      <c r="BC56" s="100"/>
      <c r="BD56" s="100"/>
      <c r="BE56" s="100"/>
      <c r="BF56" s="100"/>
      <c r="BG56" s="100"/>
      <c r="BH56" s="100">
        <f t="shared" si="22"/>
        <v>0</v>
      </c>
      <c r="BI56" s="100"/>
      <c r="BJ56" s="100"/>
      <c r="BK56" s="100"/>
      <c r="BL56" s="100">
        <f>E56+W56+X56+Y56+Z56+AA56+AB56+AC56+AD56+AE56+AQ56+AR56+AS56+AT56+AU56+AV56+AW56+AX56+AY56+AZ56+BB56+BC56+BD56+BE56+BF56+BG56+BH56</f>
        <v>0</v>
      </c>
      <c r="BM56" s="100">
        <f>BA68-BL56</f>
        <v>0</v>
      </c>
      <c r="BN56" s="100">
        <f t="shared" si="29"/>
        <v>0</v>
      </c>
      <c r="BP56" s="8"/>
    </row>
    <row r="57" spans="1:68" s="2" customFormat="1" ht="20.100000000000001" customHeight="1">
      <c r="A57" s="20" t="s">
        <v>105</v>
      </c>
      <c r="B57" s="110" t="s">
        <v>106</v>
      </c>
      <c r="C57" s="5" t="s">
        <v>107</v>
      </c>
      <c r="D57" s="100">
        <f>#REF!</f>
        <v>0.57999999999999996</v>
      </c>
      <c r="E57" s="100">
        <f t="shared" si="4"/>
        <v>0</v>
      </c>
      <c r="F57" s="100">
        <f t="shared" si="21"/>
        <v>0</v>
      </c>
      <c r="G57" s="100">
        <f t="shared" si="8"/>
        <v>0</v>
      </c>
      <c r="H57" s="100">
        <f t="shared" si="12"/>
        <v>0</v>
      </c>
      <c r="I57" s="100"/>
      <c r="J57" s="100"/>
      <c r="K57" s="100"/>
      <c r="L57" s="100"/>
      <c r="M57" s="100"/>
      <c r="N57" s="100"/>
      <c r="O57" s="100"/>
      <c r="P57" s="100"/>
      <c r="Q57" s="100"/>
      <c r="R57" s="100"/>
      <c r="S57" s="100"/>
      <c r="T57" s="100"/>
      <c r="U57" s="100"/>
      <c r="V57" s="100">
        <f t="shared" si="13"/>
        <v>0.57999999999999996</v>
      </c>
      <c r="W57" s="100"/>
      <c r="X57" s="100"/>
      <c r="Y57" s="100"/>
      <c r="Z57" s="100"/>
      <c r="AA57" s="100"/>
      <c r="AB57" s="100"/>
      <c r="AC57" s="100"/>
      <c r="AD57" s="100"/>
      <c r="AE57" s="100">
        <f>SUM(AF57:AP57)</f>
        <v>0.01</v>
      </c>
      <c r="AF57" s="100"/>
      <c r="AG57" s="100"/>
      <c r="AH57" s="100"/>
      <c r="AI57" s="100"/>
      <c r="AJ57" s="100"/>
      <c r="AK57" s="100"/>
      <c r="AL57" s="100">
        <v>0.01</v>
      </c>
      <c r="AM57" s="100"/>
      <c r="AN57" s="100"/>
      <c r="AO57" s="100"/>
      <c r="AP57" s="100"/>
      <c r="AQ57" s="100"/>
      <c r="AR57" s="100"/>
      <c r="AS57" s="100"/>
      <c r="AT57" s="100"/>
      <c r="AU57" s="100"/>
      <c r="AV57" s="100"/>
      <c r="AW57" s="100"/>
      <c r="AX57" s="100"/>
      <c r="AY57" s="100"/>
      <c r="AZ57" s="100"/>
      <c r="BA57" s="100"/>
      <c r="BB57" s="100">
        <f>D57-BL57</f>
        <v>0.56999999999999995</v>
      </c>
      <c r="BC57" s="100"/>
      <c r="BD57" s="100"/>
      <c r="BE57" s="100"/>
      <c r="BF57" s="100"/>
      <c r="BG57" s="100"/>
      <c r="BH57" s="100">
        <f t="shared" si="22"/>
        <v>0</v>
      </c>
      <c r="BI57" s="100"/>
      <c r="BJ57" s="100"/>
      <c r="BK57" s="100"/>
      <c r="BL57" s="100">
        <f>E57+W57+X57+Y57+Z57+AA57+AB57+AC57+AD57+AE57+AQ57+AR57+AS57+AT57+AU57+AV57+AW57+AX57+AY57+AZ57+BA57+BC57+BD57+BE57+BF57+BG57+BH57</f>
        <v>0.01</v>
      </c>
      <c r="BM57" s="100">
        <f>BB68-BL57</f>
        <v>-0.01</v>
      </c>
      <c r="BN57" s="100">
        <f t="shared" si="29"/>
        <v>0.56999999999999995</v>
      </c>
      <c r="BP57" s="8"/>
    </row>
    <row r="58" spans="1:68" s="2" customFormat="1" ht="20.100000000000001" customHeight="1">
      <c r="A58" s="20" t="s">
        <v>108</v>
      </c>
      <c r="B58" s="110" t="s">
        <v>491</v>
      </c>
      <c r="C58" s="5" t="s">
        <v>110</v>
      </c>
      <c r="D58" s="100"/>
      <c r="E58" s="100">
        <f t="shared" si="4"/>
        <v>0</v>
      </c>
      <c r="F58" s="100">
        <f t="shared" si="21"/>
        <v>0</v>
      </c>
      <c r="G58" s="100">
        <f t="shared" si="8"/>
        <v>0</v>
      </c>
      <c r="H58" s="100">
        <f t="shared" si="12"/>
        <v>0</v>
      </c>
      <c r="I58" s="100"/>
      <c r="J58" s="100"/>
      <c r="K58" s="100"/>
      <c r="L58" s="100"/>
      <c r="M58" s="100"/>
      <c r="N58" s="100"/>
      <c r="O58" s="100"/>
      <c r="P58" s="100"/>
      <c r="Q58" s="100"/>
      <c r="R58" s="100"/>
      <c r="S58" s="100"/>
      <c r="T58" s="100"/>
      <c r="U58" s="100"/>
      <c r="V58" s="100">
        <f t="shared" si="13"/>
        <v>0</v>
      </c>
      <c r="W58" s="100"/>
      <c r="X58" s="100"/>
      <c r="Y58" s="100"/>
      <c r="Z58" s="100"/>
      <c r="AA58" s="100"/>
      <c r="AB58" s="100"/>
      <c r="AC58" s="100"/>
      <c r="AD58" s="100"/>
      <c r="AE58" s="100">
        <f t="shared" si="27"/>
        <v>0</v>
      </c>
      <c r="AF58" s="100"/>
      <c r="AG58" s="100"/>
      <c r="AH58" s="100"/>
      <c r="AI58" s="100"/>
      <c r="AJ58" s="100"/>
      <c r="AK58" s="100"/>
      <c r="AL58" s="100"/>
      <c r="AM58" s="100"/>
      <c r="AN58" s="100"/>
      <c r="AO58" s="100"/>
      <c r="AP58" s="100"/>
      <c r="AQ58" s="100"/>
      <c r="AR58" s="100"/>
      <c r="AS58" s="100"/>
      <c r="AT58" s="100"/>
      <c r="AU58" s="100"/>
      <c r="AV58" s="100"/>
      <c r="AW58" s="100"/>
      <c r="AX58" s="100"/>
      <c r="AY58" s="100"/>
      <c r="AZ58" s="100"/>
      <c r="BA58" s="100"/>
      <c r="BB58" s="100"/>
      <c r="BC58" s="100">
        <f>D58-BL58</f>
        <v>0</v>
      </c>
      <c r="BD58" s="100"/>
      <c r="BE58" s="100"/>
      <c r="BF58" s="100"/>
      <c r="BG58" s="100"/>
      <c r="BH58" s="100">
        <f t="shared" si="22"/>
        <v>0</v>
      </c>
      <c r="BI58" s="100"/>
      <c r="BJ58" s="100"/>
      <c r="BK58" s="100"/>
      <c r="BL58" s="100">
        <f>E58+W58+X58+Y58+Z58+AA58+AB58+AC58+AD58+AE58+AQ58+AR58+AS58+AT58+AU58+AV58+AW58+AX58+AY58+AZ58+BA58+BB58+BD58+BE58+BF58+BG58+BH58</f>
        <v>0</v>
      </c>
      <c r="BM58" s="100">
        <f>BC68-BL58</f>
        <v>0</v>
      </c>
      <c r="BN58" s="100">
        <f t="shared" si="29"/>
        <v>0</v>
      </c>
      <c r="BP58" s="8"/>
    </row>
    <row r="59" spans="1:68" s="2" customFormat="1" ht="20.100000000000001" customHeight="1">
      <c r="A59" s="20" t="s">
        <v>111</v>
      </c>
      <c r="B59" s="110" t="s">
        <v>112</v>
      </c>
      <c r="C59" s="5" t="s">
        <v>113</v>
      </c>
      <c r="D59" s="100">
        <f>#REF!</f>
        <v>1.53</v>
      </c>
      <c r="E59" s="100">
        <f t="shared" si="4"/>
        <v>0</v>
      </c>
      <c r="F59" s="100">
        <f t="shared" si="21"/>
        <v>0</v>
      </c>
      <c r="G59" s="100">
        <f t="shared" si="8"/>
        <v>0</v>
      </c>
      <c r="H59" s="100">
        <f t="shared" si="12"/>
        <v>0</v>
      </c>
      <c r="I59" s="100"/>
      <c r="J59" s="100"/>
      <c r="K59" s="100"/>
      <c r="L59" s="100"/>
      <c r="M59" s="100"/>
      <c r="N59" s="100"/>
      <c r="O59" s="100"/>
      <c r="P59" s="100"/>
      <c r="Q59" s="100"/>
      <c r="R59" s="100"/>
      <c r="S59" s="100"/>
      <c r="T59" s="100"/>
      <c r="U59" s="100"/>
      <c r="V59" s="100">
        <f t="shared" si="13"/>
        <v>1.53</v>
      </c>
      <c r="W59" s="100"/>
      <c r="X59" s="100"/>
      <c r="Y59" s="100"/>
      <c r="Z59" s="100"/>
      <c r="AA59" s="100"/>
      <c r="AB59" s="100"/>
      <c r="AC59" s="100"/>
      <c r="AD59" s="100"/>
      <c r="AE59" s="100">
        <f t="shared" si="27"/>
        <v>0</v>
      </c>
      <c r="AF59" s="100"/>
      <c r="AG59" s="100"/>
      <c r="AH59" s="100"/>
      <c r="AI59" s="100"/>
      <c r="AJ59" s="100"/>
      <c r="AK59" s="100"/>
      <c r="AL59" s="100"/>
      <c r="AM59" s="100"/>
      <c r="AN59" s="100"/>
      <c r="AO59" s="100"/>
      <c r="AP59" s="100"/>
      <c r="AQ59" s="100"/>
      <c r="AR59" s="100"/>
      <c r="AS59" s="100"/>
      <c r="AT59" s="100"/>
      <c r="AU59" s="100"/>
      <c r="AV59" s="100"/>
      <c r="AW59" s="100"/>
      <c r="AX59" s="100"/>
      <c r="AY59" s="100"/>
      <c r="AZ59" s="100"/>
      <c r="BA59" s="100"/>
      <c r="BB59" s="100"/>
      <c r="BC59" s="100"/>
      <c r="BD59" s="100">
        <f>D59-BL59</f>
        <v>1.53</v>
      </c>
      <c r="BE59" s="100"/>
      <c r="BF59" s="100"/>
      <c r="BG59" s="100"/>
      <c r="BH59" s="100">
        <f t="shared" si="22"/>
        <v>0</v>
      </c>
      <c r="BI59" s="100"/>
      <c r="BJ59" s="100"/>
      <c r="BK59" s="100"/>
      <c r="BL59" s="100">
        <f>E59+W59+X59+Y59+Z59+AA59+AB59+AC59+AD59+AE59+AQ59+AR59+AS59+AT59+AU59+AV59+AW59+AX59+AY59+AZ59+BA59+BB59+BC59+BE59+BF59+BG59+BH59</f>
        <v>0</v>
      </c>
      <c r="BM59" s="100">
        <f>BD68-BL59</f>
        <v>0</v>
      </c>
      <c r="BN59" s="100">
        <f t="shared" si="29"/>
        <v>1.53</v>
      </c>
      <c r="BP59" s="8"/>
    </row>
    <row r="60" spans="1:68" s="2" customFormat="1" ht="20.100000000000001" customHeight="1">
      <c r="A60" s="20" t="s">
        <v>114</v>
      </c>
      <c r="B60" s="110" t="s">
        <v>115</v>
      </c>
      <c r="C60" s="5" t="s">
        <v>116</v>
      </c>
      <c r="D60" s="100">
        <f>#REF!</f>
        <v>97.99</v>
      </c>
      <c r="E60" s="100">
        <f t="shared" si="4"/>
        <v>1.29</v>
      </c>
      <c r="F60" s="100">
        <f t="shared" si="21"/>
        <v>0</v>
      </c>
      <c r="G60" s="100">
        <f t="shared" si="8"/>
        <v>0</v>
      </c>
      <c r="H60" s="100">
        <f t="shared" si="12"/>
        <v>0</v>
      </c>
      <c r="I60" s="100"/>
      <c r="J60" s="100"/>
      <c r="K60" s="100"/>
      <c r="L60" s="100"/>
      <c r="M60" s="100"/>
      <c r="N60" s="100"/>
      <c r="O60" s="100"/>
      <c r="P60" s="100"/>
      <c r="Q60" s="100"/>
      <c r="R60" s="100"/>
      <c r="S60" s="100">
        <v>1.29</v>
      </c>
      <c r="T60" s="100"/>
      <c r="U60" s="100"/>
      <c r="V60" s="100">
        <f t="shared" si="13"/>
        <v>96.699999999999989</v>
      </c>
      <c r="W60" s="100"/>
      <c r="X60" s="100"/>
      <c r="Y60" s="100"/>
      <c r="Z60" s="100"/>
      <c r="AA60" s="100"/>
      <c r="AB60" s="100">
        <v>0.27</v>
      </c>
      <c r="AC60" s="100"/>
      <c r="AD60" s="100"/>
      <c r="AE60" s="100">
        <f t="shared" si="27"/>
        <v>0.33</v>
      </c>
      <c r="AF60" s="100"/>
      <c r="AG60" s="100"/>
      <c r="AH60" s="100"/>
      <c r="AI60" s="100"/>
      <c r="AJ60" s="100"/>
      <c r="AK60" s="100"/>
      <c r="AL60" s="100">
        <v>0.33</v>
      </c>
      <c r="AM60" s="100"/>
      <c r="AN60" s="100"/>
      <c r="AO60" s="100"/>
      <c r="AP60" s="100"/>
      <c r="AQ60" s="100"/>
      <c r="AR60" s="100"/>
      <c r="AS60" s="100"/>
      <c r="AT60" s="100"/>
      <c r="AU60" s="100"/>
      <c r="AV60" s="100"/>
      <c r="AW60" s="100"/>
      <c r="AX60" s="100"/>
      <c r="AY60" s="100"/>
      <c r="AZ60" s="100"/>
      <c r="BA60" s="100"/>
      <c r="BB60" s="100"/>
      <c r="BC60" s="100"/>
      <c r="BD60" s="100"/>
      <c r="BE60" s="100">
        <f>D60-BL60</f>
        <v>96.1</v>
      </c>
      <c r="BF60" s="100"/>
      <c r="BG60" s="100"/>
      <c r="BH60" s="100">
        <f t="shared" si="22"/>
        <v>0</v>
      </c>
      <c r="BI60" s="100"/>
      <c r="BJ60" s="100"/>
      <c r="BK60" s="100"/>
      <c r="BL60" s="100">
        <f>E60+W60+X60+Y60+Z60+AA60+AB60+AC60+AD60+AE60+AQ60+AR60+AS60+AT60+AU60+AV60+AW60+AX60+AY60+AZ60+BA60+BB60+BC60+BD60+BF60+BG60+BH60</f>
        <v>1.8900000000000001</v>
      </c>
      <c r="BM60" s="100">
        <f>BE68-BL60</f>
        <v>-1.8900000000000001</v>
      </c>
      <c r="BN60" s="100">
        <f t="shared" si="29"/>
        <v>96.1</v>
      </c>
      <c r="BP60" s="8"/>
    </row>
    <row r="61" spans="1:68" s="2" customFormat="1" ht="20.100000000000001" customHeight="1">
      <c r="A61" s="20" t="s">
        <v>117</v>
      </c>
      <c r="B61" s="110" t="s">
        <v>118</v>
      </c>
      <c r="C61" s="5" t="s">
        <v>119</v>
      </c>
      <c r="D61" s="100">
        <f>#REF!</f>
        <v>59.43</v>
      </c>
      <c r="E61" s="100">
        <f t="shared" si="4"/>
        <v>33.67</v>
      </c>
      <c r="F61" s="100">
        <f t="shared" si="21"/>
        <v>0</v>
      </c>
      <c r="G61" s="100">
        <f t="shared" si="8"/>
        <v>0</v>
      </c>
      <c r="H61" s="100">
        <f t="shared" si="12"/>
        <v>0</v>
      </c>
      <c r="I61" s="100"/>
      <c r="J61" s="100"/>
      <c r="K61" s="100"/>
      <c r="L61" s="100"/>
      <c r="M61" s="100"/>
      <c r="N61" s="100"/>
      <c r="O61" s="100"/>
      <c r="P61" s="100"/>
      <c r="Q61" s="100"/>
      <c r="R61" s="100"/>
      <c r="S61" s="100">
        <v>33.67</v>
      </c>
      <c r="T61" s="100"/>
      <c r="U61" s="100"/>
      <c r="V61" s="100">
        <f t="shared" si="13"/>
        <v>25.759999999999998</v>
      </c>
      <c r="W61" s="100"/>
      <c r="X61" s="100"/>
      <c r="Y61" s="100"/>
      <c r="Z61" s="100"/>
      <c r="AA61" s="100"/>
      <c r="AB61" s="100"/>
      <c r="AC61" s="100"/>
      <c r="AD61" s="100"/>
      <c r="AE61" s="100">
        <f t="shared" si="27"/>
        <v>0</v>
      </c>
      <c r="AF61" s="100"/>
      <c r="AG61" s="100"/>
      <c r="AH61" s="100"/>
      <c r="AI61" s="100"/>
      <c r="AJ61" s="100"/>
      <c r="AK61" s="100"/>
      <c r="AL61" s="100"/>
      <c r="AM61" s="100"/>
      <c r="AN61" s="100"/>
      <c r="AO61" s="100"/>
      <c r="AP61" s="100"/>
      <c r="AQ61" s="100"/>
      <c r="AR61" s="100"/>
      <c r="AS61" s="100"/>
      <c r="AT61" s="100"/>
      <c r="AU61" s="100"/>
      <c r="AV61" s="100"/>
      <c r="AW61" s="100"/>
      <c r="AX61" s="100"/>
      <c r="AY61" s="100"/>
      <c r="AZ61" s="100"/>
      <c r="BA61" s="100"/>
      <c r="BB61" s="100"/>
      <c r="BC61" s="100"/>
      <c r="BD61" s="100"/>
      <c r="BE61" s="100"/>
      <c r="BF61" s="100">
        <f>D61-BL61</f>
        <v>25.759999999999998</v>
      </c>
      <c r="BG61" s="100"/>
      <c r="BH61" s="100">
        <f t="shared" si="22"/>
        <v>0</v>
      </c>
      <c r="BI61" s="100"/>
      <c r="BJ61" s="100"/>
      <c r="BK61" s="100"/>
      <c r="BL61" s="100">
        <f>E61+W61+X61+Y61+Z61+AA61+AB61+AC61+AD61+AE61+AQ61+AR61+AS61+AT61+AU61+AV61+AW61+AX61+AY61+AZ61+BA61+BB61+BC61+BD61+BE61+BG61+BH61</f>
        <v>33.67</v>
      </c>
      <c r="BM61" s="100">
        <f>BF68-BL61</f>
        <v>-33.67</v>
      </c>
      <c r="BN61" s="100">
        <f t="shared" si="29"/>
        <v>25.759999999999998</v>
      </c>
      <c r="BP61" s="8"/>
    </row>
    <row r="62" spans="1:68" s="2" customFormat="1" ht="20.100000000000001" customHeight="1">
      <c r="A62" s="20" t="s">
        <v>120</v>
      </c>
      <c r="B62" s="110" t="s">
        <v>121</v>
      </c>
      <c r="C62" s="5" t="s">
        <v>122</v>
      </c>
      <c r="D62" s="100">
        <f>#REF!</f>
        <v>1.5</v>
      </c>
      <c r="E62" s="100">
        <f t="shared" si="4"/>
        <v>0</v>
      </c>
      <c r="F62" s="100">
        <f t="shared" si="21"/>
        <v>0</v>
      </c>
      <c r="G62" s="100">
        <f t="shared" si="8"/>
        <v>0</v>
      </c>
      <c r="H62" s="100">
        <f t="shared" si="12"/>
        <v>0</v>
      </c>
      <c r="I62" s="100"/>
      <c r="J62" s="100"/>
      <c r="K62" s="100"/>
      <c r="L62" s="100"/>
      <c r="M62" s="100"/>
      <c r="N62" s="100"/>
      <c r="O62" s="100"/>
      <c r="P62" s="100"/>
      <c r="Q62" s="100"/>
      <c r="R62" s="100"/>
      <c r="S62" s="100"/>
      <c r="T62" s="100"/>
      <c r="U62" s="100"/>
      <c r="V62" s="100">
        <f t="shared" si="13"/>
        <v>1.5</v>
      </c>
      <c r="W62" s="100"/>
      <c r="X62" s="100"/>
      <c r="Y62" s="100"/>
      <c r="Z62" s="100"/>
      <c r="AA62" s="100"/>
      <c r="AB62" s="100"/>
      <c r="AC62" s="100"/>
      <c r="AD62" s="100"/>
      <c r="AE62" s="100">
        <f t="shared" si="27"/>
        <v>0</v>
      </c>
      <c r="AF62" s="100"/>
      <c r="AG62" s="100"/>
      <c r="AH62" s="100"/>
      <c r="AI62" s="100"/>
      <c r="AJ62" s="100"/>
      <c r="AK62" s="100"/>
      <c r="AL62" s="100"/>
      <c r="AM62" s="100"/>
      <c r="AN62" s="100"/>
      <c r="AO62" s="100"/>
      <c r="AP62" s="100"/>
      <c r="AQ62" s="100"/>
      <c r="AR62" s="100"/>
      <c r="AS62" s="100"/>
      <c r="AT62" s="100"/>
      <c r="AU62" s="100"/>
      <c r="AV62" s="100"/>
      <c r="AW62" s="100"/>
      <c r="AX62" s="100"/>
      <c r="AY62" s="100"/>
      <c r="AZ62" s="100"/>
      <c r="BA62" s="100"/>
      <c r="BB62" s="100"/>
      <c r="BC62" s="100"/>
      <c r="BD62" s="100"/>
      <c r="BE62" s="100"/>
      <c r="BF62" s="100"/>
      <c r="BG62" s="100">
        <f>D62-BL62</f>
        <v>1.5</v>
      </c>
      <c r="BH62" s="100">
        <f t="shared" si="22"/>
        <v>0</v>
      </c>
      <c r="BI62" s="100"/>
      <c r="BJ62" s="100"/>
      <c r="BK62" s="100"/>
      <c r="BL62" s="100">
        <f>E62+W62+X62+Y62+Z62+AA62+AB62+AC62+AD62+AE62+AQ62+AR62+AS62+AT62+AU62+AV62+AW62+AX62+AY62+AZ62+BA62+BB62+BC62+BD62+BE62+BF62+BH62</f>
        <v>0</v>
      </c>
      <c r="BM62" s="100">
        <f>BG68-BL62</f>
        <v>0</v>
      </c>
      <c r="BN62" s="100">
        <f t="shared" si="29"/>
        <v>1.5</v>
      </c>
      <c r="BP62" s="8"/>
    </row>
    <row r="63" spans="1:68" s="7" customFormat="1" ht="21.75" customHeight="1">
      <c r="A63" s="6">
        <v>3</v>
      </c>
      <c r="B63" s="109" t="s">
        <v>123</v>
      </c>
      <c r="C63" s="6" t="s">
        <v>124</v>
      </c>
      <c r="D63" s="175">
        <f>D64+D65+D66</f>
        <v>2853.93</v>
      </c>
      <c r="E63" s="175">
        <f>E64+E65+E66</f>
        <v>1.05</v>
      </c>
      <c r="F63" s="175">
        <f t="shared" ref="F63:U63" si="30">F64+F65+F66</f>
        <v>0</v>
      </c>
      <c r="G63" s="175">
        <f t="shared" si="30"/>
        <v>0</v>
      </c>
      <c r="H63" s="175">
        <f t="shared" si="30"/>
        <v>0</v>
      </c>
      <c r="I63" s="175">
        <f t="shared" si="30"/>
        <v>0</v>
      </c>
      <c r="J63" s="175">
        <f t="shared" si="30"/>
        <v>0</v>
      </c>
      <c r="K63" s="175">
        <f t="shared" si="30"/>
        <v>0</v>
      </c>
      <c r="L63" s="175">
        <f t="shared" si="30"/>
        <v>0</v>
      </c>
      <c r="M63" s="175">
        <f t="shared" si="30"/>
        <v>0</v>
      </c>
      <c r="N63" s="175">
        <f t="shared" si="30"/>
        <v>0</v>
      </c>
      <c r="O63" s="175">
        <f t="shared" si="30"/>
        <v>0</v>
      </c>
      <c r="P63" s="175">
        <f t="shared" si="30"/>
        <v>0</v>
      </c>
      <c r="Q63" s="175">
        <f t="shared" si="30"/>
        <v>0</v>
      </c>
      <c r="R63" s="175">
        <f t="shared" si="30"/>
        <v>0</v>
      </c>
      <c r="S63" s="175">
        <f t="shared" si="30"/>
        <v>1.05</v>
      </c>
      <c r="T63" s="175">
        <f t="shared" si="30"/>
        <v>0</v>
      </c>
      <c r="U63" s="175">
        <f t="shared" si="30"/>
        <v>0</v>
      </c>
      <c r="V63" s="175">
        <f>V64+V65+V66</f>
        <v>3.6999999999999997</v>
      </c>
      <c r="W63" s="175">
        <f t="shared" ref="W63:BG63" si="31">W64+W65+W66</f>
        <v>0</v>
      </c>
      <c r="X63" s="175">
        <f t="shared" si="31"/>
        <v>0</v>
      </c>
      <c r="Y63" s="175">
        <f t="shared" si="31"/>
        <v>0</v>
      </c>
      <c r="Z63" s="175">
        <f t="shared" si="31"/>
        <v>0</v>
      </c>
      <c r="AA63" s="175">
        <f t="shared" si="31"/>
        <v>0</v>
      </c>
      <c r="AB63" s="175">
        <f t="shared" si="31"/>
        <v>0</v>
      </c>
      <c r="AC63" s="175">
        <f t="shared" si="31"/>
        <v>0</v>
      </c>
      <c r="AD63" s="175">
        <f t="shared" si="31"/>
        <v>0</v>
      </c>
      <c r="AE63" s="175">
        <f t="shared" si="31"/>
        <v>2.57</v>
      </c>
      <c r="AF63" s="175">
        <f t="shared" si="31"/>
        <v>0</v>
      </c>
      <c r="AG63" s="175">
        <f t="shared" si="31"/>
        <v>0</v>
      </c>
      <c r="AH63" s="175">
        <f t="shared" si="31"/>
        <v>0</v>
      </c>
      <c r="AI63" s="175">
        <f t="shared" si="31"/>
        <v>0</v>
      </c>
      <c r="AJ63" s="175">
        <f t="shared" si="31"/>
        <v>0</v>
      </c>
      <c r="AK63" s="175">
        <f t="shared" si="31"/>
        <v>0</v>
      </c>
      <c r="AL63" s="175">
        <f t="shared" si="31"/>
        <v>2.57</v>
      </c>
      <c r="AM63" s="175">
        <f t="shared" si="31"/>
        <v>0</v>
      </c>
      <c r="AN63" s="175">
        <f t="shared" si="31"/>
        <v>0</v>
      </c>
      <c r="AO63" s="175">
        <f t="shared" si="31"/>
        <v>0</v>
      </c>
      <c r="AP63" s="175">
        <f t="shared" si="31"/>
        <v>0</v>
      </c>
      <c r="AQ63" s="175">
        <f t="shared" si="31"/>
        <v>0</v>
      </c>
      <c r="AR63" s="175">
        <f t="shared" si="31"/>
        <v>0</v>
      </c>
      <c r="AS63" s="175">
        <f t="shared" si="31"/>
        <v>1.1299999999999999</v>
      </c>
      <c r="AT63" s="175">
        <f t="shared" si="31"/>
        <v>0</v>
      </c>
      <c r="AU63" s="175">
        <f t="shared" si="31"/>
        <v>0</v>
      </c>
      <c r="AV63" s="175">
        <f t="shared" si="31"/>
        <v>0</v>
      </c>
      <c r="AW63" s="175">
        <f t="shared" si="31"/>
        <v>0</v>
      </c>
      <c r="AX63" s="175">
        <f t="shared" si="31"/>
        <v>0</v>
      </c>
      <c r="AY63" s="175">
        <f t="shared" si="31"/>
        <v>0</v>
      </c>
      <c r="AZ63" s="175">
        <f t="shared" si="31"/>
        <v>0</v>
      </c>
      <c r="BA63" s="175">
        <f t="shared" si="31"/>
        <v>0</v>
      </c>
      <c r="BB63" s="175">
        <f t="shared" si="31"/>
        <v>0</v>
      </c>
      <c r="BC63" s="175">
        <f t="shared" si="31"/>
        <v>0</v>
      </c>
      <c r="BD63" s="175">
        <f t="shared" si="31"/>
        <v>0</v>
      </c>
      <c r="BE63" s="175">
        <f t="shared" si="31"/>
        <v>0</v>
      </c>
      <c r="BF63" s="175">
        <f t="shared" si="31"/>
        <v>0</v>
      </c>
      <c r="BG63" s="175">
        <f t="shared" si="31"/>
        <v>0</v>
      </c>
      <c r="BH63" s="175">
        <f>D63-BL63</f>
        <v>2849.18</v>
      </c>
      <c r="BI63" s="175">
        <f t="shared" ref="BI63:BN63" si="32">BI64+BI65+BI66</f>
        <v>2845.24</v>
      </c>
      <c r="BJ63" s="175">
        <f t="shared" si="32"/>
        <v>3.94</v>
      </c>
      <c r="BK63" s="175">
        <f t="shared" si="32"/>
        <v>0</v>
      </c>
      <c r="BL63" s="175">
        <f t="shared" si="32"/>
        <v>4.75</v>
      </c>
      <c r="BM63" s="175">
        <f t="shared" si="32"/>
        <v>-4.75</v>
      </c>
      <c r="BN63" s="175">
        <f t="shared" si="32"/>
        <v>2849.18</v>
      </c>
      <c r="BP63" s="8"/>
    </row>
    <row r="64" spans="1:68" s="2" customFormat="1" ht="21.75" customHeight="1">
      <c r="A64" s="5" t="s">
        <v>220</v>
      </c>
      <c r="B64" s="72" t="s">
        <v>461</v>
      </c>
      <c r="C64" s="5" t="s">
        <v>209</v>
      </c>
      <c r="D64" s="100">
        <f>#REF!</f>
        <v>2849.99</v>
      </c>
      <c r="E64" s="100">
        <f t="shared" si="4"/>
        <v>1.05</v>
      </c>
      <c r="F64" s="100">
        <f t="shared" si="21"/>
        <v>0</v>
      </c>
      <c r="G64" s="100">
        <f t="shared" si="8"/>
        <v>0</v>
      </c>
      <c r="H64" s="100">
        <f t="shared" si="12"/>
        <v>0</v>
      </c>
      <c r="I64" s="100"/>
      <c r="J64" s="100"/>
      <c r="K64" s="100"/>
      <c r="L64" s="100"/>
      <c r="M64" s="100"/>
      <c r="N64" s="100"/>
      <c r="O64" s="100"/>
      <c r="P64" s="100"/>
      <c r="Q64" s="100"/>
      <c r="R64" s="100"/>
      <c r="S64" s="100">
        <v>1.05</v>
      </c>
      <c r="T64" s="100"/>
      <c r="U64" s="100"/>
      <c r="V64" s="100">
        <f t="shared" si="13"/>
        <v>3.6999999999999997</v>
      </c>
      <c r="W64" s="100"/>
      <c r="X64" s="100"/>
      <c r="Y64" s="100"/>
      <c r="Z64" s="100"/>
      <c r="AA64" s="100"/>
      <c r="AB64" s="100"/>
      <c r="AC64" s="100"/>
      <c r="AD64" s="100"/>
      <c r="AE64" s="100">
        <f t="shared" si="27"/>
        <v>2.57</v>
      </c>
      <c r="AF64" s="100"/>
      <c r="AG64" s="100"/>
      <c r="AH64" s="100"/>
      <c r="AI64" s="100"/>
      <c r="AJ64" s="100"/>
      <c r="AK64" s="100"/>
      <c r="AL64" s="100">
        <v>2.57</v>
      </c>
      <c r="AM64" s="100"/>
      <c r="AN64" s="100"/>
      <c r="AO64" s="100"/>
      <c r="AP64" s="100"/>
      <c r="AQ64" s="100"/>
      <c r="AR64" s="100"/>
      <c r="AS64" s="100">
        <v>1.1299999999999999</v>
      </c>
      <c r="AT64" s="100"/>
      <c r="AU64" s="100"/>
      <c r="AV64" s="100"/>
      <c r="AW64" s="100"/>
      <c r="AX64" s="100"/>
      <c r="AY64" s="100"/>
      <c r="AZ64" s="100"/>
      <c r="BA64" s="100"/>
      <c r="BB64" s="100"/>
      <c r="BC64" s="100"/>
      <c r="BD64" s="100"/>
      <c r="BE64" s="100"/>
      <c r="BF64" s="100"/>
      <c r="BG64" s="100"/>
      <c r="BH64" s="100">
        <f>BI64+BJ64+BK64</f>
        <v>2845.24</v>
      </c>
      <c r="BI64" s="100">
        <f>D64-BL64</f>
        <v>2845.24</v>
      </c>
      <c r="BJ64" s="100"/>
      <c r="BK64" s="100"/>
      <c r="BL64" s="100">
        <f>E64+V64</f>
        <v>4.75</v>
      </c>
      <c r="BM64" s="100">
        <f>BI68-BL64</f>
        <v>-4.75</v>
      </c>
      <c r="BN64" s="100">
        <f>D64+BM64</f>
        <v>2845.24</v>
      </c>
      <c r="BP64" s="8"/>
    </row>
    <row r="65" spans="1:68" s="2" customFormat="1" ht="21.75" customHeight="1">
      <c r="A65" s="5" t="s">
        <v>221</v>
      </c>
      <c r="B65" s="72" t="s">
        <v>462</v>
      </c>
      <c r="C65" s="5" t="s">
        <v>210</v>
      </c>
      <c r="D65" s="100">
        <f>#REF!</f>
        <v>3.94</v>
      </c>
      <c r="E65" s="100">
        <f t="shared" si="4"/>
        <v>0</v>
      </c>
      <c r="F65" s="100">
        <f t="shared" si="21"/>
        <v>0</v>
      </c>
      <c r="G65" s="100">
        <f t="shared" si="8"/>
        <v>0</v>
      </c>
      <c r="H65" s="100">
        <f t="shared" si="12"/>
        <v>0</v>
      </c>
      <c r="I65" s="100"/>
      <c r="J65" s="100"/>
      <c r="K65" s="100"/>
      <c r="L65" s="100"/>
      <c r="M65" s="100"/>
      <c r="N65" s="100"/>
      <c r="O65" s="100"/>
      <c r="P65" s="100"/>
      <c r="Q65" s="100"/>
      <c r="R65" s="100"/>
      <c r="S65" s="100"/>
      <c r="T65" s="100"/>
      <c r="U65" s="100"/>
      <c r="V65" s="100">
        <f t="shared" si="13"/>
        <v>0</v>
      </c>
      <c r="W65" s="100"/>
      <c r="X65" s="100"/>
      <c r="Y65" s="100"/>
      <c r="Z65" s="100"/>
      <c r="AA65" s="100"/>
      <c r="AB65" s="100"/>
      <c r="AC65" s="100"/>
      <c r="AD65" s="100"/>
      <c r="AE65" s="100">
        <f t="shared" si="27"/>
        <v>0</v>
      </c>
      <c r="AF65" s="100"/>
      <c r="AG65" s="100"/>
      <c r="AH65" s="100"/>
      <c r="AI65" s="100"/>
      <c r="AJ65" s="100"/>
      <c r="AK65" s="100"/>
      <c r="AL65" s="100"/>
      <c r="AM65" s="100"/>
      <c r="AN65" s="100"/>
      <c r="AO65" s="100"/>
      <c r="AP65" s="100"/>
      <c r="AQ65" s="100"/>
      <c r="AR65" s="100"/>
      <c r="AS65" s="100"/>
      <c r="AT65" s="100"/>
      <c r="AU65" s="100"/>
      <c r="AV65" s="100"/>
      <c r="AW65" s="100"/>
      <c r="AX65" s="100"/>
      <c r="AY65" s="100"/>
      <c r="AZ65" s="100"/>
      <c r="BA65" s="100"/>
      <c r="BB65" s="100"/>
      <c r="BC65" s="100"/>
      <c r="BD65" s="100"/>
      <c r="BE65" s="100"/>
      <c r="BF65" s="100"/>
      <c r="BG65" s="100"/>
      <c r="BH65" s="100">
        <f>BI65+BJ65+BK65</f>
        <v>3.94</v>
      </c>
      <c r="BI65" s="100"/>
      <c r="BJ65" s="100">
        <f>D65-BL65</f>
        <v>3.94</v>
      </c>
      <c r="BK65" s="100"/>
      <c r="BL65" s="100">
        <f>E65+V65</f>
        <v>0</v>
      </c>
      <c r="BM65" s="100">
        <f>BJ68-BL65</f>
        <v>0</v>
      </c>
      <c r="BN65" s="100">
        <f>D65+BM65</f>
        <v>3.94</v>
      </c>
      <c r="BP65" s="8"/>
    </row>
    <row r="66" spans="1:68" s="2" customFormat="1" ht="21.75" customHeight="1">
      <c r="A66" s="9" t="s">
        <v>222</v>
      </c>
      <c r="B66" s="73" t="s">
        <v>492</v>
      </c>
      <c r="C66" s="9" t="s">
        <v>211</v>
      </c>
      <c r="D66" s="280"/>
      <c r="E66" s="280">
        <f t="shared" si="4"/>
        <v>0</v>
      </c>
      <c r="F66" s="280">
        <f t="shared" si="21"/>
        <v>0</v>
      </c>
      <c r="G66" s="280">
        <f t="shared" si="8"/>
        <v>0</v>
      </c>
      <c r="H66" s="280">
        <f t="shared" si="12"/>
        <v>0</v>
      </c>
      <c r="I66" s="280"/>
      <c r="J66" s="280"/>
      <c r="K66" s="280"/>
      <c r="L66" s="280"/>
      <c r="M66" s="280"/>
      <c r="N66" s="280"/>
      <c r="O66" s="280"/>
      <c r="P66" s="280"/>
      <c r="Q66" s="280"/>
      <c r="R66" s="280"/>
      <c r="S66" s="280"/>
      <c r="T66" s="280"/>
      <c r="U66" s="280"/>
      <c r="V66" s="280">
        <f t="shared" si="13"/>
        <v>0</v>
      </c>
      <c r="W66" s="280"/>
      <c r="X66" s="280"/>
      <c r="Y66" s="280"/>
      <c r="Z66" s="280"/>
      <c r="AA66" s="280"/>
      <c r="AB66" s="280"/>
      <c r="AC66" s="280"/>
      <c r="AD66" s="280"/>
      <c r="AE66" s="280">
        <f t="shared" si="27"/>
        <v>0</v>
      </c>
      <c r="AF66" s="280"/>
      <c r="AG66" s="280"/>
      <c r="AH66" s="280"/>
      <c r="AI66" s="280"/>
      <c r="AJ66" s="280"/>
      <c r="AK66" s="280"/>
      <c r="AL66" s="280"/>
      <c r="AM66" s="280"/>
      <c r="AN66" s="280"/>
      <c r="AO66" s="280"/>
      <c r="AP66" s="280"/>
      <c r="AQ66" s="280"/>
      <c r="AR66" s="280"/>
      <c r="AS66" s="280"/>
      <c r="AT66" s="280"/>
      <c r="AU66" s="280"/>
      <c r="AV66" s="280"/>
      <c r="AW66" s="280"/>
      <c r="AX66" s="280"/>
      <c r="AY66" s="280"/>
      <c r="AZ66" s="280"/>
      <c r="BA66" s="280"/>
      <c r="BB66" s="280"/>
      <c r="BC66" s="280"/>
      <c r="BD66" s="280"/>
      <c r="BE66" s="280"/>
      <c r="BF66" s="280"/>
      <c r="BG66" s="280"/>
      <c r="BH66" s="280">
        <f>BI66+BJ66+BK66</f>
        <v>0</v>
      </c>
      <c r="BI66" s="280"/>
      <c r="BJ66" s="280"/>
      <c r="BK66" s="280">
        <f>D66-BL66</f>
        <v>0</v>
      </c>
      <c r="BL66" s="280">
        <f>E66+V66</f>
        <v>0</v>
      </c>
      <c r="BM66" s="280">
        <f>D66-BL66</f>
        <v>0</v>
      </c>
      <c r="BN66" s="280">
        <f>D66+BM66</f>
        <v>0</v>
      </c>
      <c r="BP66" s="8"/>
    </row>
    <row r="67" spans="1:68" s="898" customFormat="1" ht="21.75" customHeight="1">
      <c r="A67" s="895"/>
      <c r="B67" s="896"/>
      <c r="C67" s="895" t="s">
        <v>1079</v>
      </c>
      <c r="D67" s="897"/>
      <c r="E67" s="897">
        <f>+H67+M67+N67+P67+Q67+R67+S67+T67+U67</f>
        <v>19.559999999999999</v>
      </c>
      <c r="F67" s="897"/>
      <c r="G67" s="897"/>
      <c r="H67" s="897"/>
      <c r="I67" s="897"/>
      <c r="J67" s="897"/>
      <c r="K67" s="897"/>
      <c r="L67" s="897"/>
      <c r="M67" s="897"/>
      <c r="N67" s="897"/>
      <c r="O67" s="897"/>
      <c r="P67" s="897"/>
      <c r="Q67" s="897"/>
      <c r="R67" s="897"/>
      <c r="S67" s="897">
        <v>19.559999999999999</v>
      </c>
      <c r="T67" s="897"/>
      <c r="U67" s="897"/>
      <c r="V67" s="897">
        <f t="shared" si="13"/>
        <v>2.4500000000000002</v>
      </c>
      <c r="W67" s="897"/>
      <c r="X67" s="897"/>
      <c r="Y67" s="897"/>
      <c r="Z67" s="897"/>
      <c r="AA67" s="897"/>
      <c r="AB67" s="897"/>
      <c r="AC67" s="897"/>
      <c r="AD67" s="897"/>
      <c r="AE67" s="897">
        <f>SUM(AF67:AP67)</f>
        <v>2.4500000000000002</v>
      </c>
      <c r="AF67" s="897"/>
      <c r="AG67" s="897"/>
      <c r="AH67" s="897"/>
      <c r="AI67" s="897"/>
      <c r="AJ67" s="897"/>
      <c r="AK67" s="897"/>
      <c r="AL67" s="897">
        <v>2.4500000000000002</v>
      </c>
      <c r="AM67" s="897"/>
      <c r="AN67" s="897"/>
      <c r="AO67" s="897"/>
      <c r="AP67" s="897"/>
      <c r="AQ67" s="897"/>
      <c r="AR67" s="897"/>
      <c r="AS67" s="897"/>
      <c r="AT67" s="897"/>
      <c r="AU67" s="897"/>
      <c r="AV67" s="897"/>
      <c r="AW67" s="897"/>
      <c r="AX67" s="897"/>
      <c r="AY67" s="897"/>
      <c r="AZ67" s="897"/>
      <c r="BA67" s="897"/>
      <c r="BB67" s="897"/>
      <c r="BC67" s="897"/>
      <c r="BD67" s="897"/>
      <c r="BE67" s="897"/>
      <c r="BF67" s="897"/>
      <c r="BG67" s="897"/>
      <c r="BH67" s="897"/>
      <c r="BI67" s="897"/>
      <c r="BJ67" s="897"/>
      <c r="BK67" s="897"/>
      <c r="BL67" s="897"/>
      <c r="BM67" s="897"/>
      <c r="BN67" s="897"/>
      <c r="BP67" s="899"/>
    </row>
    <row r="68" spans="1:68" s="7" customFormat="1" ht="24.75" customHeight="1">
      <c r="A68" s="11"/>
      <c r="B68" s="11" t="s">
        <v>190</v>
      </c>
      <c r="C68" s="11"/>
      <c r="D68" s="189"/>
      <c r="E68" s="189">
        <f>E25+E63+E67</f>
        <v>62.08</v>
      </c>
      <c r="F68" s="189">
        <f>F18+F22+F23+F24+F25+F63</f>
        <v>0</v>
      </c>
      <c r="G68" s="189">
        <f>G17+G18+G22+G23+G24+G25+G63</f>
        <v>0</v>
      </c>
      <c r="H68" s="189">
        <f>H15+H16+H17+H18+H22+H23+H24+H25+H63</f>
        <v>0</v>
      </c>
      <c r="I68" s="189">
        <f>I13+I14+I15+I16+I17+I18+I22+I23+I24+I25+I63</f>
        <v>0</v>
      </c>
      <c r="J68" s="189">
        <f>J12+J14+J15+J16+J17+J18+J22+J23+J24+J25+J63</f>
        <v>0</v>
      </c>
      <c r="K68" s="189">
        <f>K12+K13+K15+K16+K17+K18+K22+K23+K24+K25+K63</f>
        <v>0</v>
      </c>
      <c r="L68" s="189">
        <f>L12+L13+L14+L16+L17+L18+L22+L23+L24+L25+L63</f>
        <v>0</v>
      </c>
      <c r="M68" s="189">
        <f>M12+M13+M14+M15+M17+M18+M22+M23+M24+M25+M63</f>
        <v>0</v>
      </c>
      <c r="N68" s="189">
        <f>N12+N13+N14+N15+N16+N18+N22+N23+N24+N25+N63</f>
        <v>0</v>
      </c>
      <c r="O68" s="189">
        <f>O9+O22+O23+O24+O25+O63</f>
        <v>0</v>
      </c>
      <c r="P68" s="189">
        <f>P10+P17+P20+P21+P22+P23+P24+P25+P63</f>
        <v>0</v>
      </c>
      <c r="Q68" s="735">
        <f>Q12+Q13+Q14+Q15+Q16+Q17+Q19+Q21+Q22+Q23+Q24+Q25+Q63</f>
        <v>0</v>
      </c>
      <c r="R68" s="735">
        <f>R12+R13+R14+R15+R16+R17+R19+R20+R22+R23+R24+R25+R63</f>
        <v>0</v>
      </c>
      <c r="S68" s="731">
        <f>S9+S18+S23+S24+S25+S63+S67</f>
        <v>66.05</v>
      </c>
      <c r="T68" s="735">
        <f>T9+T18+T22+T24+T25+T63</f>
        <v>0</v>
      </c>
      <c r="U68" s="735">
        <f>U9+U18+U22+U23+U25+U63</f>
        <v>0</v>
      </c>
      <c r="V68" s="735">
        <f>V8+V63+V67</f>
        <v>19.61</v>
      </c>
      <c r="W68" s="735">
        <f>W8+W27+W28+W29+W30+W31+W32+W33+W34+W46+W47+W48+W49+W50+W51+W52+W53+W54+W55+W56+W57+W58+W59+W60+W61+W62+W63</f>
        <v>0</v>
      </c>
      <c r="X68" s="735">
        <f>X8+X26+X28+X29+X30+X31+X32+X33+X34+X46+X47+X48+X49+X50+X51+X52+X53+X54+X55+X56+X57+X58+X59+X60+X61+X62+X63</f>
        <v>0</v>
      </c>
      <c r="Y68" s="735">
        <f>Y8+Y26+Y27+Y29+Y30+Y31+Y32+Y33+Y34+Y46+Y47+Y48+Y49+Y50+Y51+Y52+Y53+Y54+Y55+Y56+Y57+Y58+Y59+Y60+Y61+Y62+Y63</f>
        <v>0</v>
      </c>
      <c r="Z68" s="735">
        <f>Z8+Z26+Z27+Z28+Z30+Z31+Z32+Z33+Z34+Z46+Z47+Z48+Z49+Z50+Z51+Z52+Z53+Z54+Z55+Z56+Z57+Z58+Z59+Z60+Z61+Z62+Z63</f>
        <v>0</v>
      </c>
      <c r="AA68" s="735">
        <f>AA8+AA26+AA27+AA28+AA29+AA31+AA32+AA33+AA34+AA46+AA47+AA48+AA49+AA50+AA51+AA52+AA53+AA54+AA55+AA56+AA57+AA58+AA59+AA60+AA61+AA62+AA63</f>
        <v>0</v>
      </c>
      <c r="AB68" s="731">
        <f>AB8+AB26+AB27+AB28+AB29+AB30+AB32+AB33+AB34+AB46+AB47+AB48+AB49+AB50+AB51+AB52+AB53+AB54+AB55+AB56+AB57+AB58+AB59+AB60+AB61+AB62+AB63</f>
        <v>5.27</v>
      </c>
      <c r="AC68" s="735">
        <f>AC8+AC26+AC27+AC28+AC29+AC30+AC31+AC33+AC34+AC46+AC47+AC48+AC49+AC50+AC51+AC52+AC53+AC54+AC55+AC56+AC57+AC58+AC59+AC60+AC61+AC62+AC63</f>
        <v>0</v>
      </c>
      <c r="AD68" s="735">
        <f>AD8+AD26+AD27+AD28+AD29+AD30+AD31+AD32+AD34+AD46+AD47+AD48+AD49+AD50+AD51+AD52+AD53+AD54+AD55+AD56+AD57+AD58+AD59+AD60+AD61+AD62+AD63</f>
        <v>0</v>
      </c>
      <c r="AE68" s="735">
        <f>AE8+AE26+AE27+AE28+AE29+AE30+AE31+AE32+AE33+AE46+AE47+AE48+AE49+AE50+AE51+AE52+AE53+AE54+AE55+AE56+AE57+AE58+AE59+AE60+AE61+AE62+AE63+AE67</f>
        <v>18.169999999999998</v>
      </c>
      <c r="AF68" s="735">
        <f>AF8+AF26+AF27+AF28+AF29+AF30+AF31+AF32+AF33+AF3+AF36+AF37+AF38+AF39+AF40+AF41+AF42+AF43+AF44+AF45+AF46+AF47+AF48+AF49+AF50+AF51+AF52+AF53+AF54+AF55+AF56+AF57+AF58+AF59+AF60+AF61+AF62+AF63</f>
        <v>0</v>
      </c>
      <c r="AG68" s="735">
        <f>AG8+AG26+AG27+AG28+AG29+AG30+AG31+AG32+AG33+AG35+AG37+AG38+AG39+AG40+AG41+AG42+AG43+AG44+AG45+AG46+AG47+AG48+AG49+AG50+AG51+AG52+AG53+AG54+AG55+AG56+AG57+AG58+AG59+AG60+AG61+AG62+AG63</f>
        <v>0</v>
      </c>
      <c r="AH68" s="735">
        <f>AH8+AH26+AH27+AH28+AH29+AH30+AH31+AH32+AH33+AH35+AH36+AH38+AH39+AH40+AH41+AH42+AH43+AH44+AH45+AH46+AH47+AH48+AH49+AH50+AH51+AH52+AH53+AH54+AH55+AH56+AH57+AH58+AH59+AH60+AH61+AH62+AH63</f>
        <v>0</v>
      </c>
      <c r="AI68" s="735">
        <f>AI8+AI26+AI27+AI28+AI29+AI30+AI31+AI32+AI33+AI35+AI36+AI37+AI39+AI40+AI41+AI42+AI43+AI44+AI45+AI46+AI47+AI48+AI49+AI50+AI51+AI52+AI53+AI54+AI55+AI56+AI57+AI58+AI59+AI60+AI61+AI62+AI63</f>
        <v>0</v>
      </c>
      <c r="AJ68" s="735">
        <f>AJ8+AJ26+AJ27+AJ28+AJ29+AJ30+AJ31+AJ32+AJ33+AJ35+AJ36+AJ37+AJ38+AJ40+AJ41+AJ42+AJ43+AJ44+AJ45+AJ46+AJ47+AJ48+AJ49+AJ50+AJ51+AJ52+AJ53+AJ54+AJ55+AJ56+AJ57+AJ58+AJ59+AJ60+AJ61+AJ62+AJ63</f>
        <v>0</v>
      </c>
      <c r="AK68" s="735">
        <f>AK8+AK26+AK27+AK28+AK29+AK30+AK31+AK32+AK33+AK35+AK36+AK37+AK38+AK39+AK41+AK42+AK43+AK44+AK45+AK46+AK47+AK48+AK49+AK50+AK51+AK52+AK53+AK54+AK55+AK56+AK57+AK58+AK59+AK60+AK61+AK62+AK63</f>
        <v>0</v>
      </c>
      <c r="AL68" s="731">
        <f>AL8+AL26+AL27+AL28+AL29+AL30+AL31+AL32+AL33+AL35+AL36+AL37+AL38+AL39+AL40+AL42+AL43+AL44+AL45+AL46+AL47+AL48+AL49+AL50+AL51+AL52+AL53+AL54+AL55+AL56+AL57+AL58+AL59+AL60+AL61+AL62+AL63+AL67</f>
        <v>18.29</v>
      </c>
      <c r="AM68" s="731">
        <f>AM8+AM26+AM27+AM28+AM29+AM30+AM31+AM32+AM33+AM35+AM36+AM37+AM38+AM39+AM40+AM41+AM43+AM44+AM45+AM46+AM47+AM48+AM49+AM50+AM51+AM52+AM53+AM54+AM55+AM56+AM57+AM58+AM59+AM60+AM61+AM62+AM63</f>
        <v>0</v>
      </c>
      <c r="AN68" s="735">
        <f>AN8+AN26+AN27+AN28+AN29+AN30+AN31+AN32+AN33+AN35+AN36+AN37+AN38+AN39+AN40+AN41+AN42+AN44+AN45+AN46+AN47+AN48+AN49+AN50+AN51+AN52+AN53+AN54+AN55+AN56+AN57+AN58+AN59+AN60+AN61+AN62+AN63</f>
        <v>0</v>
      </c>
      <c r="AO68" s="735">
        <f>AO8+AO26+AO27+AO28+AO29+AO30+AO31+AO32+AO33+AO35+AO36+AO37+AO38+AO39+AO40+AO41+AO42+AO43+AO45+AO46+AO47+AO48+AO49+AO50+AO51+AO52+AO53+AO54+AO55+AO56+AO57+AO58+AO59+AO60+AO61+AO62+AO63</f>
        <v>0</v>
      </c>
      <c r="AP68" s="731">
        <f>AP8+AP26+AP27+AP28+AP29+AP30+AP31+AP32+AP33+AP35+AP36+AP37+AP38+AP39+AP40+AP41+AP42+AP43+AP44+AP46+AP47+AP48+AP49+AP50+AP51+AP52+AP53+AP54+AP55+AP56+AP57+AP58+AP59+AP60+AP61+AP62+AP63</f>
        <v>0</v>
      </c>
      <c r="AQ68" s="735">
        <f>AQ8+AQ26+AQ27+AQ28+AQ29+AQ30+AQ31+AQ32+AQ33+AQ34+AQ47+AQ48+AQ49+AQ50+AQ51+AQ52+AQ53+AQ54+AQ55+AQ56+AQ57+AQ58+AQ59+AQ60+AQ61+AQ62+AQ63</f>
        <v>0</v>
      </c>
      <c r="AR68" s="735">
        <f>AR8+AR26+AR27+AR28+AR29+AR30+AR31+AR32+AR33+AR34+AR46+AR48+AR49+AR50+AR51+AR52+AR53+AR54+AR55+AR56+AR57+AR58+AR59+AR60+AR61+AR62+AR63</f>
        <v>0</v>
      </c>
      <c r="AS68" s="735">
        <f>AS8+AS26+AS27+AS28+AS29+AS30+AS31+AS32+AS33+AS34+AS46+AS47+AS49+AS50+AS51+AS52+AS53+AS54+AS55+AS56+AS57+AS58+AS59+AS60+AS61+AS62+AS63</f>
        <v>1.22</v>
      </c>
      <c r="AT68" s="735">
        <f>AT8+AT26+AT27+AT28+AT29+AT30+AT31+AT32+AT33+AT34+AT46+AT47+AT48+AT50+AT51+AT52+AT53+AT54+AT55+AT56+AT57+AT58+AT59+AT60+AT61+AT62+AT63</f>
        <v>0.95000000000000007</v>
      </c>
      <c r="AU68" s="735">
        <f>AU8+AU26+AU27+AU28+AU29+AU30+AU31+AU32+AU33+AU34+AU46+AU47+AU48+AU49+AU51+AU52+AU53+AU54+AU55+AU56+AU57+AU58+AU59+AU60+AU61+AU62+AU63</f>
        <v>0</v>
      </c>
      <c r="AV68" s="735">
        <f>AV8+AV26+AV27+AV28+AV29+AV30+AV31+AV32+AV33+AV34+AV46+AV47+AV48+AV49+AV50+AV52+AV53+AV54+AV55+AV56+AV57+AV58+AV59+AV60+AV61+AV62+AV63</f>
        <v>0</v>
      </c>
      <c r="AW68" s="735">
        <f>AW8+AW26+AW27+AW28+AW29+AW30+AW31+AW32+AW33+AW34+AW46+AW47+AW48+AW49+AW50+AW51+AW53+AW54+AW55+AW56+AW57+AW58+AW59+AW60+AW61+AW62+AW63</f>
        <v>0</v>
      </c>
      <c r="AX68" s="735">
        <f>AX8+AX26+AX27+AX28+AX29+AX30+AX31+AX32+AX33+AX34+AX46+AX47+AX48+AX49+AX50+AX51+AX52+AX54+AX55+AX56+AX57+AX58+AX59+AX60+AX61+AX62+AX63</f>
        <v>0</v>
      </c>
      <c r="AY68" s="735">
        <f>AY8+AY26+AY27+AY28+AY29+AY30+AY31+AY32+AY33+AY34+AY46+AY47+AY48+AY49+AY50+AY51+AY52+AY53+AY55+AY56+AY57+AY58+AY59+AY60+AY61+AY62+AY63</f>
        <v>0</v>
      </c>
      <c r="AZ68" s="735">
        <f>AZ8+AZ26+AZ27+AZ28+AZ29+AZ30+AZ31+AZ32+AZ33+AZ34+AZ46+AZ47+AZ48+AZ49+AZ50+AZ51+AZ52+AZ53+AZ54+AZ56+AZ57+AZ58+AZ59+AZ60+AZ61+AZ62+AZ63</f>
        <v>0</v>
      </c>
      <c r="BA68" s="735">
        <f>BA8+BA26+BA27+BA28+BA29+BA30+BA31+BA32+BA33+BA34+BA46+BA47+BA48+BA49+BA50+BA51+BA52+BA53+BA54+BA55+BA57+BA58+BA59+BA60+BA61+BA62+BA63</f>
        <v>0</v>
      </c>
      <c r="BB68" s="735">
        <f>BB8+BB26+BB27+BB28+BB29+BB30+BB31+BB32+BB33+BB34+BB46+BB47+BB48+BB49+BB50+BB51+BB52+BB53+BB54+BB55+BB56+BB58+BB59+BB60+BB61+BB62+BB63</f>
        <v>0</v>
      </c>
      <c r="BC68" s="735">
        <f>BC8+BC26+BC27+BC28+BC29+BC30+BC31+BC32+BC33+BC34+BC46+BC47+BC48+BC49+BC50+BC51+BC52+BC53+BC54+BC55+BC56+BC57+BC59+BC60+BC61+BC62+BC63</f>
        <v>0</v>
      </c>
      <c r="BD68" s="735">
        <f>BD8+BD26+BD27+BD28+BD29+BD30+BD31+BD32+BD33+BD34+BD46+BD47+BD48+BD49+BD50+BD51+BD52+BD53+BD54+BD55+BD56+BD57+BD58+BD60+BD61+BD62+BD63</f>
        <v>0</v>
      </c>
      <c r="BE68" s="735">
        <f>BE8+BE26+BE27+BE28+BE29+BE30+BE31+BE32+BE33+BE34+BE46+BE47+BE48+BE49+BE50+BE51+BE52+BE53+BE54+BE55+BE56+BE57+BE58+BE59+BE61+BE62+BE63</f>
        <v>0</v>
      </c>
      <c r="BF68" s="735">
        <f>BF8+BF26+BF27+BF28+BF29+BF30+BF31+BF32+BF33+BF34+BF46+BF47+BF48+BF49+BF50+BF51+BF52+BF53+BF54+BF55+BF56+BF57+BF58+BF59+BF60+BF62+BF63</f>
        <v>0</v>
      </c>
      <c r="BG68" s="735">
        <f>BG8+BG26+BG27+BG28+BG29+BG30+BG31+BG32+BG33+BG34+BG46+BG47+BG48+BG49+BG50+BG51+BG52+BG53+BG54+BG55+BG56+BG57+BG58+BG59+BG60+BG61+BG63</f>
        <v>0</v>
      </c>
      <c r="BH68" s="189">
        <f>BH8+BH25</f>
        <v>0</v>
      </c>
      <c r="BI68" s="189">
        <f>BI8+BI25+BI65+BI66</f>
        <v>0</v>
      </c>
      <c r="BJ68" s="189">
        <f>BJ8+BJ25+BJ64+BJ66</f>
        <v>0</v>
      </c>
      <c r="BK68" s="189">
        <f>BK8+BK25+BK64+BK65</f>
        <v>0</v>
      </c>
      <c r="BL68" s="189"/>
      <c r="BM68" s="189"/>
      <c r="BN68" s="189"/>
      <c r="BP68" s="8"/>
    </row>
    <row r="69" spans="1:68" s="8" customFormat="1" ht="31.5" customHeight="1">
      <c r="A69" s="10"/>
      <c r="B69" s="10" t="s">
        <v>695</v>
      </c>
      <c r="C69" s="10"/>
      <c r="D69" s="458">
        <f>BN7</f>
        <v>6004.16</v>
      </c>
      <c r="E69" s="458">
        <f>BN8</f>
        <v>2781.46</v>
      </c>
      <c r="F69" s="458">
        <f>BN9</f>
        <v>351.2</v>
      </c>
      <c r="G69" s="458">
        <f>BN10</f>
        <v>306.48</v>
      </c>
      <c r="H69" s="458">
        <f>BN11</f>
        <v>217.68</v>
      </c>
      <c r="I69" s="458">
        <f>BN12</f>
        <v>164.66</v>
      </c>
      <c r="J69" s="458">
        <f>BN13</f>
        <v>53.02</v>
      </c>
      <c r="K69" s="458">
        <f>BN14</f>
        <v>0</v>
      </c>
      <c r="L69" s="458">
        <f>BN15</f>
        <v>0</v>
      </c>
      <c r="M69" s="458">
        <f>BN16</f>
        <v>88.8</v>
      </c>
      <c r="N69" s="458">
        <f>BN17</f>
        <v>44.72</v>
      </c>
      <c r="O69" s="458">
        <f>BN18</f>
        <v>1786.2500000000002</v>
      </c>
      <c r="P69" s="458">
        <f>BN19</f>
        <v>1778.1000000000001</v>
      </c>
      <c r="Q69" s="458">
        <f>BN20</f>
        <v>0</v>
      </c>
      <c r="R69" s="458">
        <f>BN21</f>
        <v>8.15</v>
      </c>
      <c r="S69" s="458">
        <f>BN22</f>
        <v>643.63</v>
      </c>
      <c r="T69" s="458">
        <f>BN23</f>
        <v>0</v>
      </c>
      <c r="U69" s="458">
        <f>BN24</f>
        <v>0.38</v>
      </c>
      <c r="V69" s="458">
        <f>BN25</f>
        <v>373.52</v>
      </c>
      <c r="W69" s="458">
        <f>BN26</f>
        <v>0</v>
      </c>
      <c r="X69" s="458">
        <f>BN27</f>
        <v>0</v>
      </c>
      <c r="Y69" s="458">
        <f>BN28</f>
        <v>0</v>
      </c>
      <c r="Z69" s="458">
        <f>BN29</f>
        <v>0</v>
      </c>
      <c r="AA69" s="458">
        <f>BN30</f>
        <v>0</v>
      </c>
      <c r="AB69" s="458">
        <f>BN31</f>
        <v>5.27</v>
      </c>
      <c r="AC69" s="458">
        <f>BN32</f>
        <v>1.4499999999999993</v>
      </c>
      <c r="AD69" s="458">
        <f>BN33</f>
        <v>0</v>
      </c>
      <c r="AE69" s="458">
        <f>BN34</f>
        <v>168.92</v>
      </c>
      <c r="AF69" s="458">
        <f>BN35</f>
        <v>0</v>
      </c>
      <c r="AG69" s="458">
        <f>BN36</f>
        <v>0.1</v>
      </c>
      <c r="AH69" s="458">
        <f>BN37</f>
        <v>3.66</v>
      </c>
      <c r="AI69" s="458">
        <f>BN38</f>
        <v>2.0499999999999998</v>
      </c>
      <c r="AJ69" s="458">
        <f>BN39</f>
        <v>0</v>
      </c>
      <c r="AK69" s="458">
        <f>BN40</f>
        <v>0</v>
      </c>
      <c r="AL69" s="458">
        <f>BN41</f>
        <v>65.959999999999994</v>
      </c>
      <c r="AM69" s="458">
        <f>BN42</f>
        <v>97.05</v>
      </c>
      <c r="AN69" s="458">
        <f>BN43</f>
        <v>0.06</v>
      </c>
      <c r="AO69" s="458">
        <f>BN44</f>
        <v>0.04</v>
      </c>
      <c r="AP69" s="458">
        <f>BN45</f>
        <v>0</v>
      </c>
      <c r="AQ69" s="458">
        <f>BN46</f>
        <v>7.0000000000000007E-2</v>
      </c>
      <c r="AR69" s="458">
        <f>BN47</f>
        <v>0</v>
      </c>
      <c r="AS69" s="458">
        <f>BN48</f>
        <v>1.23</v>
      </c>
      <c r="AT69" s="458">
        <f>BN49</f>
        <v>50.5</v>
      </c>
      <c r="AU69" s="458">
        <f>BN50</f>
        <v>0</v>
      </c>
      <c r="AV69" s="458">
        <f>BN51</f>
        <v>0.91</v>
      </c>
      <c r="AW69" s="458">
        <f>BN52</f>
        <v>0</v>
      </c>
      <c r="AX69" s="458">
        <f>BN53</f>
        <v>0</v>
      </c>
      <c r="AY69" s="458">
        <f>BN54</f>
        <v>0.71</v>
      </c>
      <c r="AZ69" s="458">
        <f>BN55</f>
        <v>19</v>
      </c>
      <c r="BA69" s="458">
        <f>BN56</f>
        <v>0</v>
      </c>
      <c r="BB69" s="458">
        <f>BN57</f>
        <v>0.56999999999999995</v>
      </c>
      <c r="BC69" s="458">
        <f>BN58</f>
        <v>0</v>
      </c>
      <c r="BD69" s="458">
        <f>BN59</f>
        <v>1.53</v>
      </c>
      <c r="BE69" s="458">
        <f>BN60</f>
        <v>96.1</v>
      </c>
      <c r="BF69" s="458">
        <f>BN61</f>
        <v>25.759999999999998</v>
      </c>
      <c r="BG69" s="458">
        <f>BN62</f>
        <v>1.5</v>
      </c>
      <c r="BH69" s="458">
        <f>BN63</f>
        <v>2849.18</v>
      </c>
      <c r="BI69" s="458">
        <f>BN64</f>
        <v>2845.24</v>
      </c>
      <c r="BJ69" s="458">
        <f>BN65</f>
        <v>3.94</v>
      </c>
      <c r="BK69" s="458">
        <f>BN66</f>
        <v>0</v>
      </c>
      <c r="BL69" s="458"/>
      <c r="BM69" s="458"/>
      <c r="BN69" s="458"/>
    </row>
    <row r="70" spans="1:68" ht="24.95" customHeight="1">
      <c r="AB70" s="177"/>
    </row>
    <row r="71" spans="1:68" ht="18" customHeight="1">
      <c r="A71" s="1300" t="s">
        <v>10</v>
      </c>
      <c r="B71" s="1300"/>
    </row>
    <row r="72" spans="1:68" ht="28.5" customHeight="1">
      <c r="A72" s="1300" t="s">
        <v>321</v>
      </c>
      <c r="B72" s="1300"/>
      <c r="C72" s="1300"/>
      <c r="D72" s="1300"/>
      <c r="E72" s="1300"/>
      <c r="F72" s="1300"/>
      <c r="G72" s="1300"/>
      <c r="H72" s="1300"/>
      <c r="I72" s="1300"/>
      <c r="J72" s="1300"/>
      <c r="K72" s="1300"/>
      <c r="L72" s="1300"/>
      <c r="M72" s="1300"/>
      <c r="N72" s="1300"/>
      <c r="O72" s="1300"/>
      <c r="P72" s="1300"/>
      <c r="Q72" s="1300"/>
      <c r="R72" s="1300"/>
      <c r="S72" s="1300"/>
      <c r="T72" s="1300"/>
      <c r="U72" s="1300"/>
      <c r="V72" s="1300"/>
      <c r="W72" s="1300"/>
      <c r="X72" s="1300"/>
      <c r="Y72" s="1300"/>
      <c r="Z72" s="1300"/>
      <c r="AA72" s="1300"/>
      <c r="AB72" s="1300"/>
      <c r="AC72" s="1300"/>
      <c r="AD72" s="1300"/>
      <c r="AE72" s="1300"/>
      <c r="AF72" s="1300"/>
      <c r="AG72" s="1300"/>
      <c r="AH72" s="1300"/>
      <c r="AI72" s="1300"/>
      <c r="AJ72" s="1300"/>
      <c r="AK72" s="1300"/>
      <c r="AL72" s="1300"/>
      <c r="AM72" s="1300"/>
      <c r="AN72" s="1300"/>
      <c r="AO72" s="1300"/>
      <c r="AP72" s="1300"/>
      <c r="AQ72" s="1300"/>
      <c r="AR72" s="1300"/>
      <c r="AS72" s="1300"/>
    </row>
    <row r="73" spans="1:68" ht="24.75" customHeight="1">
      <c r="A73" s="1300" t="s">
        <v>322</v>
      </c>
      <c r="B73" s="1300"/>
      <c r="C73" s="1300"/>
      <c r="D73" s="1300"/>
      <c r="E73" s="1300"/>
      <c r="F73" s="1300"/>
      <c r="G73" s="1300"/>
      <c r="H73" s="1300"/>
      <c r="I73" s="1300"/>
      <c r="J73" s="1300"/>
      <c r="K73" s="1300"/>
      <c r="L73" s="1300"/>
      <c r="M73" s="1300"/>
      <c r="N73" s="1300"/>
      <c r="O73" s="1300"/>
      <c r="P73" s="1300"/>
      <c r="Q73" s="1300"/>
      <c r="R73" s="1300"/>
      <c r="S73" s="1300"/>
      <c r="T73" s="1300"/>
      <c r="U73" s="1300"/>
      <c r="V73" s="1300"/>
      <c r="W73" s="1300"/>
      <c r="X73" s="1300"/>
      <c r="Y73" s="1300"/>
      <c r="Z73" s="1300"/>
      <c r="AA73" s="1300"/>
      <c r="AB73" s="1300"/>
      <c r="AC73" s="1300"/>
      <c r="AD73" s="1300"/>
      <c r="AE73" s="1300"/>
      <c r="AF73" s="1300"/>
      <c r="AG73" s="1300"/>
      <c r="AH73" s="1300"/>
      <c r="AI73" s="1300"/>
      <c r="AJ73" s="1300"/>
      <c r="AK73" s="1300"/>
      <c r="AL73" s="1300"/>
      <c r="AM73" s="1300"/>
      <c r="AN73" s="1300"/>
      <c r="AO73" s="1300"/>
      <c r="AP73" s="1300"/>
      <c r="AQ73" s="1300"/>
      <c r="AR73" s="1300"/>
      <c r="AS73" s="1300"/>
    </row>
    <row r="74" spans="1:68" ht="21.75" customHeight="1">
      <c r="AR74" s="1300" t="s">
        <v>138</v>
      </c>
      <c r="AS74" s="1300"/>
    </row>
    <row r="75" spans="1:68" ht="31.5" customHeight="1">
      <c r="A75" s="1300" t="s">
        <v>0</v>
      </c>
      <c r="B75" s="1300" t="s">
        <v>12</v>
      </c>
      <c r="C75" s="1302" t="s">
        <v>13</v>
      </c>
      <c r="D75" s="1300" t="s">
        <v>324</v>
      </c>
      <c r="E75" s="1300" t="s">
        <v>326</v>
      </c>
      <c r="F75" s="1300"/>
      <c r="G75" s="1300"/>
      <c r="H75" s="1300"/>
      <c r="I75" s="1300"/>
      <c r="J75" s="1300"/>
      <c r="K75" s="1300"/>
      <c r="L75" s="1300"/>
      <c r="M75" s="1300"/>
      <c r="N75" s="1300"/>
      <c r="O75" s="1300"/>
      <c r="P75" s="1300"/>
      <c r="Q75" s="1300"/>
      <c r="R75" s="1300"/>
      <c r="S75" s="1300"/>
      <c r="T75" s="1300"/>
      <c r="U75" s="1300"/>
      <c r="V75" s="1300"/>
      <c r="W75" s="1300"/>
      <c r="X75" s="1300"/>
      <c r="Y75" s="1300"/>
      <c r="Z75" s="1300"/>
      <c r="AA75" s="1300"/>
      <c r="AB75" s="1300"/>
      <c r="AC75" s="1300"/>
      <c r="AD75" s="1300"/>
      <c r="AE75" s="1300"/>
      <c r="AF75" s="1300"/>
      <c r="AG75" s="1300"/>
      <c r="AH75" s="1300"/>
      <c r="AI75" s="1300"/>
      <c r="AJ75" s="1300"/>
      <c r="AK75" s="1300"/>
      <c r="AL75" s="1300"/>
      <c r="AM75" s="1300"/>
      <c r="AN75" s="1300"/>
      <c r="AO75" s="1300"/>
      <c r="AP75" s="1300"/>
      <c r="AQ75" s="1300"/>
      <c r="AR75" s="1300" t="s">
        <v>191</v>
      </c>
      <c r="AS75" s="1300" t="s">
        <v>323</v>
      </c>
    </row>
    <row r="76" spans="1:68" ht="30" customHeight="1">
      <c r="A76" s="1300"/>
      <c r="B76" s="1300"/>
      <c r="C76" s="1302"/>
      <c r="D76" s="1300"/>
      <c r="E76" t="s">
        <v>15</v>
      </c>
      <c r="F76" t="s">
        <v>18</v>
      </c>
      <c r="G76" t="s">
        <v>20</v>
      </c>
      <c r="H76" t="s">
        <v>23</v>
      </c>
      <c r="I76" t="s">
        <v>26</v>
      </c>
      <c r="J76" t="s">
        <v>29</v>
      </c>
      <c r="K76" t="s">
        <v>32</v>
      </c>
      <c r="L76" t="s">
        <v>35</v>
      </c>
      <c r="M76" t="s">
        <v>38</v>
      </c>
      <c r="N76" t="s">
        <v>41</v>
      </c>
      <c r="O76" t="s">
        <v>44</v>
      </c>
      <c r="P76" t="s">
        <v>46</v>
      </c>
      <c r="Q76" t="s">
        <v>49</v>
      </c>
      <c r="R76" t="s">
        <v>52</v>
      </c>
      <c r="S76" t="s">
        <v>55</v>
      </c>
      <c r="T76" t="s">
        <v>58</v>
      </c>
      <c r="U76" t="s">
        <v>61</v>
      </c>
      <c r="V76" t="s">
        <v>64</v>
      </c>
      <c r="W76" t="s">
        <v>67</v>
      </c>
      <c r="X76" t="s">
        <v>70</v>
      </c>
      <c r="Y76" t="s">
        <v>72</v>
      </c>
      <c r="Z76" t="s">
        <v>75</v>
      </c>
      <c r="AA76" t="s">
        <v>78</v>
      </c>
      <c r="AB76" t="s">
        <v>81</v>
      </c>
      <c r="AC76" t="s">
        <v>84</v>
      </c>
      <c r="AD76" t="s">
        <v>87</v>
      </c>
      <c r="AE76" t="s">
        <v>90</v>
      </c>
      <c r="AF76" t="s">
        <v>93</v>
      </c>
      <c r="AG76" t="s">
        <v>96</v>
      </c>
      <c r="AH76" t="s">
        <v>99</v>
      </c>
      <c r="AI76" t="s">
        <v>101</v>
      </c>
      <c r="AJ76" t="s">
        <v>104</v>
      </c>
      <c r="AK76" t="s">
        <v>107</v>
      </c>
      <c r="AL76" t="s">
        <v>110</v>
      </c>
      <c r="AM76" t="s">
        <v>113</v>
      </c>
      <c r="AN76" t="s">
        <v>116</v>
      </c>
      <c r="AO76" t="s">
        <v>119</v>
      </c>
      <c r="AP76" t="s">
        <v>122</v>
      </c>
      <c r="AQ76" t="s">
        <v>124</v>
      </c>
      <c r="AR76" s="1300"/>
      <c r="AS76" s="1300"/>
    </row>
    <row r="77" spans="1:68" ht="27.75" customHeight="1">
      <c r="B77" t="s">
        <v>189</v>
      </c>
      <c r="D77">
        <f>D78+D89+D116</f>
        <v>5982.15</v>
      </c>
      <c r="E77">
        <f t="shared" ref="E77:AS77" si="33">E78+E89+E116</f>
        <v>2761.9</v>
      </c>
      <c r="F77">
        <f t="shared" si="33"/>
        <v>217.68</v>
      </c>
      <c r="G77">
        <f t="shared" si="33"/>
        <v>0</v>
      </c>
      <c r="H77">
        <f t="shared" si="33"/>
        <v>88.8</v>
      </c>
      <c r="I77">
        <f t="shared" si="33"/>
        <v>44.72</v>
      </c>
      <c r="J77">
        <f>J78+J89+J116</f>
        <v>1783.71</v>
      </c>
      <c r="K77">
        <f t="shared" si="33"/>
        <v>0</v>
      </c>
      <c r="L77">
        <f t="shared" si="33"/>
        <v>2.5400000000000009</v>
      </c>
      <c r="M77">
        <f t="shared" si="33"/>
        <v>624.07000000000005</v>
      </c>
      <c r="N77">
        <f t="shared" si="33"/>
        <v>0</v>
      </c>
      <c r="O77">
        <f t="shared" si="33"/>
        <v>0.38</v>
      </c>
      <c r="P77">
        <f t="shared" si="33"/>
        <v>371.06999999999994</v>
      </c>
      <c r="Q77">
        <f t="shared" si="33"/>
        <v>0</v>
      </c>
      <c r="R77">
        <f t="shared" si="33"/>
        <v>0</v>
      </c>
      <c r="S77">
        <f t="shared" si="33"/>
        <v>0</v>
      </c>
      <c r="T77">
        <f t="shared" si="33"/>
        <v>0</v>
      </c>
      <c r="U77">
        <f t="shared" si="33"/>
        <v>0</v>
      </c>
      <c r="V77">
        <f t="shared" si="33"/>
        <v>5.2700000000000005</v>
      </c>
      <c r="W77">
        <f t="shared" si="33"/>
        <v>1.4499999999999993</v>
      </c>
      <c r="X77">
        <f t="shared" si="33"/>
        <v>0</v>
      </c>
      <c r="Y77">
        <f t="shared" si="33"/>
        <v>166.46999999999997</v>
      </c>
      <c r="Z77">
        <f t="shared" si="33"/>
        <v>7.0000000000000007E-2</v>
      </c>
      <c r="AA77">
        <f t="shared" si="33"/>
        <v>0</v>
      </c>
      <c r="AB77">
        <f t="shared" si="33"/>
        <v>1.23</v>
      </c>
      <c r="AC77">
        <f t="shared" si="33"/>
        <v>50.499999999999993</v>
      </c>
      <c r="AD77">
        <f t="shared" si="33"/>
        <v>0</v>
      </c>
      <c r="AE77">
        <f t="shared" si="33"/>
        <v>0.91</v>
      </c>
      <c r="AF77">
        <f t="shared" si="33"/>
        <v>0</v>
      </c>
      <c r="AG77">
        <f t="shared" si="33"/>
        <v>0</v>
      </c>
      <c r="AH77">
        <f t="shared" si="33"/>
        <v>0.71</v>
      </c>
      <c r="AI77">
        <f t="shared" si="33"/>
        <v>19</v>
      </c>
      <c r="AJ77">
        <f t="shared" si="33"/>
        <v>0</v>
      </c>
      <c r="AK77">
        <f t="shared" si="33"/>
        <v>0.56999999999999995</v>
      </c>
      <c r="AL77">
        <f t="shared" si="33"/>
        <v>0</v>
      </c>
      <c r="AM77">
        <f t="shared" si="33"/>
        <v>1.53</v>
      </c>
      <c r="AN77">
        <f t="shared" si="33"/>
        <v>96.1</v>
      </c>
      <c r="AO77">
        <f t="shared" si="33"/>
        <v>25.759999999999998</v>
      </c>
      <c r="AP77">
        <f t="shared" si="33"/>
        <v>1.5</v>
      </c>
      <c r="AQ77">
        <f t="shared" si="33"/>
        <v>4.75</v>
      </c>
      <c r="AS77">
        <f t="shared" si="33"/>
        <v>5982.15</v>
      </c>
    </row>
    <row r="78" spans="1:68" ht="20.25" customHeight="1">
      <c r="A78">
        <v>1</v>
      </c>
      <c r="B78" t="s">
        <v>14</v>
      </c>
      <c r="C78" s="105" t="s">
        <v>15</v>
      </c>
      <c r="D78">
        <f>D79+D81+D82+D83+D84+D85+D86+D87+D88</f>
        <v>2732.84</v>
      </c>
      <c r="E78">
        <f t="shared" ref="E78:AS78" si="34">E79+E81+E82+E83+E84+E85+E86+E87+E88</f>
        <v>2719.38</v>
      </c>
      <c r="F78">
        <f t="shared" si="34"/>
        <v>217.68</v>
      </c>
      <c r="G78">
        <f t="shared" si="34"/>
        <v>0</v>
      </c>
      <c r="H78">
        <f t="shared" si="34"/>
        <v>88.8</v>
      </c>
      <c r="I78">
        <f t="shared" si="34"/>
        <v>44.72</v>
      </c>
      <c r="J78">
        <f t="shared" si="34"/>
        <v>1783.71</v>
      </c>
      <c r="K78">
        <f t="shared" si="34"/>
        <v>0</v>
      </c>
      <c r="L78">
        <f t="shared" si="34"/>
        <v>2.5400000000000009</v>
      </c>
      <c r="M78">
        <f t="shared" si="34"/>
        <v>581.55000000000007</v>
      </c>
      <c r="N78">
        <f t="shared" si="34"/>
        <v>0</v>
      </c>
      <c r="O78">
        <f t="shared" si="34"/>
        <v>0.38</v>
      </c>
      <c r="P78">
        <f>P79+P81+P82+P83+P84+P85+P86+P87+P88</f>
        <v>13.46</v>
      </c>
      <c r="Q78">
        <f t="shared" si="34"/>
        <v>0</v>
      </c>
      <c r="R78">
        <f t="shared" si="34"/>
        <v>0</v>
      </c>
      <c r="S78">
        <f t="shared" si="34"/>
        <v>0</v>
      </c>
      <c r="T78">
        <f t="shared" si="34"/>
        <v>0</v>
      </c>
      <c r="U78">
        <f t="shared" si="34"/>
        <v>0</v>
      </c>
      <c r="V78">
        <f t="shared" si="34"/>
        <v>0.04</v>
      </c>
      <c r="W78">
        <f t="shared" si="34"/>
        <v>0</v>
      </c>
      <c r="X78">
        <f t="shared" si="34"/>
        <v>0</v>
      </c>
      <c r="Y78">
        <f t="shared" si="34"/>
        <v>12.53</v>
      </c>
      <c r="Z78">
        <f t="shared" si="34"/>
        <v>0</v>
      </c>
      <c r="AA78">
        <f t="shared" si="34"/>
        <v>0</v>
      </c>
      <c r="AB78">
        <f t="shared" si="34"/>
        <v>0.09</v>
      </c>
      <c r="AC78">
        <f t="shared" si="34"/>
        <v>0.8</v>
      </c>
      <c r="AD78">
        <f t="shared" si="34"/>
        <v>0</v>
      </c>
      <c r="AE78">
        <f t="shared" si="34"/>
        <v>0</v>
      </c>
      <c r="AF78">
        <f t="shared" si="34"/>
        <v>0</v>
      </c>
      <c r="AG78">
        <f t="shared" si="34"/>
        <v>0</v>
      </c>
      <c r="AH78">
        <f t="shared" si="34"/>
        <v>0</v>
      </c>
      <c r="AI78">
        <f t="shared" si="34"/>
        <v>0</v>
      </c>
      <c r="AJ78">
        <f t="shared" si="34"/>
        <v>0</v>
      </c>
      <c r="AK78">
        <f t="shared" si="34"/>
        <v>0</v>
      </c>
      <c r="AL78">
        <f t="shared" si="34"/>
        <v>0</v>
      </c>
      <c r="AM78">
        <f t="shared" si="34"/>
        <v>0</v>
      </c>
      <c r="AN78">
        <f t="shared" si="34"/>
        <v>0</v>
      </c>
      <c r="AO78">
        <f t="shared" si="34"/>
        <v>0</v>
      </c>
      <c r="AP78">
        <f t="shared" si="34"/>
        <v>0</v>
      </c>
      <c r="AQ78">
        <f t="shared" si="34"/>
        <v>0</v>
      </c>
      <c r="AR78">
        <f>P78</f>
        <v>13.46</v>
      </c>
      <c r="AS78">
        <f t="shared" si="34"/>
        <v>2761.9</v>
      </c>
    </row>
    <row r="79" spans="1:68" ht="20.25" customHeight="1">
      <c r="A79" t="s">
        <v>16</v>
      </c>
      <c r="B79" t="s">
        <v>17</v>
      </c>
      <c r="C79" s="105" t="s">
        <v>18</v>
      </c>
      <c r="D79">
        <f>D11</f>
        <v>223.16</v>
      </c>
      <c r="E79">
        <f>F79+H79+I79+J79+K79+L79+M79+N79+O79</f>
        <v>219.46</v>
      </c>
      <c r="F79">
        <f>D79-AR79</f>
        <v>217.68</v>
      </c>
      <c r="G79">
        <f>I13</f>
        <v>0</v>
      </c>
      <c r="H79">
        <f>M11</f>
        <v>0</v>
      </c>
      <c r="I79">
        <f>N11</f>
        <v>0</v>
      </c>
      <c r="J79">
        <f t="shared" ref="J79:O80" si="35">P11</f>
        <v>0</v>
      </c>
      <c r="K79">
        <f t="shared" si="35"/>
        <v>0</v>
      </c>
      <c r="L79">
        <f t="shared" si="35"/>
        <v>0</v>
      </c>
      <c r="M79">
        <f t="shared" si="35"/>
        <v>1.78</v>
      </c>
      <c r="N79">
        <f t="shared" si="35"/>
        <v>0</v>
      </c>
      <c r="O79">
        <f t="shared" si="35"/>
        <v>0</v>
      </c>
      <c r="P79">
        <f>SUM(Q79:AP79)</f>
        <v>3.7</v>
      </c>
      <c r="Q79">
        <f t="shared" ref="Q79:Y80" si="36">W11</f>
        <v>0</v>
      </c>
      <c r="R79">
        <f t="shared" si="36"/>
        <v>0</v>
      </c>
      <c r="S79">
        <f t="shared" si="36"/>
        <v>0</v>
      </c>
      <c r="T79">
        <f t="shared" si="36"/>
        <v>0</v>
      </c>
      <c r="U79">
        <f t="shared" si="36"/>
        <v>0</v>
      </c>
      <c r="V79">
        <f t="shared" si="36"/>
        <v>0</v>
      </c>
      <c r="W79">
        <f t="shared" si="36"/>
        <v>0</v>
      </c>
      <c r="X79">
        <f t="shared" si="36"/>
        <v>0</v>
      </c>
      <c r="Y79">
        <f t="shared" si="36"/>
        <v>3.7</v>
      </c>
      <c r="Z79">
        <f t="shared" ref="Z79:AI80" si="37">AQ11</f>
        <v>0</v>
      </c>
      <c r="AA79">
        <f t="shared" si="37"/>
        <v>0</v>
      </c>
      <c r="AB79">
        <f t="shared" si="37"/>
        <v>0</v>
      </c>
      <c r="AC79">
        <f t="shared" si="37"/>
        <v>0</v>
      </c>
      <c r="AD79">
        <f t="shared" si="37"/>
        <v>0</v>
      </c>
      <c r="AE79">
        <f t="shared" si="37"/>
        <v>0</v>
      </c>
      <c r="AF79">
        <f t="shared" si="37"/>
        <v>0</v>
      </c>
      <c r="AG79">
        <f t="shared" si="37"/>
        <v>0</v>
      </c>
      <c r="AH79">
        <f t="shared" si="37"/>
        <v>0</v>
      </c>
      <c r="AI79">
        <f t="shared" si="37"/>
        <v>0</v>
      </c>
      <c r="AJ79">
        <f t="shared" ref="AJ79:AQ80" si="38">BA11</f>
        <v>0</v>
      </c>
      <c r="AK79">
        <f t="shared" si="38"/>
        <v>0</v>
      </c>
      <c r="AL79">
        <f t="shared" si="38"/>
        <v>0</v>
      </c>
      <c r="AM79">
        <f t="shared" si="38"/>
        <v>0</v>
      </c>
      <c r="AN79">
        <f t="shared" si="38"/>
        <v>0</v>
      </c>
      <c r="AO79">
        <f t="shared" si="38"/>
        <v>0</v>
      </c>
      <c r="AP79">
        <f t="shared" si="38"/>
        <v>0</v>
      </c>
      <c r="AQ79">
        <f t="shared" si="38"/>
        <v>0</v>
      </c>
      <c r="AR79">
        <f>H79+I79+J79+K79+L79+M79+N79+O79+P79+AQ79</f>
        <v>5.48</v>
      </c>
      <c r="AS79">
        <f>D79+F117-AR79</f>
        <v>217.68</v>
      </c>
    </row>
    <row r="80" spans="1:68" ht="20.25" customHeight="1">
      <c r="B80" t="s">
        <v>19</v>
      </c>
      <c r="C80" s="105" t="s">
        <v>20</v>
      </c>
      <c r="D80">
        <f>D12</f>
        <v>168.84</v>
      </c>
      <c r="E80">
        <f t="shared" ref="E80:E115" si="39">F80+H80+I80+J80+K80+L80+M80+N80+O80</f>
        <v>0.85</v>
      </c>
      <c r="G80">
        <f>D80-AR80</f>
        <v>164.66</v>
      </c>
      <c r="H80">
        <f>M12</f>
        <v>0</v>
      </c>
      <c r="I80">
        <f>N12</f>
        <v>0</v>
      </c>
      <c r="J80">
        <f t="shared" si="35"/>
        <v>0</v>
      </c>
      <c r="K80">
        <f t="shared" si="35"/>
        <v>0</v>
      </c>
      <c r="L80">
        <f t="shared" si="35"/>
        <v>0</v>
      </c>
      <c r="M80">
        <f t="shared" si="35"/>
        <v>0.85</v>
      </c>
      <c r="N80">
        <f t="shared" si="35"/>
        <v>0</v>
      </c>
      <c r="O80">
        <f t="shared" si="35"/>
        <v>0</v>
      </c>
      <c r="P80">
        <f t="shared" ref="P80:P88" si="40">SUM(Q80:AP80)</f>
        <v>3.33</v>
      </c>
      <c r="Q80">
        <f t="shared" si="36"/>
        <v>0</v>
      </c>
      <c r="R80">
        <f t="shared" si="36"/>
        <v>0</v>
      </c>
      <c r="S80">
        <f t="shared" si="36"/>
        <v>0</v>
      </c>
      <c r="T80">
        <f t="shared" si="36"/>
        <v>0</v>
      </c>
      <c r="U80">
        <f t="shared" si="36"/>
        <v>0</v>
      </c>
      <c r="V80">
        <f t="shared" si="36"/>
        <v>0</v>
      </c>
      <c r="W80">
        <f t="shared" si="36"/>
        <v>0</v>
      </c>
      <c r="X80">
        <f t="shared" si="36"/>
        <v>0</v>
      </c>
      <c r="Y80">
        <f t="shared" si="36"/>
        <v>3.33</v>
      </c>
      <c r="Z80">
        <f t="shared" si="37"/>
        <v>0</v>
      </c>
      <c r="AA80">
        <f t="shared" si="37"/>
        <v>0</v>
      </c>
      <c r="AB80">
        <f t="shared" si="37"/>
        <v>0</v>
      </c>
      <c r="AC80">
        <f t="shared" si="37"/>
        <v>0</v>
      </c>
      <c r="AD80">
        <f t="shared" si="37"/>
        <v>0</v>
      </c>
      <c r="AE80">
        <f t="shared" si="37"/>
        <v>0</v>
      </c>
      <c r="AF80">
        <f t="shared" si="37"/>
        <v>0</v>
      </c>
      <c r="AG80">
        <f t="shared" si="37"/>
        <v>0</v>
      </c>
      <c r="AH80">
        <f t="shared" si="37"/>
        <v>0</v>
      </c>
      <c r="AI80">
        <f t="shared" si="37"/>
        <v>0</v>
      </c>
      <c r="AJ80">
        <f t="shared" si="38"/>
        <v>0</v>
      </c>
      <c r="AK80">
        <f t="shared" si="38"/>
        <v>0</v>
      </c>
      <c r="AL80">
        <f t="shared" si="38"/>
        <v>0</v>
      </c>
      <c r="AM80">
        <f t="shared" si="38"/>
        <v>0</v>
      </c>
      <c r="AN80">
        <f t="shared" si="38"/>
        <v>0</v>
      </c>
      <c r="AO80">
        <f t="shared" si="38"/>
        <v>0</v>
      </c>
      <c r="AP80">
        <f t="shared" si="38"/>
        <v>0</v>
      </c>
      <c r="AQ80">
        <f t="shared" si="38"/>
        <v>0</v>
      </c>
      <c r="AR80">
        <f>F80+H80+I80+J80+K80+L80+M80+N80+O80+P80</f>
        <v>4.18</v>
      </c>
      <c r="AS80">
        <f>D80+G117-AR80</f>
        <v>164.66</v>
      </c>
    </row>
    <row r="81" spans="1:45" ht="20.25" customHeight="1">
      <c r="A81" t="s">
        <v>21</v>
      </c>
      <c r="B81" t="s">
        <v>22</v>
      </c>
      <c r="C81" s="105" t="s">
        <v>23</v>
      </c>
      <c r="D81">
        <f>D16</f>
        <v>92.42</v>
      </c>
      <c r="E81">
        <f t="shared" si="39"/>
        <v>90.98</v>
      </c>
      <c r="F81">
        <f>H16</f>
        <v>0</v>
      </c>
      <c r="G81">
        <f>I16</f>
        <v>0</v>
      </c>
      <c r="H81">
        <f>D81-AR81</f>
        <v>88.8</v>
      </c>
      <c r="I81">
        <f>N16</f>
        <v>0</v>
      </c>
      <c r="J81">
        <f t="shared" ref="J81:O82" si="41">P16</f>
        <v>0</v>
      </c>
      <c r="K81">
        <f t="shared" si="41"/>
        <v>0</v>
      </c>
      <c r="L81">
        <f t="shared" si="41"/>
        <v>0</v>
      </c>
      <c r="M81">
        <f t="shared" si="41"/>
        <v>2.1800000000000002</v>
      </c>
      <c r="N81">
        <f t="shared" si="41"/>
        <v>0</v>
      </c>
      <c r="O81">
        <f t="shared" si="41"/>
        <v>0</v>
      </c>
      <c r="P81">
        <f t="shared" si="40"/>
        <v>1.44</v>
      </c>
      <c r="Q81">
        <f t="shared" ref="Q81:Y82" si="42">W16</f>
        <v>0</v>
      </c>
      <c r="R81">
        <f t="shared" si="42"/>
        <v>0</v>
      </c>
      <c r="S81">
        <f t="shared" si="42"/>
        <v>0</v>
      </c>
      <c r="T81">
        <f t="shared" si="42"/>
        <v>0</v>
      </c>
      <c r="U81">
        <f t="shared" si="42"/>
        <v>0</v>
      </c>
      <c r="V81">
        <f t="shared" si="42"/>
        <v>0.04</v>
      </c>
      <c r="W81">
        <f t="shared" si="42"/>
        <v>0</v>
      </c>
      <c r="X81">
        <f t="shared" si="42"/>
        <v>0</v>
      </c>
      <c r="Y81">
        <f t="shared" si="42"/>
        <v>1.4</v>
      </c>
      <c r="Z81">
        <f t="shared" ref="Z81:AI82" si="43">AQ16</f>
        <v>0</v>
      </c>
      <c r="AA81">
        <f t="shared" si="43"/>
        <v>0</v>
      </c>
      <c r="AB81">
        <f t="shared" si="43"/>
        <v>0</v>
      </c>
      <c r="AC81">
        <f t="shared" si="43"/>
        <v>0</v>
      </c>
      <c r="AD81">
        <f t="shared" si="43"/>
        <v>0</v>
      </c>
      <c r="AE81">
        <f t="shared" si="43"/>
        <v>0</v>
      </c>
      <c r="AF81">
        <f t="shared" si="43"/>
        <v>0</v>
      </c>
      <c r="AG81">
        <f t="shared" si="43"/>
        <v>0</v>
      </c>
      <c r="AH81">
        <f t="shared" si="43"/>
        <v>0</v>
      </c>
      <c r="AI81">
        <f t="shared" si="43"/>
        <v>0</v>
      </c>
      <c r="AJ81">
        <f t="shared" ref="AJ81:AQ82" si="44">BA16</f>
        <v>0</v>
      </c>
      <c r="AK81">
        <f t="shared" si="44"/>
        <v>0</v>
      </c>
      <c r="AL81">
        <f t="shared" si="44"/>
        <v>0</v>
      </c>
      <c r="AM81">
        <f t="shared" si="44"/>
        <v>0</v>
      </c>
      <c r="AN81">
        <f t="shared" si="44"/>
        <v>0</v>
      </c>
      <c r="AO81">
        <f t="shared" si="44"/>
        <v>0</v>
      </c>
      <c r="AP81">
        <f t="shared" si="44"/>
        <v>0</v>
      </c>
      <c r="AQ81">
        <f t="shared" si="44"/>
        <v>0</v>
      </c>
      <c r="AR81">
        <f>F81+I81+J81+K81+L81+M81+N81+O81+P81</f>
        <v>3.62</v>
      </c>
      <c r="AS81">
        <f>D81+H117-AR81</f>
        <v>88.8</v>
      </c>
    </row>
    <row r="82" spans="1:45" ht="20.25" customHeight="1">
      <c r="A82" t="s">
        <v>24</v>
      </c>
      <c r="B82" t="s">
        <v>25</v>
      </c>
      <c r="C82" s="105" t="s">
        <v>26</v>
      </c>
      <c r="D82">
        <f>D17</f>
        <v>45.79</v>
      </c>
      <c r="E82">
        <f t="shared" si="39"/>
        <v>44.73</v>
      </c>
      <c r="F82">
        <f>H17</f>
        <v>0</v>
      </c>
      <c r="G82">
        <f>I17</f>
        <v>0</v>
      </c>
      <c r="H82">
        <f>M17</f>
        <v>0</v>
      </c>
      <c r="I82">
        <f>D82-AR82</f>
        <v>44.72</v>
      </c>
      <c r="J82">
        <f t="shared" si="41"/>
        <v>0</v>
      </c>
      <c r="K82">
        <f t="shared" si="41"/>
        <v>0</v>
      </c>
      <c r="L82">
        <f t="shared" si="41"/>
        <v>0</v>
      </c>
      <c r="M82">
        <f t="shared" si="41"/>
        <v>0.01</v>
      </c>
      <c r="N82">
        <f t="shared" si="41"/>
        <v>0</v>
      </c>
      <c r="O82">
        <f t="shared" si="41"/>
        <v>0</v>
      </c>
      <c r="P82">
        <f t="shared" si="40"/>
        <v>1.06</v>
      </c>
      <c r="Q82">
        <f t="shared" si="42"/>
        <v>0</v>
      </c>
      <c r="R82">
        <f t="shared" si="42"/>
        <v>0</v>
      </c>
      <c r="S82">
        <f t="shared" si="42"/>
        <v>0</v>
      </c>
      <c r="T82">
        <f t="shared" si="42"/>
        <v>0</v>
      </c>
      <c r="U82">
        <f t="shared" si="42"/>
        <v>0</v>
      </c>
      <c r="V82">
        <f t="shared" si="42"/>
        <v>0</v>
      </c>
      <c r="W82">
        <f t="shared" si="42"/>
        <v>0</v>
      </c>
      <c r="X82">
        <f t="shared" si="42"/>
        <v>0</v>
      </c>
      <c r="Y82">
        <f t="shared" si="42"/>
        <v>0.26</v>
      </c>
      <c r="Z82">
        <f t="shared" si="43"/>
        <v>0</v>
      </c>
      <c r="AA82">
        <f t="shared" si="43"/>
        <v>0</v>
      </c>
      <c r="AB82">
        <f t="shared" si="43"/>
        <v>0</v>
      </c>
      <c r="AC82">
        <f t="shared" si="43"/>
        <v>0.8</v>
      </c>
      <c r="AD82">
        <f t="shared" si="43"/>
        <v>0</v>
      </c>
      <c r="AE82">
        <f t="shared" si="43"/>
        <v>0</v>
      </c>
      <c r="AF82">
        <f t="shared" si="43"/>
        <v>0</v>
      </c>
      <c r="AG82">
        <f t="shared" si="43"/>
        <v>0</v>
      </c>
      <c r="AH82">
        <f t="shared" si="43"/>
        <v>0</v>
      </c>
      <c r="AI82">
        <f t="shared" si="43"/>
        <v>0</v>
      </c>
      <c r="AJ82">
        <f t="shared" si="44"/>
        <v>0</v>
      </c>
      <c r="AK82">
        <f t="shared" si="44"/>
        <v>0</v>
      </c>
      <c r="AL82">
        <f t="shared" si="44"/>
        <v>0</v>
      </c>
      <c r="AM82">
        <f t="shared" si="44"/>
        <v>0</v>
      </c>
      <c r="AN82">
        <f t="shared" si="44"/>
        <v>0</v>
      </c>
      <c r="AO82">
        <f t="shared" si="44"/>
        <v>0</v>
      </c>
      <c r="AP82">
        <f t="shared" si="44"/>
        <v>0</v>
      </c>
      <c r="AQ82">
        <f t="shared" si="44"/>
        <v>0</v>
      </c>
      <c r="AR82">
        <f>F82+H82+J82+K82+L82+M82+N82+O82+P82</f>
        <v>1.07</v>
      </c>
      <c r="AS82">
        <f>D82+I117-AR82</f>
        <v>44.72</v>
      </c>
    </row>
    <row r="83" spans="1:45" ht="20.25" customHeight="1">
      <c r="A83" t="s">
        <v>27</v>
      </c>
      <c r="B83" t="s">
        <v>28</v>
      </c>
      <c r="C83" s="105" t="s">
        <v>29</v>
      </c>
      <c r="D83">
        <f t="shared" ref="D83:D88" si="45">D19</f>
        <v>1783.71</v>
      </c>
      <c r="E83">
        <f t="shared" si="39"/>
        <v>1783.71</v>
      </c>
      <c r="F83">
        <f>H20</f>
        <v>0</v>
      </c>
      <c r="G83">
        <f>I20</f>
        <v>0</v>
      </c>
      <c r="H83">
        <f>M20</f>
        <v>0</v>
      </c>
      <c r="I83">
        <f>N20</f>
        <v>0</v>
      </c>
      <c r="J83">
        <f>D83-AR83</f>
        <v>1783.71</v>
      </c>
      <c r="K83">
        <f>Q19</f>
        <v>0</v>
      </c>
      <c r="L83">
        <f>R19</f>
        <v>0</v>
      </c>
      <c r="M83">
        <f t="shared" ref="M83:O84" si="46">S20</f>
        <v>0</v>
      </c>
      <c r="N83">
        <f t="shared" si="46"/>
        <v>0</v>
      </c>
      <c r="O83">
        <f t="shared" si="46"/>
        <v>0</v>
      </c>
      <c r="P83">
        <f t="shared" si="40"/>
        <v>0</v>
      </c>
      <c r="Q83">
        <f>W20</f>
        <v>0</v>
      </c>
      <c r="R83">
        <f>X20</f>
        <v>0</v>
      </c>
      <c r="S83">
        <f>Z20</f>
        <v>0</v>
      </c>
      <c r="T83">
        <f t="shared" ref="T83:Y84" si="47">Z20</f>
        <v>0</v>
      </c>
      <c r="U83">
        <f t="shared" si="47"/>
        <v>0</v>
      </c>
      <c r="V83">
        <f t="shared" si="47"/>
        <v>0</v>
      </c>
      <c r="W83">
        <f t="shared" si="47"/>
        <v>0</v>
      </c>
      <c r="X83">
        <f t="shared" si="47"/>
        <v>0</v>
      </c>
      <c r="Y83">
        <f t="shared" si="47"/>
        <v>0</v>
      </c>
      <c r="Z83">
        <f t="shared" ref="Z83:AI84" si="48">AQ20</f>
        <v>0</v>
      </c>
      <c r="AA83">
        <f t="shared" si="48"/>
        <v>0</v>
      </c>
      <c r="AB83">
        <f t="shared" si="48"/>
        <v>0</v>
      </c>
      <c r="AC83">
        <f t="shared" si="48"/>
        <v>0</v>
      </c>
      <c r="AD83">
        <f t="shared" si="48"/>
        <v>0</v>
      </c>
      <c r="AE83">
        <f t="shared" si="48"/>
        <v>0</v>
      </c>
      <c r="AF83">
        <f t="shared" si="48"/>
        <v>0</v>
      </c>
      <c r="AG83">
        <f t="shared" si="48"/>
        <v>0</v>
      </c>
      <c r="AH83">
        <f t="shared" si="48"/>
        <v>0</v>
      </c>
      <c r="AI83">
        <f t="shared" si="48"/>
        <v>0</v>
      </c>
      <c r="AJ83">
        <f t="shared" ref="AJ83:AQ84" si="49">BA20</f>
        <v>0</v>
      </c>
      <c r="AK83">
        <f t="shared" si="49"/>
        <v>0</v>
      </c>
      <c r="AL83">
        <f t="shared" si="49"/>
        <v>0</v>
      </c>
      <c r="AM83">
        <f t="shared" si="49"/>
        <v>0</v>
      </c>
      <c r="AN83">
        <f t="shared" si="49"/>
        <v>0</v>
      </c>
      <c r="AO83">
        <f t="shared" si="49"/>
        <v>0</v>
      </c>
      <c r="AP83">
        <f t="shared" si="49"/>
        <v>0</v>
      </c>
      <c r="AQ83">
        <f t="shared" si="49"/>
        <v>0</v>
      </c>
      <c r="AR83">
        <f>F83+H83+I83+K83+L83+M83+N83+O83+P83</f>
        <v>0</v>
      </c>
      <c r="AS83">
        <f>D83+J117-AR83</f>
        <v>1783.71</v>
      </c>
    </row>
    <row r="84" spans="1:45" ht="20.25" customHeight="1">
      <c r="A84" t="s">
        <v>30</v>
      </c>
      <c r="B84" t="s">
        <v>31</v>
      </c>
      <c r="C84" s="105" t="s">
        <v>32</v>
      </c>
      <c r="D84">
        <f t="shared" si="45"/>
        <v>0</v>
      </c>
      <c r="E84">
        <f t="shared" si="39"/>
        <v>0</v>
      </c>
      <c r="F84">
        <f>H21</f>
        <v>0</v>
      </c>
      <c r="G84">
        <f>I21</f>
        <v>0</v>
      </c>
      <c r="H84">
        <f>M21</f>
        <v>0</v>
      </c>
      <c r="I84">
        <f>N21</f>
        <v>0</v>
      </c>
      <c r="J84">
        <f>P20</f>
        <v>0</v>
      </c>
      <c r="K84">
        <f>D84-AR84</f>
        <v>0</v>
      </c>
      <c r="L84">
        <f>R20</f>
        <v>0</v>
      </c>
      <c r="M84">
        <f t="shared" si="46"/>
        <v>0</v>
      </c>
      <c r="N84">
        <f t="shared" si="46"/>
        <v>0</v>
      </c>
      <c r="O84">
        <f t="shared" si="46"/>
        <v>0</v>
      </c>
      <c r="P84">
        <f t="shared" si="40"/>
        <v>0</v>
      </c>
      <c r="Q84">
        <f>W21</f>
        <v>0</v>
      </c>
      <c r="R84">
        <f>X21</f>
        <v>0</v>
      </c>
      <c r="S84">
        <f>Z21</f>
        <v>0</v>
      </c>
      <c r="T84">
        <f t="shared" si="47"/>
        <v>0</v>
      </c>
      <c r="U84">
        <f t="shared" si="47"/>
        <v>0</v>
      </c>
      <c r="V84">
        <f t="shared" si="47"/>
        <v>0</v>
      </c>
      <c r="W84">
        <f t="shared" si="47"/>
        <v>0</v>
      </c>
      <c r="X84">
        <f t="shared" si="47"/>
        <v>0</v>
      </c>
      <c r="Y84">
        <f t="shared" si="47"/>
        <v>0</v>
      </c>
      <c r="Z84">
        <f t="shared" si="48"/>
        <v>0</v>
      </c>
      <c r="AA84">
        <f t="shared" si="48"/>
        <v>0</v>
      </c>
      <c r="AB84">
        <f t="shared" si="48"/>
        <v>0</v>
      </c>
      <c r="AC84">
        <f t="shared" si="48"/>
        <v>0</v>
      </c>
      <c r="AD84">
        <f t="shared" si="48"/>
        <v>0</v>
      </c>
      <c r="AE84">
        <f t="shared" si="48"/>
        <v>0</v>
      </c>
      <c r="AF84">
        <f t="shared" si="48"/>
        <v>0</v>
      </c>
      <c r="AG84">
        <f t="shared" si="48"/>
        <v>0</v>
      </c>
      <c r="AH84">
        <f t="shared" si="48"/>
        <v>0</v>
      </c>
      <c r="AI84">
        <f t="shared" si="48"/>
        <v>0</v>
      </c>
      <c r="AJ84">
        <f t="shared" si="49"/>
        <v>0</v>
      </c>
      <c r="AK84">
        <f t="shared" si="49"/>
        <v>0</v>
      </c>
      <c r="AL84">
        <f t="shared" si="49"/>
        <v>0</v>
      </c>
      <c r="AM84">
        <f t="shared" si="49"/>
        <v>0</v>
      </c>
      <c r="AN84">
        <f t="shared" si="49"/>
        <v>0</v>
      </c>
      <c r="AO84">
        <f t="shared" si="49"/>
        <v>0</v>
      </c>
      <c r="AP84">
        <f t="shared" si="49"/>
        <v>0</v>
      </c>
      <c r="AQ84">
        <f t="shared" si="49"/>
        <v>0</v>
      </c>
      <c r="AR84">
        <f>F84+H84+I84+J84+L84+M84+N84+O84+P84</f>
        <v>0</v>
      </c>
      <c r="AS84">
        <f>D84+K117-AR84</f>
        <v>0</v>
      </c>
    </row>
    <row r="85" spans="1:45" ht="20.25" customHeight="1">
      <c r="A85" t="s">
        <v>33</v>
      </c>
      <c r="B85" t="s">
        <v>34</v>
      </c>
      <c r="C85" s="105" t="s">
        <v>35</v>
      </c>
      <c r="D85">
        <f t="shared" si="45"/>
        <v>8.15</v>
      </c>
      <c r="E85">
        <f t="shared" si="39"/>
        <v>2.5400000000000009</v>
      </c>
      <c r="F85">
        <f>H19</f>
        <v>0</v>
      </c>
      <c r="G85">
        <f>I19</f>
        <v>0</v>
      </c>
      <c r="H85">
        <f>M19</f>
        <v>0</v>
      </c>
      <c r="I85">
        <f>N19</f>
        <v>0</v>
      </c>
      <c r="J85">
        <f>P21</f>
        <v>0</v>
      </c>
      <c r="K85">
        <f>Q21</f>
        <v>0</v>
      </c>
      <c r="L85">
        <f>D85-AR85</f>
        <v>2.5400000000000009</v>
      </c>
      <c r="M85">
        <f>S19</f>
        <v>0</v>
      </c>
      <c r="N85">
        <f>T19</f>
        <v>0</v>
      </c>
      <c r="O85">
        <f>U19</f>
        <v>0</v>
      </c>
      <c r="P85">
        <f t="shared" si="40"/>
        <v>5.6099999999999994</v>
      </c>
      <c r="Q85">
        <f t="shared" ref="Q85:Y85" si="50">W19</f>
        <v>0</v>
      </c>
      <c r="R85">
        <f t="shared" si="50"/>
        <v>0</v>
      </c>
      <c r="S85">
        <f t="shared" si="50"/>
        <v>0</v>
      </c>
      <c r="T85">
        <f t="shared" si="50"/>
        <v>0</v>
      </c>
      <c r="U85">
        <f t="shared" si="50"/>
        <v>0</v>
      </c>
      <c r="V85">
        <f t="shared" si="50"/>
        <v>0</v>
      </c>
      <c r="W85">
        <f t="shared" si="50"/>
        <v>0</v>
      </c>
      <c r="X85">
        <f t="shared" si="50"/>
        <v>0</v>
      </c>
      <c r="Y85">
        <f t="shared" si="50"/>
        <v>5.52</v>
      </c>
      <c r="Z85">
        <f>AQ19</f>
        <v>0</v>
      </c>
      <c r="AA85">
        <f t="shared" ref="AA85:AQ85" si="51">AR19</f>
        <v>0</v>
      </c>
      <c r="AB85">
        <f t="shared" si="51"/>
        <v>0.09</v>
      </c>
      <c r="AC85">
        <f t="shared" si="51"/>
        <v>0</v>
      </c>
      <c r="AD85">
        <f t="shared" si="51"/>
        <v>0</v>
      </c>
      <c r="AE85">
        <f t="shared" si="51"/>
        <v>0</v>
      </c>
      <c r="AF85">
        <f t="shared" si="51"/>
        <v>0</v>
      </c>
      <c r="AG85">
        <f t="shared" si="51"/>
        <v>0</v>
      </c>
      <c r="AH85">
        <f t="shared" si="51"/>
        <v>0</v>
      </c>
      <c r="AI85">
        <f t="shared" si="51"/>
        <v>0</v>
      </c>
      <c r="AJ85">
        <f t="shared" si="51"/>
        <v>0</v>
      </c>
      <c r="AK85">
        <f t="shared" si="51"/>
        <v>0</v>
      </c>
      <c r="AL85">
        <f t="shared" si="51"/>
        <v>0</v>
      </c>
      <c r="AM85">
        <f t="shared" si="51"/>
        <v>0</v>
      </c>
      <c r="AN85">
        <f t="shared" si="51"/>
        <v>0</v>
      </c>
      <c r="AO85">
        <f t="shared" si="51"/>
        <v>0</v>
      </c>
      <c r="AP85">
        <f t="shared" si="51"/>
        <v>0</v>
      </c>
      <c r="AQ85">
        <f t="shared" si="51"/>
        <v>0</v>
      </c>
      <c r="AR85">
        <f>F85+H85+I85+J85+K85+M85+N85+O85+P85</f>
        <v>5.6099999999999994</v>
      </c>
      <c r="AS85">
        <f>D85+L117-AR85</f>
        <v>2.5400000000000009</v>
      </c>
    </row>
    <row r="86" spans="1:45" ht="20.25" customHeight="1">
      <c r="A86" t="s">
        <v>36</v>
      </c>
      <c r="B86" t="s">
        <v>37</v>
      </c>
      <c r="C86" s="105" t="s">
        <v>38</v>
      </c>
      <c r="D86">
        <f t="shared" si="45"/>
        <v>579.23</v>
      </c>
      <c r="E86">
        <f t="shared" si="39"/>
        <v>577.58000000000004</v>
      </c>
      <c r="F86">
        <f t="shared" ref="F86:G88" si="52">H22</f>
        <v>0</v>
      </c>
      <c r="G86">
        <f t="shared" si="52"/>
        <v>0</v>
      </c>
      <c r="H86">
        <f t="shared" ref="H86:I88" si="53">M22</f>
        <v>0</v>
      </c>
      <c r="I86">
        <f t="shared" si="53"/>
        <v>0</v>
      </c>
      <c r="J86">
        <f>P22</f>
        <v>0</v>
      </c>
      <c r="K86">
        <f>Q22</f>
        <v>0</v>
      </c>
      <c r="L86">
        <f>R22</f>
        <v>0</v>
      </c>
      <c r="M86">
        <f>D86-AR86</f>
        <v>577.58000000000004</v>
      </c>
      <c r="N86">
        <f>T22</f>
        <v>0</v>
      </c>
      <c r="O86">
        <f>U22</f>
        <v>0</v>
      </c>
      <c r="P86">
        <f>SUM(Q86:AP86)</f>
        <v>1.65</v>
      </c>
      <c r="Q86">
        <f t="shared" ref="Q86:Y88" si="54">W22</f>
        <v>0</v>
      </c>
      <c r="R86">
        <f t="shared" si="54"/>
        <v>0</v>
      </c>
      <c r="S86">
        <f t="shared" si="54"/>
        <v>0</v>
      </c>
      <c r="T86">
        <f t="shared" si="54"/>
        <v>0</v>
      </c>
      <c r="U86">
        <f t="shared" si="54"/>
        <v>0</v>
      </c>
      <c r="V86">
        <f t="shared" si="54"/>
        <v>0</v>
      </c>
      <c r="W86">
        <f t="shared" si="54"/>
        <v>0</v>
      </c>
      <c r="X86">
        <f t="shared" si="54"/>
        <v>0</v>
      </c>
      <c r="Y86">
        <f t="shared" si="54"/>
        <v>1.65</v>
      </c>
      <c r="Z86">
        <f t="shared" ref="Z86:AP86" si="55">AQ22</f>
        <v>0</v>
      </c>
      <c r="AA86">
        <f t="shared" si="55"/>
        <v>0</v>
      </c>
      <c r="AB86">
        <f t="shared" si="55"/>
        <v>0</v>
      </c>
      <c r="AC86">
        <f t="shared" si="55"/>
        <v>0</v>
      </c>
      <c r="AD86">
        <f t="shared" si="55"/>
        <v>0</v>
      </c>
      <c r="AE86">
        <f t="shared" si="55"/>
        <v>0</v>
      </c>
      <c r="AF86">
        <f t="shared" si="55"/>
        <v>0</v>
      </c>
      <c r="AG86">
        <f t="shared" si="55"/>
        <v>0</v>
      </c>
      <c r="AH86">
        <f t="shared" si="55"/>
        <v>0</v>
      </c>
      <c r="AI86">
        <f t="shared" si="55"/>
        <v>0</v>
      </c>
      <c r="AJ86">
        <f t="shared" si="55"/>
        <v>0</v>
      </c>
      <c r="AK86">
        <f t="shared" si="55"/>
        <v>0</v>
      </c>
      <c r="AL86">
        <f t="shared" si="55"/>
        <v>0</v>
      </c>
      <c r="AM86">
        <f t="shared" si="55"/>
        <v>0</v>
      </c>
      <c r="AN86">
        <f t="shared" si="55"/>
        <v>0</v>
      </c>
      <c r="AO86">
        <f t="shared" si="55"/>
        <v>0</v>
      </c>
      <c r="AP86">
        <f t="shared" si="55"/>
        <v>0</v>
      </c>
      <c r="AQ86">
        <f>BH22</f>
        <v>0</v>
      </c>
      <c r="AR86">
        <f>F86+H86+I86+J86+K86+L86+N86+O86+P86</f>
        <v>1.65</v>
      </c>
      <c r="AS86">
        <f>D86+M117-AR86</f>
        <v>624.07000000000005</v>
      </c>
    </row>
    <row r="87" spans="1:45" ht="20.25" customHeight="1">
      <c r="A87" t="s">
        <v>39</v>
      </c>
      <c r="B87" t="s">
        <v>40</v>
      </c>
      <c r="C87" s="105" t="s">
        <v>41</v>
      </c>
      <c r="D87">
        <f t="shared" si="45"/>
        <v>0</v>
      </c>
      <c r="E87">
        <f t="shared" si="39"/>
        <v>0</v>
      </c>
      <c r="F87">
        <f t="shared" si="52"/>
        <v>0</v>
      </c>
      <c r="G87">
        <f t="shared" si="52"/>
        <v>0</v>
      </c>
      <c r="H87">
        <f t="shared" si="53"/>
        <v>0</v>
      </c>
      <c r="I87">
        <f t="shared" si="53"/>
        <v>0</v>
      </c>
      <c r="J87">
        <f>P23</f>
        <v>0</v>
      </c>
      <c r="K87">
        <f>Q23</f>
        <v>0</v>
      </c>
      <c r="L87">
        <f>R23</f>
        <v>0</v>
      </c>
      <c r="M87">
        <f>S23</f>
        <v>0</v>
      </c>
      <c r="N87">
        <f>D87-AR87</f>
        <v>0</v>
      </c>
      <c r="O87">
        <f>U23</f>
        <v>0</v>
      </c>
      <c r="P87">
        <f t="shared" si="40"/>
        <v>0</v>
      </c>
      <c r="Q87">
        <f t="shared" si="54"/>
        <v>0</v>
      </c>
      <c r="R87">
        <f t="shared" si="54"/>
        <v>0</v>
      </c>
      <c r="S87">
        <f t="shared" si="54"/>
        <v>0</v>
      </c>
      <c r="T87">
        <f t="shared" si="54"/>
        <v>0</v>
      </c>
      <c r="U87">
        <f t="shared" si="54"/>
        <v>0</v>
      </c>
      <c r="V87">
        <f t="shared" si="54"/>
        <v>0</v>
      </c>
      <c r="W87">
        <f t="shared" si="54"/>
        <v>0</v>
      </c>
      <c r="X87">
        <f t="shared" si="54"/>
        <v>0</v>
      </c>
      <c r="Y87">
        <f t="shared" si="54"/>
        <v>0</v>
      </c>
      <c r="Z87">
        <f t="shared" ref="Z87:AI88" si="56">AQ23</f>
        <v>0</v>
      </c>
      <c r="AA87">
        <f t="shared" si="56"/>
        <v>0</v>
      </c>
      <c r="AB87">
        <f t="shared" si="56"/>
        <v>0</v>
      </c>
      <c r="AC87">
        <f t="shared" si="56"/>
        <v>0</v>
      </c>
      <c r="AD87">
        <f t="shared" si="56"/>
        <v>0</v>
      </c>
      <c r="AE87">
        <f t="shared" si="56"/>
        <v>0</v>
      </c>
      <c r="AF87">
        <f t="shared" si="56"/>
        <v>0</v>
      </c>
      <c r="AG87">
        <f t="shared" si="56"/>
        <v>0</v>
      </c>
      <c r="AH87">
        <f t="shared" si="56"/>
        <v>0</v>
      </c>
      <c r="AI87">
        <f t="shared" si="56"/>
        <v>0</v>
      </c>
      <c r="AJ87">
        <f t="shared" ref="AJ87:AP88" si="57">BA23</f>
        <v>0</v>
      </c>
      <c r="AK87">
        <f t="shared" si="57"/>
        <v>0</v>
      </c>
      <c r="AL87">
        <f t="shared" si="57"/>
        <v>0</v>
      </c>
      <c r="AM87">
        <f t="shared" si="57"/>
        <v>0</v>
      </c>
      <c r="AN87">
        <f t="shared" si="57"/>
        <v>0</v>
      </c>
      <c r="AO87">
        <f t="shared" si="57"/>
        <v>0</v>
      </c>
      <c r="AP87">
        <f t="shared" si="57"/>
        <v>0</v>
      </c>
      <c r="AQ87">
        <f>BH23</f>
        <v>0</v>
      </c>
      <c r="AR87">
        <f>F87+H87+I87+J87+K87+L87+M87+O87+P87</f>
        <v>0</v>
      </c>
      <c r="AS87">
        <f>D87+N117-AR87</f>
        <v>0</v>
      </c>
    </row>
    <row r="88" spans="1:45" ht="20.25" customHeight="1">
      <c r="A88">
        <v>2</v>
      </c>
      <c r="B88" t="s">
        <v>43</v>
      </c>
      <c r="C88" s="105" t="s">
        <v>44</v>
      </c>
      <c r="D88">
        <f t="shared" si="45"/>
        <v>0.38</v>
      </c>
      <c r="E88">
        <f t="shared" si="39"/>
        <v>0.38</v>
      </c>
      <c r="F88">
        <f t="shared" si="52"/>
        <v>0</v>
      </c>
      <c r="G88">
        <f t="shared" si="52"/>
        <v>0</v>
      </c>
      <c r="H88">
        <f t="shared" si="53"/>
        <v>0</v>
      </c>
      <c r="I88">
        <f t="shared" si="53"/>
        <v>0</v>
      </c>
      <c r="J88">
        <f>P24</f>
        <v>0</v>
      </c>
      <c r="K88">
        <f>Q24</f>
        <v>0</v>
      </c>
      <c r="L88">
        <f>R24</f>
        <v>0</v>
      </c>
      <c r="M88">
        <f>S24</f>
        <v>0</v>
      </c>
      <c r="N88">
        <f>T24</f>
        <v>0</v>
      </c>
      <c r="O88">
        <f>D88-AR88</f>
        <v>0.38</v>
      </c>
      <c r="P88">
        <f t="shared" si="40"/>
        <v>0</v>
      </c>
      <c r="Q88">
        <f t="shared" si="54"/>
        <v>0</v>
      </c>
      <c r="R88">
        <f t="shared" si="54"/>
        <v>0</v>
      </c>
      <c r="S88">
        <f t="shared" si="54"/>
        <v>0</v>
      </c>
      <c r="T88">
        <f t="shared" si="54"/>
        <v>0</v>
      </c>
      <c r="U88">
        <f t="shared" si="54"/>
        <v>0</v>
      </c>
      <c r="V88">
        <f t="shared" si="54"/>
        <v>0</v>
      </c>
      <c r="W88">
        <f t="shared" si="54"/>
        <v>0</v>
      </c>
      <c r="X88">
        <f t="shared" si="54"/>
        <v>0</v>
      </c>
      <c r="Y88">
        <f t="shared" si="54"/>
        <v>0</v>
      </c>
      <c r="Z88">
        <f t="shared" si="56"/>
        <v>0</v>
      </c>
      <c r="AA88">
        <f t="shared" si="56"/>
        <v>0</v>
      </c>
      <c r="AB88">
        <f t="shared" si="56"/>
        <v>0</v>
      </c>
      <c r="AC88">
        <f t="shared" si="56"/>
        <v>0</v>
      </c>
      <c r="AD88">
        <f t="shared" si="56"/>
        <v>0</v>
      </c>
      <c r="AE88">
        <f t="shared" si="56"/>
        <v>0</v>
      </c>
      <c r="AF88">
        <f t="shared" si="56"/>
        <v>0</v>
      </c>
      <c r="AG88">
        <f t="shared" si="56"/>
        <v>0</v>
      </c>
      <c r="AH88">
        <f t="shared" si="56"/>
        <v>0</v>
      </c>
      <c r="AI88">
        <f t="shared" si="56"/>
        <v>0</v>
      </c>
      <c r="AJ88">
        <f t="shared" si="57"/>
        <v>0</v>
      </c>
      <c r="AK88">
        <f t="shared" si="57"/>
        <v>0</v>
      </c>
      <c r="AL88">
        <f t="shared" si="57"/>
        <v>0</v>
      </c>
      <c r="AM88">
        <f t="shared" si="57"/>
        <v>0</v>
      </c>
      <c r="AN88">
        <f t="shared" si="57"/>
        <v>0</v>
      </c>
      <c r="AO88">
        <f t="shared" si="57"/>
        <v>0</v>
      </c>
      <c r="AP88">
        <f t="shared" si="57"/>
        <v>0</v>
      </c>
      <c r="AQ88">
        <f>BH24</f>
        <v>0</v>
      </c>
      <c r="AR88">
        <f>F88+H88+I88+J88+K88+L88+M88+N88+P88</f>
        <v>0</v>
      </c>
      <c r="AS88">
        <f>D88+O117-AR88</f>
        <v>0.38</v>
      </c>
    </row>
    <row r="89" spans="1:45" ht="20.25" customHeight="1">
      <c r="A89">
        <v>2</v>
      </c>
      <c r="B89" t="s">
        <v>45</v>
      </c>
      <c r="C89" s="105" t="s">
        <v>46</v>
      </c>
      <c r="D89">
        <f>SUM(D90:D115)</f>
        <v>395.38</v>
      </c>
      <c r="E89">
        <f t="shared" ref="E89:AS89" si="58">SUM(E90:E115)</f>
        <v>41.47</v>
      </c>
      <c r="F89">
        <f t="shared" si="58"/>
        <v>0</v>
      </c>
      <c r="G89">
        <f t="shared" si="58"/>
        <v>0</v>
      </c>
      <c r="H89">
        <f t="shared" si="58"/>
        <v>0</v>
      </c>
      <c r="I89">
        <f t="shared" si="58"/>
        <v>0</v>
      </c>
      <c r="J89">
        <f t="shared" si="58"/>
        <v>0</v>
      </c>
      <c r="K89">
        <f t="shared" si="58"/>
        <v>0</v>
      </c>
      <c r="L89">
        <f t="shared" si="58"/>
        <v>0</v>
      </c>
      <c r="M89">
        <f t="shared" si="58"/>
        <v>41.47</v>
      </c>
      <c r="N89">
        <f t="shared" si="58"/>
        <v>0</v>
      </c>
      <c r="O89">
        <f t="shared" si="58"/>
        <v>0</v>
      </c>
      <c r="P89">
        <f t="shared" si="58"/>
        <v>353.90999999999997</v>
      </c>
      <c r="Q89">
        <f t="shared" si="58"/>
        <v>0</v>
      </c>
      <c r="R89">
        <f t="shared" si="58"/>
        <v>0</v>
      </c>
      <c r="S89">
        <f t="shared" si="58"/>
        <v>0</v>
      </c>
      <c r="T89">
        <f t="shared" si="58"/>
        <v>0</v>
      </c>
      <c r="U89">
        <f t="shared" si="58"/>
        <v>0</v>
      </c>
      <c r="V89">
        <f t="shared" si="58"/>
        <v>5.23</v>
      </c>
      <c r="W89">
        <f t="shared" si="58"/>
        <v>1.4499999999999993</v>
      </c>
      <c r="X89">
        <f t="shared" si="58"/>
        <v>0</v>
      </c>
      <c r="Y89">
        <f t="shared" si="58"/>
        <v>151.36999999999998</v>
      </c>
      <c r="Z89">
        <f t="shared" si="58"/>
        <v>7.0000000000000007E-2</v>
      </c>
      <c r="AA89">
        <f t="shared" si="58"/>
        <v>0</v>
      </c>
      <c r="AB89">
        <f t="shared" si="58"/>
        <v>0.01</v>
      </c>
      <c r="AC89">
        <f t="shared" si="58"/>
        <v>49.699999999999996</v>
      </c>
      <c r="AD89">
        <f t="shared" si="58"/>
        <v>0</v>
      </c>
      <c r="AE89">
        <f t="shared" si="58"/>
        <v>0.91</v>
      </c>
      <c r="AF89">
        <f t="shared" si="58"/>
        <v>0</v>
      </c>
      <c r="AG89">
        <f t="shared" si="58"/>
        <v>0</v>
      </c>
      <c r="AH89">
        <f t="shared" si="58"/>
        <v>0.71</v>
      </c>
      <c r="AI89">
        <f t="shared" si="58"/>
        <v>19</v>
      </c>
      <c r="AJ89">
        <f t="shared" si="58"/>
        <v>0</v>
      </c>
      <c r="AK89">
        <f t="shared" si="58"/>
        <v>0.56999999999999995</v>
      </c>
      <c r="AL89">
        <f t="shared" si="58"/>
        <v>0</v>
      </c>
      <c r="AM89">
        <f t="shared" si="58"/>
        <v>1.53</v>
      </c>
      <c r="AN89">
        <f t="shared" si="58"/>
        <v>96.1</v>
      </c>
      <c r="AO89">
        <f t="shared" si="58"/>
        <v>25.759999999999998</v>
      </c>
      <c r="AP89">
        <f t="shared" si="58"/>
        <v>1.5</v>
      </c>
      <c r="AQ89">
        <f t="shared" si="58"/>
        <v>0</v>
      </c>
      <c r="AR89">
        <f>E89+AQ89</f>
        <v>41.47</v>
      </c>
      <c r="AS89">
        <f t="shared" si="58"/>
        <v>371.06999999999994</v>
      </c>
    </row>
    <row r="90" spans="1:45" ht="20.25" customHeight="1">
      <c r="A90" t="s">
        <v>47</v>
      </c>
      <c r="B90" t="s">
        <v>48</v>
      </c>
      <c r="C90" s="105" t="s">
        <v>49</v>
      </c>
      <c r="D90">
        <f t="shared" ref="D90:D98" si="59">D26</f>
        <v>0</v>
      </c>
      <c r="E90">
        <f t="shared" si="39"/>
        <v>0</v>
      </c>
      <c r="F90">
        <f t="shared" ref="F90:F98" si="60">H26</f>
        <v>0</v>
      </c>
      <c r="G90">
        <f t="shared" ref="G90:G98" si="61">I26</f>
        <v>0</v>
      </c>
      <c r="H90">
        <f t="shared" ref="H90:H98" si="62">M26</f>
        <v>0</v>
      </c>
      <c r="I90">
        <f t="shared" ref="I90:I98" si="63">N26</f>
        <v>0</v>
      </c>
      <c r="J90">
        <f t="shared" ref="J90:J98" si="64">P26</f>
        <v>0</v>
      </c>
      <c r="K90">
        <f t="shared" ref="K90:K98" si="65">Q26</f>
        <v>0</v>
      </c>
      <c r="L90">
        <f t="shared" ref="L90:L98" si="66">R26</f>
        <v>0</v>
      </c>
      <c r="M90">
        <f t="shared" ref="M90:M98" si="67">S26</f>
        <v>0</v>
      </c>
      <c r="N90">
        <f t="shared" ref="N90:N98" si="68">T26</f>
        <v>0</v>
      </c>
      <c r="O90">
        <f t="shared" ref="O90:O98" si="69">U26</f>
        <v>0</v>
      </c>
      <c r="P90">
        <f>SUM(Q90:AP90)</f>
        <v>0</v>
      </c>
      <c r="Q90">
        <f>D90-AR90</f>
        <v>0</v>
      </c>
      <c r="R90">
        <f t="shared" ref="R90:Y90" si="70">X26</f>
        <v>0</v>
      </c>
      <c r="S90">
        <f t="shared" si="70"/>
        <v>0</v>
      </c>
      <c r="T90">
        <f t="shared" si="70"/>
        <v>0</v>
      </c>
      <c r="U90">
        <f t="shared" si="70"/>
        <v>0</v>
      </c>
      <c r="V90">
        <f t="shared" si="70"/>
        <v>0</v>
      </c>
      <c r="W90">
        <f t="shared" si="70"/>
        <v>0</v>
      </c>
      <c r="X90">
        <f t="shared" si="70"/>
        <v>0</v>
      </c>
      <c r="Y90">
        <f t="shared" si="70"/>
        <v>0</v>
      </c>
      <c r="Z90">
        <f t="shared" ref="Z90:AP90" si="71">AQ26</f>
        <v>0</v>
      </c>
      <c r="AA90">
        <f t="shared" si="71"/>
        <v>0</v>
      </c>
      <c r="AB90">
        <f t="shared" si="71"/>
        <v>0</v>
      </c>
      <c r="AC90">
        <f t="shared" si="71"/>
        <v>0</v>
      </c>
      <c r="AD90">
        <f t="shared" si="71"/>
        <v>0</v>
      </c>
      <c r="AE90">
        <f t="shared" si="71"/>
        <v>0</v>
      </c>
      <c r="AF90">
        <f t="shared" si="71"/>
        <v>0</v>
      </c>
      <c r="AG90">
        <f t="shared" si="71"/>
        <v>0</v>
      </c>
      <c r="AH90">
        <f t="shared" si="71"/>
        <v>0</v>
      </c>
      <c r="AI90">
        <f t="shared" si="71"/>
        <v>0</v>
      </c>
      <c r="AJ90">
        <f t="shared" si="71"/>
        <v>0</v>
      </c>
      <c r="AK90">
        <f t="shared" si="71"/>
        <v>0</v>
      </c>
      <c r="AL90">
        <f t="shared" si="71"/>
        <v>0</v>
      </c>
      <c r="AM90">
        <f t="shared" si="71"/>
        <v>0</v>
      </c>
      <c r="AN90">
        <f t="shared" si="71"/>
        <v>0</v>
      </c>
      <c r="AO90">
        <f t="shared" si="71"/>
        <v>0</v>
      </c>
      <c r="AP90">
        <f t="shared" si="71"/>
        <v>0</v>
      </c>
      <c r="AQ90">
        <f t="shared" ref="AQ90:AQ98" si="72">BH26</f>
        <v>0</v>
      </c>
      <c r="AR90">
        <f>E90+R90+S90+T90+U90+V90+W90+X90+Y90+Z90+AA90+AB90+AC90+AD90+AE90+AF90+AG90+AH90+AI90+AJ90+AK90+AL90+AM90+AN90+AO90+AP90+AQ90</f>
        <v>0</v>
      </c>
      <c r="AS90">
        <f>D90+Q117-AR90</f>
        <v>0</v>
      </c>
    </row>
    <row r="91" spans="1:45" ht="20.25" customHeight="1">
      <c r="A91" t="s">
        <v>50</v>
      </c>
      <c r="B91" t="s">
        <v>51</v>
      </c>
      <c r="C91" s="105" t="s">
        <v>52</v>
      </c>
      <c r="D91">
        <f t="shared" si="59"/>
        <v>0</v>
      </c>
      <c r="E91">
        <f t="shared" si="39"/>
        <v>0</v>
      </c>
      <c r="F91">
        <f t="shared" si="60"/>
        <v>0</v>
      </c>
      <c r="G91">
        <f t="shared" si="61"/>
        <v>0</v>
      </c>
      <c r="H91">
        <f t="shared" si="62"/>
        <v>0</v>
      </c>
      <c r="I91">
        <f t="shared" si="63"/>
        <v>0</v>
      </c>
      <c r="J91">
        <f t="shared" si="64"/>
        <v>0</v>
      </c>
      <c r="K91">
        <f t="shared" si="65"/>
        <v>0</v>
      </c>
      <c r="L91">
        <f t="shared" si="66"/>
        <v>0</v>
      </c>
      <c r="M91">
        <f t="shared" si="67"/>
        <v>0</v>
      </c>
      <c r="N91">
        <f t="shared" si="68"/>
        <v>0</v>
      </c>
      <c r="O91">
        <f t="shared" si="69"/>
        <v>0</v>
      </c>
      <c r="P91">
        <f t="shared" ref="P91:P115" si="73">SUM(Q91:AP91)</f>
        <v>0</v>
      </c>
      <c r="Q91">
        <f>W27</f>
        <v>0</v>
      </c>
      <c r="R91">
        <f>D91-AR91</f>
        <v>0</v>
      </c>
      <c r="S91">
        <f t="shared" ref="S91:Y91" si="74">Y27</f>
        <v>0</v>
      </c>
      <c r="T91">
        <f t="shared" si="74"/>
        <v>0</v>
      </c>
      <c r="U91">
        <f t="shared" si="74"/>
        <v>0</v>
      </c>
      <c r="V91">
        <f t="shared" si="74"/>
        <v>0</v>
      </c>
      <c r="W91">
        <f t="shared" si="74"/>
        <v>0</v>
      </c>
      <c r="X91">
        <f t="shared" si="74"/>
        <v>0</v>
      </c>
      <c r="Y91">
        <f t="shared" si="74"/>
        <v>0</v>
      </c>
      <c r="Z91">
        <f t="shared" ref="Z91:Z98" si="75">AQ27</f>
        <v>0</v>
      </c>
      <c r="AA91">
        <f t="shared" ref="AA91:AP98" si="76">AR27</f>
        <v>0</v>
      </c>
      <c r="AB91">
        <f t="shared" si="76"/>
        <v>0</v>
      </c>
      <c r="AC91">
        <f t="shared" si="76"/>
        <v>0</v>
      </c>
      <c r="AD91">
        <f t="shared" si="76"/>
        <v>0</v>
      </c>
      <c r="AE91">
        <f t="shared" si="76"/>
        <v>0</v>
      </c>
      <c r="AF91">
        <f t="shared" si="76"/>
        <v>0</v>
      </c>
      <c r="AG91">
        <f t="shared" si="76"/>
        <v>0</v>
      </c>
      <c r="AH91">
        <f t="shared" si="76"/>
        <v>0</v>
      </c>
      <c r="AI91">
        <f t="shared" si="76"/>
        <v>0</v>
      </c>
      <c r="AJ91">
        <f t="shared" si="76"/>
        <v>0</v>
      </c>
      <c r="AK91">
        <f t="shared" si="76"/>
        <v>0</v>
      </c>
      <c r="AL91">
        <f t="shared" si="76"/>
        <v>0</v>
      </c>
      <c r="AM91">
        <f t="shared" si="76"/>
        <v>0</v>
      </c>
      <c r="AN91">
        <f t="shared" si="76"/>
        <v>0</v>
      </c>
      <c r="AO91">
        <f t="shared" si="76"/>
        <v>0</v>
      </c>
      <c r="AP91">
        <f t="shared" si="76"/>
        <v>0</v>
      </c>
      <c r="AQ91">
        <f t="shared" si="72"/>
        <v>0</v>
      </c>
      <c r="AR91">
        <f>E91+Q91+S91+T91+U91+V91+W91+X91+Y91+Z91+AA91+AB91+AC91+AD91+AE91+AF91+AG91+AH91+AI91+AJ91+AK91+AL91+AM91+AN91+AO91+AP91+AQ91</f>
        <v>0</v>
      </c>
      <c r="AS91">
        <f>D91+R117-AR91</f>
        <v>0</v>
      </c>
    </row>
    <row r="92" spans="1:45" ht="20.25" customHeight="1">
      <c r="A92" t="s">
        <v>53</v>
      </c>
      <c r="B92" t="s">
        <v>54</v>
      </c>
      <c r="C92" s="105" t="s">
        <v>55</v>
      </c>
      <c r="D92">
        <f t="shared" si="59"/>
        <v>0</v>
      </c>
      <c r="E92">
        <f t="shared" si="39"/>
        <v>0</v>
      </c>
      <c r="F92">
        <f t="shared" si="60"/>
        <v>0</v>
      </c>
      <c r="G92">
        <f t="shared" si="61"/>
        <v>0</v>
      </c>
      <c r="H92">
        <f t="shared" si="62"/>
        <v>0</v>
      </c>
      <c r="I92">
        <f t="shared" si="63"/>
        <v>0</v>
      </c>
      <c r="J92">
        <f t="shared" si="64"/>
        <v>0</v>
      </c>
      <c r="K92">
        <f t="shared" si="65"/>
        <v>0</v>
      </c>
      <c r="L92">
        <f t="shared" si="66"/>
        <v>0</v>
      </c>
      <c r="M92">
        <f t="shared" si="67"/>
        <v>0</v>
      </c>
      <c r="N92">
        <f t="shared" si="68"/>
        <v>0</v>
      </c>
      <c r="O92">
        <f t="shared" si="69"/>
        <v>0</v>
      </c>
      <c r="P92">
        <f t="shared" si="73"/>
        <v>0</v>
      </c>
      <c r="Q92">
        <f t="shared" ref="Q92:S98" si="77">W28</f>
        <v>0</v>
      </c>
      <c r="R92">
        <f>X28</f>
        <v>0</v>
      </c>
      <c r="S92">
        <f>D92-AR92</f>
        <v>0</v>
      </c>
      <c r="T92">
        <f t="shared" ref="T92:Y92" si="78">Z28</f>
        <v>0</v>
      </c>
      <c r="U92">
        <f t="shared" si="78"/>
        <v>0</v>
      </c>
      <c r="V92">
        <f t="shared" si="78"/>
        <v>0</v>
      </c>
      <c r="W92">
        <f t="shared" si="78"/>
        <v>0</v>
      </c>
      <c r="X92">
        <f t="shared" si="78"/>
        <v>0</v>
      </c>
      <c r="Y92">
        <f t="shared" si="78"/>
        <v>0</v>
      </c>
      <c r="Z92">
        <f t="shared" si="75"/>
        <v>0</v>
      </c>
      <c r="AA92">
        <f t="shared" si="76"/>
        <v>0</v>
      </c>
      <c r="AB92">
        <f t="shared" si="76"/>
        <v>0</v>
      </c>
      <c r="AC92">
        <f t="shared" si="76"/>
        <v>0</v>
      </c>
      <c r="AD92">
        <f t="shared" si="76"/>
        <v>0</v>
      </c>
      <c r="AE92">
        <f t="shared" si="76"/>
        <v>0</v>
      </c>
      <c r="AF92">
        <f t="shared" si="76"/>
        <v>0</v>
      </c>
      <c r="AG92">
        <f t="shared" si="76"/>
        <v>0</v>
      </c>
      <c r="AH92">
        <f t="shared" si="76"/>
        <v>0</v>
      </c>
      <c r="AI92">
        <f t="shared" si="76"/>
        <v>0</v>
      </c>
      <c r="AJ92">
        <f t="shared" si="76"/>
        <v>0</v>
      </c>
      <c r="AK92">
        <f t="shared" si="76"/>
        <v>0</v>
      </c>
      <c r="AL92">
        <f t="shared" si="76"/>
        <v>0</v>
      </c>
      <c r="AM92">
        <f t="shared" si="76"/>
        <v>0</v>
      </c>
      <c r="AN92">
        <f t="shared" si="76"/>
        <v>0</v>
      </c>
      <c r="AO92">
        <f t="shared" si="76"/>
        <v>0</v>
      </c>
      <c r="AP92">
        <f t="shared" si="76"/>
        <v>0</v>
      </c>
      <c r="AQ92">
        <f t="shared" si="72"/>
        <v>0</v>
      </c>
      <c r="AR92">
        <f>E92+Q92+R92+T92+U92+V92+W92+X92+Y92+Z92+AA92+AB92+AC92+AD92+AE92+AF92+AG92+AH92+AI92+AJ92+AK92+AL92+AM92+AN92+AO92+AP92+AQ92</f>
        <v>0</v>
      </c>
      <c r="AS92">
        <f>D92+S117-AR92</f>
        <v>0</v>
      </c>
    </row>
    <row r="93" spans="1:45" ht="20.25" customHeight="1">
      <c r="A93" t="s">
        <v>56</v>
      </c>
      <c r="B93" t="s">
        <v>57</v>
      </c>
      <c r="C93" s="105" t="s">
        <v>58</v>
      </c>
      <c r="D93">
        <f t="shared" si="59"/>
        <v>0</v>
      </c>
      <c r="E93">
        <f t="shared" si="39"/>
        <v>0</v>
      </c>
      <c r="F93">
        <f t="shared" si="60"/>
        <v>0</v>
      </c>
      <c r="G93">
        <f t="shared" si="61"/>
        <v>0</v>
      </c>
      <c r="H93">
        <f t="shared" si="62"/>
        <v>0</v>
      </c>
      <c r="I93">
        <f t="shared" si="63"/>
        <v>0</v>
      </c>
      <c r="J93">
        <f t="shared" si="64"/>
        <v>0</v>
      </c>
      <c r="K93">
        <f t="shared" si="65"/>
        <v>0</v>
      </c>
      <c r="L93">
        <f t="shared" si="66"/>
        <v>0</v>
      </c>
      <c r="M93">
        <f t="shared" si="67"/>
        <v>0</v>
      </c>
      <c r="N93">
        <f t="shared" si="68"/>
        <v>0</v>
      </c>
      <c r="O93">
        <f t="shared" si="69"/>
        <v>0</v>
      </c>
      <c r="P93">
        <f t="shared" si="73"/>
        <v>0</v>
      </c>
      <c r="Q93">
        <f t="shared" si="77"/>
        <v>0</v>
      </c>
      <c r="R93">
        <f t="shared" si="77"/>
        <v>0</v>
      </c>
      <c r="S93">
        <f t="shared" si="77"/>
        <v>0</v>
      </c>
      <c r="T93">
        <f>D93-AR93</f>
        <v>0</v>
      </c>
      <c r="U93">
        <f>AA29</f>
        <v>0</v>
      </c>
      <c r="V93">
        <f>AB29</f>
        <v>0</v>
      </c>
      <c r="W93">
        <f>AC29</f>
        <v>0</v>
      </c>
      <c r="X93">
        <f>AD29</f>
        <v>0</v>
      </c>
      <c r="Y93">
        <f>AE29</f>
        <v>0</v>
      </c>
      <c r="Z93">
        <f t="shared" si="75"/>
        <v>0</v>
      </c>
      <c r="AA93">
        <f t="shared" si="76"/>
        <v>0</v>
      </c>
      <c r="AB93">
        <f t="shared" si="76"/>
        <v>0</v>
      </c>
      <c r="AC93">
        <f t="shared" si="76"/>
        <v>0</v>
      </c>
      <c r="AD93">
        <f t="shared" si="76"/>
        <v>0</v>
      </c>
      <c r="AE93">
        <f t="shared" si="76"/>
        <v>0</v>
      </c>
      <c r="AF93">
        <f t="shared" si="76"/>
        <v>0</v>
      </c>
      <c r="AG93">
        <f t="shared" si="76"/>
        <v>0</v>
      </c>
      <c r="AH93">
        <f t="shared" si="76"/>
        <v>0</v>
      </c>
      <c r="AI93">
        <f t="shared" si="76"/>
        <v>0</v>
      </c>
      <c r="AJ93">
        <f t="shared" si="76"/>
        <v>0</v>
      </c>
      <c r="AK93">
        <f t="shared" si="76"/>
        <v>0</v>
      </c>
      <c r="AL93">
        <f t="shared" si="76"/>
        <v>0</v>
      </c>
      <c r="AM93">
        <f t="shared" si="76"/>
        <v>0</v>
      </c>
      <c r="AN93">
        <f t="shared" si="76"/>
        <v>0</v>
      </c>
      <c r="AO93">
        <f t="shared" si="76"/>
        <v>0</v>
      </c>
      <c r="AP93">
        <f t="shared" si="76"/>
        <v>0</v>
      </c>
      <c r="AQ93">
        <f t="shared" si="72"/>
        <v>0</v>
      </c>
      <c r="AR93">
        <f>E93+Q93+R93+S93+U93+V93+W93+X93+Y93+Z93+AA93+AB93+AC93+AD93+AE93+AF93+AG93+AH93+AI93+AJ93+AK93+AL93+AM93+AN93+AO93+AP93+AQ93</f>
        <v>0</v>
      </c>
      <c r="AS93">
        <f>D93+T117-AR93</f>
        <v>0</v>
      </c>
    </row>
    <row r="94" spans="1:45" ht="20.25" customHeight="1">
      <c r="A94" t="s">
        <v>59</v>
      </c>
      <c r="B94" t="s">
        <v>60</v>
      </c>
      <c r="C94" s="105" t="s">
        <v>61</v>
      </c>
      <c r="D94">
        <f t="shared" si="59"/>
        <v>0</v>
      </c>
      <c r="E94">
        <f t="shared" si="39"/>
        <v>0</v>
      </c>
      <c r="F94">
        <f t="shared" si="60"/>
        <v>0</v>
      </c>
      <c r="G94">
        <f t="shared" si="61"/>
        <v>0</v>
      </c>
      <c r="H94">
        <f t="shared" si="62"/>
        <v>0</v>
      </c>
      <c r="I94">
        <f t="shared" si="63"/>
        <v>0</v>
      </c>
      <c r="J94">
        <f t="shared" si="64"/>
        <v>0</v>
      </c>
      <c r="K94">
        <f t="shared" si="65"/>
        <v>0</v>
      </c>
      <c r="L94">
        <f t="shared" si="66"/>
        <v>0</v>
      </c>
      <c r="M94">
        <f t="shared" si="67"/>
        <v>0</v>
      </c>
      <c r="N94">
        <f t="shared" si="68"/>
        <v>0</v>
      </c>
      <c r="O94">
        <f t="shared" si="69"/>
        <v>0</v>
      </c>
      <c r="P94">
        <f t="shared" si="73"/>
        <v>0</v>
      </c>
      <c r="Q94">
        <f t="shared" si="77"/>
        <v>0</v>
      </c>
      <c r="R94">
        <f t="shared" si="77"/>
        <v>0</v>
      </c>
      <c r="S94">
        <f t="shared" si="77"/>
        <v>0</v>
      </c>
      <c r="T94">
        <f>Z30</f>
        <v>0</v>
      </c>
      <c r="U94">
        <f>D94-AR94</f>
        <v>0</v>
      </c>
      <c r="V94">
        <f>AB30</f>
        <v>0</v>
      </c>
      <c r="W94">
        <f>AC30</f>
        <v>0</v>
      </c>
      <c r="X94">
        <f>AD30</f>
        <v>0</v>
      </c>
      <c r="Y94">
        <f>AE30</f>
        <v>0</v>
      </c>
      <c r="Z94">
        <f t="shared" si="75"/>
        <v>0</v>
      </c>
      <c r="AA94">
        <f t="shared" si="76"/>
        <v>0</v>
      </c>
      <c r="AB94">
        <f t="shared" si="76"/>
        <v>0</v>
      </c>
      <c r="AC94">
        <f t="shared" si="76"/>
        <v>0</v>
      </c>
      <c r="AD94">
        <f t="shared" si="76"/>
        <v>0</v>
      </c>
      <c r="AE94">
        <f t="shared" si="76"/>
        <v>0</v>
      </c>
      <c r="AF94">
        <f t="shared" si="76"/>
        <v>0</v>
      </c>
      <c r="AG94">
        <f t="shared" si="76"/>
        <v>0</v>
      </c>
      <c r="AH94">
        <f t="shared" si="76"/>
        <v>0</v>
      </c>
      <c r="AI94">
        <f t="shared" si="76"/>
        <v>0</v>
      </c>
      <c r="AJ94">
        <f t="shared" si="76"/>
        <v>0</v>
      </c>
      <c r="AK94">
        <f t="shared" si="76"/>
        <v>0</v>
      </c>
      <c r="AL94">
        <f t="shared" si="76"/>
        <v>0</v>
      </c>
      <c r="AM94">
        <f t="shared" si="76"/>
        <v>0</v>
      </c>
      <c r="AN94">
        <f t="shared" si="76"/>
        <v>0</v>
      </c>
      <c r="AO94">
        <f t="shared" si="76"/>
        <v>0</v>
      </c>
      <c r="AP94">
        <f t="shared" si="76"/>
        <v>0</v>
      </c>
      <c r="AQ94">
        <f t="shared" si="72"/>
        <v>0</v>
      </c>
      <c r="AR94">
        <f>E94+Q94+R94+S94+T94+V94+W94+X94+Y94+Z94+AA94+AB94+AC94+AD94+AE94+AF94+AG94+AH94+AI94+AJ94+AK94+AL94+AM94+AN94+AO94+AP94+AQ94</f>
        <v>0</v>
      </c>
      <c r="AS94">
        <f>D94+U117-AR94</f>
        <v>0</v>
      </c>
    </row>
    <row r="95" spans="1:45" ht="20.25" customHeight="1">
      <c r="A95" t="s">
        <v>62</v>
      </c>
      <c r="B95" t="s">
        <v>63</v>
      </c>
      <c r="C95" s="105" t="s">
        <v>64</v>
      </c>
      <c r="D95">
        <f t="shared" si="59"/>
        <v>0</v>
      </c>
      <c r="E95">
        <f t="shared" si="39"/>
        <v>0</v>
      </c>
      <c r="F95">
        <f t="shared" si="60"/>
        <v>0</v>
      </c>
      <c r="G95">
        <f t="shared" si="61"/>
        <v>0</v>
      </c>
      <c r="H95">
        <f t="shared" si="62"/>
        <v>0</v>
      </c>
      <c r="I95">
        <f t="shared" si="63"/>
        <v>0</v>
      </c>
      <c r="J95">
        <f t="shared" si="64"/>
        <v>0</v>
      </c>
      <c r="K95">
        <f t="shared" si="65"/>
        <v>0</v>
      </c>
      <c r="L95">
        <f t="shared" si="66"/>
        <v>0</v>
      </c>
      <c r="M95">
        <f t="shared" si="67"/>
        <v>0</v>
      </c>
      <c r="N95">
        <f t="shared" si="68"/>
        <v>0</v>
      </c>
      <c r="O95">
        <f t="shared" si="69"/>
        <v>0</v>
      </c>
      <c r="P95">
        <f t="shared" si="73"/>
        <v>0</v>
      </c>
      <c r="Q95">
        <f t="shared" si="77"/>
        <v>0</v>
      </c>
      <c r="R95">
        <f t="shared" si="77"/>
        <v>0</v>
      </c>
      <c r="S95">
        <f t="shared" si="77"/>
        <v>0</v>
      </c>
      <c r="T95">
        <f>Z31</f>
        <v>0</v>
      </c>
      <c r="U95">
        <f>AA31</f>
        <v>0</v>
      </c>
      <c r="V95">
        <f>D95-AR95</f>
        <v>0</v>
      </c>
      <c r="W95">
        <f>AC31</f>
        <v>0</v>
      </c>
      <c r="X95">
        <f>AD31</f>
        <v>0</v>
      </c>
      <c r="Y95">
        <f>AE31</f>
        <v>0</v>
      </c>
      <c r="Z95">
        <f t="shared" si="75"/>
        <v>0</v>
      </c>
      <c r="AA95">
        <f t="shared" si="76"/>
        <v>0</v>
      </c>
      <c r="AB95">
        <f t="shared" si="76"/>
        <v>0</v>
      </c>
      <c r="AC95">
        <f t="shared" si="76"/>
        <v>0</v>
      </c>
      <c r="AD95">
        <f t="shared" si="76"/>
        <v>0</v>
      </c>
      <c r="AE95">
        <f t="shared" si="76"/>
        <v>0</v>
      </c>
      <c r="AF95">
        <f t="shared" si="76"/>
        <v>0</v>
      </c>
      <c r="AG95">
        <f t="shared" si="76"/>
        <v>0</v>
      </c>
      <c r="AH95">
        <f t="shared" si="76"/>
        <v>0</v>
      </c>
      <c r="AI95">
        <f t="shared" si="76"/>
        <v>0</v>
      </c>
      <c r="AJ95">
        <f t="shared" si="76"/>
        <v>0</v>
      </c>
      <c r="AK95">
        <f t="shared" si="76"/>
        <v>0</v>
      </c>
      <c r="AL95">
        <f t="shared" si="76"/>
        <v>0</v>
      </c>
      <c r="AM95">
        <f t="shared" si="76"/>
        <v>0</v>
      </c>
      <c r="AN95">
        <f t="shared" si="76"/>
        <v>0</v>
      </c>
      <c r="AO95">
        <f t="shared" si="76"/>
        <v>0</v>
      </c>
      <c r="AP95">
        <f t="shared" si="76"/>
        <v>0</v>
      </c>
      <c r="AQ95">
        <f t="shared" si="72"/>
        <v>0</v>
      </c>
      <c r="AR95">
        <f>E95+Q95+R95+S95+T95+U95+W95+X95+Y95+Z95+AA95+AB95+AC95+AD95+AE95+AF95+AG95+AH95+AI95+AJ95+AK95+AL95+AM95+AN95+AO95+AP95+AQ95</f>
        <v>0</v>
      </c>
      <c r="AS95">
        <f>D95+V117-AR95</f>
        <v>5.27</v>
      </c>
    </row>
    <row r="96" spans="1:45" ht="20.25" customHeight="1">
      <c r="A96" t="s">
        <v>65</v>
      </c>
      <c r="B96" t="s">
        <v>66</v>
      </c>
      <c r="C96" s="105" t="s">
        <v>67</v>
      </c>
      <c r="D96">
        <f t="shared" si="59"/>
        <v>6.39</v>
      </c>
      <c r="E96">
        <f t="shared" si="39"/>
        <v>0</v>
      </c>
      <c r="F96">
        <f t="shared" si="60"/>
        <v>0</v>
      </c>
      <c r="G96">
        <f t="shared" si="61"/>
        <v>0</v>
      </c>
      <c r="H96">
        <f t="shared" si="62"/>
        <v>0</v>
      </c>
      <c r="I96">
        <f t="shared" si="63"/>
        <v>0</v>
      </c>
      <c r="J96">
        <f t="shared" si="64"/>
        <v>0</v>
      </c>
      <c r="K96">
        <f t="shared" si="65"/>
        <v>0</v>
      </c>
      <c r="L96">
        <f t="shared" si="66"/>
        <v>0</v>
      </c>
      <c r="M96">
        <f t="shared" si="67"/>
        <v>0</v>
      </c>
      <c r="N96">
        <f t="shared" si="68"/>
        <v>0</v>
      </c>
      <c r="O96">
        <f t="shared" si="69"/>
        <v>0</v>
      </c>
      <c r="P96">
        <f t="shared" si="73"/>
        <v>6.39</v>
      </c>
      <c r="Q96">
        <f t="shared" si="77"/>
        <v>0</v>
      </c>
      <c r="R96">
        <f t="shared" si="77"/>
        <v>0</v>
      </c>
      <c r="S96">
        <f t="shared" si="77"/>
        <v>0</v>
      </c>
      <c r="T96">
        <f>Z32</f>
        <v>0</v>
      </c>
      <c r="U96">
        <f>AA32</f>
        <v>0</v>
      </c>
      <c r="V96">
        <f>AB32</f>
        <v>4.9400000000000004</v>
      </c>
      <c r="W96">
        <f>D96-AR96</f>
        <v>1.4499999999999993</v>
      </c>
      <c r="X96">
        <f>AD32</f>
        <v>0</v>
      </c>
      <c r="Y96">
        <f>AE32</f>
        <v>0</v>
      </c>
      <c r="Z96">
        <f t="shared" si="75"/>
        <v>0</v>
      </c>
      <c r="AA96">
        <f t="shared" si="76"/>
        <v>0</v>
      </c>
      <c r="AB96">
        <f t="shared" si="76"/>
        <v>0</v>
      </c>
      <c r="AC96">
        <f t="shared" si="76"/>
        <v>0</v>
      </c>
      <c r="AD96">
        <f t="shared" si="76"/>
        <v>0</v>
      </c>
      <c r="AE96">
        <f t="shared" si="76"/>
        <v>0</v>
      </c>
      <c r="AF96">
        <f t="shared" si="76"/>
        <v>0</v>
      </c>
      <c r="AG96">
        <f t="shared" si="76"/>
        <v>0</v>
      </c>
      <c r="AH96">
        <f t="shared" si="76"/>
        <v>0</v>
      </c>
      <c r="AI96">
        <f t="shared" si="76"/>
        <v>0</v>
      </c>
      <c r="AJ96">
        <f t="shared" si="76"/>
        <v>0</v>
      </c>
      <c r="AK96">
        <f t="shared" si="76"/>
        <v>0</v>
      </c>
      <c r="AL96">
        <f t="shared" si="76"/>
        <v>0</v>
      </c>
      <c r="AM96">
        <f t="shared" si="76"/>
        <v>0</v>
      </c>
      <c r="AN96">
        <f t="shared" si="76"/>
        <v>0</v>
      </c>
      <c r="AO96">
        <f t="shared" si="76"/>
        <v>0</v>
      </c>
      <c r="AP96">
        <f t="shared" si="76"/>
        <v>0</v>
      </c>
      <c r="AQ96">
        <f t="shared" si="72"/>
        <v>0</v>
      </c>
      <c r="AR96">
        <f>E96+Q96+R96+S96+T96+U96+V96+X96+Y96+Z96+AA96+AB96+AC96+AD96+AE96+AF96+AG96+AH96+AI96+AJ96+AK96+AL96+AM96+AN96+AO96+AP96+AQ96</f>
        <v>4.9400000000000004</v>
      </c>
      <c r="AS96">
        <f>D96+W117-AR96</f>
        <v>1.4499999999999993</v>
      </c>
    </row>
    <row r="97" spans="1:45" ht="20.25" customHeight="1">
      <c r="A97" t="s">
        <v>68</v>
      </c>
      <c r="B97" t="s">
        <v>69</v>
      </c>
      <c r="C97" s="105" t="s">
        <v>70</v>
      </c>
      <c r="D97">
        <f t="shared" si="59"/>
        <v>0</v>
      </c>
      <c r="E97">
        <f t="shared" si="39"/>
        <v>0</v>
      </c>
      <c r="F97">
        <f t="shared" si="60"/>
        <v>0</v>
      </c>
      <c r="G97">
        <f t="shared" si="61"/>
        <v>0</v>
      </c>
      <c r="H97">
        <f t="shared" si="62"/>
        <v>0</v>
      </c>
      <c r="I97">
        <f t="shared" si="63"/>
        <v>0</v>
      </c>
      <c r="J97">
        <f t="shared" si="64"/>
        <v>0</v>
      </c>
      <c r="K97">
        <f t="shared" si="65"/>
        <v>0</v>
      </c>
      <c r="L97">
        <f t="shared" si="66"/>
        <v>0</v>
      </c>
      <c r="M97">
        <f t="shared" si="67"/>
        <v>0</v>
      </c>
      <c r="N97">
        <f t="shared" si="68"/>
        <v>0</v>
      </c>
      <c r="O97">
        <f t="shared" si="69"/>
        <v>0</v>
      </c>
      <c r="P97">
        <f t="shared" si="73"/>
        <v>0</v>
      </c>
      <c r="Q97">
        <f t="shared" si="77"/>
        <v>0</v>
      </c>
      <c r="R97">
        <f t="shared" si="77"/>
        <v>0</v>
      </c>
      <c r="S97">
        <f t="shared" si="77"/>
        <v>0</v>
      </c>
      <c r="T97">
        <f>Z33</f>
        <v>0</v>
      </c>
      <c r="U97">
        <f>AA33</f>
        <v>0</v>
      </c>
      <c r="V97">
        <f>AB33</f>
        <v>0</v>
      </c>
      <c r="W97">
        <f>AC33</f>
        <v>0</v>
      </c>
      <c r="X97">
        <f>D97-AR97</f>
        <v>0</v>
      </c>
      <c r="Y97">
        <f>AE33</f>
        <v>0</v>
      </c>
      <c r="Z97">
        <f t="shared" si="75"/>
        <v>0</v>
      </c>
      <c r="AA97">
        <f t="shared" si="76"/>
        <v>0</v>
      </c>
      <c r="AB97">
        <f t="shared" si="76"/>
        <v>0</v>
      </c>
      <c r="AC97">
        <f t="shared" si="76"/>
        <v>0</v>
      </c>
      <c r="AD97">
        <f t="shared" si="76"/>
        <v>0</v>
      </c>
      <c r="AE97">
        <f t="shared" si="76"/>
        <v>0</v>
      </c>
      <c r="AF97">
        <f t="shared" si="76"/>
        <v>0</v>
      </c>
      <c r="AG97">
        <f t="shared" si="76"/>
        <v>0</v>
      </c>
      <c r="AH97">
        <f t="shared" si="76"/>
        <v>0</v>
      </c>
      <c r="AI97">
        <f t="shared" si="76"/>
        <v>0</v>
      </c>
      <c r="AJ97">
        <f t="shared" si="76"/>
        <v>0</v>
      </c>
      <c r="AK97">
        <f t="shared" si="76"/>
        <v>0</v>
      </c>
      <c r="AL97">
        <f t="shared" si="76"/>
        <v>0</v>
      </c>
      <c r="AM97">
        <f t="shared" si="76"/>
        <v>0</v>
      </c>
      <c r="AN97">
        <f t="shared" si="76"/>
        <v>0</v>
      </c>
      <c r="AO97">
        <f t="shared" si="76"/>
        <v>0</v>
      </c>
      <c r="AP97">
        <f t="shared" si="76"/>
        <v>0</v>
      </c>
      <c r="AQ97">
        <f t="shared" si="72"/>
        <v>0</v>
      </c>
      <c r="AR97">
        <f>E97+Q97+R97+S97+T97+U97+V97+W97+Y97+Z97+AA97+AB97+AC97+AD97+AE97+AF97+AG97+AH97+AI97+AJ97+AK97+AL97+AM97+AN97+AO97+AP97+AQ97</f>
        <v>0</v>
      </c>
      <c r="AS97">
        <f>D97+X117-AR97</f>
        <v>0</v>
      </c>
    </row>
    <row r="98" spans="1:45" ht="38.25" customHeight="1">
      <c r="A98" t="s">
        <v>71</v>
      </c>
      <c r="B98" t="s">
        <v>135</v>
      </c>
      <c r="C98" s="105" t="s">
        <v>72</v>
      </c>
      <c r="D98">
        <f t="shared" si="59"/>
        <v>157.42999999999998</v>
      </c>
      <c r="E98">
        <f t="shared" si="39"/>
        <v>6.51</v>
      </c>
      <c r="F98">
        <f t="shared" si="60"/>
        <v>0</v>
      </c>
      <c r="G98">
        <f t="shared" si="61"/>
        <v>0</v>
      </c>
      <c r="H98">
        <f t="shared" si="62"/>
        <v>0</v>
      </c>
      <c r="I98">
        <f t="shared" si="63"/>
        <v>0</v>
      </c>
      <c r="J98">
        <f t="shared" si="64"/>
        <v>0</v>
      </c>
      <c r="K98">
        <f t="shared" si="65"/>
        <v>0</v>
      </c>
      <c r="L98">
        <f t="shared" si="66"/>
        <v>0</v>
      </c>
      <c r="M98">
        <f t="shared" si="67"/>
        <v>6.51</v>
      </c>
      <c r="N98">
        <f t="shared" si="68"/>
        <v>0</v>
      </c>
      <c r="O98">
        <f t="shared" si="69"/>
        <v>0</v>
      </c>
      <c r="P98">
        <f t="shared" si="73"/>
        <v>150.91999999999999</v>
      </c>
      <c r="Q98">
        <f t="shared" si="77"/>
        <v>0</v>
      </c>
      <c r="R98">
        <f t="shared" si="77"/>
        <v>0</v>
      </c>
      <c r="S98">
        <f t="shared" si="77"/>
        <v>0</v>
      </c>
      <c r="T98">
        <f>Z34</f>
        <v>0</v>
      </c>
      <c r="U98">
        <f>AA34</f>
        <v>0</v>
      </c>
      <c r="V98">
        <f>AB34</f>
        <v>0.02</v>
      </c>
      <c r="W98">
        <f>AC34</f>
        <v>0</v>
      </c>
      <c r="X98">
        <f>AD34</f>
        <v>0</v>
      </c>
      <c r="Y98">
        <f>D98-AR98</f>
        <v>150.74999999999997</v>
      </c>
      <c r="Z98">
        <f t="shared" si="75"/>
        <v>0</v>
      </c>
      <c r="AA98">
        <f t="shared" si="76"/>
        <v>0</v>
      </c>
      <c r="AB98">
        <f t="shared" si="76"/>
        <v>0</v>
      </c>
      <c r="AC98">
        <f t="shared" si="76"/>
        <v>0.15</v>
      </c>
      <c r="AD98">
        <f t="shared" si="76"/>
        <v>0</v>
      </c>
      <c r="AE98">
        <f t="shared" si="76"/>
        <v>0</v>
      </c>
      <c r="AF98">
        <f t="shared" si="76"/>
        <v>0</v>
      </c>
      <c r="AG98">
        <f t="shared" si="76"/>
        <v>0</v>
      </c>
      <c r="AH98">
        <f t="shared" si="76"/>
        <v>0</v>
      </c>
      <c r="AI98">
        <f t="shared" si="76"/>
        <v>0</v>
      </c>
      <c r="AJ98">
        <f t="shared" si="76"/>
        <v>0</v>
      </c>
      <c r="AK98">
        <f t="shared" si="76"/>
        <v>0</v>
      </c>
      <c r="AL98">
        <f t="shared" si="76"/>
        <v>0</v>
      </c>
      <c r="AM98">
        <f t="shared" si="76"/>
        <v>0</v>
      </c>
      <c r="AN98">
        <f t="shared" si="76"/>
        <v>0</v>
      </c>
      <c r="AO98">
        <f t="shared" si="76"/>
        <v>0</v>
      </c>
      <c r="AP98">
        <f t="shared" si="76"/>
        <v>0</v>
      </c>
      <c r="AQ98">
        <f t="shared" si="72"/>
        <v>0</v>
      </c>
      <c r="AR98">
        <f>E98+Q98+R98+S98+T98+U98+V98+W98+X98+Z98+AA98+AB98+AC98+AD98+AE98+AF98+AG98+AH98+AI98+AJ98+AK98+AL98+AM98+AN98+AO98+AP98+AQ98</f>
        <v>6.68</v>
      </c>
      <c r="AS98">
        <f>D98+Y117-AR98</f>
        <v>166.46999999999997</v>
      </c>
    </row>
    <row r="99" spans="1:45" ht="20.25" customHeight="1">
      <c r="A99" t="s">
        <v>73</v>
      </c>
      <c r="B99" t="s">
        <v>74</v>
      </c>
      <c r="C99" s="105" t="s">
        <v>75</v>
      </c>
      <c r="D99">
        <f>D46</f>
        <v>7.0000000000000007E-2</v>
      </c>
      <c r="E99">
        <f t="shared" si="39"/>
        <v>0</v>
      </c>
      <c r="F99">
        <f>H46</f>
        <v>0</v>
      </c>
      <c r="G99">
        <f>I46</f>
        <v>0</v>
      </c>
      <c r="H99">
        <f>M46</f>
        <v>0</v>
      </c>
      <c r="I99">
        <f>N46</f>
        <v>0</v>
      </c>
      <c r="J99">
        <f t="shared" ref="J99:O114" si="79">P46</f>
        <v>0</v>
      </c>
      <c r="K99">
        <f t="shared" si="79"/>
        <v>0</v>
      </c>
      <c r="L99">
        <f t="shared" si="79"/>
        <v>0</v>
      </c>
      <c r="M99">
        <f t="shared" si="79"/>
        <v>0</v>
      </c>
      <c r="N99">
        <f t="shared" si="79"/>
        <v>0</v>
      </c>
      <c r="O99">
        <f t="shared" si="79"/>
        <v>0</v>
      </c>
      <c r="P99">
        <f t="shared" si="73"/>
        <v>7.0000000000000007E-2</v>
      </c>
      <c r="Q99">
        <f t="shared" ref="Q99:Y114" si="80">W46</f>
        <v>0</v>
      </c>
      <c r="R99">
        <f t="shared" si="80"/>
        <v>0</v>
      </c>
      <c r="S99">
        <f t="shared" si="80"/>
        <v>0</v>
      </c>
      <c r="T99">
        <f t="shared" si="80"/>
        <v>0</v>
      </c>
      <c r="U99">
        <f t="shared" si="80"/>
        <v>0</v>
      </c>
      <c r="V99">
        <f t="shared" si="80"/>
        <v>0</v>
      </c>
      <c r="W99">
        <f t="shared" si="80"/>
        <v>0</v>
      </c>
      <c r="X99">
        <f t="shared" si="80"/>
        <v>0</v>
      </c>
      <c r="Y99">
        <f t="shared" si="80"/>
        <v>0</v>
      </c>
      <c r="Z99">
        <f>D99-AR99</f>
        <v>7.0000000000000007E-2</v>
      </c>
      <c r="AA99">
        <f>AR46</f>
        <v>0</v>
      </c>
      <c r="AB99">
        <f t="shared" ref="AB99:AQ110" si="81">AS46</f>
        <v>0</v>
      </c>
      <c r="AC99">
        <f t="shared" si="81"/>
        <v>0</v>
      </c>
      <c r="AD99">
        <f t="shared" si="81"/>
        <v>0</v>
      </c>
      <c r="AE99">
        <f t="shared" si="81"/>
        <v>0</v>
      </c>
      <c r="AF99">
        <f t="shared" si="81"/>
        <v>0</v>
      </c>
      <c r="AG99">
        <f t="shared" si="81"/>
        <v>0</v>
      </c>
      <c r="AH99">
        <f t="shared" si="81"/>
        <v>0</v>
      </c>
      <c r="AI99">
        <f t="shared" si="81"/>
        <v>0</v>
      </c>
      <c r="AJ99">
        <f t="shared" si="81"/>
        <v>0</v>
      </c>
      <c r="AK99">
        <f t="shared" si="81"/>
        <v>0</v>
      </c>
      <c r="AL99">
        <f t="shared" si="81"/>
        <v>0</v>
      </c>
      <c r="AM99">
        <f t="shared" si="81"/>
        <v>0</v>
      </c>
      <c r="AN99">
        <f t="shared" si="81"/>
        <v>0</v>
      </c>
      <c r="AO99">
        <f t="shared" si="81"/>
        <v>0</v>
      </c>
      <c r="AP99">
        <f t="shared" si="81"/>
        <v>0</v>
      </c>
      <c r="AQ99">
        <f t="shared" si="81"/>
        <v>0</v>
      </c>
      <c r="AR99">
        <f>E99+Q99+R99+S99+T99+U99+V99+W99+X99+Y99+AA99+AB99+AC99+AD99+AE99+AF99+AG99+AH99+AI99+AJ99+AK99+AL99+AM99+AN99+AO99+AP99+AQ99</f>
        <v>0</v>
      </c>
      <c r="AS99">
        <f>D99+Z117-AR99</f>
        <v>7.0000000000000007E-2</v>
      </c>
    </row>
    <row r="100" spans="1:45" ht="20.25" customHeight="1">
      <c r="A100" t="s">
        <v>76</v>
      </c>
      <c r="B100" t="s">
        <v>77</v>
      </c>
      <c r="C100" s="105" t="s">
        <v>78</v>
      </c>
      <c r="D100">
        <f t="shared" ref="D100:D115" si="82">D47</f>
        <v>0</v>
      </c>
      <c r="E100">
        <f t="shared" si="39"/>
        <v>0</v>
      </c>
      <c r="F100">
        <f t="shared" ref="F100:G116" si="83">H47</f>
        <v>0</v>
      </c>
      <c r="G100">
        <f t="shared" si="83"/>
        <v>0</v>
      </c>
      <c r="H100">
        <f t="shared" ref="H100:I116" si="84">M47</f>
        <v>0</v>
      </c>
      <c r="I100">
        <f t="shared" si="84"/>
        <v>0</v>
      </c>
      <c r="J100">
        <f t="shared" si="79"/>
        <v>0</v>
      </c>
      <c r="K100">
        <f t="shared" si="79"/>
        <v>0</v>
      </c>
      <c r="L100">
        <f t="shared" si="79"/>
        <v>0</v>
      </c>
      <c r="M100">
        <f t="shared" si="79"/>
        <v>0</v>
      </c>
      <c r="N100">
        <f t="shared" si="79"/>
        <v>0</v>
      </c>
      <c r="O100">
        <f t="shared" si="79"/>
        <v>0</v>
      </c>
      <c r="P100">
        <f t="shared" si="73"/>
        <v>0</v>
      </c>
      <c r="Q100">
        <f t="shared" si="80"/>
        <v>0</v>
      </c>
      <c r="R100">
        <f t="shared" si="80"/>
        <v>0</v>
      </c>
      <c r="S100">
        <f t="shared" si="80"/>
        <v>0</v>
      </c>
      <c r="T100">
        <f t="shared" si="80"/>
        <v>0</v>
      </c>
      <c r="U100">
        <f t="shared" si="80"/>
        <v>0</v>
      </c>
      <c r="V100">
        <f t="shared" si="80"/>
        <v>0</v>
      </c>
      <c r="W100">
        <f t="shared" si="80"/>
        <v>0</v>
      </c>
      <c r="X100">
        <f t="shared" si="80"/>
        <v>0</v>
      </c>
      <c r="Y100">
        <f t="shared" si="80"/>
        <v>0</v>
      </c>
      <c r="Z100">
        <f>AQ47</f>
        <v>0</v>
      </c>
      <c r="AA100">
        <f>D100-AR100</f>
        <v>0</v>
      </c>
      <c r="AB100">
        <f>AS47</f>
        <v>0</v>
      </c>
      <c r="AC100">
        <f t="shared" si="81"/>
        <v>0</v>
      </c>
      <c r="AD100">
        <f t="shared" si="81"/>
        <v>0</v>
      </c>
      <c r="AE100">
        <f t="shared" si="81"/>
        <v>0</v>
      </c>
      <c r="AF100">
        <f t="shared" si="81"/>
        <v>0</v>
      </c>
      <c r="AG100">
        <f t="shared" si="81"/>
        <v>0</v>
      </c>
      <c r="AH100">
        <f t="shared" si="81"/>
        <v>0</v>
      </c>
      <c r="AI100">
        <f t="shared" si="81"/>
        <v>0</v>
      </c>
      <c r="AJ100">
        <f t="shared" si="81"/>
        <v>0</v>
      </c>
      <c r="AK100">
        <f t="shared" si="81"/>
        <v>0</v>
      </c>
      <c r="AL100">
        <f t="shared" si="81"/>
        <v>0</v>
      </c>
      <c r="AM100">
        <f t="shared" si="81"/>
        <v>0</v>
      </c>
      <c r="AN100">
        <f t="shared" si="81"/>
        <v>0</v>
      </c>
      <c r="AO100">
        <f t="shared" si="81"/>
        <v>0</v>
      </c>
      <c r="AP100">
        <f t="shared" si="81"/>
        <v>0</v>
      </c>
      <c r="AQ100">
        <f t="shared" si="81"/>
        <v>0</v>
      </c>
      <c r="AR100">
        <f>E100+Q100+R100+S100+T100+U100+V100+W100+X100+Y100+Z100+AB100+AC100+AD100+AE100+AF100+AG100+AH100+AI100+AJ100+AK100+AL100+AM100+AN100+AO100+AP100+AQ100</f>
        <v>0</v>
      </c>
      <c r="AS100">
        <f>D100+AA117-AR100</f>
        <v>0</v>
      </c>
    </row>
    <row r="101" spans="1:45" ht="20.25" customHeight="1">
      <c r="A101" t="s">
        <v>79</v>
      </c>
      <c r="B101" t="s">
        <v>80</v>
      </c>
      <c r="C101" s="105" t="s">
        <v>81</v>
      </c>
      <c r="D101">
        <f t="shared" si="82"/>
        <v>0.01</v>
      </c>
      <c r="E101">
        <f t="shared" si="39"/>
        <v>0</v>
      </c>
      <c r="F101">
        <f t="shared" si="83"/>
        <v>0</v>
      </c>
      <c r="G101">
        <f t="shared" si="83"/>
        <v>0</v>
      </c>
      <c r="H101">
        <f t="shared" si="84"/>
        <v>0</v>
      </c>
      <c r="I101">
        <f t="shared" si="84"/>
        <v>0</v>
      </c>
      <c r="J101">
        <f t="shared" si="79"/>
        <v>0</v>
      </c>
      <c r="K101">
        <f t="shared" si="79"/>
        <v>0</v>
      </c>
      <c r="L101">
        <f t="shared" si="79"/>
        <v>0</v>
      </c>
      <c r="M101">
        <f t="shared" si="79"/>
        <v>0</v>
      </c>
      <c r="N101">
        <f t="shared" si="79"/>
        <v>0</v>
      </c>
      <c r="O101">
        <f t="shared" si="79"/>
        <v>0</v>
      </c>
      <c r="P101">
        <f t="shared" si="73"/>
        <v>0.01</v>
      </c>
      <c r="Q101">
        <f t="shared" si="80"/>
        <v>0</v>
      </c>
      <c r="R101">
        <f t="shared" si="80"/>
        <v>0</v>
      </c>
      <c r="S101">
        <f t="shared" si="80"/>
        <v>0</v>
      </c>
      <c r="T101">
        <f t="shared" si="80"/>
        <v>0</v>
      </c>
      <c r="U101">
        <f t="shared" si="80"/>
        <v>0</v>
      </c>
      <c r="V101">
        <f t="shared" si="80"/>
        <v>0</v>
      </c>
      <c r="W101">
        <f t="shared" si="80"/>
        <v>0</v>
      </c>
      <c r="X101">
        <f t="shared" si="80"/>
        <v>0</v>
      </c>
      <c r="Y101">
        <f t="shared" si="80"/>
        <v>0</v>
      </c>
      <c r="Z101">
        <f t="shared" ref="Z101:AK116" si="85">AQ48</f>
        <v>0</v>
      </c>
      <c r="AA101">
        <f t="shared" si="85"/>
        <v>0</v>
      </c>
      <c r="AB101">
        <f>D101-AR101</f>
        <v>0.01</v>
      </c>
      <c r="AC101">
        <f>AT48</f>
        <v>0</v>
      </c>
      <c r="AD101">
        <f t="shared" si="81"/>
        <v>0</v>
      </c>
      <c r="AE101">
        <f t="shared" si="81"/>
        <v>0</v>
      </c>
      <c r="AF101">
        <f t="shared" si="81"/>
        <v>0</v>
      </c>
      <c r="AG101">
        <f t="shared" si="81"/>
        <v>0</v>
      </c>
      <c r="AH101">
        <f t="shared" si="81"/>
        <v>0</v>
      </c>
      <c r="AI101">
        <f t="shared" si="81"/>
        <v>0</v>
      </c>
      <c r="AJ101">
        <f t="shared" si="81"/>
        <v>0</v>
      </c>
      <c r="AK101">
        <f t="shared" si="81"/>
        <v>0</v>
      </c>
      <c r="AL101">
        <f t="shared" si="81"/>
        <v>0</v>
      </c>
      <c r="AM101">
        <f t="shared" si="81"/>
        <v>0</v>
      </c>
      <c r="AN101">
        <f t="shared" si="81"/>
        <v>0</v>
      </c>
      <c r="AO101">
        <f t="shared" si="81"/>
        <v>0</v>
      </c>
      <c r="AP101">
        <f t="shared" si="81"/>
        <v>0</v>
      </c>
      <c r="AQ101">
        <f t="shared" si="81"/>
        <v>0</v>
      </c>
      <c r="AR101">
        <f>E101+Q101+R101+S101+T101+U101+V101+W101+X101+Y101+Z101+AA101+AC101+AD101+AE101+AF101+AG101+AH101+AI101+AJ101+AK101+AL101+AM101+AN101+AO101+AP101+AQ101</f>
        <v>0</v>
      </c>
      <c r="AS101">
        <f>D101+AB117-AR101</f>
        <v>1.23</v>
      </c>
    </row>
    <row r="102" spans="1:45" ht="20.25" customHeight="1">
      <c r="A102" t="s">
        <v>82</v>
      </c>
      <c r="B102" t="s">
        <v>83</v>
      </c>
      <c r="C102" s="105" t="s">
        <v>84</v>
      </c>
      <c r="D102">
        <f t="shared" si="82"/>
        <v>49.83</v>
      </c>
      <c r="E102">
        <f t="shared" si="39"/>
        <v>0</v>
      </c>
      <c r="F102">
        <f t="shared" si="83"/>
        <v>0</v>
      </c>
      <c r="G102">
        <f t="shared" si="83"/>
        <v>0</v>
      </c>
      <c r="H102">
        <f t="shared" si="84"/>
        <v>0</v>
      </c>
      <c r="I102">
        <f t="shared" si="84"/>
        <v>0</v>
      </c>
      <c r="J102">
        <f t="shared" si="79"/>
        <v>0</v>
      </c>
      <c r="K102">
        <f t="shared" si="79"/>
        <v>0</v>
      </c>
      <c r="L102">
        <f t="shared" si="79"/>
        <v>0</v>
      </c>
      <c r="M102">
        <f t="shared" si="79"/>
        <v>0</v>
      </c>
      <c r="N102">
        <f t="shared" si="79"/>
        <v>0</v>
      </c>
      <c r="O102">
        <f t="shared" si="79"/>
        <v>0</v>
      </c>
      <c r="P102">
        <f t="shared" si="73"/>
        <v>49.83</v>
      </c>
      <c r="Q102">
        <f t="shared" si="80"/>
        <v>0</v>
      </c>
      <c r="R102">
        <f t="shared" si="80"/>
        <v>0</v>
      </c>
      <c r="S102">
        <f t="shared" si="80"/>
        <v>0</v>
      </c>
      <c r="T102">
        <f t="shared" si="80"/>
        <v>0</v>
      </c>
      <c r="U102">
        <f t="shared" si="80"/>
        <v>0</v>
      </c>
      <c r="V102">
        <f t="shared" si="80"/>
        <v>0</v>
      </c>
      <c r="W102">
        <f t="shared" si="80"/>
        <v>0</v>
      </c>
      <c r="X102">
        <f t="shared" si="80"/>
        <v>0</v>
      </c>
      <c r="Y102">
        <f t="shared" si="80"/>
        <v>0.28000000000000003</v>
      </c>
      <c r="Z102">
        <f t="shared" si="85"/>
        <v>0</v>
      </c>
      <c r="AA102">
        <f t="shared" si="85"/>
        <v>0</v>
      </c>
      <c r="AB102">
        <f t="shared" si="85"/>
        <v>0</v>
      </c>
      <c r="AC102">
        <f>D102-AR102</f>
        <v>49.55</v>
      </c>
      <c r="AD102">
        <f>AU49</f>
        <v>0</v>
      </c>
      <c r="AE102">
        <f t="shared" si="81"/>
        <v>0</v>
      </c>
      <c r="AF102">
        <f t="shared" si="81"/>
        <v>0</v>
      </c>
      <c r="AG102">
        <f t="shared" si="81"/>
        <v>0</v>
      </c>
      <c r="AH102">
        <f t="shared" si="81"/>
        <v>0</v>
      </c>
      <c r="AI102">
        <f t="shared" si="81"/>
        <v>0</v>
      </c>
      <c r="AJ102">
        <f t="shared" si="81"/>
        <v>0</v>
      </c>
      <c r="AK102">
        <f t="shared" si="81"/>
        <v>0</v>
      </c>
      <c r="AL102">
        <f t="shared" si="81"/>
        <v>0</v>
      </c>
      <c r="AM102">
        <f t="shared" si="81"/>
        <v>0</v>
      </c>
      <c r="AN102">
        <f t="shared" si="81"/>
        <v>0</v>
      </c>
      <c r="AO102">
        <f t="shared" si="81"/>
        <v>0</v>
      </c>
      <c r="AP102">
        <f t="shared" si="81"/>
        <v>0</v>
      </c>
      <c r="AQ102">
        <f t="shared" si="81"/>
        <v>0</v>
      </c>
      <c r="AR102">
        <f>E102+Q102+R102+S102+T102+U102+V102+W102+X102+Y102+Z102+AA102+AB102+AD102+AE102+AF102+AG102+AH102+AI102+AJ102+AK102+AL102+AM102+AN102+AO102+AP102+AQ102</f>
        <v>0.28000000000000003</v>
      </c>
      <c r="AS102">
        <f>D102+AC117-AR102</f>
        <v>50.5</v>
      </c>
    </row>
    <row r="103" spans="1:45" ht="20.25" customHeight="1">
      <c r="A103" t="s">
        <v>85</v>
      </c>
      <c r="B103" t="s">
        <v>86</v>
      </c>
      <c r="C103" s="105" t="s">
        <v>87</v>
      </c>
      <c r="D103">
        <f t="shared" si="82"/>
        <v>0</v>
      </c>
      <c r="E103">
        <f t="shared" si="39"/>
        <v>0</v>
      </c>
      <c r="F103">
        <f t="shared" si="83"/>
        <v>0</v>
      </c>
      <c r="G103">
        <f t="shared" si="83"/>
        <v>0</v>
      </c>
      <c r="H103">
        <f t="shared" si="84"/>
        <v>0</v>
      </c>
      <c r="I103">
        <f t="shared" si="84"/>
        <v>0</v>
      </c>
      <c r="J103">
        <f t="shared" si="79"/>
        <v>0</v>
      </c>
      <c r="K103">
        <f t="shared" si="79"/>
        <v>0</v>
      </c>
      <c r="L103">
        <f t="shared" si="79"/>
        <v>0</v>
      </c>
      <c r="M103">
        <f t="shared" si="79"/>
        <v>0</v>
      </c>
      <c r="N103">
        <f t="shared" si="79"/>
        <v>0</v>
      </c>
      <c r="O103">
        <f t="shared" si="79"/>
        <v>0</v>
      </c>
      <c r="P103">
        <f t="shared" si="73"/>
        <v>0</v>
      </c>
      <c r="Q103">
        <f t="shared" si="80"/>
        <v>0</v>
      </c>
      <c r="R103">
        <f t="shared" si="80"/>
        <v>0</v>
      </c>
      <c r="S103">
        <f t="shared" si="80"/>
        <v>0</v>
      </c>
      <c r="T103">
        <f t="shared" si="80"/>
        <v>0</v>
      </c>
      <c r="U103">
        <f t="shared" si="80"/>
        <v>0</v>
      </c>
      <c r="V103">
        <f t="shared" si="80"/>
        <v>0</v>
      </c>
      <c r="W103">
        <f t="shared" si="80"/>
        <v>0</v>
      </c>
      <c r="X103">
        <f t="shared" si="80"/>
        <v>0</v>
      </c>
      <c r="Y103">
        <f t="shared" si="80"/>
        <v>0</v>
      </c>
      <c r="Z103">
        <f t="shared" si="85"/>
        <v>0</v>
      </c>
      <c r="AA103">
        <f t="shared" si="85"/>
        <v>0</v>
      </c>
      <c r="AB103">
        <f t="shared" si="85"/>
        <v>0</v>
      </c>
      <c r="AC103">
        <f t="shared" si="85"/>
        <v>0</v>
      </c>
      <c r="AD103">
        <f>D103-AR103</f>
        <v>0</v>
      </c>
      <c r="AE103">
        <f>AV50</f>
        <v>0</v>
      </c>
      <c r="AF103">
        <f t="shared" si="81"/>
        <v>0</v>
      </c>
      <c r="AG103">
        <f t="shared" si="81"/>
        <v>0</v>
      </c>
      <c r="AH103">
        <f t="shared" si="81"/>
        <v>0</v>
      </c>
      <c r="AI103">
        <f t="shared" si="81"/>
        <v>0</v>
      </c>
      <c r="AJ103">
        <f t="shared" si="81"/>
        <v>0</v>
      </c>
      <c r="AK103">
        <f t="shared" si="81"/>
        <v>0</v>
      </c>
      <c r="AL103">
        <f t="shared" si="81"/>
        <v>0</v>
      </c>
      <c r="AM103">
        <f t="shared" si="81"/>
        <v>0</v>
      </c>
      <c r="AN103">
        <f t="shared" si="81"/>
        <v>0</v>
      </c>
      <c r="AO103">
        <f t="shared" si="81"/>
        <v>0</v>
      </c>
      <c r="AP103">
        <f t="shared" si="81"/>
        <v>0</v>
      </c>
      <c r="AQ103">
        <f t="shared" si="81"/>
        <v>0</v>
      </c>
      <c r="AR103">
        <f>E103+Q103+R103+S103+T103+U103+V103+W103+X103+Y103+Z103+AA103+AB103+AC103+AE103+AF103+AG103+AH103+AI103+AJ103+AK103+AL103+AM103+AN103+AO103+AP103+AQ103</f>
        <v>0</v>
      </c>
      <c r="AS103">
        <f>D103+AD117-AR103</f>
        <v>0</v>
      </c>
    </row>
    <row r="104" spans="1:45" ht="20.25" customHeight="1">
      <c r="A104" t="s">
        <v>88</v>
      </c>
      <c r="B104" t="s">
        <v>89</v>
      </c>
      <c r="C104" s="105" t="s">
        <v>90</v>
      </c>
      <c r="D104">
        <f t="shared" si="82"/>
        <v>0.91</v>
      </c>
      <c r="E104">
        <f t="shared" si="39"/>
        <v>0</v>
      </c>
      <c r="F104">
        <f t="shared" si="83"/>
        <v>0</v>
      </c>
      <c r="G104">
        <f t="shared" si="83"/>
        <v>0</v>
      </c>
      <c r="H104">
        <f t="shared" si="84"/>
        <v>0</v>
      </c>
      <c r="I104">
        <f t="shared" si="84"/>
        <v>0</v>
      </c>
      <c r="J104">
        <f t="shared" si="79"/>
        <v>0</v>
      </c>
      <c r="K104">
        <f t="shared" si="79"/>
        <v>0</v>
      </c>
      <c r="L104">
        <f t="shared" si="79"/>
        <v>0</v>
      </c>
      <c r="M104">
        <f t="shared" si="79"/>
        <v>0</v>
      </c>
      <c r="N104">
        <f t="shared" si="79"/>
        <v>0</v>
      </c>
      <c r="O104">
        <f t="shared" si="79"/>
        <v>0</v>
      </c>
      <c r="P104">
        <f t="shared" si="73"/>
        <v>0.91</v>
      </c>
      <c r="Q104">
        <f t="shared" si="80"/>
        <v>0</v>
      </c>
      <c r="R104">
        <f t="shared" si="80"/>
        <v>0</v>
      </c>
      <c r="S104">
        <f t="shared" si="80"/>
        <v>0</v>
      </c>
      <c r="T104">
        <f t="shared" si="80"/>
        <v>0</v>
      </c>
      <c r="U104">
        <f t="shared" si="80"/>
        <v>0</v>
      </c>
      <c r="V104">
        <f t="shared" si="80"/>
        <v>0</v>
      </c>
      <c r="W104">
        <f t="shared" si="80"/>
        <v>0</v>
      </c>
      <c r="X104">
        <f t="shared" si="80"/>
        <v>0</v>
      </c>
      <c r="Y104">
        <f t="shared" si="80"/>
        <v>0</v>
      </c>
      <c r="Z104">
        <f t="shared" si="85"/>
        <v>0</v>
      </c>
      <c r="AA104">
        <f t="shared" si="85"/>
        <v>0</v>
      </c>
      <c r="AB104">
        <f t="shared" si="85"/>
        <v>0</v>
      </c>
      <c r="AC104">
        <f t="shared" si="85"/>
        <v>0</v>
      </c>
      <c r="AD104">
        <f t="shared" si="85"/>
        <v>0</v>
      </c>
      <c r="AE104">
        <f>D104-AR104</f>
        <v>0.91</v>
      </c>
      <c r="AF104">
        <f>AW51</f>
        <v>0</v>
      </c>
      <c r="AG104">
        <f t="shared" si="81"/>
        <v>0</v>
      </c>
      <c r="AH104">
        <f t="shared" si="81"/>
        <v>0</v>
      </c>
      <c r="AI104">
        <f t="shared" si="81"/>
        <v>0</v>
      </c>
      <c r="AJ104">
        <f t="shared" si="81"/>
        <v>0</v>
      </c>
      <c r="AK104">
        <f t="shared" si="81"/>
        <v>0</v>
      </c>
      <c r="AL104">
        <f t="shared" si="81"/>
        <v>0</v>
      </c>
      <c r="AM104">
        <f t="shared" si="81"/>
        <v>0</v>
      </c>
      <c r="AN104">
        <f t="shared" si="81"/>
        <v>0</v>
      </c>
      <c r="AO104">
        <f t="shared" si="81"/>
        <v>0</v>
      </c>
      <c r="AP104">
        <f t="shared" si="81"/>
        <v>0</v>
      </c>
      <c r="AQ104">
        <f t="shared" si="81"/>
        <v>0</v>
      </c>
      <c r="AR104">
        <f>E104+Q104+R104+S104+T104+U104+V104+W104+X104+Y104+Z104+AA104+AB104+AC104+AD104+AF104+AG104+AH104+AI104+AJ104+AK104+AL104+AM104+AN104+AO104+AP104+AQ104</f>
        <v>0</v>
      </c>
      <c r="AS104">
        <f>D104+AE117-AR104</f>
        <v>0.91</v>
      </c>
    </row>
    <row r="105" spans="1:45" ht="37.5" customHeight="1">
      <c r="A105" t="s">
        <v>91</v>
      </c>
      <c r="B105" t="s">
        <v>92</v>
      </c>
      <c r="C105" s="105" t="s">
        <v>93</v>
      </c>
      <c r="D105">
        <f t="shared" si="82"/>
        <v>0</v>
      </c>
      <c r="E105">
        <f t="shared" si="39"/>
        <v>0</v>
      </c>
      <c r="F105">
        <f t="shared" si="83"/>
        <v>0</v>
      </c>
      <c r="G105">
        <f t="shared" si="83"/>
        <v>0</v>
      </c>
      <c r="H105">
        <f t="shared" si="84"/>
        <v>0</v>
      </c>
      <c r="I105">
        <f t="shared" si="84"/>
        <v>0</v>
      </c>
      <c r="J105">
        <f t="shared" si="79"/>
        <v>0</v>
      </c>
      <c r="K105">
        <f t="shared" si="79"/>
        <v>0</v>
      </c>
      <c r="L105">
        <f t="shared" si="79"/>
        <v>0</v>
      </c>
      <c r="M105">
        <f t="shared" si="79"/>
        <v>0</v>
      </c>
      <c r="N105">
        <f t="shared" si="79"/>
        <v>0</v>
      </c>
      <c r="O105">
        <f t="shared" si="79"/>
        <v>0</v>
      </c>
      <c r="P105">
        <f t="shared" si="73"/>
        <v>0</v>
      </c>
      <c r="Q105">
        <f t="shared" si="80"/>
        <v>0</v>
      </c>
      <c r="R105">
        <f t="shared" si="80"/>
        <v>0</v>
      </c>
      <c r="S105">
        <f t="shared" si="80"/>
        <v>0</v>
      </c>
      <c r="T105">
        <f t="shared" si="80"/>
        <v>0</v>
      </c>
      <c r="U105">
        <f t="shared" si="80"/>
        <v>0</v>
      </c>
      <c r="V105">
        <f t="shared" si="80"/>
        <v>0</v>
      </c>
      <c r="W105">
        <f t="shared" si="80"/>
        <v>0</v>
      </c>
      <c r="X105">
        <f t="shared" si="80"/>
        <v>0</v>
      </c>
      <c r="Y105">
        <f t="shared" si="80"/>
        <v>0</v>
      </c>
      <c r="Z105">
        <f t="shared" si="85"/>
        <v>0</v>
      </c>
      <c r="AA105">
        <f t="shared" si="85"/>
        <v>0</v>
      </c>
      <c r="AB105">
        <f t="shared" si="85"/>
        <v>0</v>
      </c>
      <c r="AC105">
        <f t="shared" si="85"/>
        <v>0</v>
      </c>
      <c r="AD105">
        <f t="shared" si="85"/>
        <v>0</v>
      </c>
      <c r="AE105">
        <f t="shared" si="85"/>
        <v>0</v>
      </c>
      <c r="AF105">
        <f>D105-AR105</f>
        <v>0</v>
      </c>
      <c r="AG105">
        <f>AX52</f>
        <v>0</v>
      </c>
      <c r="AH105">
        <f t="shared" si="81"/>
        <v>0</v>
      </c>
      <c r="AI105">
        <f t="shared" si="81"/>
        <v>0</v>
      </c>
      <c r="AJ105">
        <f t="shared" si="81"/>
        <v>0</v>
      </c>
      <c r="AK105">
        <f t="shared" si="81"/>
        <v>0</v>
      </c>
      <c r="AL105">
        <f t="shared" si="81"/>
        <v>0</v>
      </c>
      <c r="AM105">
        <f t="shared" si="81"/>
        <v>0</v>
      </c>
      <c r="AN105">
        <f t="shared" si="81"/>
        <v>0</v>
      </c>
      <c r="AO105">
        <f t="shared" si="81"/>
        <v>0</v>
      </c>
      <c r="AP105">
        <f t="shared" si="81"/>
        <v>0</v>
      </c>
      <c r="AQ105">
        <f t="shared" si="81"/>
        <v>0</v>
      </c>
      <c r="AR105">
        <f>E105+Q105+R105+S105+T105+U105+V105+W105+X105+Y105+Z105+AA105+AB105+AC105+AD105+AE105+AG105+AH105+AI105+AJ105+AK105+AL105+AM105+AN105+AO105+AP105+AQ105</f>
        <v>0</v>
      </c>
      <c r="AS105">
        <f>D105+AF117-AR105</f>
        <v>0</v>
      </c>
    </row>
    <row r="106" spans="1:45" ht="20.25" customHeight="1">
      <c r="A106" t="s">
        <v>94</v>
      </c>
      <c r="B106" t="s">
        <v>95</v>
      </c>
      <c r="C106" s="105" t="s">
        <v>96</v>
      </c>
      <c r="D106">
        <f t="shared" si="82"/>
        <v>0</v>
      </c>
      <c r="E106">
        <f t="shared" si="39"/>
        <v>0</v>
      </c>
      <c r="F106">
        <f t="shared" si="83"/>
        <v>0</v>
      </c>
      <c r="G106">
        <f t="shared" si="83"/>
        <v>0</v>
      </c>
      <c r="H106">
        <f t="shared" si="84"/>
        <v>0</v>
      </c>
      <c r="I106">
        <f t="shared" si="84"/>
        <v>0</v>
      </c>
      <c r="J106">
        <f t="shared" si="79"/>
        <v>0</v>
      </c>
      <c r="K106">
        <f t="shared" si="79"/>
        <v>0</v>
      </c>
      <c r="L106">
        <f t="shared" si="79"/>
        <v>0</v>
      </c>
      <c r="M106">
        <f t="shared" si="79"/>
        <v>0</v>
      </c>
      <c r="N106">
        <f t="shared" si="79"/>
        <v>0</v>
      </c>
      <c r="O106">
        <f t="shared" si="79"/>
        <v>0</v>
      </c>
      <c r="P106">
        <f t="shared" si="73"/>
        <v>0</v>
      </c>
      <c r="Q106">
        <f t="shared" si="80"/>
        <v>0</v>
      </c>
      <c r="R106">
        <f t="shared" si="80"/>
        <v>0</v>
      </c>
      <c r="S106">
        <f t="shared" si="80"/>
        <v>0</v>
      </c>
      <c r="T106">
        <f t="shared" si="80"/>
        <v>0</v>
      </c>
      <c r="U106">
        <f t="shared" si="80"/>
        <v>0</v>
      </c>
      <c r="V106">
        <f t="shared" si="80"/>
        <v>0</v>
      </c>
      <c r="W106">
        <f t="shared" si="80"/>
        <v>0</v>
      </c>
      <c r="X106">
        <f t="shared" si="80"/>
        <v>0</v>
      </c>
      <c r="Y106">
        <f t="shared" si="80"/>
        <v>0</v>
      </c>
      <c r="Z106">
        <f t="shared" si="85"/>
        <v>0</v>
      </c>
      <c r="AA106">
        <f t="shared" si="85"/>
        <v>0</v>
      </c>
      <c r="AB106">
        <f t="shared" si="85"/>
        <v>0</v>
      </c>
      <c r="AC106">
        <f t="shared" si="85"/>
        <v>0</v>
      </c>
      <c r="AD106">
        <f t="shared" si="85"/>
        <v>0</v>
      </c>
      <c r="AE106">
        <f t="shared" si="85"/>
        <v>0</v>
      </c>
      <c r="AF106">
        <f t="shared" si="85"/>
        <v>0</v>
      </c>
      <c r="AG106">
        <f>D106-AR106</f>
        <v>0</v>
      </c>
      <c r="AH106">
        <f>AY53</f>
        <v>0</v>
      </c>
      <c r="AI106">
        <f t="shared" si="81"/>
        <v>0</v>
      </c>
      <c r="AJ106">
        <f t="shared" si="81"/>
        <v>0</v>
      </c>
      <c r="AK106">
        <f t="shared" si="81"/>
        <v>0</v>
      </c>
      <c r="AL106">
        <f t="shared" si="81"/>
        <v>0</v>
      </c>
      <c r="AM106">
        <f t="shared" si="81"/>
        <v>0</v>
      </c>
      <c r="AN106">
        <f t="shared" si="81"/>
        <v>0</v>
      </c>
      <c r="AO106">
        <f t="shared" si="81"/>
        <v>0</v>
      </c>
      <c r="AP106">
        <f t="shared" si="81"/>
        <v>0</v>
      </c>
      <c r="AQ106">
        <f t="shared" si="81"/>
        <v>0</v>
      </c>
      <c r="AR106">
        <f>E106+Q106+R106+S106+T106+U106+V106+W106+X106+Y106+Z106+AA106+AB106+AC106+AD106+AE106+AF106+AH106+AI106+AJ106+AK106+AL106+AM106+AN106+AO106+AP106+AQ106</f>
        <v>0</v>
      </c>
      <c r="AS106">
        <f>D106+AG117-AR106</f>
        <v>0</v>
      </c>
    </row>
    <row r="107" spans="1:45" ht="20.25" customHeight="1">
      <c r="A107" t="s">
        <v>97</v>
      </c>
      <c r="B107" t="s">
        <v>98</v>
      </c>
      <c r="C107" s="105" t="s">
        <v>99</v>
      </c>
      <c r="D107">
        <f t="shared" si="82"/>
        <v>0.71</v>
      </c>
      <c r="E107">
        <f t="shared" si="39"/>
        <v>0</v>
      </c>
      <c r="F107">
        <f t="shared" si="83"/>
        <v>0</v>
      </c>
      <c r="G107">
        <f t="shared" si="83"/>
        <v>0</v>
      </c>
      <c r="H107">
        <f t="shared" si="84"/>
        <v>0</v>
      </c>
      <c r="I107">
        <f t="shared" si="84"/>
        <v>0</v>
      </c>
      <c r="J107">
        <f t="shared" si="79"/>
        <v>0</v>
      </c>
      <c r="K107">
        <f t="shared" si="79"/>
        <v>0</v>
      </c>
      <c r="L107">
        <f t="shared" si="79"/>
        <v>0</v>
      </c>
      <c r="M107">
        <f t="shared" si="79"/>
        <v>0</v>
      </c>
      <c r="N107">
        <f t="shared" si="79"/>
        <v>0</v>
      </c>
      <c r="O107">
        <f t="shared" si="79"/>
        <v>0</v>
      </c>
      <c r="P107">
        <f t="shared" si="73"/>
        <v>0.71</v>
      </c>
      <c r="Q107">
        <f t="shared" si="80"/>
        <v>0</v>
      </c>
      <c r="R107">
        <f t="shared" si="80"/>
        <v>0</v>
      </c>
      <c r="S107">
        <f t="shared" si="80"/>
        <v>0</v>
      </c>
      <c r="T107">
        <f t="shared" si="80"/>
        <v>0</v>
      </c>
      <c r="U107">
        <f t="shared" si="80"/>
        <v>0</v>
      </c>
      <c r="V107">
        <f t="shared" si="80"/>
        <v>0</v>
      </c>
      <c r="W107">
        <f t="shared" si="80"/>
        <v>0</v>
      </c>
      <c r="X107">
        <f t="shared" si="80"/>
        <v>0</v>
      </c>
      <c r="Y107">
        <f t="shared" si="80"/>
        <v>0</v>
      </c>
      <c r="Z107">
        <f t="shared" si="85"/>
        <v>0</v>
      </c>
      <c r="AA107">
        <f t="shared" si="85"/>
        <v>0</v>
      </c>
      <c r="AB107">
        <f t="shared" si="85"/>
        <v>0</v>
      </c>
      <c r="AC107">
        <f t="shared" si="85"/>
        <v>0</v>
      </c>
      <c r="AD107">
        <f t="shared" si="85"/>
        <v>0</v>
      </c>
      <c r="AE107">
        <f t="shared" si="85"/>
        <v>0</v>
      </c>
      <c r="AF107">
        <f t="shared" si="85"/>
        <v>0</v>
      </c>
      <c r="AG107">
        <f t="shared" si="85"/>
        <v>0</v>
      </c>
      <c r="AH107">
        <f>D107-AR107</f>
        <v>0.71</v>
      </c>
      <c r="AI107">
        <f>AZ54</f>
        <v>0</v>
      </c>
      <c r="AJ107">
        <f t="shared" si="81"/>
        <v>0</v>
      </c>
      <c r="AK107">
        <f t="shared" si="81"/>
        <v>0</v>
      </c>
      <c r="AL107">
        <f t="shared" si="81"/>
        <v>0</v>
      </c>
      <c r="AM107">
        <f t="shared" si="81"/>
        <v>0</v>
      </c>
      <c r="AN107">
        <f t="shared" si="81"/>
        <v>0</v>
      </c>
      <c r="AO107">
        <f t="shared" si="81"/>
        <v>0</v>
      </c>
      <c r="AP107">
        <f t="shared" si="81"/>
        <v>0</v>
      </c>
      <c r="AQ107">
        <f t="shared" si="81"/>
        <v>0</v>
      </c>
      <c r="AR107">
        <f>E107+Q107+R107+S107+T107+U107+V107+W107+X107+Y107+Z107+AA107+AB107+AC107+AD107+AE107+AF107+AG107+AI107+AJ107+AK107+AL107+AM107+AN107+AO107+AP107+AQ107</f>
        <v>0</v>
      </c>
      <c r="AS107">
        <f>D107+AH117-AR107</f>
        <v>0.71</v>
      </c>
    </row>
    <row r="108" spans="1:45" ht="31.5" customHeight="1">
      <c r="A108" t="s">
        <v>100</v>
      </c>
      <c r="B108" t="s">
        <v>134</v>
      </c>
      <c r="C108" s="105" t="s">
        <v>101</v>
      </c>
      <c r="D108">
        <f t="shared" si="82"/>
        <v>19</v>
      </c>
      <c r="E108">
        <f t="shared" si="39"/>
        <v>0</v>
      </c>
      <c r="F108">
        <f t="shared" si="83"/>
        <v>0</v>
      </c>
      <c r="G108">
        <f t="shared" si="83"/>
        <v>0</v>
      </c>
      <c r="H108">
        <f t="shared" si="84"/>
        <v>0</v>
      </c>
      <c r="I108">
        <f t="shared" si="84"/>
        <v>0</v>
      </c>
      <c r="J108">
        <f t="shared" si="79"/>
        <v>0</v>
      </c>
      <c r="K108">
        <f t="shared" si="79"/>
        <v>0</v>
      </c>
      <c r="L108">
        <f t="shared" si="79"/>
        <v>0</v>
      </c>
      <c r="M108">
        <f t="shared" si="79"/>
        <v>0</v>
      </c>
      <c r="N108">
        <f t="shared" si="79"/>
        <v>0</v>
      </c>
      <c r="O108">
        <f t="shared" si="79"/>
        <v>0</v>
      </c>
      <c r="P108">
        <f t="shared" si="73"/>
        <v>19</v>
      </c>
      <c r="Q108">
        <f t="shared" si="80"/>
        <v>0</v>
      </c>
      <c r="R108">
        <f t="shared" si="80"/>
        <v>0</v>
      </c>
      <c r="S108">
        <f t="shared" si="80"/>
        <v>0</v>
      </c>
      <c r="T108">
        <f t="shared" si="80"/>
        <v>0</v>
      </c>
      <c r="U108">
        <f t="shared" si="80"/>
        <v>0</v>
      </c>
      <c r="V108">
        <f t="shared" si="80"/>
        <v>0</v>
      </c>
      <c r="W108">
        <f t="shared" si="80"/>
        <v>0</v>
      </c>
      <c r="X108">
        <f t="shared" si="80"/>
        <v>0</v>
      </c>
      <c r="Y108">
        <f t="shared" si="80"/>
        <v>0</v>
      </c>
      <c r="Z108">
        <f t="shared" si="85"/>
        <v>0</v>
      </c>
      <c r="AA108">
        <f t="shared" si="85"/>
        <v>0</v>
      </c>
      <c r="AB108">
        <f t="shared" si="85"/>
        <v>0</v>
      </c>
      <c r="AC108">
        <f t="shared" si="85"/>
        <v>0</v>
      </c>
      <c r="AD108">
        <f t="shared" si="85"/>
        <v>0</v>
      </c>
      <c r="AE108">
        <f t="shared" si="85"/>
        <v>0</v>
      </c>
      <c r="AF108">
        <f t="shared" si="85"/>
        <v>0</v>
      </c>
      <c r="AG108">
        <f t="shared" si="85"/>
        <v>0</v>
      </c>
      <c r="AH108">
        <f t="shared" si="85"/>
        <v>0</v>
      </c>
      <c r="AI108">
        <f>D108-AR108</f>
        <v>19</v>
      </c>
      <c r="AJ108">
        <f>BA55</f>
        <v>0</v>
      </c>
      <c r="AK108">
        <f t="shared" si="81"/>
        <v>0</v>
      </c>
      <c r="AL108">
        <f t="shared" si="81"/>
        <v>0</v>
      </c>
      <c r="AM108">
        <f t="shared" si="81"/>
        <v>0</v>
      </c>
      <c r="AN108">
        <f t="shared" si="81"/>
        <v>0</v>
      </c>
      <c r="AO108">
        <f t="shared" si="81"/>
        <v>0</v>
      </c>
      <c r="AP108">
        <f t="shared" si="81"/>
        <v>0</v>
      </c>
      <c r="AQ108">
        <f t="shared" si="81"/>
        <v>0</v>
      </c>
      <c r="AR108">
        <f>E108+Q108+R108+S108+T108+U108+V108+W108+X108+Y108+Z108+AA108+AB108+AC108+AD108+AE108+AF108+AG108+AH108+AJ108+AK108+AL108+AM108+AN108+AO108+AP108+AQ108</f>
        <v>0</v>
      </c>
      <c r="AS108">
        <f>D108+AI117-AR108</f>
        <v>19</v>
      </c>
    </row>
    <row r="109" spans="1:45" ht="20.25" customHeight="1">
      <c r="A109" t="s">
        <v>102</v>
      </c>
      <c r="B109" t="s">
        <v>103</v>
      </c>
      <c r="C109" s="105" t="s">
        <v>104</v>
      </c>
      <c r="D109">
        <f t="shared" si="82"/>
        <v>0</v>
      </c>
      <c r="E109">
        <f t="shared" si="39"/>
        <v>0</v>
      </c>
      <c r="F109">
        <f t="shared" si="83"/>
        <v>0</v>
      </c>
      <c r="G109">
        <f t="shared" si="83"/>
        <v>0</v>
      </c>
      <c r="H109">
        <f t="shared" si="84"/>
        <v>0</v>
      </c>
      <c r="I109">
        <f t="shared" si="84"/>
        <v>0</v>
      </c>
      <c r="J109">
        <f t="shared" si="79"/>
        <v>0</v>
      </c>
      <c r="K109">
        <f t="shared" si="79"/>
        <v>0</v>
      </c>
      <c r="L109">
        <f t="shared" si="79"/>
        <v>0</v>
      </c>
      <c r="M109">
        <f t="shared" si="79"/>
        <v>0</v>
      </c>
      <c r="N109">
        <f t="shared" si="79"/>
        <v>0</v>
      </c>
      <c r="O109">
        <f t="shared" si="79"/>
        <v>0</v>
      </c>
      <c r="P109">
        <f t="shared" si="73"/>
        <v>0</v>
      </c>
      <c r="Q109">
        <f t="shared" si="80"/>
        <v>0</v>
      </c>
      <c r="R109">
        <f t="shared" si="80"/>
        <v>0</v>
      </c>
      <c r="S109">
        <f t="shared" si="80"/>
        <v>0</v>
      </c>
      <c r="T109">
        <f t="shared" si="80"/>
        <v>0</v>
      </c>
      <c r="U109">
        <f t="shared" si="80"/>
        <v>0</v>
      </c>
      <c r="V109">
        <f t="shared" si="80"/>
        <v>0</v>
      </c>
      <c r="W109">
        <f t="shared" si="80"/>
        <v>0</v>
      </c>
      <c r="X109">
        <f t="shared" si="80"/>
        <v>0</v>
      </c>
      <c r="Y109">
        <f t="shared" si="80"/>
        <v>0</v>
      </c>
      <c r="Z109">
        <f t="shared" si="85"/>
        <v>0</v>
      </c>
      <c r="AA109">
        <f t="shared" si="85"/>
        <v>0</v>
      </c>
      <c r="AB109">
        <f t="shared" si="85"/>
        <v>0</v>
      </c>
      <c r="AC109">
        <f t="shared" si="85"/>
        <v>0</v>
      </c>
      <c r="AD109">
        <f t="shared" si="85"/>
        <v>0</v>
      </c>
      <c r="AE109">
        <f t="shared" si="85"/>
        <v>0</v>
      </c>
      <c r="AF109">
        <f t="shared" si="85"/>
        <v>0</v>
      </c>
      <c r="AG109">
        <f t="shared" si="85"/>
        <v>0</v>
      </c>
      <c r="AH109">
        <f t="shared" si="85"/>
        <v>0</v>
      </c>
      <c r="AI109">
        <f t="shared" si="85"/>
        <v>0</v>
      </c>
      <c r="AJ109">
        <f>D109-AR109</f>
        <v>0</v>
      </c>
      <c r="AK109">
        <f>BB56</f>
        <v>0</v>
      </c>
      <c r="AL109">
        <f t="shared" si="81"/>
        <v>0</v>
      </c>
      <c r="AM109">
        <f t="shared" si="81"/>
        <v>0</v>
      </c>
      <c r="AN109">
        <f t="shared" si="81"/>
        <v>0</v>
      </c>
      <c r="AO109">
        <f t="shared" si="81"/>
        <v>0</v>
      </c>
      <c r="AP109">
        <f t="shared" si="81"/>
        <v>0</v>
      </c>
      <c r="AQ109">
        <f t="shared" si="81"/>
        <v>0</v>
      </c>
      <c r="AR109">
        <f>E109+Q109+R109+S109+T109+U109+V109+W109+X109+Y109+Z109+AA109+AB109+AC109+AD109+AE109+AF109+AG109+AH109+AI109+AK109+AL109+AM109+AN109+AO109+AP109+AQ109</f>
        <v>0</v>
      </c>
      <c r="AS109">
        <f>D109+AJ117-AR109</f>
        <v>0</v>
      </c>
    </row>
    <row r="110" spans="1:45" ht="20.25" customHeight="1">
      <c r="A110" t="s">
        <v>105</v>
      </c>
      <c r="B110" t="s">
        <v>106</v>
      </c>
      <c r="C110" s="105" t="s">
        <v>107</v>
      </c>
      <c r="D110">
        <f t="shared" si="82"/>
        <v>0.57999999999999996</v>
      </c>
      <c r="E110">
        <f t="shared" si="39"/>
        <v>0</v>
      </c>
      <c r="F110">
        <f t="shared" si="83"/>
        <v>0</v>
      </c>
      <c r="G110">
        <f t="shared" si="83"/>
        <v>0</v>
      </c>
      <c r="H110">
        <f t="shared" si="84"/>
        <v>0</v>
      </c>
      <c r="I110">
        <f t="shared" si="84"/>
        <v>0</v>
      </c>
      <c r="J110">
        <f t="shared" si="79"/>
        <v>0</v>
      </c>
      <c r="K110">
        <f t="shared" si="79"/>
        <v>0</v>
      </c>
      <c r="L110">
        <f t="shared" si="79"/>
        <v>0</v>
      </c>
      <c r="M110">
        <f t="shared" si="79"/>
        <v>0</v>
      </c>
      <c r="N110">
        <f t="shared" si="79"/>
        <v>0</v>
      </c>
      <c r="O110">
        <f t="shared" si="79"/>
        <v>0</v>
      </c>
      <c r="P110">
        <f t="shared" si="73"/>
        <v>0.57999999999999996</v>
      </c>
      <c r="Q110">
        <f t="shared" si="80"/>
        <v>0</v>
      </c>
      <c r="R110">
        <f t="shared" si="80"/>
        <v>0</v>
      </c>
      <c r="S110">
        <f t="shared" si="80"/>
        <v>0</v>
      </c>
      <c r="T110">
        <f t="shared" si="80"/>
        <v>0</v>
      </c>
      <c r="U110">
        <f t="shared" si="80"/>
        <v>0</v>
      </c>
      <c r="V110">
        <f t="shared" si="80"/>
        <v>0</v>
      </c>
      <c r="W110">
        <f t="shared" si="80"/>
        <v>0</v>
      </c>
      <c r="X110">
        <f t="shared" si="80"/>
        <v>0</v>
      </c>
      <c r="Y110">
        <f t="shared" si="80"/>
        <v>0.01</v>
      </c>
      <c r="Z110">
        <f t="shared" si="85"/>
        <v>0</v>
      </c>
      <c r="AA110">
        <f t="shared" si="85"/>
        <v>0</v>
      </c>
      <c r="AB110">
        <f t="shared" si="85"/>
        <v>0</v>
      </c>
      <c r="AC110">
        <f t="shared" si="85"/>
        <v>0</v>
      </c>
      <c r="AD110">
        <f t="shared" si="85"/>
        <v>0</v>
      </c>
      <c r="AE110">
        <f t="shared" si="85"/>
        <v>0</v>
      </c>
      <c r="AF110">
        <f t="shared" si="85"/>
        <v>0</v>
      </c>
      <c r="AG110">
        <f t="shared" si="85"/>
        <v>0</v>
      </c>
      <c r="AH110">
        <f t="shared" si="85"/>
        <v>0</v>
      </c>
      <c r="AI110">
        <f t="shared" si="85"/>
        <v>0</v>
      </c>
      <c r="AJ110">
        <f t="shared" si="85"/>
        <v>0</v>
      </c>
      <c r="AK110">
        <f>D110-AR110</f>
        <v>0.56999999999999995</v>
      </c>
      <c r="AL110">
        <f t="shared" si="81"/>
        <v>0</v>
      </c>
      <c r="AM110">
        <f t="shared" si="81"/>
        <v>0</v>
      </c>
      <c r="AN110">
        <f t="shared" si="81"/>
        <v>0</v>
      </c>
      <c r="AO110">
        <f t="shared" si="81"/>
        <v>0</v>
      </c>
      <c r="AP110">
        <f t="shared" si="81"/>
        <v>0</v>
      </c>
      <c r="AQ110">
        <f t="shared" si="81"/>
        <v>0</v>
      </c>
      <c r="AR110">
        <f>E110+Q110+R110+S110+T110+U110+V110+W110+X110+Y110+Z110+AA110+AB110+AC110+AD110+AE110+AF110+AG110+AH110+AI110+AJ110+AL110+AM110+AN110+AO110+AP110+AQ110</f>
        <v>0.01</v>
      </c>
      <c r="AS110">
        <f>D110+AK117-AR110</f>
        <v>0.56999999999999995</v>
      </c>
    </row>
    <row r="111" spans="1:45" ht="20.25" customHeight="1">
      <c r="A111" t="s">
        <v>108</v>
      </c>
      <c r="B111" t="s">
        <v>109</v>
      </c>
      <c r="C111" s="105" t="s">
        <v>110</v>
      </c>
      <c r="D111">
        <f t="shared" si="82"/>
        <v>0</v>
      </c>
      <c r="E111">
        <f t="shared" si="39"/>
        <v>0</v>
      </c>
      <c r="F111">
        <f t="shared" si="83"/>
        <v>0</v>
      </c>
      <c r="G111">
        <f t="shared" si="83"/>
        <v>0</v>
      </c>
      <c r="H111">
        <f t="shared" si="84"/>
        <v>0</v>
      </c>
      <c r="I111">
        <f t="shared" si="84"/>
        <v>0</v>
      </c>
      <c r="J111">
        <f t="shared" si="79"/>
        <v>0</v>
      </c>
      <c r="K111">
        <f t="shared" si="79"/>
        <v>0</v>
      </c>
      <c r="L111">
        <f t="shared" si="79"/>
        <v>0</v>
      </c>
      <c r="M111">
        <f t="shared" si="79"/>
        <v>0</v>
      </c>
      <c r="N111">
        <f t="shared" si="79"/>
        <v>0</v>
      </c>
      <c r="O111">
        <f t="shared" si="79"/>
        <v>0</v>
      </c>
      <c r="P111">
        <f t="shared" si="73"/>
        <v>0</v>
      </c>
      <c r="Q111">
        <f t="shared" si="80"/>
        <v>0</v>
      </c>
      <c r="R111">
        <f t="shared" si="80"/>
        <v>0</v>
      </c>
      <c r="S111">
        <f t="shared" si="80"/>
        <v>0</v>
      </c>
      <c r="T111">
        <f t="shared" si="80"/>
        <v>0</v>
      </c>
      <c r="U111">
        <f t="shared" si="80"/>
        <v>0</v>
      </c>
      <c r="V111">
        <f t="shared" si="80"/>
        <v>0</v>
      </c>
      <c r="W111">
        <f t="shared" si="80"/>
        <v>0</v>
      </c>
      <c r="X111">
        <f t="shared" si="80"/>
        <v>0</v>
      </c>
      <c r="Y111">
        <f t="shared" si="80"/>
        <v>0</v>
      </c>
      <c r="Z111">
        <f t="shared" si="85"/>
        <v>0</v>
      </c>
      <c r="AA111">
        <f t="shared" si="85"/>
        <v>0</v>
      </c>
      <c r="AB111">
        <f t="shared" si="85"/>
        <v>0</v>
      </c>
      <c r="AC111">
        <f t="shared" si="85"/>
        <v>0</v>
      </c>
      <c r="AD111">
        <f t="shared" si="85"/>
        <v>0</v>
      </c>
      <c r="AE111">
        <f t="shared" si="85"/>
        <v>0</v>
      </c>
      <c r="AF111">
        <f t="shared" si="85"/>
        <v>0</v>
      </c>
      <c r="AG111">
        <f t="shared" si="85"/>
        <v>0</v>
      </c>
      <c r="AH111">
        <f t="shared" si="85"/>
        <v>0</v>
      </c>
      <c r="AI111">
        <f t="shared" si="85"/>
        <v>0</v>
      </c>
      <c r="AJ111">
        <f t="shared" si="85"/>
        <v>0</v>
      </c>
      <c r="AK111">
        <f t="shared" si="85"/>
        <v>0</v>
      </c>
      <c r="AL111">
        <f>D111-AR111</f>
        <v>0</v>
      </c>
      <c r="AM111">
        <f>BD58</f>
        <v>0</v>
      </c>
      <c r="AN111">
        <f>BE58</f>
        <v>0</v>
      </c>
      <c r="AO111">
        <f>BF58</f>
        <v>0</v>
      </c>
      <c r="AP111">
        <f>BG58</f>
        <v>0</v>
      </c>
      <c r="AQ111">
        <f>BH58</f>
        <v>0</v>
      </c>
      <c r="AR111">
        <f>E111+Q111+R111+S111+T111+U111+V111+W111+X111+Y111+Z111+AA111+AB111+AC111+AD111+AE111+AF111+AG111+AH111+AI111+AJ111+AK111+AM111+AN111+AO111+AP111+AQ111</f>
        <v>0</v>
      </c>
      <c r="AS111">
        <f>D111+AL117-AR111</f>
        <v>0</v>
      </c>
    </row>
    <row r="112" spans="1:45" ht="20.25" customHeight="1">
      <c r="A112" t="s">
        <v>111</v>
      </c>
      <c r="B112" t="s">
        <v>112</v>
      </c>
      <c r="C112" s="105" t="s">
        <v>113</v>
      </c>
      <c r="D112">
        <f t="shared" si="82"/>
        <v>1.53</v>
      </c>
      <c r="E112">
        <f t="shared" si="39"/>
        <v>0</v>
      </c>
      <c r="F112">
        <f t="shared" si="83"/>
        <v>0</v>
      </c>
      <c r="G112">
        <f t="shared" si="83"/>
        <v>0</v>
      </c>
      <c r="H112">
        <f t="shared" si="84"/>
        <v>0</v>
      </c>
      <c r="I112">
        <f t="shared" si="84"/>
        <v>0</v>
      </c>
      <c r="J112">
        <f t="shared" si="79"/>
        <v>0</v>
      </c>
      <c r="K112">
        <f t="shared" si="79"/>
        <v>0</v>
      </c>
      <c r="L112">
        <f t="shared" si="79"/>
        <v>0</v>
      </c>
      <c r="M112">
        <f t="shared" si="79"/>
        <v>0</v>
      </c>
      <c r="N112">
        <f t="shared" si="79"/>
        <v>0</v>
      </c>
      <c r="O112">
        <f t="shared" si="79"/>
        <v>0</v>
      </c>
      <c r="P112">
        <f t="shared" si="73"/>
        <v>1.53</v>
      </c>
      <c r="Q112">
        <f t="shared" si="80"/>
        <v>0</v>
      </c>
      <c r="R112">
        <f t="shared" si="80"/>
        <v>0</v>
      </c>
      <c r="S112">
        <f t="shared" si="80"/>
        <v>0</v>
      </c>
      <c r="T112">
        <f t="shared" si="80"/>
        <v>0</v>
      </c>
      <c r="U112">
        <f t="shared" si="80"/>
        <v>0</v>
      </c>
      <c r="V112">
        <f t="shared" si="80"/>
        <v>0</v>
      </c>
      <c r="W112">
        <f t="shared" si="80"/>
        <v>0</v>
      </c>
      <c r="X112">
        <f t="shared" si="80"/>
        <v>0</v>
      </c>
      <c r="Y112">
        <f t="shared" si="80"/>
        <v>0</v>
      </c>
      <c r="Z112">
        <f t="shared" si="85"/>
        <v>0</v>
      </c>
      <c r="AA112">
        <f t="shared" si="85"/>
        <v>0</v>
      </c>
      <c r="AB112">
        <f t="shared" si="85"/>
        <v>0</v>
      </c>
      <c r="AC112">
        <f t="shared" si="85"/>
        <v>0</v>
      </c>
      <c r="AD112">
        <f t="shared" si="85"/>
        <v>0</v>
      </c>
      <c r="AE112">
        <f t="shared" si="85"/>
        <v>0</v>
      </c>
      <c r="AF112">
        <f t="shared" si="85"/>
        <v>0</v>
      </c>
      <c r="AG112">
        <f t="shared" si="85"/>
        <v>0</v>
      </c>
      <c r="AH112">
        <f t="shared" si="85"/>
        <v>0</v>
      </c>
      <c r="AI112">
        <f t="shared" si="85"/>
        <v>0</v>
      </c>
      <c r="AJ112">
        <f t="shared" si="85"/>
        <v>0</v>
      </c>
      <c r="AK112">
        <f t="shared" si="85"/>
        <v>0</v>
      </c>
      <c r="AL112">
        <f>BC59</f>
        <v>0</v>
      </c>
      <c r="AM112">
        <f>D112-AR112</f>
        <v>1.53</v>
      </c>
      <c r="AN112">
        <f>BE59</f>
        <v>0</v>
      </c>
      <c r="AO112">
        <f>BF59</f>
        <v>0</v>
      </c>
      <c r="AP112">
        <f>BG59</f>
        <v>0</v>
      </c>
      <c r="AQ112">
        <f>BH59</f>
        <v>0</v>
      </c>
      <c r="AR112">
        <f>E112+Q112+R112+S112+T112+U112+V112+W112+X112+Y112+Z112+AA112+AB112+AC112+AD112+AE112+AF112+AG112+AH112+AI112+AJ112+AK112+AL112+AN112+AO112+AP112+AQ112</f>
        <v>0</v>
      </c>
      <c r="AS112">
        <f>D112+AM117-AR112</f>
        <v>1.53</v>
      </c>
    </row>
    <row r="113" spans="1:45" ht="20.25" customHeight="1">
      <c r="A113" t="s">
        <v>114</v>
      </c>
      <c r="B113" t="s">
        <v>115</v>
      </c>
      <c r="C113" s="105" t="s">
        <v>116</v>
      </c>
      <c r="D113">
        <f t="shared" si="82"/>
        <v>97.99</v>
      </c>
      <c r="E113">
        <f t="shared" si="39"/>
        <v>1.29</v>
      </c>
      <c r="F113">
        <f t="shared" si="83"/>
        <v>0</v>
      </c>
      <c r="G113">
        <f t="shared" si="83"/>
        <v>0</v>
      </c>
      <c r="H113">
        <f t="shared" si="84"/>
        <v>0</v>
      </c>
      <c r="I113">
        <f t="shared" si="84"/>
        <v>0</v>
      </c>
      <c r="J113">
        <f t="shared" si="79"/>
        <v>0</v>
      </c>
      <c r="K113">
        <f t="shared" si="79"/>
        <v>0</v>
      </c>
      <c r="L113">
        <f t="shared" si="79"/>
        <v>0</v>
      </c>
      <c r="M113">
        <f t="shared" si="79"/>
        <v>1.29</v>
      </c>
      <c r="N113">
        <f t="shared" si="79"/>
        <v>0</v>
      </c>
      <c r="O113">
        <f t="shared" si="79"/>
        <v>0</v>
      </c>
      <c r="P113">
        <f t="shared" si="73"/>
        <v>96.699999999999989</v>
      </c>
      <c r="Q113">
        <f t="shared" si="80"/>
        <v>0</v>
      </c>
      <c r="R113">
        <f t="shared" si="80"/>
        <v>0</v>
      </c>
      <c r="S113">
        <f t="shared" si="80"/>
        <v>0</v>
      </c>
      <c r="T113">
        <f t="shared" si="80"/>
        <v>0</v>
      </c>
      <c r="U113">
        <f t="shared" si="80"/>
        <v>0</v>
      </c>
      <c r="V113">
        <f t="shared" si="80"/>
        <v>0.27</v>
      </c>
      <c r="W113">
        <f t="shared" si="80"/>
        <v>0</v>
      </c>
      <c r="X113">
        <f t="shared" si="80"/>
        <v>0</v>
      </c>
      <c r="Y113">
        <f t="shared" si="80"/>
        <v>0.33</v>
      </c>
      <c r="Z113">
        <f t="shared" si="85"/>
        <v>0</v>
      </c>
      <c r="AA113">
        <f t="shared" si="85"/>
        <v>0</v>
      </c>
      <c r="AB113">
        <f t="shared" si="85"/>
        <v>0</v>
      </c>
      <c r="AC113">
        <f t="shared" si="85"/>
        <v>0</v>
      </c>
      <c r="AD113">
        <f t="shared" si="85"/>
        <v>0</v>
      </c>
      <c r="AE113">
        <f t="shared" si="85"/>
        <v>0</v>
      </c>
      <c r="AF113">
        <f t="shared" si="85"/>
        <v>0</v>
      </c>
      <c r="AG113">
        <f t="shared" si="85"/>
        <v>0</v>
      </c>
      <c r="AH113">
        <f t="shared" si="85"/>
        <v>0</v>
      </c>
      <c r="AI113">
        <f t="shared" si="85"/>
        <v>0</v>
      </c>
      <c r="AJ113">
        <f t="shared" si="85"/>
        <v>0</v>
      </c>
      <c r="AK113">
        <f t="shared" si="85"/>
        <v>0</v>
      </c>
      <c r="AL113">
        <f>BC60</f>
        <v>0</v>
      </c>
      <c r="AM113">
        <f>BD60</f>
        <v>0</v>
      </c>
      <c r="AN113">
        <f>D113-AR113</f>
        <v>96.1</v>
      </c>
      <c r="AO113">
        <f>BF60</f>
        <v>0</v>
      </c>
      <c r="AP113">
        <f>BG60</f>
        <v>0</v>
      </c>
      <c r="AQ113">
        <f>BH60</f>
        <v>0</v>
      </c>
      <c r="AR113">
        <f>E113+Q113+R113+S113+T113+U113+V113+W113+X113+Y113+Z113+AA113+AB113+AC113+AD113+AE113+AF113+AG113+AH113+AI113+AJ113+AK113+AL113+AM113+AO113+AP113+AQ113</f>
        <v>1.8900000000000001</v>
      </c>
      <c r="AS113">
        <f>D113+AN117-AR113</f>
        <v>96.1</v>
      </c>
    </row>
    <row r="114" spans="1:45" ht="20.25" customHeight="1">
      <c r="A114" t="s">
        <v>117</v>
      </c>
      <c r="B114" t="s">
        <v>118</v>
      </c>
      <c r="C114" s="105" t="s">
        <v>119</v>
      </c>
      <c r="D114">
        <f t="shared" si="82"/>
        <v>59.43</v>
      </c>
      <c r="E114">
        <f t="shared" si="39"/>
        <v>33.67</v>
      </c>
      <c r="F114">
        <f t="shared" si="83"/>
        <v>0</v>
      </c>
      <c r="G114">
        <f t="shared" si="83"/>
        <v>0</v>
      </c>
      <c r="H114">
        <f t="shared" si="84"/>
        <v>0</v>
      </c>
      <c r="I114">
        <f t="shared" si="84"/>
        <v>0</v>
      </c>
      <c r="J114">
        <f t="shared" si="79"/>
        <v>0</v>
      </c>
      <c r="K114">
        <f t="shared" si="79"/>
        <v>0</v>
      </c>
      <c r="L114">
        <f t="shared" si="79"/>
        <v>0</v>
      </c>
      <c r="M114">
        <f t="shared" si="79"/>
        <v>33.67</v>
      </c>
      <c r="N114">
        <f t="shared" si="79"/>
        <v>0</v>
      </c>
      <c r="O114">
        <f t="shared" si="79"/>
        <v>0</v>
      </c>
      <c r="P114">
        <f t="shared" si="73"/>
        <v>25.759999999999998</v>
      </c>
      <c r="Q114">
        <f t="shared" si="80"/>
        <v>0</v>
      </c>
      <c r="R114">
        <f t="shared" si="80"/>
        <v>0</v>
      </c>
      <c r="S114">
        <f t="shared" si="80"/>
        <v>0</v>
      </c>
      <c r="T114">
        <f t="shared" si="80"/>
        <v>0</v>
      </c>
      <c r="U114">
        <f t="shared" si="80"/>
        <v>0</v>
      </c>
      <c r="V114">
        <f t="shared" si="80"/>
        <v>0</v>
      </c>
      <c r="W114">
        <f t="shared" si="80"/>
        <v>0</v>
      </c>
      <c r="X114">
        <f t="shared" si="80"/>
        <v>0</v>
      </c>
      <c r="Y114">
        <f t="shared" si="80"/>
        <v>0</v>
      </c>
      <c r="Z114">
        <f t="shared" si="85"/>
        <v>0</v>
      </c>
      <c r="AA114">
        <f t="shared" si="85"/>
        <v>0</v>
      </c>
      <c r="AB114">
        <f t="shared" si="85"/>
        <v>0</v>
      </c>
      <c r="AC114">
        <f t="shared" si="85"/>
        <v>0</v>
      </c>
      <c r="AD114">
        <f t="shared" si="85"/>
        <v>0</v>
      </c>
      <c r="AE114">
        <f t="shared" si="85"/>
        <v>0</v>
      </c>
      <c r="AF114">
        <f t="shared" si="85"/>
        <v>0</v>
      </c>
      <c r="AG114">
        <f t="shared" si="85"/>
        <v>0</v>
      </c>
      <c r="AH114">
        <f t="shared" si="85"/>
        <v>0</v>
      </c>
      <c r="AI114">
        <f t="shared" si="85"/>
        <v>0</v>
      </c>
      <c r="AJ114">
        <f t="shared" si="85"/>
        <v>0</v>
      </c>
      <c r="AK114">
        <f t="shared" si="85"/>
        <v>0</v>
      </c>
      <c r="AL114">
        <f>BC61</f>
        <v>0</v>
      </c>
      <c r="AM114">
        <f>BD61</f>
        <v>0</v>
      </c>
      <c r="AN114">
        <f>BE61</f>
        <v>0</v>
      </c>
      <c r="AO114">
        <f>D114-AR114</f>
        <v>25.759999999999998</v>
      </c>
      <c r="AP114">
        <f>BG61</f>
        <v>0</v>
      </c>
      <c r="AQ114">
        <f>BH61</f>
        <v>0</v>
      </c>
      <c r="AR114">
        <f>E114+Q114+R114+S114+T114+U114+V114+W114+X114+Y114+Z114+AA114+AB114+AC114+AD114+AE114+AF114+AG114+AH114+AI114+AJ114+AK114+AL114+AM114+AN114+AP114+AQ114</f>
        <v>33.67</v>
      </c>
      <c r="AS114">
        <f>D114+AO117-AR114</f>
        <v>25.759999999999998</v>
      </c>
    </row>
    <row r="115" spans="1:45" ht="20.25" customHeight="1">
      <c r="A115" t="s">
        <v>120</v>
      </c>
      <c r="B115" t="s">
        <v>121</v>
      </c>
      <c r="C115" s="105" t="s">
        <v>122</v>
      </c>
      <c r="D115">
        <f t="shared" si="82"/>
        <v>1.5</v>
      </c>
      <c r="E115">
        <f t="shared" si="39"/>
        <v>0</v>
      </c>
      <c r="F115">
        <f t="shared" si="83"/>
        <v>0</v>
      </c>
      <c r="G115">
        <f t="shared" si="83"/>
        <v>0</v>
      </c>
      <c r="H115">
        <f t="shared" si="84"/>
        <v>0</v>
      </c>
      <c r="I115">
        <f t="shared" si="84"/>
        <v>0</v>
      </c>
      <c r="J115">
        <f t="shared" ref="J115:O116" si="86">P62</f>
        <v>0</v>
      </c>
      <c r="K115">
        <f t="shared" si="86"/>
        <v>0</v>
      </c>
      <c r="L115">
        <f t="shared" si="86"/>
        <v>0</v>
      </c>
      <c r="M115">
        <f t="shared" si="86"/>
        <v>0</v>
      </c>
      <c r="N115">
        <f t="shared" si="86"/>
        <v>0</v>
      </c>
      <c r="O115">
        <f t="shared" si="86"/>
        <v>0</v>
      </c>
      <c r="P115">
        <f t="shared" si="73"/>
        <v>1.5</v>
      </c>
      <c r="Q115">
        <f t="shared" ref="Q115:Y116" si="87">W62</f>
        <v>0</v>
      </c>
      <c r="R115">
        <f t="shared" si="87"/>
        <v>0</v>
      </c>
      <c r="S115">
        <f t="shared" si="87"/>
        <v>0</v>
      </c>
      <c r="T115">
        <f t="shared" si="87"/>
        <v>0</v>
      </c>
      <c r="U115">
        <f t="shared" si="87"/>
        <v>0</v>
      </c>
      <c r="V115">
        <f t="shared" si="87"/>
        <v>0</v>
      </c>
      <c r="W115">
        <f t="shared" si="87"/>
        <v>0</v>
      </c>
      <c r="X115">
        <f t="shared" si="87"/>
        <v>0</v>
      </c>
      <c r="Y115">
        <f t="shared" si="87"/>
        <v>0</v>
      </c>
      <c r="Z115">
        <f t="shared" si="85"/>
        <v>0</v>
      </c>
      <c r="AA115">
        <f t="shared" si="85"/>
        <v>0</v>
      </c>
      <c r="AB115">
        <f t="shared" si="85"/>
        <v>0</v>
      </c>
      <c r="AC115">
        <f t="shared" si="85"/>
        <v>0</v>
      </c>
      <c r="AD115">
        <f t="shared" si="85"/>
        <v>0</v>
      </c>
      <c r="AE115">
        <f t="shared" si="85"/>
        <v>0</v>
      </c>
      <c r="AF115">
        <f t="shared" si="85"/>
        <v>0</v>
      </c>
      <c r="AG115">
        <f t="shared" si="85"/>
        <v>0</v>
      </c>
      <c r="AH115">
        <f t="shared" si="85"/>
        <v>0</v>
      </c>
      <c r="AI115">
        <f t="shared" si="85"/>
        <v>0</v>
      </c>
      <c r="AJ115">
        <f t="shared" si="85"/>
        <v>0</v>
      </c>
      <c r="AK115">
        <f t="shared" si="85"/>
        <v>0</v>
      </c>
      <c r="AL115">
        <f>BC62</f>
        <v>0</v>
      </c>
      <c r="AM115">
        <f>BD62</f>
        <v>0</v>
      </c>
      <c r="AN115">
        <f>BE62</f>
        <v>0</v>
      </c>
      <c r="AO115">
        <f>BF62</f>
        <v>0</v>
      </c>
      <c r="AP115">
        <f>D115-AR115</f>
        <v>1.5</v>
      </c>
      <c r="AQ115">
        <f>BH62</f>
        <v>0</v>
      </c>
      <c r="AR115">
        <f>E115+Q115+R115+S115+T115+U115+V115+W115+X115+Y115+Z115+AA115+AB115+AC115+AD115+AE115+AF115+AG115+AH115+AI115+AJ115+AK115+AL115+AM115+AN115+AO115+AQ115</f>
        <v>0</v>
      </c>
      <c r="AS115">
        <f>D115+AP117-AR115</f>
        <v>1.5</v>
      </c>
    </row>
    <row r="116" spans="1:45" ht="20.25" customHeight="1">
      <c r="A116">
        <v>3</v>
      </c>
      <c r="B116" t="s">
        <v>123</v>
      </c>
      <c r="C116" s="105" t="s">
        <v>124</v>
      </c>
      <c r="D116">
        <f>D63</f>
        <v>2853.93</v>
      </c>
      <c r="E116">
        <f>F116+H116+I116+J116+K116+L116+M116+N116+O116</f>
        <v>1.05</v>
      </c>
      <c r="F116">
        <f t="shared" si="83"/>
        <v>0</v>
      </c>
      <c r="G116">
        <f t="shared" si="83"/>
        <v>0</v>
      </c>
      <c r="H116">
        <f t="shared" si="84"/>
        <v>0</v>
      </c>
      <c r="I116">
        <f t="shared" si="84"/>
        <v>0</v>
      </c>
      <c r="J116">
        <f t="shared" si="86"/>
        <v>0</v>
      </c>
      <c r="K116">
        <f t="shared" si="86"/>
        <v>0</v>
      </c>
      <c r="L116">
        <f t="shared" si="86"/>
        <v>0</v>
      </c>
      <c r="M116">
        <f t="shared" si="86"/>
        <v>1.05</v>
      </c>
      <c r="N116">
        <f t="shared" si="86"/>
        <v>0</v>
      </c>
      <c r="O116">
        <f t="shared" si="86"/>
        <v>0</v>
      </c>
      <c r="P116">
        <f>SUM(Q116:AP116)</f>
        <v>3.6999999999999997</v>
      </c>
      <c r="Q116">
        <f t="shared" si="87"/>
        <v>0</v>
      </c>
      <c r="R116">
        <f t="shared" si="87"/>
        <v>0</v>
      </c>
      <c r="S116">
        <f t="shared" si="87"/>
        <v>0</v>
      </c>
      <c r="T116">
        <f t="shared" si="87"/>
        <v>0</v>
      </c>
      <c r="U116">
        <f t="shared" si="87"/>
        <v>0</v>
      </c>
      <c r="V116">
        <f t="shared" si="87"/>
        <v>0</v>
      </c>
      <c r="W116">
        <f t="shared" si="87"/>
        <v>0</v>
      </c>
      <c r="X116">
        <f t="shared" si="87"/>
        <v>0</v>
      </c>
      <c r="Y116">
        <f t="shared" si="87"/>
        <v>2.57</v>
      </c>
      <c r="Z116">
        <f t="shared" si="85"/>
        <v>0</v>
      </c>
      <c r="AA116">
        <f t="shared" si="85"/>
        <v>0</v>
      </c>
      <c r="AB116">
        <f t="shared" si="85"/>
        <v>1.1299999999999999</v>
      </c>
      <c r="AC116">
        <f t="shared" si="85"/>
        <v>0</v>
      </c>
      <c r="AD116">
        <f t="shared" si="85"/>
        <v>0</v>
      </c>
      <c r="AE116">
        <f t="shared" si="85"/>
        <v>0</v>
      </c>
      <c r="AF116">
        <f t="shared" si="85"/>
        <v>0</v>
      </c>
      <c r="AG116">
        <f t="shared" si="85"/>
        <v>0</v>
      </c>
      <c r="AH116">
        <f t="shared" si="85"/>
        <v>0</v>
      </c>
      <c r="AI116">
        <f t="shared" si="85"/>
        <v>0</v>
      </c>
      <c r="AJ116">
        <f t="shared" si="85"/>
        <v>0</v>
      </c>
      <c r="AK116">
        <f t="shared" si="85"/>
        <v>0</v>
      </c>
      <c r="AL116">
        <f>BC63</f>
        <v>0</v>
      </c>
      <c r="AM116">
        <f>BD63</f>
        <v>0</v>
      </c>
      <c r="AN116">
        <f>BE63</f>
        <v>0</v>
      </c>
      <c r="AO116">
        <f>BF63</f>
        <v>0</v>
      </c>
      <c r="AP116">
        <f>BG63</f>
        <v>0</v>
      </c>
      <c r="AQ116">
        <f>AR116</f>
        <v>4.75</v>
      </c>
      <c r="AR116">
        <f>E116+Q116+R116+S116+T116+U116+V116+W116+X116+Y116+Z116+AA116+AB116+AC116+AD116+AE116+AF116+AG116+AH116+AI116+AJ116+AL116+AM116+AN116+AO116+AP116</f>
        <v>4.75</v>
      </c>
      <c r="AS116">
        <f>D116+AQ117-AR116</f>
        <v>2849.18</v>
      </c>
    </row>
    <row r="117" spans="1:45" ht="20.25" customHeight="1">
      <c r="B117" t="s">
        <v>190</v>
      </c>
      <c r="E117">
        <f>E89+E116</f>
        <v>42.519999999999996</v>
      </c>
      <c r="F117">
        <f>F81+F82+F83+F84+F85+F86+F87+F88+F89+F116</f>
        <v>0</v>
      </c>
      <c r="G117">
        <f>G79+G81+G82+G83+G84+G85+G86+G87+G88+G89+G116</f>
        <v>0</v>
      </c>
      <c r="H117">
        <f>H79+H82+H83+H84+H85+H86+H87+H88+H89+H116</f>
        <v>0</v>
      </c>
      <c r="I117">
        <f>I79+I81+I83+I84+I85+I86+I87+I88+I89+I116</f>
        <v>0</v>
      </c>
      <c r="J117">
        <f>J79+J81+J82+J84+J85+J86+J87+J88+J89+J116</f>
        <v>0</v>
      </c>
      <c r="K117">
        <f>K79+K81+K82+K83+K85+K86+K87+K88+K89+K116</f>
        <v>0</v>
      </c>
      <c r="L117">
        <f>L79+L81+L82+L83+L84+L86+L87+L88+L89+L116</f>
        <v>0</v>
      </c>
      <c r="M117">
        <f>M79+M81+M82+M83+M84+M85+M87+M88+M89+M116</f>
        <v>46.489999999999995</v>
      </c>
      <c r="N117">
        <f>N79+N81+N82+N83+N84+N85+N86+N88+N89+N116</f>
        <v>0</v>
      </c>
      <c r="O117">
        <f>O79+O81+O82+O83+O84+O85+O86+O87+O89+O116</f>
        <v>0</v>
      </c>
      <c r="P117">
        <f>P78+P116</f>
        <v>17.16</v>
      </c>
      <c r="Q117">
        <f>Q78+Q91+Q92+Q93+Q94+Q95+Q96+Q97+Q98+Q99+Q100+Q101+Q102+Q103+Q104+Q105+Q106+Q107+Q108+Q109+Q110+Q111+Q112+Q113+Q114+Q115+Q116</f>
        <v>0</v>
      </c>
      <c r="R117">
        <f>R78+R90+R92+R93+R94+R95+R96+R97+R98+R99+R100+R101+R102+R103+R104+R105+R106+R107+R108+R109+R110+R111+R112+R113+R114+R115+R116</f>
        <v>0</v>
      </c>
      <c r="S117">
        <f>S78+S90+S91+S93+S94+S95+S96+S97+S98+S99+S100+S101+S102+S103+S104+S105+S106+S107+S108+S109+S110+S111+S112+S113+S114+S115+S116</f>
        <v>0</v>
      </c>
      <c r="T117">
        <f>T78+T90+T91+T92+T94+T95+T96+T97+T98+T99+T100+T101+T102+T103+T104+T105+T106+T107+T108+T109+T110+T111+T112+T113+T114+T115+T116</f>
        <v>0</v>
      </c>
      <c r="U117">
        <f>U78+U90+U91+U92+U93+U95+U96+U97+U98+U99+U100+U101+U102+U103+U104+U105+U106+U107+U108+U109+U110+U111+U112+U113+U114+U115+U116</f>
        <v>0</v>
      </c>
      <c r="V117">
        <f>V78+V90+V91+V92+V93+V94+V96+V97+V98+V99+V100+V101+V102+V103+V104+V105+V106+V107+V108+V109+V110+V111+V112+V113+V114+V115+V116</f>
        <v>5.27</v>
      </c>
      <c r="W117">
        <f>W78+W90+W91+W92+W93+W94+W95+W97+W98+W99+W100+W101+W102+W103+W104+W105+W106+W107+W108+W109+W110+W111+W112+W113+W114+W115+W116</f>
        <v>0</v>
      </c>
      <c r="X117">
        <f>X78+X90+X91+X92+X93+X94+X95+X96+X98+X99+X100+X101+X102+X103+X104+X105+X106+X107+X108+X109+X110+X111+X112+X113+X114+X115+X116</f>
        <v>0</v>
      </c>
      <c r="Y117">
        <f>Y78+Y90+Y91+Y92+Y93+Y94+Y95+Y96+Y97+Y99+Y100+Y101+Y102+Y103+Y104+Y105+Y106+Y107+Y108+Y109+Y110+Y111+Y112+Y113+Y114+Y115+Y116</f>
        <v>15.719999999999999</v>
      </c>
      <c r="Z117">
        <f>Z78+Z90+Z91+Z92+Z93+Z94+Z95+Z96+Z97+Z98+Z100+Z101+Z102+Z103+Z104+Z105+Z106+Z107+Z108+Z109+Z110+Z111+Z112+Z113+Z114+Z115+Z116</f>
        <v>0</v>
      </c>
      <c r="AA117">
        <f>AA78+AA90+AA91+AA92+AA93+AA94+AA95+AA96+AA97+AA98+AA99+AA101+AA102+AA103+AA104+AA105+AA106+AA107+AA108+AA109+AA110+AA111+AA112+AA113+AA114+AA115+AA116</f>
        <v>0</v>
      </c>
      <c r="AB117">
        <f>AB78+AB90+AB91+AB92+AB93+AB94+AB95+AB96+AB97+AB98+AB99+AB100+AB102+AB103+AB104+AB105+AB106+AB107+AB108+AB109+AB110+AB111+AB112+AB113+AB114+AB115+AB116</f>
        <v>1.22</v>
      </c>
      <c r="AC117">
        <f>AC78+AC90+AC91+AC92+AC93+AC94+AC95+AC96+AC97+AC98+AC99+AC100+AC101+AC103+AC104+AC105+AC106+AC107+AC108+AC109+AC110+AC111+AC112+AC113+AC114+AC115+AC116</f>
        <v>0.95000000000000007</v>
      </c>
      <c r="AD117">
        <f>AD78+AD90+AD91+AD92+AD93+AD94+AD95+AD96+AD97+AD98+AD99+AD100+AD101+AD102+AD104+AD105+AD106+AD107+AD108+AD109+AD110+AD111+AD112+AD113+AD114+AD115+AD116</f>
        <v>0</v>
      </c>
      <c r="AE117">
        <f>AE78+AE90+AE91+AE92+AE93+AE94+AE95+AE96+AE97+AE98+AE99+AE100+AE101+AE102+AE103+AE105+AE106+AE107+AE108+AE109+AE110+AE111+AE112+AE113+AE114+AE115+AE116</f>
        <v>0</v>
      </c>
      <c r="AF117">
        <f>AF78+AF90+AF91+AF92+AF93+AF94+AF95+AF96+AF97+AF98+AF99+AF100+AF101+AF102+AF103+AF104+AF106+AF107+AF108+AF109+AF110+AF111+AF112+AF113+AF114+AF115+AF116</f>
        <v>0</v>
      </c>
      <c r="AG117">
        <f>AG78+AG90+AG91+AG92+AG93+AG94+AG95+AG96+AG97+AG98+AG99+AG100+AG101+AG102+AG103+AG104+AG105+AG107+AG108+AG109+AG110+AG111+AG112+AG113+AG114+AG115+AG116</f>
        <v>0</v>
      </c>
      <c r="AH117">
        <f>AH78+AH90+AH91+AH92+AH93+AH94+AH95+AH96+AH97+AH98+AH99+AH100+AH101+AH102+AH103+AH104+AH105+AH106+AH108+AH109+AH110+AH111+AH112+AH113+AH114+AH115+AH116</f>
        <v>0</v>
      </c>
      <c r="AI117">
        <f>AI78+AI90+AI91+AI92+AI93+AI94+AI95+AI96+AI97+AI98+AI99+AI100+AI101+AI102+AI103+AI104+AI105+AI106+AI107+AI109+AI110+AI111+AI112+AI113+AI114+AI115+AI116</f>
        <v>0</v>
      </c>
      <c r="AJ117">
        <f>AJ78+AJ90+AJ91+AJ92+AJ93+AJ94+AJ95+AJ96+AJ97+AJ98+AJ99+AJ100+AJ101+AJ102+AJ103+AJ104+AJ105+AJ106+AJ107+AJ108+AJ110+AJ111+AJ112+AJ113+AJ114+AJ115+AJ116</f>
        <v>0</v>
      </c>
      <c r="AK117">
        <f>AK78+AK90+AK91+AK92+AK93+AK94+AK95+AK96+AK97+AK98+AK99+AK100+AK101+AK102+AK103+AK104+AK105+AK106+AK107+AK108+AK109+AK111+AK112+AK113+AK114+AK115+AK116</f>
        <v>0</v>
      </c>
      <c r="AL117">
        <f>AL78+AL90+AL91+AL92+AL93+AL94+AL95+AL96+AL97+AL98+AL99+AL100+AL101+AL102+AL103+AL104+AL105+AL106+AL107+AL108+AL109+AL110+AL112+AL113+AL114+AL115+AL116</f>
        <v>0</v>
      </c>
      <c r="AM117">
        <f>AM78+AM90+AM91+AM92+AM93+AM94+AM95+AM96+AM97+AM98+AM99+AM100+AM101+AM102+AM103+AM104+AM105+AM106+AM107+AM108+AM109+AM110+AM111+AM113+AM114+AM115+AM116</f>
        <v>0</v>
      </c>
      <c r="AN117">
        <f>AN78+AN90+AN91+AN92+AN93+AN94+AN95+AN96+AN97+AN98+AN99+AN100+AN101+AN102+AN103+AN104+AN105+AN106+AN107+AN108+AN109+AN110+AN111+AN112+AN114+AN115+AN116</f>
        <v>0</v>
      </c>
      <c r="AO117">
        <f>AO78+AO90+AO91+AO92+AO93+AO94+AO95+AO96+AO97+AO98+AO99+AO100+AO101+AO102+AO103+AO104+AO105+AO106+AO107+AO108+AO109+AO110+AO111+AO112+AO113+AO115+AO116</f>
        <v>0</v>
      </c>
      <c r="AP117">
        <f>AP78+AP90+AP91+AP92+AP93+AP94+AP95+AP96+AP97+AP98+AP99+AP100+AP101+AP102+AP103+AP104+AP105+AP106+AP107+AP108+AP109+AP110+AP111+AP112+AP113+AP114+AP116</f>
        <v>0</v>
      </c>
      <c r="AQ117">
        <f>AQ78+AQ89</f>
        <v>0</v>
      </c>
    </row>
    <row r="118" spans="1:45" ht="25.5" customHeight="1">
      <c r="B118" t="s">
        <v>325</v>
      </c>
      <c r="D118">
        <f>AS77</f>
        <v>5982.15</v>
      </c>
      <c r="E118">
        <f>AS78</f>
        <v>2761.9</v>
      </c>
      <c r="F118">
        <f>AS79</f>
        <v>217.68</v>
      </c>
      <c r="G118">
        <f>AS80</f>
        <v>164.66</v>
      </c>
      <c r="H118">
        <f>AS81</f>
        <v>88.8</v>
      </c>
      <c r="I118">
        <f>AS82</f>
        <v>44.72</v>
      </c>
      <c r="J118">
        <f>AS83</f>
        <v>1783.71</v>
      </c>
      <c r="K118">
        <f>AS84</f>
        <v>0</v>
      </c>
      <c r="L118">
        <f>AS85</f>
        <v>2.5400000000000009</v>
      </c>
      <c r="M118">
        <f>AS86</f>
        <v>624.07000000000005</v>
      </c>
      <c r="N118">
        <f>AS87</f>
        <v>0</v>
      </c>
      <c r="O118">
        <f>AS88</f>
        <v>0.38</v>
      </c>
      <c r="P118">
        <f>AS89</f>
        <v>371.06999999999994</v>
      </c>
      <c r="Q118">
        <f>AS90</f>
        <v>0</v>
      </c>
      <c r="R118">
        <f>AS91</f>
        <v>0</v>
      </c>
      <c r="S118">
        <f>AS92</f>
        <v>0</v>
      </c>
      <c r="T118">
        <f>AS93</f>
        <v>0</v>
      </c>
      <c r="U118">
        <f>AS94</f>
        <v>0</v>
      </c>
      <c r="V118">
        <f>AS95</f>
        <v>5.27</v>
      </c>
      <c r="W118">
        <f>AS96</f>
        <v>1.4499999999999993</v>
      </c>
      <c r="X118">
        <f>AS97</f>
        <v>0</v>
      </c>
      <c r="Y118">
        <f>AS98</f>
        <v>166.46999999999997</v>
      </c>
      <c r="Z118">
        <f>AS99</f>
        <v>7.0000000000000007E-2</v>
      </c>
      <c r="AA118">
        <f>AS100</f>
        <v>0</v>
      </c>
      <c r="AB118">
        <f>AS101</f>
        <v>1.23</v>
      </c>
      <c r="AC118">
        <f>AS102</f>
        <v>50.5</v>
      </c>
      <c r="AD118">
        <f>AS103</f>
        <v>0</v>
      </c>
      <c r="AE118">
        <f>AS104</f>
        <v>0.91</v>
      </c>
      <c r="AF118">
        <f>AS105</f>
        <v>0</v>
      </c>
      <c r="AG118">
        <f>AS106</f>
        <v>0</v>
      </c>
      <c r="AH118">
        <f>AS107</f>
        <v>0.71</v>
      </c>
      <c r="AI118">
        <f>AS108</f>
        <v>19</v>
      </c>
      <c r="AJ118">
        <f>AS109</f>
        <v>0</v>
      </c>
      <c r="AK118">
        <f>AS110</f>
        <v>0.56999999999999995</v>
      </c>
      <c r="AL118">
        <f>AS111</f>
        <v>0</v>
      </c>
      <c r="AM118">
        <f>AS112</f>
        <v>1.53</v>
      </c>
      <c r="AN118">
        <f>AS113</f>
        <v>96.1</v>
      </c>
      <c r="AO118">
        <f>AS114</f>
        <v>25.759999999999998</v>
      </c>
      <c r="AP118">
        <f>AS115</f>
        <v>1.5</v>
      </c>
      <c r="AQ118">
        <f>AS116</f>
        <v>2849.18</v>
      </c>
    </row>
  </sheetData>
  <mergeCells count="21">
    <mergeCell ref="A1:B1"/>
    <mergeCell ref="A2:BN2"/>
    <mergeCell ref="A4:A5"/>
    <mergeCell ref="B4:B5"/>
    <mergeCell ref="C4:C5"/>
    <mergeCell ref="A75:A76"/>
    <mergeCell ref="BN4:BN5"/>
    <mergeCell ref="A71:B71"/>
    <mergeCell ref="BM4:BM5"/>
    <mergeCell ref="A73:AS73"/>
    <mergeCell ref="AS75:AS76"/>
    <mergeCell ref="D4:D5"/>
    <mergeCell ref="C75:C76"/>
    <mergeCell ref="A72:AS72"/>
    <mergeCell ref="E75:AQ75"/>
    <mergeCell ref="D75:D76"/>
    <mergeCell ref="E4:BK4"/>
    <mergeCell ref="AR74:AS74"/>
    <mergeCell ref="BL4:BL5"/>
    <mergeCell ref="B75:B76"/>
    <mergeCell ref="AR75:AR76"/>
  </mergeCells>
  <phoneticPr fontId="4" type="noConversion"/>
  <pageMargins left="0.75" right="0.75" top="1" bottom="1" header="0.5" footer="0.5"/>
  <pageSetup paperSize="9" scale="45" orientation="portrait" r:id="rId1"/>
  <headerFooter alignWithMargins="0"/>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8"/>
  <dimension ref="A1:BP118"/>
  <sheetViews>
    <sheetView showZeros="0" topLeftCell="A4" zoomScale="75" workbookViewId="0">
      <pane xSplit="4" ySplit="4" topLeftCell="AJ58" activePane="bottomRight" state="frozen"/>
      <selection activeCell="A4" sqref="A4"/>
      <selection pane="topRight" activeCell="E4" sqref="E4"/>
      <selection pane="bottomLeft" activeCell="A8" sqref="A8"/>
      <selection pane="bottomRight" activeCell="S68" sqref="S68"/>
    </sheetView>
  </sheetViews>
  <sheetFormatPr defaultRowHeight="24.95" customHeight="1"/>
  <cols>
    <col min="1" max="1" width="9.5703125" customWidth="1"/>
    <col min="2" max="2" width="47.140625" customWidth="1"/>
    <col min="3" max="3" width="8.28515625" customWidth="1"/>
    <col min="4" max="4" width="13.5703125" customWidth="1"/>
    <col min="5" max="5" width="11.42578125" customWidth="1"/>
    <col min="6" max="6" width="0.140625" hidden="1" customWidth="1"/>
    <col min="7" max="7" width="11.28515625" hidden="1" customWidth="1"/>
    <col min="8" max="8" width="10.85546875" customWidth="1"/>
    <col min="9" max="9" width="11.140625" customWidth="1"/>
    <col min="10" max="10" width="10.85546875" customWidth="1"/>
    <col min="11" max="11" width="10" hidden="1" customWidth="1"/>
    <col min="12" max="12" width="11.140625" hidden="1" customWidth="1"/>
    <col min="13" max="13" width="11.85546875" customWidth="1"/>
    <col min="14" max="14" width="11.140625" customWidth="1"/>
    <col min="15" max="15" width="11.28515625" hidden="1" customWidth="1"/>
    <col min="16" max="16" width="12.85546875" customWidth="1"/>
    <col min="17" max="17" width="12.28515625" customWidth="1"/>
    <col min="18" max="18" width="10.85546875" customWidth="1"/>
    <col min="19" max="19" width="9" customWidth="1"/>
    <col min="20" max="20" width="10.140625" hidden="1" customWidth="1"/>
    <col min="21" max="21" width="9.85546875" customWidth="1"/>
    <col min="22" max="22" width="11.5703125" customWidth="1"/>
    <col min="23" max="23" width="11.140625" customWidth="1"/>
    <col min="24" max="24" width="10.7109375" customWidth="1"/>
    <col min="25" max="25" width="10.42578125" customWidth="1"/>
    <col min="26" max="26" width="11.140625" customWidth="1"/>
    <col min="27" max="27" width="9.85546875" customWidth="1"/>
    <col min="28" max="37" width="10.42578125" customWidth="1"/>
    <col min="38" max="38" width="13.140625" customWidth="1"/>
    <col min="39" max="39" width="10.42578125" customWidth="1"/>
    <col min="40" max="40" width="11" customWidth="1"/>
    <col min="41" max="43" width="9.42578125" customWidth="1"/>
    <col min="44" max="44" width="10.85546875" customWidth="1"/>
    <col min="45" max="45" width="13.7109375" customWidth="1"/>
    <col min="46" max="47" width="9.42578125" customWidth="1"/>
    <col min="48" max="48" width="11.5703125" customWidth="1"/>
    <col min="49" max="59" width="9" customWidth="1"/>
    <col min="60" max="60" width="10.140625" customWidth="1"/>
    <col min="61" max="62" width="9.85546875" customWidth="1"/>
    <col min="64" max="64" width="14.7109375" customWidth="1"/>
    <col min="65" max="65" width="12.140625" customWidth="1"/>
    <col min="66" max="66" width="13" customWidth="1"/>
  </cols>
  <sheetData>
    <row r="1" spans="1:68" ht="24.95" customHeight="1">
      <c r="A1" s="1300" t="s">
        <v>301</v>
      </c>
      <c r="B1" s="1300"/>
    </row>
    <row r="2" spans="1:68" ht="36.75" customHeight="1">
      <c r="A2" s="1282" t="s">
        <v>964</v>
      </c>
      <c r="B2" s="1282"/>
      <c r="C2" s="1282"/>
      <c r="D2" s="1282"/>
      <c r="E2" s="1282"/>
      <c r="F2" s="1282"/>
      <c r="G2" s="1282"/>
      <c r="H2" s="1282"/>
      <c r="I2" s="1282"/>
      <c r="J2" s="1282"/>
      <c r="K2" s="1282"/>
      <c r="L2" s="1282"/>
      <c r="M2" s="1282"/>
      <c r="N2" s="1282"/>
      <c r="O2" s="1282"/>
      <c r="P2" s="1282"/>
      <c r="Q2" s="1282"/>
      <c r="R2" s="1282"/>
      <c r="S2" s="1282"/>
      <c r="T2" s="1282"/>
      <c r="U2" s="1282"/>
      <c r="V2" s="1282"/>
      <c r="W2" s="1282"/>
      <c r="X2" s="1282"/>
      <c r="Y2" s="1282"/>
      <c r="Z2" s="1282"/>
      <c r="AA2" s="1282"/>
      <c r="AB2" s="1282"/>
      <c r="AC2" s="1282"/>
      <c r="AD2" s="1282"/>
      <c r="AE2" s="1282"/>
      <c r="AF2" s="1282"/>
      <c r="AG2" s="1282"/>
      <c r="AH2" s="1282"/>
      <c r="AI2" s="1282"/>
      <c r="AJ2" s="1282"/>
      <c r="AK2" s="1282"/>
      <c r="AL2" s="1282"/>
      <c r="AM2" s="1282"/>
      <c r="AN2" s="1282"/>
      <c r="AO2" s="1282"/>
      <c r="AP2" s="1282"/>
      <c r="AQ2" s="1282"/>
      <c r="AR2" s="1282"/>
      <c r="AS2" s="1282"/>
      <c r="AT2" s="1282"/>
      <c r="AU2" s="1282"/>
      <c r="AV2" s="1282"/>
      <c r="AW2" s="1282"/>
      <c r="AX2" s="1282"/>
      <c r="AY2" s="1282"/>
      <c r="AZ2" s="1282"/>
      <c r="BA2" s="1282"/>
      <c r="BB2" s="1282"/>
      <c r="BC2" s="1282"/>
      <c r="BD2" s="1282"/>
      <c r="BE2" s="1282"/>
      <c r="BF2" s="1282"/>
      <c r="BG2" s="1282"/>
      <c r="BH2" s="1282"/>
      <c r="BI2" s="1282"/>
      <c r="BJ2" s="1282"/>
      <c r="BK2" s="1282"/>
      <c r="BL2" s="1282"/>
      <c r="BM2" s="1282"/>
      <c r="BN2" s="1282"/>
    </row>
    <row r="4" spans="1:68" ht="33" customHeight="1">
      <c r="A4" s="1275" t="s">
        <v>136</v>
      </c>
      <c r="B4" s="1275" t="s">
        <v>469</v>
      </c>
      <c r="C4" s="1275" t="s">
        <v>13</v>
      </c>
      <c r="D4" s="1275" t="s">
        <v>693</v>
      </c>
      <c r="E4" s="1368" t="s">
        <v>694</v>
      </c>
      <c r="F4" s="1368"/>
      <c r="G4" s="1368"/>
      <c r="H4" s="1368"/>
      <c r="I4" s="1368"/>
      <c r="J4" s="1368"/>
      <c r="K4" s="1368"/>
      <c r="L4" s="1368"/>
      <c r="M4" s="1368"/>
      <c r="N4" s="1368"/>
      <c r="O4" s="1368"/>
      <c r="P4" s="1368"/>
      <c r="Q4" s="1368"/>
      <c r="R4" s="1368"/>
      <c r="S4" s="1368"/>
      <c r="T4" s="1368"/>
      <c r="U4" s="1368"/>
      <c r="V4" s="1368"/>
      <c r="W4" s="1368"/>
      <c r="X4" s="1368"/>
      <c r="Y4" s="1368"/>
      <c r="Z4" s="1368"/>
      <c r="AA4" s="1368"/>
      <c r="AB4" s="1368"/>
      <c r="AC4" s="1368"/>
      <c r="AD4" s="1368"/>
      <c r="AE4" s="1368"/>
      <c r="AF4" s="1368"/>
      <c r="AG4" s="1368"/>
      <c r="AH4" s="1368"/>
      <c r="AI4" s="1368"/>
      <c r="AJ4" s="1368"/>
      <c r="AK4" s="1368"/>
      <c r="AL4" s="1368"/>
      <c r="AM4" s="1368"/>
      <c r="AN4" s="1368"/>
      <c r="AO4" s="1368"/>
      <c r="AP4" s="1368"/>
      <c r="AQ4" s="1368"/>
      <c r="AR4" s="1368"/>
      <c r="AS4" s="1368"/>
      <c r="AT4" s="1368"/>
      <c r="AU4" s="1368"/>
      <c r="AV4" s="1368"/>
      <c r="AW4" s="1368"/>
      <c r="AX4" s="1368"/>
      <c r="AY4" s="1368"/>
      <c r="AZ4" s="1368"/>
      <c r="BA4" s="1368"/>
      <c r="BB4" s="1368"/>
      <c r="BC4" s="1368"/>
      <c r="BD4" s="1368"/>
      <c r="BE4" s="1368"/>
      <c r="BF4" s="1368"/>
      <c r="BG4" s="1368"/>
      <c r="BH4" s="1368"/>
      <c r="BI4" s="1368"/>
      <c r="BJ4" s="1368"/>
      <c r="BK4" s="1368"/>
      <c r="BL4" s="1365" t="s">
        <v>191</v>
      </c>
      <c r="BM4" s="1365" t="s">
        <v>493</v>
      </c>
      <c r="BN4" s="1365" t="s">
        <v>695</v>
      </c>
      <c r="BO4" t="s">
        <v>743</v>
      </c>
    </row>
    <row r="5" spans="1:68" ht="35.25" customHeight="1">
      <c r="A5" s="1275"/>
      <c r="B5" s="1275"/>
      <c r="C5" s="1275"/>
      <c r="D5" s="1275"/>
      <c r="E5" s="128" t="s">
        <v>15</v>
      </c>
      <c r="F5" s="128" t="s">
        <v>193</v>
      </c>
      <c r="G5" s="128" t="s">
        <v>194</v>
      </c>
      <c r="H5" s="128" t="s">
        <v>18</v>
      </c>
      <c r="I5" s="128" t="s">
        <v>20</v>
      </c>
      <c r="J5" s="128" t="s">
        <v>195</v>
      </c>
      <c r="K5" s="128" t="s">
        <v>196</v>
      </c>
      <c r="L5" s="128" t="s">
        <v>197</v>
      </c>
      <c r="M5" s="128" t="s">
        <v>23</v>
      </c>
      <c r="N5" s="128" t="s">
        <v>26</v>
      </c>
      <c r="O5" s="128" t="s">
        <v>198</v>
      </c>
      <c r="P5" s="128" t="s">
        <v>29</v>
      </c>
      <c r="Q5" s="128" t="s">
        <v>32</v>
      </c>
      <c r="R5" s="128" t="s">
        <v>35</v>
      </c>
      <c r="S5" s="128" t="s">
        <v>38</v>
      </c>
      <c r="T5" s="128" t="s">
        <v>41</v>
      </c>
      <c r="U5" s="128" t="s">
        <v>44</v>
      </c>
      <c r="V5" s="128" t="s">
        <v>46</v>
      </c>
      <c r="W5" s="128" t="s">
        <v>49</v>
      </c>
      <c r="X5" s="128" t="s">
        <v>52</v>
      </c>
      <c r="Y5" s="128" t="s">
        <v>55</v>
      </c>
      <c r="Z5" s="128" t="s">
        <v>58</v>
      </c>
      <c r="AA5" s="128" t="s">
        <v>61</v>
      </c>
      <c r="AB5" s="128" t="s">
        <v>64</v>
      </c>
      <c r="AC5" s="128" t="s">
        <v>67</v>
      </c>
      <c r="AD5" s="128" t="s">
        <v>70</v>
      </c>
      <c r="AE5" s="128" t="s">
        <v>72</v>
      </c>
      <c r="AF5" s="128" t="s">
        <v>202</v>
      </c>
      <c r="AG5" s="128" t="s">
        <v>203</v>
      </c>
      <c r="AH5" s="128" t="s">
        <v>204</v>
      </c>
      <c r="AI5" s="128" t="s">
        <v>205</v>
      </c>
      <c r="AJ5" s="128" t="s">
        <v>206</v>
      </c>
      <c r="AK5" s="128" t="s">
        <v>207</v>
      </c>
      <c r="AL5" s="128" t="s">
        <v>199</v>
      </c>
      <c r="AM5" s="128" t="s">
        <v>200</v>
      </c>
      <c r="AN5" s="128" t="s">
        <v>223</v>
      </c>
      <c r="AO5" s="128" t="s">
        <v>201</v>
      </c>
      <c r="AP5" s="128" t="s">
        <v>208</v>
      </c>
      <c r="AQ5" s="128" t="s">
        <v>75</v>
      </c>
      <c r="AR5" s="128" t="s">
        <v>78</v>
      </c>
      <c r="AS5" s="128" t="s">
        <v>81</v>
      </c>
      <c r="AT5" s="128" t="s">
        <v>84</v>
      </c>
      <c r="AU5" s="128" t="s">
        <v>87</v>
      </c>
      <c r="AV5" s="128" t="s">
        <v>90</v>
      </c>
      <c r="AW5" s="128" t="s">
        <v>93</v>
      </c>
      <c r="AX5" s="128" t="s">
        <v>96</v>
      </c>
      <c r="AY5" s="128" t="s">
        <v>99</v>
      </c>
      <c r="AZ5" s="128" t="s">
        <v>101</v>
      </c>
      <c r="BA5" s="128" t="s">
        <v>104</v>
      </c>
      <c r="BB5" s="128" t="s">
        <v>107</v>
      </c>
      <c r="BC5" s="128" t="s">
        <v>110</v>
      </c>
      <c r="BD5" s="128" t="s">
        <v>113</v>
      </c>
      <c r="BE5" s="128" t="s">
        <v>116</v>
      </c>
      <c r="BF5" s="128" t="s">
        <v>119</v>
      </c>
      <c r="BG5" s="128" t="s">
        <v>122</v>
      </c>
      <c r="BH5" s="128" t="s">
        <v>124</v>
      </c>
      <c r="BI5" s="128" t="s">
        <v>209</v>
      </c>
      <c r="BJ5" s="128" t="s">
        <v>210</v>
      </c>
      <c r="BK5" s="128" t="s">
        <v>211</v>
      </c>
      <c r="BL5" s="1366"/>
      <c r="BM5" s="1366"/>
      <c r="BN5" s="1366"/>
    </row>
    <row r="6" spans="1:68" ht="24.95" customHeight="1">
      <c r="A6" s="106" t="s">
        <v>235</v>
      </c>
      <c r="B6" s="106" t="s">
        <v>236</v>
      </c>
      <c r="C6" s="129" t="s">
        <v>237</v>
      </c>
      <c r="D6" s="129" t="s">
        <v>238</v>
      </c>
      <c r="E6" s="129" t="s">
        <v>239</v>
      </c>
      <c r="F6" s="129" t="s">
        <v>240</v>
      </c>
      <c r="G6" s="129" t="s">
        <v>241</v>
      </c>
      <c r="H6" s="129" t="s">
        <v>242</v>
      </c>
      <c r="I6" s="129" t="s">
        <v>243</v>
      </c>
      <c r="J6" s="129" t="s">
        <v>244</v>
      </c>
      <c r="K6" s="129" t="s">
        <v>245</v>
      </c>
      <c r="L6" s="129" t="s">
        <v>246</v>
      </c>
      <c r="M6" s="129" t="s">
        <v>247</v>
      </c>
      <c r="N6" s="129" t="s">
        <v>248</v>
      </c>
      <c r="O6" s="129" t="s">
        <v>249</v>
      </c>
      <c r="P6" s="129" t="s">
        <v>250</v>
      </c>
      <c r="Q6" s="129" t="s">
        <v>251</v>
      </c>
      <c r="R6" s="129" t="s">
        <v>252</v>
      </c>
      <c r="S6" s="129" t="s">
        <v>253</v>
      </c>
      <c r="T6" s="129" t="s">
        <v>254</v>
      </c>
      <c r="U6" s="129" t="s">
        <v>255</v>
      </c>
      <c r="V6" s="129" t="s">
        <v>256</v>
      </c>
      <c r="W6" s="129" t="s">
        <v>257</v>
      </c>
      <c r="X6" s="129" t="s">
        <v>258</v>
      </c>
      <c r="Y6" s="129" t="s">
        <v>259</v>
      </c>
      <c r="Z6" s="129" t="s">
        <v>260</v>
      </c>
      <c r="AA6" s="129" t="s">
        <v>261</v>
      </c>
      <c r="AB6" s="129" t="s">
        <v>262</v>
      </c>
      <c r="AC6" s="129" t="s">
        <v>263</v>
      </c>
      <c r="AD6" s="129" t="s">
        <v>264</v>
      </c>
      <c r="AE6" s="129" t="s">
        <v>265</v>
      </c>
      <c r="AF6" s="129" t="s">
        <v>266</v>
      </c>
      <c r="AG6" s="129" t="s">
        <v>267</v>
      </c>
      <c r="AH6" s="129" t="s">
        <v>268</v>
      </c>
      <c r="AI6" s="129" t="s">
        <v>269</v>
      </c>
      <c r="AJ6" s="129" t="s">
        <v>270</v>
      </c>
      <c r="AK6" s="129" t="s">
        <v>271</v>
      </c>
      <c r="AL6" s="129" t="s">
        <v>272</v>
      </c>
      <c r="AM6" s="129" t="s">
        <v>273</v>
      </c>
      <c r="AN6" s="129" t="s">
        <v>274</v>
      </c>
      <c r="AO6" s="129" t="s">
        <v>275</v>
      </c>
      <c r="AP6" s="129" t="s">
        <v>276</v>
      </c>
      <c r="AQ6" s="129" t="s">
        <v>277</v>
      </c>
      <c r="AR6" s="129" t="s">
        <v>278</v>
      </c>
      <c r="AS6" s="129" t="s">
        <v>279</v>
      </c>
      <c r="AT6" s="129" t="s">
        <v>280</v>
      </c>
      <c r="AU6" s="129" t="s">
        <v>281</v>
      </c>
      <c r="AV6" s="129" t="s">
        <v>282</v>
      </c>
      <c r="AW6" s="129" t="s">
        <v>283</v>
      </c>
      <c r="AX6" s="129" t="s">
        <v>284</v>
      </c>
      <c r="AY6" s="129" t="s">
        <v>285</v>
      </c>
      <c r="AZ6" s="129" t="s">
        <v>286</v>
      </c>
      <c r="BA6" s="129" t="s">
        <v>287</v>
      </c>
      <c r="BB6" s="129" t="s">
        <v>288</v>
      </c>
      <c r="BC6" s="129" t="s">
        <v>289</v>
      </c>
      <c r="BD6" s="129" t="s">
        <v>290</v>
      </c>
      <c r="BE6" s="129" t="s">
        <v>291</v>
      </c>
      <c r="BF6" s="129" t="s">
        <v>292</v>
      </c>
      <c r="BG6" s="129" t="s">
        <v>293</v>
      </c>
      <c r="BH6" s="129" t="s">
        <v>294</v>
      </c>
      <c r="BI6" s="129" t="s">
        <v>295</v>
      </c>
      <c r="BJ6" s="129" t="s">
        <v>296</v>
      </c>
      <c r="BK6" s="129" t="s">
        <v>297</v>
      </c>
      <c r="BL6" s="129" t="s">
        <v>298</v>
      </c>
      <c r="BM6" s="129" t="s">
        <v>299</v>
      </c>
      <c r="BN6" s="129" t="s">
        <v>300</v>
      </c>
    </row>
    <row r="7" spans="1:68" s="117" customFormat="1" ht="31.5" customHeight="1">
      <c r="A7" s="154"/>
      <c r="B7" s="154" t="s">
        <v>470</v>
      </c>
      <c r="C7" s="154"/>
      <c r="D7" s="464">
        <f>D8+D25+D63</f>
        <v>2790.9594999999999</v>
      </c>
      <c r="E7" s="464">
        <f>E8+E25+E63</f>
        <v>1886.68</v>
      </c>
      <c r="F7" s="464">
        <f t="shared" ref="F7:BN7" si="0">F8+F25+F63</f>
        <v>263.12</v>
      </c>
      <c r="G7" s="464">
        <f t="shared" si="0"/>
        <v>222.18</v>
      </c>
      <c r="H7" s="464">
        <f t="shared" si="0"/>
        <v>171.75</v>
      </c>
      <c r="I7" s="464">
        <f t="shared" si="0"/>
        <v>22.91</v>
      </c>
      <c r="J7" s="464">
        <f t="shared" si="0"/>
        <v>148.84</v>
      </c>
      <c r="K7" s="464">
        <f t="shared" si="0"/>
        <v>0</v>
      </c>
      <c r="L7" s="464">
        <f t="shared" si="0"/>
        <v>0</v>
      </c>
      <c r="M7" s="464">
        <f t="shared" si="0"/>
        <v>50.43</v>
      </c>
      <c r="N7" s="464">
        <f t="shared" si="0"/>
        <v>40.94</v>
      </c>
      <c r="O7" s="464">
        <f t="shared" si="0"/>
        <v>1531.9499999999998</v>
      </c>
      <c r="P7" s="464">
        <f t="shared" si="0"/>
        <v>956.86</v>
      </c>
      <c r="Q7" s="464">
        <f t="shared" si="0"/>
        <v>0</v>
      </c>
      <c r="R7" s="464">
        <f t="shared" si="0"/>
        <v>575.08999999999992</v>
      </c>
      <c r="S7" s="464">
        <f t="shared" si="0"/>
        <v>90.5</v>
      </c>
      <c r="T7" s="464">
        <f t="shared" si="0"/>
        <v>0</v>
      </c>
      <c r="U7" s="464">
        <f t="shared" si="0"/>
        <v>1.1100000000000001</v>
      </c>
      <c r="V7" s="464">
        <f t="shared" si="0"/>
        <v>209.67950000000002</v>
      </c>
      <c r="W7" s="464">
        <f t="shared" si="0"/>
        <v>5.38</v>
      </c>
      <c r="X7" s="464">
        <f t="shared" si="0"/>
        <v>0</v>
      </c>
      <c r="Y7" s="464">
        <f t="shared" si="0"/>
        <v>0</v>
      </c>
      <c r="Z7" s="464">
        <f t="shared" si="0"/>
        <v>0</v>
      </c>
      <c r="AA7" s="464">
        <f t="shared" si="0"/>
        <v>0</v>
      </c>
      <c r="AB7" s="464">
        <f t="shared" si="0"/>
        <v>0</v>
      </c>
      <c r="AC7" s="464">
        <f t="shared" si="0"/>
        <v>0.55000000000000004</v>
      </c>
      <c r="AD7" s="464">
        <f t="shared" si="0"/>
        <v>0</v>
      </c>
      <c r="AE7" s="464">
        <f t="shared" si="0"/>
        <v>75.219499999999996</v>
      </c>
      <c r="AF7" s="464">
        <f t="shared" si="0"/>
        <v>0.08</v>
      </c>
      <c r="AG7" s="464">
        <f t="shared" si="0"/>
        <v>0.13</v>
      </c>
      <c r="AH7" s="464">
        <f t="shared" si="0"/>
        <v>1.37</v>
      </c>
      <c r="AI7" s="464">
        <f t="shared" si="0"/>
        <v>1.6194999999999999</v>
      </c>
      <c r="AJ7" s="464">
        <f t="shared" si="0"/>
        <v>0</v>
      </c>
      <c r="AK7" s="464">
        <f t="shared" si="0"/>
        <v>0</v>
      </c>
      <c r="AL7" s="464">
        <f t="shared" si="0"/>
        <v>63.65</v>
      </c>
      <c r="AM7" s="464">
        <f t="shared" si="0"/>
        <v>8.3099999999999987</v>
      </c>
      <c r="AN7" s="464">
        <f t="shared" si="0"/>
        <v>0</v>
      </c>
      <c r="AO7" s="464">
        <f t="shared" si="0"/>
        <v>0.06</v>
      </c>
      <c r="AP7" s="464">
        <f t="shared" si="0"/>
        <v>0</v>
      </c>
      <c r="AQ7" s="464">
        <f t="shared" si="0"/>
        <v>0</v>
      </c>
      <c r="AR7" s="464">
        <f t="shared" si="0"/>
        <v>0</v>
      </c>
      <c r="AS7" s="464">
        <f t="shared" si="0"/>
        <v>0.16</v>
      </c>
      <c r="AT7" s="464">
        <f t="shared" si="0"/>
        <v>16.55</v>
      </c>
      <c r="AU7" s="464">
        <f t="shared" si="0"/>
        <v>0</v>
      </c>
      <c r="AV7" s="464">
        <f t="shared" si="0"/>
        <v>0.65</v>
      </c>
      <c r="AW7" s="464">
        <f t="shared" si="0"/>
        <v>0</v>
      </c>
      <c r="AX7" s="464">
        <f t="shared" si="0"/>
        <v>0</v>
      </c>
      <c r="AY7" s="464">
        <f t="shared" si="0"/>
        <v>0</v>
      </c>
      <c r="AZ7" s="464">
        <f t="shared" si="0"/>
        <v>0.52</v>
      </c>
      <c r="BA7" s="464">
        <f t="shared" si="0"/>
        <v>0</v>
      </c>
      <c r="BB7" s="464">
        <f t="shared" si="0"/>
        <v>0.34</v>
      </c>
      <c r="BC7" s="464">
        <f t="shared" si="0"/>
        <v>0.19</v>
      </c>
      <c r="BD7" s="464">
        <f t="shared" si="0"/>
        <v>0.08</v>
      </c>
      <c r="BE7" s="464">
        <f t="shared" si="0"/>
        <v>82.93</v>
      </c>
      <c r="BF7" s="464">
        <f t="shared" si="0"/>
        <v>27.11</v>
      </c>
      <c r="BG7" s="464">
        <f t="shared" si="0"/>
        <v>0</v>
      </c>
      <c r="BH7" s="464">
        <f t="shared" si="0"/>
        <v>694.6</v>
      </c>
      <c r="BI7" s="464">
        <f t="shared" si="0"/>
        <v>682.92000000000007</v>
      </c>
      <c r="BJ7" s="464">
        <f t="shared" si="0"/>
        <v>11.68</v>
      </c>
      <c r="BK7" s="464">
        <f t="shared" si="0"/>
        <v>0</v>
      </c>
      <c r="BL7" s="464"/>
      <c r="BM7" s="464">
        <f t="shared" si="0"/>
        <v>13.49</v>
      </c>
      <c r="BN7" s="464">
        <f t="shared" si="0"/>
        <v>2804.4494999999997</v>
      </c>
    </row>
    <row r="8" spans="1:68" s="115" customFormat="1" ht="21.75" customHeight="1">
      <c r="A8" s="15">
        <v>1</v>
      </c>
      <c r="B8" s="142" t="s">
        <v>14</v>
      </c>
      <c r="C8" s="158" t="s">
        <v>15</v>
      </c>
      <c r="D8" s="420">
        <f>D9+D18+D22+D23+D24</f>
        <v>1886.1399999999999</v>
      </c>
      <c r="E8" s="420">
        <f>D8-BL8</f>
        <v>1885.27</v>
      </c>
      <c r="F8" s="420">
        <f>G8+N8</f>
        <v>263.12</v>
      </c>
      <c r="G8" s="420">
        <f>H8+L8+M8</f>
        <v>222.18</v>
      </c>
      <c r="H8" s="420">
        <f>I8+J8+K8</f>
        <v>171.75</v>
      </c>
      <c r="I8" s="420">
        <f>I9+I18+I22+I23+I24</f>
        <v>22.91</v>
      </c>
      <c r="J8" s="420">
        <f t="shared" ref="J8:BG8" si="1">J9+J18+J22+J23+J24</f>
        <v>148.84</v>
      </c>
      <c r="K8" s="420">
        <f t="shared" si="1"/>
        <v>0</v>
      </c>
      <c r="L8" s="420">
        <f t="shared" si="1"/>
        <v>0</v>
      </c>
      <c r="M8" s="420">
        <f t="shared" si="1"/>
        <v>50.43</v>
      </c>
      <c r="N8" s="420">
        <f t="shared" si="1"/>
        <v>40.94</v>
      </c>
      <c r="O8" s="420">
        <f>P8+Q8+R8</f>
        <v>1531.9499999999998</v>
      </c>
      <c r="P8" s="420">
        <f t="shared" si="1"/>
        <v>956.86</v>
      </c>
      <c r="Q8" s="420">
        <f t="shared" si="1"/>
        <v>0</v>
      </c>
      <c r="R8" s="420">
        <f t="shared" si="1"/>
        <v>575.08999999999992</v>
      </c>
      <c r="S8" s="420">
        <f t="shared" si="1"/>
        <v>89.09</v>
      </c>
      <c r="T8" s="420">
        <f t="shared" si="1"/>
        <v>0</v>
      </c>
      <c r="U8" s="420">
        <f t="shared" si="1"/>
        <v>1.1100000000000001</v>
      </c>
      <c r="V8" s="420">
        <f t="shared" si="1"/>
        <v>0.87000000000000011</v>
      </c>
      <c r="W8" s="420">
        <f t="shared" si="1"/>
        <v>0</v>
      </c>
      <c r="X8" s="420">
        <f t="shared" si="1"/>
        <v>0</v>
      </c>
      <c r="Y8" s="420">
        <f t="shared" si="1"/>
        <v>0</v>
      </c>
      <c r="Z8" s="420">
        <f t="shared" si="1"/>
        <v>0</v>
      </c>
      <c r="AA8" s="420">
        <f t="shared" si="1"/>
        <v>0</v>
      </c>
      <c r="AB8" s="420">
        <f t="shared" si="1"/>
        <v>0</v>
      </c>
      <c r="AC8" s="420">
        <f t="shared" si="1"/>
        <v>0</v>
      </c>
      <c r="AD8" s="420">
        <f t="shared" si="1"/>
        <v>0</v>
      </c>
      <c r="AE8" s="420">
        <f t="shared" si="1"/>
        <v>0.37</v>
      </c>
      <c r="AF8" s="420">
        <f t="shared" si="1"/>
        <v>0</v>
      </c>
      <c r="AG8" s="420">
        <f t="shared" si="1"/>
        <v>0</v>
      </c>
      <c r="AH8" s="420">
        <f t="shared" si="1"/>
        <v>0</v>
      </c>
      <c r="AI8" s="420">
        <f t="shared" si="1"/>
        <v>0</v>
      </c>
      <c r="AJ8" s="420">
        <f t="shared" si="1"/>
        <v>0</v>
      </c>
      <c r="AK8" s="420">
        <f t="shared" si="1"/>
        <v>0</v>
      </c>
      <c r="AL8" s="420">
        <f t="shared" si="1"/>
        <v>0</v>
      </c>
      <c r="AM8" s="420">
        <f t="shared" si="1"/>
        <v>0.37</v>
      </c>
      <c r="AN8" s="420">
        <f t="shared" si="1"/>
        <v>0</v>
      </c>
      <c r="AO8" s="420">
        <f t="shared" si="1"/>
        <v>0</v>
      </c>
      <c r="AP8" s="420">
        <f t="shared" si="1"/>
        <v>0</v>
      </c>
      <c r="AQ8" s="420">
        <f t="shared" si="1"/>
        <v>0</v>
      </c>
      <c r="AR8" s="420">
        <f t="shared" si="1"/>
        <v>0</v>
      </c>
      <c r="AS8" s="420">
        <f t="shared" si="1"/>
        <v>0</v>
      </c>
      <c r="AT8" s="420">
        <f t="shared" si="1"/>
        <v>0.5</v>
      </c>
      <c r="AU8" s="420">
        <f t="shared" si="1"/>
        <v>0</v>
      </c>
      <c r="AV8" s="420">
        <f t="shared" si="1"/>
        <v>0</v>
      </c>
      <c r="AW8" s="420">
        <f t="shared" si="1"/>
        <v>0</v>
      </c>
      <c r="AX8" s="420">
        <f t="shared" si="1"/>
        <v>0</v>
      </c>
      <c r="AY8" s="420">
        <f t="shared" si="1"/>
        <v>0</v>
      </c>
      <c r="AZ8" s="420">
        <f t="shared" si="1"/>
        <v>0</v>
      </c>
      <c r="BA8" s="420">
        <f t="shared" si="1"/>
        <v>0</v>
      </c>
      <c r="BB8" s="420">
        <f t="shared" si="1"/>
        <v>0</v>
      </c>
      <c r="BC8" s="420">
        <f t="shared" si="1"/>
        <v>0</v>
      </c>
      <c r="BD8" s="420">
        <f t="shared" si="1"/>
        <v>0</v>
      </c>
      <c r="BE8" s="420">
        <f t="shared" si="1"/>
        <v>0</v>
      </c>
      <c r="BF8" s="420">
        <f t="shared" si="1"/>
        <v>0</v>
      </c>
      <c r="BG8" s="420">
        <f t="shared" si="1"/>
        <v>0</v>
      </c>
      <c r="BH8" s="420">
        <f>BH9+BH18+BH22+BH23+BH24</f>
        <v>0</v>
      </c>
      <c r="BI8" s="420">
        <f>BI9+BI18+BI22+BI23+BI24</f>
        <v>0</v>
      </c>
      <c r="BJ8" s="420">
        <f>BJ9+BJ18+BJ22+BJ23+BJ24</f>
        <v>0</v>
      </c>
      <c r="BK8" s="420">
        <f>BK9+BK18+BK22+BK23+BK24</f>
        <v>0</v>
      </c>
      <c r="BL8" s="420">
        <f>V8+BH8</f>
        <v>0.87000000000000011</v>
      </c>
      <c r="BM8" s="420">
        <f>BM9+BM18+BM22+BM23+BM24</f>
        <v>14.030000000000001</v>
      </c>
      <c r="BN8" s="420">
        <f>BN9+BN18+BN22+BN23+BN24</f>
        <v>1900.1699999999996</v>
      </c>
      <c r="BP8" s="117"/>
    </row>
    <row r="9" spans="1:68" ht="21.75" hidden="1" customHeight="1">
      <c r="A9" s="14" t="s">
        <v>16</v>
      </c>
      <c r="B9" s="143" t="s">
        <v>471</v>
      </c>
      <c r="C9" s="30" t="s">
        <v>193</v>
      </c>
      <c r="D9" s="185">
        <f>D10+D17</f>
        <v>263.97000000000003</v>
      </c>
      <c r="E9" s="185">
        <f>F9+O9+S9+T9+U9</f>
        <v>263.97000000000003</v>
      </c>
      <c r="F9" s="185">
        <f>D9-BK9</f>
        <v>263.97000000000003</v>
      </c>
      <c r="G9" s="185">
        <f>H9+L9+M9</f>
        <v>222.18</v>
      </c>
      <c r="H9" s="185">
        <f>I9+J9+K9</f>
        <v>171.75</v>
      </c>
      <c r="I9" s="185">
        <f>I10+I17</f>
        <v>22.91</v>
      </c>
      <c r="J9" s="185">
        <f t="shared" ref="J9:BG9" si="2">J10+J17</f>
        <v>148.84</v>
      </c>
      <c r="K9" s="185">
        <f t="shared" si="2"/>
        <v>0</v>
      </c>
      <c r="L9" s="185">
        <f t="shared" si="2"/>
        <v>0</v>
      </c>
      <c r="M9" s="185">
        <f t="shared" si="2"/>
        <v>50.43</v>
      </c>
      <c r="N9" s="185">
        <f t="shared" si="2"/>
        <v>40.94</v>
      </c>
      <c r="O9" s="185">
        <f t="shared" ref="O9:O17" si="3">P9+Q9+R9</f>
        <v>0</v>
      </c>
      <c r="P9" s="185">
        <f t="shared" si="2"/>
        <v>0</v>
      </c>
      <c r="Q9" s="185">
        <f t="shared" si="2"/>
        <v>0</v>
      </c>
      <c r="R9" s="185">
        <f t="shared" si="2"/>
        <v>0</v>
      </c>
      <c r="S9" s="185">
        <f t="shared" si="2"/>
        <v>0</v>
      </c>
      <c r="T9" s="185">
        <f t="shared" si="2"/>
        <v>0</v>
      </c>
      <c r="U9" s="185">
        <f t="shared" si="2"/>
        <v>0</v>
      </c>
      <c r="V9" s="185">
        <f t="shared" si="2"/>
        <v>0.85000000000000009</v>
      </c>
      <c r="W9" s="185">
        <f t="shared" si="2"/>
        <v>0</v>
      </c>
      <c r="X9" s="185">
        <f t="shared" si="2"/>
        <v>0</v>
      </c>
      <c r="Y9" s="185">
        <f t="shared" si="2"/>
        <v>0</v>
      </c>
      <c r="Z9" s="185">
        <f t="shared" si="2"/>
        <v>0</v>
      </c>
      <c r="AA9" s="185">
        <f t="shared" si="2"/>
        <v>0</v>
      </c>
      <c r="AB9" s="185">
        <f t="shared" si="2"/>
        <v>0</v>
      </c>
      <c r="AC9" s="185">
        <f t="shared" si="2"/>
        <v>0</v>
      </c>
      <c r="AD9" s="185">
        <f t="shared" si="2"/>
        <v>0</v>
      </c>
      <c r="AE9" s="185">
        <f t="shared" si="2"/>
        <v>0.35</v>
      </c>
      <c r="AF9" s="185">
        <f t="shared" si="2"/>
        <v>0</v>
      </c>
      <c r="AG9" s="185">
        <f t="shared" si="2"/>
        <v>0</v>
      </c>
      <c r="AH9" s="185">
        <f t="shared" si="2"/>
        <v>0</v>
      </c>
      <c r="AI9" s="185">
        <f t="shared" si="2"/>
        <v>0</v>
      </c>
      <c r="AJ9" s="185">
        <f t="shared" si="2"/>
        <v>0</v>
      </c>
      <c r="AK9" s="185">
        <f t="shared" si="2"/>
        <v>0</v>
      </c>
      <c r="AL9" s="185">
        <f t="shared" si="2"/>
        <v>0</v>
      </c>
      <c r="AM9" s="185">
        <f t="shared" si="2"/>
        <v>0.35</v>
      </c>
      <c r="AN9" s="185">
        <f t="shared" si="2"/>
        <v>0</v>
      </c>
      <c r="AO9" s="185">
        <f t="shared" si="2"/>
        <v>0</v>
      </c>
      <c r="AP9" s="185">
        <f t="shared" si="2"/>
        <v>0</v>
      </c>
      <c r="AQ9" s="185">
        <f t="shared" si="2"/>
        <v>0</v>
      </c>
      <c r="AR9" s="185">
        <f t="shared" si="2"/>
        <v>0</v>
      </c>
      <c r="AS9" s="185">
        <f t="shared" si="2"/>
        <v>0</v>
      </c>
      <c r="AT9" s="185">
        <f t="shared" si="2"/>
        <v>0.5</v>
      </c>
      <c r="AU9" s="185">
        <f t="shared" si="2"/>
        <v>0</v>
      </c>
      <c r="AV9" s="185">
        <f t="shared" si="2"/>
        <v>0</v>
      </c>
      <c r="AW9" s="185">
        <f t="shared" si="2"/>
        <v>0</v>
      </c>
      <c r="AX9" s="185">
        <f t="shared" si="2"/>
        <v>0</v>
      </c>
      <c r="AY9" s="185">
        <f t="shared" si="2"/>
        <v>0</v>
      </c>
      <c r="AZ9" s="185">
        <f t="shared" si="2"/>
        <v>0</v>
      </c>
      <c r="BA9" s="185">
        <f t="shared" si="2"/>
        <v>0</v>
      </c>
      <c r="BB9" s="185">
        <f t="shared" si="2"/>
        <v>0</v>
      </c>
      <c r="BC9" s="185">
        <f t="shared" si="2"/>
        <v>0</v>
      </c>
      <c r="BD9" s="185">
        <f t="shared" si="2"/>
        <v>0</v>
      </c>
      <c r="BE9" s="185">
        <f t="shared" si="2"/>
        <v>0</v>
      </c>
      <c r="BF9" s="185">
        <f t="shared" si="2"/>
        <v>0</v>
      </c>
      <c r="BG9" s="185">
        <f t="shared" si="2"/>
        <v>0</v>
      </c>
      <c r="BH9" s="185">
        <f>BH10+BH17</f>
        <v>0</v>
      </c>
      <c r="BI9" s="185">
        <f>BI10+BI17</f>
        <v>0</v>
      </c>
      <c r="BJ9" s="185">
        <f>BJ10+BJ17</f>
        <v>0</v>
      </c>
      <c r="BK9" s="185">
        <f>BK10+BK17</f>
        <v>0</v>
      </c>
      <c r="BL9" s="185">
        <f>O9+S9+T9+U9+V9+BH9</f>
        <v>0.85000000000000009</v>
      </c>
      <c r="BM9" s="185">
        <f>BM10+BM17</f>
        <v>-0.85000000000000009</v>
      </c>
      <c r="BN9" s="185">
        <f>D9+BM9</f>
        <v>263.12</v>
      </c>
      <c r="BP9" s="117"/>
    </row>
    <row r="10" spans="1:68" ht="19.5" hidden="1" customHeight="1">
      <c r="A10" s="14" t="s">
        <v>212</v>
      </c>
      <c r="B10" s="143" t="s">
        <v>472</v>
      </c>
      <c r="C10" s="30" t="s">
        <v>194</v>
      </c>
      <c r="D10" s="185">
        <f>D11+D15+D16</f>
        <v>222.49</v>
      </c>
      <c r="E10" s="185">
        <f t="shared" ref="E10:E66" si="4">F10+O10+S10+T10+U10</f>
        <v>222.18</v>
      </c>
      <c r="F10" s="185">
        <f>G10+N10</f>
        <v>222.18</v>
      </c>
      <c r="G10" s="185">
        <f>D10-BL10</f>
        <v>222.18</v>
      </c>
      <c r="H10" s="185">
        <f>I10+J10+K10</f>
        <v>171.75</v>
      </c>
      <c r="I10" s="185">
        <f>I11+I15+I16</f>
        <v>22.91</v>
      </c>
      <c r="J10" s="185">
        <f t="shared" ref="J10:BG10" si="5">J11+J15+J16</f>
        <v>148.84</v>
      </c>
      <c r="K10" s="185">
        <f t="shared" si="5"/>
        <v>0</v>
      </c>
      <c r="L10" s="185">
        <f t="shared" si="5"/>
        <v>0</v>
      </c>
      <c r="M10" s="185">
        <f t="shared" si="5"/>
        <v>50.43</v>
      </c>
      <c r="N10" s="185">
        <f t="shared" si="5"/>
        <v>0</v>
      </c>
      <c r="O10" s="185">
        <f t="shared" si="3"/>
        <v>0</v>
      </c>
      <c r="P10" s="185">
        <f t="shared" si="5"/>
        <v>0</v>
      </c>
      <c r="Q10" s="185">
        <f t="shared" si="5"/>
        <v>0</v>
      </c>
      <c r="R10" s="185">
        <f t="shared" si="5"/>
        <v>0</v>
      </c>
      <c r="S10" s="185">
        <f t="shared" si="5"/>
        <v>0</v>
      </c>
      <c r="T10" s="185">
        <f t="shared" si="5"/>
        <v>0</v>
      </c>
      <c r="U10" s="185">
        <f t="shared" si="5"/>
        <v>0</v>
      </c>
      <c r="V10" s="185">
        <f t="shared" si="5"/>
        <v>0.31</v>
      </c>
      <c r="W10" s="185">
        <f t="shared" si="5"/>
        <v>0</v>
      </c>
      <c r="X10" s="185">
        <f t="shared" si="5"/>
        <v>0</v>
      </c>
      <c r="Y10" s="185">
        <f t="shared" si="5"/>
        <v>0</v>
      </c>
      <c r="Z10" s="185">
        <f t="shared" si="5"/>
        <v>0</v>
      </c>
      <c r="AA10" s="185">
        <f t="shared" si="5"/>
        <v>0</v>
      </c>
      <c r="AB10" s="185">
        <f t="shared" si="5"/>
        <v>0</v>
      </c>
      <c r="AC10" s="185">
        <f t="shared" si="5"/>
        <v>0</v>
      </c>
      <c r="AD10" s="185">
        <f t="shared" si="5"/>
        <v>0</v>
      </c>
      <c r="AE10" s="185">
        <f t="shared" si="5"/>
        <v>0.31</v>
      </c>
      <c r="AF10" s="185">
        <f t="shared" si="5"/>
        <v>0</v>
      </c>
      <c r="AG10" s="185">
        <f t="shared" si="5"/>
        <v>0</v>
      </c>
      <c r="AH10" s="185">
        <f t="shared" si="5"/>
        <v>0</v>
      </c>
      <c r="AI10" s="185">
        <f t="shared" si="5"/>
        <v>0</v>
      </c>
      <c r="AJ10" s="185">
        <f t="shared" si="5"/>
        <v>0</v>
      </c>
      <c r="AK10" s="185">
        <f t="shared" si="5"/>
        <v>0</v>
      </c>
      <c r="AL10" s="185">
        <f t="shared" si="5"/>
        <v>0</v>
      </c>
      <c r="AM10" s="185">
        <f t="shared" si="5"/>
        <v>0.31</v>
      </c>
      <c r="AN10" s="185">
        <f t="shared" si="5"/>
        <v>0</v>
      </c>
      <c r="AO10" s="185">
        <f t="shared" si="5"/>
        <v>0</v>
      </c>
      <c r="AP10" s="185">
        <f t="shared" si="5"/>
        <v>0</v>
      </c>
      <c r="AQ10" s="185">
        <f t="shared" si="5"/>
        <v>0</v>
      </c>
      <c r="AR10" s="185">
        <f t="shared" si="5"/>
        <v>0</v>
      </c>
      <c r="AS10" s="185">
        <f t="shared" si="5"/>
        <v>0</v>
      </c>
      <c r="AT10" s="185">
        <f t="shared" si="5"/>
        <v>0</v>
      </c>
      <c r="AU10" s="185">
        <f t="shared" si="5"/>
        <v>0</v>
      </c>
      <c r="AV10" s="185">
        <f t="shared" si="5"/>
        <v>0</v>
      </c>
      <c r="AW10" s="185">
        <f t="shared" si="5"/>
        <v>0</v>
      </c>
      <c r="AX10" s="185">
        <f t="shared" si="5"/>
        <v>0</v>
      </c>
      <c r="AY10" s="185">
        <f t="shared" si="5"/>
        <v>0</v>
      </c>
      <c r="AZ10" s="185">
        <f t="shared" si="5"/>
        <v>0</v>
      </c>
      <c r="BA10" s="185">
        <f t="shared" si="5"/>
        <v>0</v>
      </c>
      <c r="BB10" s="185">
        <f t="shared" si="5"/>
        <v>0</v>
      </c>
      <c r="BC10" s="185">
        <f t="shared" si="5"/>
        <v>0</v>
      </c>
      <c r="BD10" s="185">
        <f t="shared" si="5"/>
        <v>0</v>
      </c>
      <c r="BE10" s="185">
        <f t="shared" si="5"/>
        <v>0</v>
      </c>
      <c r="BF10" s="185">
        <f t="shared" si="5"/>
        <v>0</v>
      </c>
      <c r="BG10" s="185">
        <f t="shared" si="5"/>
        <v>0</v>
      </c>
      <c r="BH10" s="185">
        <f>BH11+BH15+BH16</f>
        <v>0</v>
      </c>
      <c r="BI10" s="185">
        <f>BI11+BI15+BI16</f>
        <v>0</v>
      </c>
      <c r="BJ10" s="185">
        <f>BJ11+BJ15+BJ16</f>
        <v>0</v>
      </c>
      <c r="BK10" s="185">
        <f>BK11+BK15+BK16</f>
        <v>0</v>
      </c>
      <c r="BL10" s="185">
        <f>N10+O10+S10+T10+U10+V10+BH10</f>
        <v>0.31</v>
      </c>
      <c r="BM10" s="185">
        <f>BM11+BM15+BM16</f>
        <v>-0.31</v>
      </c>
      <c r="BN10" s="185">
        <f>BN11+BN15+BN16</f>
        <v>222.18</v>
      </c>
      <c r="BP10" s="117"/>
    </row>
    <row r="11" spans="1:68" ht="20.100000000000001" customHeight="1">
      <c r="A11" s="14" t="s">
        <v>213</v>
      </c>
      <c r="B11" s="143" t="s">
        <v>17</v>
      </c>
      <c r="C11" s="30" t="s">
        <v>18</v>
      </c>
      <c r="D11" s="185">
        <f>D12+D13+D14</f>
        <v>172.05</v>
      </c>
      <c r="E11" s="185">
        <f t="shared" si="4"/>
        <v>171.75</v>
      </c>
      <c r="F11" s="185">
        <f t="shared" ref="F11:F24" si="6">G11+N11</f>
        <v>171.75</v>
      </c>
      <c r="G11" s="185">
        <f>H11+L11+M11</f>
        <v>171.75</v>
      </c>
      <c r="H11" s="185">
        <f>D11-BL11</f>
        <v>171.75</v>
      </c>
      <c r="I11" s="185">
        <f>I12+I13+I14</f>
        <v>22.91</v>
      </c>
      <c r="J11" s="185">
        <f t="shared" ref="J11:BG11" si="7">J12+J13+J14</f>
        <v>148.84</v>
      </c>
      <c r="K11" s="185">
        <f t="shared" si="7"/>
        <v>0</v>
      </c>
      <c r="L11" s="185">
        <f t="shared" si="7"/>
        <v>0</v>
      </c>
      <c r="M11" s="185">
        <f t="shared" si="7"/>
        <v>0</v>
      </c>
      <c r="N11" s="185">
        <f t="shared" si="7"/>
        <v>0</v>
      </c>
      <c r="O11" s="185">
        <f t="shared" si="3"/>
        <v>0</v>
      </c>
      <c r="P11" s="185">
        <f t="shared" si="7"/>
        <v>0</v>
      </c>
      <c r="Q11" s="185">
        <f t="shared" si="7"/>
        <v>0</v>
      </c>
      <c r="R11" s="185">
        <f t="shared" si="7"/>
        <v>0</v>
      </c>
      <c r="S11" s="185">
        <f t="shared" si="7"/>
        <v>0</v>
      </c>
      <c r="T11" s="185">
        <f t="shared" si="7"/>
        <v>0</v>
      </c>
      <c r="U11" s="185">
        <f t="shared" si="7"/>
        <v>0</v>
      </c>
      <c r="V11" s="185">
        <f t="shared" si="7"/>
        <v>0.3</v>
      </c>
      <c r="W11" s="185">
        <f t="shared" si="7"/>
        <v>0</v>
      </c>
      <c r="X11" s="185">
        <f t="shared" si="7"/>
        <v>0</v>
      </c>
      <c r="Y11" s="185">
        <f t="shared" si="7"/>
        <v>0</v>
      </c>
      <c r="Z11" s="185">
        <f t="shared" si="7"/>
        <v>0</v>
      </c>
      <c r="AA11" s="185">
        <f t="shared" si="7"/>
        <v>0</v>
      </c>
      <c r="AB11" s="185">
        <f t="shared" si="7"/>
        <v>0</v>
      </c>
      <c r="AC11" s="185">
        <f t="shared" si="7"/>
        <v>0</v>
      </c>
      <c r="AD11" s="185">
        <f t="shared" si="7"/>
        <v>0</v>
      </c>
      <c r="AE11" s="185">
        <f t="shared" si="7"/>
        <v>0.3</v>
      </c>
      <c r="AF11" s="185">
        <f t="shared" si="7"/>
        <v>0</v>
      </c>
      <c r="AG11" s="185">
        <f t="shared" si="7"/>
        <v>0</v>
      </c>
      <c r="AH11" s="185">
        <f t="shared" si="7"/>
        <v>0</v>
      </c>
      <c r="AI11" s="185">
        <f t="shared" si="7"/>
        <v>0</v>
      </c>
      <c r="AJ11" s="185">
        <f t="shared" si="7"/>
        <v>0</v>
      </c>
      <c r="AK11" s="185">
        <f t="shared" si="7"/>
        <v>0</v>
      </c>
      <c r="AL11" s="185">
        <f t="shared" si="7"/>
        <v>0</v>
      </c>
      <c r="AM11" s="185">
        <f t="shared" si="7"/>
        <v>0.3</v>
      </c>
      <c r="AN11" s="185">
        <f t="shared" si="7"/>
        <v>0</v>
      </c>
      <c r="AO11" s="185">
        <f t="shared" si="7"/>
        <v>0</v>
      </c>
      <c r="AP11" s="185">
        <f t="shared" si="7"/>
        <v>0</v>
      </c>
      <c r="AQ11" s="185">
        <f t="shared" si="7"/>
        <v>0</v>
      </c>
      <c r="AR11" s="185">
        <f t="shared" si="7"/>
        <v>0</v>
      </c>
      <c r="AS11" s="185">
        <f t="shared" si="7"/>
        <v>0</v>
      </c>
      <c r="AT11" s="185">
        <f t="shared" si="7"/>
        <v>0</v>
      </c>
      <c r="AU11" s="185">
        <f t="shared" si="7"/>
        <v>0</v>
      </c>
      <c r="AV11" s="185">
        <f t="shared" si="7"/>
        <v>0</v>
      </c>
      <c r="AW11" s="185">
        <f t="shared" si="7"/>
        <v>0</v>
      </c>
      <c r="AX11" s="185">
        <f t="shared" si="7"/>
        <v>0</v>
      </c>
      <c r="AY11" s="185">
        <f t="shared" si="7"/>
        <v>0</v>
      </c>
      <c r="AZ11" s="185">
        <f t="shared" si="7"/>
        <v>0</v>
      </c>
      <c r="BA11" s="185">
        <f t="shared" si="7"/>
        <v>0</v>
      </c>
      <c r="BB11" s="185">
        <f t="shared" si="7"/>
        <v>0</v>
      </c>
      <c r="BC11" s="185">
        <f t="shared" si="7"/>
        <v>0</v>
      </c>
      <c r="BD11" s="185">
        <f t="shared" si="7"/>
        <v>0</v>
      </c>
      <c r="BE11" s="185">
        <f t="shared" si="7"/>
        <v>0</v>
      </c>
      <c r="BF11" s="185">
        <f t="shared" si="7"/>
        <v>0</v>
      </c>
      <c r="BG11" s="185">
        <f t="shared" si="7"/>
        <v>0</v>
      </c>
      <c r="BH11" s="185">
        <f>BH12+BH13+BH14</f>
        <v>0</v>
      </c>
      <c r="BI11" s="185">
        <f>BI12+BI13+BI14</f>
        <v>0</v>
      </c>
      <c r="BJ11" s="185">
        <f>BJ12+BJ13+BJ14</f>
        <v>0</v>
      </c>
      <c r="BK11" s="185">
        <f>BK12+BK13+BK14</f>
        <v>0</v>
      </c>
      <c r="BL11" s="185">
        <f>L11+M11+N11+S11+T11+U11+V11+BH11</f>
        <v>0.3</v>
      </c>
      <c r="BM11" s="185">
        <f>H68-BL11</f>
        <v>-0.3</v>
      </c>
      <c r="BN11" s="185">
        <f>BN12+BN13+BN14</f>
        <v>171.75</v>
      </c>
      <c r="BP11" s="513"/>
    </row>
    <row r="12" spans="1:68" ht="20.100000000000001" customHeight="1">
      <c r="A12" s="14" t="s">
        <v>214</v>
      </c>
      <c r="B12" s="143" t="s">
        <v>473</v>
      </c>
      <c r="C12" s="30" t="s">
        <v>20</v>
      </c>
      <c r="D12" s="185">
        <f>#REF!</f>
        <v>23.21</v>
      </c>
      <c r="E12" s="185">
        <f t="shared" si="4"/>
        <v>22.91</v>
      </c>
      <c r="F12" s="185">
        <f t="shared" si="6"/>
        <v>22.91</v>
      </c>
      <c r="G12" s="185">
        <f t="shared" ref="G12:G66" si="8">H12+L12+M12</f>
        <v>22.91</v>
      </c>
      <c r="H12" s="185">
        <f>I12+J12+K12</f>
        <v>22.91</v>
      </c>
      <c r="I12" s="185">
        <f>D12-BL12</f>
        <v>22.91</v>
      </c>
      <c r="J12" s="185"/>
      <c r="K12" s="185"/>
      <c r="L12" s="185"/>
      <c r="M12" s="185"/>
      <c r="N12" s="185"/>
      <c r="O12" s="185">
        <f t="shared" si="3"/>
        <v>0</v>
      </c>
      <c r="P12" s="185"/>
      <c r="Q12" s="185"/>
      <c r="R12" s="185"/>
      <c r="S12" s="185"/>
      <c r="T12" s="185"/>
      <c r="U12" s="185"/>
      <c r="V12" s="185">
        <f>W12+X12+Y12+Z12+AA12+AB12+AC12+AD12+AE12+AQ12+AR12+AS12+AT12+AU12+AV12+AW12+AX12+AY12+AZ12+BA12+BB12+BC12+BD12+BE12+BF12+BG12</f>
        <v>0.3</v>
      </c>
      <c r="W12" s="185"/>
      <c r="X12" s="185"/>
      <c r="Y12" s="185"/>
      <c r="Z12" s="185"/>
      <c r="AA12" s="185"/>
      <c r="AB12" s="185"/>
      <c r="AC12" s="185"/>
      <c r="AD12" s="185"/>
      <c r="AE12" s="185">
        <f t="shared" ref="AE12:AE33" si="9">SUM(AF12:AP12)</f>
        <v>0.3</v>
      </c>
      <c r="AF12" s="185"/>
      <c r="AG12" s="185"/>
      <c r="AH12" s="185"/>
      <c r="AI12" s="185"/>
      <c r="AJ12" s="185"/>
      <c r="AK12" s="185"/>
      <c r="AL12" s="185"/>
      <c r="AM12" s="185">
        <v>0.3</v>
      </c>
      <c r="AN12" s="185"/>
      <c r="AO12" s="185"/>
      <c r="AP12" s="185"/>
      <c r="AQ12" s="185"/>
      <c r="AR12" s="185"/>
      <c r="AS12" s="185"/>
      <c r="AT12" s="185"/>
      <c r="AU12" s="185"/>
      <c r="AV12" s="185"/>
      <c r="AW12" s="185"/>
      <c r="AX12" s="185"/>
      <c r="AY12" s="185"/>
      <c r="AZ12" s="185"/>
      <c r="BA12" s="185"/>
      <c r="BB12" s="185"/>
      <c r="BC12" s="185"/>
      <c r="BD12" s="185"/>
      <c r="BE12" s="185"/>
      <c r="BF12" s="185"/>
      <c r="BG12" s="185"/>
      <c r="BH12" s="185">
        <f t="shared" ref="BH12:BH17" si="10">BI12+BJ12+BK12</f>
        <v>0</v>
      </c>
      <c r="BI12" s="185"/>
      <c r="BJ12" s="185"/>
      <c r="BK12" s="185"/>
      <c r="BL12" s="185">
        <f>J12+K12+L12+M12+N12+O12+S12+T12+U12+V12+BH12</f>
        <v>0.3</v>
      </c>
      <c r="BM12" s="185">
        <f>I68-BL12</f>
        <v>-0.3</v>
      </c>
      <c r="BN12" s="185">
        <f t="shared" ref="BN12:BN17" si="11">D12+BM12</f>
        <v>22.91</v>
      </c>
      <c r="BP12" s="117"/>
    </row>
    <row r="13" spans="1:68" ht="18.75" customHeight="1">
      <c r="A13" s="14" t="s">
        <v>215</v>
      </c>
      <c r="B13" s="143" t="s">
        <v>474</v>
      </c>
      <c r="C13" s="30" t="s">
        <v>195</v>
      </c>
      <c r="D13" s="185">
        <f>#REF!</f>
        <v>148.84</v>
      </c>
      <c r="E13" s="185">
        <f t="shared" si="4"/>
        <v>148.84</v>
      </c>
      <c r="F13" s="185">
        <f t="shared" si="6"/>
        <v>148.84</v>
      </c>
      <c r="G13" s="185">
        <f t="shared" si="8"/>
        <v>148.84</v>
      </c>
      <c r="H13" s="185">
        <f t="shared" ref="H13:H66" si="12">I13+J13+K13</f>
        <v>148.84</v>
      </c>
      <c r="I13" s="185"/>
      <c r="J13" s="185">
        <f>D13-BL13</f>
        <v>148.84</v>
      </c>
      <c r="K13" s="185"/>
      <c r="L13" s="185"/>
      <c r="M13" s="185"/>
      <c r="N13" s="185"/>
      <c r="O13" s="185">
        <f t="shared" si="3"/>
        <v>0</v>
      </c>
      <c r="P13" s="185"/>
      <c r="Q13" s="185"/>
      <c r="R13" s="185"/>
      <c r="S13" s="185"/>
      <c r="T13" s="185"/>
      <c r="U13" s="185"/>
      <c r="V13" s="185">
        <f t="shared" ref="V13:V66" si="13">W13+X13+Y13+Z13+AA13+AB13+AC13+AD13+AE13+AQ13+AR13+AS13+AT13+AU13+AV13+AW13+AX13+AY13+AZ13+BA13+BB13+BC13+BD13+BE13+BF13+BG13</f>
        <v>0</v>
      </c>
      <c r="W13" s="185"/>
      <c r="X13" s="185"/>
      <c r="Y13" s="185"/>
      <c r="Z13" s="185"/>
      <c r="AA13" s="185"/>
      <c r="AB13" s="185"/>
      <c r="AC13" s="185"/>
      <c r="AD13" s="185"/>
      <c r="AE13" s="185">
        <f t="shared" si="9"/>
        <v>0</v>
      </c>
      <c r="AF13" s="185"/>
      <c r="AG13" s="185"/>
      <c r="AH13" s="185"/>
      <c r="AI13" s="185"/>
      <c r="AJ13" s="185"/>
      <c r="AK13" s="185"/>
      <c r="AL13" s="185"/>
      <c r="AM13" s="185"/>
      <c r="AN13" s="185"/>
      <c r="AO13" s="185"/>
      <c r="AP13" s="185"/>
      <c r="AQ13" s="185"/>
      <c r="AR13" s="185"/>
      <c r="AS13" s="185"/>
      <c r="AT13" s="185"/>
      <c r="AU13" s="185"/>
      <c r="AV13" s="185"/>
      <c r="AW13" s="185"/>
      <c r="AX13" s="185"/>
      <c r="AY13" s="185"/>
      <c r="AZ13" s="185"/>
      <c r="BA13" s="185"/>
      <c r="BB13" s="185"/>
      <c r="BC13" s="185"/>
      <c r="BD13" s="185"/>
      <c r="BE13" s="185"/>
      <c r="BF13" s="185"/>
      <c r="BG13" s="185"/>
      <c r="BH13" s="185">
        <f t="shared" si="10"/>
        <v>0</v>
      </c>
      <c r="BI13" s="185"/>
      <c r="BJ13" s="185"/>
      <c r="BK13" s="185"/>
      <c r="BL13" s="185">
        <f>I13+K13+L13+M13+N13+O13+S13+T13+U13+V13+BH13</f>
        <v>0</v>
      </c>
      <c r="BM13" s="185">
        <f>J68-BL13</f>
        <v>0</v>
      </c>
      <c r="BN13" s="185">
        <f t="shared" si="11"/>
        <v>148.84</v>
      </c>
      <c r="BP13" s="117"/>
    </row>
    <row r="14" spans="1:68" ht="19.5" hidden="1" customHeight="1">
      <c r="A14" s="14" t="s">
        <v>216</v>
      </c>
      <c r="B14" s="143" t="s">
        <v>475</v>
      </c>
      <c r="C14" s="30" t="s">
        <v>196</v>
      </c>
      <c r="D14" s="185"/>
      <c r="E14" s="185">
        <f t="shared" si="4"/>
        <v>0</v>
      </c>
      <c r="F14" s="185">
        <f t="shared" si="6"/>
        <v>0</v>
      </c>
      <c r="G14" s="185">
        <f t="shared" si="8"/>
        <v>0</v>
      </c>
      <c r="H14" s="185">
        <f t="shared" si="12"/>
        <v>0</v>
      </c>
      <c r="I14" s="185"/>
      <c r="J14" s="185"/>
      <c r="K14" s="185">
        <f>D14-BL14</f>
        <v>0</v>
      </c>
      <c r="L14" s="185"/>
      <c r="M14" s="185"/>
      <c r="N14" s="185"/>
      <c r="O14" s="185">
        <f t="shared" si="3"/>
        <v>0</v>
      </c>
      <c r="P14" s="185"/>
      <c r="Q14" s="185"/>
      <c r="R14" s="185"/>
      <c r="S14" s="185"/>
      <c r="T14" s="185"/>
      <c r="U14" s="185"/>
      <c r="V14" s="185">
        <f t="shared" si="13"/>
        <v>0</v>
      </c>
      <c r="W14" s="185"/>
      <c r="X14" s="185"/>
      <c r="Y14" s="185"/>
      <c r="Z14" s="185"/>
      <c r="AA14" s="185"/>
      <c r="AB14" s="185"/>
      <c r="AC14" s="185"/>
      <c r="AD14" s="185"/>
      <c r="AE14" s="185">
        <f t="shared" si="9"/>
        <v>0</v>
      </c>
      <c r="AF14" s="185"/>
      <c r="AG14" s="185"/>
      <c r="AH14" s="185"/>
      <c r="AI14" s="185"/>
      <c r="AJ14" s="185"/>
      <c r="AK14" s="185"/>
      <c r="AL14" s="185"/>
      <c r="AM14" s="185"/>
      <c r="AN14" s="185"/>
      <c r="AO14" s="185"/>
      <c r="AP14" s="185"/>
      <c r="AQ14" s="185"/>
      <c r="AR14" s="185"/>
      <c r="AS14" s="185"/>
      <c r="AT14" s="185"/>
      <c r="AU14" s="185"/>
      <c r="AV14" s="185"/>
      <c r="AW14" s="185"/>
      <c r="AX14" s="185"/>
      <c r="AY14" s="185"/>
      <c r="AZ14" s="185"/>
      <c r="BA14" s="185"/>
      <c r="BB14" s="185"/>
      <c r="BC14" s="185"/>
      <c r="BD14" s="185"/>
      <c r="BE14" s="185"/>
      <c r="BF14" s="185"/>
      <c r="BG14" s="185"/>
      <c r="BH14" s="185">
        <f t="shared" si="10"/>
        <v>0</v>
      </c>
      <c r="BI14" s="185"/>
      <c r="BJ14" s="185"/>
      <c r="BK14" s="185"/>
      <c r="BL14" s="185">
        <f>I14+J14+L14+M14+N14+O14+S14+T14+U14+V14+BH14</f>
        <v>0</v>
      </c>
      <c r="BM14" s="185">
        <f>K68-BL14</f>
        <v>0</v>
      </c>
      <c r="BN14" s="185">
        <f t="shared" si="11"/>
        <v>0</v>
      </c>
      <c r="BP14" s="117"/>
    </row>
    <row r="15" spans="1:68" ht="19.5" hidden="1" customHeight="1">
      <c r="A15" s="14" t="s">
        <v>217</v>
      </c>
      <c r="B15" s="143" t="s">
        <v>476</v>
      </c>
      <c r="C15" s="30" t="s">
        <v>197</v>
      </c>
      <c r="D15" s="185"/>
      <c r="E15" s="185">
        <f t="shared" si="4"/>
        <v>0</v>
      </c>
      <c r="F15" s="185">
        <f t="shared" si="6"/>
        <v>0</v>
      </c>
      <c r="G15" s="185">
        <f t="shared" si="8"/>
        <v>0</v>
      </c>
      <c r="H15" s="185">
        <f t="shared" si="12"/>
        <v>0</v>
      </c>
      <c r="I15" s="185"/>
      <c r="J15" s="185"/>
      <c r="K15" s="185"/>
      <c r="L15" s="185">
        <f>D15-BL15</f>
        <v>0</v>
      </c>
      <c r="M15" s="185"/>
      <c r="N15" s="185"/>
      <c r="O15" s="185">
        <f t="shared" si="3"/>
        <v>0</v>
      </c>
      <c r="P15" s="185"/>
      <c r="Q15" s="185"/>
      <c r="R15" s="185"/>
      <c r="S15" s="185"/>
      <c r="T15" s="185"/>
      <c r="U15" s="185"/>
      <c r="V15" s="185">
        <f t="shared" si="13"/>
        <v>0</v>
      </c>
      <c r="W15" s="185"/>
      <c r="X15" s="185"/>
      <c r="Y15" s="185"/>
      <c r="Z15" s="185"/>
      <c r="AA15" s="185"/>
      <c r="AB15" s="185"/>
      <c r="AC15" s="185"/>
      <c r="AD15" s="185"/>
      <c r="AE15" s="185">
        <f t="shared" si="9"/>
        <v>0</v>
      </c>
      <c r="AF15" s="185"/>
      <c r="AG15" s="185"/>
      <c r="AH15" s="185"/>
      <c r="AI15" s="185"/>
      <c r="AJ15" s="185"/>
      <c r="AK15" s="185"/>
      <c r="AL15" s="185"/>
      <c r="AM15" s="185"/>
      <c r="AN15" s="185"/>
      <c r="AO15" s="185"/>
      <c r="AP15" s="185"/>
      <c r="AQ15" s="185"/>
      <c r="AR15" s="185"/>
      <c r="AS15" s="185"/>
      <c r="AT15" s="185"/>
      <c r="AU15" s="185"/>
      <c r="AV15" s="185"/>
      <c r="AW15" s="185"/>
      <c r="AX15" s="185"/>
      <c r="AY15" s="185"/>
      <c r="AZ15" s="185"/>
      <c r="BA15" s="185"/>
      <c r="BB15" s="185"/>
      <c r="BC15" s="185"/>
      <c r="BD15" s="185"/>
      <c r="BE15" s="185"/>
      <c r="BF15" s="185"/>
      <c r="BG15" s="185"/>
      <c r="BH15" s="185">
        <f t="shared" si="10"/>
        <v>0</v>
      </c>
      <c r="BI15" s="185"/>
      <c r="BJ15" s="185"/>
      <c r="BK15" s="185"/>
      <c r="BL15" s="185">
        <f>H15+M15+N15+O15+S15+T15+U15+V15+BH15</f>
        <v>0</v>
      </c>
      <c r="BM15" s="185">
        <f>L68-BL15</f>
        <v>0</v>
      </c>
      <c r="BN15" s="185">
        <f t="shared" si="11"/>
        <v>0</v>
      </c>
      <c r="BP15" s="117"/>
    </row>
    <row r="16" spans="1:68" ht="20.100000000000001" customHeight="1">
      <c r="A16" s="14" t="s">
        <v>218</v>
      </c>
      <c r="B16" s="143" t="s">
        <v>22</v>
      </c>
      <c r="C16" s="30" t="s">
        <v>23</v>
      </c>
      <c r="D16" s="185">
        <f>#REF!</f>
        <v>50.44</v>
      </c>
      <c r="E16" s="185">
        <f t="shared" si="4"/>
        <v>50.43</v>
      </c>
      <c r="F16" s="185">
        <f t="shared" si="6"/>
        <v>50.43</v>
      </c>
      <c r="G16" s="185">
        <f t="shared" si="8"/>
        <v>50.43</v>
      </c>
      <c r="H16" s="185">
        <f t="shared" si="12"/>
        <v>0</v>
      </c>
      <c r="I16" s="185"/>
      <c r="J16" s="185"/>
      <c r="K16" s="185"/>
      <c r="L16" s="185"/>
      <c r="M16" s="185">
        <f>D16-BL16</f>
        <v>50.43</v>
      </c>
      <c r="N16" s="185"/>
      <c r="O16" s="185">
        <f t="shared" si="3"/>
        <v>0</v>
      </c>
      <c r="P16" s="185"/>
      <c r="Q16" s="185"/>
      <c r="R16" s="185"/>
      <c r="S16" s="185"/>
      <c r="T16" s="185"/>
      <c r="U16" s="185"/>
      <c r="V16" s="185">
        <f t="shared" si="13"/>
        <v>0.01</v>
      </c>
      <c r="W16" s="185"/>
      <c r="X16" s="185"/>
      <c r="Y16" s="185"/>
      <c r="Z16" s="185"/>
      <c r="AA16" s="185"/>
      <c r="AB16" s="185"/>
      <c r="AC16" s="185"/>
      <c r="AD16" s="185"/>
      <c r="AE16" s="185">
        <f t="shared" si="9"/>
        <v>0.01</v>
      </c>
      <c r="AF16" s="185"/>
      <c r="AG16" s="185"/>
      <c r="AH16" s="185"/>
      <c r="AI16" s="185"/>
      <c r="AJ16" s="185"/>
      <c r="AK16" s="185"/>
      <c r="AL16" s="185"/>
      <c r="AM16" s="185">
        <v>0.01</v>
      </c>
      <c r="AN16" s="185"/>
      <c r="AO16" s="185"/>
      <c r="AP16" s="185"/>
      <c r="AQ16" s="185"/>
      <c r="AR16" s="185"/>
      <c r="AS16" s="185"/>
      <c r="AT16" s="185"/>
      <c r="AU16" s="185"/>
      <c r="AV16" s="185"/>
      <c r="AW16" s="185"/>
      <c r="AX16" s="185"/>
      <c r="AY16" s="185"/>
      <c r="AZ16" s="185"/>
      <c r="BA16" s="185"/>
      <c r="BB16" s="185"/>
      <c r="BC16" s="185"/>
      <c r="BD16" s="185"/>
      <c r="BE16" s="185"/>
      <c r="BF16" s="185"/>
      <c r="BG16" s="185"/>
      <c r="BH16" s="185">
        <f t="shared" si="10"/>
        <v>0</v>
      </c>
      <c r="BI16" s="185"/>
      <c r="BJ16" s="185"/>
      <c r="BK16" s="185"/>
      <c r="BL16" s="185">
        <f>H16+L16+N16+S16+T16+U16+V16+BH16</f>
        <v>0.01</v>
      </c>
      <c r="BM16" s="185">
        <f>M68-BL16</f>
        <v>-0.01</v>
      </c>
      <c r="BN16" s="185">
        <f t="shared" si="11"/>
        <v>50.43</v>
      </c>
      <c r="BP16" s="117"/>
    </row>
    <row r="17" spans="1:68" ht="18.75" customHeight="1">
      <c r="A17" s="14" t="s">
        <v>219</v>
      </c>
      <c r="B17" s="143" t="s">
        <v>25</v>
      </c>
      <c r="C17" s="30" t="s">
        <v>26</v>
      </c>
      <c r="D17" s="185">
        <f>#REF!</f>
        <v>41.48</v>
      </c>
      <c r="E17" s="185">
        <f t="shared" si="4"/>
        <v>40.94</v>
      </c>
      <c r="F17" s="185">
        <f t="shared" si="6"/>
        <v>40.94</v>
      </c>
      <c r="G17" s="185">
        <f t="shared" si="8"/>
        <v>0</v>
      </c>
      <c r="H17" s="185">
        <f t="shared" si="12"/>
        <v>0</v>
      </c>
      <c r="I17" s="185"/>
      <c r="J17" s="185"/>
      <c r="K17" s="185"/>
      <c r="L17" s="185"/>
      <c r="M17" s="185"/>
      <c r="N17" s="185">
        <f>D17-BL17</f>
        <v>40.94</v>
      </c>
      <c r="O17" s="185">
        <f t="shared" si="3"/>
        <v>0</v>
      </c>
      <c r="P17" s="185"/>
      <c r="Q17" s="185"/>
      <c r="R17" s="185"/>
      <c r="S17" s="185"/>
      <c r="T17" s="185"/>
      <c r="U17" s="185"/>
      <c r="V17" s="185">
        <f t="shared" si="13"/>
        <v>0.54</v>
      </c>
      <c r="W17" s="185"/>
      <c r="X17" s="185"/>
      <c r="Y17" s="185"/>
      <c r="Z17" s="185"/>
      <c r="AA17" s="185"/>
      <c r="AB17" s="185"/>
      <c r="AC17" s="185"/>
      <c r="AD17" s="185"/>
      <c r="AE17" s="185">
        <f t="shared" si="9"/>
        <v>0.04</v>
      </c>
      <c r="AF17" s="185"/>
      <c r="AG17" s="185"/>
      <c r="AH17" s="185"/>
      <c r="AI17" s="185"/>
      <c r="AJ17" s="185"/>
      <c r="AK17" s="185"/>
      <c r="AL17" s="185"/>
      <c r="AM17" s="185">
        <v>0.04</v>
      </c>
      <c r="AN17" s="185"/>
      <c r="AO17" s="185"/>
      <c r="AP17" s="185"/>
      <c r="AQ17" s="185"/>
      <c r="AR17" s="185"/>
      <c r="AS17" s="185"/>
      <c r="AT17" s="185">
        <v>0.5</v>
      </c>
      <c r="AU17" s="185"/>
      <c r="AV17" s="185"/>
      <c r="AW17" s="185"/>
      <c r="AX17" s="185"/>
      <c r="AY17" s="185"/>
      <c r="AZ17" s="185"/>
      <c r="BA17" s="185"/>
      <c r="BB17" s="185"/>
      <c r="BC17" s="185"/>
      <c r="BD17" s="185"/>
      <c r="BE17" s="185"/>
      <c r="BF17" s="185"/>
      <c r="BG17" s="185"/>
      <c r="BH17" s="185">
        <f t="shared" si="10"/>
        <v>0</v>
      </c>
      <c r="BI17" s="185"/>
      <c r="BJ17" s="185"/>
      <c r="BK17" s="185"/>
      <c r="BL17" s="185">
        <f>H17+L17+M17+O17+S17+T17+U17+V17+BH17</f>
        <v>0.54</v>
      </c>
      <c r="BM17" s="185">
        <f>N68-BL17</f>
        <v>-0.54</v>
      </c>
      <c r="BN17" s="185">
        <f t="shared" si="11"/>
        <v>40.94</v>
      </c>
      <c r="BP17" s="117"/>
    </row>
    <row r="18" spans="1:68" ht="19.5" hidden="1" customHeight="1">
      <c r="A18" s="14" t="s">
        <v>21</v>
      </c>
      <c r="B18" s="143" t="s">
        <v>477</v>
      </c>
      <c r="C18" s="30" t="s">
        <v>198</v>
      </c>
      <c r="D18" s="185">
        <f>D19+D20+D21</f>
        <v>1536.53</v>
      </c>
      <c r="E18" s="185">
        <f t="shared" si="4"/>
        <v>1536.51</v>
      </c>
      <c r="F18" s="185">
        <f t="shared" si="6"/>
        <v>0</v>
      </c>
      <c r="G18" s="185">
        <f t="shared" si="8"/>
        <v>0</v>
      </c>
      <c r="H18" s="185">
        <f t="shared" si="12"/>
        <v>0</v>
      </c>
      <c r="I18" s="185">
        <f t="shared" ref="I18:N18" si="14">I19+I20+I21</f>
        <v>0</v>
      </c>
      <c r="J18" s="185">
        <f t="shared" si="14"/>
        <v>0</v>
      </c>
      <c r="K18" s="185">
        <f t="shared" si="14"/>
        <v>0</v>
      </c>
      <c r="L18" s="185">
        <f t="shared" si="14"/>
        <v>0</v>
      </c>
      <c r="M18" s="185">
        <f t="shared" si="14"/>
        <v>0</v>
      </c>
      <c r="N18" s="185">
        <f t="shared" si="14"/>
        <v>0</v>
      </c>
      <c r="O18" s="185">
        <f>D18-BL18</f>
        <v>1531.95</v>
      </c>
      <c r="P18" s="185">
        <f t="shared" ref="P18:BG18" si="15">P19+P20+P21</f>
        <v>956.86</v>
      </c>
      <c r="Q18" s="185">
        <f t="shared" si="15"/>
        <v>0</v>
      </c>
      <c r="R18" s="185">
        <f t="shared" si="15"/>
        <v>575.08999999999992</v>
      </c>
      <c r="S18" s="185">
        <f t="shared" si="15"/>
        <v>4.5599999999999996</v>
      </c>
      <c r="T18" s="185">
        <f t="shared" si="15"/>
        <v>0</v>
      </c>
      <c r="U18" s="185">
        <f t="shared" si="15"/>
        <v>0</v>
      </c>
      <c r="V18" s="185">
        <f t="shared" si="15"/>
        <v>0.02</v>
      </c>
      <c r="W18" s="185">
        <f t="shared" si="15"/>
        <v>0</v>
      </c>
      <c r="X18" s="185">
        <f t="shared" si="15"/>
        <v>0</v>
      </c>
      <c r="Y18" s="185">
        <f t="shared" si="15"/>
        <v>0</v>
      </c>
      <c r="Z18" s="185">
        <f t="shared" si="15"/>
        <v>0</v>
      </c>
      <c r="AA18" s="185">
        <f t="shared" si="15"/>
        <v>0</v>
      </c>
      <c r="AB18" s="185">
        <f t="shared" si="15"/>
        <v>0</v>
      </c>
      <c r="AC18" s="185">
        <f t="shared" si="15"/>
        <v>0</v>
      </c>
      <c r="AD18" s="185">
        <f t="shared" si="15"/>
        <v>0</v>
      </c>
      <c r="AE18" s="185">
        <f t="shared" si="15"/>
        <v>0.02</v>
      </c>
      <c r="AF18" s="185">
        <f t="shared" si="15"/>
        <v>0</v>
      </c>
      <c r="AG18" s="185">
        <f t="shared" si="15"/>
        <v>0</v>
      </c>
      <c r="AH18" s="185">
        <f t="shared" si="15"/>
        <v>0</v>
      </c>
      <c r="AI18" s="185">
        <f t="shared" si="15"/>
        <v>0</v>
      </c>
      <c r="AJ18" s="185">
        <f t="shared" si="15"/>
        <v>0</v>
      </c>
      <c r="AK18" s="185">
        <f t="shared" si="15"/>
        <v>0</v>
      </c>
      <c r="AL18" s="185">
        <f t="shared" si="15"/>
        <v>0</v>
      </c>
      <c r="AM18" s="185">
        <f t="shared" si="15"/>
        <v>0.02</v>
      </c>
      <c r="AN18" s="185">
        <f t="shared" si="15"/>
        <v>0</v>
      </c>
      <c r="AO18" s="185">
        <f t="shared" si="15"/>
        <v>0</v>
      </c>
      <c r="AP18" s="185">
        <f t="shared" si="15"/>
        <v>0</v>
      </c>
      <c r="AQ18" s="185">
        <f t="shared" si="15"/>
        <v>0</v>
      </c>
      <c r="AR18" s="185">
        <f t="shared" si="15"/>
        <v>0</v>
      </c>
      <c r="AS18" s="185">
        <f t="shared" si="15"/>
        <v>0</v>
      </c>
      <c r="AT18" s="185">
        <f t="shared" si="15"/>
        <v>0</v>
      </c>
      <c r="AU18" s="185">
        <f t="shared" si="15"/>
        <v>0</v>
      </c>
      <c r="AV18" s="185">
        <f t="shared" si="15"/>
        <v>0</v>
      </c>
      <c r="AW18" s="185">
        <f t="shared" si="15"/>
        <v>0</v>
      </c>
      <c r="AX18" s="185">
        <f t="shared" si="15"/>
        <v>0</v>
      </c>
      <c r="AY18" s="185">
        <f t="shared" si="15"/>
        <v>0</v>
      </c>
      <c r="AZ18" s="185">
        <f t="shared" si="15"/>
        <v>0</v>
      </c>
      <c r="BA18" s="185">
        <f t="shared" si="15"/>
        <v>0</v>
      </c>
      <c r="BB18" s="185">
        <f t="shared" si="15"/>
        <v>0</v>
      </c>
      <c r="BC18" s="185">
        <f t="shared" si="15"/>
        <v>0</v>
      </c>
      <c r="BD18" s="185">
        <f t="shared" si="15"/>
        <v>0</v>
      </c>
      <c r="BE18" s="185">
        <f t="shared" si="15"/>
        <v>0</v>
      </c>
      <c r="BF18" s="185">
        <f t="shared" si="15"/>
        <v>0</v>
      </c>
      <c r="BG18" s="185">
        <f t="shared" si="15"/>
        <v>0</v>
      </c>
      <c r="BH18" s="185">
        <f>BH19+BH20+BH21</f>
        <v>0</v>
      </c>
      <c r="BI18" s="185">
        <f>BI19+BI20+BI21</f>
        <v>0</v>
      </c>
      <c r="BJ18" s="185">
        <f>BJ19+BJ20+BJ21</f>
        <v>0</v>
      </c>
      <c r="BK18" s="185">
        <f>BK19+BK20+BK21</f>
        <v>0</v>
      </c>
      <c r="BL18" s="185">
        <f>F18+S18+T18+U18+BH18+V18</f>
        <v>4.5799999999999992</v>
      </c>
      <c r="BM18" s="185">
        <f>O68-BL18</f>
        <v>-4.5799999999999992</v>
      </c>
      <c r="BN18" s="185">
        <f>BN19+BN20+BN21</f>
        <v>1531.9499999999998</v>
      </c>
      <c r="BP18" s="117"/>
    </row>
    <row r="19" spans="1:68" ht="20.100000000000001" customHeight="1">
      <c r="A19" s="14" t="s">
        <v>182</v>
      </c>
      <c r="B19" s="143" t="s">
        <v>28</v>
      </c>
      <c r="C19" s="30" t="s">
        <v>29</v>
      </c>
      <c r="D19" s="185">
        <f>#REF!</f>
        <v>956.86</v>
      </c>
      <c r="E19" s="185">
        <f>F19+O19+S19+T19+U19</f>
        <v>956.86</v>
      </c>
      <c r="F19" s="185">
        <f>G19+N19</f>
        <v>0</v>
      </c>
      <c r="G19" s="185">
        <f>H19+L19+M19</f>
        <v>0</v>
      </c>
      <c r="H19" s="185">
        <f t="shared" si="12"/>
        <v>0</v>
      </c>
      <c r="I19" s="185"/>
      <c r="J19" s="185"/>
      <c r="K19" s="185"/>
      <c r="L19" s="185"/>
      <c r="M19" s="185"/>
      <c r="N19" s="185"/>
      <c r="O19" s="185">
        <f t="shared" ref="O19:O24" si="16">P19+Q19+R19</f>
        <v>956.86</v>
      </c>
      <c r="P19" s="185">
        <f>D19-BL19</f>
        <v>956.86</v>
      </c>
      <c r="Q19" s="185"/>
      <c r="R19" s="185"/>
      <c r="S19" s="185"/>
      <c r="T19" s="185"/>
      <c r="U19" s="185"/>
      <c r="V19" s="185">
        <f t="shared" si="13"/>
        <v>0</v>
      </c>
      <c r="W19" s="185"/>
      <c r="X19" s="185"/>
      <c r="Y19" s="185"/>
      <c r="Z19" s="185"/>
      <c r="AA19" s="185"/>
      <c r="AB19" s="185"/>
      <c r="AC19" s="185"/>
      <c r="AD19" s="185"/>
      <c r="AE19" s="185">
        <f t="shared" si="9"/>
        <v>0</v>
      </c>
      <c r="AF19" s="185"/>
      <c r="AG19" s="185"/>
      <c r="AH19" s="185"/>
      <c r="AI19" s="185"/>
      <c r="AJ19" s="185"/>
      <c r="AK19" s="185"/>
      <c r="AL19" s="185"/>
      <c r="AM19" s="185"/>
      <c r="AN19" s="185"/>
      <c r="AO19" s="185"/>
      <c r="AP19" s="185"/>
      <c r="AQ19" s="185"/>
      <c r="AR19" s="185"/>
      <c r="AS19" s="185"/>
      <c r="AT19" s="185"/>
      <c r="AU19" s="185"/>
      <c r="AV19" s="185"/>
      <c r="AW19" s="185"/>
      <c r="AX19" s="185"/>
      <c r="AY19" s="185"/>
      <c r="AZ19" s="185"/>
      <c r="BA19" s="185"/>
      <c r="BB19" s="185"/>
      <c r="BC19" s="185"/>
      <c r="BD19" s="185"/>
      <c r="BE19" s="185"/>
      <c r="BF19" s="185"/>
      <c r="BG19" s="185"/>
      <c r="BH19" s="185">
        <f t="shared" ref="BH19:BH24" si="17">BI19+BJ19+BK19</f>
        <v>0</v>
      </c>
      <c r="BI19" s="185"/>
      <c r="BJ19" s="185"/>
      <c r="BK19" s="185"/>
      <c r="BL19" s="185">
        <f>F19+Q19+R19+S19+T19+U19+V19+BH19</f>
        <v>0</v>
      </c>
      <c r="BM19" s="185">
        <f>P68-BL19</f>
        <v>0</v>
      </c>
      <c r="BN19" s="185">
        <f t="shared" ref="BN19:BN24" si="18">D19+BM19</f>
        <v>956.86</v>
      </c>
      <c r="BP19" s="117"/>
    </row>
    <row r="20" spans="1:68" ht="20.100000000000001" customHeight="1">
      <c r="A20" s="14" t="s">
        <v>183</v>
      </c>
      <c r="B20" s="143" t="s">
        <v>31</v>
      </c>
      <c r="C20" s="30" t="s">
        <v>32</v>
      </c>
      <c r="D20" s="185"/>
      <c r="E20" s="185">
        <f t="shared" si="4"/>
        <v>0</v>
      </c>
      <c r="F20" s="185">
        <f t="shared" si="6"/>
        <v>0</v>
      </c>
      <c r="G20" s="185">
        <f t="shared" si="8"/>
        <v>0</v>
      </c>
      <c r="H20" s="185">
        <f t="shared" si="12"/>
        <v>0</v>
      </c>
      <c r="I20" s="185"/>
      <c r="J20" s="185"/>
      <c r="K20" s="185"/>
      <c r="L20" s="185"/>
      <c r="M20" s="185"/>
      <c r="N20" s="185"/>
      <c r="O20" s="185">
        <f t="shared" si="16"/>
        <v>0</v>
      </c>
      <c r="P20" s="185"/>
      <c r="Q20" s="185">
        <f>D20-BL20</f>
        <v>0</v>
      </c>
      <c r="R20" s="185"/>
      <c r="S20" s="185"/>
      <c r="T20" s="185"/>
      <c r="U20" s="185"/>
      <c r="V20" s="185">
        <f t="shared" si="13"/>
        <v>0</v>
      </c>
      <c r="W20" s="185"/>
      <c r="X20" s="185"/>
      <c r="Y20" s="185"/>
      <c r="Z20" s="185"/>
      <c r="AA20" s="185"/>
      <c r="AB20" s="185"/>
      <c r="AC20" s="185"/>
      <c r="AD20" s="185"/>
      <c r="AE20" s="185">
        <f t="shared" si="9"/>
        <v>0</v>
      </c>
      <c r="AF20" s="185"/>
      <c r="AG20" s="185"/>
      <c r="AH20" s="185"/>
      <c r="AI20" s="185"/>
      <c r="AJ20" s="185"/>
      <c r="AK20" s="185"/>
      <c r="AL20" s="185"/>
      <c r="AM20" s="185"/>
      <c r="AN20" s="185"/>
      <c r="AO20" s="185"/>
      <c r="AP20" s="185"/>
      <c r="AQ20" s="185"/>
      <c r="AR20" s="185"/>
      <c r="AS20" s="185"/>
      <c r="AT20" s="185"/>
      <c r="AU20" s="185"/>
      <c r="AV20" s="185"/>
      <c r="AW20" s="185"/>
      <c r="AX20" s="185"/>
      <c r="AY20" s="185"/>
      <c r="AZ20" s="185"/>
      <c r="BA20" s="185"/>
      <c r="BB20" s="185"/>
      <c r="BC20" s="185"/>
      <c r="BD20" s="185"/>
      <c r="BE20" s="185"/>
      <c r="BF20" s="185"/>
      <c r="BG20" s="185"/>
      <c r="BH20" s="185">
        <f t="shared" si="17"/>
        <v>0</v>
      </c>
      <c r="BI20" s="185"/>
      <c r="BJ20" s="185"/>
      <c r="BK20" s="185"/>
      <c r="BL20" s="185">
        <f>F20+P20+R20+S20+T20+U20+V20+BH20</f>
        <v>0</v>
      </c>
      <c r="BM20" s="185">
        <f>Q68-BL20</f>
        <v>0</v>
      </c>
      <c r="BN20" s="185">
        <f t="shared" si="18"/>
        <v>0</v>
      </c>
      <c r="BP20" s="117"/>
    </row>
    <row r="21" spans="1:68" ht="20.100000000000001" customHeight="1">
      <c r="A21" s="14" t="s">
        <v>184</v>
      </c>
      <c r="B21" s="143" t="s">
        <v>34</v>
      </c>
      <c r="C21" s="30" t="s">
        <v>35</v>
      </c>
      <c r="D21" s="185">
        <f>#REF!</f>
        <v>579.66999999999996</v>
      </c>
      <c r="E21" s="185">
        <f t="shared" si="4"/>
        <v>579.64999999999986</v>
      </c>
      <c r="F21" s="185">
        <f>G21+N21</f>
        <v>0</v>
      </c>
      <c r="G21" s="185">
        <f t="shared" si="8"/>
        <v>0</v>
      </c>
      <c r="H21" s="185">
        <f t="shared" si="12"/>
        <v>0</v>
      </c>
      <c r="I21" s="185"/>
      <c r="J21" s="185"/>
      <c r="K21" s="185"/>
      <c r="L21" s="185"/>
      <c r="M21" s="185"/>
      <c r="N21" s="185"/>
      <c r="O21" s="185">
        <f t="shared" si="16"/>
        <v>575.08999999999992</v>
      </c>
      <c r="P21" s="185"/>
      <c r="Q21" s="185"/>
      <c r="R21" s="185">
        <f>D21-BL21</f>
        <v>575.08999999999992</v>
      </c>
      <c r="S21" s="185">
        <v>4.5599999999999996</v>
      </c>
      <c r="T21" s="185"/>
      <c r="U21" s="185"/>
      <c r="V21" s="185">
        <f t="shared" si="13"/>
        <v>0.02</v>
      </c>
      <c r="W21" s="185"/>
      <c r="X21" s="185"/>
      <c r="Y21" s="185"/>
      <c r="Z21" s="185"/>
      <c r="AA21" s="185"/>
      <c r="AB21" s="185"/>
      <c r="AC21" s="185"/>
      <c r="AD21" s="185"/>
      <c r="AE21" s="185">
        <f t="shared" si="9"/>
        <v>0.02</v>
      </c>
      <c r="AF21" s="185"/>
      <c r="AG21" s="185"/>
      <c r="AH21" s="185"/>
      <c r="AI21" s="185"/>
      <c r="AJ21" s="185"/>
      <c r="AK21" s="185"/>
      <c r="AL21" s="185"/>
      <c r="AM21" s="185">
        <v>0.02</v>
      </c>
      <c r="AN21" s="185"/>
      <c r="AO21" s="185"/>
      <c r="AP21" s="185"/>
      <c r="AQ21" s="185"/>
      <c r="AR21" s="185"/>
      <c r="AS21" s="185"/>
      <c r="AT21" s="185"/>
      <c r="AU21" s="185"/>
      <c r="AV21" s="185"/>
      <c r="AW21" s="185"/>
      <c r="AX21" s="185"/>
      <c r="AY21" s="185"/>
      <c r="AZ21" s="185"/>
      <c r="BA21" s="185"/>
      <c r="BB21" s="185"/>
      <c r="BC21" s="185"/>
      <c r="BD21" s="185"/>
      <c r="BE21" s="185"/>
      <c r="BF21" s="185"/>
      <c r="BG21" s="185"/>
      <c r="BH21" s="185">
        <f t="shared" si="17"/>
        <v>0</v>
      </c>
      <c r="BI21" s="185"/>
      <c r="BJ21" s="185"/>
      <c r="BK21" s="185"/>
      <c r="BL21" s="185">
        <f>F21+P21+Q21+S21+T21+U21+V21+BH21</f>
        <v>4.5799999999999992</v>
      </c>
      <c r="BM21" s="185">
        <f>R68-BL21</f>
        <v>-4.5799999999999992</v>
      </c>
      <c r="BN21" s="185">
        <f t="shared" si="18"/>
        <v>575.08999999999992</v>
      </c>
      <c r="BP21" s="117"/>
    </row>
    <row r="22" spans="1:68" ht="19.5" customHeight="1">
      <c r="A22" s="14" t="s">
        <v>24</v>
      </c>
      <c r="B22" s="143" t="s">
        <v>37</v>
      </c>
      <c r="C22" s="30" t="s">
        <v>38</v>
      </c>
      <c r="D22" s="185">
        <f>#REF!</f>
        <v>84.53</v>
      </c>
      <c r="E22" s="185">
        <f>F22+O22+S22+T22+U22</f>
        <v>84.53</v>
      </c>
      <c r="F22" s="185">
        <f t="shared" si="6"/>
        <v>0</v>
      </c>
      <c r="G22" s="185">
        <f t="shared" si="8"/>
        <v>0</v>
      </c>
      <c r="H22" s="185">
        <f t="shared" si="12"/>
        <v>0</v>
      </c>
      <c r="I22" s="185"/>
      <c r="J22" s="185"/>
      <c r="K22" s="185"/>
      <c r="L22" s="185"/>
      <c r="M22" s="185"/>
      <c r="N22" s="185"/>
      <c r="O22" s="185">
        <f t="shared" si="16"/>
        <v>0</v>
      </c>
      <c r="P22" s="185"/>
      <c r="Q22" s="185"/>
      <c r="R22" s="185"/>
      <c r="S22" s="185">
        <f>D22-BL22</f>
        <v>84.53</v>
      </c>
      <c r="T22" s="185"/>
      <c r="U22" s="185"/>
      <c r="V22" s="185">
        <f t="shared" si="13"/>
        <v>0</v>
      </c>
      <c r="W22" s="185"/>
      <c r="X22" s="185"/>
      <c r="Y22" s="185"/>
      <c r="Z22" s="185"/>
      <c r="AA22" s="185"/>
      <c r="AB22" s="185"/>
      <c r="AC22" s="185"/>
      <c r="AD22" s="185"/>
      <c r="AE22" s="185">
        <f t="shared" si="9"/>
        <v>0</v>
      </c>
      <c r="AF22" s="185"/>
      <c r="AG22" s="185"/>
      <c r="AH22" s="185"/>
      <c r="AI22" s="185"/>
      <c r="AJ22" s="185"/>
      <c r="AK22" s="185"/>
      <c r="AL22" s="185"/>
      <c r="AM22" s="185"/>
      <c r="AN22" s="185"/>
      <c r="AO22" s="185"/>
      <c r="AP22" s="185"/>
      <c r="AQ22" s="185"/>
      <c r="AR22" s="185"/>
      <c r="AS22" s="185"/>
      <c r="AT22" s="185"/>
      <c r="AU22" s="185"/>
      <c r="AV22" s="185"/>
      <c r="AW22" s="185"/>
      <c r="AX22" s="185"/>
      <c r="AY22" s="185"/>
      <c r="AZ22" s="185"/>
      <c r="BA22" s="185"/>
      <c r="BB22" s="185"/>
      <c r="BC22" s="185"/>
      <c r="BD22" s="185"/>
      <c r="BE22" s="185"/>
      <c r="BF22" s="185"/>
      <c r="BG22" s="185"/>
      <c r="BH22" s="185">
        <f t="shared" si="17"/>
        <v>0</v>
      </c>
      <c r="BI22" s="185"/>
      <c r="BJ22" s="185"/>
      <c r="BK22" s="185"/>
      <c r="BL22" s="185">
        <f>G22+O22+T22+U22+V22+BH22</f>
        <v>0</v>
      </c>
      <c r="BM22" s="185">
        <f>S68-BL22</f>
        <v>19.46</v>
      </c>
      <c r="BN22" s="185">
        <f t="shared" si="18"/>
        <v>103.99000000000001</v>
      </c>
      <c r="BP22" s="117"/>
    </row>
    <row r="23" spans="1:68" ht="19.5" hidden="1" customHeight="1">
      <c r="A23" s="14" t="s">
        <v>27</v>
      </c>
      <c r="B23" s="143" t="s">
        <v>40</v>
      </c>
      <c r="C23" s="30" t="s">
        <v>41</v>
      </c>
      <c r="D23" s="185"/>
      <c r="E23" s="185">
        <f t="shared" si="4"/>
        <v>0</v>
      </c>
      <c r="F23" s="185">
        <f t="shared" si="6"/>
        <v>0</v>
      </c>
      <c r="G23" s="185">
        <f t="shared" si="8"/>
        <v>0</v>
      </c>
      <c r="H23" s="185">
        <f t="shared" si="12"/>
        <v>0</v>
      </c>
      <c r="I23" s="185"/>
      <c r="J23" s="185"/>
      <c r="K23" s="185"/>
      <c r="L23" s="185"/>
      <c r="M23" s="185"/>
      <c r="N23" s="185"/>
      <c r="O23" s="185">
        <f t="shared" si="16"/>
        <v>0</v>
      </c>
      <c r="P23" s="185"/>
      <c r="Q23" s="185"/>
      <c r="R23" s="185"/>
      <c r="S23" s="185"/>
      <c r="T23" s="185">
        <f>D23-BL23</f>
        <v>0</v>
      </c>
      <c r="U23" s="185"/>
      <c r="V23" s="185">
        <f t="shared" si="13"/>
        <v>0</v>
      </c>
      <c r="W23" s="185"/>
      <c r="X23" s="185"/>
      <c r="Y23" s="185"/>
      <c r="Z23" s="185"/>
      <c r="AA23" s="185"/>
      <c r="AB23" s="185"/>
      <c r="AC23" s="185"/>
      <c r="AD23" s="185"/>
      <c r="AE23" s="185">
        <f t="shared" si="9"/>
        <v>0</v>
      </c>
      <c r="AF23" s="185"/>
      <c r="AG23" s="185"/>
      <c r="AH23" s="185"/>
      <c r="AI23" s="185"/>
      <c r="AJ23" s="185"/>
      <c r="AK23" s="185"/>
      <c r="AL23" s="185"/>
      <c r="AM23" s="185"/>
      <c r="AN23" s="185"/>
      <c r="AO23" s="185"/>
      <c r="AP23" s="185"/>
      <c r="AQ23" s="185"/>
      <c r="AR23" s="185"/>
      <c r="AS23" s="185"/>
      <c r="AT23" s="185"/>
      <c r="AU23" s="185"/>
      <c r="AV23" s="185"/>
      <c r="AW23" s="185"/>
      <c r="AX23" s="185"/>
      <c r="AY23" s="185"/>
      <c r="AZ23" s="185"/>
      <c r="BA23" s="185"/>
      <c r="BB23" s="185"/>
      <c r="BC23" s="185"/>
      <c r="BD23" s="185"/>
      <c r="BE23" s="185"/>
      <c r="BF23" s="185"/>
      <c r="BG23" s="185"/>
      <c r="BH23" s="185">
        <f t="shared" si="17"/>
        <v>0</v>
      </c>
      <c r="BI23" s="185"/>
      <c r="BJ23" s="185"/>
      <c r="BK23" s="185"/>
      <c r="BL23" s="185">
        <f>F23+O23+S23+U23+V23+BH23</f>
        <v>0</v>
      </c>
      <c r="BM23" s="185">
        <f>T68-BL23</f>
        <v>0</v>
      </c>
      <c r="BN23" s="185">
        <f t="shared" si="18"/>
        <v>0</v>
      </c>
      <c r="BP23" s="117"/>
    </row>
    <row r="24" spans="1:68" ht="20.100000000000001" customHeight="1">
      <c r="A24" s="14" t="s">
        <v>30</v>
      </c>
      <c r="B24" s="143" t="s">
        <v>43</v>
      </c>
      <c r="C24" s="30" t="s">
        <v>44</v>
      </c>
      <c r="D24" s="185">
        <f>#REF!</f>
        <v>1.1100000000000001</v>
      </c>
      <c r="E24" s="185">
        <f t="shared" si="4"/>
        <v>1.1100000000000001</v>
      </c>
      <c r="F24" s="185">
        <f t="shared" si="6"/>
        <v>0</v>
      </c>
      <c r="G24" s="185">
        <f t="shared" si="8"/>
        <v>0</v>
      </c>
      <c r="H24" s="185">
        <f t="shared" si="12"/>
        <v>0</v>
      </c>
      <c r="I24" s="185"/>
      <c r="J24" s="185"/>
      <c r="K24" s="185"/>
      <c r="L24" s="185"/>
      <c r="M24" s="185"/>
      <c r="N24" s="185"/>
      <c r="O24" s="185">
        <f t="shared" si="16"/>
        <v>0</v>
      </c>
      <c r="P24" s="185"/>
      <c r="Q24" s="185"/>
      <c r="R24" s="185"/>
      <c r="S24" s="185"/>
      <c r="T24" s="185"/>
      <c r="U24" s="185">
        <f>D24-BL24</f>
        <v>1.1100000000000001</v>
      </c>
      <c r="V24" s="185">
        <f t="shared" si="13"/>
        <v>0</v>
      </c>
      <c r="W24" s="185"/>
      <c r="X24" s="185"/>
      <c r="Y24" s="185"/>
      <c r="Z24" s="185"/>
      <c r="AA24" s="185"/>
      <c r="AB24" s="185"/>
      <c r="AC24" s="185"/>
      <c r="AD24" s="185"/>
      <c r="AE24" s="185">
        <f t="shared" si="9"/>
        <v>0</v>
      </c>
      <c r="AF24" s="185"/>
      <c r="AG24" s="185"/>
      <c r="AH24" s="185"/>
      <c r="AI24" s="185"/>
      <c r="AJ24" s="185"/>
      <c r="AK24" s="185"/>
      <c r="AL24" s="185"/>
      <c r="AM24" s="185"/>
      <c r="AN24" s="185"/>
      <c r="AO24" s="185"/>
      <c r="AP24" s="185"/>
      <c r="AQ24" s="185"/>
      <c r="AR24" s="185"/>
      <c r="AS24" s="185"/>
      <c r="AT24" s="185"/>
      <c r="AU24" s="185"/>
      <c r="AV24" s="185"/>
      <c r="AW24" s="185"/>
      <c r="AX24" s="185"/>
      <c r="AY24" s="185"/>
      <c r="AZ24" s="185"/>
      <c r="BA24" s="185"/>
      <c r="BB24" s="185"/>
      <c r="BC24" s="185"/>
      <c r="BD24" s="185"/>
      <c r="BE24" s="185"/>
      <c r="BF24" s="185"/>
      <c r="BG24" s="185"/>
      <c r="BH24" s="185">
        <f t="shared" si="17"/>
        <v>0</v>
      </c>
      <c r="BI24" s="185"/>
      <c r="BJ24" s="185"/>
      <c r="BK24" s="185"/>
      <c r="BL24" s="185">
        <f>F24+O24+S24+T24+BH24</f>
        <v>0</v>
      </c>
      <c r="BM24" s="185">
        <f>U68-BL24</f>
        <v>0</v>
      </c>
      <c r="BN24" s="185">
        <f t="shared" si="18"/>
        <v>1.1100000000000001</v>
      </c>
      <c r="BP24" s="117"/>
    </row>
    <row r="25" spans="1:68" s="115" customFormat="1" ht="25.5" customHeight="1">
      <c r="A25" s="15">
        <v>2</v>
      </c>
      <c r="B25" s="142" t="s">
        <v>45</v>
      </c>
      <c r="C25" s="158" t="s">
        <v>46</v>
      </c>
      <c r="D25" s="420">
        <f>D26+D27+D28+D29+D30+D31+D32+D33+D34+D46+D47+D48+D49+D50+D51+D52+D53+D54+D55+D56+D57+D58+D59+D60+D61+D62</f>
        <v>208.80950000000001</v>
      </c>
      <c r="E25" s="420">
        <f>E26+E27+E28+E29+E30+E31+E32+E33+E34+E46+E47+E48+E49+E50+E51+E52+E53+E54+E55+E56+E57+E58+E59+E60+E61+E62</f>
        <v>0</v>
      </c>
      <c r="F25" s="420">
        <f t="shared" ref="F25:U25" si="19">F26+F27+F28+F29+F30+F31+F32+F33+F34+F46+F47+F48+F49+F50+F51+F52+F53+F54+F55+F56+F57+F58+F59+F60+F61+F62</f>
        <v>0</v>
      </c>
      <c r="G25" s="420">
        <f t="shared" si="19"/>
        <v>0</v>
      </c>
      <c r="H25" s="420">
        <f t="shared" si="19"/>
        <v>0</v>
      </c>
      <c r="I25" s="420">
        <f t="shared" si="19"/>
        <v>0</v>
      </c>
      <c r="J25" s="420">
        <f t="shared" si="19"/>
        <v>0</v>
      </c>
      <c r="K25" s="420">
        <f t="shared" si="19"/>
        <v>0</v>
      </c>
      <c r="L25" s="420">
        <f t="shared" si="19"/>
        <v>0</v>
      </c>
      <c r="M25" s="420">
        <f t="shared" si="19"/>
        <v>0</v>
      </c>
      <c r="N25" s="420">
        <f t="shared" si="19"/>
        <v>0</v>
      </c>
      <c r="O25" s="420">
        <f t="shared" si="19"/>
        <v>0</v>
      </c>
      <c r="P25" s="420">
        <f t="shared" si="19"/>
        <v>0</v>
      </c>
      <c r="Q25" s="420">
        <f t="shared" si="19"/>
        <v>0</v>
      </c>
      <c r="R25" s="420">
        <f t="shared" si="19"/>
        <v>0</v>
      </c>
      <c r="S25" s="420">
        <f t="shared" si="19"/>
        <v>0</v>
      </c>
      <c r="T25" s="420">
        <f t="shared" si="19"/>
        <v>0</v>
      </c>
      <c r="U25" s="420">
        <f t="shared" si="19"/>
        <v>0</v>
      </c>
      <c r="V25" s="420">
        <f>D25-BL25</f>
        <v>208.80950000000001</v>
      </c>
      <c r="W25" s="420">
        <f>W26+W27+W28+W29+W30+W31+W32+W33+W34+W46+W47+W48+W49+W50+W51+W52+W53+W54+W55+W56+W57+W58+W59+W60+W61+W62</f>
        <v>5.38</v>
      </c>
      <c r="X25" s="420">
        <f t="shared" ref="X25:BK25" si="20">X26+X27+X28+X29+X30+X31+X32+X33+X34+X46+X47+X48+X49+X50+X51+X52+X53+X54+X55+X56+X57+X58+X59+X60+X61+X62</f>
        <v>0</v>
      </c>
      <c r="Y25" s="420">
        <f t="shared" si="20"/>
        <v>0</v>
      </c>
      <c r="Z25" s="420">
        <f t="shared" si="20"/>
        <v>0</v>
      </c>
      <c r="AA25" s="420">
        <f t="shared" si="20"/>
        <v>0</v>
      </c>
      <c r="AB25" s="420">
        <f t="shared" si="20"/>
        <v>0</v>
      </c>
      <c r="AC25" s="420">
        <f t="shared" si="20"/>
        <v>0.55000000000000004</v>
      </c>
      <c r="AD25" s="420">
        <f t="shared" si="20"/>
        <v>0</v>
      </c>
      <c r="AE25" s="420">
        <f t="shared" si="20"/>
        <v>74.849499999999992</v>
      </c>
      <c r="AF25" s="420">
        <f t="shared" si="20"/>
        <v>0.08</v>
      </c>
      <c r="AG25" s="420">
        <f t="shared" si="20"/>
        <v>0.13</v>
      </c>
      <c r="AH25" s="420">
        <f t="shared" si="20"/>
        <v>1.37</v>
      </c>
      <c r="AI25" s="420">
        <f t="shared" si="20"/>
        <v>1.6194999999999999</v>
      </c>
      <c r="AJ25" s="420">
        <f t="shared" si="20"/>
        <v>0</v>
      </c>
      <c r="AK25" s="420">
        <f t="shared" si="20"/>
        <v>0</v>
      </c>
      <c r="AL25" s="420">
        <f t="shared" si="20"/>
        <v>63.65</v>
      </c>
      <c r="AM25" s="420">
        <f t="shared" si="20"/>
        <v>7.9399999999999995</v>
      </c>
      <c r="AN25" s="420">
        <f t="shared" si="20"/>
        <v>0</v>
      </c>
      <c r="AO25" s="420">
        <f t="shared" si="20"/>
        <v>0.06</v>
      </c>
      <c r="AP25" s="420">
        <f t="shared" si="20"/>
        <v>0</v>
      </c>
      <c r="AQ25" s="420">
        <f t="shared" si="20"/>
        <v>0</v>
      </c>
      <c r="AR25" s="420">
        <f t="shared" si="20"/>
        <v>0</v>
      </c>
      <c r="AS25" s="420">
        <f t="shared" si="20"/>
        <v>0.16</v>
      </c>
      <c r="AT25" s="420">
        <f t="shared" si="20"/>
        <v>16.05</v>
      </c>
      <c r="AU25" s="420">
        <f t="shared" si="20"/>
        <v>0</v>
      </c>
      <c r="AV25" s="420">
        <f t="shared" si="20"/>
        <v>0.65</v>
      </c>
      <c r="AW25" s="420">
        <f t="shared" si="20"/>
        <v>0</v>
      </c>
      <c r="AX25" s="420">
        <f t="shared" si="20"/>
        <v>0</v>
      </c>
      <c r="AY25" s="420">
        <f t="shared" si="20"/>
        <v>0</v>
      </c>
      <c r="AZ25" s="420">
        <f t="shared" si="20"/>
        <v>0.52</v>
      </c>
      <c r="BA25" s="420">
        <f t="shared" si="20"/>
        <v>0</v>
      </c>
      <c r="BB25" s="420">
        <f t="shared" si="20"/>
        <v>0.34</v>
      </c>
      <c r="BC25" s="420">
        <f t="shared" si="20"/>
        <v>0.19</v>
      </c>
      <c r="BD25" s="420">
        <f t="shared" si="20"/>
        <v>0.08</v>
      </c>
      <c r="BE25" s="420">
        <f t="shared" si="20"/>
        <v>82.93</v>
      </c>
      <c r="BF25" s="420">
        <f t="shared" si="20"/>
        <v>27.11</v>
      </c>
      <c r="BG25" s="420">
        <f t="shared" si="20"/>
        <v>0</v>
      </c>
      <c r="BH25" s="420">
        <f t="shared" si="20"/>
        <v>0</v>
      </c>
      <c r="BI25" s="420">
        <f t="shared" si="20"/>
        <v>0</v>
      </c>
      <c r="BJ25" s="420">
        <f t="shared" si="20"/>
        <v>0</v>
      </c>
      <c r="BK25" s="420">
        <f t="shared" si="20"/>
        <v>0</v>
      </c>
      <c r="BL25" s="420">
        <f>E25+BH25</f>
        <v>0</v>
      </c>
      <c r="BM25" s="420">
        <f>BM26+BM27+BM28+BM29+BM30+BM31+BM32+BM33+BM34+BM46+BM47+BM48+BM49+BM50+BM51+BM52+BM53+BM54+BM55+BM56+BM57+BM58+BM59+BM60+BM61+BM62</f>
        <v>0.87</v>
      </c>
      <c r="BN25" s="420">
        <f>BN26+BN27+BN28+BN29+BN30+BN31+BN32+BN33+BN34+BN46+BN47+BN48+BN49+BN50+BN51+BN52+BN53+BN54+BN55+BN56+BN57+BN58+BN59+BN60+BN61+BN62</f>
        <v>209.67950000000002</v>
      </c>
    </row>
    <row r="26" spans="1:68" ht="20.100000000000001" customHeight="1">
      <c r="A26" s="19" t="s">
        <v>47</v>
      </c>
      <c r="B26" s="144" t="s">
        <v>48</v>
      </c>
      <c r="C26" s="30" t="s">
        <v>49</v>
      </c>
      <c r="D26" s="185">
        <f>#REF!</f>
        <v>5.38</v>
      </c>
      <c r="E26" s="185">
        <f t="shared" si="4"/>
        <v>0</v>
      </c>
      <c r="F26" s="185">
        <f>G26+N26</f>
        <v>0</v>
      </c>
      <c r="G26" s="185">
        <f t="shared" si="8"/>
        <v>0</v>
      </c>
      <c r="H26" s="185">
        <f t="shared" si="12"/>
        <v>0</v>
      </c>
      <c r="I26" s="185"/>
      <c r="J26" s="185"/>
      <c r="K26" s="185"/>
      <c r="L26" s="185"/>
      <c r="M26" s="185"/>
      <c r="N26" s="185"/>
      <c r="O26" s="185"/>
      <c r="P26" s="185"/>
      <c r="Q26" s="185"/>
      <c r="R26" s="185"/>
      <c r="S26" s="185"/>
      <c r="T26" s="185"/>
      <c r="U26" s="185"/>
      <c r="V26" s="185">
        <f t="shared" si="13"/>
        <v>5.38</v>
      </c>
      <c r="W26" s="185">
        <f>D26-BL26</f>
        <v>5.38</v>
      </c>
      <c r="X26" s="185"/>
      <c r="Y26" s="185"/>
      <c r="Z26" s="185"/>
      <c r="AA26" s="185"/>
      <c r="AB26" s="185"/>
      <c r="AC26" s="185"/>
      <c r="AD26" s="185"/>
      <c r="AE26" s="185">
        <f t="shared" si="9"/>
        <v>0</v>
      </c>
      <c r="AF26" s="185"/>
      <c r="AG26" s="185"/>
      <c r="AH26" s="185"/>
      <c r="AI26" s="185"/>
      <c r="AJ26" s="185"/>
      <c r="AK26" s="185"/>
      <c r="AL26" s="185"/>
      <c r="AM26" s="185"/>
      <c r="AN26" s="185"/>
      <c r="AO26" s="185"/>
      <c r="AP26" s="185"/>
      <c r="AQ26" s="185"/>
      <c r="AR26" s="185"/>
      <c r="AS26" s="185"/>
      <c r="AT26" s="185"/>
      <c r="AU26" s="185"/>
      <c r="AV26" s="185"/>
      <c r="AW26" s="185"/>
      <c r="AX26" s="185"/>
      <c r="AY26" s="185"/>
      <c r="AZ26" s="185"/>
      <c r="BA26" s="185"/>
      <c r="BB26" s="185"/>
      <c r="BC26" s="185"/>
      <c r="BD26" s="185"/>
      <c r="BE26" s="185"/>
      <c r="BF26" s="185"/>
      <c r="BG26" s="185"/>
      <c r="BH26" s="185">
        <f>BI26+BJ26+BK26</f>
        <v>0</v>
      </c>
      <c r="BI26" s="185"/>
      <c r="BJ26" s="185"/>
      <c r="BK26" s="185"/>
      <c r="BL26" s="185">
        <f>X26+Y26+Z26+AA26+AB26+AC26+AD26+AE26+AQ26+AR26+AS26+AT26+AU26+AV26+AW26+AX26+AY26+AZ26+BA26+BB26+BC26+BD26+BE26+BF26+BG26+BH26</f>
        <v>0</v>
      </c>
      <c r="BM26" s="185">
        <f>W68-BL26</f>
        <v>0</v>
      </c>
      <c r="BN26" s="185">
        <f>D26+BM26</f>
        <v>5.38</v>
      </c>
      <c r="BP26" s="117"/>
    </row>
    <row r="27" spans="1:68" ht="20.100000000000001" customHeight="1">
      <c r="A27" s="19" t="s">
        <v>50</v>
      </c>
      <c r="B27" s="144" t="s">
        <v>51</v>
      </c>
      <c r="C27" s="30" t="s">
        <v>52</v>
      </c>
      <c r="D27" s="185"/>
      <c r="E27" s="185">
        <f t="shared" si="4"/>
        <v>0</v>
      </c>
      <c r="F27" s="185">
        <f t="shared" ref="F27:F66" si="21">G27+N27</f>
        <v>0</v>
      </c>
      <c r="G27" s="185">
        <f t="shared" si="8"/>
        <v>0</v>
      </c>
      <c r="H27" s="185">
        <f t="shared" si="12"/>
        <v>0</v>
      </c>
      <c r="I27" s="185"/>
      <c r="J27" s="185"/>
      <c r="K27" s="185"/>
      <c r="L27" s="185"/>
      <c r="M27" s="185"/>
      <c r="N27" s="185"/>
      <c r="O27" s="185"/>
      <c r="P27" s="185"/>
      <c r="Q27" s="185"/>
      <c r="R27" s="185"/>
      <c r="S27" s="185"/>
      <c r="T27" s="185"/>
      <c r="U27" s="185"/>
      <c r="V27" s="185">
        <f t="shared" si="13"/>
        <v>0</v>
      </c>
      <c r="W27" s="185"/>
      <c r="X27" s="185">
        <f>D27-BL27</f>
        <v>0</v>
      </c>
      <c r="Y27" s="185"/>
      <c r="Z27" s="185"/>
      <c r="AA27" s="185"/>
      <c r="AB27" s="185"/>
      <c r="AC27" s="185"/>
      <c r="AD27" s="185"/>
      <c r="AE27" s="185">
        <f t="shared" si="9"/>
        <v>0</v>
      </c>
      <c r="AF27" s="185"/>
      <c r="AG27" s="185"/>
      <c r="AH27" s="185"/>
      <c r="AI27" s="185"/>
      <c r="AJ27" s="185"/>
      <c r="AK27" s="185"/>
      <c r="AL27" s="185"/>
      <c r="AM27" s="185"/>
      <c r="AN27" s="185"/>
      <c r="AO27" s="185"/>
      <c r="AP27" s="185"/>
      <c r="AQ27" s="185"/>
      <c r="AR27" s="185"/>
      <c r="AS27" s="185"/>
      <c r="AT27" s="185"/>
      <c r="AU27" s="185"/>
      <c r="AV27" s="185"/>
      <c r="AW27" s="185"/>
      <c r="AX27" s="185"/>
      <c r="AY27" s="185"/>
      <c r="AZ27" s="185"/>
      <c r="BA27" s="185"/>
      <c r="BB27" s="185"/>
      <c r="BC27" s="185"/>
      <c r="BD27" s="185"/>
      <c r="BE27" s="185"/>
      <c r="BF27" s="185"/>
      <c r="BG27" s="185"/>
      <c r="BH27" s="185">
        <f t="shared" ref="BH27:BH62" si="22">BI27+BJ27+BK27</f>
        <v>0</v>
      </c>
      <c r="BI27" s="185"/>
      <c r="BJ27" s="185"/>
      <c r="BK27" s="185"/>
      <c r="BL27" s="185">
        <f>F27+W27+Y27+Z27+AA27+AB27+AC27+AD27+AE27+AQ27+AR27+AS27+AT27+AU27+AV27+AW27+AX27+AY27+AZ27+BA27+BB27+BC27+BD27+BE27+BF27+BG27+BH27</f>
        <v>0</v>
      </c>
      <c r="BM27" s="185">
        <f>X68-BL27</f>
        <v>0</v>
      </c>
      <c r="BN27" s="185">
        <f t="shared" ref="BN27:BN33" si="23">D27+BM27</f>
        <v>0</v>
      </c>
      <c r="BP27" s="117"/>
    </row>
    <row r="28" spans="1:68" ht="20.100000000000001" customHeight="1">
      <c r="A28" s="19" t="s">
        <v>53</v>
      </c>
      <c r="B28" s="144" t="s">
        <v>54</v>
      </c>
      <c r="C28" s="30" t="s">
        <v>55</v>
      </c>
      <c r="D28" s="185"/>
      <c r="E28" s="185">
        <f t="shared" si="4"/>
        <v>0</v>
      </c>
      <c r="F28" s="185">
        <f t="shared" si="21"/>
        <v>0</v>
      </c>
      <c r="G28" s="185">
        <f t="shared" si="8"/>
        <v>0</v>
      </c>
      <c r="H28" s="185">
        <f t="shared" si="12"/>
        <v>0</v>
      </c>
      <c r="I28" s="185"/>
      <c r="J28" s="185"/>
      <c r="K28" s="185"/>
      <c r="L28" s="185"/>
      <c r="M28" s="185"/>
      <c r="N28" s="185"/>
      <c r="O28" s="185"/>
      <c r="P28" s="185"/>
      <c r="Q28" s="185"/>
      <c r="R28" s="185"/>
      <c r="S28" s="185"/>
      <c r="T28" s="185"/>
      <c r="U28" s="185"/>
      <c r="V28" s="185">
        <f t="shared" si="13"/>
        <v>0</v>
      </c>
      <c r="W28" s="185"/>
      <c r="X28" s="185"/>
      <c r="Y28" s="185">
        <f>D28-BL28</f>
        <v>0</v>
      </c>
      <c r="Z28" s="185"/>
      <c r="AA28" s="185"/>
      <c r="AB28" s="185"/>
      <c r="AC28" s="185"/>
      <c r="AD28" s="185"/>
      <c r="AE28" s="185">
        <f t="shared" si="9"/>
        <v>0</v>
      </c>
      <c r="AF28" s="185"/>
      <c r="AG28" s="185"/>
      <c r="AH28" s="185"/>
      <c r="AI28" s="185"/>
      <c r="AJ28" s="185"/>
      <c r="AK28" s="185"/>
      <c r="AL28" s="185"/>
      <c r="AM28" s="185"/>
      <c r="AN28" s="185"/>
      <c r="AO28" s="185"/>
      <c r="AP28" s="185"/>
      <c r="AQ28" s="185"/>
      <c r="AR28" s="185"/>
      <c r="AS28" s="185"/>
      <c r="AT28" s="185"/>
      <c r="AU28" s="185"/>
      <c r="AV28" s="185"/>
      <c r="AW28" s="185"/>
      <c r="AX28" s="185"/>
      <c r="AY28" s="185"/>
      <c r="AZ28" s="185"/>
      <c r="BA28" s="185"/>
      <c r="BB28" s="185"/>
      <c r="BC28" s="185"/>
      <c r="BD28" s="185"/>
      <c r="BE28" s="185"/>
      <c r="BF28" s="185"/>
      <c r="BG28" s="185"/>
      <c r="BH28" s="185">
        <f t="shared" si="22"/>
        <v>0</v>
      </c>
      <c r="BI28" s="185"/>
      <c r="BJ28" s="185"/>
      <c r="BK28" s="185"/>
      <c r="BL28" s="185">
        <f>E28+W28+X28+Z28+AA28+AB28+AC28+AD28+AE28+AQ28+AR28+AS28+AT28+AU28+AV28+AW28+AX28+AY28+AZ28+BA28+BB28+BC28+BD28+BE28+BF28+BG28+BH28</f>
        <v>0</v>
      </c>
      <c r="BM28" s="185">
        <f>Y68-BL28</f>
        <v>0</v>
      </c>
      <c r="BN28" s="185">
        <f t="shared" si="23"/>
        <v>0</v>
      </c>
      <c r="BP28" s="117"/>
    </row>
    <row r="29" spans="1:68" ht="20.100000000000001" customHeight="1">
      <c r="A29" s="19" t="s">
        <v>56</v>
      </c>
      <c r="B29" s="144" t="s">
        <v>57</v>
      </c>
      <c r="C29" s="30" t="s">
        <v>58</v>
      </c>
      <c r="D29" s="185"/>
      <c r="E29" s="185">
        <f t="shared" si="4"/>
        <v>0</v>
      </c>
      <c r="F29" s="185">
        <f t="shared" si="21"/>
        <v>0</v>
      </c>
      <c r="G29" s="185">
        <f t="shared" si="8"/>
        <v>0</v>
      </c>
      <c r="H29" s="185">
        <f t="shared" si="12"/>
        <v>0</v>
      </c>
      <c r="I29" s="185"/>
      <c r="J29" s="185"/>
      <c r="K29" s="185"/>
      <c r="L29" s="185"/>
      <c r="M29" s="185"/>
      <c r="N29" s="185"/>
      <c r="O29" s="185"/>
      <c r="P29" s="185"/>
      <c r="Q29" s="185"/>
      <c r="R29" s="185"/>
      <c r="S29" s="185"/>
      <c r="T29" s="185"/>
      <c r="U29" s="185"/>
      <c r="V29" s="185">
        <f t="shared" si="13"/>
        <v>0</v>
      </c>
      <c r="W29" s="185"/>
      <c r="X29" s="185"/>
      <c r="Y29" s="185"/>
      <c r="Z29" s="185">
        <f>D29-BL29</f>
        <v>0</v>
      </c>
      <c r="AA29" s="185"/>
      <c r="AB29" s="185"/>
      <c r="AC29" s="185"/>
      <c r="AD29" s="185"/>
      <c r="AE29" s="185">
        <f t="shared" si="9"/>
        <v>0</v>
      </c>
      <c r="AF29" s="185"/>
      <c r="AG29" s="185"/>
      <c r="AH29" s="185"/>
      <c r="AI29" s="185"/>
      <c r="AJ29" s="185"/>
      <c r="AK29" s="185"/>
      <c r="AL29" s="185"/>
      <c r="AM29" s="185"/>
      <c r="AN29" s="185"/>
      <c r="AO29" s="185"/>
      <c r="AP29" s="185"/>
      <c r="AQ29" s="185"/>
      <c r="AR29" s="185"/>
      <c r="AS29" s="185"/>
      <c r="AT29" s="185"/>
      <c r="AU29" s="185"/>
      <c r="AV29" s="185"/>
      <c r="AW29" s="185"/>
      <c r="AX29" s="185"/>
      <c r="AY29" s="185"/>
      <c r="AZ29" s="185"/>
      <c r="BA29" s="185"/>
      <c r="BB29" s="185"/>
      <c r="BC29" s="185"/>
      <c r="BD29" s="185"/>
      <c r="BE29" s="185"/>
      <c r="BF29" s="185"/>
      <c r="BG29" s="185"/>
      <c r="BH29" s="185">
        <f t="shared" si="22"/>
        <v>0</v>
      </c>
      <c r="BI29" s="185"/>
      <c r="BJ29" s="185"/>
      <c r="BK29" s="185"/>
      <c r="BL29" s="185">
        <f>E29+W29+X29+Y29+AA29+AB29+AC29+AD29+AE29+AQ29+AR29+AS29+AT29+AU29+AV29+AW29+AX29+AY29+AZ29+BA29+BB29+BC29+BD29+BE29+BF29+BG29+BH29</f>
        <v>0</v>
      </c>
      <c r="BM29" s="185">
        <f>Z68-BL29</f>
        <v>0</v>
      </c>
      <c r="BN29" s="185">
        <f t="shared" si="23"/>
        <v>0</v>
      </c>
      <c r="BP29" s="117"/>
    </row>
    <row r="30" spans="1:68" ht="20.100000000000001" customHeight="1">
      <c r="A30" s="19" t="s">
        <v>59</v>
      </c>
      <c r="B30" s="144" t="s">
        <v>60</v>
      </c>
      <c r="C30" s="30" t="s">
        <v>61</v>
      </c>
      <c r="D30" s="185"/>
      <c r="E30" s="185">
        <f t="shared" si="4"/>
        <v>0</v>
      </c>
      <c r="F30" s="185">
        <f t="shared" si="21"/>
        <v>0</v>
      </c>
      <c r="G30" s="185">
        <f t="shared" si="8"/>
        <v>0</v>
      </c>
      <c r="H30" s="185">
        <f t="shared" si="12"/>
        <v>0</v>
      </c>
      <c r="I30" s="185"/>
      <c r="J30" s="185"/>
      <c r="K30" s="185"/>
      <c r="L30" s="185"/>
      <c r="M30" s="185"/>
      <c r="N30" s="185"/>
      <c r="O30" s="185"/>
      <c r="P30" s="185"/>
      <c r="Q30" s="185"/>
      <c r="R30" s="185"/>
      <c r="S30" s="185"/>
      <c r="T30" s="185"/>
      <c r="U30" s="185"/>
      <c r="V30" s="185">
        <f t="shared" si="13"/>
        <v>0</v>
      </c>
      <c r="W30" s="185"/>
      <c r="X30" s="185"/>
      <c r="Y30" s="185"/>
      <c r="Z30" s="185"/>
      <c r="AA30" s="185">
        <f>D30-BL30</f>
        <v>0</v>
      </c>
      <c r="AB30" s="185"/>
      <c r="AC30" s="185"/>
      <c r="AD30" s="185"/>
      <c r="AE30" s="185">
        <f t="shared" si="9"/>
        <v>0</v>
      </c>
      <c r="AF30" s="185"/>
      <c r="AG30" s="185"/>
      <c r="AH30" s="185"/>
      <c r="AI30" s="185"/>
      <c r="AJ30" s="185"/>
      <c r="AK30" s="185"/>
      <c r="AL30" s="185"/>
      <c r="AM30" s="185"/>
      <c r="AN30" s="185"/>
      <c r="AO30" s="185"/>
      <c r="AP30" s="185"/>
      <c r="AQ30" s="185"/>
      <c r="AR30" s="185"/>
      <c r="AS30" s="185"/>
      <c r="AT30" s="185"/>
      <c r="AU30" s="185"/>
      <c r="AV30" s="185"/>
      <c r="AW30" s="185"/>
      <c r="AX30" s="185"/>
      <c r="AY30" s="185"/>
      <c r="AZ30" s="185"/>
      <c r="BA30" s="185"/>
      <c r="BB30" s="185"/>
      <c r="BC30" s="185"/>
      <c r="BD30" s="185"/>
      <c r="BE30" s="185"/>
      <c r="BF30" s="185"/>
      <c r="BG30" s="185"/>
      <c r="BH30" s="185">
        <f t="shared" si="22"/>
        <v>0</v>
      </c>
      <c r="BI30" s="185"/>
      <c r="BJ30" s="185"/>
      <c r="BK30" s="185"/>
      <c r="BL30" s="185">
        <f>E30+W30+X30+Y30+Z30+AB30+AC30+AD30+AE30+AQ30+AR30+AS30+AT30+AU30+AV30+AW30+AX30+AY30+AZ30+BA30+BB30+BC30+BD30+BE30+BF30+BG30+BH30</f>
        <v>0</v>
      </c>
      <c r="BM30" s="185">
        <f>AA68-BL30</f>
        <v>0</v>
      </c>
      <c r="BN30" s="185">
        <f t="shared" si="23"/>
        <v>0</v>
      </c>
      <c r="BP30" s="117"/>
    </row>
    <row r="31" spans="1:68" ht="20.100000000000001" customHeight="1">
      <c r="A31" s="19" t="s">
        <v>62</v>
      </c>
      <c r="B31" s="144" t="s">
        <v>63</v>
      </c>
      <c r="C31" s="30" t="s">
        <v>64</v>
      </c>
      <c r="D31" s="185"/>
      <c r="E31" s="185">
        <f t="shared" si="4"/>
        <v>0</v>
      </c>
      <c r="F31" s="185">
        <f t="shared" si="21"/>
        <v>0</v>
      </c>
      <c r="G31" s="185">
        <f t="shared" si="8"/>
        <v>0</v>
      </c>
      <c r="H31" s="185">
        <f t="shared" si="12"/>
        <v>0</v>
      </c>
      <c r="I31" s="185"/>
      <c r="J31" s="185"/>
      <c r="K31" s="185"/>
      <c r="L31" s="185"/>
      <c r="M31" s="185"/>
      <c r="N31" s="185"/>
      <c r="O31" s="185"/>
      <c r="P31" s="185"/>
      <c r="Q31" s="185"/>
      <c r="R31" s="185"/>
      <c r="S31" s="185"/>
      <c r="T31" s="185"/>
      <c r="U31" s="185"/>
      <c r="V31" s="185">
        <f>W31+X31+Y31+Z31+AA31+AB31+AC31+AD31+AE31+AQ31+AR31+AS31+AT31+AU31+AV31+AW31+AX31+AY31+AZ31+BA31+BB31+BC31+BD31+BE31+BF31+BG31</f>
        <v>0</v>
      </c>
      <c r="W31" s="185"/>
      <c r="X31" s="185"/>
      <c r="Y31" s="185"/>
      <c r="Z31" s="185"/>
      <c r="AA31" s="185"/>
      <c r="AB31" s="185">
        <f>D31-BL31</f>
        <v>0</v>
      </c>
      <c r="AC31" s="185"/>
      <c r="AD31" s="185"/>
      <c r="AE31" s="185">
        <f t="shared" si="9"/>
        <v>0</v>
      </c>
      <c r="AF31" s="185"/>
      <c r="AG31" s="185"/>
      <c r="AH31" s="185"/>
      <c r="AI31" s="185"/>
      <c r="AJ31" s="185"/>
      <c r="AK31" s="185"/>
      <c r="AL31" s="185"/>
      <c r="AM31" s="185"/>
      <c r="AN31" s="185"/>
      <c r="AO31" s="185"/>
      <c r="AP31" s="185"/>
      <c r="AQ31" s="185"/>
      <c r="AR31" s="185"/>
      <c r="AS31" s="185"/>
      <c r="AT31" s="185"/>
      <c r="AU31" s="185"/>
      <c r="AV31" s="185"/>
      <c r="AW31" s="185"/>
      <c r="AX31" s="185"/>
      <c r="AY31" s="185"/>
      <c r="AZ31" s="185"/>
      <c r="BA31" s="185"/>
      <c r="BB31" s="185"/>
      <c r="BC31" s="185"/>
      <c r="BD31" s="185"/>
      <c r="BE31" s="185"/>
      <c r="BF31" s="185"/>
      <c r="BG31" s="185"/>
      <c r="BH31" s="185">
        <f>BI31+BJ31+BK31</f>
        <v>0</v>
      </c>
      <c r="BI31" s="185"/>
      <c r="BJ31" s="185"/>
      <c r="BK31" s="185"/>
      <c r="BL31" s="185">
        <f>E31+W31+X31+Y31+Z31+AA31+AC31+AD31+AE31+AQ31+AR31+AS31+AT31+AU31+AV31+AW31+AX31+AY31+AZ31+BA31+BB31+BC31+BD31+BE31+BF31+BG31+BH31</f>
        <v>0</v>
      </c>
      <c r="BM31" s="185">
        <f>AB68-BL31</f>
        <v>0</v>
      </c>
      <c r="BN31" s="185">
        <f t="shared" si="23"/>
        <v>0</v>
      </c>
      <c r="BP31" s="117"/>
    </row>
    <row r="32" spans="1:68" ht="20.100000000000001" customHeight="1">
      <c r="A32" s="19" t="s">
        <v>65</v>
      </c>
      <c r="B32" s="144" t="s">
        <v>66</v>
      </c>
      <c r="C32" s="30" t="s">
        <v>67</v>
      </c>
      <c r="D32" s="185">
        <f>#REF!</f>
        <v>0.55000000000000004</v>
      </c>
      <c r="E32" s="185">
        <f t="shared" si="4"/>
        <v>0</v>
      </c>
      <c r="F32" s="185">
        <f t="shared" si="21"/>
        <v>0</v>
      </c>
      <c r="G32" s="185">
        <f t="shared" si="8"/>
        <v>0</v>
      </c>
      <c r="H32" s="185">
        <f t="shared" si="12"/>
        <v>0</v>
      </c>
      <c r="I32" s="185"/>
      <c r="J32" s="185"/>
      <c r="K32" s="185"/>
      <c r="L32" s="185"/>
      <c r="M32" s="185"/>
      <c r="N32" s="185"/>
      <c r="O32" s="185"/>
      <c r="P32" s="185"/>
      <c r="Q32" s="185"/>
      <c r="R32" s="185"/>
      <c r="S32" s="185"/>
      <c r="T32" s="185"/>
      <c r="U32" s="185"/>
      <c r="V32" s="185">
        <f t="shared" si="13"/>
        <v>0.55000000000000004</v>
      </c>
      <c r="W32" s="185"/>
      <c r="X32" s="185"/>
      <c r="Y32" s="185"/>
      <c r="Z32" s="185"/>
      <c r="AA32" s="185"/>
      <c r="AB32" s="185"/>
      <c r="AC32" s="185">
        <f>D32-BL32</f>
        <v>0.55000000000000004</v>
      </c>
      <c r="AD32" s="185"/>
      <c r="AE32" s="185">
        <f t="shared" si="9"/>
        <v>0</v>
      </c>
      <c r="AF32" s="185"/>
      <c r="AG32" s="185"/>
      <c r="AH32" s="185"/>
      <c r="AI32" s="185"/>
      <c r="AJ32" s="185"/>
      <c r="AK32" s="185"/>
      <c r="AL32" s="185"/>
      <c r="AM32" s="185"/>
      <c r="AN32" s="185"/>
      <c r="AO32" s="185"/>
      <c r="AP32" s="185"/>
      <c r="AQ32" s="185"/>
      <c r="AR32" s="185"/>
      <c r="AS32" s="185"/>
      <c r="AT32" s="185"/>
      <c r="AU32" s="185"/>
      <c r="AV32" s="185"/>
      <c r="AW32" s="185"/>
      <c r="AX32" s="185"/>
      <c r="AY32" s="185"/>
      <c r="AZ32" s="185"/>
      <c r="BA32" s="185"/>
      <c r="BB32" s="185"/>
      <c r="BC32" s="185"/>
      <c r="BD32" s="185"/>
      <c r="BE32" s="185"/>
      <c r="BF32" s="185"/>
      <c r="BG32" s="185"/>
      <c r="BH32" s="185">
        <f t="shared" si="22"/>
        <v>0</v>
      </c>
      <c r="BI32" s="185"/>
      <c r="BJ32" s="185"/>
      <c r="BK32" s="185"/>
      <c r="BL32" s="185">
        <f>E32+W32+X32+Y32+Z32+AA32+AB32+AD32+AE32+AQ32+AR32+AS32+AT32+AU32+AV32+AW32+AX32+AY32+AZ32+BA32+BB32+BC32+BD32+BE32+BF32+BG32+BH32</f>
        <v>0</v>
      </c>
      <c r="BM32" s="185">
        <f>AC68-BL32</f>
        <v>0</v>
      </c>
      <c r="BN32" s="185">
        <f t="shared" si="23"/>
        <v>0.55000000000000004</v>
      </c>
      <c r="BP32" s="117"/>
    </row>
    <row r="33" spans="1:68" ht="20.100000000000001" customHeight="1">
      <c r="A33" s="19" t="s">
        <v>68</v>
      </c>
      <c r="B33" s="144" t="s">
        <v>69</v>
      </c>
      <c r="C33" s="30" t="s">
        <v>70</v>
      </c>
      <c r="D33" s="185"/>
      <c r="E33" s="185">
        <f t="shared" si="4"/>
        <v>0</v>
      </c>
      <c r="F33" s="185">
        <f t="shared" si="21"/>
        <v>0</v>
      </c>
      <c r="G33" s="185">
        <f t="shared" si="8"/>
        <v>0</v>
      </c>
      <c r="H33" s="185">
        <f t="shared" si="12"/>
        <v>0</v>
      </c>
      <c r="I33" s="185"/>
      <c r="J33" s="185"/>
      <c r="K33" s="185"/>
      <c r="L33" s="185"/>
      <c r="M33" s="185"/>
      <c r="N33" s="185"/>
      <c r="O33" s="185"/>
      <c r="P33" s="185"/>
      <c r="Q33" s="185"/>
      <c r="R33" s="185"/>
      <c r="S33" s="185"/>
      <c r="T33" s="185"/>
      <c r="U33" s="185"/>
      <c r="V33" s="185">
        <f t="shared" si="13"/>
        <v>0</v>
      </c>
      <c r="W33" s="185"/>
      <c r="X33" s="185"/>
      <c r="Y33" s="185"/>
      <c r="Z33" s="185"/>
      <c r="AA33" s="185"/>
      <c r="AB33" s="185"/>
      <c r="AC33" s="185"/>
      <c r="AD33" s="185">
        <f>D33-BL33</f>
        <v>0</v>
      </c>
      <c r="AE33" s="185">
        <f t="shared" si="9"/>
        <v>0</v>
      </c>
      <c r="AF33" s="185"/>
      <c r="AG33" s="185"/>
      <c r="AH33" s="185"/>
      <c r="AI33" s="185"/>
      <c r="AJ33" s="185"/>
      <c r="AK33" s="185"/>
      <c r="AL33" s="185"/>
      <c r="AM33" s="185"/>
      <c r="AN33" s="185"/>
      <c r="AO33" s="185"/>
      <c r="AP33" s="185"/>
      <c r="AQ33" s="185"/>
      <c r="AR33" s="185"/>
      <c r="AS33" s="185"/>
      <c r="AT33" s="185"/>
      <c r="AU33" s="185"/>
      <c r="AV33" s="185"/>
      <c r="AW33" s="185"/>
      <c r="AX33" s="185"/>
      <c r="AY33" s="185"/>
      <c r="AZ33" s="185"/>
      <c r="BA33" s="185"/>
      <c r="BB33" s="185"/>
      <c r="BC33" s="185"/>
      <c r="BD33" s="185"/>
      <c r="BE33" s="185"/>
      <c r="BF33" s="185"/>
      <c r="BG33" s="185"/>
      <c r="BH33" s="185">
        <f t="shared" si="22"/>
        <v>0</v>
      </c>
      <c r="BI33" s="185"/>
      <c r="BJ33" s="185"/>
      <c r="BK33" s="185"/>
      <c r="BL33" s="185">
        <f>E33+W33+X33+Y33+Z33+AA33+AB33+AC33+AE33+AQ33+AR33+AS33+AT33+AU33+AV33+AW33+AX33+AY33+AZ33+BA33+BB33+BC33+BD33+BE33+BF33+BG33+BH33</f>
        <v>0</v>
      </c>
      <c r="BM33" s="185">
        <f>AD68-BL33</f>
        <v>0</v>
      </c>
      <c r="BN33" s="185">
        <f t="shared" si="23"/>
        <v>0</v>
      </c>
      <c r="BP33" s="117"/>
    </row>
    <row r="34" spans="1:68" ht="40.5" customHeight="1">
      <c r="A34" s="19" t="s">
        <v>71</v>
      </c>
      <c r="B34" s="144" t="s">
        <v>135</v>
      </c>
      <c r="C34" s="30" t="s">
        <v>72</v>
      </c>
      <c r="D34" s="185">
        <f>SUM(D35:D45)</f>
        <v>74.799499999999995</v>
      </c>
      <c r="E34" s="185">
        <f>SUM(E35:E45)</f>
        <v>0</v>
      </c>
      <c r="F34" s="185">
        <f t="shared" ref="F34:U34" si="24">SUM(F35:F45)</f>
        <v>0</v>
      </c>
      <c r="G34" s="185">
        <f t="shared" si="24"/>
        <v>0</v>
      </c>
      <c r="H34" s="185">
        <f t="shared" si="24"/>
        <v>0</v>
      </c>
      <c r="I34" s="185">
        <f t="shared" si="24"/>
        <v>0</v>
      </c>
      <c r="J34" s="185">
        <f t="shared" si="24"/>
        <v>0</v>
      </c>
      <c r="K34" s="185">
        <f t="shared" si="24"/>
        <v>0</v>
      </c>
      <c r="L34" s="185">
        <f t="shared" si="24"/>
        <v>0</v>
      </c>
      <c r="M34" s="185">
        <f t="shared" si="24"/>
        <v>0</v>
      </c>
      <c r="N34" s="185">
        <f t="shared" si="24"/>
        <v>0</v>
      </c>
      <c r="O34" s="185">
        <f t="shared" si="24"/>
        <v>0</v>
      </c>
      <c r="P34" s="185">
        <f t="shared" si="24"/>
        <v>0</v>
      </c>
      <c r="Q34" s="185">
        <f t="shared" si="24"/>
        <v>0</v>
      </c>
      <c r="R34" s="185">
        <f t="shared" si="24"/>
        <v>0</v>
      </c>
      <c r="S34" s="185">
        <f t="shared" si="24"/>
        <v>0</v>
      </c>
      <c r="T34" s="185">
        <f t="shared" si="24"/>
        <v>0</v>
      </c>
      <c r="U34" s="185">
        <f t="shared" si="24"/>
        <v>0</v>
      </c>
      <c r="V34" s="185">
        <f>SUM(V35:V45)</f>
        <v>74.799499999999995</v>
      </c>
      <c r="W34" s="185">
        <f t="shared" ref="W34:AD34" si="25">SUM(W35:W45)</f>
        <v>0</v>
      </c>
      <c r="X34" s="185">
        <f t="shared" si="25"/>
        <v>0</v>
      </c>
      <c r="Y34" s="185">
        <f t="shared" si="25"/>
        <v>0</v>
      </c>
      <c r="Z34" s="185">
        <f t="shared" si="25"/>
        <v>0</v>
      </c>
      <c r="AA34" s="185">
        <f t="shared" si="25"/>
        <v>0</v>
      </c>
      <c r="AB34" s="185">
        <f t="shared" si="25"/>
        <v>0</v>
      </c>
      <c r="AC34" s="185">
        <f t="shared" si="25"/>
        <v>0</v>
      </c>
      <c r="AD34" s="185">
        <f t="shared" si="25"/>
        <v>0</v>
      </c>
      <c r="AE34" s="185">
        <f>D34-BL34</f>
        <v>74.799499999999995</v>
      </c>
      <c r="AF34" s="185">
        <f>SUM(AF35:AF45)</f>
        <v>0.08</v>
      </c>
      <c r="AG34" s="185">
        <f t="shared" ref="AG34:BE34" si="26">SUM(AG35:AG45)</f>
        <v>0.13</v>
      </c>
      <c r="AH34" s="185">
        <f t="shared" si="26"/>
        <v>1.37</v>
      </c>
      <c r="AI34" s="185">
        <f t="shared" si="26"/>
        <v>1.6194999999999999</v>
      </c>
      <c r="AJ34" s="185">
        <f t="shared" si="26"/>
        <v>0</v>
      </c>
      <c r="AK34" s="185">
        <f t="shared" si="26"/>
        <v>0</v>
      </c>
      <c r="AL34" s="185">
        <f t="shared" si="26"/>
        <v>63.65</v>
      </c>
      <c r="AM34" s="185">
        <f t="shared" si="26"/>
        <v>7.89</v>
      </c>
      <c r="AN34" s="185">
        <f t="shared" si="26"/>
        <v>0</v>
      </c>
      <c r="AO34" s="185">
        <f t="shared" si="26"/>
        <v>0.06</v>
      </c>
      <c r="AP34" s="185">
        <f t="shared" si="26"/>
        <v>0</v>
      </c>
      <c r="AQ34" s="185">
        <f t="shared" si="26"/>
        <v>0</v>
      </c>
      <c r="AR34" s="185">
        <f t="shared" si="26"/>
        <v>0</v>
      </c>
      <c r="AS34" s="185">
        <f t="shared" si="26"/>
        <v>0</v>
      </c>
      <c r="AT34" s="185">
        <f t="shared" si="26"/>
        <v>0</v>
      </c>
      <c r="AU34" s="185">
        <f t="shared" si="26"/>
        <v>0</v>
      </c>
      <c r="AV34" s="185">
        <f t="shared" si="26"/>
        <v>0</v>
      </c>
      <c r="AW34" s="185">
        <f t="shared" si="26"/>
        <v>0</v>
      </c>
      <c r="AX34" s="185">
        <f t="shared" si="26"/>
        <v>0</v>
      </c>
      <c r="AY34" s="185">
        <f t="shared" si="26"/>
        <v>0</v>
      </c>
      <c r="AZ34" s="185">
        <f t="shared" si="26"/>
        <v>0</v>
      </c>
      <c r="BA34" s="185">
        <f t="shared" si="26"/>
        <v>0</v>
      </c>
      <c r="BB34" s="185">
        <f t="shared" si="26"/>
        <v>0</v>
      </c>
      <c r="BC34" s="185">
        <f t="shared" si="26"/>
        <v>0</v>
      </c>
      <c r="BD34" s="185">
        <f t="shared" si="26"/>
        <v>0</v>
      </c>
      <c r="BE34" s="185">
        <f t="shared" si="26"/>
        <v>0</v>
      </c>
      <c r="BF34" s="185">
        <f>SUM(BF35:BF45)</f>
        <v>0</v>
      </c>
      <c r="BG34" s="185">
        <f>SUM(BG35:BG45)</f>
        <v>0</v>
      </c>
      <c r="BH34" s="185">
        <f>BI34+BJ34+BK34</f>
        <v>0</v>
      </c>
      <c r="BI34" s="185">
        <f>SUM(BI35:BI45)</f>
        <v>0</v>
      </c>
      <c r="BJ34" s="185">
        <f>SUM(BJ35:BJ45)</f>
        <v>0</v>
      </c>
      <c r="BK34" s="185">
        <f>SUM(BK35:BK45)</f>
        <v>0</v>
      </c>
      <c r="BL34" s="185">
        <f>E34+W34+X34+Y34+Z34+AA34+AB34+AC34+AQ34+AR34+AS34+AT34+AU34+AV34+AW34+AX34+AY34+AZ34+BA34+BB34+BC34+BD34+BE34+BF34+BG34+BH34</f>
        <v>0</v>
      </c>
      <c r="BM34" s="185">
        <f>AE68-BL34</f>
        <v>0.42</v>
      </c>
      <c r="BN34" s="185">
        <f>SUM(BN35:BN45)</f>
        <v>75.219499999999996</v>
      </c>
      <c r="BP34" s="117"/>
    </row>
    <row r="35" spans="1:68" ht="20.100000000000001" customHeight="1">
      <c r="A35" s="14" t="s">
        <v>224</v>
      </c>
      <c r="B35" s="143" t="s">
        <v>478</v>
      </c>
      <c r="C35" s="30" t="s">
        <v>202</v>
      </c>
      <c r="D35" s="185">
        <f>#REF!</f>
        <v>0.08</v>
      </c>
      <c r="E35" s="185">
        <f t="shared" si="4"/>
        <v>0</v>
      </c>
      <c r="F35" s="185">
        <f t="shared" si="21"/>
        <v>0</v>
      </c>
      <c r="G35" s="185">
        <f t="shared" si="8"/>
        <v>0</v>
      </c>
      <c r="H35" s="185">
        <f t="shared" si="12"/>
        <v>0</v>
      </c>
      <c r="I35" s="185"/>
      <c r="J35" s="185"/>
      <c r="K35" s="185"/>
      <c r="L35" s="185"/>
      <c r="M35" s="185"/>
      <c r="N35" s="185"/>
      <c r="O35" s="185"/>
      <c r="P35" s="185"/>
      <c r="Q35" s="185"/>
      <c r="R35" s="185"/>
      <c r="S35" s="185"/>
      <c r="T35" s="185"/>
      <c r="U35" s="185"/>
      <c r="V35" s="185">
        <f t="shared" si="13"/>
        <v>0.08</v>
      </c>
      <c r="W35" s="185"/>
      <c r="X35" s="185"/>
      <c r="Y35" s="185"/>
      <c r="Z35" s="185"/>
      <c r="AA35" s="185"/>
      <c r="AB35" s="185"/>
      <c r="AC35" s="185"/>
      <c r="AD35" s="185"/>
      <c r="AE35" s="185">
        <f>SUM(AF35:AP35)</f>
        <v>0.08</v>
      </c>
      <c r="AF35" s="185">
        <f>D35-BL35</f>
        <v>0.08</v>
      </c>
      <c r="AG35" s="185"/>
      <c r="AH35" s="185"/>
      <c r="AI35" s="185"/>
      <c r="AJ35" s="185"/>
      <c r="AK35" s="185"/>
      <c r="AL35" s="185"/>
      <c r="AM35" s="185"/>
      <c r="AN35" s="185"/>
      <c r="AO35" s="185"/>
      <c r="AP35" s="185"/>
      <c r="AQ35" s="185"/>
      <c r="AR35" s="185"/>
      <c r="AS35" s="185"/>
      <c r="AT35" s="185"/>
      <c r="AU35" s="185"/>
      <c r="AV35" s="185"/>
      <c r="AW35" s="185"/>
      <c r="AX35" s="185"/>
      <c r="AY35" s="185"/>
      <c r="AZ35" s="185"/>
      <c r="BA35" s="185"/>
      <c r="BB35" s="185"/>
      <c r="BC35" s="185"/>
      <c r="BD35" s="185"/>
      <c r="BE35" s="185"/>
      <c r="BF35" s="185"/>
      <c r="BG35" s="185"/>
      <c r="BH35" s="185">
        <f t="shared" si="22"/>
        <v>0</v>
      </c>
      <c r="BI35" s="185"/>
      <c r="BJ35" s="185"/>
      <c r="BK35" s="185"/>
      <c r="BL35" s="185">
        <f>E35+W35+X35+Y35+Z35+AA35+AB35+AC35+AD35+AG35+AH35+AI35+AJ35+AK35+AL35+AM35+AN35+AO35+AP35+AQ35+AR35+AS35+AT35+AU35+AV35+AW35+AX35+AY35+AZ35+BA35+BB35+BC35+BD35</f>
        <v>0</v>
      </c>
      <c r="BM35" s="185">
        <f>AF68-BL35</f>
        <v>0</v>
      </c>
      <c r="BN35" s="185">
        <f>D35+BM35</f>
        <v>0.08</v>
      </c>
      <c r="BP35" s="117"/>
    </row>
    <row r="36" spans="1:68" ht="20.100000000000001" customHeight="1">
      <c r="A36" s="14" t="s">
        <v>225</v>
      </c>
      <c r="B36" s="143" t="s">
        <v>479</v>
      </c>
      <c r="C36" s="30" t="s">
        <v>203</v>
      </c>
      <c r="D36" s="185">
        <f>#REF!</f>
        <v>0.13</v>
      </c>
      <c r="E36" s="185">
        <f t="shared" si="4"/>
        <v>0</v>
      </c>
      <c r="F36" s="185">
        <f t="shared" si="21"/>
        <v>0</v>
      </c>
      <c r="G36" s="185">
        <f t="shared" si="8"/>
        <v>0</v>
      </c>
      <c r="H36" s="185">
        <f t="shared" si="12"/>
        <v>0</v>
      </c>
      <c r="I36" s="185"/>
      <c r="J36" s="185"/>
      <c r="K36" s="185"/>
      <c r="L36" s="185"/>
      <c r="M36" s="185"/>
      <c r="N36" s="185"/>
      <c r="O36" s="185"/>
      <c r="P36" s="185"/>
      <c r="Q36" s="185"/>
      <c r="R36" s="185"/>
      <c r="S36" s="185"/>
      <c r="T36" s="185"/>
      <c r="U36" s="185"/>
      <c r="V36" s="185">
        <f t="shared" si="13"/>
        <v>0.13</v>
      </c>
      <c r="W36" s="185"/>
      <c r="X36" s="185"/>
      <c r="Y36" s="185"/>
      <c r="Z36" s="185"/>
      <c r="AA36" s="185"/>
      <c r="AB36" s="185"/>
      <c r="AC36" s="185"/>
      <c r="AD36" s="185"/>
      <c r="AE36" s="185">
        <f t="shared" ref="AE36:AE66" si="27">SUM(AF36:AP36)</f>
        <v>0.13</v>
      </c>
      <c r="AF36" s="185"/>
      <c r="AG36" s="185">
        <f>D36-BL36</f>
        <v>0.13</v>
      </c>
      <c r="AH36" s="185"/>
      <c r="AI36" s="185"/>
      <c r="AJ36" s="185"/>
      <c r="AK36" s="185"/>
      <c r="AL36" s="185"/>
      <c r="AM36" s="185"/>
      <c r="AN36" s="185"/>
      <c r="AO36" s="185"/>
      <c r="AP36" s="185"/>
      <c r="AQ36" s="185"/>
      <c r="AR36" s="185"/>
      <c r="AS36" s="185"/>
      <c r="AT36" s="185"/>
      <c r="AU36" s="185"/>
      <c r="AV36" s="185"/>
      <c r="AW36" s="185"/>
      <c r="AX36" s="185"/>
      <c r="AY36" s="185"/>
      <c r="AZ36" s="185"/>
      <c r="BA36" s="185"/>
      <c r="BB36" s="185"/>
      <c r="BC36" s="185"/>
      <c r="BD36" s="185"/>
      <c r="BE36" s="185"/>
      <c r="BF36" s="185"/>
      <c r="BG36" s="185"/>
      <c r="BH36" s="185">
        <f t="shared" si="22"/>
        <v>0</v>
      </c>
      <c r="BI36" s="185"/>
      <c r="BJ36" s="185"/>
      <c r="BK36" s="185"/>
      <c r="BL36" s="185">
        <f>E36+W36+X36+Y36+Z36+AA36+AB36+AC36+AD36+AF36+AH36+AI36+AJ36+AK36+AL36+AM36+AN36+AO36+AP36+AQ36+AR36+AS36+AT36+AU36+AV36+AW36+AX36+AY36+AZ36+BA36+BB36+BC36+BD36+BE36+BF36+BG36+BH36</f>
        <v>0</v>
      </c>
      <c r="BM36" s="185">
        <f>AG68-BL36</f>
        <v>0</v>
      </c>
      <c r="BN36" s="185">
        <f t="shared" ref="BN36:BN45" si="28">D36+BM36</f>
        <v>0.13</v>
      </c>
      <c r="BP36" s="117"/>
    </row>
    <row r="37" spans="1:68" ht="20.100000000000001" customHeight="1">
      <c r="A37" s="14" t="s">
        <v>226</v>
      </c>
      <c r="B37" s="143" t="s">
        <v>480</v>
      </c>
      <c r="C37" s="30" t="s">
        <v>204</v>
      </c>
      <c r="D37" s="185">
        <f>#REF!</f>
        <v>1.37</v>
      </c>
      <c r="E37" s="185">
        <f t="shared" si="4"/>
        <v>0</v>
      </c>
      <c r="F37" s="185">
        <f t="shared" si="21"/>
        <v>0</v>
      </c>
      <c r="G37" s="185">
        <f t="shared" si="8"/>
        <v>0</v>
      </c>
      <c r="H37" s="185">
        <f t="shared" si="12"/>
        <v>0</v>
      </c>
      <c r="I37" s="185"/>
      <c r="J37" s="185"/>
      <c r="K37" s="185"/>
      <c r="L37" s="185"/>
      <c r="M37" s="185"/>
      <c r="N37" s="185"/>
      <c r="O37" s="185"/>
      <c r="P37" s="185"/>
      <c r="Q37" s="185"/>
      <c r="R37" s="185"/>
      <c r="S37" s="185"/>
      <c r="T37" s="185"/>
      <c r="U37" s="185"/>
      <c r="V37" s="185">
        <f t="shared" si="13"/>
        <v>1.37</v>
      </c>
      <c r="W37" s="185"/>
      <c r="X37" s="185"/>
      <c r="Y37" s="185"/>
      <c r="Z37" s="185"/>
      <c r="AA37" s="185"/>
      <c r="AB37" s="185"/>
      <c r="AC37" s="185"/>
      <c r="AD37" s="185"/>
      <c r="AE37" s="185">
        <f t="shared" si="27"/>
        <v>1.37</v>
      </c>
      <c r="AF37" s="185"/>
      <c r="AG37" s="185"/>
      <c r="AH37" s="185">
        <f>D37-BL37</f>
        <v>1.37</v>
      </c>
      <c r="AI37" s="185"/>
      <c r="AJ37" s="185"/>
      <c r="AK37" s="185"/>
      <c r="AL37" s="185"/>
      <c r="AM37" s="185"/>
      <c r="AN37" s="185"/>
      <c r="AO37" s="185"/>
      <c r="AP37" s="185"/>
      <c r="AQ37" s="185"/>
      <c r="AR37" s="185"/>
      <c r="AS37" s="185"/>
      <c r="AT37" s="185"/>
      <c r="AU37" s="185"/>
      <c r="AV37" s="185"/>
      <c r="AW37" s="185"/>
      <c r="AX37" s="185"/>
      <c r="AY37" s="185"/>
      <c r="AZ37" s="185"/>
      <c r="BA37" s="185"/>
      <c r="BB37" s="185"/>
      <c r="BC37" s="185"/>
      <c r="BD37" s="185"/>
      <c r="BE37" s="185"/>
      <c r="BF37" s="185"/>
      <c r="BG37" s="185"/>
      <c r="BH37" s="185">
        <f t="shared" si="22"/>
        <v>0</v>
      </c>
      <c r="BI37" s="185"/>
      <c r="BJ37" s="185"/>
      <c r="BK37" s="185"/>
      <c r="BL37" s="185">
        <f>E37+W37+X37+Y37+Z37+AA37+AB37+AC37+AD37+AF37+AG37+AI37+AJ37+AK37+AL37+AM37+AN37+AO37+AP37+AQ37+AR37+AS37+AT37+AU37+AV37+AW37+AX37+AY37+AZ37+BA37+BB37+BC37+BD37+BE37+BF37+BG37+BH37</f>
        <v>0</v>
      </c>
      <c r="BM37" s="185">
        <f>AH68-BL37</f>
        <v>0</v>
      </c>
      <c r="BN37" s="185">
        <f t="shared" si="28"/>
        <v>1.37</v>
      </c>
      <c r="BP37" s="117"/>
    </row>
    <row r="38" spans="1:68" ht="20.100000000000001" customHeight="1">
      <c r="A38" s="14" t="s">
        <v>227</v>
      </c>
      <c r="B38" s="143" t="s">
        <v>481</v>
      </c>
      <c r="C38" s="30" t="s">
        <v>205</v>
      </c>
      <c r="D38" s="185">
        <f>#REF!</f>
        <v>1.6194999999999999</v>
      </c>
      <c r="E38" s="185">
        <f t="shared" si="4"/>
        <v>0</v>
      </c>
      <c r="F38" s="185">
        <f t="shared" si="21"/>
        <v>0</v>
      </c>
      <c r="G38" s="185">
        <f t="shared" si="8"/>
        <v>0</v>
      </c>
      <c r="H38" s="185">
        <f t="shared" si="12"/>
        <v>0</v>
      </c>
      <c r="I38" s="185"/>
      <c r="J38" s="185"/>
      <c r="K38" s="185"/>
      <c r="L38" s="185"/>
      <c r="M38" s="185"/>
      <c r="N38" s="185"/>
      <c r="O38" s="185"/>
      <c r="P38" s="185"/>
      <c r="Q38" s="185"/>
      <c r="R38" s="185"/>
      <c r="S38" s="185"/>
      <c r="T38" s="185"/>
      <c r="U38" s="185"/>
      <c r="V38" s="185">
        <f t="shared" si="13"/>
        <v>1.6194999999999999</v>
      </c>
      <c r="W38" s="185"/>
      <c r="X38" s="185"/>
      <c r="Y38" s="185"/>
      <c r="Z38" s="185"/>
      <c r="AA38" s="185"/>
      <c r="AB38" s="185"/>
      <c r="AC38" s="185"/>
      <c r="AD38" s="185"/>
      <c r="AE38" s="185">
        <f t="shared" si="27"/>
        <v>1.6194999999999999</v>
      </c>
      <c r="AF38" s="185"/>
      <c r="AG38" s="185"/>
      <c r="AH38" s="185"/>
      <c r="AI38" s="185">
        <f>D38-BL38</f>
        <v>1.6194999999999999</v>
      </c>
      <c r="AJ38" s="185"/>
      <c r="AK38" s="185"/>
      <c r="AL38" s="185"/>
      <c r="AM38" s="185"/>
      <c r="AN38" s="185"/>
      <c r="AO38" s="185"/>
      <c r="AP38" s="185"/>
      <c r="AQ38" s="185"/>
      <c r="AR38" s="185"/>
      <c r="AS38" s="185"/>
      <c r="AT38" s="185"/>
      <c r="AU38" s="185"/>
      <c r="AV38" s="185"/>
      <c r="AW38" s="185"/>
      <c r="AX38" s="185"/>
      <c r="AY38" s="185"/>
      <c r="AZ38" s="185"/>
      <c r="BA38" s="185"/>
      <c r="BB38" s="185"/>
      <c r="BC38" s="185"/>
      <c r="BD38" s="185"/>
      <c r="BE38" s="185"/>
      <c r="BF38" s="185"/>
      <c r="BG38" s="185"/>
      <c r="BH38" s="185">
        <f t="shared" si="22"/>
        <v>0</v>
      </c>
      <c r="BI38" s="185"/>
      <c r="BJ38" s="185"/>
      <c r="BK38" s="185"/>
      <c r="BL38" s="185">
        <f>E38+W38+X38+Y38+Z38+AA38+AB38+AC38+AD38+AF38+AG38+AH38+AJ38+AK38+AL38+AM38+AN38+AO38+AP38+AQ38+AR38+AS38+AT38+AU38+AV38+AW38+AX38+AY38+AZ38+BA38+BB38+BC38+BD38+BE38+BF38+BG38+BH38</f>
        <v>0</v>
      </c>
      <c r="BM38" s="185">
        <f>AI68-BL38</f>
        <v>0</v>
      </c>
      <c r="BN38" s="185">
        <f t="shared" si="28"/>
        <v>1.6194999999999999</v>
      </c>
      <c r="BP38" s="117"/>
    </row>
    <row r="39" spans="1:68" ht="20.100000000000001" customHeight="1">
      <c r="A39" s="14" t="s">
        <v>228</v>
      </c>
      <c r="B39" s="143" t="s">
        <v>482</v>
      </c>
      <c r="C39" s="30" t="s">
        <v>206</v>
      </c>
      <c r="D39" s="185"/>
      <c r="E39" s="185">
        <f t="shared" si="4"/>
        <v>0</v>
      </c>
      <c r="F39" s="185">
        <f t="shared" si="21"/>
        <v>0</v>
      </c>
      <c r="G39" s="185">
        <f t="shared" si="8"/>
        <v>0</v>
      </c>
      <c r="H39" s="185">
        <f t="shared" si="12"/>
        <v>0</v>
      </c>
      <c r="I39" s="185"/>
      <c r="J39" s="185"/>
      <c r="K39" s="185"/>
      <c r="L39" s="185"/>
      <c r="M39" s="185"/>
      <c r="N39" s="185"/>
      <c r="O39" s="185"/>
      <c r="P39" s="185"/>
      <c r="Q39" s="185"/>
      <c r="R39" s="185"/>
      <c r="S39" s="185"/>
      <c r="T39" s="185"/>
      <c r="U39" s="185"/>
      <c r="V39" s="185">
        <f t="shared" si="13"/>
        <v>0</v>
      </c>
      <c r="W39" s="185"/>
      <c r="X39" s="185"/>
      <c r="Y39" s="185"/>
      <c r="Z39" s="185"/>
      <c r="AA39" s="185"/>
      <c r="AB39" s="185"/>
      <c r="AC39" s="185"/>
      <c r="AD39" s="185"/>
      <c r="AE39" s="185">
        <f t="shared" si="27"/>
        <v>0</v>
      </c>
      <c r="AF39" s="185"/>
      <c r="AG39" s="185"/>
      <c r="AH39" s="185"/>
      <c r="AI39" s="185"/>
      <c r="AJ39" s="185">
        <f>D39-BL39</f>
        <v>0</v>
      </c>
      <c r="AK39" s="185"/>
      <c r="AL39" s="185"/>
      <c r="AM39" s="185"/>
      <c r="AN39" s="185"/>
      <c r="AO39" s="185"/>
      <c r="AP39" s="185"/>
      <c r="AQ39" s="185"/>
      <c r="AR39" s="185"/>
      <c r="AS39" s="185"/>
      <c r="AT39" s="185"/>
      <c r="AU39" s="185"/>
      <c r="AV39" s="185"/>
      <c r="AW39" s="185"/>
      <c r="AX39" s="185"/>
      <c r="AY39" s="185"/>
      <c r="AZ39" s="185"/>
      <c r="BA39" s="185"/>
      <c r="BB39" s="185"/>
      <c r="BC39" s="185"/>
      <c r="BD39" s="185"/>
      <c r="BE39" s="185"/>
      <c r="BF39" s="185"/>
      <c r="BG39" s="185"/>
      <c r="BH39" s="185">
        <f t="shared" si="22"/>
        <v>0</v>
      </c>
      <c r="BI39" s="185"/>
      <c r="BJ39" s="185"/>
      <c r="BK39" s="185"/>
      <c r="BL39" s="185">
        <f>E39+W39+X39+Y39+Z39+AA39+AB39+AC39+AD39+AQ39+AR39+AS39+AT39+AU39+AV39+AW39+AX39+AY39+AZ39+BA39+BB39+BC39+BD39+BE39+BF39+BG39+BH39+AF39+AG39+AH39+AI39+AK39+AL39+AM39+AN39+AO39+AP39</f>
        <v>0</v>
      </c>
      <c r="BM39" s="185">
        <f>AJ68-BL39</f>
        <v>0</v>
      </c>
      <c r="BN39" s="185">
        <f t="shared" si="28"/>
        <v>0</v>
      </c>
      <c r="BP39" s="117"/>
    </row>
    <row r="40" spans="1:68" ht="20.100000000000001" customHeight="1">
      <c r="A40" s="14" t="s">
        <v>229</v>
      </c>
      <c r="B40" s="143" t="s">
        <v>483</v>
      </c>
      <c r="C40" s="30" t="s">
        <v>207</v>
      </c>
      <c r="D40" s="185"/>
      <c r="E40" s="185">
        <f t="shared" si="4"/>
        <v>0</v>
      </c>
      <c r="F40" s="185">
        <f t="shared" si="21"/>
        <v>0</v>
      </c>
      <c r="G40" s="185">
        <f t="shared" si="8"/>
        <v>0</v>
      </c>
      <c r="H40" s="185">
        <f t="shared" si="12"/>
        <v>0</v>
      </c>
      <c r="I40" s="185"/>
      <c r="J40" s="185"/>
      <c r="K40" s="185"/>
      <c r="L40" s="185"/>
      <c r="M40" s="185"/>
      <c r="N40" s="185"/>
      <c r="O40" s="185"/>
      <c r="P40" s="185"/>
      <c r="Q40" s="185"/>
      <c r="R40" s="185"/>
      <c r="S40" s="185"/>
      <c r="T40" s="185"/>
      <c r="U40" s="185"/>
      <c r="V40" s="185">
        <f t="shared" si="13"/>
        <v>0</v>
      </c>
      <c r="W40" s="185"/>
      <c r="X40" s="185"/>
      <c r="Y40" s="185"/>
      <c r="Z40" s="185"/>
      <c r="AA40" s="185"/>
      <c r="AB40" s="185"/>
      <c r="AC40" s="185"/>
      <c r="AD40" s="185"/>
      <c r="AE40" s="185">
        <f t="shared" si="27"/>
        <v>0</v>
      </c>
      <c r="AF40" s="185"/>
      <c r="AG40" s="185"/>
      <c r="AH40" s="185"/>
      <c r="AI40" s="185"/>
      <c r="AJ40" s="185"/>
      <c r="AK40" s="185">
        <f>D40-BL40</f>
        <v>0</v>
      </c>
      <c r="AL40" s="185"/>
      <c r="AM40" s="185"/>
      <c r="AN40" s="185"/>
      <c r="AO40" s="185"/>
      <c r="AP40" s="185"/>
      <c r="AQ40" s="185"/>
      <c r="AR40" s="185"/>
      <c r="AS40" s="185"/>
      <c r="AT40" s="185"/>
      <c r="AU40" s="185"/>
      <c r="AV40" s="185"/>
      <c r="AW40" s="185"/>
      <c r="AX40" s="185"/>
      <c r="AY40" s="185"/>
      <c r="AZ40" s="185"/>
      <c r="BA40" s="185"/>
      <c r="BB40" s="185"/>
      <c r="BC40" s="185"/>
      <c r="BD40" s="185"/>
      <c r="BE40" s="185"/>
      <c r="BF40" s="185"/>
      <c r="BG40" s="185"/>
      <c r="BH40" s="185">
        <f t="shared" si="22"/>
        <v>0</v>
      </c>
      <c r="BI40" s="185"/>
      <c r="BJ40" s="185"/>
      <c r="BK40" s="185"/>
      <c r="BL40" s="185">
        <f>E40+W40+X40+Y40+Z40+AA40+AB40+AC40+AD40+AF40+AG40+AH40+AI40+AJ40+AL40+AM40+AN40+AO40+AP40+AQ40+AR40+AS40+AT40+AU40+AV40+AW40+AX40+AY40+AZ40+BA40+BB40+BC40+BD40+BE40+BF40+BG40+BH40</f>
        <v>0</v>
      </c>
      <c r="BM40" s="185">
        <f>AK68-BL40</f>
        <v>0</v>
      </c>
      <c r="BN40" s="185">
        <f t="shared" si="28"/>
        <v>0</v>
      </c>
      <c r="BP40" s="117"/>
    </row>
    <row r="41" spans="1:68" ht="20.100000000000001" customHeight="1">
      <c r="A41" s="14" t="s">
        <v>230</v>
      </c>
      <c r="B41" s="143" t="s">
        <v>484</v>
      </c>
      <c r="C41" s="30" t="s">
        <v>199</v>
      </c>
      <c r="D41" s="185">
        <f>#REF!</f>
        <v>63.69</v>
      </c>
      <c r="E41" s="185">
        <f t="shared" si="4"/>
        <v>0</v>
      </c>
      <c r="F41" s="185">
        <f t="shared" si="21"/>
        <v>0</v>
      </c>
      <c r="G41" s="185">
        <f t="shared" si="8"/>
        <v>0</v>
      </c>
      <c r="H41" s="185">
        <f t="shared" si="12"/>
        <v>0</v>
      </c>
      <c r="I41" s="185"/>
      <c r="J41" s="185"/>
      <c r="K41" s="185"/>
      <c r="L41" s="185"/>
      <c r="M41" s="185"/>
      <c r="N41" s="185"/>
      <c r="O41" s="185"/>
      <c r="P41" s="185"/>
      <c r="Q41" s="185"/>
      <c r="R41" s="185"/>
      <c r="S41" s="185"/>
      <c r="T41" s="185"/>
      <c r="U41" s="185"/>
      <c r="V41" s="185">
        <f t="shared" si="13"/>
        <v>63.69</v>
      </c>
      <c r="W41" s="185"/>
      <c r="X41" s="185"/>
      <c r="Y41" s="185"/>
      <c r="Z41" s="185"/>
      <c r="AA41" s="185"/>
      <c r="AB41" s="185"/>
      <c r="AC41" s="185"/>
      <c r="AD41" s="185"/>
      <c r="AE41" s="185">
        <f t="shared" si="27"/>
        <v>63.69</v>
      </c>
      <c r="AF41" s="185"/>
      <c r="AG41" s="185"/>
      <c r="AH41" s="185"/>
      <c r="AI41" s="185"/>
      <c r="AJ41" s="185"/>
      <c r="AK41" s="185"/>
      <c r="AL41" s="185">
        <f>D41-BL41</f>
        <v>63.65</v>
      </c>
      <c r="AM41" s="185">
        <v>0.04</v>
      </c>
      <c r="AN41" s="185"/>
      <c r="AO41" s="185"/>
      <c r="AP41" s="185"/>
      <c r="AQ41" s="185"/>
      <c r="AR41" s="185"/>
      <c r="AS41" s="185"/>
      <c r="AT41" s="185"/>
      <c r="AU41" s="185"/>
      <c r="AV41" s="185"/>
      <c r="AW41" s="185"/>
      <c r="AX41" s="185"/>
      <c r="AY41" s="185"/>
      <c r="AZ41" s="185"/>
      <c r="BA41" s="185"/>
      <c r="BB41" s="185"/>
      <c r="BC41" s="185"/>
      <c r="BD41" s="185"/>
      <c r="BE41" s="185"/>
      <c r="BF41" s="185"/>
      <c r="BG41" s="185"/>
      <c r="BH41" s="185">
        <f t="shared" si="22"/>
        <v>0</v>
      </c>
      <c r="BI41" s="185"/>
      <c r="BJ41" s="185"/>
      <c r="BK41" s="185"/>
      <c r="BL41" s="185">
        <f>E41+W41+X41+Y41+Z41+AA41+AB41+AC41+AD41+AF41+AG41+AH41+AI41+AJ41+AK41+AM41+AN41+AO41+AP41+AQ41+AR41+AS41+AT41+AU41+AV41+AW41+AX41+AY41+AZ41+BA41+BB41+BC41+BD41+BE41+BF41+BG41+BH41</f>
        <v>0.04</v>
      </c>
      <c r="BM41" s="185">
        <f>AL68-BL41</f>
        <v>-0.04</v>
      </c>
      <c r="BN41" s="185">
        <f t="shared" si="28"/>
        <v>63.65</v>
      </c>
      <c r="BP41" s="117"/>
    </row>
    <row r="42" spans="1:68" ht="20.100000000000001" customHeight="1">
      <c r="A42" s="14" t="s">
        <v>231</v>
      </c>
      <c r="B42" s="143" t="s">
        <v>485</v>
      </c>
      <c r="C42" s="30" t="s">
        <v>200</v>
      </c>
      <c r="D42" s="185">
        <f>#REF!</f>
        <v>7.85</v>
      </c>
      <c r="E42" s="185">
        <f t="shared" si="4"/>
        <v>0</v>
      </c>
      <c r="F42" s="185">
        <f t="shared" si="21"/>
        <v>0</v>
      </c>
      <c r="G42" s="185">
        <f t="shared" si="8"/>
        <v>0</v>
      </c>
      <c r="H42" s="185">
        <f t="shared" si="12"/>
        <v>0</v>
      </c>
      <c r="I42" s="185"/>
      <c r="J42" s="185"/>
      <c r="K42" s="185"/>
      <c r="L42" s="185"/>
      <c r="M42" s="185"/>
      <c r="N42" s="185"/>
      <c r="O42" s="185"/>
      <c r="P42" s="185"/>
      <c r="Q42" s="185"/>
      <c r="R42" s="185"/>
      <c r="S42" s="185"/>
      <c r="T42" s="185"/>
      <c r="U42" s="185"/>
      <c r="V42" s="185">
        <f t="shared" si="13"/>
        <v>7.85</v>
      </c>
      <c r="W42" s="185"/>
      <c r="X42" s="185"/>
      <c r="Y42" s="185"/>
      <c r="Z42" s="185"/>
      <c r="AA42" s="185"/>
      <c r="AB42" s="185"/>
      <c r="AC42" s="185"/>
      <c r="AD42" s="185"/>
      <c r="AE42" s="185">
        <f t="shared" si="27"/>
        <v>7.85</v>
      </c>
      <c r="AF42" s="185"/>
      <c r="AG42" s="185"/>
      <c r="AH42" s="185"/>
      <c r="AI42" s="185"/>
      <c r="AJ42" s="185"/>
      <c r="AK42" s="185"/>
      <c r="AL42" s="185"/>
      <c r="AM42" s="185">
        <f>D42-BL42</f>
        <v>7.85</v>
      </c>
      <c r="AN42" s="185"/>
      <c r="AO42" s="185"/>
      <c r="AP42" s="185"/>
      <c r="AQ42" s="185"/>
      <c r="AR42" s="185"/>
      <c r="AS42" s="185"/>
      <c r="AT42" s="185"/>
      <c r="AU42" s="185"/>
      <c r="AV42" s="185"/>
      <c r="AW42" s="185"/>
      <c r="AX42" s="185"/>
      <c r="AY42" s="185"/>
      <c r="AZ42" s="185"/>
      <c r="BA42" s="185"/>
      <c r="BB42" s="185"/>
      <c r="BC42" s="185"/>
      <c r="BD42" s="185"/>
      <c r="BE42" s="185"/>
      <c r="BF42" s="185"/>
      <c r="BG42" s="185"/>
      <c r="BH42" s="185">
        <f t="shared" si="22"/>
        <v>0</v>
      </c>
      <c r="BI42" s="185"/>
      <c r="BJ42" s="185"/>
      <c r="BK42" s="185"/>
      <c r="BL42" s="185">
        <f>E42+W42+X42+Y42+Z42+AA42+AB42+AC42+AD42+AF42+AG42+AH42+AI42+AJ42+AK42+AL42+AN42+AO42+AP42+AQ42+AR42+AS42+AT42+AU42+AV42+AW42+AX42+AY42+AZ42+BA42+BB42+BC42+BD42+BE42+BF42+BG42+BH42</f>
        <v>0</v>
      </c>
      <c r="BM42" s="185">
        <f>AM68-BL42</f>
        <v>0.45999999999999996</v>
      </c>
      <c r="BN42" s="185">
        <f t="shared" si="28"/>
        <v>8.3099999999999987</v>
      </c>
      <c r="BP42" s="117"/>
    </row>
    <row r="43" spans="1:68" ht="20.100000000000001" customHeight="1">
      <c r="A43" s="14" t="s">
        <v>232</v>
      </c>
      <c r="B43" s="143" t="s">
        <v>486</v>
      </c>
      <c r="C43" s="30" t="s">
        <v>223</v>
      </c>
      <c r="D43" s="185"/>
      <c r="E43" s="185">
        <f t="shared" si="4"/>
        <v>0</v>
      </c>
      <c r="F43" s="185">
        <f t="shared" si="21"/>
        <v>0</v>
      </c>
      <c r="G43" s="185">
        <f t="shared" si="8"/>
        <v>0</v>
      </c>
      <c r="H43" s="185">
        <f t="shared" si="12"/>
        <v>0</v>
      </c>
      <c r="I43" s="185"/>
      <c r="J43" s="185"/>
      <c r="K43" s="185"/>
      <c r="L43" s="185"/>
      <c r="M43" s="185"/>
      <c r="N43" s="185"/>
      <c r="O43" s="185"/>
      <c r="P43" s="185"/>
      <c r="Q43" s="185"/>
      <c r="R43" s="185"/>
      <c r="S43" s="185"/>
      <c r="T43" s="185"/>
      <c r="U43" s="185"/>
      <c r="V43" s="185">
        <f t="shared" si="13"/>
        <v>0</v>
      </c>
      <c r="W43" s="185"/>
      <c r="X43" s="185"/>
      <c r="Y43" s="185"/>
      <c r="Z43" s="185"/>
      <c r="AA43" s="185"/>
      <c r="AB43" s="185"/>
      <c r="AC43" s="185"/>
      <c r="AD43" s="185"/>
      <c r="AE43" s="185">
        <f t="shared" si="27"/>
        <v>0</v>
      </c>
      <c r="AF43" s="185"/>
      <c r="AG43" s="185"/>
      <c r="AH43" s="185"/>
      <c r="AI43" s="185"/>
      <c r="AJ43" s="185"/>
      <c r="AK43" s="185"/>
      <c r="AL43" s="185"/>
      <c r="AM43" s="185"/>
      <c r="AN43" s="185">
        <f>D43-BL43</f>
        <v>0</v>
      </c>
      <c r="AO43" s="185"/>
      <c r="AP43" s="185"/>
      <c r="AQ43" s="185"/>
      <c r="AR43" s="185"/>
      <c r="AS43" s="185"/>
      <c r="AT43" s="185"/>
      <c r="AU43" s="185"/>
      <c r="AV43" s="185"/>
      <c r="AW43" s="185"/>
      <c r="AX43" s="185"/>
      <c r="AY43" s="185"/>
      <c r="AZ43" s="185"/>
      <c r="BA43" s="185"/>
      <c r="BB43" s="185"/>
      <c r="BC43" s="185"/>
      <c r="BD43" s="185"/>
      <c r="BE43" s="185"/>
      <c r="BF43" s="185"/>
      <c r="BG43" s="185"/>
      <c r="BH43" s="185">
        <f t="shared" si="22"/>
        <v>0</v>
      </c>
      <c r="BI43" s="185"/>
      <c r="BJ43" s="185"/>
      <c r="BK43" s="185"/>
      <c r="BL43" s="185">
        <f>E43+W43+X43+Y43+Z43+AA43+AB43+AC43+AD43+AF43+AG43+AH43+AI43+AJ43+AK43+AL43+AM43+AO43+AP43+AQ43+AR43+AS43+AT43+AU43+AV43+AW43+AX43+AY43+AZ43+BA43+BB43+BC43+BD43+BE43+BF43+BG43+BH43</f>
        <v>0</v>
      </c>
      <c r="BM43" s="185">
        <f>AN68-BL43</f>
        <v>0</v>
      </c>
      <c r="BN43" s="185">
        <f t="shared" si="28"/>
        <v>0</v>
      </c>
      <c r="BP43" s="117"/>
    </row>
    <row r="44" spans="1:68" ht="20.100000000000001" customHeight="1">
      <c r="A44" s="14" t="s">
        <v>233</v>
      </c>
      <c r="B44" s="143" t="s">
        <v>487</v>
      </c>
      <c r="C44" s="30" t="s">
        <v>201</v>
      </c>
      <c r="D44" s="185">
        <f>#REF!</f>
        <v>0.06</v>
      </c>
      <c r="E44" s="185">
        <f t="shared" si="4"/>
        <v>0</v>
      </c>
      <c r="F44" s="185">
        <f t="shared" si="21"/>
        <v>0</v>
      </c>
      <c r="G44" s="185">
        <f t="shared" si="8"/>
        <v>0</v>
      </c>
      <c r="H44" s="185">
        <f t="shared" si="12"/>
        <v>0</v>
      </c>
      <c r="I44" s="185"/>
      <c r="J44" s="185"/>
      <c r="K44" s="185"/>
      <c r="L44" s="185"/>
      <c r="M44" s="185"/>
      <c r="N44" s="185"/>
      <c r="O44" s="185"/>
      <c r="P44" s="185"/>
      <c r="Q44" s="185"/>
      <c r="R44" s="185"/>
      <c r="S44" s="185"/>
      <c r="T44" s="185"/>
      <c r="U44" s="185"/>
      <c r="V44" s="185">
        <f t="shared" si="13"/>
        <v>0.06</v>
      </c>
      <c r="W44" s="185"/>
      <c r="X44" s="185"/>
      <c r="Y44" s="185"/>
      <c r="Z44" s="185"/>
      <c r="AA44" s="185"/>
      <c r="AB44" s="185"/>
      <c r="AC44" s="185"/>
      <c r="AD44" s="185"/>
      <c r="AE44" s="185">
        <f t="shared" si="27"/>
        <v>0.06</v>
      </c>
      <c r="AF44" s="185"/>
      <c r="AG44" s="185"/>
      <c r="AH44" s="185"/>
      <c r="AI44" s="185"/>
      <c r="AJ44" s="185"/>
      <c r="AK44" s="185"/>
      <c r="AL44" s="185"/>
      <c r="AM44" s="185"/>
      <c r="AN44" s="185"/>
      <c r="AO44" s="185">
        <f>D44-BL44</f>
        <v>0.06</v>
      </c>
      <c r="AP44" s="185"/>
      <c r="AQ44" s="185"/>
      <c r="AR44" s="185"/>
      <c r="AS44" s="185"/>
      <c r="AT44" s="185"/>
      <c r="AU44" s="185"/>
      <c r="AV44" s="185"/>
      <c r="AW44" s="185"/>
      <c r="AX44" s="185"/>
      <c r="AY44" s="185"/>
      <c r="AZ44" s="185"/>
      <c r="BA44" s="185"/>
      <c r="BB44" s="185"/>
      <c r="BC44" s="185"/>
      <c r="BD44" s="185"/>
      <c r="BE44" s="185"/>
      <c r="BF44" s="185"/>
      <c r="BG44" s="185"/>
      <c r="BH44" s="185">
        <f t="shared" si="22"/>
        <v>0</v>
      </c>
      <c r="BI44" s="185"/>
      <c r="BJ44" s="185"/>
      <c r="BK44" s="185"/>
      <c r="BL44" s="185">
        <f>E44+W44+X44+Y44+Z44+AA44+AB44+AC44+AD44+AF44+AG44+AH44+AI44+AJ44+AK44+AL44+AM44+AN44+AP44+AQ44+AR44+AS44+AT44+AU44+AV44+AW44+AX44+AY44+AZ44+BA44+BB44+BC44+BD44+BE44+BF44+BG44+BH44</f>
        <v>0</v>
      </c>
      <c r="BM44" s="185">
        <f>AO68-BL44</f>
        <v>0</v>
      </c>
      <c r="BN44" s="185">
        <f t="shared" si="28"/>
        <v>0.06</v>
      </c>
      <c r="BP44" s="117"/>
    </row>
    <row r="45" spans="1:68" ht="20.100000000000001" customHeight="1">
      <c r="A45" s="14" t="s">
        <v>234</v>
      </c>
      <c r="B45" s="143" t="s">
        <v>488</v>
      </c>
      <c r="C45" s="30" t="s">
        <v>208</v>
      </c>
      <c r="D45" s="185"/>
      <c r="E45" s="185">
        <f t="shared" si="4"/>
        <v>0</v>
      </c>
      <c r="F45" s="185">
        <f t="shared" si="21"/>
        <v>0</v>
      </c>
      <c r="G45" s="185">
        <f t="shared" si="8"/>
        <v>0</v>
      </c>
      <c r="H45" s="185">
        <f t="shared" si="12"/>
        <v>0</v>
      </c>
      <c r="I45" s="185"/>
      <c r="J45" s="185"/>
      <c r="K45" s="185"/>
      <c r="L45" s="185"/>
      <c r="M45" s="185"/>
      <c r="N45" s="185"/>
      <c r="O45" s="185"/>
      <c r="P45" s="185"/>
      <c r="Q45" s="185"/>
      <c r="R45" s="185"/>
      <c r="S45" s="185"/>
      <c r="T45" s="185"/>
      <c r="U45" s="185"/>
      <c r="V45" s="185">
        <f t="shared" si="13"/>
        <v>0</v>
      </c>
      <c r="W45" s="185"/>
      <c r="X45" s="185"/>
      <c r="Y45" s="185"/>
      <c r="Z45" s="185"/>
      <c r="AA45" s="185"/>
      <c r="AB45" s="185"/>
      <c r="AC45" s="185"/>
      <c r="AD45" s="185"/>
      <c r="AE45" s="185">
        <f t="shared" si="27"/>
        <v>0</v>
      </c>
      <c r="AF45" s="185"/>
      <c r="AG45" s="185"/>
      <c r="AH45" s="185"/>
      <c r="AI45" s="185"/>
      <c r="AJ45" s="185"/>
      <c r="AK45" s="185"/>
      <c r="AL45" s="185"/>
      <c r="AM45" s="185"/>
      <c r="AN45" s="185"/>
      <c r="AO45" s="185"/>
      <c r="AP45" s="185">
        <f>D45-BL45</f>
        <v>0</v>
      </c>
      <c r="AQ45" s="185"/>
      <c r="AR45" s="185"/>
      <c r="AS45" s="185"/>
      <c r="AT45" s="185"/>
      <c r="AU45" s="185"/>
      <c r="AV45" s="185"/>
      <c r="AW45" s="185"/>
      <c r="AX45" s="185"/>
      <c r="AY45" s="185"/>
      <c r="AZ45" s="185"/>
      <c r="BA45" s="185"/>
      <c r="BB45" s="185"/>
      <c r="BC45" s="185"/>
      <c r="BD45" s="185"/>
      <c r="BE45" s="185"/>
      <c r="BF45" s="185"/>
      <c r="BG45" s="185"/>
      <c r="BH45" s="185">
        <f t="shared" si="22"/>
        <v>0</v>
      </c>
      <c r="BI45" s="185"/>
      <c r="BJ45" s="185"/>
      <c r="BK45" s="185"/>
      <c r="BL45" s="185">
        <f>E45+W45+X45+Y45+Z45+AA45+AB45+AC45+AD45+AF45+AG45+AH45+AI45+AJ45+AK45+AL45+AM45+AN45+AO45+AQ45+AR45+AS45+AT45+AU45+AV45+AW45+AX45+AY45+AZ45+BA45+BB45+BC45+BD45+BE45+BF45+BG45+BH45</f>
        <v>0</v>
      </c>
      <c r="BM45" s="185">
        <f>AP68-BL45</f>
        <v>0</v>
      </c>
      <c r="BN45" s="185">
        <f t="shared" si="28"/>
        <v>0</v>
      </c>
      <c r="BP45" s="117"/>
    </row>
    <row r="46" spans="1:68" ht="20.100000000000001" customHeight="1">
      <c r="A46" s="19" t="s">
        <v>73</v>
      </c>
      <c r="B46" s="144" t="s">
        <v>74</v>
      </c>
      <c r="C46" s="30" t="s">
        <v>75</v>
      </c>
      <c r="D46" s="185"/>
      <c r="E46" s="185">
        <f t="shared" si="4"/>
        <v>0</v>
      </c>
      <c r="F46" s="185">
        <f t="shared" si="21"/>
        <v>0</v>
      </c>
      <c r="G46" s="185">
        <f t="shared" si="8"/>
        <v>0</v>
      </c>
      <c r="H46" s="185">
        <f t="shared" si="12"/>
        <v>0</v>
      </c>
      <c r="I46" s="185"/>
      <c r="J46" s="185"/>
      <c r="K46" s="185"/>
      <c r="L46" s="185"/>
      <c r="M46" s="185"/>
      <c r="N46" s="185"/>
      <c r="O46" s="185"/>
      <c r="P46" s="185"/>
      <c r="Q46" s="185"/>
      <c r="R46" s="185"/>
      <c r="S46" s="185"/>
      <c r="T46" s="185"/>
      <c r="U46" s="185"/>
      <c r="V46" s="185">
        <f t="shared" si="13"/>
        <v>0</v>
      </c>
      <c r="W46" s="185"/>
      <c r="X46" s="185"/>
      <c r="Y46" s="185"/>
      <c r="Z46" s="185"/>
      <c r="AA46" s="185"/>
      <c r="AB46" s="185"/>
      <c r="AC46" s="185"/>
      <c r="AD46" s="185"/>
      <c r="AE46" s="185">
        <f t="shared" si="27"/>
        <v>0</v>
      </c>
      <c r="AF46" s="185"/>
      <c r="AG46" s="185"/>
      <c r="AH46" s="185"/>
      <c r="AI46" s="185"/>
      <c r="AJ46" s="185"/>
      <c r="AK46" s="185"/>
      <c r="AL46" s="185"/>
      <c r="AM46" s="185"/>
      <c r="AN46" s="185"/>
      <c r="AO46" s="185"/>
      <c r="AP46" s="185"/>
      <c r="AQ46" s="185">
        <f>D46-BL46</f>
        <v>0</v>
      </c>
      <c r="AR46" s="185"/>
      <c r="AS46" s="185"/>
      <c r="AT46" s="185"/>
      <c r="AU46" s="185"/>
      <c r="AV46" s="185"/>
      <c r="AW46" s="185"/>
      <c r="AX46" s="185"/>
      <c r="AY46" s="185"/>
      <c r="AZ46" s="185"/>
      <c r="BA46" s="185"/>
      <c r="BB46" s="185"/>
      <c r="BC46" s="185"/>
      <c r="BD46" s="185"/>
      <c r="BE46" s="185"/>
      <c r="BF46" s="185"/>
      <c r="BG46" s="185"/>
      <c r="BH46" s="185">
        <f t="shared" si="22"/>
        <v>0</v>
      </c>
      <c r="BI46" s="185"/>
      <c r="BJ46" s="185"/>
      <c r="BK46" s="185"/>
      <c r="BL46" s="185">
        <f>E46+W46+X46+Y46+Z46+AA46+AB46+AC46+AD46+AE46+AR46+AS46+AT46+AU46+AV46+AW46+AX46+AY46+AZ46+BA46+BB46+BC46+BD46+BE46+BF46+BG46+BH46</f>
        <v>0</v>
      </c>
      <c r="BM46" s="185">
        <f>AQ68-BL46</f>
        <v>0</v>
      </c>
      <c r="BN46" s="185">
        <f>D46+BM46</f>
        <v>0</v>
      </c>
      <c r="BP46" s="117"/>
    </row>
    <row r="47" spans="1:68" ht="20.100000000000001" customHeight="1">
      <c r="A47" s="19" t="s">
        <v>76</v>
      </c>
      <c r="B47" s="144" t="s">
        <v>77</v>
      </c>
      <c r="C47" s="30" t="s">
        <v>78</v>
      </c>
      <c r="D47" s="185"/>
      <c r="E47" s="185">
        <f t="shared" si="4"/>
        <v>0</v>
      </c>
      <c r="F47" s="185">
        <f t="shared" si="21"/>
        <v>0</v>
      </c>
      <c r="G47" s="185">
        <f t="shared" si="8"/>
        <v>0</v>
      </c>
      <c r="H47" s="185">
        <f t="shared" si="12"/>
        <v>0</v>
      </c>
      <c r="I47" s="185"/>
      <c r="J47" s="185"/>
      <c r="K47" s="185"/>
      <c r="L47" s="185"/>
      <c r="M47" s="185"/>
      <c r="N47" s="185"/>
      <c r="O47" s="185"/>
      <c r="P47" s="185"/>
      <c r="Q47" s="185"/>
      <c r="R47" s="185"/>
      <c r="S47" s="185"/>
      <c r="T47" s="185"/>
      <c r="U47" s="185"/>
      <c r="V47" s="185">
        <f t="shared" si="13"/>
        <v>0</v>
      </c>
      <c r="W47" s="185"/>
      <c r="X47" s="185"/>
      <c r="Y47" s="185"/>
      <c r="Z47" s="185"/>
      <c r="AA47" s="185"/>
      <c r="AB47" s="185"/>
      <c r="AC47" s="185"/>
      <c r="AD47" s="185"/>
      <c r="AE47" s="185">
        <f t="shared" si="27"/>
        <v>0</v>
      </c>
      <c r="AF47" s="185"/>
      <c r="AG47" s="185"/>
      <c r="AH47" s="185"/>
      <c r="AI47" s="185"/>
      <c r="AJ47" s="185"/>
      <c r="AK47" s="185"/>
      <c r="AL47" s="185"/>
      <c r="AM47" s="185"/>
      <c r="AN47" s="185"/>
      <c r="AO47" s="185"/>
      <c r="AP47" s="185"/>
      <c r="AQ47" s="185"/>
      <c r="AR47" s="185">
        <f>D47-BL47</f>
        <v>0</v>
      </c>
      <c r="AS47" s="185"/>
      <c r="AT47" s="185"/>
      <c r="AU47" s="185"/>
      <c r="AV47" s="185"/>
      <c r="AW47" s="185"/>
      <c r="AX47" s="185"/>
      <c r="AY47" s="185"/>
      <c r="AZ47" s="185"/>
      <c r="BA47" s="185"/>
      <c r="BB47" s="185"/>
      <c r="BC47" s="185"/>
      <c r="BD47" s="185"/>
      <c r="BE47" s="185"/>
      <c r="BF47" s="185"/>
      <c r="BG47" s="185"/>
      <c r="BH47" s="185">
        <f t="shared" si="22"/>
        <v>0</v>
      </c>
      <c r="BI47" s="185"/>
      <c r="BJ47" s="185"/>
      <c r="BK47" s="185"/>
      <c r="BL47" s="185">
        <f>E47+W47+X47+Y47+Z47+AA47+AB47+AC47+AD47+AE47+AQ47+AS47+AT47+AU47+AV47+AW47+AX47+AY47+AZ47+BA47+BB47+BC47+BD47+BE47+BF47+BG47+BH47</f>
        <v>0</v>
      </c>
      <c r="BM47" s="185">
        <f>AR68-BL47</f>
        <v>0</v>
      </c>
      <c r="BN47" s="185">
        <f t="shared" ref="BN47:BN62" si="29">D47+BM47</f>
        <v>0</v>
      </c>
      <c r="BP47" s="117"/>
    </row>
    <row r="48" spans="1:68" ht="20.100000000000001" customHeight="1">
      <c r="A48" s="19" t="s">
        <v>79</v>
      </c>
      <c r="B48" s="144" t="s">
        <v>80</v>
      </c>
      <c r="C48" s="30" t="s">
        <v>81</v>
      </c>
      <c r="D48" s="185">
        <f>#REF!</f>
        <v>0.16</v>
      </c>
      <c r="E48" s="185">
        <f t="shared" si="4"/>
        <v>0</v>
      </c>
      <c r="F48" s="185">
        <f t="shared" si="21"/>
        <v>0</v>
      </c>
      <c r="G48" s="185">
        <f t="shared" si="8"/>
        <v>0</v>
      </c>
      <c r="H48" s="185">
        <f t="shared" si="12"/>
        <v>0</v>
      </c>
      <c r="I48" s="185"/>
      <c r="J48" s="185"/>
      <c r="K48" s="185"/>
      <c r="L48" s="185"/>
      <c r="M48" s="185"/>
      <c r="N48" s="185"/>
      <c r="O48" s="185"/>
      <c r="P48" s="185"/>
      <c r="Q48" s="185"/>
      <c r="R48" s="185"/>
      <c r="S48" s="185"/>
      <c r="T48" s="185"/>
      <c r="U48" s="185"/>
      <c r="V48" s="185">
        <f t="shared" si="13"/>
        <v>0.16</v>
      </c>
      <c r="W48" s="185"/>
      <c r="X48" s="185"/>
      <c r="Y48" s="185"/>
      <c r="Z48" s="185"/>
      <c r="AA48" s="185"/>
      <c r="AB48" s="185"/>
      <c r="AC48" s="185"/>
      <c r="AD48" s="185"/>
      <c r="AE48" s="185">
        <f t="shared" si="27"/>
        <v>0</v>
      </c>
      <c r="AF48" s="185"/>
      <c r="AG48" s="185"/>
      <c r="AH48" s="185"/>
      <c r="AI48" s="185"/>
      <c r="AJ48" s="185"/>
      <c r="AK48" s="185"/>
      <c r="AL48" s="185"/>
      <c r="AM48" s="185"/>
      <c r="AN48" s="185"/>
      <c r="AO48" s="185"/>
      <c r="AP48" s="185"/>
      <c r="AQ48" s="185"/>
      <c r="AR48" s="185"/>
      <c r="AS48" s="185">
        <f>D48-BL48</f>
        <v>0.16</v>
      </c>
      <c r="AT48" s="185"/>
      <c r="AU48" s="185"/>
      <c r="AV48" s="185"/>
      <c r="AW48" s="185"/>
      <c r="AX48" s="185"/>
      <c r="AY48" s="185"/>
      <c r="AZ48" s="185"/>
      <c r="BA48" s="185"/>
      <c r="BB48" s="185"/>
      <c r="BC48" s="185"/>
      <c r="BD48" s="185"/>
      <c r="BE48" s="185"/>
      <c r="BF48" s="185"/>
      <c r="BG48" s="185"/>
      <c r="BH48" s="185">
        <f t="shared" si="22"/>
        <v>0</v>
      </c>
      <c r="BI48" s="185"/>
      <c r="BJ48" s="185"/>
      <c r="BK48" s="185"/>
      <c r="BL48" s="185">
        <f>E48+W48+X48+Y48+Z48+AA48+AB48+AC48+AD48+AQ48+AR48+AT48+AU48+AV48+AW48+AX48+AY48+AZ48+BA48+BB48+BC48+BD48+BE48+BF48+BG48+BH48</f>
        <v>0</v>
      </c>
      <c r="BM48" s="185">
        <f>AS68-BL48</f>
        <v>0</v>
      </c>
      <c r="BN48" s="185">
        <f t="shared" si="29"/>
        <v>0.16</v>
      </c>
      <c r="BP48" s="117"/>
    </row>
    <row r="49" spans="1:68" ht="20.100000000000001" customHeight="1">
      <c r="A49" s="19" t="s">
        <v>82</v>
      </c>
      <c r="B49" s="144" t="s">
        <v>83</v>
      </c>
      <c r="C49" s="30" t="s">
        <v>84</v>
      </c>
      <c r="D49" s="185">
        <f>#REF!</f>
        <v>16.100000000000001</v>
      </c>
      <c r="E49" s="185">
        <f t="shared" si="4"/>
        <v>0</v>
      </c>
      <c r="F49" s="185">
        <f t="shared" si="21"/>
        <v>0</v>
      </c>
      <c r="G49" s="185">
        <f t="shared" si="8"/>
        <v>0</v>
      </c>
      <c r="H49" s="185">
        <f t="shared" si="12"/>
        <v>0</v>
      </c>
      <c r="I49" s="185"/>
      <c r="J49" s="185"/>
      <c r="K49" s="185"/>
      <c r="L49" s="185"/>
      <c r="M49" s="185"/>
      <c r="N49" s="185"/>
      <c r="O49" s="185"/>
      <c r="P49" s="185"/>
      <c r="Q49" s="185"/>
      <c r="R49" s="185"/>
      <c r="S49" s="185"/>
      <c r="T49" s="185"/>
      <c r="U49" s="185"/>
      <c r="V49" s="185">
        <f t="shared" si="13"/>
        <v>16.100000000000001</v>
      </c>
      <c r="W49" s="185"/>
      <c r="X49" s="185"/>
      <c r="Y49" s="185"/>
      <c r="Z49" s="185"/>
      <c r="AA49" s="185"/>
      <c r="AB49" s="185"/>
      <c r="AC49" s="185"/>
      <c r="AD49" s="185"/>
      <c r="AE49" s="185">
        <f t="shared" si="27"/>
        <v>0.05</v>
      </c>
      <c r="AF49" s="185"/>
      <c r="AG49" s="185"/>
      <c r="AH49" s="185"/>
      <c r="AI49" s="185"/>
      <c r="AJ49" s="185"/>
      <c r="AK49" s="185"/>
      <c r="AL49" s="185"/>
      <c r="AM49" s="185">
        <v>0.05</v>
      </c>
      <c r="AN49" s="185"/>
      <c r="AO49" s="185"/>
      <c r="AP49" s="185"/>
      <c r="AQ49" s="185"/>
      <c r="AR49" s="185"/>
      <c r="AS49" s="185"/>
      <c r="AT49" s="185">
        <f>D49-BL49</f>
        <v>16.05</v>
      </c>
      <c r="AU49" s="185"/>
      <c r="AV49" s="185"/>
      <c r="AW49" s="185"/>
      <c r="AX49" s="185"/>
      <c r="AY49" s="185"/>
      <c r="AZ49" s="185"/>
      <c r="BA49" s="185"/>
      <c r="BB49" s="185"/>
      <c r="BC49" s="185"/>
      <c r="BD49" s="185"/>
      <c r="BE49" s="185"/>
      <c r="BF49" s="185"/>
      <c r="BG49" s="185"/>
      <c r="BH49" s="185">
        <f t="shared" si="22"/>
        <v>0</v>
      </c>
      <c r="BI49" s="185"/>
      <c r="BJ49" s="185"/>
      <c r="BK49" s="185"/>
      <c r="BL49" s="185">
        <f>E49+W49+X49+Y49+Z49+AA49+AB49+AC49+AD49+AE49+AQ49+AR49+AS49+AU49+AV49+AW49+AX49+AY49+AZ49+BA49+BB49+BC49+BD49+BE49+BF49+BG49+BH49</f>
        <v>0.05</v>
      </c>
      <c r="BM49" s="185">
        <f>AT68-BL49</f>
        <v>0.45</v>
      </c>
      <c r="BN49" s="185">
        <f t="shared" si="29"/>
        <v>16.55</v>
      </c>
      <c r="BP49" s="117"/>
    </row>
    <row r="50" spans="1:68" ht="20.100000000000001" customHeight="1">
      <c r="A50" s="19" t="s">
        <v>85</v>
      </c>
      <c r="B50" s="144" t="s">
        <v>86</v>
      </c>
      <c r="C50" s="30" t="s">
        <v>87</v>
      </c>
      <c r="D50" s="185"/>
      <c r="E50" s="185">
        <f t="shared" si="4"/>
        <v>0</v>
      </c>
      <c r="F50" s="185">
        <f t="shared" si="21"/>
        <v>0</v>
      </c>
      <c r="G50" s="185">
        <f t="shared" si="8"/>
        <v>0</v>
      </c>
      <c r="H50" s="185">
        <f t="shared" si="12"/>
        <v>0</v>
      </c>
      <c r="I50" s="185"/>
      <c r="J50" s="185"/>
      <c r="K50" s="185"/>
      <c r="L50" s="185"/>
      <c r="M50" s="185"/>
      <c r="N50" s="185"/>
      <c r="O50" s="185"/>
      <c r="P50" s="185"/>
      <c r="Q50" s="185"/>
      <c r="R50" s="185"/>
      <c r="S50" s="185"/>
      <c r="T50" s="185"/>
      <c r="U50" s="185"/>
      <c r="V50" s="185">
        <f t="shared" si="13"/>
        <v>0</v>
      </c>
      <c r="W50" s="185"/>
      <c r="X50" s="185"/>
      <c r="Y50" s="185"/>
      <c r="Z50" s="185"/>
      <c r="AA50" s="185"/>
      <c r="AB50" s="185"/>
      <c r="AC50" s="185"/>
      <c r="AD50" s="185"/>
      <c r="AE50" s="185">
        <f t="shared" si="27"/>
        <v>0</v>
      </c>
      <c r="AF50" s="185"/>
      <c r="AG50" s="185"/>
      <c r="AH50" s="185"/>
      <c r="AI50" s="185"/>
      <c r="AJ50" s="185"/>
      <c r="AK50" s="185"/>
      <c r="AL50" s="185"/>
      <c r="AM50" s="185"/>
      <c r="AN50" s="185"/>
      <c r="AO50" s="185"/>
      <c r="AP50" s="185"/>
      <c r="AQ50" s="185"/>
      <c r="AR50" s="185"/>
      <c r="AS50" s="185"/>
      <c r="AT50" s="185"/>
      <c r="AU50" s="185">
        <f>D50-BL50</f>
        <v>0</v>
      </c>
      <c r="AV50" s="185"/>
      <c r="AW50" s="185"/>
      <c r="AX50" s="185"/>
      <c r="AY50" s="185"/>
      <c r="AZ50" s="185"/>
      <c r="BA50" s="185"/>
      <c r="BB50" s="185"/>
      <c r="BC50" s="185"/>
      <c r="BD50" s="185"/>
      <c r="BE50" s="185"/>
      <c r="BF50" s="185"/>
      <c r="BG50" s="185"/>
      <c r="BH50" s="185">
        <f t="shared" si="22"/>
        <v>0</v>
      </c>
      <c r="BI50" s="185"/>
      <c r="BJ50" s="185"/>
      <c r="BK50" s="185"/>
      <c r="BL50" s="185">
        <f>E50+W50+X50+Y50+Z50+AA50+AB50+AC50+AD50+AE50+AQ50+AR50+AS50+AT50+AV50+AW50+AX50+AY50+AZ50+BA50+BB50+BC50+BD50+BE50+BF50+BG50+BH50</f>
        <v>0</v>
      </c>
      <c r="BM50" s="185">
        <f>AU68-BL50</f>
        <v>0</v>
      </c>
      <c r="BN50" s="185">
        <f t="shared" si="29"/>
        <v>0</v>
      </c>
      <c r="BP50" s="117"/>
    </row>
    <row r="51" spans="1:68" ht="20.100000000000001" customHeight="1">
      <c r="A51" s="19" t="s">
        <v>88</v>
      </c>
      <c r="B51" s="144" t="s">
        <v>89</v>
      </c>
      <c r="C51" s="30" t="s">
        <v>90</v>
      </c>
      <c r="D51" s="185">
        <f>#REF!</f>
        <v>0.65</v>
      </c>
      <c r="E51" s="185">
        <f t="shared" si="4"/>
        <v>0</v>
      </c>
      <c r="F51" s="185">
        <f t="shared" si="21"/>
        <v>0</v>
      </c>
      <c r="G51" s="185">
        <f t="shared" si="8"/>
        <v>0</v>
      </c>
      <c r="H51" s="185">
        <f t="shared" si="12"/>
        <v>0</v>
      </c>
      <c r="I51" s="185"/>
      <c r="J51" s="185"/>
      <c r="K51" s="185"/>
      <c r="L51" s="185"/>
      <c r="M51" s="185"/>
      <c r="N51" s="185"/>
      <c r="O51" s="185"/>
      <c r="P51" s="185"/>
      <c r="Q51" s="185"/>
      <c r="R51" s="185"/>
      <c r="S51" s="185"/>
      <c r="T51" s="185"/>
      <c r="U51" s="185"/>
      <c r="V51" s="185">
        <f t="shared" si="13"/>
        <v>0.65</v>
      </c>
      <c r="W51" s="185"/>
      <c r="X51" s="185"/>
      <c r="Y51" s="185"/>
      <c r="Z51" s="185"/>
      <c r="AA51" s="185"/>
      <c r="AB51" s="185"/>
      <c r="AC51" s="185"/>
      <c r="AD51" s="185"/>
      <c r="AE51" s="185">
        <f t="shared" si="27"/>
        <v>0</v>
      </c>
      <c r="AF51" s="185"/>
      <c r="AG51" s="185"/>
      <c r="AH51" s="185"/>
      <c r="AI51" s="185"/>
      <c r="AJ51" s="185"/>
      <c r="AK51" s="185"/>
      <c r="AL51" s="185"/>
      <c r="AM51" s="185"/>
      <c r="AN51" s="185"/>
      <c r="AO51" s="185"/>
      <c r="AP51" s="185"/>
      <c r="AQ51" s="185"/>
      <c r="AR51" s="185"/>
      <c r="AS51" s="185"/>
      <c r="AT51" s="185"/>
      <c r="AU51" s="185"/>
      <c r="AV51" s="185">
        <f>D51-BL51</f>
        <v>0.65</v>
      </c>
      <c r="AW51" s="185"/>
      <c r="AX51" s="185"/>
      <c r="AY51" s="185"/>
      <c r="AZ51" s="185"/>
      <c r="BA51" s="185"/>
      <c r="BB51" s="185"/>
      <c r="BC51" s="185"/>
      <c r="BD51" s="185"/>
      <c r="BE51" s="185"/>
      <c r="BF51" s="185"/>
      <c r="BG51" s="185"/>
      <c r="BH51" s="185">
        <f t="shared" si="22"/>
        <v>0</v>
      </c>
      <c r="BI51" s="185"/>
      <c r="BJ51" s="185"/>
      <c r="BK51" s="185"/>
      <c r="BL51" s="185">
        <f>E51+W51+X51+Y51+Z51+AA51+AB51+AC51+AD51+AE51+AQ51+AR51+AS51+AT51+AU51+AW51+AX51+AY51+AZ51+BA51+BB51+BC51+BD51+BE51+BF51+BG51+BH51</f>
        <v>0</v>
      </c>
      <c r="BM51" s="185">
        <f>AV68-BL51</f>
        <v>0</v>
      </c>
      <c r="BN51" s="185">
        <f t="shared" si="29"/>
        <v>0.65</v>
      </c>
      <c r="BP51" s="117"/>
    </row>
    <row r="52" spans="1:68" ht="20.100000000000001" customHeight="1">
      <c r="A52" s="19" t="s">
        <v>91</v>
      </c>
      <c r="B52" s="144" t="s">
        <v>489</v>
      </c>
      <c r="C52" s="30" t="s">
        <v>93</v>
      </c>
      <c r="D52" s="185"/>
      <c r="E52" s="185">
        <f t="shared" si="4"/>
        <v>0</v>
      </c>
      <c r="F52" s="185">
        <f t="shared" si="21"/>
        <v>0</v>
      </c>
      <c r="G52" s="185">
        <f t="shared" si="8"/>
        <v>0</v>
      </c>
      <c r="H52" s="185">
        <f t="shared" si="12"/>
        <v>0</v>
      </c>
      <c r="I52" s="185"/>
      <c r="J52" s="185"/>
      <c r="K52" s="185"/>
      <c r="L52" s="185"/>
      <c r="M52" s="185"/>
      <c r="N52" s="185"/>
      <c r="O52" s="185"/>
      <c r="P52" s="185"/>
      <c r="Q52" s="185"/>
      <c r="R52" s="185"/>
      <c r="S52" s="185"/>
      <c r="T52" s="185"/>
      <c r="U52" s="185"/>
      <c r="V52" s="185">
        <f t="shared" si="13"/>
        <v>0</v>
      </c>
      <c r="W52" s="185"/>
      <c r="X52" s="185"/>
      <c r="Y52" s="185"/>
      <c r="Z52" s="185"/>
      <c r="AA52" s="185"/>
      <c r="AB52" s="185"/>
      <c r="AC52" s="185"/>
      <c r="AD52" s="185"/>
      <c r="AE52" s="185">
        <f t="shared" si="27"/>
        <v>0</v>
      </c>
      <c r="AF52" s="185"/>
      <c r="AG52" s="185"/>
      <c r="AH52" s="185"/>
      <c r="AI52" s="185"/>
      <c r="AJ52" s="185"/>
      <c r="AK52" s="185"/>
      <c r="AL52" s="185"/>
      <c r="AM52" s="185"/>
      <c r="AN52" s="185"/>
      <c r="AO52" s="185"/>
      <c r="AP52" s="185"/>
      <c r="AQ52" s="185"/>
      <c r="AR52" s="185"/>
      <c r="AS52" s="185"/>
      <c r="AT52" s="185"/>
      <c r="AU52" s="185"/>
      <c r="AV52" s="185"/>
      <c r="AW52" s="185">
        <f>D52-BL52</f>
        <v>0</v>
      </c>
      <c r="AX52" s="185"/>
      <c r="AY52" s="185"/>
      <c r="AZ52" s="185"/>
      <c r="BA52" s="185"/>
      <c r="BB52" s="185"/>
      <c r="BC52" s="185"/>
      <c r="BD52" s="185"/>
      <c r="BE52" s="185"/>
      <c r="BF52" s="185"/>
      <c r="BG52" s="185"/>
      <c r="BH52" s="185">
        <f t="shared" si="22"/>
        <v>0</v>
      </c>
      <c r="BI52" s="185"/>
      <c r="BJ52" s="185"/>
      <c r="BK52" s="185"/>
      <c r="BL52" s="185">
        <f>E52+W52+X52+Y52+Z52+AA52+AB52+AC52+AD52+AE52+AQ52+AR52+AS52+AT52+AU52+AV52+AX52+AY52+AZ52+BA52+BB52+BC52+BD52+BE52+BF52+BG52+BH52</f>
        <v>0</v>
      </c>
      <c r="BM52" s="185">
        <f>AW68-BL52</f>
        <v>0</v>
      </c>
      <c r="BN52" s="185">
        <f t="shared" si="29"/>
        <v>0</v>
      </c>
      <c r="BP52" s="117"/>
    </row>
    <row r="53" spans="1:68" ht="20.100000000000001" customHeight="1">
      <c r="A53" s="19" t="s">
        <v>94</v>
      </c>
      <c r="B53" s="144" t="s">
        <v>95</v>
      </c>
      <c r="C53" s="30" t="s">
        <v>96</v>
      </c>
      <c r="D53" s="185"/>
      <c r="E53" s="185">
        <f t="shared" si="4"/>
        <v>0</v>
      </c>
      <c r="F53" s="185">
        <f t="shared" si="21"/>
        <v>0</v>
      </c>
      <c r="G53" s="185">
        <f t="shared" si="8"/>
        <v>0</v>
      </c>
      <c r="H53" s="185">
        <f t="shared" si="12"/>
        <v>0</v>
      </c>
      <c r="I53" s="185"/>
      <c r="J53" s="185"/>
      <c r="K53" s="185"/>
      <c r="L53" s="185"/>
      <c r="M53" s="185"/>
      <c r="N53" s="185"/>
      <c r="O53" s="185"/>
      <c r="P53" s="185"/>
      <c r="Q53" s="185"/>
      <c r="R53" s="185"/>
      <c r="S53" s="185"/>
      <c r="T53" s="185"/>
      <c r="U53" s="185"/>
      <c r="V53" s="185">
        <f t="shared" si="13"/>
        <v>0</v>
      </c>
      <c r="W53" s="185"/>
      <c r="X53" s="185"/>
      <c r="Y53" s="185"/>
      <c r="Z53" s="185"/>
      <c r="AA53" s="185"/>
      <c r="AB53" s="185"/>
      <c r="AC53" s="185"/>
      <c r="AD53" s="185"/>
      <c r="AE53" s="185">
        <f t="shared" si="27"/>
        <v>0</v>
      </c>
      <c r="AF53" s="185"/>
      <c r="AG53" s="185"/>
      <c r="AH53" s="185"/>
      <c r="AI53" s="185"/>
      <c r="AJ53" s="185"/>
      <c r="AK53" s="185"/>
      <c r="AL53" s="185"/>
      <c r="AM53" s="185"/>
      <c r="AN53" s="185"/>
      <c r="AO53" s="185"/>
      <c r="AP53" s="185"/>
      <c r="AQ53" s="185"/>
      <c r="AR53" s="185"/>
      <c r="AS53" s="185"/>
      <c r="AT53" s="185"/>
      <c r="AU53" s="185"/>
      <c r="AV53" s="185"/>
      <c r="AW53" s="185"/>
      <c r="AX53" s="185">
        <f>D53-BL53</f>
        <v>0</v>
      </c>
      <c r="AY53" s="185"/>
      <c r="AZ53" s="185"/>
      <c r="BA53" s="185"/>
      <c r="BB53" s="185"/>
      <c r="BC53" s="185"/>
      <c r="BD53" s="185"/>
      <c r="BE53" s="185"/>
      <c r="BF53" s="185"/>
      <c r="BG53" s="185"/>
      <c r="BH53" s="185">
        <f t="shared" si="22"/>
        <v>0</v>
      </c>
      <c r="BI53" s="185"/>
      <c r="BJ53" s="185"/>
      <c r="BK53" s="185"/>
      <c r="BL53" s="185">
        <f>E53+W53+X53+Y53+Z53+AA53+AB53+AC53+AD53+AE53+AQ53+AR53+AS53+AT53+AU53+AV53+AW53+AY53+AZ53+BA53+BB53+BC53+BD53+BE53+BF53+BG53+BH53</f>
        <v>0</v>
      </c>
      <c r="BM53" s="185">
        <f>AX68-BL53</f>
        <v>0</v>
      </c>
      <c r="BN53" s="185">
        <f t="shared" si="29"/>
        <v>0</v>
      </c>
      <c r="BP53" s="117"/>
    </row>
    <row r="54" spans="1:68" ht="20.100000000000001" customHeight="1">
      <c r="A54" s="19" t="s">
        <v>97</v>
      </c>
      <c r="B54" s="144" t="s">
        <v>98</v>
      </c>
      <c r="C54" s="30" t="s">
        <v>99</v>
      </c>
      <c r="D54" s="185"/>
      <c r="E54" s="185">
        <f t="shared" si="4"/>
        <v>0</v>
      </c>
      <c r="F54" s="185">
        <f t="shared" si="21"/>
        <v>0</v>
      </c>
      <c r="G54" s="185">
        <f t="shared" si="8"/>
        <v>0</v>
      </c>
      <c r="H54" s="185">
        <f t="shared" si="12"/>
        <v>0</v>
      </c>
      <c r="I54" s="185"/>
      <c r="J54" s="185"/>
      <c r="K54" s="185"/>
      <c r="L54" s="185"/>
      <c r="M54" s="185"/>
      <c r="N54" s="185"/>
      <c r="O54" s="185"/>
      <c r="P54" s="185"/>
      <c r="Q54" s="185"/>
      <c r="R54" s="185"/>
      <c r="S54" s="185"/>
      <c r="T54" s="185"/>
      <c r="U54" s="185"/>
      <c r="V54" s="185">
        <f t="shared" si="13"/>
        <v>0</v>
      </c>
      <c r="W54" s="185"/>
      <c r="X54" s="185"/>
      <c r="Y54" s="185"/>
      <c r="Z54" s="185"/>
      <c r="AA54" s="185"/>
      <c r="AB54" s="185"/>
      <c r="AC54" s="185"/>
      <c r="AD54" s="185"/>
      <c r="AE54" s="185">
        <f t="shared" si="27"/>
        <v>0</v>
      </c>
      <c r="AF54" s="185"/>
      <c r="AG54" s="185"/>
      <c r="AH54" s="185"/>
      <c r="AI54" s="185"/>
      <c r="AJ54" s="185"/>
      <c r="AK54" s="185"/>
      <c r="AL54" s="185"/>
      <c r="AM54" s="185"/>
      <c r="AN54" s="185"/>
      <c r="AO54" s="185"/>
      <c r="AP54" s="185"/>
      <c r="AQ54" s="185"/>
      <c r="AR54" s="185"/>
      <c r="AS54" s="185"/>
      <c r="AT54" s="185"/>
      <c r="AU54" s="185"/>
      <c r="AV54" s="185"/>
      <c r="AW54" s="185"/>
      <c r="AX54" s="185"/>
      <c r="AY54" s="185">
        <f>D54-BL54</f>
        <v>0</v>
      </c>
      <c r="AZ54" s="185"/>
      <c r="BA54" s="185"/>
      <c r="BB54" s="185"/>
      <c r="BC54" s="185"/>
      <c r="BD54" s="185"/>
      <c r="BE54" s="185"/>
      <c r="BF54" s="185"/>
      <c r="BG54" s="185"/>
      <c r="BH54" s="185">
        <f t="shared" si="22"/>
        <v>0</v>
      </c>
      <c r="BI54" s="185"/>
      <c r="BJ54" s="185"/>
      <c r="BK54" s="185"/>
      <c r="BL54" s="185">
        <f>E54+W54+X54+Y54+Z54+AA54+AB54+AC54+AD54+AE54+AQ54+AR54+AS54+AT54+AU54+AV54+AW54+AX54+AZ54+BA54+BB54+BC54+BD54+BE54+BF54+BG54+BH54</f>
        <v>0</v>
      </c>
      <c r="BM54" s="185">
        <f>AY68-BL54</f>
        <v>0</v>
      </c>
      <c r="BN54" s="185">
        <f t="shared" si="29"/>
        <v>0</v>
      </c>
      <c r="BP54" s="117"/>
    </row>
    <row r="55" spans="1:68" ht="33" customHeight="1">
      <c r="A55" s="19" t="s">
        <v>100</v>
      </c>
      <c r="B55" s="144" t="s">
        <v>490</v>
      </c>
      <c r="C55" s="30" t="s">
        <v>101</v>
      </c>
      <c r="D55" s="185">
        <f>#REF!</f>
        <v>0.52</v>
      </c>
      <c r="E55" s="185">
        <f t="shared" si="4"/>
        <v>0</v>
      </c>
      <c r="F55" s="185">
        <f t="shared" si="21"/>
        <v>0</v>
      </c>
      <c r="G55" s="185">
        <f t="shared" si="8"/>
        <v>0</v>
      </c>
      <c r="H55" s="185">
        <f t="shared" si="12"/>
        <v>0</v>
      </c>
      <c r="I55" s="185"/>
      <c r="J55" s="185"/>
      <c r="K55" s="185"/>
      <c r="L55" s="185"/>
      <c r="M55" s="185"/>
      <c r="N55" s="185"/>
      <c r="O55" s="185"/>
      <c r="P55" s="185"/>
      <c r="Q55" s="185"/>
      <c r="R55" s="185"/>
      <c r="S55" s="185"/>
      <c r="T55" s="185"/>
      <c r="U55" s="185"/>
      <c r="V55" s="185">
        <f t="shared" si="13"/>
        <v>0.52</v>
      </c>
      <c r="W55" s="185"/>
      <c r="X55" s="185"/>
      <c r="Y55" s="185"/>
      <c r="Z55" s="185"/>
      <c r="AA55" s="185"/>
      <c r="AB55" s="185"/>
      <c r="AC55" s="185"/>
      <c r="AD55" s="185"/>
      <c r="AE55" s="185">
        <f t="shared" si="27"/>
        <v>0</v>
      </c>
      <c r="AF55" s="185"/>
      <c r="AG55" s="185"/>
      <c r="AH55" s="185"/>
      <c r="AI55" s="185"/>
      <c r="AJ55" s="185"/>
      <c r="AK55" s="185"/>
      <c r="AL55" s="185"/>
      <c r="AM55" s="185"/>
      <c r="AN55" s="185"/>
      <c r="AO55" s="185"/>
      <c r="AP55" s="185"/>
      <c r="AQ55" s="185"/>
      <c r="AR55" s="185"/>
      <c r="AS55" s="185"/>
      <c r="AT55" s="185"/>
      <c r="AU55" s="185"/>
      <c r="AV55" s="185"/>
      <c r="AW55" s="185"/>
      <c r="AX55" s="185"/>
      <c r="AY55" s="185"/>
      <c r="AZ55" s="185">
        <f>D55-BL55</f>
        <v>0.52</v>
      </c>
      <c r="BA55" s="185"/>
      <c r="BB55" s="185"/>
      <c r="BC55" s="185"/>
      <c r="BD55" s="185"/>
      <c r="BE55" s="185"/>
      <c r="BF55" s="185"/>
      <c r="BG55" s="185"/>
      <c r="BH55" s="185">
        <f t="shared" si="22"/>
        <v>0</v>
      </c>
      <c r="BI55" s="185"/>
      <c r="BJ55" s="185"/>
      <c r="BK55" s="185"/>
      <c r="BL55" s="185">
        <f>E55+W55+X55+Y55+Z55+AA55+AB55+AC55+AD55+AE55+AQ55+AR55+AS55+AT55+AU55+AV55+AW55+AX55+AY55+BA55+BB55+BC55+BD55+BE55+BF55+BG55+BH55</f>
        <v>0</v>
      </c>
      <c r="BM55" s="185">
        <f>AZ68-BL55</f>
        <v>0</v>
      </c>
      <c r="BN55" s="185">
        <f t="shared" si="29"/>
        <v>0.52</v>
      </c>
      <c r="BP55" s="117"/>
    </row>
    <row r="56" spans="1:68" ht="20.100000000000001" customHeight="1">
      <c r="A56" s="19" t="s">
        <v>102</v>
      </c>
      <c r="B56" s="144" t="s">
        <v>103</v>
      </c>
      <c r="C56" s="30" t="s">
        <v>104</v>
      </c>
      <c r="D56" s="185"/>
      <c r="E56" s="185">
        <f t="shared" si="4"/>
        <v>0</v>
      </c>
      <c r="F56" s="185">
        <f t="shared" si="21"/>
        <v>0</v>
      </c>
      <c r="G56" s="185">
        <f t="shared" si="8"/>
        <v>0</v>
      </c>
      <c r="H56" s="185">
        <f t="shared" si="12"/>
        <v>0</v>
      </c>
      <c r="I56" s="185"/>
      <c r="J56" s="185"/>
      <c r="K56" s="185"/>
      <c r="L56" s="185"/>
      <c r="M56" s="185"/>
      <c r="N56" s="185"/>
      <c r="O56" s="185"/>
      <c r="P56" s="185"/>
      <c r="Q56" s="185"/>
      <c r="R56" s="185"/>
      <c r="S56" s="185"/>
      <c r="T56" s="185"/>
      <c r="U56" s="185"/>
      <c r="V56" s="185">
        <f t="shared" si="13"/>
        <v>0</v>
      </c>
      <c r="W56" s="185"/>
      <c r="X56" s="185"/>
      <c r="Y56" s="185"/>
      <c r="Z56" s="185"/>
      <c r="AA56" s="185"/>
      <c r="AB56" s="185"/>
      <c r="AC56" s="185"/>
      <c r="AD56" s="185"/>
      <c r="AE56" s="185">
        <f t="shared" si="27"/>
        <v>0</v>
      </c>
      <c r="AF56" s="185"/>
      <c r="AG56" s="185"/>
      <c r="AH56" s="185"/>
      <c r="AI56" s="185"/>
      <c r="AJ56" s="185"/>
      <c r="AK56" s="185"/>
      <c r="AL56" s="185"/>
      <c r="AM56" s="185"/>
      <c r="AN56" s="185"/>
      <c r="AO56" s="185"/>
      <c r="AP56" s="185"/>
      <c r="AQ56" s="185"/>
      <c r="AR56" s="185"/>
      <c r="AS56" s="185"/>
      <c r="AT56" s="185"/>
      <c r="AU56" s="185"/>
      <c r="AV56" s="185"/>
      <c r="AW56" s="185"/>
      <c r="AX56" s="185"/>
      <c r="AY56" s="185"/>
      <c r="AZ56" s="185"/>
      <c r="BA56" s="185">
        <f>D56-BL56</f>
        <v>0</v>
      </c>
      <c r="BB56" s="185"/>
      <c r="BC56" s="185"/>
      <c r="BD56" s="185"/>
      <c r="BE56" s="185"/>
      <c r="BF56" s="185"/>
      <c r="BG56" s="185"/>
      <c r="BH56" s="185">
        <f t="shared" si="22"/>
        <v>0</v>
      </c>
      <c r="BI56" s="185"/>
      <c r="BJ56" s="185"/>
      <c r="BK56" s="185"/>
      <c r="BL56" s="185">
        <f>E56+W56+X56+Y56+Z56+AA56+AB56+AC56+AD56+AE56+AQ56+AR56+AS56+AT56+AU56+AV56+AW56+AX56+AY56+AZ56+BB56+BC56+BD56+BE56+BF56+BG56+BH56</f>
        <v>0</v>
      </c>
      <c r="BM56" s="185">
        <f>BA68-BL56</f>
        <v>0</v>
      </c>
      <c r="BN56" s="185">
        <f t="shared" si="29"/>
        <v>0</v>
      </c>
      <c r="BP56" s="117"/>
    </row>
    <row r="57" spans="1:68" ht="20.100000000000001" customHeight="1">
      <c r="A57" s="19" t="s">
        <v>105</v>
      </c>
      <c r="B57" s="144" t="s">
        <v>106</v>
      </c>
      <c r="C57" s="30" t="s">
        <v>107</v>
      </c>
      <c r="D57" s="185">
        <f>#REF!</f>
        <v>0.34</v>
      </c>
      <c r="E57" s="185">
        <f t="shared" si="4"/>
        <v>0</v>
      </c>
      <c r="F57" s="185">
        <f t="shared" si="21"/>
        <v>0</v>
      </c>
      <c r="G57" s="185">
        <f t="shared" si="8"/>
        <v>0</v>
      </c>
      <c r="H57" s="185">
        <f t="shared" si="12"/>
        <v>0</v>
      </c>
      <c r="I57" s="185"/>
      <c r="J57" s="185"/>
      <c r="K57" s="185"/>
      <c r="L57" s="185"/>
      <c r="M57" s="185"/>
      <c r="N57" s="185"/>
      <c r="O57" s="185"/>
      <c r="P57" s="185"/>
      <c r="Q57" s="185"/>
      <c r="R57" s="185"/>
      <c r="S57" s="185"/>
      <c r="T57" s="185"/>
      <c r="U57" s="185"/>
      <c r="V57" s="185">
        <f t="shared" si="13"/>
        <v>0.34</v>
      </c>
      <c r="W57" s="185"/>
      <c r="X57" s="185"/>
      <c r="Y57" s="185"/>
      <c r="Z57" s="185"/>
      <c r="AA57" s="185"/>
      <c r="AB57" s="185"/>
      <c r="AC57" s="185"/>
      <c r="AD57" s="185"/>
      <c r="AE57" s="185">
        <f>SUM(AF57:AP57)</f>
        <v>0</v>
      </c>
      <c r="AF57" s="185"/>
      <c r="AG57" s="185"/>
      <c r="AH57" s="185"/>
      <c r="AI57" s="185"/>
      <c r="AJ57" s="185"/>
      <c r="AK57" s="185"/>
      <c r="AL57" s="185"/>
      <c r="AM57" s="185"/>
      <c r="AN57" s="185"/>
      <c r="AO57" s="185"/>
      <c r="AP57" s="185"/>
      <c r="AQ57" s="185"/>
      <c r="AR57" s="185"/>
      <c r="AS57" s="185"/>
      <c r="AT57" s="185"/>
      <c r="AU57" s="185"/>
      <c r="AV57" s="185"/>
      <c r="AW57" s="185"/>
      <c r="AX57" s="185"/>
      <c r="AY57" s="185"/>
      <c r="AZ57" s="185"/>
      <c r="BA57" s="185"/>
      <c r="BB57" s="185">
        <f>D57-BL57</f>
        <v>0.34</v>
      </c>
      <c r="BC57" s="185"/>
      <c r="BD57" s="185"/>
      <c r="BE57" s="185"/>
      <c r="BF57" s="185"/>
      <c r="BG57" s="185"/>
      <c r="BH57" s="185">
        <f t="shared" si="22"/>
        <v>0</v>
      </c>
      <c r="BI57" s="185"/>
      <c r="BJ57" s="185"/>
      <c r="BK57" s="185"/>
      <c r="BL57" s="185">
        <f>E57+W57+X57+Y57+Z57+AA57+AB57+AC57+AD57+AE57+AQ57+AR57+AS57+AT57+AU57+AV57+AW57+AX57+AY57+AZ57+BA57+BC57+BD57+BE57+BF57+BG57+BH57</f>
        <v>0</v>
      </c>
      <c r="BM57" s="185">
        <f>BB68-BL57</f>
        <v>0</v>
      </c>
      <c r="BN57" s="185">
        <f t="shared" si="29"/>
        <v>0.34</v>
      </c>
      <c r="BP57" s="117"/>
    </row>
    <row r="58" spans="1:68" ht="20.100000000000001" customHeight="1">
      <c r="A58" s="19" t="s">
        <v>108</v>
      </c>
      <c r="B58" s="144" t="s">
        <v>491</v>
      </c>
      <c r="C58" s="30" t="s">
        <v>110</v>
      </c>
      <c r="D58" s="185">
        <f>#REF!</f>
        <v>0.19</v>
      </c>
      <c r="E58" s="185">
        <f t="shared" si="4"/>
        <v>0</v>
      </c>
      <c r="F58" s="185">
        <f t="shared" si="21"/>
        <v>0</v>
      </c>
      <c r="G58" s="185">
        <f t="shared" si="8"/>
        <v>0</v>
      </c>
      <c r="H58" s="185">
        <f t="shared" si="12"/>
        <v>0</v>
      </c>
      <c r="I58" s="185"/>
      <c r="J58" s="185"/>
      <c r="K58" s="185"/>
      <c r="L58" s="185"/>
      <c r="M58" s="185"/>
      <c r="N58" s="185"/>
      <c r="O58" s="185"/>
      <c r="P58" s="185"/>
      <c r="Q58" s="185"/>
      <c r="R58" s="185"/>
      <c r="S58" s="185"/>
      <c r="T58" s="185"/>
      <c r="U58" s="185"/>
      <c r="V58" s="185">
        <f t="shared" si="13"/>
        <v>0.19</v>
      </c>
      <c r="W58" s="185"/>
      <c r="X58" s="185"/>
      <c r="Y58" s="185"/>
      <c r="Z58" s="185"/>
      <c r="AA58" s="185"/>
      <c r="AB58" s="185"/>
      <c r="AC58" s="185"/>
      <c r="AD58" s="185"/>
      <c r="AE58" s="185">
        <f t="shared" si="27"/>
        <v>0</v>
      </c>
      <c r="AF58" s="185"/>
      <c r="AG58" s="185"/>
      <c r="AH58" s="185"/>
      <c r="AI58" s="185"/>
      <c r="AJ58" s="185"/>
      <c r="AK58" s="185"/>
      <c r="AL58" s="185"/>
      <c r="AM58" s="185"/>
      <c r="AN58" s="185"/>
      <c r="AO58" s="185"/>
      <c r="AP58" s="185"/>
      <c r="AQ58" s="185"/>
      <c r="AR58" s="185"/>
      <c r="AS58" s="185"/>
      <c r="AT58" s="185"/>
      <c r="AU58" s="185"/>
      <c r="AV58" s="185"/>
      <c r="AW58" s="185"/>
      <c r="AX58" s="185"/>
      <c r="AY58" s="185"/>
      <c r="AZ58" s="185"/>
      <c r="BA58" s="185"/>
      <c r="BB58" s="185"/>
      <c r="BC58" s="185">
        <f>D58-BL58</f>
        <v>0.19</v>
      </c>
      <c r="BD58" s="185"/>
      <c r="BE58" s="185"/>
      <c r="BF58" s="185"/>
      <c r="BG58" s="185"/>
      <c r="BH58" s="185">
        <f t="shared" si="22"/>
        <v>0</v>
      </c>
      <c r="BI58" s="185"/>
      <c r="BJ58" s="185"/>
      <c r="BK58" s="185"/>
      <c r="BL58" s="185">
        <f>E58+W58+X58+Y58+Z58+AA58+AB58+AC58+AD58+AE58+AQ58+AR58+AS58+AT58+AU58+AV58+AW58+AX58+AY58+AZ58+BA58+BB58+BD58+BE58+BF58+BG58+BH58</f>
        <v>0</v>
      </c>
      <c r="BM58" s="185">
        <f>BC68-BL58</f>
        <v>0</v>
      </c>
      <c r="BN58" s="185">
        <f t="shared" si="29"/>
        <v>0.19</v>
      </c>
      <c r="BP58" s="117"/>
    </row>
    <row r="59" spans="1:68" ht="20.100000000000001" customHeight="1">
      <c r="A59" s="19" t="s">
        <v>111</v>
      </c>
      <c r="B59" s="144" t="s">
        <v>112</v>
      </c>
      <c r="C59" s="30" t="s">
        <v>113</v>
      </c>
      <c r="D59" s="185">
        <f>#REF!</f>
        <v>0.08</v>
      </c>
      <c r="E59" s="185">
        <f t="shared" si="4"/>
        <v>0</v>
      </c>
      <c r="F59" s="185">
        <f t="shared" si="21"/>
        <v>0</v>
      </c>
      <c r="G59" s="185">
        <f t="shared" si="8"/>
        <v>0</v>
      </c>
      <c r="H59" s="185">
        <f t="shared" si="12"/>
        <v>0</v>
      </c>
      <c r="I59" s="185"/>
      <c r="J59" s="185"/>
      <c r="K59" s="185"/>
      <c r="L59" s="185"/>
      <c r="M59" s="185"/>
      <c r="N59" s="185"/>
      <c r="O59" s="185"/>
      <c r="P59" s="185"/>
      <c r="Q59" s="185"/>
      <c r="R59" s="185"/>
      <c r="S59" s="185"/>
      <c r="T59" s="185"/>
      <c r="U59" s="185"/>
      <c r="V59" s="185">
        <f t="shared" si="13"/>
        <v>0.08</v>
      </c>
      <c r="W59" s="185"/>
      <c r="X59" s="185"/>
      <c r="Y59" s="185"/>
      <c r="Z59" s="185"/>
      <c r="AA59" s="185"/>
      <c r="AB59" s="185"/>
      <c r="AC59" s="185"/>
      <c r="AD59" s="185"/>
      <c r="AE59" s="185">
        <f t="shared" si="27"/>
        <v>0</v>
      </c>
      <c r="AF59" s="185"/>
      <c r="AG59" s="185"/>
      <c r="AH59" s="185"/>
      <c r="AI59" s="185"/>
      <c r="AJ59" s="185"/>
      <c r="AK59" s="185"/>
      <c r="AL59" s="185"/>
      <c r="AM59" s="185"/>
      <c r="AN59" s="185"/>
      <c r="AO59" s="185"/>
      <c r="AP59" s="185"/>
      <c r="AQ59" s="185"/>
      <c r="AR59" s="185"/>
      <c r="AS59" s="185"/>
      <c r="AT59" s="185"/>
      <c r="AU59" s="185"/>
      <c r="AV59" s="185"/>
      <c r="AW59" s="185"/>
      <c r="AX59" s="185"/>
      <c r="AY59" s="185"/>
      <c r="AZ59" s="185"/>
      <c r="BA59" s="185"/>
      <c r="BB59" s="185"/>
      <c r="BC59" s="185"/>
      <c r="BD59" s="185">
        <f>D59-BL59</f>
        <v>0.08</v>
      </c>
      <c r="BE59" s="185"/>
      <c r="BF59" s="185"/>
      <c r="BG59" s="185"/>
      <c r="BH59" s="185">
        <f t="shared" si="22"/>
        <v>0</v>
      </c>
      <c r="BI59" s="185"/>
      <c r="BJ59" s="185"/>
      <c r="BK59" s="185"/>
      <c r="BL59" s="185">
        <f>E59+W59+X59+Y59+Z59+AA59+AB59+AC59+AD59+AE59+AQ59+AR59+AS59+AT59+AU59+AV59+AW59+AX59+AY59+AZ59+BA59+BB59+BC59+BE59+BF59+BG59+BH59</f>
        <v>0</v>
      </c>
      <c r="BM59" s="185">
        <f>BD68-BL59</f>
        <v>0</v>
      </c>
      <c r="BN59" s="185">
        <f t="shared" si="29"/>
        <v>0.08</v>
      </c>
      <c r="BP59" s="117"/>
    </row>
    <row r="60" spans="1:68" ht="20.100000000000001" customHeight="1">
      <c r="A60" s="19" t="s">
        <v>114</v>
      </c>
      <c r="B60" s="144" t="s">
        <v>115</v>
      </c>
      <c r="C60" s="30" t="s">
        <v>116</v>
      </c>
      <c r="D60" s="185">
        <f>#REF!</f>
        <v>82.93</v>
      </c>
      <c r="E60" s="185">
        <f t="shared" si="4"/>
        <v>0</v>
      </c>
      <c r="F60" s="185">
        <f t="shared" si="21"/>
        <v>0</v>
      </c>
      <c r="G60" s="185">
        <f t="shared" si="8"/>
        <v>0</v>
      </c>
      <c r="H60" s="185">
        <f t="shared" si="12"/>
        <v>0</v>
      </c>
      <c r="I60" s="185"/>
      <c r="J60" s="185"/>
      <c r="K60" s="185"/>
      <c r="L60" s="185"/>
      <c r="M60" s="185"/>
      <c r="N60" s="185"/>
      <c r="O60" s="185"/>
      <c r="P60" s="185"/>
      <c r="Q60" s="185"/>
      <c r="R60" s="185"/>
      <c r="S60" s="185"/>
      <c r="T60" s="185"/>
      <c r="U60" s="185"/>
      <c r="V60" s="185">
        <f t="shared" si="13"/>
        <v>82.93</v>
      </c>
      <c r="W60" s="185"/>
      <c r="X60" s="185"/>
      <c r="Y60" s="185"/>
      <c r="Z60" s="185"/>
      <c r="AA60" s="185"/>
      <c r="AB60" s="185"/>
      <c r="AC60" s="185"/>
      <c r="AD60" s="185"/>
      <c r="AE60" s="185">
        <f t="shared" si="27"/>
        <v>0</v>
      </c>
      <c r="AF60" s="185"/>
      <c r="AG60" s="185"/>
      <c r="AH60" s="185"/>
      <c r="AI60" s="185"/>
      <c r="AJ60" s="185"/>
      <c r="AK60" s="185"/>
      <c r="AL60" s="185"/>
      <c r="AM60" s="185"/>
      <c r="AN60" s="185"/>
      <c r="AO60" s="185"/>
      <c r="AP60" s="185"/>
      <c r="AQ60" s="185"/>
      <c r="AR60" s="185"/>
      <c r="AS60" s="185"/>
      <c r="AT60" s="185"/>
      <c r="AU60" s="185"/>
      <c r="AV60" s="185"/>
      <c r="AW60" s="185"/>
      <c r="AX60" s="185"/>
      <c r="AY60" s="185"/>
      <c r="AZ60" s="185"/>
      <c r="BA60" s="185"/>
      <c r="BB60" s="185"/>
      <c r="BC60" s="185"/>
      <c r="BD60" s="185"/>
      <c r="BE60" s="185">
        <f>D60-BL60</f>
        <v>82.93</v>
      </c>
      <c r="BF60" s="185"/>
      <c r="BG60" s="185"/>
      <c r="BH60" s="185">
        <f t="shared" si="22"/>
        <v>0</v>
      </c>
      <c r="BI60" s="185"/>
      <c r="BJ60" s="185"/>
      <c r="BK60" s="185"/>
      <c r="BL60" s="185">
        <f>E60+W60+X60+Y60+Z60+AA60+AB60+AC60+AD60+AE60+AQ60+AR60+AS60+AT60+AU60+AV60+AW60+AX60+AY60+AZ60+BA60+BB60+BC60+BD60+BF60+BG60+BH60</f>
        <v>0</v>
      </c>
      <c r="BM60" s="185">
        <f>BE68-BL60</f>
        <v>0</v>
      </c>
      <c r="BN60" s="185">
        <f t="shared" si="29"/>
        <v>82.93</v>
      </c>
      <c r="BP60" s="117"/>
    </row>
    <row r="61" spans="1:68" ht="20.100000000000001" customHeight="1">
      <c r="A61" s="19" t="s">
        <v>117</v>
      </c>
      <c r="B61" s="144" t="s">
        <v>118</v>
      </c>
      <c r="C61" s="30" t="s">
        <v>119</v>
      </c>
      <c r="D61" s="185">
        <f>#REF!</f>
        <v>27.11</v>
      </c>
      <c r="E61" s="185">
        <f t="shared" si="4"/>
        <v>0</v>
      </c>
      <c r="F61" s="185">
        <f t="shared" si="21"/>
        <v>0</v>
      </c>
      <c r="G61" s="185">
        <f t="shared" si="8"/>
        <v>0</v>
      </c>
      <c r="H61" s="185">
        <f t="shared" si="12"/>
        <v>0</v>
      </c>
      <c r="I61" s="185"/>
      <c r="J61" s="185"/>
      <c r="K61" s="185"/>
      <c r="L61" s="185"/>
      <c r="M61" s="185"/>
      <c r="N61" s="185"/>
      <c r="O61" s="185"/>
      <c r="P61" s="185"/>
      <c r="Q61" s="185"/>
      <c r="R61" s="185"/>
      <c r="S61" s="185"/>
      <c r="T61" s="185"/>
      <c r="U61" s="185"/>
      <c r="V61" s="185">
        <f t="shared" si="13"/>
        <v>27.11</v>
      </c>
      <c r="W61" s="185"/>
      <c r="X61" s="185"/>
      <c r="Y61" s="185"/>
      <c r="Z61" s="185"/>
      <c r="AA61" s="185"/>
      <c r="AB61" s="185"/>
      <c r="AC61" s="185"/>
      <c r="AD61" s="185"/>
      <c r="AE61" s="185">
        <f t="shared" si="27"/>
        <v>0</v>
      </c>
      <c r="AF61" s="185"/>
      <c r="AG61" s="185"/>
      <c r="AH61" s="185"/>
      <c r="AI61" s="185"/>
      <c r="AJ61" s="185"/>
      <c r="AK61" s="185"/>
      <c r="AL61" s="185"/>
      <c r="AM61" s="185"/>
      <c r="AN61" s="185"/>
      <c r="AO61" s="185"/>
      <c r="AP61" s="185"/>
      <c r="AQ61" s="185"/>
      <c r="AR61" s="185"/>
      <c r="AS61" s="185"/>
      <c r="AT61" s="185"/>
      <c r="AU61" s="185"/>
      <c r="AV61" s="185"/>
      <c r="AW61" s="185"/>
      <c r="AX61" s="185"/>
      <c r="AY61" s="185"/>
      <c r="AZ61" s="185"/>
      <c r="BA61" s="185"/>
      <c r="BB61" s="185"/>
      <c r="BC61" s="185"/>
      <c r="BD61" s="185"/>
      <c r="BE61" s="185"/>
      <c r="BF61" s="185">
        <f>D61-BL61</f>
        <v>27.11</v>
      </c>
      <c r="BG61" s="185"/>
      <c r="BH61" s="185">
        <f t="shared" si="22"/>
        <v>0</v>
      </c>
      <c r="BI61" s="185"/>
      <c r="BJ61" s="185"/>
      <c r="BK61" s="185"/>
      <c r="BL61" s="185">
        <f>E61+W61+X61+Y61+Z61+AA61+AB61+AC61+AD61+AE61+AQ61+AR61+AS61+AT61+AU61+AV61+AW61+AX61+AY61+AZ61+BA61+BB61+BC61+BD61+BE61+BG61+BH61</f>
        <v>0</v>
      </c>
      <c r="BM61" s="185">
        <f>BF68-BL61</f>
        <v>0</v>
      </c>
      <c r="BN61" s="185">
        <f t="shared" si="29"/>
        <v>27.11</v>
      </c>
      <c r="BP61" s="117"/>
    </row>
    <row r="62" spans="1:68" ht="20.100000000000001" customHeight="1">
      <c r="A62" s="19" t="s">
        <v>120</v>
      </c>
      <c r="B62" s="144" t="s">
        <v>121</v>
      </c>
      <c r="C62" s="30" t="s">
        <v>122</v>
      </c>
      <c r="D62" s="185"/>
      <c r="E62" s="185">
        <f t="shared" si="4"/>
        <v>0</v>
      </c>
      <c r="F62" s="185">
        <f t="shared" si="21"/>
        <v>0</v>
      </c>
      <c r="G62" s="185">
        <f t="shared" si="8"/>
        <v>0</v>
      </c>
      <c r="H62" s="185">
        <f t="shared" si="12"/>
        <v>0</v>
      </c>
      <c r="I62" s="185"/>
      <c r="J62" s="185"/>
      <c r="K62" s="185"/>
      <c r="L62" s="185"/>
      <c r="M62" s="185"/>
      <c r="N62" s="185"/>
      <c r="O62" s="185"/>
      <c r="P62" s="185"/>
      <c r="Q62" s="185"/>
      <c r="R62" s="185"/>
      <c r="S62" s="185"/>
      <c r="T62" s="185"/>
      <c r="U62" s="185"/>
      <c r="V62" s="185">
        <f t="shared" si="13"/>
        <v>0</v>
      </c>
      <c r="W62" s="185"/>
      <c r="X62" s="185"/>
      <c r="Y62" s="185"/>
      <c r="Z62" s="185"/>
      <c r="AA62" s="185"/>
      <c r="AB62" s="185"/>
      <c r="AC62" s="185"/>
      <c r="AD62" s="185"/>
      <c r="AE62" s="185">
        <f t="shared" si="27"/>
        <v>0</v>
      </c>
      <c r="AF62" s="185"/>
      <c r="AG62" s="185"/>
      <c r="AH62" s="185"/>
      <c r="AI62" s="185"/>
      <c r="AJ62" s="185"/>
      <c r="AK62" s="185"/>
      <c r="AL62" s="185"/>
      <c r="AM62" s="185"/>
      <c r="AN62" s="185"/>
      <c r="AO62" s="185"/>
      <c r="AP62" s="185"/>
      <c r="AQ62" s="185"/>
      <c r="AR62" s="185"/>
      <c r="AS62" s="185"/>
      <c r="AT62" s="185"/>
      <c r="AU62" s="185"/>
      <c r="AV62" s="185"/>
      <c r="AW62" s="185"/>
      <c r="AX62" s="185"/>
      <c r="AY62" s="185"/>
      <c r="AZ62" s="185"/>
      <c r="BA62" s="185"/>
      <c r="BB62" s="185"/>
      <c r="BC62" s="185"/>
      <c r="BD62" s="185"/>
      <c r="BE62" s="185"/>
      <c r="BF62" s="185"/>
      <c r="BG62" s="185">
        <f>D62-BL62</f>
        <v>0</v>
      </c>
      <c r="BH62" s="185">
        <f t="shared" si="22"/>
        <v>0</v>
      </c>
      <c r="BI62" s="185"/>
      <c r="BJ62" s="185"/>
      <c r="BK62" s="185"/>
      <c r="BL62" s="185">
        <f>E62+W62+X62+Y62+Z62+AA62+AB62+AC62+AD62+AE62+AQ62+AR62+AS62+AT62+AU62+AV62+AW62+AX62+AY62+AZ62+BA62+BB62+BC62+BD62+BE62+BF62+BH62</f>
        <v>0</v>
      </c>
      <c r="BM62" s="185">
        <f>BG68-BL62</f>
        <v>0</v>
      </c>
      <c r="BN62" s="185">
        <f t="shared" si="29"/>
        <v>0</v>
      </c>
      <c r="BP62" s="117"/>
    </row>
    <row r="63" spans="1:68" s="115" customFormat="1" ht="21.75" customHeight="1">
      <c r="A63" s="15">
        <v>3</v>
      </c>
      <c r="B63" s="142" t="s">
        <v>123</v>
      </c>
      <c r="C63" s="158" t="s">
        <v>124</v>
      </c>
      <c r="D63" s="420">
        <f>D64+D65+D66</f>
        <v>696.01</v>
      </c>
      <c r="E63" s="420">
        <f>E64+E65+E66</f>
        <v>1.41</v>
      </c>
      <c r="F63" s="420">
        <f t="shared" ref="F63:U63" si="30">F64+F65+F66</f>
        <v>0</v>
      </c>
      <c r="G63" s="420">
        <f t="shared" si="30"/>
        <v>0</v>
      </c>
      <c r="H63" s="420">
        <f t="shared" si="30"/>
        <v>0</v>
      </c>
      <c r="I63" s="420">
        <f t="shared" si="30"/>
        <v>0</v>
      </c>
      <c r="J63" s="420">
        <f t="shared" si="30"/>
        <v>0</v>
      </c>
      <c r="K63" s="420">
        <f t="shared" si="30"/>
        <v>0</v>
      </c>
      <c r="L63" s="420">
        <f t="shared" si="30"/>
        <v>0</v>
      </c>
      <c r="M63" s="420">
        <f t="shared" si="30"/>
        <v>0</v>
      </c>
      <c r="N63" s="420">
        <f t="shared" si="30"/>
        <v>0</v>
      </c>
      <c r="O63" s="420">
        <f t="shared" si="30"/>
        <v>0</v>
      </c>
      <c r="P63" s="420">
        <f t="shared" si="30"/>
        <v>0</v>
      </c>
      <c r="Q63" s="420">
        <f t="shared" si="30"/>
        <v>0</v>
      </c>
      <c r="R63" s="420">
        <f t="shared" si="30"/>
        <v>0</v>
      </c>
      <c r="S63" s="420">
        <f t="shared" si="30"/>
        <v>1.41</v>
      </c>
      <c r="T63" s="420">
        <f t="shared" si="30"/>
        <v>0</v>
      </c>
      <c r="U63" s="420">
        <f t="shared" si="30"/>
        <v>0</v>
      </c>
      <c r="V63" s="420">
        <f>V64+V65+V66</f>
        <v>0</v>
      </c>
      <c r="W63" s="420">
        <f t="shared" ref="W63:BG63" si="31">W64+W65+W66</f>
        <v>0</v>
      </c>
      <c r="X63" s="420">
        <f t="shared" si="31"/>
        <v>0</v>
      </c>
      <c r="Y63" s="420">
        <f t="shared" si="31"/>
        <v>0</v>
      </c>
      <c r="Z63" s="420">
        <f t="shared" si="31"/>
        <v>0</v>
      </c>
      <c r="AA63" s="420">
        <f t="shared" si="31"/>
        <v>0</v>
      </c>
      <c r="AB63" s="420">
        <f t="shared" si="31"/>
        <v>0</v>
      </c>
      <c r="AC63" s="420">
        <f t="shared" si="31"/>
        <v>0</v>
      </c>
      <c r="AD63" s="420">
        <f t="shared" si="31"/>
        <v>0</v>
      </c>
      <c r="AE63" s="420">
        <f t="shared" si="31"/>
        <v>0</v>
      </c>
      <c r="AF63" s="420">
        <f t="shared" si="31"/>
        <v>0</v>
      </c>
      <c r="AG63" s="420">
        <f t="shared" si="31"/>
        <v>0</v>
      </c>
      <c r="AH63" s="420">
        <f t="shared" si="31"/>
        <v>0</v>
      </c>
      <c r="AI63" s="420">
        <f t="shared" si="31"/>
        <v>0</v>
      </c>
      <c r="AJ63" s="420">
        <f t="shared" si="31"/>
        <v>0</v>
      </c>
      <c r="AK63" s="420">
        <f t="shared" si="31"/>
        <v>0</v>
      </c>
      <c r="AL63" s="420">
        <f t="shared" si="31"/>
        <v>0</v>
      </c>
      <c r="AM63" s="420">
        <f t="shared" si="31"/>
        <v>0</v>
      </c>
      <c r="AN63" s="420">
        <f t="shared" si="31"/>
        <v>0</v>
      </c>
      <c r="AO63" s="420">
        <f t="shared" si="31"/>
        <v>0</v>
      </c>
      <c r="AP63" s="420">
        <f t="shared" si="31"/>
        <v>0</v>
      </c>
      <c r="AQ63" s="420">
        <f t="shared" si="31"/>
        <v>0</v>
      </c>
      <c r="AR63" s="420">
        <f t="shared" si="31"/>
        <v>0</v>
      </c>
      <c r="AS63" s="420">
        <f t="shared" si="31"/>
        <v>0</v>
      </c>
      <c r="AT63" s="420">
        <f t="shared" si="31"/>
        <v>0</v>
      </c>
      <c r="AU63" s="420">
        <f t="shared" si="31"/>
        <v>0</v>
      </c>
      <c r="AV63" s="420">
        <f t="shared" si="31"/>
        <v>0</v>
      </c>
      <c r="AW63" s="420">
        <f t="shared" si="31"/>
        <v>0</v>
      </c>
      <c r="AX63" s="420">
        <f t="shared" si="31"/>
        <v>0</v>
      </c>
      <c r="AY63" s="420">
        <f t="shared" si="31"/>
        <v>0</v>
      </c>
      <c r="AZ63" s="420">
        <f t="shared" si="31"/>
        <v>0</v>
      </c>
      <c r="BA63" s="420">
        <f t="shared" si="31"/>
        <v>0</v>
      </c>
      <c r="BB63" s="420">
        <f t="shared" si="31"/>
        <v>0</v>
      </c>
      <c r="BC63" s="420">
        <f t="shared" si="31"/>
        <v>0</v>
      </c>
      <c r="BD63" s="420">
        <f t="shared" si="31"/>
        <v>0</v>
      </c>
      <c r="BE63" s="420">
        <f t="shared" si="31"/>
        <v>0</v>
      </c>
      <c r="BF63" s="420">
        <f t="shared" si="31"/>
        <v>0</v>
      </c>
      <c r="BG63" s="420">
        <f t="shared" si="31"/>
        <v>0</v>
      </c>
      <c r="BH63" s="420">
        <f>D63-BL63</f>
        <v>694.6</v>
      </c>
      <c r="BI63" s="420">
        <f t="shared" ref="BI63:BN63" si="32">BI64+BI65+BI66</f>
        <v>682.92000000000007</v>
      </c>
      <c r="BJ63" s="420">
        <f t="shared" si="32"/>
        <v>11.68</v>
      </c>
      <c r="BK63" s="420">
        <f t="shared" si="32"/>
        <v>0</v>
      </c>
      <c r="BL63" s="420">
        <f t="shared" si="32"/>
        <v>1.41</v>
      </c>
      <c r="BM63" s="420">
        <f t="shared" si="32"/>
        <v>-1.41</v>
      </c>
      <c r="BN63" s="420">
        <f t="shared" si="32"/>
        <v>694.6</v>
      </c>
    </row>
    <row r="64" spans="1:68" ht="21.75" customHeight="1">
      <c r="A64" s="14" t="s">
        <v>220</v>
      </c>
      <c r="B64" s="143" t="s">
        <v>461</v>
      </c>
      <c r="C64" s="30" t="s">
        <v>209</v>
      </c>
      <c r="D64" s="185">
        <f>#REF!</f>
        <v>684.33</v>
      </c>
      <c r="E64" s="185">
        <f t="shared" si="4"/>
        <v>1.41</v>
      </c>
      <c r="F64" s="185">
        <f t="shared" si="21"/>
        <v>0</v>
      </c>
      <c r="G64" s="185">
        <f t="shared" si="8"/>
        <v>0</v>
      </c>
      <c r="H64" s="185">
        <f t="shared" si="12"/>
        <v>0</v>
      </c>
      <c r="I64" s="185"/>
      <c r="J64" s="185"/>
      <c r="K64" s="185"/>
      <c r="L64" s="185"/>
      <c r="M64" s="185"/>
      <c r="N64" s="185"/>
      <c r="O64" s="185"/>
      <c r="P64" s="185"/>
      <c r="Q64" s="185"/>
      <c r="R64" s="185"/>
      <c r="S64" s="185">
        <v>1.41</v>
      </c>
      <c r="T64" s="185"/>
      <c r="U64" s="185"/>
      <c r="V64" s="185">
        <f t="shared" si="13"/>
        <v>0</v>
      </c>
      <c r="W64" s="185"/>
      <c r="X64" s="185"/>
      <c r="Y64" s="185"/>
      <c r="Z64" s="185"/>
      <c r="AA64" s="185"/>
      <c r="AB64" s="185"/>
      <c r="AC64" s="185"/>
      <c r="AD64" s="185"/>
      <c r="AE64" s="185">
        <f t="shared" si="27"/>
        <v>0</v>
      </c>
      <c r="AF64" s="185"/>
      <c r="AG64" s="185"/>
      <c r="AH64" s="185"/>
      <c r="AI64" s="185"/>
      <c r="AJ64" s="185"/>
      <c r="AK64" s="185"/>
      <c r="AL64" s="185"/>
      <c r="AM64" s="185"/>
      <c r="AN64" s="185"/>
      <c r="AO64" s="185"/>
      <c r="AP64" s="185"/>
      <c r="AQ64" s="185"/>
      <c r="AR64" s="185"/>
      <c r="AS64" s="185"/>
      <c r="AT64" s="185"/>
      <c r="AU64" s="185"/>
      <c r="AV64" s="185"/>
      <c r="AW64" s="185"/>
      <c r="AX64" s="185"/>
      <c r="AY64" s="185"/>
      <c r="AZ64" s="185"/>
      <c r="BA64" s="185"/>
      <c r="BB64" s="185"/>
      <c r="BC64" s="185"/>
      <c r="BD64" s="185"/>
      <c r="BE64" s="185"/>
      <c r="BF64" s="185"/>
      <c r="BG64" s="185"/>
      <c r="BH64" s="185">
        <f>BI64+BJ64+BK64</f>
        <v>682.92000000000007</v>
      </c>
      <c r="BI64" s="185">
        <f>D64-BL64</f>
        <v>682.92000000000007</v>
      </c>
      <c r="BJ64" s="185"/>
      <c r="BK64" s="185"/>
      <c r="BL64" s="185">
        <f>E64+V64</f>
        <v>1.41</v>
      </c>
      <c r="BM64" s="185">
        <f>BI68-BL64</f>
        <v>-1.41</v>
      </c>
      <c r="BN64" s="185">
        <f>D64+BM64</f>
        <v>682.92000000000007</v>
      </c>
      <c r="BP64" s="117"/>
    </row>
    <row r="65" spans="1:68" ht="21.75" customHeight="1">
      <c r="A65" s="14" t="s">
        <v>221</v>
      </c>
      <c r="B65" s="143" t="s">
        <v>462</v>
      </c>
      <c r="C65" s="30" t="s">
        <v>210</v>
      </c>
      <c r="D65" s="185">
        <f>#REF!</f>
        <v>11.68</v>
      </c>
      <c r="E65" s="185">
        <f t="shared" si="4"/>
        <v>0</v>
      </c>
      <c r="F65" s="185">
        <f t="shared" si="21"/>
        <v>0</v>
      </c>
      <c r="G65" s="185">
        <f t="shared" si="8"/>
        <v>0</v>
      </c>
      <c r="H65" s="185">
        <f t="shared" si="12"/>
        <v>0</v>
      </c>
      <c r="I65" s="185"/>
      <c r="J65" s="185"/>
      <c r="K65" s="185"/>
      <c r="L65" s="185"/>
      <c r="M65" s="185"/>
      <c r="N65" s="185"/>
      <c r="O65" s="185"/>
      <c r="P65" s="185"/>
      <c r="Q65" s="185"/>
      <c r="R65" s="185"/>
      <c r="S65" s="185"/>
      <c r="T65" s="185"/>
      <c r="U65" s="185"/>
      <c r="V65" s="185">
        <f t="shared" si="13"/>
        <v>0</v>
      </c>
      <c r="W65" s="185"/>
      <c r="X65" s="185"/>
      <c r="Y65" s="185"/>
      <c r="Z65" s="185"/>
      <c r="AA65" s="185"/>
      <c r="AB65" s="185"/>
      <c r="AC65" s="185"/>
      <c r="AD65" s="185"/>
      <c r="AE65" s="185">
        <f t="shared" si="27"/>
        <v>0</v>
      </c>
      <c r="AF65" s="185"/>
      <c r="AG65" s="185"/>
      <c r="AH65" s="185"/>
      <c r="AI65" s="185"/>
      <c r="AJ65" s="185"/>
      <c r="AK65" s="185"/>
      <c r="AL65" s="185"/>
      <c r="AM65" s="185"/>
      <c r="AN65" s="185"/>
      <c r="AO65" s="185"/>
      <c r="AP65" s="185"/>
      <c r="AQ65" s="185"/>
      <c r="AR65" s="185"/>
      <c r="AS65" s="185"/>
      <c r="AT65" s="185"/>
      <c r="AU65" s="185"/>
      <c r="AV65" s="185"/>
      <c r="AW65" s="185"/>
      <c r="AX65" s="185"/>
      <c r="AY65" s="185"/>
      <c r="AZ65" s="185"/>
      <c r="BA65" s="185"/>
      <c r="BB65" s="185"/>
      <c r="BC65" s="185"/>
      <c r="BD65" s="185"/>
      <c r="BE65" s="185"/>
      <c r="BF65" s="185"/>
      <c r="BG65" s="185"/>
      <c r="BH65" s="185">
        <f>BI65+BJ65+BK65</f>
        <v>11.68</v>
      </c>
      <c r="BI65" s="185"/>
      <c r="BJ65" s="185">
        <f>D65-BL65</f>
        <v>11.68</v>
      </c>
      <c r="BK65" s="185"/>
      <c r="BL65" s="185">
        <f>E65+V65</f>
        <v>0</v>
      </c>
      <c r="BM65" s="185">
        <f>BJ68-BL65</f>
        <v>0</v>
      </c>
      <c r="BN65" s="185">
        <f>D65+BM65</f>
        <v>11.68</v>
      </c>
      <c r="BP65" s="117"/>
    </row>
    <row r="66" spans="1:68" ht="21.75" customHeight="1">
      <c r="A66" s="16" t="s">
        <v>222</v>
      </c>
      <c r="B66" s="145" t="s">
        <v>492</v>
      </c>
      <c r="C66" s="156" t="s">
        <v>211</v>
      </c>
      <c r="D66" s="455"/>
      <c r="E66" s="455">
        <f t="shared" si="4"/>
        <v>0</v>
      </c>
      <c r="F66" s="455">
        <f t="shared" si="21"/>
        <v>0</v>
      </c>
      <c r="G66" s="455">
        <f t="shared" si="8"/>
        <v>0</v>
      </c>
      <c r="H66" s="455">
        <f t="shared" si="12"/>
        <v>0</v>
      </c>
      <c r="I66" s="455"/>
      <c r="J66" s="455"/>
      <c r="K66" s="455"/>
      <c r="L66" s="455"/>
      <c r="M66" s="455"/>
      <c r="N66" s="455"/>
      <c r="O66" s="455"/>
      <c r="P66" s="455"/>
      <c r="Q66" s="455"/>
      <c r="R66" s="455"/>
      <c r="S66" s="455"/>
      <c r="T66" s="455"/>
      <c r="U66" s="455"/>
      <c r="V66" s="455">
        <f t="shared" si="13"/>
        <v>0</v>
      </c>
      <c r="W66" s="455"/>
      <c r="X66" s="455"/>
      <c r="Y66" s="455"/>
      <c r="Z66" s="455"/>
      <c r="AA66" s="455"/>
      <c r="AB66" s="455"/>
      <c r="AC66" s="455"/>
      <c r="AD66" s="455"/>
      <c r="AE66" s="455">
        <f t="shared" si="27"/>
        <v>0</v>
      </c>
      <c r="AF66" s="455"/>
      <c r="AG66" s="455"/>
      <c r="AH66" s="455"/>
      <c r="AI66" s="455"/>
      <c r="AJ66" s="455"/>
      <c r="AK66" s="455"/>
      <c r="AL66" s="455"/>
      <c r="AM66" s="455"/>
      <c r="AN66" s="455"/>
      <c r="AO66" s="455"/>
      <c r="AP66" s="455"/>
      <c r="AQ66" s="455"/>
      <c r="AR66" s="455"/>
      <c r="AS66" s="455"/>
      <c r="AT66" s="455"/>
      <c r="AU66" s="455"/>
      <c r="AV66" s="455"/>
      <c r="AW66" s="455"/>
      <c r="AX66" s="455"/>
      <c r="AY66" s="455"/>
      <c r="AZ66" s="455"/>
      <c r="BA66" s="455"/>
      <c r="BB66" s="455"/>
      <c r="BC66" s="455"/>
      <c r="BD66" s="455"/>
      <c r="BE66" s="455"/>
      <c r="BF66" s="455"/>
      <c r="BG66" s="455"/>
      <c r="BH66" s="455">
        <f>BI66+BJ66+BK66</f>
        <v>0</v>
      </c>
      <c r="BI66" s="455"/>
      <c r="BJ66" s="455"/>
      <c r="BK66" s="455">
        <f>D66-BL66</f>
        <v>0</v>
      </c>
      <c r="BL66" s="455">
        <f>E66+V66</f>
        <v>0</v>
      </c>
      <c r="BM66" s="455">
        <f>D66-BL66</f>
        <v>0</v>
      </c>
      <c r="BN66" s="455">
        <f>D66+BM66</f>
        <v>0</v>
      </c>
      <c r="BP66" s="117"/>
    </row>
    <row r="67" spans="1:68" s="906" customFormat="1" ht="21.75" customHeight="1">
      <c r="A67" s="902"/>
      <c r="B67" s="903"/>
      <c r="C67" s="904" t="s">
        <v>1079</v>
      </c>
      <c r="D67" s="905"/>
      <c r="E67" s="905">
        <f>H67+M67+N67+P67+Q67+R67+S67+U67</f>
        <v>13.49</v>
      </c>
      <c r="F67" s="905"/>
      <c r="G67" s="905"/>
      <c r="H67" s="905"/>
      <c r="I67" s="905"/>
      <c r="J67" s="905"/>
      <c r="K67" s="905"/>
      <c r="L67" s="905"/>
      <c r="M67" s="905"/>
      <c r="N67" s="905"/>
      <c r="O67" s="905"/>
      <c r="P67" s="905"/>
      <c r="Q67" s="905"/>
      <c r="R67" s="905"/>
      <c r="S67" s="905">
        <v>13.49</v>
      </c>
      <c r="T67" s="905"/>
      <c r="U67" s="905"/>
      <c r="V67" s="905"/>
      <c r="W67" s="905"/>
      <c r="X67" s="905"/>
      <c r="Y67" s="905"/>
      <c r="Z67" s="905"/>
      <c r="AA67" s="905"/>
      <c r="AB67" s="905"/>
      <c r="AC67" s="905"/>
      <c r="AD67" s="905"/>
      <c r="AE67" s="905"/>
      <c r="AF67" s="905"/>
      <c r="AG67" s="905"/>
      <c r="AH67" s="905"/>
      <c r="AI67" s="905"/>
      <c r="AJ67" s="905"/>
      <c r="AK67" s="905"/>
      <c r="AL67" s="905"/>
      <c r="AM67" s="905"/>
      <c r="AN67" s="905"/>
      <c r="AO67" s="905"/>
      <c r="AP67" s="905"/>
      <c r="AQ67" s="905"/>
      <c r="AR67" s="905"/>
      <c r="AS67" s="905"/>
      <c r="AT67" s="905"/>
      <c r="AU67" s="905"/>
      <c r="AV67" s="905"/>
      <c r="AW67" s="905"/>
      <c r="AX67" s="905"/>
      <c r="AY67" s="905"/>
      <c r="AZ67" s="905"/>
      <c r="BA67" s="905"/>
      <c r="BB67" s="905"/>
      <c r="BC67" s="905"/>
      <c r="BD67" s="905"/>
      <c r="BE67" s="905"/>
      <c r="BF67" s="905"/>
      <c r="BG67" s="905"/>
      <c r="BH67" s="905"/>
      <c r="BI67" s="905"/>
      <c r="BJ67" s="905"/>
      <c r="BK67" s="905"/>
      <c r="BL67" s="905"/>
      <c r="BM67" s="905"/>
      <c r="BN67" s="905"/>
      <c r="BP67" s="907"/>
    </row>
    <row r="68" spans="1:68" s="115" customFormat="1" ht="24.75" customHeight="1">
      <c r="A68" s="17"/>
      <c r="B68" s="146" t="s">
        <v>190</v>
      </c>
      <c r="C68" s="17"/>
      <c r="D68" s="399"/>
      <c r="E68" s="399">
        <f>E25+E63+E67</f>
        <v>14.9</v>
      </c>
      <c r="F68" s="399">
        <f>F18+F22+F23+F24+F25+F63</f>
        <v>0</v>
      </c>
      <c r="G68" s="399">
        <f>G17+G18+G22+G23+G24+G25+G63</f>
        <v>0</v>
      </c>
      <c r="H68" s="399">
        <f>H15+H16+H17+H18+H22+H23+H24+H25+H63</f>
        <v>0</v>
      </c>
      <c r="I68" s="399">
        <f>I13+I14+I15+I16+I17+I18+I22+I23+I24+I25+I63</f>
        <v>0</v>
      </c>
      <c r="J68" s="399">
        <f>J12+J14+J15+J16+J17+J18+J22+J23+J24+J25+J63</f>
        <v>0</v>
      </c>
      <c r="K68" s="399">
        <f>K12+K13+K15+K16+K17+K18+K22+K23+K24+K25+K63</f>
        <v>0</v>
      </c>
      <c r="L68" s="399">
        <f>L12+L13+L14+L16+L17+L18+L22+L23+L24+L25+L63</f>
        <v>0</v>
      </c>
      <c r="M68" s="399">
        <f>M12+M13+M14+M15+M17+M18+M22+M23+M24+M25+M63</f>
        <v>0</v>
      </c>
      <c r="N68" s="399">
        <f>N12+N13+N14+N15+N16+N18+N22+N23+N24+N25+N63</f>
        <v>0</v>
      </c>
      <c r="O68" s="399">
        <f>O9+O22+O23+O24+O25+O63</f>
        <v>0</v>
      </c>
      <c r="P68" s="399">
        <f>P10+P17+P20+P21+P22+P23+P24+P25+P63</f>
        <v>0</v>
      </c>
      <c r="Q68" s="399">
        <f>Q12+Q13+Q14+Q15+Q16+Q17+Q19+Q21+Q22+Q23+Q24+Q25+Q63</f>
        <v>0</v>
      </c>
      <c r="R68" s="733">
        <f>R12+R13+R14+R15+R16+R17+R19+R20+R22+R23+R24+R25+R63</f>
        <v>0</v>
      </c>
      <c r="S68" s="729">
        <f>S9+S18+S23+S24+S25+S63+S67</f>
        <v>19.46</v>
      </c>
      <c r="T68" s="733">
        <f>T9+T18+T22+T24+T25+T63</f>
        <v>0</v>
      </c>
      <c r="U68" s="733">
        <f>U9+U18+U22+U23+U25+U63</f>
        <v>0</v>
      </c>
      <c r="V68" s="733">
        <f>V8+V63</f>
        <v>0.87000000000000011</v>
      </c>
      <c r="W68" s="733">
        <f>W8+W27+W28+W29+W30+W31+W32+W33+W34+W46+W47+W48+W49+W50+W51+W52+W53+W54+W55+W56+W57+W58+W59+W60+W61+W62+W63</f>
        <v>0</v>
      </c>
      <c r="X68" s="733">
        <f>X8+X26+X28+X29+X30+X31+X32+X33+X34+X46+X47+X48+X49+X50+X51+X52+X53+X54+X55+X56+X57+X58+X59+X60+X61+X62+X63</f>
        <v>0</v>
      </c>
      <c r="Y68" s="733">
        <f>Y8+Y26+Y27+Y29+Y30+Y31+Y32+Y33+Y34+Y46+Y47+Y48+Y49+Y50+Y51+Y52+Y53+Y54+Y55+Y56+Y57+Y58+Y59+Y60+Y61+Y62+Y63</f>
        <v>0</v>
      </c>
      <c r="Z68" s="733">
        <f>Z8+Z26+Z27+Z28+Z30+Z31+Z32+Z33+Z34+Z46+Z47+Z48+Z49+Z50+Z51+Z52+Z53+Z54+Z55+Z56+Z57+Z58+Z59+Z60+Z61+Z62+Z63</f>
        <v>0</v>
      </c>
      <c r="AA68" s="733">
        <f>AA8+AA26+AA27+AA28+AA29+AA31+AA32+AA33+AA34+AA46+AA47+AA48+AA49+AA50+AA51+AA52+AA53+AA54+AA55+AA56+AA57+AA58+AA59+AA60+AA61+AA62+AA63</f>
        <v>0</v>
      </c>
      <c r="AB68" s="733">
        <f>AB8+AB26+AB27+AB28+AB29+AB30+AB32+AB33+AB34+AB46+AB47+AB48+AB49+AB50+AB51+AB52+AB53+AB54+AB55+AB56+AB57+AB58+AB59+AB60+AB61+AB62+AB63</f>
        <v>0</v>
      </c>
      <c r="AC68" s="733">
        <f>AC8+AC26+AC27+AC28+AC29+AC30+AC31+AC33+AC34+AC46+AC47+AC48+AC49+AC50+AC51+AC52+AC53+AC54+AC55+AC56+AC57+AC58+AC59+AC60+AC61+AC62+AC63</f>
        <v>0</v>
      </c>
      <c r="AD68" s="733">
        <f>AD8+AD26+AD27+AD28+AD29+AD30+AD31+AD32+AD34+AD46+AD47+AD48+AD49+AD50+AD51+AD52+AD53+AD54+AD55+AD56+AD57+AD58+AD59+AD60+AD61+AD62+AD63</f>
        <v>0</v>
      </c>
      <c r="AE68" s="733">
        <f>AE8+AE26+AE27+AE28+AE29+AE30+AE31+AE32+AE33+AE46+AE47+AE48+AE49+AE50+AE51+AE52+AE53+AE54+AE55+AE56+AE57+AE58+AE59+AE60+AE61+AE62+AE63</f>
        <v>0.42</v>
      </c>
      <c r="AF68" s="733">
        <f>AF8+AF26+AF27+AF28+AF29+AF30+AF31+AF32+AF33+AF3+AF36+AF37+AF38+AF39+AF40+AF41+AF42+AF43+AF44+AF45+AF46+AF47+AF48+AF49+AF50+AF51+AF52+AF53+AF54+AF55+AF56+AF57+AF58+AF59+AF60+AF61+AF62+AF63</f>
        <v>0</v>
      </c>
      <c r="AG68" s="733">
        <f>AG8+AG26+AG27+AG28+AG29+AG30+AG31+AG32+AG33+AG35+AG37+AG38+AG39+AG40+AG41+AG42+AG43+AG44+AG45+AG46+AG47+AG48+AG49+AG50+AG51+AG52+AG53+AG54+AG55+AG56+AG57+AG58+AG59+AG60+AG61+AG62+AG63</f>
        <v>0</v>
      </c>
      <c r="AH68" s="733">
        <f>AH8+AH26+AH27+AH28+AH29+AH30+AH31+AH32+AH33+AH35+AH36+AH38+AH39+AH40+AH41+AH42+AH43+AH44+AH45+AH46+AH47+AH48+AH49+AH50+AH51+AH52+AH53+AH54+AH55+AH56+AH57+AH58+AH59+AH60+AH61+AH62+AH63</f>
        <v>0</v>
      </c>
      <c r="AI68" s="733">
        <f>AI8+AI26+AI27+AI28+AI29+AI30+AI31+AI32+AI33+AI35+AI36+AI37+AI39+AI40+AI41+AI42+AI43+AI44+AI45+AI46+AI47+AI48+AI49+AI50+AI51+AI52+AI53+AI54+AI55+AI56+AI57+AI58+AI59+AI60+AI61+AI62+AI63</f>
        <v>0</v>
      </c>
      <c r="AJ68" s="733">
        <f>AJ8+AJ26+AJ27+AJ28+AJ29+AJ30+AJ31+AJ32+AJ33+AJ35+AJ36+AJ37+AJ38+AJ40+AJ41+AJ42+AJ43+AJ44+AJ45+AJ46+AJ47+AJ48+AJ49+AJ50+AJ51+AJ52+AJ53+AJ54+AJ55+AJ56+AJ57+AJ58+AJ59+AJ60+AJ61+AJ62+AJ63</f>
        <v>0</v>
      </c>
      <c r="AK68" s="733">
        <f>AK8+AK26+AK27+AK28+AK29+AK30+AK31+AK32+AK33+AK35+AK36+AK37+AK38+AK39+AK41+AK42+AK43+AK44+AK45+AK46+AK47+AK48+AK49+AK50+AK51+AK52+AK53+AK54+AK55+AK56+AK57+AK58+AK59+AK60+AK61+AK62+AK63</f>
        <v>0</v>
      </c>
      <c r="AL68" s="733">
        <f>AL8+AL26+AL27+AL28+AL29+AL30+AL31+AL32+AL33+AL35+AL36+AL37+AL38+AL39+AL40+AL42+AL43+AL44+AL45+AL46+AL47+AL48+AL49+AL50+AL51+AL52+AL53+AL54+AL55+AL56+AL57+AL58+AL59+AL60+AL61+AL62+AL63</f>
        <v>0</v>
      </c>
      <c r="AM68" s="729">
        <f>AM8+AM26+AM27+AM28+AM29+AM30+AM31+AM32+AM33+AM35+AM36+AM37+AM38+AM39+AM40+AM41+AM43+AM44+AM45+AM46+AM47+AM48+AM49+AM50+AM51+AM52+AM53+AM54+AM55+AM56+AM57+AM58+AM59+AM60+AM61+AM62+AM63</f>
        <v>0.45999999999999996</v>
      </c>
      <c r="AN68" s="733">
        <f>AN8+AN26+AN27+AN28+AN29+AN30+AN31+AN32+AN33+AN35+AN36+AN37+AN38+AN39+AN40+AN41+AN42+AN44+AN45+AN46+AN47+AN48+AN49+AN50+AN51+AN52+AN53+AN54+AN55+AN56+AN57+AN58+AN59+AN60+AN61+AN62+AN63</f>
        <v>0</v>
      </c>
      <c r="AO68" s="733">
        <f>AO8+AO26+AO27+AO28+AO29+AO30+AO31+AO32+AO33+AO35+AO36+AO37+AO38+AO39+AO40+AO41+AO42+AO43+AO45+AO46+AO47+AO48+AO49+AO50+AO51+AO52+AO53+AO54+AO55+AO56+AO57+AO58+AO59+AO60+AO61+AO62+AO63</f>
        <v>0</v>
      </c>
      <c r="AP68" s="733">
        <f>AP8+AP26+AP27+AP28+AP29+AP30+AP31+AP32+AP33+AP35+AP36+AP37+AP38+AP39+AP40+AP41+AP42+AP43+AP44+AP46+AP47+AP48+AP49+AP50+AP51+AP52+AP53+AP54+AP55+AP56+AP57+AP58+AP59+AP60+AP61+AP62+AP63</f>
        <v>0</v>
      </c>
      <c r="AQ68" s="733">
        <f>AQ8+AQ26+AQ27+AQ28+AQ29+AQ30+AQ31+AQ32+AQ33+AQ34+AQ47+AQ48+AQ49+AQ50+AQ51+AQ52+AQ53+AQ54+AQ55+AQ56+AQ57+AQ58+AQ59+AQ60+AQ61+AQ62+AQ63</f>
        <v>0</v>
      </c>
      <c r="AR68" s="733">
        <f>AR8+AR26+AR27+AR28+AR29+AR30+AR31+AR32+AR33+AR34+AR46+AR48+AR49+AR50+AR51+AR52+AR53+AR54+AR55+AR56+AR57+AR58+AR59+AR60+AR61+AR62+AR63</f>
        <v>0</v>
      </c>
      <c r="AS68" s="733">
        <f>AS8+AS26+AS27+AS28+AS29+AS30+AS31+AS32+AS33+AS34+AS46+AS47+AS49+AS50+AS51+AS52+AS53+AS54+AS55+AS56+AS57+AS58+AS59+AS60+AS61+AS62+AS63</f>
        <v>0</v>
      </c>
      <c r="AT68" s="729">
        <f>AT8+AT26+AT27+AT28+AT29+AT30+AT31+AT32+AT33+AT34+AT46+AT47+AT48+AT50+AT51+AT52+AT53+AT54+AT55+AT56+AT57+AT58+AT59+AT60+AT61+AT62+AT63</f>
        <v>0.5</v>
      </c>
      <c r="AU68" s="733">
        <f>AU8+AU26+AU27+AU28+AU29+AU30+AU31+AU32+AU33+AU34+AU46+AU47+AU48+AU49+AU51+AU52+AU53+AU54+AU55+AU56+AU57+AU58+AU59+AU60+AU61+AU62+AU63</f>
        <v>0</v>
      </c>
      <c r="AV68" s="733">
        <f>AV8+AV26+AV27+AV28+AV29+AV30+AV31+AV32+AV33+AV34+AV46+AV47+AV48+AV49+AV50+AV52+AV53+AV54+AV55+AV56+AV57+AV58+AV59+AV60+AV61+AV62+AV63</f>
        <v>0</v>
      </c>
      <c r="AW68" s="733">
        <f>AW8+AW26+AW27+AW28+AW29+AW30+AW31+AW32+AW33+AW34+AW46+AW47+AW48+AW49+AW50+AW51+AW53+AW54+AW55+AW56+AW57+AW58+AW59+AW60+AW61+AW62+AW63</f>
        <v>0</v>
      </c>
      <c r="AX68" s="733">
        <f>AX8+AX26+AX27+AX28+AX29+AX30+AX31+AX32+AX33+AX34+AX46+AX47+AX48+AX49+AX50+AX51+AX52+AX54+AX55+AX56+AX57+AX58+AX59+AX60+AX61+AX62+AX63</f>
        <v>0</v>
      </c>
      <c r="AY68" s="733">
        <f>AY8+AY26+AY27+AY28+AY29+AY30+AY31+AY32+AY33+AY34+AY46+AY47+AY48+AY49+AY50+AY51+AY52+AY53+AY55+AY56+AY57+AY58+AY59+AY60+AY61+AY62+AY63</f>
        <v>0</v>
      </c>
      <c r="AZ68" s="733">
        <f>AZ8+AZ26+AZ27+AZ28+AZ29+AZ30+AZ31+AZ32+AZ33+AZ34+AZ46+AZ47+AZ48+AZ49+AZ50+AZ51+AZ52+AZ53+AZ54+AZ56+AZ57+AZ58+AZ59+AZ60+AZ61+AZ62+AZ63</f>
        <v>0</v>
      </c>
      <c r="BA68" s="733">
        <f>BA8+BA26+BA27+BA28+BA29+BA30+BA31+BA32+BA33+BA34+BA46+BA47+BA48+BA49+BA50+BA51+BA52+BA53+BA54+BA55+BA57+BA58+BA59+BA60+BA61+BA62+BA63</f>
        <v>0</v>
      </c>
      <c r="BB68" s="733">
        <f>BB8+BB26+BB27+BB28+BB29+BB30+BB31+BB32+BB33+BB34+BB46+BB47+BB48+BB49+BB50+BB51+BB52+BB53+BB54+BB55+BB56+BB58+BB59+BB60+BB61+BB62+BB63</f>
        <v>0</v>
      </c>
      <c r="BC68" s="733">
        <f>BC8+BC26+BC27+BC28+BC29+BC30+BC31+BC32+BC33+BC34+BC46+BC47+BC48+BC49+BC50+BC51+BC52+BC53+BC54+BC55+BC56+BC57+BC59+BC60+BC61+BC62+BC63</f>
        <v>0</v>
      </c>
      <c r="BD68" s="733">
        <f>BD8+BD26+BD27+BD28+BD29+BD30+BD31+BD32+BD33+BD34+BD46+BD47+BD48+BD49+BD50+BD51+BD52+BD53+BD54+BD55+BD56+BD57+BD58+BD60+BD61+BD62+BD63</f>
        <v>0</v>
      </c>
      <c r="BE68" s="733">
        <f>BE8+BE26+BE27+BE28+BE29+BE30+BE31+BE32+BE33+BE34+BE46+BE47+BE48+BE49+BE50+BE51+BE52+BE53+BE54+BE55+BE56+BE57+BE58+BE59+BE61+BE62+BE63</f>
        <v>0</v>
      </c>
      <c r="BF68" s="733">
        <f>BF8+BF26+BF27+BF28+BF29+BF30+BF31+BF32+BF33+BF34+BF46+BF47+BF48+BF49+BF50+BF51+BF52+BF53+BF54+BF55+BF56+BF57+BF58+BF59+BF60+BF62+BF63</f>
        <v>0</v>
      </c>
      <c r="BG68" s="733">
        <f>BG8+BG26+BG27+BG28+BG29+BG30+BG31+BG32+BG33+BG34+BG46+BG47+BG48+BG49+BG50+BG51+BG52+BG53+BG54+BG55+BG56+BG57+BG58+BG59+BG60+BG61+BG63</f>
        <v>0</v>
      </c>
      <c r="BH68" s="733">
        <f>BH8+BH25</f>
        <v>0</v>
      </c>
      <c r="BI68" s="733">
        <f>BI8+BI25+BI65+BI66</f>
        <v>0</v>
      </c>
      <c r="BJ68" s="733">
        <f>BJ8+BJ25+BJ64+BJ66</f>
        <v>0</v>
      </c>
      <c r="BK68" s="733">
        <f>BK8+BK25+BK64+BK65</f>
        <v>0</v>
      </c>
      <c r="BL68" s="733"/>
      <c r="BM68" s="399"/>
      <c r="BN68" s="399"/>
    </row>
    <row r="69" spans="1:68" s="117" customFormat="1" ht="31.5" customHeight="1">
      <c r="A69" s="18"/>
      <c r="B69" s="149" t="s">
        <v>695</v>
      </c>
      <c r="C69" s="161"/>
      <c r="D69" s="465">
        <f>BN7</f>
        <v>2804.4494999999997</v>
      </c>
      <c r="E69" s="465">
        <f>BN8</f>
        <v>1900.1699999999996</v>
      </c>
      <c r="F69" s="465">
        <f>BN9</f>
        <v>263.12</v>
      </c>
      <c r="G69" s="465">
        <f>BN10</f>
        <v>222.18</v>
      </c>
      <c r="H69" s="465">
        <f>BN11</f>
        <v>171.75</v>
      </c>
      <c r="I69" s="465">
        <f>BN12</f>
        <v>22.91</v>
      </c>
      <c r="J69" s="465">
        <f>BN13</f>
        <v>148.84</v>
      </c>
      <c r="K69" s="465">
        <f>BN14</f>
        <v>0</v>
      </c>
      <c r="L69" s="465">
        <f>BN15</f>
        <v>0</v>
      </c>
      <c r="M69" s="465">
        <f>BN16</f>
        <v>50.43</v>
      </c>
      <c r="N69" s="465">
        <f>BN17</f>
        <v>40.94</v>
      </c>
      <c r="O69" s="465">
        <f>BN18</f>
        <v>1531.9499999999998</v>
      </c>
      <c r="P69" s="465">
        <f>BN19</f>
        <v>956.86</v>
      </c>
      <c r="Q69" s="465">
        <f>BN20</f>
        <v>0</v>
      </c>
      <c r="R69" s="465">
        <f>BN21</f>
        <v>575.08999999999992</v>
      </c>
      <c r="S69" s="465">
        <f>BN22</f>
        <v>103.99000000000001</v>
      </c>
      <c r="T69" s="465">
        <f>BN23</f>
        <v>0</v>
      </c>
      <c r="U69" s="465">
        <f>BN24</f>
        <v>1.1100000000000001</v>
      </c>
      <c r="V69" s="465">
        <f>BN25</f>
        <v>209.67950000000002</v>
      </c>
      <c r="W69" s="465">
        <f>BN26</f>
        <v>5.38</v>
      </c>
      <c r="X69" s="465">
        <f>BN27</f>
        <v>0</v>
      </c>
      <c r="Y69" s="465">
        <f>BN28</f>
        <v>0</v>
      </c>
      <c r="Z69" s="465">
        <f>BN29</f>
        <v>0</v>
      </c>
      <c r="AA69" s="465">
        <f>BN30</f>
        <v>0</v>
      </c>
      <c r="AB69" s="465">
        <f>BN31</f>
        <v>0</v>
      </c>
      <c r="AC69" s="465">
        <f>BN32</f>
        <v>0.55000000000000004</v>
      </c>
      <c r="AD69" s="465">
        <f>BN33</f>
        <v>0</v>
      </c>
      <c r="AE69" s="465">
        <f>BN34</f>
        <v>75.219499999999996</v>
      </c>
      <c r="AF69" s="465">
        <f>BN35</f>
        <v>0.08</v>
      </c>
      <c r="AG69" s="465">
        <f>BN36</f>
        <v>0.13</v>
      </c>
      <c r="AH69" s="465">
        <f>BN37</f>
        <v>1.37</v>
      </c>
      <c r="AI69" s="465">
        <f>BN38</f>
        <v>1.6194999999999999</v>
      </c>
      <c r="AJ69" s="465">
        <f>BN39</f>
        <v>0</v>
      </c>
      <c r="AK69" s="465">
        <f>BN40</f>
        <v>0</v>
      </c>
      <c r="AL69" s="465">
        <f>BN41</f>
        <v>63.65</v>
      </c>
      <c r="AM69" s="465">
        <f>BN42</f>
        <v>8.3099999999999987</v>
      </c>
      <c r="AN69" s="465">
        <f>BN43</f>
        <v>0</v>
      </c>
      <c r="AO69" s="465">
        <f>BN44</f>
        <v>0.06</v>
      </c>
      <c r="AP69" s="465">
        <f>BN45</f>
        <v>0</v>
      </c>
      <c r="AQ69" s="465">
        <f>BN46</f>
        <v>0</v>
      </c>
      <c r="AR69" s="465">
        <f>BN47</f>
        <v>0</v>
      </c>
      <c r="AS69" s="465">
        <f>BN48</f>
        <v>0.16</v>
      </c>
      <c r="AT69" s="465">
        <f>BN49</f>
        <v>16.55</v>
      </c>
      <c r="AU69" s="465">
        <f>BN50</f>
        <v>0</v>
      </c>
      <c r="AV69" s="465">
        <f>BN51</f>
        <v>0.65</v>
      </c>
      <c r="AW69" s="465">
        <f>BN52</f>
        <v>0</v>
      </c>
      <c r="AX69" s="465">
        <f>BN53</f>
        <v>0</v>
      </c>
      <c r="AY69" s="465">
        <f>BN54</f>
        <v>0</v>
      </c>
      <c r="AZ69" s="465">
        <f>BN55</f>
        <v>0.52</v>
      </c>
      <c r="BA69" s="465">
        <f>BN56</f>
        <v>0</v>
      </c>
      <c r="BB69" s="465">
        <f>BN57</f>
        <v>0.34</v>
      </c>
      <c r="BC69" s="465">
        <f>BN58</f>
        <v>0.19</v>
      </c>
      <c r="BD69" s="465">
        <f>BN59</f>
        <v>0.08</v>
      </c>
      <c r="BE69" s="465">
        <f>BN60</f>
        <v>82.93</v>
      </c>
      <c r="BF69" s="465">
        <f>BN61</f>
        <v>27.11</v>
      </c>
      <c r="BG69" s="465">
        <f>BN62</f>
        <v>0</v>
      </c>
      <c r="BH69" s="465">
        <f>BN63</f>
        <v>694.6</v>
      </c>
      <c r="BI69" s="465">
        <f>BN64</f>
        <v>682.92000000000007</v>
      </c>
      <c r="BJ69" s="465">
        <f>BN65</f>
        <v>11.68</v>
      </c>
      <c r="BK69" s="465">
        <f>BN66</f>
        <v>0</v>
      </c>
      <c r="BL69" s="465"/>
      <c r="BM69" s="465"/>
      <c r="BN69" s="465"/>
    </row>
    <row r="71" spans="1:68" ht="18" customHeight="1">
      <c r="A71" s="1300" t="s">
        <v>10</v>
      </c>
      <c r="B71" s="1300"/>
    </row>
    <row r="72" spans="1:68" ht="28.5" customHeight="1">
      <c r="A72" s="1300" t="s">
        <v>321</v>
      </c>
      <c r="B72" s="1300"/>
      <c r="C72" s="1300"/>
      <c r="D72" s="1300"/>
      <c r="E72" s="1300"/>
      <c r="F72" s="1300"/>
      <c r="G72" s="1300"/>
      <c r="H72" s="1300"/>
      <c r="I72" s="1300"/>
      <c r="J72" s="1300"/>
      <c r="K72" s="1300"/>
      <c r="L72" s="1300"/>
      <c r="M72" s="1300"/>
      <c r="N72" s="1300"/>
      <c r="O72" s="1300"/>
      <c r="P72" s="1300"/>
      <c r="Q72" s="1300"/>
      <c r="R72" s="1300"/>
      <c r="S72" s="1300"/>
      <c r="T72" s="1300"/>
      <c r="U72" s="1300"/>
      <c r="V72" s="1300"/>
      <c r="W72" s="1300"/>
      <c r="X72" s="1300"/>
      <c r="Y72" s="1300"/>
      <c r="Z72" s="1300"/>
      <c r="AA72" s="1300"/>
      <c r="AB72" s="1300"/>
      <c r="AC72" s="1300"/>
      <c r="AD72" s="1300"/>
      <c r="AE72" s="1300"/>
      <c r="AF72" s="1300"/>
      <c r="AG72" s="1300"/>
      <c r="AH72" s="1300"/>
      <c r="AI72" s="1300"/>
      <c r="AJ72" s="1300"/>
      <c r="AK72" s="1300"/>
      <c r="AL72" s="1300"/>
      <c r="AM72" s="1300"/>
      <c r="AN72" s="1300"/>
      <c r="AO72" s="1300"/>
      <c r="AP72" s="1300"/>
      <c r="AQ72" s="1300"/>
      <c r="AR72" s="1300"/>
      <c r="AS72" s="1300"/>
    </row>
    <row r="73" spans="1:68" ht="24.75" customHeight="1">
      <c r="A73" s="1300" t="s">
        <v>322</v>
      </c>
      <c r="B73" s="1300"/>
      <c r="C73" s="1300"/>
      <c r="D73" s="1300"/>
      <c r="E73" s="1300"/>
      <c r="F73" s="1300"/>
      <c r="G73" s="1300"/>
      <c r="H73" s="1300"/>
      <c r="I73" s="1300"/>
      <c r="J73" s="1300"/>
      <c r="K73" s="1300"/>
      <c r="L73" s="1300"/>
      <c r="M73" s="1300"/>
      <c r="N73" s="1300"/>
      <c r="O73" s="1300"/>
      <c r="P73" s="1300"/>
      <c r="Q73" s="1300"/>
      <c r="R73" s="1300"/>
      <c r="S73" s="1300"/>
      <c r="T73" s="1300"/>
      <c r="U73" s="1300"/>
      <c r="V73" s="1300"/>
      <c r="W73" s="1300"/>
      <c r="X73" s="1300"/>
      <c r="Y73" s="1300"/>
      <c r="Z73" s="1300"/>
      <c r="AA73" s="1300"/>
      <c r="AB73" s="1300"/>
      <c r="AC73" s="1300"/>
      <c r="AD73" s="1300"/>
      <c r="AE73" s="1300"/>
      <c r="AF73" s="1300"/>
      <c r="AG73" s="1300"/>
      <c r="AH73" s="1300"/>
      <c r="AI73" s="1300"/>
      <c r="AJ73" s="1300"/>
      <c r="AK73" s="1300"/>
      <c r="AL73" s="1300"/>
      <c r="AM73" s="1300"/>
      <c r="AN73" s="1300"/>
      <c r="AO73" s="1300"/>
      <c r="AP73" s="1300"/>
      <c r="AQ73" s="1300"/>
      <c r="AR73" s="1300"/>
      <c r="AS73" s="1300"/>
    </row>
    <row r="74" spans="1:68" ht="21.75" customHeight="1">
      <c r="AR74" s="1300" t="s">
        <v>138</v>
      </c>
      <c r="AS74" s="1300"/>
    </row>
    <row r="75" spans="1:68" ht="31.5" customHeight="1">
      <c r="A75" s="1300" t="s">
        <v>0</v>
      </c>
      <c r="B75" s="1300" t="s">
        <v>12</v>
      </c>
      <c r="C75" s="1300" t="s">
        <v>13</v>
      </c>
      <c r="D75" s="1300" t="s">
        <v>324</v>
      </c>
      <c r="E75" s="1300" t="s">
        <v>326</v>
      </c>
      <c r="F75" s="1300"/>
      <c r="G75" s="1300"/>
      <c r="H75" s="1300"/>
      <c r="I75" s="1300"/>
      <c r="J75" s="1300"/>
      <c r="K75" s="1300"/>
      <c r="L75" s="1300"/>
      <c r="M75" s="1300"/>
      <c r="N75" s="1300"/>
      <c r="O75" s="1300"/>
      <c r="P75" s="1300"/>
      <c r="Q75" s="1300"/>
      <c r="R75" s="1300"/>
      <c r="S75" s="1300"/>
      <c r="T75" s="1300"/>
      <c r="U75" s="1300"/>
      <c r="V75" s="1300"/>
      <c r="W75" s="1300"/>
      <c r="X75" s="1300"/>
      <c r="Y75" s="1300"/>
      <c r="Z75" s="1300"/>
      <c r="AA75" s="1300"/>
      <c r="AB75" s="1300"/>
      <c r="AC75" s="1300"/>
      <c r="AD75" s="1300"/>
      <c r="AE75" s="1300"/>
      <c r="AF75" s="1300"/>
      <c r="AG75" s="1300"/>
      <c r="AH75" s="1300"/>
      <c r="AI75" s="1300"/>
      <c r="AJ75" s="1300"/>
      <c r="AK75" s="1300"/>
      <c r="AL75" s="1300"/>
      <c r="AM75" s="1300"/>
      <c r="AN75" s="1300"/>
      <c r="AO75" s="1300"/>
      <c r="AP75" s="1300"/>
      <c r="AQ75" s="1300"/>
      <c r="AR75" s="1300" t="s">
        <v>191</v>
      </c>
      <c r="AS75" s="1300" t="s">
        <v>323</v>
      </c>
    </row>
    <row r="76" spans="1:68" ht="30" customHeight="1">
      <c r="A76" s="1300"/>
      <c r="B76" s="1300"/>
      <c r="C76" s="1300"/>
      <c r="D76" s="1300"/>
      <c r="E76" t="s">
        <v>15</v>
      </c>
      <c r="F76" t="s">
        <v>18</v>
      </c>
      <c r="G76" t="s">
        <v>20</v>
      </c>
      <c r="H76" t="s">
        <v>23</v>
      </c>
      <c r="I76" t="s">
        <v>26</v>
      </c>
      <c r="J76" t="s">
        <v>29</v>
      </c>
      <c r="K76" t="s">
        <v>32</v>
      </c>
      <c r="L76" t="s">
        <v>35</v>
      </c>
      <c r="M76" t="s">
        <v>38</v>
      </c>
      <c r="N76" t="s">
        <v>41</v>
      </c>
      <c r="O76" t="s">
        <v>44</v>
      </c>
      <c r="P76" t="s">
        <v>46</v>
      </c>
      <c r="Q76" t="s">
        <v>49</v>
      </c>
      <c r="R76" t="s">
        <v>52</v>
      </c>
      <c r="S76" t="s">
        <v>55</v>
      </c>
      <c r="T76" t="s">
        <v>58</v>
      </c>
      <c r="U76" t="s">
        <v>61</v>
      </c>
      <c r="V76" t="s">
        <v>64</v>
      </c>
      <c r="W76" t="s">
        <v>67</v>
      </c>
      <c r="X76" t="s">
        <v>70</v>
      </c>
      <c r="Y76" t="s">
        <v>72</v>
      </c>
      <c r="Z76" t="s">
        <v>75</v>
      </c>
      <c r="AA76" t="s">
        <v>78</v>
      </c>
      <c r="AB76" t="s">
        <v>81</v>
      </c>
      <c r="AC76" t="s">
        <v>84</v>
      </c>
      <c r="AD76" t="s">
        <v>87</v>
      </c>
      <c r="AE76" t="s">
        <v>90</v>
      </c>
      <c r="AF76" t="s">
        <v>93</v>
      </c>
      <c r="AG76" t="s">
        <v>96</v>
      </c>
      <c r="AH76" t="s">
        <v>99</v>
      </c>
      <c r="AI76" t="s">
        <v>101</v>
      </c>
      <c r="AJ76" t="s">
        <v>104</v>
      </c>
      <c r="AK76" t="s">
        <v>107</v>
      </c>
      <c r="AL76" t="s">
        <v>110</v>
      </c>
      <c r="AM76" t="s">
        <v>113</v>
      </c>
      <c r="AN76" t="s">
        <v>116</v>
      </c>
      <c r="AO76" t="s">
        <v>119</v>
      </c>
      <c r="AP76" t="s">
        <v>122</v>
      </c>
      <c r="AQ76" t="s">
        <v>124</v>
      </c>
      <c r="AR76" s="1300"/>
      <c r="AS76" s="1300"/>
    </row>
    <row r="77" spans="1:68" ht="27.75" customHeight="1">
      <c r="B77" t="s">
        <v>189</v>
      </c>
      <c r="D77">
        <f>D78+D89+D116</f>
        <v>2790.9594999999999</v>
      </c>
      <c r="E77">
        <f t="shared" ref="E77:AS77" si="33">E78+E89+E116</f>
        <v>1886.68</v>
      </c>
      <c r="F77">
        <f t="shared" si="33"/>
        <v>171.75</v>
      </c>
      <c r="G77">
        <f t="shared" si="33"/>
        <v>0</v>
      </c>
      <c r="H77">
        <f t="shared" si="33"/>
        <v>50.43</v>
      </c>
      <c r="I77">
        <f t="shared" si="33"/>
        <v>40.94</v>
      </c>
      <c r="J77">
        <f>J78+J89+J116</f>
        <v>956.86</v>
      </c>
      <c r="K77">
        <f t="shared" si="33"/>
        <v>-4.5799999999999992</v>
      </c>
      <c r="L77">
        <f t="shared" si="33"/>
        <v>579.66999999999996</v>
      </c>
      <c r="M77">
        <f t="shared" si="33"/>
        <v>90.5</v>
      </c>
      <c r="N77">
        <f t="shared" si="33"/>
        <v>0</v>
      </c>
      <c r="O77">
        <f t="shared" si="33"/>
        <v>1.1100000000000001</v>
      </c>
      <c r="P77">
        <f t="shared" si="33"/>
        <v>209.67950000000002</v>
      </c>
      <c r="Q77">
        <f t="shared" si="33"/>
        <v>5.38</v>
      </c>
      <c r="R77">
        <f t="shared" si="33"/>
        <v>0</v>
      </c>
      <c r="S77">
        <f t="shared" si="33"/>
        <v>0</v>
      </c>
      <c r="T77">
        <f t="shared" si="33"/>
        <v>0</v>
      </c>
      <c r="U77">
        <f t="shared" si="33"/>
        <v>0</v>
      </c>
      <c r="V77">
        <f t="shared" si="33"/>
        <v>0</v>
      </c>
      <c r="W77">
        <f t="shared" si="33"/>
        <v>0.55000000000000004</v>
      </c>
      <c r="X77">
        <f t="shared" si="33"/>
        <v>0</v>
      </c>
      <c r="Y77">
        <f t="shared" si="33"/>
        <v>75.219499999999996</v>
      </c>
      <c r="Z77">
        <f t="shared" si="33"/>
        <v>0</v>
      </c>
      <c r="AA77">
        <f t="shared" si="33"/>
        <v>0</v>
      </c>
      <c r="AB77">
        <f t="shared" si="33"/>
        <v>0.16</v>
      </c>
      <c r="AC77">
        <f t="shared" si="33"/>
        <v>16.55</v>
      </c>
      <c r="AD77">
        <f t="shared" si="33"/>
        <v>0</v>
      </c>
      <c r="AE77">
        <f t="shared" si="33"/>
        <v>0.65</v>
      </c>
      <c r="AF77">
        <f t="shared" si="33"/>
        <v>0</v>
      </c>
      <c r="AG77">
        <f t="shared" si="33"/>
        <v>0</v>
      </c>
      <c r="AH77">
        <f t="shared" si="33"/>
        <v>0</v>
      </c>
      <c r="AI77">
        <f t="shared" si="33"/>
        <v>0.52</v>
      </c>
      <c r="AJ77">
        <f t="shared" si="33"/>
        <v>0</v>
      </c>
      <c r="AK77">
        <f t="shared" si="33"/>
        <v>0.34</v>
      </c>
      <c r="AL77">
        <f t="shared" si="33"/>
        <v>0.19</v>
      </c>
      <c r="AM77">
        <f t="shared" si="33"/>
        <v>0.08</v>
      </c>
      <c r="AN77">
        <f t="shared" si="33"/>
        <v>82.93</v>
      </c>
      <c r="AO77">
        <f t="shared" si="33"/>
        <v>27.11</v>
      </c>
      <c r="AP77">
        <f t="shared" si="33"/>
        <v>0</v>
      </c>
      <c r="AQ77">
        <f t="shared" si="33"/>
        <v>1.41</v>
      </c>
      <c r="AS77">
        <f t="shared" si="33"/>
        <v>2790.9594999999999</v>
      </c>
    </row>
    <row r="78" spans="1:68" ht="20.25" customHeight="1">
      <c r="A78">
        <v>1</v>
      </c>
      <c r="B78" t="s">
        <v>14</v>
      </c>
      <c r="C78" t="s">
        <v>15</v>
      </c>
      <c r="D78">
        <f>D79+D81+D82+D83+D84+D85+D86+D87+D88</f>
        <v>1886.1399999999999</v>
      </c>
      <c r="E78">
        <f t="shared" ref="E78:AS78" si="34">E79+E81+E82+E83+E84+E85+E86+E87+E88</f>
        <v>1885.27</v>
      </c>
      <c r="F78">
        <f t="shared" si="34"/>
        <v>171.75</v>
      </c>
      <c r="G78">
        <f t="shared" si="34"/>
        <v>0</v>
      </c>
      <c r="H78">
        <f t="shared" si="34"/>
        <v>50.43</v>
      </c>
      <c r="I78">
        <f t="shared" si="34"/>
        <v>40.94</v>
      </c>
      <c r="J78">
        <f t="shared" si="34"/>
        <v>956.86</v>
      </c>
      <c r="K78">
        <f t="shared" si="34"/>
        <v>-4.5799999999999992</v>
      </c>
      <c r="L78">
        <f t="shared" si="34"/>
        <v>579.66999999999996</v>
      </c>
      <c r="M78">
        <f t="shared" si="34"/>
        <v>89.09</v>
      </c>
      <c r="N78">
        <f t="shared" si="34"/>
        <v>0</v>
      </c>
      <c r="O78">
        <f t="shared" si="34"/>
        <v>1.1100000000000001</v>
      </c>
      <c r="P78">
        <f>P79+P81+P82+P83+P84+P85+P86+P87+P88</f>
        <v>0.87000000000000011</v>
      </c>
      <c r="Q78">
        <f t="shared" si="34"/>
        <v>0</v>
      </c>
      <c r="R78">
        <f t="shared" si="34"/>
        <v>0</v>
      </c>
      <c r="S78">
        <f t="shared" si="34"/>
        <v>0</v>
      </c>
      <c r="T78">
        <f t="shared" si="34"/>
        <v>0</v>
      </c>
      <c r="U78">
        <f t="shared" si="34"/>
        <v>0</v>
      </c>
      <c r="V78">
        <f t="shared" si="34"/>
        <v>0</v>
      </c>
      <c r="W78">
        <f t="shared" si="34"/>
        <v>0</v>
      </c>
      <c r="X78">
        <f t="shared" si="34"/>
        <v>0</v>
      </c>
      <c r="Y78">
        <f t="shared" si="34"/>
        <v>0.37</v>
      </c>
      <c r="Z78">
        <f t="shared" si="34"/>
        <v>0</v>
      </c>
      <c r="AA78">
        <f t="shared" si="34"/>
        <v>0</v>
      </c>
      <c r="AB78">
        <f t="shared" si="34"/>
        <v>0</v>
      </c>
      <c r="AC78">
        <f t="shared" si="34"/>
        <v>0.5</v>
      </c>
      <c r="AD78">
        <f t="shared" si="34"/>
        <v>0</v>
      </c>
      <c r="AE78">
        <f t="shared" si="34"/>
        <v>0</v>
      </c>
      <c r="AF78">
        <f t="shared" si="34"/>
        <v>0</v>
      </c>
      <c r="AG78">
        <f t="shared" si="34"/>
        <v>0</v>
      </c>
      <c r="AH78">
        <f t="shared" si="34"/>
        <v>0</v>
      </c>
      <c r="AI78">
        <f t="shared" si="34"/>
        <v>0</v>
      </c>
      <c r="AJ78">
        <f t="shared" si="34"/>
        <v>0</v>
      </c>
      <c r="AK78">
        <f t="shared" si="34"/>
        <v>0</v>
      </c>
      <c r="AL78">
        <f t="shared" si="34"/>
        <v>0</v>
      </c>
      <c r="AM78">
        <f t="shared" si="34"/>
        <v>0</v>
      </c>
      <c r="AN78">
        <f t="shared" si="34"/>
        <v>0</v>
      </c>
      <c r="AO78">
        <f t="shared" si="34"/>
        <v>0</v>
      </c>
      <c r="AP78">
        <f t="shared" si="34"/>
        <v>0</v>
      </c>
      <c r="AQ78">
        <f t="shared" si="34"/>
        <v>0</v>
      </c>
      <c r="AR78">
        <f>P78</f>
        <v>0.87000000000000011</v>
      </c>
      <c r="AS78">
        <f t="shared" si="34"/>
        <v>1886.68</v>
      </c>
    </row>
    <row r="79" spans="1:68" ht="20.25" customHeight="1">
      <c r="A79" t="s">
        <v>16</v>
      </c>
      <c r="B79" t="s">
        <v>17</v>
      </c>
      <c r="C79" t="s">
        <v>18</v>
      </c>
      <c r="D79">
        <f>D11</f>
        <v>172.05</v>
      </c>
      <c r="E79">
        <f>F79+H79+I79+J79+K79+L79+M79+N79+O79</f>
        <v>171.75</v>
      </c>
      <c r="F79">
        <f>D79-AR79</f>
        <v>171.75</v>
      </c>
      <c r="G79">
        <f>I13</f>
        <v>0</v>
      </c>
      <c r="H79">
        <f>M11</f>
        <v>0</v>
      </c>
      <c r="I79">
        <f>N11</f>
        <v>0</v>
      </c>
      <c r="J79">
        <f t="shared" ref="J79:O80" si="35">P11</f>
        <v>0</v>
      </c>
      <c r="K79">
        <f t="shared" si="35"/>
        <v>0</v>
      </c>
      <c r="L79">
        <f t="shared" si="35"/>
        <v>0</v>
      </c>
      <c r="M79">
        <f t="shared" si="35"/>
        <v>0</v>
      </c>
      <c r="N79">
        <f t="shared" si="35"/>
        <v>0</v>
      </c>
      <c r="O79">
        <f t="shared" si="35"/>
        <v>0</v>
      </c>
      <c r="P79">
        <f>SUM(Q79:AP79)</f>
        <v>0.3</v>
      </c>
      <c r="Q79">
        <f t="shared" ref="Q79:Y80" si="36">W11</f>
        <v>0</v>
      </c>
      <c r="R79">
        <f t="shared" si="36"/>
        <v>0</v>
      </c>
      <c r="S79">
        <f t="shared" si="36"/>
        <v>0</v>
      </c>
      <c r="T79">
        <f t="shared" si="36"/>
        <v>0</v>
      </c>
      <c r="U79">
        <f t="shared" si="36"/>
        <v>0</v>
      </c>
      <c r="V79">
        <f t="shared" si="36"/>
        <v>0</v>
      </c>
      <c r="W79">
        <f t="shared" si="36"/>
        <v>0</v>
      </c>
      <c r="X79">
        <f t="shared" si="36"/>
        <v>0</v>
      </c>
      <c r="Y79">
        <f t="shared" si="36"/>
        <v>0.3</v>
      </c>
      <c r="Z79">
        <f t="shared" ref="Z79:AI80" si="37">AQ11</f>
        <v>0</v>
      </c>
      <c r="AA79">
        <f t="shared" si="37"/>
        <v>0</v>
      </c>
      <c r="AB79">
        <f t="shared" si="37"/>
        <v>0</v>
      </c>
      <c r="AC79">
        <f t="shared" si="37"/>
        <v>0</v>
      </c>
      <c r="AD79">
        <f t="shared" si="37"/>
        <v>0</v>
      </c>
      <c r="AE79">
        <f t="shared" si="37"/>
        <v>0</v>
      </c>
      <c r="AF79">
        <f t="shared" si="37"/>
        <v>0</v>
      </c>
      <c r="AG79">
        <f t="shared" si="37"/>
        <v>0</v>
      </c>
      <c r="AH79">
        <f t="shared" si="37"/>
        <v>0</v>
      </c>
      <c r="AI79">
        <f t="shared" si="37"/>
        <v>0</v>
      </c>
      <c r="AJ79">
        <f t="shared" ref="AJ79:AQ80" si="38">BA11</f>
        <v>0</v>
      </c>
      <c r="AK79">
        <f t="shared" si="38"/>
        <v>0</v>
      </c>
      <c r="AL79">
        <f t="shared" si="38"/>
        <v>0</v>
      </c>
      <c r="AM79">
        <f t="shared" si="38"/>
        <v>0</v>
      </c>
      <c r="AN79">
        <f t="shared" si="38"/>
        <v>0</v>
      </c>
      <c r="AO79">
        <f t="shared" si="38"/>
        <v>0</v>
      </c>
      <c r="AP79">
        <f t="shared" si="38"/>
        <v>0</v>
      </c>
      <c r="AQ79">
        <f t="shared" si="38"/>
        <v>0</v>
      </c>
      <c r="AR79">
        <f>H79+I79+J79+K79+L79+M79+N79+O79+P79+AQ79</f>
        <v>0.3</v>
      </c>
      <c r="AS79">
        <f>D79+F117-AR79</f>
        <v>171.75</v>
      </c>
    </row>
    <row r="80" spans="1:68" ht="20.25" customHeight="1">
      <c r="B80" t="s">
        <v>19</v>
      </c>
      <c r="C80" t="s">
        <v>20</v>
      </c>
      <c r="D80">
        <f>D12</f>
        <v>23.21</v>
      </c>
      <c r="E80">
        <f t="shared" ref="E80:E115" si="39">F80+H80+I80+J80+K80+L80+M80+N80+O80</f>
        <v>0</v>
      </c>
      <c r="G80">
        <f>D80-AR80</f>
        <v>22.91</v>
      </c>
      <c r="H80">
        <f>M12</f>
        <v>0</v>
      </c>
      <c r="I80">
        <f>N12</f>
        <v>0</v>
      </c>
      <c r="J80">
        <f t="shared" si="35"/>
        <v>0</v>
      </c>
      <c r="K80">
        <f t="shared" si="35"/>
        <v>0</v>
      </c>
      <c r="L80">
        <f t="shared" si="35"/>
        <v>0</v>
      </c>
      <c r="M80">
        <f t="shared" si="35"/>
        <v>0</v>
      </c>
      <c r="N80">
        <f t="shared" si="35"/>
        <v>0</v>
      </c>
      <c r="O80">
        <f t="shared" si="35"/>
        <v>0</v>
      </c>
      <c r="P80">
        <f t="shared" ref="P80:P88" si="40">SUM(Q80:AP80)</f>
        <v>0.3</v>
      </c>
      <c r="Q80">
        <f t="shared" si="36"/>
        <v>0</v>
      </c>
      <c r="R80">
        <f t="shared" si="36"/>
        <v>0</v>
      </c>
      <c r="S80">
        <f t="shared" si="36"/>
        <v>0</v>
      </c>
      <c r="T80">
        <f t="shared" si="36"/>
        <v>0</v>
      </c>
      <c r="U80">
        <f t="shared" si="36"/>
        <v>0</v>
      </c>
      <c r="V80">
        <f t="shared" si="36"/>
        <v>0</v>
      </c>
      <c r="W80">
        <f t="shared" si="36"/>
        <v>0</v>
      </c>
      <c r="X80">
        <f t="shared" si="36"/>
        <v>0</v>
      </c>
      <c r="Y80">
        <f t="shared" si="36"/>
        <v>0.3</v>
      </c>
      <c r="Z80">
        <f t="shared" si="37"/>
        <v>0</v>
      </c>
      <c r="AA80">
        <f t="shared" si="37"/>
        <v>0</v>
      </c>
      <c r="AB80">
        <f t="shared" si="37"/>
        <v>0</v>
      </c>
      <c r="AC80">
        <f t="shared" si="37"/>
        <v>0</v>
      </c>
      <c r="AD80">
        <f t="shared" si="37"/>
        <v>0</v>
      </c>
      <c r="AE80">
        <f t="shared" si="37"/>
        <v>0</v>
      </c>
      <c r="AF80">
        <f t="shared" si="37"/>
        <v>0</v>
      </c>
      <c r="AG80">
        <f t="shared" si="37"/>
        <v>0</v>
      </c>
      <c r="AH80">
        <f t="shared" si="37"/>
        <v>0</v>
      </c>
      <c r="AI80">
        <f t="shared" si="37"/>
        <v>0</v>
      </c>
      <c r="AJ80">
        <f t="shared" si="38"/>
        <v>0</v>
      </c>
      <c r="AK80">
        <f t="shared" si="38"/>
        <v>0</v>
      </c>
      <c r="AL80">
        <f t="shared" si="38"/>
        <v>0</v>
      </c>
      <c r="AM80">
        <f t="shared" si="38"/>
        <v>0</v>
      </c>
      <c r="AN80">
        <f t="shared" si="38"/>
        <v>0</v>
      </c>
      <c r="AO80">
        <f t="shared" si="38"/>
        <v>0</v>
      </c>
      <c r="AP80">
        <f t="shared" si="38"/>
        <v>0</v>
      </c>
      <c r="AQ80">
        <f t="shared" si="38"/>
        <v>0</v>
      </c>
      <c r="AR80">
        <f>F80+H80+I80+J80+K80+L80+M80+N80+O80+P80</f>
        <v>0.3</v>
      </c>
      <c r="AS80">
        <f>D80+G117-AR80</f>
        <v>22.91</v>
      </c>
    </row>
    <row r="81" spans="1:45" ht="20.25" customHeight="1">
      <c r="A81" t="s">
        <v>21</v>
      </c>
      <c r="B81" t="s">
        <v>22</v>
      </c>
      <c r="C81" t="s">
        <v>23</v>
      </c>
      <c r="D81">
        <f>D16</f>
        <v>50.44</v>
      </c>
      <c r="E81">
        <f t="shared" si="39"/>
        <v>50.43</v>
      </c>
      <c r="F81">
        <f>H16</f>
        <v>0</v>
      </c>
      <c r="G81">
        <f>I16</f>
        <v>0</v>
      </c>
      <c r="H81">
        <f>D81-AR81</f>
        <v>50.43</v>
      </c>
      <c r="I81">
        <f>N16</f>
        <v>0</v>
      </c>
      <c r="J81">
        <f t="shared" ref="J81:O82" si="41">P16</f>
        <v>0</v>
      </c>
      <c r="K81">
        <f t="shared" si="41"/>
        <v>0</v>
      </c>
      <c r="L81">
        <f t="shared" si="41"/>
        <v>0</v>
      </c>
      <c r="M81">
        <f t="shared" si="41"/>
        <v>0</v>
      </c>
      <c r="N81">
        <f t="shared" si="41"/>
        <v>0</v>
      </c>
      <c r="O81">
        <f t="shared" si="41"/>
        <v>0</v>
      </c>
      <c r="P81">
        <f t="shared" si="40"/>
        <v>0.01</v>
      </c>
      <c r="Q81">
        <f t="shared" ref="Q81:Y82" si="42">W16</f>
        <v>0</v>
      </c>
      <c r="R81">
        <f t="shared" si="42"/>
        <v>0</v>
      </c>
      <c r="S81">
        <f t="shared" si="42"/>
        <v>0</v>
      </c>
      <c r="T81">
        <f t="shared" si="42"/>
        <v>0</v>
      </c>
      <c r="U81">
        <f t="shared" si="42"/>
        <v>0</v>
      </c>
      <c r="V81">
        <f t="shared" si="42"/>
        <v>0</v>
      </c>
      <c r="W81">
        <f t="shared" si="42"/>
        <v>0</v>
      </c>
      <c r="X81">
        <f t="shared" si="42"/>
        <v>0</v>
      </c>
      <c r="Y81">
        <f t="shared" si="42"/>
        <v>0.01</v>
      </c>
      <c r="Z81">
        <f t="shared" ref="Z81:AI82" si="43">AQ16</f>
        <v>0</v>
      </c>
      <c r="AA81">
        <f t="shared" si="43"/>
        <v>0</v>
      </c>
      <c r="AB81">
        <f t="shared" si="43"/>
        <v>0</v>
      </c>
      <c r="AC81">
        <f t="shared" si="43"/>
        <v>0</v>
      </c>
      <c r="AD81">
        <f t="shared" si="43"/>
        <v>0</v>
      </c>
      <c r="AE81">
        <f t="shared" si="43"/>
        <v>0</v>
      </c>
      <c r="AF81">
        <f t="shared" si="43"/>
        <v>0</v>
      </c>
      <c r="AG81">
        <f t="shared" si="43"/>
        <v>0</v>
      </c>
      <c r="AH81">
        <f t="shared" si="43"/>
        <v>0</v>
      </c>
      <c r="AI81">
        <f t="shared" si="43"/>
        <v>0</v>
      </c>
      <c r="AJ81">
        <f t="shared" ref="AJ81:AQ82" si="44">BA16</f>
        <v>0</v>
      </c>
      <c r="AK81">
        <f t="shared" si="44"/>
        <v>0</v>
      </c>
      <c r="AL81">
        <f t="shared" si="44"/>
        <v>0</v>
      </c>
      <c r="AM81">
        <f t="shared" si="44"/>
        <v>0</v>
      </c>
      <c r="AN81">
        <f t="shared" si="44"/>
        <v>0</v>
      </c>
      <c r="AO81">
        <f t="shared" si="44"/>
        <v>0</v>
      </c>
      <c r="AP81">
        <f t="shared" si="44"/>
        <v>0</v>
      </c>
      <c r="AQ81">
        <f t="shared" si="44"/>
        <v>0</v>
      </c>
      <c r="AR81">
        <f>F81+I81+J81+K81+L81+M81+N81+O81+P81</f>
        <v>0.01</v>
      </c>
      <c r="AS81">
        <f>D81+H117-AR81</f>
        <v>50.43</v>
      </c>
    </row>
    <row r="82" spans="1:45" ht="20.25" customHeight="1">
      <c r="A82" t="s">
        <v>24</v>
      </c>
      <c r="B82" t="s">
        <v>25</v>
      </c>
      <c r="C82" t="s">
        <v>26</v>
      </c>
      <c r="D82">
        <f>D17</f>
        <v>41.48</v>
      </c>
      <c r="E82">
        <f t="shared" si="39"/>
        <v>40.94</v>
      </c>
      <c r="F82">
        <f>H17</f>
        <v>0</v>
      </c>
      <c r="G82">
        <f>I17</f>
        <v>0</v>
      </c>
      <c r="H82">
        <f>M17</f>
        <v>0</v>
      </c>
      <c r="I82">
        <f>D82-AR82</f>
        <v>40.94</v>
      </c>
      <c r="J82">
        <f t="shared" si="41"/>
        <v>0</v>
      </c>
      <c r="K82">
        <f t="shared" si="41"/>
        <v>0</v>
      </c>
      <c r="L82">
        <f t="shared" si="41"/>
        <v>0</v>
      </c>
      <c r="M82">
        <f t="shared" si="41"/>
        <v>0</v>
      </c>
      <c r="N82">
        <f t="shared" si="41"/>
        <v>0</v>
      </c>
      <c r="O82">
        <f t="shared" si="41"/>
        <v>0</v>
      </c>
      <c r="P82">
        <f t="shared" si="40"/>
        <v>0.54</v>
      </c>
      <c r="Q82">
        <f t="shared" si="42"/>
        <v>0</v>
      </c>
      <c r="R82">
        <f t="shared" si="42"/>
        <v>0</v>
      </c>
      <c r="S82">
        <f t="shared" si="42"/>
        <v>0</v>
      </c>
      <c r="T82">
        <f t="shared" si="42"/>
        <v>0</v>
      </c>
      <c r="U82">
        <f t="shared" si="42"/>
        <v>0</v>
      </c>
      <c r="V82">
        <f t="shared" si="42"/>
        <v>0</v>
      </c>
      <c r="W82">
        <f t="shared" si="42"/>
        <v>0</v>
      </c>
      <c r="X82">
        <f t="shared" si="42"/>
        <v>0</v>
      </c>
      <c r="Y82">
        <f t="shared" si="42"/>
        <v>0.04</v>
      </c>
      <c r="Z82">
        <f t="shared" si="43"/>
        <v>0</v>
      </c>
      <c r="AA82">
        <f t="shared" si="43"/>
        <v>0</v>
      </c>
      <c r="AB82">
        <f t="shared" si="43"/>
        <v>0</v>
      </c>
      <c r="AC82">
        <f t="shared" si="43"/>
        <v>0.5</v>
      </c>
      <c r="AD82">
        <f t="shared" si="43"/>
        <v>0</v>
      </c>
      <c r="AE82">
        <f t="shared" si="43"/>
        <v>0</v>
      </c>
      <c r="AF82">
        <f t="shared" si="43"/>
        <v>0</v>
      </c>
      <c r="AG82">
        <f t="shared" si="43"/>
        <v>0</v>
      </c>
      <c r="AH82">
        <f t="shared" si="43"/>
        <v>0</v>
      </c>
      <c r="AI82">
        <f t="shared" si="43"/>
        <v>0</v>
      </c>
      <c r="AJ82">
        <f t="shared" si="44"/>
        <v>0</v>
      </c>
      <c r="AK82">
        <f t="shared" si="44"/>
        <v>0</v>
      </c>
      <c r="AL82">
        <f t="shared" si="44"/>
        <v>0</v>
      </c>
      <c r="AM82">
        <f t="shared" si="44"/>
        <v>0</v>
      </c>
      <c r="AN82">
        <f t="shared" si="44"/>
        <v>0</v>
      </c>
      <c r="AO82">
        <f t="shared" si="44"/>
        <v>0</v>
      </c>
      <c r="AP82">
        <f t="shared" si="44"/>
        <v>0</v>
      </c>
      <c r="AQ82">
        <f t="shared" si="44"/>
        <v>0</v>
      </c>
      <c r="AR82">
        <f>F82+H82+J82+K82+L82+M82+N82+O82+P82</f>
        <v>0.54</v>
      </c>
      <c r="AS82">
        <f>D82+I117-AR82</f>
        <v>40.94</v>
      </c>
    </row>
    <row r="83" spans="1:45" ht="20.25" customHeight="1">
      <c r="A83" t="s">
        <v>27</v>
      </c>
      <c r="B83" t="s">
        <v>28</v>
      </c>
      <c r="C83" t="s">
        <v>29</v>
      </c>
      <c r="D83">
        <f t="shared" ref="D83:D88" si="45">D19</f>
        <v>956.86</v>
      </c>
      <c r="E83">
        <f t="shared" si="39"/>
        <v>956.86</v>
      </c>
      <c r="F83">
        <f>H20</f>
        <v>0</v>
      </c>
      <c r="G83">
        <f>I20</f>
        <v>0</v>
      </c>
      <c r="H83">
        <f>M20</f>
        <v>0</v>
      </c>
      <c r="I83">
        <f>N20</f>
        <v>0</v>
      </c>
      <c r="J83">
        <f>D83-AR83</f>
        <v>956.86</v>
      </c>
      <c r="K83">
        <f>Q19</f>
        <v>0</v>
      </c>
      <c r="L83">
        <f>R19</f>
        <v>0</v>
      </c>
      <c r="M83">
        <f t="shared" ref="M83:O84" si="46">S20</f>
        <v>0</v>
      </c>
      <c r="N83">
        <f t="shared" si="46"/>
        <v>0</v>
      </c>
      <c r="O83">
        <f t="shared" si="46"/>
        <v>0</v>
      </c>
      <c r="P83">
        <f t="shared" si="40"/>
        <v>0</v>
      </c>
      <c r="Q83">
        <f>W20</f>
        <v>0</v>
      </c>
      <c r="R83">
        <f>X20</f>
        <v>0</v>
      </c>
      <c r="S83">
        <f>Z20</f>
        <v>0</v>
      </c>
      <c r="T83">
        <f t="shared" ref="T83:Y84" si="47">Z20</f>
        <v>0</v>
      </c>
      <c r="U83">
        <f t="shared" si="47"/>
        <v>0</v>
      </c>
      <c r="V83">
        <f t="shared" si="47"/>
        <v>0</v>
      </c>
      <c r="W83">
        <f t="shared" si="47"/>
        <v>0</v>
      </c>
      <c r="X83">
        <f t="shared" si="47"/>
        <v>0</v>
      </c>
      <c r="Y83">
        <f t="shared" si="47"/>
        <v>0</v>
      </c>
      <c r="Z83">
        <f t="shared" ref="Z83:AI84" si="48">AQ20</f>
        <v>0</v>
      </c>
      <c r="AA83">
        <f t="shared" si="48"/>
        <v>0</v>
      </c>
      <c r="AB83">
        <f t="shared" si="48"/>
        <v>0</v>
      </c>
      <c r="AC83">
        <f t="shared" si="48"/>
        <v>0</v>
      </c>
      <c r="AD83">
        <f t="shared" si="48"/>
        <v>0</v>
      </c>
      <c r="AE83">
        <f t="shared" si="48"/>
        <v>0</v>
      </c>
      <c r="AF83">
        <f t="shared" si="48"/>
        <v>0</v>
      </c>
      <c r="AG83">
        <f t="shared" si="48"/>
        <v>0</v>
      </c>
      <c r="AH83">
        <f t="shared" si="48"/>
        <v>0</v>
      </c>
      <c r="AI83">
        <f t="shared" si="48"/>
        <v>0</v>
      </c>
      <c r="AJ83">
        <f t="shared" ref="AJ83:AQ84" si="49">BA20</f>
        <v>0</v>
      </c>
      <c r="AK83">
        <f t="shared" si="49"/>
        <v>0</v>
      </c>
      <c r="AL83">
        <f t="shared" si="49"/>
        <v>0</v>
      </c>
      <c r="AM83">
        <f t="shared" si="49"/>
        <v>0</v>
      </c>
      <c r="AN83">
        <f t="shared" si="49"/>
        <v>0</v>
      </c>
      <c r="AO83">
        <f t="shared" si="49"/>
        <v>0</v>
      </c>
      <c r="AP83">
        <f t="shared" si="49"/>
        <v>0</v>
      </c>
      <c r="AQ83">
        <f t="shared" si="49"/>
        <v>0</v>
      </c>
      <c r="AR83">
        <f>F83+H83+I83+K83+L83+M83+N83+O83+P83</f>
        <v>0</v>
      </c>
      <c r="AS83">
        <f>D83+J117-AR83</f>
        <v>956.86</v>
      </c>
    </row>
    <row r="84" spans="1:45" ht="20.25" customHeight="1">
      <c r="A84" t="s">
        <v>30</v>
      </c>
      <c r="B84" t="s">
        <v>31</v>
      </c>
      <c r="C84" t="s">
        <v>32</v>
      </c>
      <c r="D84">
        <f t="shared" si="45"/>
        <v>0</v>
      </c>
      <c r="E84">
        <f t="shared" si="39"/>
        <v>-1.9999999999999574E-2</v>
      </c>
      <c r="F84">
        <f>H21</f>
        <v>0</v>
      </c>
      <c r="G84">
        <f>I21</f>
        <v>0</v>
      </c>
      <c r="H84">
        <f>M21</f>
        <v>0</v>
      </c>
      <c r="I84">
        <f>N21</f>
        <v>0</v>
      </c>
      <c r="J84">
        <f>P20</f>
        <v>0</v>
      </c>
      <c r="K84">
        <f>D84-AR84</f>
        <v>-4.5799999999999992</v>
      </c>
      <c r="L84">
        <f>R20</f>
        <v>0</v>
      </c>
      <c r="M84">
        <f t="shared" si="46"/>
        <v>4.5599999999999996</v>
      </c>
      <c r="N84">
        <f t="shared" si="46"/>
        <v>0</v>
      </c>
      <c r="O84">
        <f t="shared" si="46"/>
        <v>0</v>
      </c>
      <c r="P84">
        <f t="shared" si="40"/>
        <v>0.02</v>
      </c>
      <c r="Q84">
        <f>W21</f>
        <v>0</v>
      </c>
      <c r="R84">
        <f>X21</f>
        <v>0</v>
      </c>
      <c r="S84">
        <f>Z21</f>
        <v>0</v>
      </c>
      <c r="T84">
        <f t="shared" si="47"/>
        <v>0</v>
      </c>
      <c r="U84">
        <f t="shared" si="47"/>
        <v>0</v>
      </c>
      <c r="V84">
        <f t="shared" si="47"/>
        <v>0</v>
      </c>
      <c r="W84">
        <f t="shared" si="47"/>
        <v>0</v>
      </c>
      <c r="X84">
        <f t="shared" si="47"/>
        <v>0</v>
      </c>
      <c r="Y84">
        <f t="shared" si="47"/>
        <v>0.02</v>
      </c>
      <c r="Z84">
        <f t="shared" si="48"/>
        <v>0</v>
      </c>
      <c r="AA84">
        <f t="shared" si="48"/>
        <v>0</v>
      </c>
      <c r="AB84">
        <f t="shared" si="48"/>
        <v>0</v>
      </c>
      <c r="AC84">
        <f t="shared" si="48"/>
        <v>0</v>
      </c>
      <c r="AD84">
        <f t="shared" si="48"/>
        <v>0</v>
      </c>
      <c r="AE84">
        <f t="shared" si="48"/>
        <v>0</v>
      </c>
      <c r="AF84">
        <f t="shared" si="48"/>
        <v>0</v>
      </c>
      <c r="AG84">
        <f t="shared" si="48"/>
        <v>0</v>
      </c>
      <c r="AH84">
        <f t="shared" si="48"/>
        <v>0</v>
      </c>
      <c r="AI84">
        <f t="shared" si="48"/>
        <v>0</v>
      </c>
      <c r="AJ84">
        <f t="shared" si="49"/>
        <v>0</v>
      </c>
      <c r="AK84">
        <f t="shared" si="49"/>
        <v>0</v>
      </c>
      <c r="AL84">
        <f t="shared" si="49"/>
        <v>0</v>
      </c>
      <c r="AM84">
        <f t="shared" si="49"/>
        <v>0</v>
      </c>
      <c r="AN84">
        <f t="shared" si="49"/>
        <v>0</v>
      </c>
      <c r="AO84">
        <f t="shared" si="49"/>
        <v>0</v>
      </c>
      <c r="AP84">
        <f t="shared" si="49"/>
        <v>0</v>
      </c>
      <c r="AQ84">
        <f t="shared" si="49"/>
        <v>0</v>
      </c>
      <c r="AR84">
        <f>F84+H84+I84+J84+L84+M84+N84+O84+P84</f>
        <v>4.5799999999999992</v>
      </c>
      <c r="AS84">
        <f>D84+K117-AR84</f>
        <v>-4.5799999999999992</v>
      </c>
    </row>
    <row r="85" spans="1:45" ht="20.25" customHeight="1">
      <c r="A85" t="s">
        <v>33</v>
      </c>
      <c r="B85" t="s">
        <v>34</v>
      </c>
      <c r="C85" t="s">
        <v>35</v>
      </c>
      <c r="D85">
        <f t="shared" si="45"/>
        <v>579.66999999999996</v>
      </c>
      <c r="E85">
        <f t="shared" si="39"/>
        <v>579.66999999999996</v>
      </c>
      <c r="F85">
        <f>H19</f>
        <v>0</v>
      </c>
      <c r="G85">
        <f>I19</f>
        <v>0</v>
      </c>
      <c r="H85">
        <f>M19</f>
        <v>0</v>
      </c>
      <c r="I85">
        <f>N19</f>
        <v>0</v>
      </c>
      <c r="J85">
        <f>P21</f>
        <v>0</v>
      </c>
      <c r="K85">
        <f>Q21</f>
        <v>0</v>
      </c>
      <c r="L85">
        <f>D85-AR85</f>
        <v>579.66999999999996</v>
      </c>
      <c r="M85">
        <f>S19</f>
        <v>0</v>
      </c>
      <c r="N85">
        <f>T19</f>
        <v>0</v>
      </c>
      <c r="O85">
        <f>U19</f>
        <v>0</v>
      </c>
      <c r="P85">
        <f t="shared" si="40"/>
        <v>0</v>
      </c>
      <c r="Q85">
        <f t="shared" ref="Q85:Y85" si="50">W19</f>
        <v>0</v>
      </c>
      <c r="R85">
        <f t="shared" si="50"/>
        <v>0</v>
      </c>
      <c r="S85">
        <f t="shared" si="50"/>
        <v>0</v>
      </c>
      <c r="T85">
        <f t="shared" si="50"/>
        <v>0</v>
      </c>
      <c r="U85">
        <f t="shared" si="50"/>
        <v>0</v>
      </c>
      <c r="V85">
        <f t="shared" si="50"/>
        <v>0</v>
      </c>
      <c r="W85">
        <f t="shared" si="50"/>
        <v>0</v>
      </c>
      <c r="X85">
        <f t="shared" si="50"/>
        <v>0</v>
      </c>
      <c r="Y85">
        <f t="shared" si="50"/>
        <v>0</v>
      </c>
      <c r="Z85">
        <f>AQ19</f>
        <v>0</v>
      </c>
      <c r="AA85">
        <f t="shared" ref="AA85:AQ85" si="51">AR19</f>
        <v>0</v>
      </c>
      <c r="AB85">
        <f t="shared" si="51"/>
        <v>0</v>
      </c>
      <c r="AC85">
        <f t="shared" si="51"/>
        <v>0</v>
      </c>
      <c r="AD85">
        <f t="shared" si="51"/>
        <v>0</v>
      </c>
      <c r="AE85">
        <f t="shared" si="51"/>
        <v>0</v>
      </c>
      <c r="AF85">
        <f t="shared" si="51"/>
        <v>0</v>
      </c>
      <c r="AG85">
        <f t="shared" si="51"/>
        <v>0</v>
      </c>
      <c r="AH85">
        <f t="shared" si="51"/>
        <v>0</v>
      </c>
      <c r="AI85">
        <f t="shared" si="51"/>
        <v>0</v>
      </c>
      <c r="AJ85">
        <f t="shared" si="51"/>
        <v>0</v>
      </c>
      <c r="AK85">
        <f t="shared" si="51"/>
        <v>0</v>
      </c>
      <c r="AL85">
        <f t="shared" si="51"/>
        <v>0</v>
      </c>
      <c r="AM85">
        <f t="shared" si="51"/>
        <v>0</v>
      </c>
      <c r="AN85">
        <f t="shared" si="51"/>
        <v>0</v>
      </c>
      <c r="AO85">
        <f t="shared" si="51"/>
        <v>0</v>
      </c>
      <c r="AP85">
        <f t="shared" si="51"/>
        <v>0</v>
      </c>
      <c r="AQ85">
        <f t="shared" si="51"/>
        <v>0</v>
      </c>
      <c r="AR85">
        <f>F85+H85+I85+J85+K85+M85+N85+O85+P85</f>
        <v>0</v>
      </c>
      <c r="AS85">
        <f>D85+L117-AR85</f>
        <v>579.66999999999996</v>
      </c>
    </row>
    <row r="86" spans="1:45" ht="20.25" customHeight="1">
      <c r="A86" t="s">
        <v>36</v>
      </c>
      <c r="B86" t="s">
        <v>37</v>
      </c>
      <c r="C86" t="s">
        <v>38</v>
      </c>
      <c r="D86">
        <f t="shared" si="45"/>
        <v>84.53</v>
      </c>
      <c r="E86">
        <f t="shared" si="39"/>
        <v>84.53</v>
      </c>
      <c r="F86">
        <f t="shared" ref="F86:G88" si="52">H22</f>
        <v>0</v>
      </c>
      <c r="G86">
        <f t="shared" si="52"/>
        <v>0</v>
      </c>
      <c r="H86">
        <f t="shared" ref="H86:I88" si="53">M22</f>
        <v>0</v>
      </c>
      <c r="I86">
        <f t="shared" si="53"/>
        <v>0</v>
      </c>
      <c r="J86">
        <f>P22</f>
        <v>0</v>
      </c>
      <c r="K86">
        <f>Q22</f>
        <v>0</v>
      </c>
      <c r="L86">
        <f>R22</f>
        <v>0</v>
      </c>
      <c r="M86">
        <f>D86-AR86</f>
        <v>84.53</v>
      </c>
      <c r="N86">
        <f>T22</f>
        <v>0</v>
      </c>
      <c r="O86">
        <f>U22</f>
        <v>0</v>
      </c>
      <c r="P86">
        <f>SUM(Q86:AP86)</f>
        <v>0</v>
      </c>
      <c r="Q86">
        <f t="shared" ref="Q86:Y88" si="54">W22</f>
        <v>0</v>
      </c>
      <c r="R86">
        <f t="shared" si="54"/>
        <v>0</v>
      </c>
      <c r="S86">
        <f t="shared" si="54"/>
        <v>0</v>
      </c>
      <c r="T86">
        <f t="shared" si="54"/>
        <v>0</v>
      </c>
      <c r="U86">
        <f t="shared" si="54"/>
        <v>0</v>
      </c>
      <c r="V86">
        <f t="shared" si="54"/>
        <v>0</v>
      </c>
      <c r="W86">
        <f t="shared" si="54"/>
        <v>0</v>
      </c>
      <c r="X86">
        <f t="shared" si="54"/>
        <v>0</v>
      </c>
      <c r="Y86">
        <f t="shared" si="54"/>
        <v>0</v>
      </c>
      <c r="Z86">
        <f t="shared" ref="Z86:AP86" si="55">AQ22</f>
        <v>0</v>
      </c>
      <c r="AA86">
        <f t="shared" si="55"/>
        <v>0</v>
      </c>
      <c r="AB86">
        <f t="shared" si="55"/>
        <v>0</v>
      </c>
      <c r="AC86">
        <f t="shared" si="55"/>
        <v>0</v>
      </c>
      <c r="AD86">
        <f t="shared" si="55"/>
        <v>0</v>
      </c>
      <c r="AE86">
        <f t="shared" si="55"/>
        <v>0</v>
      </c>
      <c r="AF86">
        <f t="shared" si="55"/>
        <v>0</v>
      </c>
      <c r="AG86">
        <f t="shared" si="55"/>
        <v>0</v>
      </c>
      <c r="AH86">
        <f t="shared" si="55"/>
        <v>0</v>
      </c>
      <c r="AI86">
        <f t="shared" si="55"/>
        <v>0</v>
      </c>
      <c r="AJ86">
        <f t="shared" si="55"/>
        <v>0</v>
      </c>
      <c r="AK86">
        <f t="shared" si="55"/>
        <v>0</v>
      </c>
      <c r="AL86">
        <f t="shared" si="55"/>
        <v>0</v>
      </c>
      <c r="AM86">
        <f t="shared" si="55"/>
        <v>0</v>
      </c>
      <c r="AN86">
        <f t="shared" si="55"/>
        <v>0</v>
      </c>
      <c r="AO86">
        <f t="shared" si="55"/>
        <v>0</v>
      </c>
      <c r="AP86">
        <f t="shared" si="55"/>
        <v>0</v>
      </c>
      <c r="AQ86">
        <f>BH22</f>
        <v>0</v>
      </c>
      <c r="AR86">
        <f>F86+H86+I86+J86+K86+L86+N86+O86+P86</f>
        <v>0</v>
      </c>
      <c r="AS86">
        <f>D86+M117-AR86</f>
        <v>90.5</v>
      </c>
    </row>
    <row r="87" spans="1:45" ht="20.25" customHeight="1">
      <c r="A87" t="s">
        <v>39</v>
      </c>
      <c r="B87" t="s">
        <v>40</v>
      </c>
      <c r="C87" t="s">
        <v>41</v>
      </c>
      <c r="D87">
        <f t="shared" si="45"/>
        <v>0</v>
      </c>
      <c r="E87">
        <f t="shared" si="39"/>
        <v>0</v>
      </c>
      <c r="F87">
        <f t="shared" si="52"/>
        <v>0</v>
      </c>
      <c r="G87">
        <f t="shared" si="52"/>
        <v>0</v>
      </c>
      <c r="H87">
        <f t="shared" si="53"/>
        <v>0</v>
      </c>
      <c r="I87">
        <f t="shared" si="53"/>
        <v>0</v>
      </c>
      <c r="J87">
        <f>P23</f>
        <v>0</v>
      </c>
      <c r="K87">
        <f>Q23</f>
        <v>0</v>
      </c>
      <c r="L87">
        <f>R23</f>
        <v>0</v>
      </c>
      <c r="M87">
        <f>S23</f>
        <v>0</v>
      </c>
      <c r="N87">
        <f>D87-AR87</f>
        <v>0</v>
      </c>
      <c r="O87">
        <f>U23</f>
        <v>0</v>
      </c>
      <c r="P87">
        <f t="shared" si="40"/>
        <v>0</v>
      </c>
      <c r="Q87">
        <f t="shared" si="54"/>
        <v>0</v>
      </c>
      <c r="R87">
        <f t="shared" si="54"/>
        <v>0</v>
      </c>
      <c r="S87">
        <f t="shared" si="54"/>
        <v>0</v>
      </c>
      <c r="T87">
        <f t="shared" si="54"/>
        <v>0</v>
      </c>
      <c r="U87">
        <f t="shared" si="54"/>
        <v>0</v>
      </c>
      <c r="V87">
        <f t="shared" si="54"/>
        <v>0</v>
      </c>
      <c r="W87">
        <f t="shared" si="54"/>
        <v>0</v>
      </c>
      <c r="X87">
        <f t="shared" si="54"/>
        <v>0</v>
      </c>
      <c r="Y87">
        <f t="shared" si="54"/>
        <v>0</v>
      </c>
      <c r="Z87">
        <f t="shared" ref="Z87:AI88" si="56">AQ23</f>
        <v>0</v>
      </c>
      <c r="AA87">
        <f t="shared" si="56"/>
        <v>0</v>
      </c>
      <c r="AB87">
        <f t="shared" si="56"/>
        <v>0</v>
      </c>
      <c r="AC87">
        <f t="shared" si="56"/>
        <v>0</v>
      </c>
      <c r="AD87">
        <f t="shared" si="56"/>
        <v>0</v>
      </c>
      <c r="AE87">
        <f t="shared" si="56"/>
        <v>0</v>
      </c>
      <c r="AF87">
        <f t="shared" si="56"/>
        <v>0</v>
      </c>
      <c r="AG87">
        <f t="shared" si="56"/>
        <v>0</v>
      </c>
      <c r="AH87">
        <f t="shared" si="56"/>
        <v>0</v>
      </c>
      <c r="AI87">
        <f t="shared" si="56"/>
        <v>0</v>
      </c>
      <c r="AJ87">
        <f t="shared" ref="AJ87:AP88" si="57">BA23</f>
        <v>0</v>
      </c>
      <c r="AK87">
        <f t="shared" si="57"/>
        <v>0</v>
      </c>
      <c r="AL87">
        <f t="shared" si="57"/>
        <v>0</v>
      </c>
      <c r="AM87">
        <f t="shared" si="57"/>
        <v>0</v>
      </c>
      <c r="AN87">
        <f t="shared" si="57"/>
        <v>0</v>
      </c>
      <c r="AO87">
        <f t="shared" si="57"/>
        <v>0</v>
      </c>
      <c r="AP87">
        <f t="shared" si="57"/>
        <v>0</v>
      </c>
      <c r="AQ87">
        <f>BH23</f>
        <v>0</v>
      </c>
      <c r="AR87">
        <f>F87+H87+I87+J87+K87+L87+M87+O87+P87</f>
        <v>0</v>
      </c>
      <c r="AS87">
        <f>D87+N117-AR87</f>
        <v>0</v>
      </c>
    </row>
    <row r="88" spans="1:45" ht="20.25" customHeight="1">
      <c r="A88">
        <v>2</v>
      </c>
      <c r="B88" t="s">
        <v>43</v>
      </c>
      <c r="C88" t="s">
        <v>44</v>
      </c>
      <c r="D88">
        <f t="shared" si="45"/>
        <v>1.1100000000000001</v>
      </c>
      <c r="E88">
        <f t="shared" si="39"/>
        <v>1.1100000000000001</v>
      </c>
      <c r="F88">
        <f t="shared" si="52"/>
        <v>0</v>
      </c>
      <c r="G88">
        <f t="shared" si="52"/>
        <v>0</v>
      </c>
      <c r="H88">
        <f t="shared" si="53"/>
        <v>0</v>
      </c>
      <c r="I88">
        <f t="shared" si="53"/>
        <v>0</v>
      </c>
      <c r="J88">
        <f>P24</f>
        <v>0</v>
      </c>
      <c r="K88">
        <f>Q24</f>
        <v>0</v>
      </c>
      <c r="L88">
        <f>R24</f>
        <v>0</v>
      </c>
      <c r="M88">
        <f>S24</f>
        <v>0</v>
      </c>
      <c r="N88">
        <f>T24</f>
        <v>0</v>
      </c>
      <c r="O88">
        <f>D88-AR88</f>
        <v>1.1100000000000001</v>
      </c>
      <c r="P88">
        <f t="shared" si="40"/>
        <v>0</v>
      </c>
      <c r="Q88">
        <f t="shared" si="54"/>
        <v>0</v>
      </c>
      <c r="R88">
        <f t="shared" si="54"/>
        <v>0</v>
      </c>
      <c r="S88">
        <f t="shared" si="54"/>
        <v>0</v>
      </c>
      <c r="T88">
        <f t="shared" si="54"/>
        <v>0</v>
      </c>
      <c r="U88">
        <f t="shared" si="54"/>
        <v>0</v>
      </c>
      <c r="V88">
        <f t="shared" si="54"/>
        <v>0</v>
      </c>
      <c r="W88">
        <f t="shared" si="54"/>
        <v>0</v>
      </c>
      <c r="X88">
        <f t="shared" si="54"/>
        <v>0</v>
      </c>
      <c r="Y88">
        <f t="shared" si="54"/>
        <v>0</v>
      </c>
      <c r="Z88">
        <f t="shared" si="56"/>
        <v>0</v>
      </c>
      <c r="AA88">
        <f t="shared" si="56"/>
        <v>0</v>
      </c>
      <c r="AB88">
        <f t="shared" si="56"/>
        <v>0</v>
      </c>
      <c r="AC88">
        <f t="shared" si="56"/>
        <v>0</v>
      </c>
      <c r="AD88">
        <f t="shared" si="56"/>
        <v>0</v>
      </c>
      <c r="AE88">
        <f t="shared" si="56"/>
        <v>0</v>
      </c>
      <c r="AF88">
        <f t="shared" si="56"/>
        <v>0</v>
      </c>
      <c r="AG88">
        <f t="shared" si="56"/>
        <v>0</v>
      </c>
      <c r="AH88">
        <f t="shared" si="56"/>
        <v>0</v>
      </c>
      <c r="AI88">
        <f t="shared" si="56"/>
        <v>0</v>
      </c>
      <c r="AJ88">
        <f t="shared" si="57"/>
        <v>0</v>
      </c>
      <c r="AK88">
        <f t="shared" si="57"/>
        <v>0</v>
      </c>
      <c r="AL88">
        <f t="shared" si="57"/>
        <v>0</v>
      </c>
      <c r="AM88">
        <f t="shared" si="57"/>
        <v>0</v>
      </c>
      <c r="AN88">
        <f t="shared" si="57"/>
        <v>0</v>
      </c>
      <c r="AO88">
        <f t="shared" si="57"/>
        <v>0</v>
      </c>
      <c r="AP88">
        <f t="shared" si="57"/>
        <v>0</v>
      </c>
      <c r="AQ88">
        <f>BH24</f>
        <v>0</v>
      </c>
      <c r="AR88">
        <f>F88+H88+I88+J88+K88+L88+M88+N88+P88</f>
        <v>0</v>
      </c>
      <c r="AS88">
        <f>D88+O117-AR88</f>
        <v>1.1100000000000001</v>
      </c>
    </row>
    <row r="89" spans="1:45" ht="20.25" customHeight="1">
      <c r="A89">
        <v>2</v>
      </c>
      <c r="B89" t="s">
        <v>45</v>
      </c>
      <c r="C89" t="s">
        <v>46</v>
      </c>
      <c r="D89">
        <f>SUM(D90:D115)</f>
        <v>208.80950000000001</v>
      </c>
      <c r="E89">
        <f t="shared" ref="E89:AS89" si="58">SUM(E90:E115)</f>
        <v>0</v>
      </c>
      <c r="F89">
        <f t="shared" si="58"/>
        <v>0</v>
      </c>
      <c r="G89">
        <f t="shared" si="58"/>
        <v>0</v>
      </c>
      <c r="H89">
        <f t="shared" si="58"/>
        <v>0</v>
      </c>
      <c r="I89">
        <f t="shared" si="58"/>
        <v>0</v>
      </c>
      <c r="J89">
        <f t="shared" si="58"/>
        <v>0</v>
      </c>
      <c r="K89">
        <f t="shared" si="58"/>
        <v>0</v>
      </c>
      <c r="L89">
        <f t="shared" si="58"/>
        <v>0</v>
      </c>
      <c r="M89">
        <f t="shared" si="58"/>
        <v>0</v>
      </c>
      <c r="N89">
        <f t="shared" si="58"/>
        <v>0</v>
      </c>
      <c r="O89">
        <f t="shared" si="58"/>
        <v>0</v>
      </c>
      <c r="P89">
        <f t="shared" si="58"/>
        <v>208.80950000000001</v>
      </c>
      <c r="Q89">
        <f t="shared" si="58"/>
        <v>5.38</v>
      </c>
      <c r="R89">
        <f t="shared" si="58"/>
        <v>0</v>
      </c>
      <c r="S89">
        <f t="shared" si="58"/>
        <v>0</v>
      </c>
      <c r="T89">
        <f t="shared" si="58"/>
        <v>0</v>
      </c>
      <c r="U89">
        <f t="shared" si="58"/>
        <v>0</v>
      </c>
      <c r="V89">
        <f t="shared" si="58"/>
        <v>0</v>
      </c>
      <c r="W89">
        <f t="shared" si="58"/>
        <v>0.55000000000000004</v>
      </c>
      <c r="X89">
        <f t="shared" si="58"/>
        <v>0</v>
      </c>
      <c r="Y89">
        <f t="shared" si="58"/>
        <v>74.849499999999992</v>
      </c>
      <c r="Z89">
        <f t="shared" si="58"/>
        <v>0</v>
      </c>
      <c r="AA89">
        <f t="shared" si="58"/>
        <v>0</v>
      </c>
      <c r="AB89">
        <f t="shared" si="58"/>
        <v>0.16</v>
      </c>
      <c r="AC89">
        <f t="shared" si="58"/>
        <v>16.05</v>
      </c>
      <c r="AD89">
        <f t="shared" si="58"/>
        <v>0</v>
      </c>
      <c r="AE89">
        <f t="shared" si="58"/>
        <v>0.65</v>
      </c>
      <c r="AF89">
        <f t="shared" si="58"/>
        <v>0</v>
      </c>
      <c r="AG89">
        <f t="shared" si="58"/>
        <v>0</v>
      </c>
      <c r="AH89">
        <f t="shared" si="58"/>
        <v>0</v>
      </c>
      <c r="AI89">
        <f t="shared" si="58"/>
        <v>0.52</v>
      </c>
      <c r="AJ89">
        <f t="shared" si="58"/>
        <v>0</v>
      </c>
      <c r="AK89">
        <f t="shared" si="58"/>
        <v>0.34</v>
      </c>
      <c r="AL89">
        <f t="shared" si="58"/>
        <v>0.19</v>
      </c>
      <c r="AM89">
        <f t="shared" si="58"/>
        <v>0.08</v>
      </c>
      <c r="AN89">
        <f t="shared" si="58"/>
        <v>82.93</v>
      </c>
      <c r="AO89">
        <f t="shared" si="58"/>
        <v>27.11</v>
      </c>
      <c r="AP89">
        <f t="shared" si="58"/>
        <v>0</v>
      </c>
      <c r="AQ89">
        <f t="shared" si="58"/>
        <v>0</v>
      </c>
      <c r="AR89">
        <f>E89+AQ89</f>
        <v>0</v>
      </c>
      <c r="AS89">
        <f t="shared" si="58"/>
        <v>209.67950000000002</v>
      </c>
    </row>
    <row r="90" spans="1:45" ht="20.25" customHeight="1">
      <c r="A90" t="s">
        <v>47</v>
      </c>
      <c r="B90" t="s">
        <v>48</v>
      </c>
      <c r="C90" t="s">
        <v>49</v>
      </c>
      <c r="D90">
        <f t="shared" ref="D90:D98" si="59">D26</f>
        <v>5.38</v>
      </c>
      <c r="E90">
        <f t="shared" si="39"/>
        <v>0</v>
      </c>
      <c r="F90">
        <f t="shared" ref="F90:F98" si="60">H26</f>
        <v>0</v>
      </c>
      <c r="G90">
        <f t="shared" ref="G90:G98" si="61">I26</f>
        <v>0</v>
      </c>
      <c r="H90">
        <f t="shared" ref="H90:H98" si="62">M26</f>
        <v>0</v>
      </c>
      <c r="I90">
        <f t="shared" ref="I90:I98" si="63">N26</f>
        <v>0</v>
      </c>
      <c r="J90">
        <f t="shared" ref="J90:J98" si="64">P26</f>
        <v>0</v>
      </c>
      <c r="K90">
        <f t="shared" ref="K90:K98" si="65">Q26</f>
        <v>0</v>
      </c>
      <c r="L90">
        <f t="shared" ref="L90:L98" si="66">R26</f>
        <v>0</v>
      </c>
      <c r="M90">
        <f t="shared" ref="M90:M98" si="67">S26</f>
        <v>0</v>
      </c>
      <c r="N90">
        <f t="shared" ref="N90:N98" si="68">T26</f>
        <v>0</v>
      </c>
      <c r="O90">
        <f t="shared" ref="O90:O98" si="69">U26</f>
        <v>0</v>
      </c>
      <c r="P90">
        <f>SUM(Q90:AP90)</f>
        <v>5.38</v>
      </c>
      <c r="Q90">
        <f>D90-AR90</f>
        <v>5.38</v>
      </c>
      <c r="R90">
        <f t="shared" ref="R90:Y90" si="70">X26</f>
        <v>0</v>
      </c>
      <c r="S90">
        <f t="shared" si="70"/>
        <v>0</v>
      </c>
      <c r="T90">
        <f t="shared" si="70"/>
        <v>0</v>
      </c>
      <c r="U90">
        <f t="shared" si="70"/>
        <v>0</v>
      </c>
      <c r="V90">
        <f t="shared" si="70"/>
        <v>0</v>
      </c>
      <c r="W90">
        <f t="shared" si="70"/>
        <v>0</v>
      </c>
      <c r="X90">
        <f t="shared" si="70"/>
        <v>0</v>
      </c>
      <c r="Y90">
        <f t="shared" si="70"/>
        <v>0</v>
      </c>
      <c r="Z90">
        <f t="shared" ref="Z90:AP90" si="71">AQ26</f>
        <v>0</v>
      </c>
      <c r="AA90">
        <f t="shared" si="71"/>
        <v>0</v>
      </c>
      <c r="AB90">
        <f t="shared" si="71"/>
        <v>0</v>
      </c>
      <c r="AC90">
        <f t="shared" si="71"/>
        <v>0</v>
      </c>
      <c r="AD90">
        <f t="shared" si="71"/>
        <v>0</v>
      </c>
      <c r="AE90">
        <f t="shared" si="71"/>
        <v>0</v>
      </c>
      <c r="AF90">
        <f t="shared" si="71"/>
        <v>0</v>
      </c>
      <c r="AG90">
        <f t="shared" si="71"/>
        <v>0</v>
      </c>
      <c r="AH90">
        <f t="shared" si="71"/>
        <v>0</v>
      </c>
      <c r="AI90">
        <f t="shared" si="71"/>
        <v>0</v>
      </c>
      <c r="AJ90">
        <f t="shared" si="71"/>
        <v>0</v>
      </c>
      <c r="AK90">
        <f t="shared" si="71"/>
        <v>0</v>
      </c>
      <c r="AL90">
        <f t="shared" si="71"/>
        <v>0</v>
      </c>
      <c r="AM90">
        <f t="shared" si="71"/>
        <v>0</v>
      </c>
      <c r="AN90">
        <f t="shared" si="71"/>
        <v>0</v>
      </c>
      <c r="AO90">
        <f t="shared" si="71"/>
        <v>0</v>
      </c>
      <c r="AP90">
        <f t="shared" si="71"/>
        <v>0</v>
      </c>
      <c r="AQ90">
        <f t="shared" ref="AQ90:AQ98" si="72">BH26</f>
        <v>0</v>
      </c>
      <c r="AR90">
        <f>E90+R90+S90+T90+U90+V90+W90+X90+Y90+Z90+AA90+AB90+AC90+AD90+AE90+AF90+AG90+AH90+AI90+AJ90+AK90+AL90+AM90+AN90+AO90+AP90+AQ90</f>
        <v>0</v>
      </c>
      <c r="AS90">
        <f>D90+Q117-AR90</f>
        <v>5.38</v>
      </c>
    </row>
    <row r="91" spans="1:45" ht="20.25" customHeight="1">
      <c r="A91" t="s">
        <v>50</v>
      </c>
      <c r="B91" t="s">
        <v>51</v>
      </c>
      <c r="C91" t="s">
        <v>52</v>
      </c>
      <c r="D91">
        <f t="shared" si="59"/>
        <v>0</v>
      </c>
      <c r="E91">
        <f t="shared" si="39"/>
        <v>0</v>
      </c>
      <c r="F91">
        <f t="shared" si="60"/>
        <v>0</v>
      </c>
      <c r="G91">
        <f t="shared" si="61"/>
        <v>0</v>
      </c>
      <c r="H91">
        <f t="shared" si="62"/>
        <v>0</v>
      </c>
      <c r="I91">
        <f t="shared" si="63"/>
        <v>0</v>
      </c>
      <c r="J91">
        <f t="shared" si="64"/>
        <v>0</v>
      </c>
      <c r="K91">
        <f t="shared" si="65"/>
        <v>0</v>
      </c>
      <c r="L91">
        <f t="shared" si="66"/>
        <v>0</v>
      </c>
      <c r="M91">
        <f t="shared" si="67"/>
        <v>0</v>
      </c>
      <c r="N91">
        <f t="shared" si="68"/>
        <v>0</v>
      </c>
      <c r="O91">
        <f t="shared" si="69"/>
        <v>0</v>
      </c>
      <c r="P91">
        <f t="shared" ref="P91:P115" si="73">SUM(Q91:AP91)</f>
        <v>0</v>
      </c>
      <c r="Q91">
        <f>W27</f>
        <v>0</v>
      </c>
      <c r="R91">
        <f>D91-AR91</f>
        <v>0</v>
      </c>
      <c r="S91">
        <f t="shared" ref="S91:Y91" si="74">Y27</f>
        <v>0</v>
      </c>
      <c r="T91">
        <f t="shared" si="74"/>
        <v>0</v>
      </c>
      <c r="U91">
        <f t="shared" si="74"/>
        <v>0</v>
      </c>
      <c r="V91">
        <f t="shared" si="74"/>
        <v>0</v>
      </c>
      <c r="W91">
        <f t="shared" si="74"/>
        <v>0</v>
      </c>
      <c r="X91">
        <f t="shared" si="74"/>
        <v>0</v>
      </c>
      <c r="Y91">
        <f t="shared" si="74"/>
        <v>0</v>
      </c>
      <c r="Z91">
        <f t="shared" ref="Z91:Z98" si="75">AQ27</f>
        <v>0</v>
      </c>
      <c r="AA91">
        <f t="shared" ref="AA91:AP98" si="76">AR27</f>
        <v>0</v>
      </c>
      <c r="AB91">
        <f t="shared" si="76"/>
        <v>0</v>
      </c>
      <c r="AC91">
        <f t="shared" si="76"/>
        <v>0</v>
      </c>
      <c r="AD91">
        <f t="shared" si="76"/>
        <v>0</v>
      </c>
      <c r="AE91">
        <f t="shared" si="76"/>
        <v>0</v>
      </c>
      <c r="AF91">
        <f t="shared" si="76"/>
        <v>0</v>
      </c>
      <c r="AG91">
        <f t="shared" si="76"/>
        <v>0</v>
      </c>
      <c r="AH91">
        <f t="shared" si="76"/>
        <v>0</v>
      </c>
      <c r="AI91">
        <f t="shared" si="76"/>
        <v>0</v>
      </c>
      <c r="AJ91">
        <f t="shared" si="76"/>
        <v>0</v>
      </c>
      <c r="AK91">
        <f t="shared" si="76"/>
        <v>0</v>
      </c>
      <c r="AL91">
        <f t="shared" si="76"/>
        <v>0</v>
      </c>
      <c r="AM91">
        <f t="shared" si="76"/>
        <v>0</v>
      </c>
      <c r="AN91">
        <f t="shared" si="76"/>
        <v>0</v>
      </c>
      <c r="AO91">
        <f t="shared" si="76"/>
        <v>0</v>
      </c>
      <c r="AP91">
        <f t="shared" si="76"/>
        <v>0</v>
      </c>
      <c r="AQ91">
        <f t="shared" si="72"/>
        <v>0</v>
      </c>
      <c r="AR91">
        <f>E91+Q91+S91+T91+U91+V91+W91+X91+Y91+Z91+AA91+AB91+AC91+AD91+AE91+AF91+AG91+AH91+AI91+AJ91+AK91+AL91+AM91+AN91+AO91+AP91+AQ91</f>
        <v>0</v>
      </c>
      <c r="AS91">
        <f>D91+R117-AR91</f>
        <v>0</v>
      </c>
    </row>
    <row r="92" spans="1:45" ht="20.25" customHeight="1">
      <c r="A92" t="s">
        <v>53</v>
      </c>
      <c r="B92" t="s">
        <v>54</v>
      </c>
      <c r="C92" t="s">
        <v>55</v>
      </c>
      <c r="D92">
        <f t="shared" si="59"/>
        <v>0</v>
      </c>
      <c r="E92">
        <f t="shared" si="39"/>
        <v>0</v>
      </c>
      <c r="F92">
        <f t="shared" si="60"/>
        <v>0</v>
      </c>
      <c r="G92">
        <f t="shared" si="61"/>
        <v>0</v>
      </c>
      <c r="H92">
        <f t="shared" si="62"/>
        <v>0</v>
      </c>
      <c r="I92">
        <f t="shared" si="63"/>
        <v>0</v>
      </c>
      <c r="J92">
        <f t="shared" si="64"/>
        <v>0</v>
      </c>
      <c r="K92">
        <f t="shared" si="65"/>
        <v>0</v>
      </c>
      <c r="L92">
        <f t="shared" si="66"/>
        <v>0</v>
      </c>
      <c r="M92">
        <f t="shared" si="67"/>
        <v>0</v>
      </c>
      <c r="N92">
        <f t="shared" si="68"/>
        <v>0</v>
      </c>
      <c r="O92">
        <f t="shared" si="69"/>
        <v>0</v>
      </c>
      <c r="P92">
        <f t="shared" si="73"/>
        <v>0</v>
      </c>
      <c r="Q92">
        <f t="shared" ref="Q92:S98" si="77">W28</f>
        <v>0</v>
      </c>
      <c r="R92">
        <f>X28</f>
        <v>0</v>
      </c>
      <c r="S92">
        <f>D92-AR92</f>
        <v>0</v>
      </c>
      <c r="T92">
        <f t="shared" ref="T92:Y92" si="78">Z28</f>
        <v>0</v>
      </c>
      <c r="U92">
        <f t="shared" si="78"/>
        <v>0</v>
      </c>
      <c r="V92">
        <f t="shared" si="78"/>
        <v>0</v>
      </c>
      <c r="W92">
        <f t="shared" si="78"/>
        <v>0</v>
      </c>
      <c r="X92">
        <f t="shared" si="78"/>
        <v>0</v>
      </c>
      <c r="Y92">
        <f t="shared" si="78"/>
        <v>0</v>
      </c>
      <c r="Z92">
        <f t="shared" si="75"/>
        <v>0</v>
      </c>
      <c r="AA92">
        <f t="shared" si="76"/>
        <v>0</v>
      </c>
      <c r="AB92">
        <f t="shared" si="76"/>
        <v>0</v>
      </c>
      <c r="AC92">
        <f t="shared" si="76"/>
        <v>0</v>
      </c>
      <c r="AD92">
        <f t="shared" si="76"/>
        <v>0</v>
      </c>
      <c r="AE92">
        <f t="shared" si="76"/>
        <v>0</v>
      </c>
      <c r="AF92">
        <f t="shared" si="76"/>
        <v>0</v>
      </c>
      <c r="AG92">
        <f t="shared" si="76"/>
        <v>0</v>
      </c>
      <c r="AH92">
        <f t="shared" si="76"/>
        <v>0</v>
      </c>
      <c r="AI92">
        <f t="shared" si="76"/>
        <v>0</v>
      </c>
      <c r="AJ92">
        <f t="shared" si="76"/>
        <v>0</v>
      </c>
      <c r="AK92">
        <f t="shared" si="76"/>
        <v>0</v>
      </c>
      <c r="AL92">
        <f t="shared" si="76"/>
        <v>0</v>
      </c>
      <c r="AM92">
        <f t="shared" si="76"/>
        <v>0</v>
      </c>
      <c r="AN92">
        <f t="shared" si="76"/>
        <v>0</v>
      </c>
      <c r="AO92">
        <f t="shared" si="76"/>
        <v>0</v>
      </c>
      <c r="AP92">
        <f t="shared" si="76"/>
        <v>0</v>
      </c>
      <c r="AQ92">
        <f t="shared" si="72"/>
        <v>0</v>
      </c>
      <c r="AR92">
        <f>E92+Q92+R92+T92+U92+V92+W92+X92+Y92+Z92+AA92+AB92+AC92+AD92+AE92+AF92+AG92+AH92+AI92+AJ92+AK92+AL92+AM92+AN92+AO92+AP92+AQ92</f>
        <v>0</v>
      </c>
      <c r="AS92">
        <f>D92+S117-AR92</f>
        <v>0</v>
      </c>
    </row>
    <row r="93" spans="1:45" ht="20.25" customHeight="1">
      <c r="A93" t="s">
        <v>56</v>
      </c>
      <c r="B93" t="s">
        <v>57</v>
      </c>
      <c r="C93" t="s">
        <v>58</v>
      </c>
      <c r="D93">
        <f t="shared" si="59"/>
        <v>0</v>
      </c>
      <c r="E93">
        <f t="shared" si="39"/>
        <v>0</v>
      </c>
      <c r="F93">
        <f t="shared" si="60"/>
        <v>0</v>
      </c>
      <c r="G93">
        <f t="shared" si="61"/>
        <v>0</v>
      </c>
      <c r="H93">
        <f t="shared" si="62"/>
        <v>0</v>
      </c>
      <c r="I93">
        <f t="shared" si="63"/>
        <v>0</v>
      </c>
      <c r="J93">
        <f t="shared" si="64"/>
        <v>0</v>
      </c>
      <c r="K93">
        <f t="shared" si="65"/>
        <v>0</v>
      </c>
      <c r="L93">
        <f t="shared" si="66"/>
        <v>0</v>
      </c>
      <c r="M93">
        <f t="shared" si="67"/>
        <v>0</v>
      </c>
      <c r="N93">
        <f t="shared" si="68"/>
        <v>0</v>
      </c>
      <c r="O93">
        <f t="shared" si="69"/>
        <v>0</v>
      </c>
      <c r="P93">
        <f t="shared" si="73"/>
        <v>0</v>
      </c>
      <c r="Q93">
        <f t="shared" si="77"/>
        <v>0</v>
      </c>
      <c r="R93">
        <f t="shared" si="77"/>
        <v>0</v>
      </c>
      <c r="S93">
        <f t="shared" si="77"/>
        <v>0</v>
      </c>
      <c r="T93">
        <f>D93-AR93</f>
        <v>0</v>
      </c>
      <c r="U93">
        <f>AA29</f>
        <v>0</v>
      </c>
      <c r="V93">
        <f>AB29</f>
        <v>0</v>
      </c>
      <c r="W93">
        <f>AC29</f>
        <v>0</v>
      </c>
      <c r="X93">
        <f>AD29</f>
        <v>0</v>
      </c>
      <c r="Y93">
        <f>AE29</f>
        <v>0</v>
      </c>
      <c r="Z93">
        <f t="shared" si="75"/>
        <v>0</v>
      </c>
      <c r="AA93">
        <f t="shared" si="76"/>
        <v>0</v>
      </c>
      <c r="AB93">
        <f t="shared" si="76"/>
        <v>0</v>
      </c>
      <c r="AC93">
        <f t="shared" si="76"/>
        <v>0</v>
      </c>
      <c r="AD93">
        <f t="shared" si="76"/>
        <v>0</v>
      </c>
      <c r="AE93">
        <f t="shared" si="76"/>
        <v>0</v>
      </c>
      <c r="AF93">
        <f t="shared" si="76"/>
        <v>0</v>
      </c>
      <c r="AG93">
        <f t="shared" si="76"/>
        <v>0</v>
      </c>
      <c r="AH93">
        <f t="shared" si="76"/>
        <v>0</v>
      </c>
      <c r="AI93">
        <f t="shared" si="76"/>
        <v>0</v>
      </c>
      <c r="AJ93">
        <f t="shared" si="76"/>
        <v>0</v>
      </c>
      <c r="AK93">
        <f t="shared" si="76"/>
        <v>0</v>
      </c>
      <c r="AL93">
        <f t="shared" si="76"/>
        <v>0</v>
      </c>
      <c r="AM93">
        <f t="shared" si="76"/>
        <v>0</v>
      </c>
      <c r="AN93">
        <f t="shared" si="76"/>
        <v>0</v>
      </c>
      <c r="AO93">
        <f t="shared" si="76"/>
        <v>0</v>
      </c>
      <c r="AP93">
        <f t="shared" si="76"/>
        <v>0</v>
      </c>
      <c r="AQ93">
        <f t="shared" si="72"/>
        <v>0</v>
      </c>
      <c r="AR93">
        <f>E93+Q93+R93+S93+U93+V93+W93+X93+Y93+Z93+AA93+AB93+AC93+AD93+AE93+AF93+AG93+AH93+AI93+AJ93+AK93+AL93+AM93+AN93+AO93+AP93+AQ93</f>
        <v>0</v>
      </c>
      <c r="AS93">
        <f>D93+T117-AR93</f>
        <v>0</v>
      </c>
    </row>
    <row r="94" spans="1:45" ht="20.25" customHeight="1">
      <c r="A94" t="s">
        <v>59</v>
      </c>
      <c r="B94" t="s">
        <v>60</v>
      </c>
      <c r="C94" t="s">
        <v>61</v>
      </c>
      <c r="D94">
        <f t="shared" si="59"/>
        <v>0</v>
      </c>
      <c r="E94">
        <f t="shared" si="39"/>
        <v>0</v>
      </c>
      <c r="F94">
        <f t="shared" si="60"/>
        <v>0</v>
      </c>
      <c r="G94">
        <f t="shared" si="61"/>
        <v>0</v>
      </c>
      <c r="H94">
        <f t="shared" si="62"/>
        <v>0</v>
      </c>
      <c r="I94">
        <f t="shared" si="63"/>
        <v>0</v>
      </c>
      <c r="J94">
        <f t="shared" si="64"/>
        <v>0</v>
      </c>
      <c r="K94">
        <f t="shared" si="65"/>
        <v>0</v>
      </c>
      <c r="L94">
        <f t="shared" si="66"/>
        <v>0</v>
      </c>
      <c r="M94">
        <f t="shared" si="67"/>
        <v>0</v>
      </c>
      <c r="N94">
        <f t="shared" si="68"/>
        <v>0</v>
      </c>
      <c r="O94">
        <f t="shared" si="69"/>
        <v>0</v>
      </c>
      <c r="P94">
        <f t="shared" si="73"/>
        <v>0</v>
      </c>
      <c r="Q94">
        <f t="shared" si="77"/>
        <v>0</v>
      </c>
      <c r="R94">
        <f t="shared" si="77"/>
        <v>0</v>
      </c>
      <c r="S94">
        <f t="shared" si="77"/>
        <v>0</v>
      </c>
      <c r="T94">
        <f>Z30</f>
        <v>0</v>
      </c>
      <c r="U94">
        <f>D94-AR94</f>
        <v>0</v>
      </c>
      <c r="V94">
        <f>AB30</f>
        <v>0</v>
      </c>
      <c r="W94">
        <f>AC30</f>
        <v>0</v>
      </c>
      <c r="X94">
        <f>AD30</f>
        <v>0</v>
      </c>
      <c r="Y94">
        <f>AE30</f>
        <v>0</v>
      </c>
      <c r="Z94">
        <f t="shared" si="75"/>
        <v>0</v>
      </c>
      <c r="AA94">
        <f t="shared" si="76"/>
        <v>0</v>
      </c>
      <c r="AB94">
        <f t="shared" si="76"/>
        <v>0</v>
      </c>
      <c r="AC94">
        <f t="shared" si="76"/>
        <v>0</v>
      </c>
      <c r="AD94">
        <f t="shared" si="76"/>
        <v>0</v>
      </c>
      <c r="AE94">
        <f t="shared" si="76"/>
        <v>0</v>
      </c>
      <c r="AF94">
        <f t="shared" si="76"/>
        <v>0</v>
      </c>
      <c r="AG94">
        <f t="shared" si="76"/>
        <v>0</v>
      </c>
      <c r="AH94">
        <f t="shared" si="76"/>
        <v>0</v>
      </c>
      <c r="AI94">
        <f t="shared" si="76"/>
        <v>0</v>
      </c>
      <c r="AJ94">
        <f t="shared" si="76"/>
        <v>0</v>
      </c>
      <c r="AK94">
        <f t="shared" si="76"/>
        <v>0</v>
      </c>
      <c r="AL94">
        <f t="shared" si="76"/>
        <v>0</v>
      </c>
      <c r="AM94">
        <f t="shared" si="76"/>
        <v>0</v>
      </c>
      <c r="AN94">
        <f t="shared" si="76"/>
        <v>0</v>
      </c>
      <c r="AO94">
        <f t="shared" si="76"/>
        <v>0</v>
      </c>
      <c r="AP94">
        <f t="shared" si="76"/>
        <v>0</v>
      </c>
      <c r="AQ94">
        <f t="shared" si="72"/>
        <v>0</v>
      </c>
      <c r="AR94">
        <f>E94+Q94+R94+S94+T94+V94+W94+X94+Y94+Z94+AA94+AB94+AC94+AD94+AE94+AF94+AG94+AH94+AI94+AJ94+AK94+AL94+AM94+AN94+AO94+AP94+AQ94</f>
        <v>0</v>
      </c>
      <c r="AS94">
        <f>D94+U117-AR94</f>
        <v>0</v>
      </c>
    </row>
    <row r="95" spans="1:45" ht="20.25" customHeight="1">
      <c r="A95" t="s">
        <v>62</v>
      </c>
      <c r="B95" t="s">
        <v>63</v>
      </c>
      <c r="C95" t="s">
        <v>64</v>
      </c>
      <c r="D95">
        <f t="shared" si="59"/>
        <v>0</v>
      </c>
      <c r="E95">
        <f t="shared" si="39"/>
        <v>0</v>
      </c>
      <c r="F95">
        <f t="shared" si="60"/>
        <v>0</v>
      </c>
      <c r="G95">
        <f t="shared" si="61"/>
        <v>0</v>
      </c>
      <c r="H95">
        <f t="shared" si="62"/>
        <v>0</v>
      </c>
      <c r="I95">
        <f t="shared" si="63"/>
        <v>0</v>
      </c>
      <c r="J95">
        <f t="shared" si="64"/>
        <v>0</v>
      </c>
      <c r="K95">
        <f t="shared" si="65"/>
        <v>0</v>
      </c>
      <c r="L95">
        <f t="shared" si="66"/>
        <v>0</v>
      </c>
      <c r="M95">
        <f t="shared" si="67"/>
        <v>0</v>
      </c>
      <c r="N95">
        <f t="shared" si="68"/>
        <v>0</v>
      </c>
      <c r="O95">
        <f t="shared" si="69"/>
        <v>0</v>
      </c>
      <c r="P95">
        <f t="shared" si="73"/>
        <v>0</v>
      </c>
      <c r="Q95">
        <f t="shared" si="77"/>
        <v>0</v>
      </c>
      <c r="R95">
        <f t="shared" si="77"/>
        <v>0</v>
      </c>
      <c r="S95">
        <f t="shared" si="77"/>
        <v>0</v>
      </c>
      <c r="T95">
        <f>Z31</f>
        <v>0</v>
      </c>
      <c r="U95">
        <f>AA31</f>
        <v>0</v>
      </c>
      <c r="V95">
        <f>D95-AR95</f>
        <v>0</v>
      </c>
      <c r="W95">
        <f>AC31</f>
        <v>0</v>
      </c>
      <c r="X95">
        <f>AD31</f>
        <v>0</v>
      </c>
      <c r="Y95">
        <f>AE31</f>
        <v>0</v>
      </c>
      <c r="Z95">
        <f t="shared" si="75"/>
        <v>0</v>
      </c>
      <c r="AA95">
        <f t="shared" si="76"/>
        <v>0</v>
      </c>
      <c r="AB95">
        <f t="shared" si="76"/>
        <v>0</v>
      </c>
      <c r="AC95">
        <f t="shared" si="76"/>
        <v>0</v>
      </c>
      <c r="AD95">
        <f t="shared" si="76"/>
        <v>0</v>
      </c>
      <c r="AE95">
        <f t="shared" si="76"/>
        <v>0</v>
      </c>
      <c r="AF95">
        <f t="shared" si="76"/>
        <v>0</v>
      </c>
      <c r="AG95">
        <f t="shared" si="76"/>
        <v>0</v>
      </c>
      <c r="AH95">
        <f t="shared" si="76"/>
        <v>0</v>
      </c>
      <c r="AI95">
        <f t="shared" si="76"/>
        <v>0</v>
      </c>
      <c r="AJ95">
        <f t="shared" si="76"/>
        <v>0</v>
      </c>
      <c r="AK95">
        <f t="shared" si="76"/>
        <v>0</v>
      </c>
      <c r="AL95">
        <f t="shared" si="76"/>
        <v>0</v>
      </c>
      <c r="AM95">
        <f t="shared" si="76"/>
        <v>0</v>
      </c>
      <c r="AN95">
        <f t="shared" si="76"/>
        <v>0</v>
      </c>
      <c r="AO95">
        <f t="shared" si="76"/>
        <v>0</v>
      </c>
      <c r="AP95">
        <f t="shared" si="76"/>
        <v>0</v>
      </c>
      <c r="AQ95">
        <f t="shared" si="72"/>
        <v>0</v>
      </c>
      <c r="AR95">
        <f>E95+Q95+R95+S95+T95+U95+W95+X95+Y95+Z95+AA95+AB95+AC95+AD95+AE95+AF95+AG95+AH95+AI95+AJ95+AK95+AL95+AM95+AN95+AO95+AP95+AQ95</f>
        <v>0</v>
      </c>
      <c r="AS95">
        <f>D95+V117-AR95</f>
        <v>0</v>
      </c>
    </row>
    <row r="96" spans="1:45" ht="20.25" customHeight="1">
      <c r="A96" t="s">
        <v>65</v>
      </c>
      <c r="B96" t="s">
        <v>66</v>
      </c>
      <c r="C96" t="s">
        <v>67</v>
      </c>
      <c r="D96">
        <f t="shared" si="59"/>
        <v>0.55000000000000004</v>
      </c>
      <c r="E96">
        <f t="shared" si="39"/>
        <v>0</v>
      </c>
      <c r="F96">
        <f t="shared" si="60"/>
        <v>0</v>
      </c>
      <c r="G96">
        <f t="shared" si="61"/>
        <v>0</v>
      </c>
      <c r="H96">
        <f t="shared" si="62"/>
        <v>0</v>
      </c>
      <c r="I96">
        <f t="shared" si="63"/>
        <v>0</v>
      </c>
      <c r="J96">
        <f t="shared" si="64"/>
        <v>0</v>
      </c>
      <c r="K96">
        <f t="shared" si="65"/>
        <v>0</v>
      </c>
      <c r="L96">
        <f t="shared" si="66"/>
        <v>0</v>
      </c>
      <c r="M96">
        <f t="shared" si="67"/>
        <v>0</v>
      </c>
      <c r="N96">
        <f t="shared" si="68"/>
        <v>0</v>
      </c>
      <c r="O96">
        <f t="shared" si="69"/>
        <v>0</v>
      </c>
      <c r="P96">
        <f t="shared" si="73"/>
        <v>0.55000000000000004</v>
      </c>
      <c r="Q96">
        <f t="shared" si="77"/>
        <v>0</v>
      </c>
      <c r="R96">
        <f t="shared" si="77"/>
        <v>0</v>
      </c>
      <c r="S96">
        <f t="shared" si="77"/>
        <v>0</v>
      </c>
      <c r="T96">
        <f>Z32</f>
        <v>0</v>
      </c>
      <c r="U96">
        <f>AA32</f>
        <v>0</v>
      </c>
      <c r="V96">
        <f>AB32</f>
        <v>0</v>
      </c>
      <c r="W96">
        <f>D96-AR96</f>
        <v>0.55000000000000004</v>
      </c>
      <c r="X96">
        <f>AD32</f>
        <v>0</v>
      </c>
      <c r="Y96">
        <f>AE32</f>
        <v>0</v>
      </c>
      <c r="Z96">
        <f t="shared" si="75"/>
        <v>0</v>
      </c>
      <c r="AA96">
        <f t="shared" si="76"/>
        <v>0</v>
      </c>
      <c r="AB96">
        <f t="shared" si="76"/>
        <v>0</v>
      </c>
      <c r="AC96">
        <f t="shared" si="76"/>
        <v>0</v>
      </c>
      <c r="AD96">
        <f t="shared" si="76"/>
        <v>0</v>
      </c>
      <c r="AE96">
        <f t="shared" si="76"/>
        <v>0</v>
      </c>
      <c r="AF96">
        <f t="shared" si="76"/>
        <v>0</v>
      </c>
      <c r="AG96">
        <f t="shared" si="76"/>
        <v>0</v>
      </c>
      <c r="AH96">
        <f t="shared" si="76"/>
        <v>0</v>
      </c>
      <c r="AI96">
        <f t="shared" si="76"/>
        <v>0</v>
      </c>
      <c r="AJ96">
        <f t="shared" si="76"/>
        <v>0</v>
      </c>
      <c r="AK96">
        <f t="shared" si="76"/>
        <v>0</v>
      </c>
      <c r="AL96">
        <f t="shared" si="76"/>
        <v>0</v>
      </c>
      <c r="AM96">
        <f t="shared" si="76"/>
        <v>0</v>
      </c>
      <c r="AN96">
        <f t="shared" si="76"/>
        <v>0</v>
      </c>
      <c r="AO96">
        <f t="shared" si="76"/>
        <v>0</v>
      </c>
      <c r="AP96">
        <f t="shared" si="76"/>
        <v>0</v>
      </c>
      <c r="AQ96">
        <f t="shared" si="72"/>
        <v>0</v>
      </c>
      <c r="AR96">
        <f>E96+Q96+R96+S96+T96+U96+V96+X96+Y96+Z96+AA96+AB96+AC96+AD96+AE96+AF96+AG96+AH96+AI96+AJ96+AK96+AL96+AM96+AN96+AO96+AP96+AQ96</f>
        <v>0</v>
      </c>
      <c r="AS96">
        <f>D96+W117-AR96</f>
        <v>0.55000000000000004</v>
      </c>
    </row>
    <row r="97" spans="1:45" ht="20.25" customHeight="1">
      <c r="A97" t="s">
        <v>68</v>
      </c>
      <c r="B97" t="s">
        <v>69</v>
      </c>
      <c r="C97" t="s">
        <v>70</v>
      </c>
      <c r="D97">
        <f t="shared" si="59"/>
        <v>0</v>
      </c>
      <c r="E97">
        <f t="shared" si="39"/>
        <v>0</v>
      </c>
      <c r="F97">
        <f t="shared" si="60"/>
        <v>0</v>
      </c>
      <c r="G97">
        <f t="shared" si="61"/>
        <v>0</v>
      </c>
      <c r="H97">
        <f t="shared" si="62"/>
        <v>0</v>
      </c>
      <c r="I97">
        <f t="shared" si="63"/>
        <v>0</v>
      </c>
      <c r="J97">
        <f t="shared" si="64"/>
        <v>0</v>
      </c>
      <c r="K97">
        <f t="shared" si="65"/>
        <v>0</v>
      </c>
      <c r="L97">
        <f t="shared" si="66"/>
        <v>0</v>
      </c>
      <c r="M97">
        <f t="shared" si="67"/>
        <v>0</v>
      </c>
      <c r="N97">
        <f t="shared" si="68"/>
        <v>0</v>
      </c>
      <c r="O97">
        <f t="shared" si="69"/>
        <v>0</v>
      </c>
      <c r="P97">
        <f t="shared" si="73"/>
        <v>0</v>
      </c>
      <c r="Q97">
        <f t="shared" si="77"/>
        <v>0</v>
      </c>
      <c r="R97">
        <f t="shared" si="77"/>
        <v>0</v>
      </c>
      <c r="S97">
        <f t="shared" si="77"/>
        <v>0</v>
      </c>
      <c r="T97">
        <f>Z33</f>
        <v>0</v>
      </c>
      <c r="U97">
        <f>AA33</f>
        <v>0</v>
      </c>
      <c r="V97">
        <f>AB33</f>
        <v>0</v>
      </c>
      <c r="W97">
        <f>AC33</f>
        <v>0</v>
      </c>
      <c r="X97">
        <f>D97-AR97</f>
        <v>0</v>
      </c>
      <c r="Y97">
        <f>AE33</f>
        <v>0</v>
      </c>
      <c r="Z97">
        <f t="shared" si="75"/>
        <v>0</v>
      </c>
      <c r="AA97">
        <f t="shared" si="76"/>
        <v>0</v>
      </c>
      <c r="AB97">
        <f t="shared" si="76"/>
        <v>0</v>
      </c>
      <c r="AC97">
        <f t="shared" si="76"/>
        <v>0</v>
      </c>
      <c r="AD97">
        <f t="shared" si="76"/>
        <v>0</v>
      </c>
      <c r="AE97">
        <f t="shared" si="76"/>
        <v>0</v>
      </c>
      <c r="AF97">
        <f t="shared" si="76"/>
        <v>0</v>
      </c>
      <c r="AG97">
        <f t="shared" si="76"/>
        <v>0</v>
      </c>
      <c r="AH97">
        <f t="shared" si="76"/>
        <v>0</v>
      </c>
      <c r="AI97">
        <f t="shared" si="76"/>
        <v>0</v>
      </c>
      <c r="AJ97">
        <f t="shared" si="76"/>
        <v>0</v>
      </c>
      <c r="AK97">
        <f t="shared" si="76"/>
        <v>0</v>
      </c>
      <c r="AL97">
        <f t="shared" si="76"/>
        <v>0</v>
      </c>
      <c r="AM97">
        <f t="shared" si="76"/>
        <v>0</v>
      </c>
      <c r="AN97">
        <f t="shared" si="76"/>
        <v>0</v>
      </c>
      <c r="AO97">
        <f t="shared" si="76"/>
        <v>0</v>
      </c>
      <c r="AP97">
        <f t="shared" si="76"/>
        <v>0</v>
      </c>
      <c r="AQ97">
        <f t="shared" si="72"/>
        <v>0</v>
      </c>
      <c r="AR97">
        <f>E97+Q97+R97+S97+T97+U97+V97+W97+Y97+Z97+AA97+AB97+AC97+AD97+AE97+AF97+AG97+AH97+AI97+AJ97+AK97+AL97+AM97+AN97+AO97+AP97+AQ97</f>
        <v>0</v>
      </c>
      <c r="AS97">
        <f>D97+X117-AR97</f>
        <v>0</v>
      </c>
    </row>
    <row r="98" spans="1:45" ht="38.25" customHeight="1">
      <c r="A98" t="s">
        <v>71</v>
      </c>
      <c r="B98" t="s">
        <v>135</v>
      </c>
      <c r="C98" t="s">
        <v>72</v>
      </c>
      <c r="D98">
        <f t="shared" si="59"/>
        <v>74.799499999999995</v>
      </c>
      <c r="E98">
        <f t="shared" si="39"/>
        <v>0</v>
      </c>
      <c r="F98">
        <f t="shared" si="60"/>
        <v>0</v>
      </c>
      <c r="G98">
        <f t="shared" si="61"/>
        <v>0</v>
      </c>
      <c r="H98">
        <f t="shared" si="62"/>
        <v>0</v>
      </c>
      <c r="I98">
        <f t="shared" si="63"/>
        <v>0</v>
      </c>
      <c r="J98">
        <f t="shared" si="64"/>
        <v>0</v>
      </c>
      <c r="K98">
        <f t="shared" si="65"/>
        <v>0</v>
      </c>
      <c r="L98">
        <f t="shared" si="66"/>
        <v>0</v>
      </c>
      <c r="M98">
        <f t="shared" si="67"/>
        <v>0</v>
      </c>
      <c r="N98">
        <f t="shared" si="68"/>
        <v>0</v>
      </c>
      <c r="O98">
        <f t="shared" si="69"/>
        <v>0</v>
      </c>
      <c r="P98">
        <f t="shared" si="73"/>
        <v>74.799499999999995</v>
      </c>
      <c r="Q98">
        <f t="shared" si="77"/>
        <v>0</v>
      </c>
      <c r="R98">
        <f t="shared" si="77"/>
        <v>0</v>
      </c>
      <c r="S98">
        <f t="shared" si="77"/>
        <v>0</v>
      </c>
      <c r="T98">
        <f>Z34</f>
        <v>0</v>
      </c>
      <c r="U98">
        <f>AA34</f>
        <v>0</v>
      </c>
      <c r="V98">
        <f>AB34</f>
        <v>0</v>
      </c>
      <c r="W98">
        <f>AC34</f>
        <v>0</v>
      </c>
      <c r="X98">
        <f>AD34</f>
        <v>0</v>
      </c>
      <c r="Y98">
        <f>D98-AR98</f>
        <v>74.799499999999995</v>
      </c>
      <c r="Z98">
        <f t="shared" si="75"/>
        <v>0</v>
      </c>
      <c r="AA98">
        <f t="shared" si="76"/>
        <v>0</v>
      </c>
      <c r="AB98">
        <f t="shared" si="76"/>
        <v>0</v>
      </c>
      <c r="AC98">
        <f t="shared" si="76"/>
        <v>0</v>
      </c>
      <c r="AD98">
        <f t="shared" si="76"/>
        <v>0</v>
      </c>
      <c r="AE98">
        <f t="shared" si="76"/>
        <v>0</v>
      </c>
      <c r="AF98">
        <f t="shared" si="76"/>
        <v>0</v>
      </c>
      <c r="AG98">
        <f t="shared" si="76"/>
        <v>0</v>
      </c>
      <c r="AH98">
        <f t="shared" si="76"/>
        <v>0</v>
      </c>
      <c r="AI98">
        <f t="shared" si="76"/>
        <v>0</v>
      </c>
      <c r="AJ98">
        <f t="shared" si="76"/>
        <v>0</v>
      </c>
      <c r="AK98">
        <f t="shared" si="76"/>
        <v>0</v>
      </c>
      <c r="AL98">
        <f t="shared" si="76"/>
        <v>0</v>
      </c>
      <c r="AM98">
        <f t="shared" si="76"/>
        <v>0</v>
      </c>
      <c r="AN98">
        <f t="shared" si="76"/>
        <v>0</v>
      </c>
      <c r="AO98">
        <f t="shared" si="76"/>
        <v>0</v>
      </c>
      <c r="AP98">
        <f t="shared" si="76"/>
        <v>0</v>
      </c>
      <c r="AQ98">
        <f t="shared" si="72"/>
        <v>0</v>
      </c>
      <c r="AR98">
        <f>E98+Q98+R98+S98+T98+U98+V98+W98+X98+Z98+AA98+AB98+AC98+AD98+AE98+AF98+AG98+AH98+AI98+AJ98+AK98+AL98+AM98+AN98+AO98+AP98+AQ98</f>
        <v>0</v>
      </c>
      <c r="AS98">
        <f>D98+Y117-AR98</f>
        <v>75.219499999999996</v>
      </c>
    </row>
    <row r="99" spans="1:45" ht="20.25" customHeight="1">
      <c r="A99" t="s">
        <v>73</v>
      </c>
      <c r="B99" t="s">
        <v>74</v>
      </c>
      <c r="C99" t="s">
        <v>75</v>
      </c>
      <c r="D99">
        <f>D46</f>
        <v>0</v>
      </c>
      <c r="E99">
        <f t="shared" si="39"/>
        <v>0</v>
      </c>
      <c r="F99">
        <f>H46</f>
        <v>0</v>
      </c>
      <c r="G99">
        <f>I46</f>
        <v>0</v>
      </c>
      <c r="H99">
        <f>M46</f>
        <v>0</v>
      </c>
      <c r="I99">
        <f>N46</f>
        <v>0</v>
      </c>
      <c r="J99">
        <f t="shared" ref="J99:O114" si="79">P46</f>
        <v>0</v>
      </c>
      <c r="K99">
        <f t="shared" si="79"/>
        <v>0</v>
      </c>
      <c r="L99">
        <f t="shared" si="79"/>
        <v>0</v>
      </c>
      <c r="M99">
        <f t="shared" si="79"/>
        <v>0</v>
      </c>
      <c r="N99">
        <f t="shared" si="79"/>
        <v>0</v>
      </c>
      <c r="O99">
        <f t="shared" si="79"/>
        <v>0</v>
      </c>
      <c r="P99">
        <f t="shared" si="73"/>
        <v>0</v>
      </c>
      <c r="Q99">
        <f t="shared" ref="Q99:Y114" si="80">W46</f>
        <v>0</v>
      </c>
      <c r="R99">
        <f t="shared" si="80"/>
        <v>0</v>
      </c>
      <c r="S99">
        <f t="shared" si="80"/>
        <v>0</v>
      </c>
      <c r="T99">
        <f t="shared" si="80"/>
        <v>0</v>
      </c>
      <c r="U99">
        <f t="shared" si="80"/>
        <v>0</v>
      </c>
      <c r="V99">
        <f t="shared" si="80"/>
        <v>0</v>
      </c>
      <c r="W99">
        <f t="shared" si="80"/>
        <v>0</v>
      </c>
      <c r="X99">
        <f t="shared" si="80"/>
        <v>0</v>
      </c>
      <c r="Y99">
        <f t="shared" si="80"/>
        <v>0</v>
      </c>
      <c r="Z99">
        <f>D99-AR99</f>
        <v>0</v>
      </c>
      <c r="AA99">
        <f>AR46</f>
        <v>0</v>
      </c>
      <c r="AB99">
        <f t="shared" ref="AB99:AQ110" si="81">AS46</f>
        <v>0</v>
      </c>
      <c r="AC99">
        <f t="shared" si="81"/>
        <v>0</v>
      </c>
      <c r="AD99">
        <f t="shared" si="81"/>
        <v>0</v>
      </c>
      <c r="AE99">
        <f t="shared" si="81"/>
        <v>0</v>
      </c>
      <c r="AF99">
        <f t="shared" si="81"/>
        <v>0</v>
      </c>
      <c r="AG99">
        <f t="shared" si="81"/>
        <v>0</v>
      </c>
      <c r="AH99">
        <f t="shared" si="81"/>
        <v>0</v>
      </c>
      <c r="AI99">
        <f t="shared" si="81"/>
        <v>0</v>
      </c>
      <c r="AJ99">
        <f t="shared" si="81"/>
        <v>0</v>
      </c>
      <c r="AK99">
        <f t="shared" si="81"/>
        <v>0</v>
      </c>
      <c r="AL99">
        <f t="shared" si="81"/>
        <v>0</v>
      </c>
      <c r="AM99">
        <f t="shared" si="81"/>
        <v>0</v>
      </c>
      <c r="AN99">
        <f t="shared" si="81"/>
        <v>0</v>
      </c>
      <c r="AO99">
        <f t="shared" si="81"/>
        <v>0</v>
      </c>
      <c r="AP99">
        <f t="shared" si="81"/>
        <v>0</v>
      </c>
      <c r="AQ99">
        <f t="shared" si="81"/>
        <v>0</v>
      </c>
      <c r="AR99">
        <f>E99+Q99+R99+S99+T99+U99+V99+W99+X99+Y99+AA99+AB99+AC99+AD99+AE99+AF99+AG99+AH99+AI99+AJ99+AK99+AL99+AM99+AN99+AO99+AP99+AQ99</f>
        <v>0</v>
      </c>
      <c r="AS99">
        <f>D99+Z117-AR99</f>
        <v>0</v>
      </c>
    </row>
    <row r="100" spans="1:45" ht="20.25" customHeight="1">
      <c r="A100" t="s">
        <v>76</v>
      </c>
      <c r="B100" t="s">
        <v>77</v>
      </c>
      <c r="C100" t="s">
        <v>78</v>
      </c>
      <c r="D100">
        <f t="shared" ref="D100:D115" si="82">D47</f>
        <v>0</v>
      </c>
      <c r="E100">
        <f t="shared" si="39"/>
        <v>0</v>
      </c>
      <c r="F100">
        <f t="shared" ref="F100:G116" si="83">H47</f>
        <v>0</v>
      </c>
      <c r="G100">
        <f t="shared" si="83"/>
        <v>0</v>
      </c>
      <c r="H100">
        <f t="shared" ref="H100:I116" si="84">M47</f>
        <v>0</v>
      </c>
      <c r="I100">
        <f t="shared" si="84"/>
        <v>0</v>
      </c>
      <c r="J100">
        <f t="shared" si="79"/>
        <v>0</v>
      </c>
      <c r="K100">
        <f t="shared" si="79"/>
        <v>0</v>
      </c>
      <c r="L100">
        <f t="shared" si="79"/>
        <v>0</v>
      </c>
      <c r="M100">
        <f t="shared" si="79"/>
        <v>0</v>
      </c>
      <c r="N100">
        <f t="shared" si="79"/>
        <v>0</v>
      </c>
      <c r="O100">
        <f t="shared" si="79"/>
        <v>0</v>
      </c>
      <c r="P100">
        <f t="shared" si="73"/>
        <v>0</v>
      </c>
      <c r="Q100">
        <f t="shared" si="80"/>
        <v>0</v>
      </c>
      <c r="R100">
        <f t="shared" si="80"/>
        <v>0</v>
      </c>
      <c r="S100">
        <f t="shared" si="80"/>
        <v>0</v>
      </c>
      <c r="T100">
        <f t="shared" si="80"/>
        <v>0</v>
      </c>
      <c r="U100">
        <f t="shared" si="80"/>
        <v>0</v>
      </c>
      <c r="V100">
        <f t="shared" si="80"/>
        <v>0</v>
      </c>
      <c r="W100">
        <f t="shared" si="80"/>
        <v>0</v>
      </c>
      <c r="X100">
        <f t="shared" si="80"/>
        <v>0</v>
      </c>
      <c r="Y100">
        <f t="shared" si="80"/>
        <v>0</v>
      </c>
      <c r="Z100">
        <f>AQ47</f>
        <v>0</v>
      </c>
      <c r="AA100">
        <f>D100-AR100</f>
        <v>0</v>
      </c>
      <c r="AB100">
        <f>AS47</f>
        <v>0</v>
      </c>
      <c r="AC100">
        <f t="shared" si="81"/>
        <v>0</v>
      </c>
      <c r="AD100">
        <f t="shared" si="81"/>
        <v>0</v>
      </c>
      <c r="AE100">
        <f t="shared" si="81"/>
        <v>0</v>
      </c>
      <c r="AF100">
        <f t="shared" si="81"/>
        <v>0</v>
      </c>
      <c r="AG100">
        <f t="shared" si="81"/>
        <v>0</v>
      </c>
      <c r="AH100">
        <f t="shared" si="81"/>
        <v>0</v>
      </c>
      <c r="AI100">
        <f t="shared" si="81"/>
        <v>0</v>
      </c>
      <c r="AJ100">
        <f t="shared" si="81"/>
        <v>0</v>
      </c>
      <c r="AK100">
        <f t="shared" si="81"/>
        <v>0</v>
      </c>
      <c r="AL100">
        <f t="shared" si="81"/>
        <v>0</v>
      </c>
      <c r="AM100">
        <f t="shared" si="81"/>
        <v>0</v>
      </c>
      <c r="AN100">
        <f t="shared" si="81"/>
        <v>0</v>
      </c>
      <c r="AO100">
        <f t="shared" si="81"/>
        <v>0</v>
      </c>
      <c r="AP100">
        <f t="shared" si="81"/>
        <v>0</v>
      </c>
      <c r="AQ100">
        <f t="shared" si="81"/>
        <v>0</v>
      </c>
      <c r="AR100">
        <f>E100+Q100+R100+S100+T100+U100+V100+W100+X100+Y100+Z100+AB100+AC100+AD100+AE100+AF100+AG100+AH100+AI100+AJ100+AK100+AL100+AM100+AN100+AO100+AP100+AQ100</f>
        <v>0</v>
      </c>
      <c r="AS100">
        <f>D100+AA117-AR100</f>
        <v>0</v>
      </c>
    </row>
    <row r="101" spans="1:45" ht="20.25" customHeight="1">
      <c r="A101" t="s">
        <v>79</v>
      </c>
      <c r="B101" t="s">
        <v>80</v>
      </c>
      <c r="C101" t="s">
        <v>81</v>
      </c>
      <c r="D101">
        <f t="shared" si="82"/>
        <v>0.16</v>
      </c>
      <c r="E101">
        <f t="shared" si="39"/>
        <v>0</v>
      </c>
      <c r="F101">
        <f t="shared" si="83"/>
        <v>0</v>
      </c>
      <c r="G101">
        <f t="shared" si="83"/>
        <v>0</v>
      </c>
      <c r="H101">
        <f t="shared" si="84"/>
        <v>0</v>
      </c>
      <c r="I101">
        <f t="shared" si="84"/>
        <v>0</v>
      </c>
      <c r="J101">
        <f t="shared" si="79"/>
        <v>0</v>
      </c>
      <c r="K101">
        <f t="shared" si="79"/>
        <v>0</v>
      </c>
      <c r="L101">
        <f t="shared" si="79"/>
        <v>0</v>
      </c>
      <c r="M101">
        <f t="shared" si="79"/>
        <v>0</v>
      </c>
      <c r="N101">
        <f t="shared" si="79"/>
        <v>0</v>
      </c>
      <c r="O101">
        <f t="shared" si="79"/>
        <v>0</v>
      </c>
      <c r="P101">
        <f t="shared" si="73"/>
        <v>0.16</v>
      </c>
      <c r="Q101">
        <f t="shared" si="80"/>
        <v>0</v>
      </c>
      <c r="R101">
        <f t="shared" si="80"/>
        <v>0</v>
      </c>
      <c r="S101">
        <f t="shared" si="80"/>
        <v>0</v>
      </c>
      <c r="T101">
        <f t="shared" si="80"/>
        <v>0</v>
      </c>
      <c r="U101">
        <f t="shared" si="80"/>
        <v>0</v>
      </c>
      <c r="V101">
        <f t="shared" si="80"/>
        <v>0</v>
      </c>
      <c r="W101">
        <f t="shared" si="80"/>
        <v>0</v>
      </c>
      <c r="X101">
        <f t="shared" si="80"/>
        <v>0</v>
      </c>
      <c r="Y101">
        <f t="shared" si="80"/>
        <v>0</v>
      </c>
      <c r="Z101">
        <f t="shared" ref="Z101:AK116" si="85">AQ48</f>
        <v>0</v>
      </c>
      <c r="AA101">
        <f t="shared" si="85"/>
        <v>0</v>
      </c>
      <c r="AB101">
        <f>D101-AR101</f>
        <v>0.16</v>
      </c>
      <c r="AC101">
        <f>AT48</f>
        <v>0</v>
      </c>
      <c r="AD101">
        <f t="shared" si="81"/>
        <v>0</v>
      </c>
      <c r="AE101">
        <f t="shared" si="81"/>
        <v>0</v>
      </c>
      <c r="AF101">
        <f t="shared" si="81"/>
        <v>0</v>
      </c>
      <c r="AG101">
        <f t="shared" si="81"/>
        <v>0</v>
      </c>
      <c r="AH101">
        <f t="shared" si="81"/>
        <v>0</v>
      </c>
      <c r="AI101">
        <f t="shared" si="81"/>
        <v>0</v>
      </c>
      <c r="AJ101">
        <f t="shared" si="81"/>
        <v>0</v>
      </c>
      <c r="AK101">
        <f t="shared" si="81"/>
        <v>0</v>
      </c>
      <c r="AL101">
        <f t="shared" si="81"/>
        <v>0</v>
      </c>
      <c r="AM101">
        <f t="shared" si="81"/>
        <v>0</v>
      </c>
      <c r="AN101">
        <f t="shared" si="81"/>
        <v>0</v>
      </c>
      <c r="AO101">
        <f t="shared" si="81"/>
        <v>0</v>
      </c>
      <c r="AP101">
        <f t="shared" si="81"/>
        <v>0</v>
      </c>
      <c r="AQ101">
        <f t="shared" si="81"/>
        <v>0</v>
      </c>
      <c r="AR101">
        <f>E101+Q101+R101+S101+T101+U101+V101+W101+X101+Y101+Z101+AA101+AC101+AD101+AE101+AF101+AG101+AH101+AI101+AJ101+AK101+AL101+AM101+AN101+AO101+AP101+AQ101</f>
        <v>0</v>
      </c>
      <c r="AS101">
        <f>D101+AB117-AR101</f>
        <v>0.16</v>
      </c>
    </row>
    <row r="102" spans="1:45" ht="20.25" customHeight="1">
      <c r="A102" t="s">
        <v>82</v>
      </c>
      <c r="B102" t="s">
        <v>83</v>
      </c>
      <c r="C102" t="s">
        <v>84</v>
      </c>
      <c r="D102">
        <f t="shared" si="82"/>
        <v>16.100000000000001</v>
      </c>
      <c r="E102">
        <f t="shared" si="39"/>
        <v>0</v>
      </c>
      <c r="F102">
        <f t="shared" si="83"/>
        <v>0</v>
      </c>
      <c r="G102">
        <f t="shared" si="83"/>
        <v>0</v>
      </c>
      <c r="H102">
        <f t="shared" si="84"/>
        <v>0</v>
      </c>
      <c r="I102">
        <f t="shared" si="84"/>
        <v>0</v>
      </c>
      <c r="J102">
        <f t="shared" si="79"/>
        <v>0</v>
      </c>
      <c r="K102">
        <f t="shared" si="79"/>
        <v>0</v>
      </c>
      <c r="L102">
        <f t="shared" si="79"/>
        <v>0</v>
      </c>
      <c r="M102">
        <f t="shared" si="79"/>
        <v>0</v>
      </c>
      <c r="N102">
        <f t="shared" si="79"/>
        <v>0</v>
      </c>
      <c r="O102">
        <f t="shared" si="79"/>
        <v>0</v>
      </c>
      <c r="P102">
        <f t="shared" si="73"/>
        <v>16.100000000000001</v>
      </c>
      <c r="Q102">
        <f t="shared" si="80"/>
        <v>0</v>
      </c>
      <c r="R102">
        <f t="shared" si="80"/>
        <v>0</v>
      </c>
      <c r="S102">
        <f t="shared" si="80"/>
        <v>0</v>
      </c>
      <c r="T102">
        <f t="shared" si="80"/>
        <v>0</v>
      </c>
      <c r="U102">
        <f t="shared" si="80"/>
        <v>0</v>
      </c>
      <c r="V102">
        <f t="shared" si="80"/>
        <v>0</v>
      </c>
      <c r="W102">
        <f t="shared" si="80"/>
        <v>0</v>
      </c>
      <c r="X102">
        <f t="shared" si="80"/>
        <v>0</v>
      </c>
      <c r="Y102">
        <f t="shared" si="80"/>
        <v>0.05</v>
      </c>
      <c r="Z102">
        <f t="shared" si="85"/>
        <v>0</v>
      </c>
      <c r="AA102">
        <f t="shared" si="85"/>
        <v>0</v>
      </c>
      <c r="AB102">
        <f t="shared" si="85"/>
        <v>0</v>
      </c>
      <c r="AC102">
        <f>D102-AR102</f>
        <v>16.05</v>
      </c>
      <c r="AD102">
        <f>AU49</f>
        <v>0</v>
      </c>
      <c r="AE102">
        <f t="shared" si="81"/>
        <v>0</v>
      </c>
      <c r="AF102">
        <f t="shared" si="81"/>
        <v>0</v>
      </c>
      <c r="AG102">
        <f t="shared" si="81"/>
        <v>0</v>
      </c>
      <c r="AH102">
        <f t="shared" si="81"/>
        <v>0</v>
      </c>
      <c r="AI102">
        <f t="shared" si="81"/>
        <v>0</v>
      </c>
      <c r="AJ102">
        <f t="shared" si="81"/>
        <v>0</v>
      </c>
      <c r="AK102">
        <f t="shared" si="81"/>
        <v>0</v>
      </c>
      <c r="AL102">
        <f t="shared" si="81"/>
        <v>0</v>
      </c>
      <c r="AM102">
        <f t="shared" si="81"/>
        <v>0</v>
      </c>
      <c r="AN102">
        <f t="shared" si="81"/>
        <v>0</v>
      </c>
      <c r="AO102">
        <f t="shared" si="81"/>
        <v>0</v>
      </c>
      <c r="AP102">
        <f t="shared" si="81"/>
        <v>0</v>
      </c>
      <c r="AQ102">
        <f t="shared" si="81"/>
        <v>0</v>
      </c>
      <c r="AR102">
        <f>E102+Q102+R102+S102+T102+U102+V102+W102+X102+Y102+Z102+AA102+AB102+AD102+AE102+AF102+AG102+AH102+AI102+AJ102+AK102+AL102+AM102+AN102+AO102+AP102+AQ102</f>
        <v>0.05</v>
      </c>
      <c r="AS102">
        <f>D102+AC117-AR102</f>
        <v>16.55</v>
      </c>
    </row>
    <row r="103" spans="1:45" ht="20.25" customHeight="1">
      <c r="A103" t="s">
        <v>85</v>
      </c>
      <c r="B103" t="s">
        <v>86</v>
      </c>
      <c r="C103" t="s">
        <v>87</v>
      </c>
      <c r="D103">
        <f t="shared" si="82"/>
        <v>0</v>
      </c>
      <c r="E103">
        <f t="shared" si="39"/>
        <v>0</v>
      </c>
      <c r="F103">
        <f t="shared" si="83"/>
        <v>0</v>
      </c>
      <c r="G103">
        <f t="shared" si="83"/>
        <v>0</v>
      </c>
      <c r="H103">
        <f t="shared" si="84"/>
        <v>0</v>
      </c>
      <c r="I103">
        <f t="shared" si="84"/>
        <v>0</v>
      </c>
      <c r="J103">
        <f t="shared" si="79"/>
        <v>0</v>
      </c>
      <c r="K103">
        <f t="shared" si="79"/>
        <v>0</v>
      </c>
      <c r="L103">
        <f t="shared" si="79"/>
        <v>0</v>
      </c>
      <c r="M103">
        <f t="shared" si="79"/>
        <v>0</v>
      </c>
      <c r="N103">
        <f t="shared" si="79"/>
        <v>0</v>
      </c>
      <c r="O103">
        <f t="shared" si="79"/>
        <v>0</v>
      </c>
      <c r="P103">
        <f t="shared" si="73"/>
        <v>0</v>
      </c>
      <c r="Q103">
        <f t="shared" si="80"/>
        <v>0</v>
      </c>
      <c r="R103">
        <f t="shared" si="80"/>
        <v>0</v>
      </c>
      <c r="S103">
        <f t="shared" si="80"/>
        <v>0</v>
      </c>
      <c r="T103">
        <f t="shared" si="80"/>
        <v>0</v>
      </c>
      <c r="U103">
        <f t="shared" si="80"/>
        <v>0</v>
      </c>
      <c r="V103">
        <f t="shared" si="80"/>
        <v>0</v>
      </c>
      <c r="W103">
        <f t="shared" si="80"/>
        <v>0</v>
      </c>
      <c r="X103">
        <f t="shared" si="80"/>
        <v>0</v>
      </c>
      <c r="Y103">
        <f t="shared" si="80"/>
        <v>0</v>
      </c>
      <c r="Z103">
        <f t="shared" si="85"/>
        <v>0</v>
      </c>
      <c r="AA103">
        <f t="shared" si="85"/>
        <v>0</v>
      </c>
      <c r="AB103">
        <f t="shared" si="85"/>
        <v>0</v>
      </c>
      <c r="AC103">
        <f t="shared" si="85"/>
        <v>0</v>
      </c>
      <c r="AD103">
        <f>D103-AR103</f>
        <v>0</v>
      </c>
      <c r="AE103">
        <f>AV50</f>
        <v>0</v>
      </c>
      <c r="AF103">
        <f t="shared" si="81"/>
        <v>0</v>
      </c>
      <c r="AG103">
        <f t="shared" si="81"/>
        <v>0</v>
      </c>
      <c r="AH103">
        <f t="shared" si="81"/>
        <v>0</v>
      </c>
      <c r="AI103">
        <f t="shared" si="81"/>
        <v>0</v>
      </c>
      <c r="AJ103">
        <f t="shared" si="81"/>
        <v>0</v>
      </c>
      <c r="AK103">
        <f t="shared" si="81"/>
        <v>0</v>
      </c>
      <c r="AL103">
        <f t="shared" si="81"/>
        <v>0</v>
      </c>
      <c r="AM103">
        <f t="shared" si="81"/>
        <v>0</v>
      </c>
      <c r="AN103">
        <f t="shared" si="81"/>
        <v>0</v>
      </c>
      <c r="AO103">
        <f t="shared" si="81"/>
        <v>0</v>
      </c>
      <c r="AP103">
        <f t="shared" si="81"/>
        <v>0</v>
      </c>
      <c r="AQ103">
        <f t="shared" si="81"/>
        <v>0</v>
      </c>
      <c r="AR103">
        <f>E103+Q103+R103+S103+T103+U103+V103+W103+X103+Y103+Z103+AA103+AB103+AC103+AE103+AF103+AG103+AH103+AI103+AJ103+AK103+AL103+AM103+AN103+AO103+AP103+AQ103</f>
        <v>0</v>
      </c>
      <c r="AS103">
        <f>D103+AD117-AR103</f>
        <v>0</v>
      </c>
    </row>
    <row r="104" spans="1:45" ht="20.25" customHeight="1">
      <c r="A104" t="s">
        <v>88</v>
      </c>
      <c r="B104" t="s">
        <v>89</v>
      </c>
      <c r="C104" t="s">
        <v>90</v>
      </c>
      <c r="D104">
        <f t="shared" si="82"/>
        <v>0.65</v>
      </c>
      <c r="E104">
        <f t="shared" si="39"/>
        <v>0</v>
      </c>
      <c r="F104">
        <f t="shared" si="83"/>
        <v>0</v>
      </c>
      <c r="G104">
        <f t="shared" si="83"/>
        <v>0</v>
      </c>
      <c r="H104">
        <f t="shared" si="84"/>
        <v>0</v>
      </c>
      <c r="I104">
        <f t="shared" si="84"/>
        <v>0</v>
      </c>
      <c r="J104">
        <f t="shared" si="79"/>
        <v>0</v>
      </c>
      <c r="K104">
        <f t="shared" si="79"/>
        <v>0</v>
      </c>
      <c r="L104">
        <f t="shared" si="79"/>
        <v>0</v>
      </c>
      <c r="M104">
        <f t="shared" si="79"/>
        <v>0</v>
      </c>
      <c r="N104">
        <f t="shared" si="79"/>
        <v>0</v>
      </c>
      <c r="O104">
        <f t="shared" si="79"/>
        <v>0</v>
      </c>
      <c r="P104">
        <f t="shared" si="73"/>
        <v>0.65</v>
      </c>
      <c r="Q104">
        <f t="shared" si="80"/>
        <v>0</v>
      </c>
      <c r="R104">
        <f t="shared" si="80"/>
        <v>0</v>
      </c>
      <c r="S104">
        <f t="shared" si="80"/>
        <v>0</v>
      </c>
      <c r="T104">
        <f t="shared" si="80"/>
        <v>0</v>
      </c>
      <c r="U104">
        <f t="shared" si="80"/>
        <v>0</v>
      </c>
      <c r="V104">
        <f t="shared" si="80"/>
        <v>0</v>
      </c>
      <c r="W104">
        <f t="shared" si="80"/>
        <v>0</v>
      </c>
      <c r="X104">
        <f t="shared" si="80"/>
        <v>0</v>
      </c>
      <c r="Y104">
        <f t="shared" si="80"/>
        <v>0</v>
      </c>
      <c r="Z104">
        <f t="shared" si="85"/>
        <v>0</v>
      </c>
      <c r="AA104">
        <f t="shared" si="85"/>
        <v>0</v>
      </c>
      <c r="AB104">
        <f t="shared" si="85"/>
        <v>0</v>
      </c>
      <c r="AC104">
        <f t="shared" si="85"/>
        <v>0</v>
      </c>
      <c r="AD104">
        <f t="shared" si="85"/>
        <v>0</v>
      </c>
      <c r="AE104">
        <f>D104-AR104</f>
        <v>0.65</v>
      </c>
      <c r="AF104">
        <f>AW51</f>
        <v>0</v>
      </c>
      <c r="AG104">
        <f t="shared" si="81"/>
        <v>0</v>
      </c>
      <c r="AH104">
        <f t="shared" si="81"/>
        <v>0</v>
      </c>
      <c r="AI104">
        <f t="shared" si="81"/>
        <v>0</v>
      </c>
      <c r="AJ104">
        <f t="shared" si="81"/>
        <v>0</v>
      </c>
      <c r="AK104">
        <f t="shared" si="81"/>
        <v>0</v>
      </c>
      <c r="AL104">
        <f t="shared" si="81"/>
        <v>0</v>
      </c>
      <c r="AM104">
        <f t="shared" si="81"/>
        <v>0</v>
      </c>
      <c r="AN104">
        <f t="shared" si="81"/>
        <v>0</v>
      </c>
      <c r="AO104">
        <f t="shared" si="81"/>
        <v>0</v>
      </c>
      <c r="AP104">
        <f t="shared" si="81"/>
        <v>0</v>
      </c>
      <c r="AQ104">
        <f t="shared" si="81"/>
        <v>0</v>
      </c>
      <c r="AR104">
        <f>E104+Q104+R104+S104+T104+U104+V104+W104+X104+Y104+Z104+AA104+AB104+AC104+AD104+AF104+AG104+AH104+AI104+AJ104+AK104+AL104+AM104+AN104+AO104+AP104+AQ104</f>
        <v>0</v>
      </c>
      <c r="AS104">
        <f>D104+AE117-AR104</f>
        <v>0.65</v>
      </c>
    </row>
    <row r="105" spans="1:45" ht="37.5" customHeight="1">
      <c r="A105" t="s">
        <v>91</v>
      </c>
      <c r="B105" t="s">
        <v>92</v>
      </c>
      <c r="C105" t="s">
        <v>93</v>
      </c>
      <c r="D105">
        <f t="shared" si="82"/>
        <v>0</v>
      </c>
      <c r="E105">
        <f t="shared" si="39"/>
        <v>0</v>
      </c>
      <c r="F105">
        <f t="shared" si="83"/>
        <v>0</v>
      </c>
      <c r="G105">
        <f t="shared" si="83"/>
        <v>0</v>
      </c>
      <c r="H105">
        <f t="shared" si="84"/>
        <v>0</v>
      </c>
      <c r="I105">
        <f t="shared" si="84"/>
        <v>0</v>
      </c>
      <c r="J105">
        <f t="shared" si="79"/>
        <v>0</v>
      </c>
      <c r="K105">
        <f t="shared" si="79"/>
        <v>0</v>
      </c>
      <c r="L105">
        <f t="shared" si="79"/>
        <v>0</v>
      </c>
      <c r="M105">
        <f t="shared" si="79"/>
        <v>0</v>
      </c>
      <c r="N105">
        <f t="shared" si="79"/>
        <v>0</v>
      </c>
      <c r="O105">
        <f t="shared" si="79"/>
        <v>0</v>
      </c>
      <c r="P105">
        <f t="shared" si="73"/>
        <v>0</v>
      </c>
      <c r="Q105">
        <f t="shared" si="80"/>
        <v>0</v>
      </c>
      <c r="R105">
        <f t="shared" si="80"/>
        <v>0</v>
      </c>
      <c r="S105">
        <f t="shared" si="80"/>
        <v>0</v>
      </c>
      <c r="T105">
        <f t="shared" si="80"/>
        <v>0</v>
      </c>
      <c r="U105">
        <f t="shared" si="80"/>
        <v>0</v>
      </c>
      <c r="V105">
        <f t="shared" si="80"/>
        <v>0</v>
      </c>
      <c r="W105">
        <f t="shared" si="80"/>
        <v>0</v>
      </c>
      <c r="X105">
        <f t="shared" si="80"/>
        <v>0</v>
      </c>
      <c r="Y105">
        <f t="shared" si="80"/>
        <v>0</v>
      </c>
      <c r="Z105">
        <f t="shared" si="85"/>
        <v>0</v>
      </c>
      <c r="AA105">
        <f t="shared" si="85"/>
        <v>0</v>
      </c>
      <c r="AB105">
        <f t="shared" si="85"/>
        <v>0</v>
      </c>
      <c r="AC105">
        <f t="shared" si="85"/>
        <v>0</v>
      </c>
      <c r="AD105">
        <f t="shared" si="85"/>
        <v>0</v>
      </c>
      <c r="AE105">
        <f t="shared" si="85"/>
        <v>0</v>
      </c>
      <c r="AF105">
        <f>D105-AR105</f>
        <v>0</v>
      </c>
      <c r="AG105">
        <f>AX52</f>
        <v>0</v>
      </c>
      <c r="AH105">
        <f t="shared" si="81"/>
        <v>0</v>
      </c>
      <c r="AI105">
        <f t="shared" si="81"/>
        <v>0</v>
      </c>
      <c r="AJ105">
        <f t="shared" si="81"/>
        <v>0</v>
      </c>
      <c r="AK105">
        <f t="shared" si="81"/>
        <v>0</v>
      </c>
      <c r="AL105">
        <f t="shared" si="81"/>
        <v>0</v>
      </c>
      <c r="AM105">
        <f t="shared" si="81"/>
        <v>0</v>
      </c>
      <c r="AN105">
        <f t="shared" si="81"/>
        <v>0</v>
      </c>
      <c r="AO105">
        <f t="shared" si="81"/>
        <v>0</v>
      </c>
      <c r="AP105">
        <f t="shared" si="81"/>
        <v>0</v>
      </c>
      <c r="AQ105">
        <f t="shared" si="81"/>
        <v>0</v>
      </c>
      <c r="AR105">
        <f>E105+Q105+R105+S105+T105+U105+V105+W105+X105+Y105+Z105+AA105+AB105+AC105+AD105+AE105+AG105+AH105+AI105+AJ105+AK105+AL105+AM105+AN105+AO105+AP105+AQ105</f>
        <v>0</v>
      </c>
      <c r="AS105">
        <f>D105+AF117-AR105</f>
        <v>0</v>
      </c>
    </row>
    <row r="106" spans="1:45" ht="20.25" customHeight="1">
      <c r="A106" t="s">
        <v>94</v>
      </c>
      <c r="B106" t="s">
        <v>95</v>
      </c>
      <c r="C106" t="s">
        <v>96</v>
      </c>
      <c r="D106">
        <f t="shared" si="82"/>
        <v>0</v>
      </c>
      <c r="E106">
        <f t="shared" si="39"/>
        <v>0</v>
      </c>
      <c r="F106">
        <f t="shared" si="83"/>
        <v>0</v>
      </c>
      <c r="G106">
        <f t="shared" si="83"/>
        <v>0</v>
      </c>
      <c r="H106">
        <f t="shared" si="84"/>
        <v>0</v>
      </c>
      <c r="I106">
        <f t="shared" si="84"/>
        <v>0</v>
      </c>
      <c r="J106">
        <f t="shared" si="79"/>
        <v>0</v>
      </c>
      <c r="K106">
        <f t="shared" si="79"/>
        <v>0</v>
      </c>
      <c r="L106">
        <f t="shared" si="79"/>
        <v>0</v>
      </c>
      <c r="M106">
        <f t="shared" si="79"/>
        <v>0</v>
      </c>
      <c r="N106">
        <f t="shared" si="79"/>
        <v>0</v>
      </c>
      <c r="O106">
        <f t="shared" si="79"/>
        <v>0</v>
      </c>
      <c r="P106">
        <f t="shared" si="73"/>
        <v>0</v>
      </c>
      <c r="Q106">
        <f t="shared" si="80"/>
        <v>0</v>
      </c>
      <c r="R106">
        <f t="shared" si="80"/>
        <v>0</v>
      </c>
      <c r="S106">
        <f t="shared" si="80"/>
        <v>0</v>
      </c>
      <c r="T106">
        <f t="shared" si="80"/>
        <v>0</v>
      </c>
      <c r="U106">
        <f t="shared" si="80"/>
        <v>0</v>
      </c>
      <c r="V106">
        <f t="shared" si="80"/>
        <v>0</v>
      </c>
      <c r="W106">
        <f t="shared" si="80"/>
        <v>0</v>
      </c>
      <c r="X106">
        <f t="shared" si="80"/>
        <v>0</v>
      </c>
      <c r="Y106">
        <f t="shared" si="80"/>
        <v>0</v>
      </c>
      <c r="Z106">
        <f t="shared" si="85"/>
        <v>0</v>
      </c>
      <c r="AA106">
        <f t="shared" si="85"/>
        <v>0</v>
      </c>
      <c r="AB106">
        <f t="shared" si="85"/>
        <v>0</v>
      </c>
      <c r="AC106">
        <f t="shared" si="85"/>
        <v>0</v>
      </c>
      <c r="AD106">
        <f t="shared" si="85"/>
        <v>0</v>
      </c>
      <c r="AE106">
        <f t="shared" si="85"/>
        <v>0</v>
      </c>
      <c r="AF106">
        <f t="shared" si="85"/>
        <v>0</v>
      </c>
      <c r="AG106">
        <f>D106-AR106</f>
        <v>0</v>
      </c>
      <c r="AH106">
        <f>AY53</f>
        <v>0</v>
      </c>
      <c r="AI106">
        <f t="shared" si="81"/>
        <v>0</v>
      </c>
      <c r="AJ106">
        <f t="shared" si="81"/>
        <v>0</v>
      </c>
      <c r="AK106">
        <f t="shared" si="81"/>
        <v>0</v>
      </c>
      <c r="AL106">
        <f t="shared" si="81"/>
        <v>0</v>
      </c>
      <c r="AM106">
        <f t="shared" si="81"/>
        <v>0</v>
      </c>
      <c r="AN106">
        <f t="shared" si="81"/>
        <v>0</v>
      </c>
      <c r="AO106">
        <f t="shared" si="81"/>
        <v>0</v>
      </c>
      <c r="AP106">
        <f t="shared" si="81"/>
        <v>0</v>
      </c>
      <c r="AQ106">
        <f t="shared" si="81"/>
        <v>0</v>
      </c>
      <c r="AR106">
        <f>E106+Q106+R106+S106+T106+U106+V106+W106+X106+Y106+Z106+AA106+AB106+AC106+AD106+AE106+AF106+AH106+AI106+AJ106+AK106+AL106+AM106+AN106+AO106+AP106+AQ106</f>
        <v>0</v>
      </c>
      <c r="AS106">
        <f>D106+AG117-AR106</f>
        <v>0</v>
      </c>
    </row>
    <row r="107" spans="1:45" ht="20.25" customHeight="1">
      <c r="A107" t="s">
        <v>97</v>
      </c>
      <c r="B107" t="s">
        <v>98</v>
      </c>
      <c r="C107" t="s">
        <v>99</v>
      </c>
      <c r="D107">
        <f t="shared" si="82"/>
        <v>0</v>
      </c>
      <c r="E107">
        <f t="shared" si="39"/>
        <v>0</v>
      </c>
      <c r="F107">
        <f t="shared" si="83"/>
        <v>0</v>
      </c>
      <c r="G107">
        <f t="shared" si="83"/>
        <v>0</v>
      </c>
      <c r="H107">
        <f t="shared" si="84"/>
        <v>0</v>
      </c>
      <c r="I107">
        <f t="shared" si="84"/>
        <v>0</v>
      </c>
      <c r="J107">
        <f t="shared" si="79"/>
        <v>0</v>
      </c>
      <c r="K107">
        <f t="shared" si="79"/>
        <v>0</v>
      </c>
      <c r="L107">
        <f t="shared" si="79"/>
        <v>0</v>
      </c>
      <c r="M107">
        <f t="shared" si="79"/>
        <v>0</v>
      </c>
      <c r="N107">
        <f t="shared" si="79"/>
        <v>0</v>
      </c>
      <c r="O107">
        <f t="shared" si="79"/>
        <v>0</v>
      </c>
      <c r="P107">
        <f t="shared" si="73"/>
        <v>0</v>
      </c>
      <c r="Q107">
        <f t="shared" si="80"/>
        <v>0</v>
      </c>
      <c r="R107">
        <f t="shared" si="80"/>
        <v>0</v>
      </c>
      <c r="S107">
        <f t="shared" si="80"/>
        <v>0</v>
      </c>
      <c r="T107">
        <f t="shared" si="80"/>
        <v>0</v>
      </c>
      <c r="U107">
        <f t="shared" si="80"/>
        <v>0</v>
      </c>
      <c r="V107">
        <f t="shared" si="80"/>
        <v>0</v>
      </c>
      <c r="W107">
        <f t="shared" si="80"/>
        <v>0</v>
      </c>
      <c r="X107">
        <f t="shared" si="80"/>
        <v>0</v>
      </c>
      <c r="Y107">
        <f t="shared" si="80"/>
        <v>0</v>
      </c>
      <c r="Z107">
        <f t="shared" si="85"/>
        <v>0</v>
      </c>
      <c r="AA107">
        <f t="shared" si="85"/>
        <v>0</v>
      </c>
      <c r="AB107">
        <f t="shared" si="85"/>
        <v>0</v>
      </c>
      <c r="AC107">
        <f t="shared" si="85"/>
        <v>0</v>
      </c>
      <c r="AD107">
        <f t="shared" si="85"/>
        <v>0</v>
      </c>
      <c r="AE107">
        <f t="shared" si="85"/>
        <v>0</v>
      </c>
      <c r="AF107">
        <f t="shared" si="85"/>
        <v>0</v>
      </c>
      <c r="AG107">
        <f t="shared" si="85"/>
        <v>0</v>
      </c>
      <c r="AH107">
        <f>D107-AR107</f>
        <v>0</v>
      </c>
      <c r="AI107">
        <f>AZ54</f>
        <v>0</v>
      </c>
      <c r="AJ107">
        <f t="shared" si="81"/>
        <v>0</v>
      </c>
      <c r="AK107">
        <f t="shared" si="81"/>
        <v>0</v>
      </c>
      <c r="AL107">
        <f t="shared" si="81"/>
        <v>0</v>
      </c>
      <c r="AM107">
        <f t="shared" si="81"/>
        <v>0</v>
      </c>
      <c r="AN107">
        <f t="shared" si="81"/>
        <v>0</v>
      </c>
      <c r="AO107">
        <f t="shared" si="81"/>
        <v>0</v>
      </c>
      <c r="AP107">
        <f t="shared" si="81"/>
        <v>0</v>
      </c>
      <c r="AQ107">
        <f t="shared" si="81"/>
        <v>0</v>
      </c>
      <c r="AR107">
        <f>E107+Q107+R107+S107+T107+U107+V107+W107+X107+Y107+Z107+AA107+AB107+AC107+AD107+AE107+AF107+AG107+AI107+AJ107+AK107+AL107+AM107+AN107+AO107+AP107+AQ107</f>
        <v>0</v>
      </c>
      <c r="AS107">
        <f>D107+AH117-AR107</f>
        <v>0</v>
      </c>
    </row>
    <row r="108" spans="1:45" ht="31.5" customHeight="1">
      <c r="A108" t="s">
        <v>100</v>
      </c>
      <c r="B108" t="s">
        <v>134</v>
      </c>
      <c r="C108" t="s">
        <v>101</v>
      </c>
      <c r="D108">
        <f t="shared" si="82"/>
        <v>0.52</v>
      </c>
      <c r="E108">
        <f t="shared" si="39"/>
        <v>0</v>
      </c>
      <c r="F108">
        <f t="shared" si="83"/>
        <v>0</v>
      </c>
      <c r="G108">
        <f t="shared" si="83"/>
        <v>0</v>
      </c>
      <c r="H108">
        <f t="shared" si="84"/>
        <v>0</v>
      </c>
      <c r="I108">
        <f t="shared" si="84"/>
        <v>0</v>
      </c>
      <c r="J108">
        <f t="shared" si="79"/>
        <v>0</v>
      </c>
      <c r="K108">
        <f t="shared" si="79"/>
        <v>0</v>
      </c>
      <c r="L108">
        <f t="shared" si="79"/>
        <v>0</v>
      </c>
      <c r="M108">
        <f t="shared" si="79"/>
        <v>0</v>
      </c>
      <c r="N108">
        <f t="shared" si="79"/>
        <v>0</v>
      </c>
      <c r="O108">
        <f t="shared" si="79"/>
        <v>0</v>
      </c>
      <c r="P108">
        <f t="shared" si="73"/>
        <v>0.52</v>
      </c>
      <c r="Q108">
        <f t="shared" si="80"/>
        <v>0</v>
      </c>
      <c r="R108">
        <f t="shared" si="80"/>
        <v>0</v>
      </c>
      <c r="S108">
        <f t="shared" si="80"/>
        <v>0</v>
      </c>
      <c r="T108">
        <f t="shared" si="80"/>
        <v>0</v>
      </c>
      <c r="U108">
        <f t="shared" si="80"/>
        <v>0</v>
      </c>
      <c r="V108">
        <f t="shared" si="80"/>
        <v>0</v>
      </c>
      <c r="W108">
        <f t="shared" si="80"/>
        <v>0</v>
      </c>
      <c r="X108">
        <f t="shared" si="80"/>
        <v>0</v>
      </c>
      <c r="Y108">
        <f t="shared" si="80"/>
        <v>0</v>
      </c>
      <c r="Z108">
        <f t="shared" si="85"/>
        <v>0</v>
      </c>
      <c r="AA108">
        <f t="shared" si="85"/>
        <v>0</v>
      </c>
      <c r="AB108">
        <f t="shared" si="85"/>
        <v>0</v>
      </c>
      <c r="AC108">
        <f t="shared" si="85"/>
        <v>0</v>
      </c>
      <c r="AD108">
        <f t="shared" si="85"/>
        <v>0</v>
      </c>
      <c r="AE108">
        <f t="shared" si="85"/>
        <v>0</v>
      </c>
      <c r="AF108">
        <f t="shared" si="85"/>
        <v>0</v>
      </c>
      <c r="AG108">
        <f t="shared" si="85"/>
        <v>0</v>
      </c>
      <c r="AH108">
        <f t="shared" si="85"/>
        <v>0</v>
      </c>
      <c r="AI108">
        <f>D108-AR108</f>
        <v>0.52</v>
      </c>
      <c r="AJ108">
        <f>BA55</f>
        <v>0</v>
      </c>
      <c r="AK108">
        <f t="shared" si="81"/>
        <v>0</v>
      </c>
      <c r="AL108">
        <f t="shared" si="81"/>
        <v>0</v>
      </c>
      <c r="AM108">
        <f t="shared" si="81"/>
        <v>0</v>
      </c>
      <c r="AN108">
        <f t="shared" si="81"/>
        <v>0</v>
      </c>
      <c r="AO108">
        <f t="shared" si="81"/>
        <v>0</v>
      </c>
      <c r="AP108">
        <f t="shared" si="81"/>
        <v>0</v>
      </c>
      <c r="AQ108">
        <f t="shared" si="81"/>
        <v>0</v>
      </c>
      <c r="AR108">
        <f>E108+Q108+R108+S108+T108+U108+V108+W108+X108+Y108+Z108+AA108+AB108+AC108+AD108+AE108+AF108+AG108+AH108+AJ108+AK108+AL108+AM108+AN108+AO108+AP108+AQ108</f>
        <v>0</v>
      </c>
      <c r="AS108">
        <f>D108+AI117-AR108</f>
        <v>0.52</v>
      </c>
    </row>
    <row r="109" spans="1:45" ht="20.25" customHeight="1">
      <c r="A109" t="s">
        <v>102</v>
      </c>
      <c r="B109" t="s">
        <v>103</v>
      </c>
      <c r="C109" t="s">
        <v>104</v>
      </c>
      <c r="D109">
        <f t="shared" si="82"/>
        <v>0</v>
      </c>
      <c r="E109">
        <f t="shared" si="39"/>
        <v>0</v>
      </c>
      <c r="F109">
        <f t="shared" si="83"/>
        <v>0</v>
      </c>
      <c r="G109">
        <f t="shared" si="83"/>
        <v>0</v>
      </c>
      <c r="H109">
        <f t="shared" si="84"/>
        <v>0</v>
      </c>
      <c r="I109">
        <f t="shared" si="84"/>
        <v>0</v>
      </c>
      <c r="J109">
        <f t="shared" si="79"/>
        <v>0</v>
      </c>
      <c r="K109">
        <f t="shared" si="79"/>
        <v>0</v>
      </c>
      <c r="L109">
        <f t="shared" si="79"/>
        <v>0</v>
      </c>
      <c r="M109">
        <f t="shared" si="79"/>
        <v>0</v>
      </c>
      <c r="N109">
        <f t="shared" si="79"/>
        <v>0</v>
      </c>
      <c r="O109">
        <f t="shared" si="79"/>
        <v>0</v>
      </c>
      <c r="P109">
        <f t="shared" si="73"/>
        <v>0</v>
      </c>
      <c r="Q109">
        <f t="shared" si="80"/>
        <v>0</v>
      </c>
      <c r="R109">
        <f t="shared" si="80"/>
        <v>0</v>
      </c>
      <c r="S109">
        <f t="shared" si="80"/>
        <v>0</v>
      </c>
      <c r="T109">
        <f t="shared" si="80"/>
        <v>0</v>
      </c>
      <c r="U109">
        <f t="shared" si="80"/>
        <v>0</v>
      </c>
      <c r="V109">
        <f t="shared" si="80"/>
        <v>0</v>
      </c>
      <c r="W109">
        <f t="shared" si="80"/>
        <v>0</v>
      </c>
      <c r="X109">
        <f t="shared" si="80"/>
        <v>0</v>
      </c>
      <c r="Y109">
        <f t="shared" si="80"/>
        <v>0</v>
      </c>
      <c r="Z109">
        <f t="shared" si="85"/>
        <v>0</v>
      </c>
      <c r="AA109">
        <f t="shared" si="85"/>
        <v>0</v>
      </c>
      <c r="AB109">
        <f t="shared" si="85"/>
        <v>0</v>
      </c>
      <c r="AC109">
        <f t="shared" si="85"/>
        <v>0</v>
      </c>
      <c r="AD109">
        <f t="shared" si="85"/>
        <v>0</v>
      </c>
      <c r="AE109">
        <f t="shared" si="85"/>
        <v>0</v>
      </c>
      <c r="AF109">
        <f t="shared" si="85"/>
        <v>0</v>
      </c>
      <c r="AG109">
        <f t="shared" si="85"/>
        <v>0</v>
      </c>
      <c r="AH109">
        <f t="shared" si="85"/>
        <v>0</v>
      </c>
      <c r="AI109">
        <f t="shared" si="85"/>
        <v>0</v>
      </c>
      <c r="AJ109">
        <f>D109-AR109</f>
        <v>0</v>
      </c>
      <c r="AK109">
        <f>BB56</f>
        <v>0</v>
      </c>
      <c r="AL109">
        <f t="shared" si="81"/>
        <v>0</v>
      </c>
      <c r="AM109">
        <f t="shared" si="81"/>
        <v>0</v>
      </c>
      <c r="AN109">
        <f t="shared" si="81"/>
        <v>0</v>
      </c>
      <c r="AO109">
        <f t="shared" si="81"/>
        <v>0</v>
      </c>
      <c r="AP109">
        <f t="shared" si="81"/>
        <v>0</v>
      </c>
      <c r="AQ109">
        <f t="shared" si="81"/>
        <v>0</v>
      </c>
      <c r="AR109">
        <f>E109+Q109+R109+S109+T109+U109+V109+W109+X109+Y109+Z109+AA109+AB109+AC109+AD109+AE109+AF109+AG109+AH109+AI109+AK109+AL109+AM109+AN109+AO109+AP109+AQ109</f>
        <v>0</v>
      </c>
      <c r="AS109">
        <f>D109+AJ117-AR109</f>
        <v>0</v>
      </c>
    </row>
    <row r="110" spans="1:45" ht="20.25" customHeight="1">
      <c r="A110" t="s">
        <v>105</v>
      </c>
      <c r="B110" t="s">
        <v>106</v>
      </c>
      <c r="C110" t="s">
        <v>107</v>
      </c>
      <c r="D110">
        <f t="shared" si="82"/>
        <v>0.34</v>
      </c>
      <c r="E110">
        <f t="shared" si="39"/>
        <v>0</v>
      </c>
      <c r="F110">
        <f t="shared" si="83"/>
        <v>0</v>
      </c>
      <c r="G110">
        <f t="shared" si="83"/>
        <v>0</v>
      </c>
      <c r="H110">
        <f t="shared" si="84"/>
        <v>0</v>
      </c>
      <c r="I110">
        <f t="shared" si="84"/>
        <v>0</v>
      </c>
      <c r="J110">
        <f t="shared" si="79"/>
        <v>0</v>
      </c>
      <c r="K110">
        <f t="shared" si="79"/>
        <v>0</v>
      </c>
      <c r="L110">
        <f t="shared" si="79"/>
        <v>0</v>
      </c>
      <c r="M110">
        <f t="shared" si="79"/>
        <v>0</v>
      </c>
      <c r="N110">
        <f t="shared" si="79"/>
        <v>0</v>
      </c>
      <c r="O110">
        <f t="shared" si="79"/>
        <v>0</v>
      </c>
      <c r="P110">
        <f t="shared" si="73"/>
        <v>0.34</v>
      </c>
      <c r="Q110">
        <f t="shared" si="80"/>
        <v>0</v>
      </c>
      <c r="R110">
        <f t="shared" si="80"/>
        <v>0</v>
      </c>
      <c r="S110">
        <f t="shared" si="80"/>
        <v>0</v>
      </c>
      <c r="T110">
        <f t="shared" si="80"/>
        <v>0</v>
      </c>
      <c r="U110">
        <f t="shared" si="80"/>
        <v>0</v>
      </c>
      <c r="V110">
        <f t="shared" si="80"/>
        <v>0</v>
      </c>
      <c r="W110">
        <f t="shared" si="80"/>
        <v>0</v>
      </c>
      <c r="X110">
        <f t="shared" si="80"/>
        <v>0</v>
      </c>
      <c r="Y110">
        <f t="shared" si="80"/>
        <v>0</v>
      </c>
      <c r="Z110">
        <f t="shared" si="85"/>
        <v>0</v>
      </c>
      <c r="AA110">
        <f t="shared" si="85"/>
        <v>0</v>
      </c>
      <c r="AB110">
        <f t="shared" si="85"/>
        <v>0</v>
      </c>
      <c r="AC110">
        <f t="shared" si="85"/>
        <v>0</v>
      </c>
      <c r="AD110">
        <f t="shared" si="85"/>
        <v>0</v>
      </c>
      <c r="AE110">
        <f t="shared" si="85"/>
        <v>0</v>
      </c>
      <c r="AF110">
        <f t="shared" si="85"/>
        <v>0</v>
      </c>
      <c r="AG110">
        <f t="shared" si="85"/>
        <v>0</v>
      </c>
      <c r="AH110">
        <f t="shared" si="85"/>
        <v>0</v>
      </c>
      <c r="AI110">
        <f t="shared" si="85"/>
        <v>0</v>
      </c>
      <c r="AJ110">
        <f t="shared" si="85"/>
        <v>0</v>
      </c>
      <c r="AK110">
        <f>D110-AR110</f>
        <v>0.34</v>
      </c>
      <c r="AL110">
        <f t="shared" si="81"/>
        <v>0</v>
      </c>
      <c r="AM110">
        <f t="shared" si="81"/>
        <v>0</v>
      </c>
      <c r="AN110">
        <f t="shared" si="81"/>
        <v>0</v>
      </c>
      <c r="AO110">
        <f t="shared" si="81"/>
        <v>0</v>
      </c>
      <c r="AP110">
        <f t="shared" si="81"/>
        <v>0</v>
      </c>
      <c r="AQ110">
        <f t="shared" si="81"/>
        <v>0</v>
      </c>
      <c r="AR110">
        <f>E110+Q110+R110+S110+T110+U110+V110+W110+X110+Y110+Z110+AA110+AB110+AC110+AD110+AE110+AF110+AG110+AH110+AI110+AJ110+AL110+AM110+AN110+AO110+AP110+AQ110</f>
        <v>0</v>
      </c>
      <c r="AS110">
        <f>D110+AK117-AR110</f>
        <v>0.34</v>
      </c>
    </row>
    <row r="111" spans="1:45" ht="20.25" customHeight="1">
      <c r="A111" t="s">
        <v>108</v>
      </c>
      <c r="B111" t="s">
        <v>109</v>
      </c>
      <c r="C111" t="s">
        <v>110</v>
      </c>
      <c r="D111">
        <f t="shared" si="82"/>
        <v>0.19</v>
      </c>
      <c r="E111">
        <f t="shared" si="39"/>
        <v>0</v>
      </c>
      <c r="F111">
        <f t="shared" si="83"/>
        <v>0</v>
      </c>
      <c r="G111">
        <f t="shared" si="83"/>
        <v>0</v>
      </c>
      <c r="H111">
        <f t="shared" si="84"/>
        <v>0</v>
      </c>
      <c r="I111">
        <f t="shared" si="84"/>
        <v>0</v>
      </c>
      <c r="J111">
        <f t="shared" si="79"/>
        <v>0</v>
      </c>
      <c r="K111">
        <f t="shared" si="79"/>
        <v>0</v>
      </c>
      <c r="L111">
        <f t="shared" si="79"/>
        <v>0</v>
      </c>
      <c r="M111">
        <f t="shared" si="79"/>
        <v>0</v>
      </c>
      <c r="N111">
        <f t="shared" si="79"/>
        <v>0</v>
      </c>
      <c r="O111">
        <f t="shared" si="79"/>
        <v>0</v>
      </c>
      <c r="P111">
        <f t="shared" si="73"/>
        <v>0.19</v>
      </c>
      <c r="Q111">
        <f t="shared" si="80"/>
        <v>0</v>
      </c>
      <c r="R111">
        <f t="shared" si="80"/>
        <v>0</v>
      </c>
      <c r="S111">
        <f t="shared" si="80"/>
        <v>0</v>
      </c>
      <c r="T111">
        <f t="shared" si="80"/>
        <v>0</v>
      </c>
      <c r="U111">
        <f t="shared" si="80"/>
        <v>0</v>
      </c>
      <c r="V111">
        <f t="shared" si="80"/>
        <v>0</v>
      </c>
      <c r="W111">
        <f t="shared" si="80"/>
        <v>0</v>
      </c>
      <c r="X111">
        <f t="shared" si="80"/>
        <v>0</v>
      </c>
      <c r="Y111">
        <f t="shared" si="80"/>
        <v>0</v>
      </c>
      <c r="Z111">
        <f t="shared" si="85"/>
        <v>0</v>
      </c>
      <c r="AA111">
        <f t="shared" si="85"/>
        <v>0</v>
      </c>
      <c r="AB111">
        <f t="shared" si="85"/>
        <v>0</v>
      </c>
      <c r="AC111">
        <f t="shared" si="85"/>
        <v>0</v>
      </c>
      <c r="AD111">
        <f t="shared" si="85"/>
        <v>0</v>
      </c>
      <c r="AE111">
        <f t="shared" si="85"/>
        <v>0</v>
      </c>
      <c r="AF111">
        <f t="shared" si="85"/>
        <v>0</v>
      </c>
      <c r="AG111">
        <f t="shared" si="85"/>
        <v>0</v>
      </c>
      <c r="AH111">
        <f t="shared" si="85"/>
        <v>0</v>
      </c>
      <c r="AI111">
        <f t="shared" si="85"/>
        <v>0</v>
      </c>
      <c r="AJ111">
        <f t="shared" si="85"/>
        <v>0</v>
      </c>
      <c r="AK111">
        <f t="shared" si="85"/>
        <v>0</v>
      </c>
      <c r="AL111">
        <f>D111-AR111</f>
        <v>0.19</v>
      </c>
      <c r="AM111">
        <f>BD58</f>
        <v>0</v>
      </c>
      <c r="AN111">
        <f>BE58</f>
        <v>0</v>
      </c>
      <c r="AO111">
        <f>BF58</f>
        <v>0</v>
      </c>
      <c r="AP111">
        <f>BG58</f>
        <v>0</v>
      </c>
      <c r="AQ111">
        <f>BH58</f>
        <v>0</v>
      </c>
      <c r="AR111">
        <f>E111+Q111+R111+S111+T111+U111+V111+W111+X111+Y111+Z111+AA111+AB111+AC111+AD111+AE111+AF111+AG111+AH111+AI111+AJ111+AK111+AM111+AN111+AO111+AP111+AQ111</f>
        <v>0</v>
      </c>
      <c r="AS111">
        <f>D111+AL117-AR111</f>
        <v>0.19</v>
      </c>
    </row>
    <row r="112" spans="1:45" ht="20.25" customHeight="1">
      <c r="A112" t="s">
        <v>111</v>
      </c>
      <c r="B112" t="s">
        <v>112</v>
      </c>
      <c r="C112" t="s">
        <v>113</v>
      </c>
      <c r="D112">
        <f t="shared" si="82"/>
        <v>0.08</v>
      </c>
      <c r="E112">
        <f t="shared" si="39"/>
        <v>0</v>
      </c>
      <c r="F112">
        <f t="shared" si="83"/>
        <v>0</v>
      </c>
      <c r="G112">
        <f t="shared" si="83"/>
        <v>0</v>
      </c>
      <c r="H112">
        <f t="shared" si="84"/>
        <v>0</v>
      </c>
      <c r="I112">
        <f t="shared" si="84"/>
        <v>0</v>
      </c>
      <c r="J112">
        <f t="shared" si="79"/>
        <v>0</v>
      </c>
      <c r="K112">
        <f t="shared" si="79"/>
        <v>0</v>
      </c>
      <c r="L112">
        <f t="shared" si="79"/>
        <v>0</v>
      </c>
      <c r="M112">
        <f t="shared" si="79"/>
        <v>0</v>
      </c>
      <c r="N112">
        <f t="shared" si="79"/>
        <v>0</v>
      </c>
      <c r="O112">
        <f t="shared" si="79"/>
        <v>0</v>
      </c>
      <c r="P112">
        <f t="shared" si="73"/>
        <v>0.08</v>
      </c>
      <c r="Q112">
        <f t="shared" si="80"/>
        <v>0</v>
      </c>
      <c r="R112">
        <f t="shared" si="80"/>
        <v>0</v>
      </c>
      <c r="S112">
        <f t="shared" si="80"/>
        <v>0</v>
      </c>
      <c r="T112">
        <f t="shared" si="80"/>
        <v>0</v>
      </c>
      <c r="U112">
        <f t="shared" si="80"/>
        <v>0</v>
      </c>
      <c r="V112">
        <f t="shared" si="80"/>
        <v>0</v>
      </c>
      <c r="W112">
        <f t="shared" si="80"/>
        <v>0</v>
      </c>
      <c r="X112">
        <f t="shared" si="80"/>
        <v>0</v>
      </c>
      <c r="Y112">
        <f t="shared" si="80"/>
        <v>0</v>
      </c>
      <c r="Z112">
        <f t="shared" si="85"/>
        <v>0</v>
      </c>
      <c r="AA112">
        <f t="shared" si="85"/>
        <v>0</v>
      </c>
      <c r="AB112">
        <f t="shared" si="85"/>
        <v>0</v>
      </c>
      <c r="AC112">
        <f t="shared" si="85"/>
        <v>0</v>
      </c>
      <c r="AD112">
        <f t="shared" si="85"/>
        <v>0</v>
      </c>
      <c r="AE112">
        <f t="shared" si="85"/>
        <v>0</v>
      </c>
      <c r="AF112">
        <f t="shared" si="85"/>
        <v>0</v>
      </c>
      <c r="AG112">
        <f t="shared" si="85"/>
        <v>0</v>
      </c>
      <c r="AH112">
        <f t="shared" si="85"/>
        <v>0</v>
      </c>
      <c r="AI112">
        <f t="shared" si="85"/>
        <v>0</v>
      </c>
      <c r="AJ112">
        <f t="shared" si="85"/>
        <v>0</v>
      </c>
      <c r="AK112">
        <f t="shared" si="85"/>
        <v>0</v>
      </c>
      <c r="AL112">
        <f>BC59</f>
        <v>0</v>
      </c>
      <c r="AM112">
        <f>D112-AR112</f>
        <v>0.08</v>
      </c>
      <c r="AN112">
        <f>BE59</f>
        <v>0</v>
      </c>
      <c r="AO112">
        <f>BF59</f>
        <v>0</v>
      </c>
      <c r="AP112">
        <f>BG59</f>
        <v>0</v>
      </c>
      <c r="AQ112">
        <f>BH59</f>
        <v>0</v>
      </c>
      <c r="AR112">
        <f>E112+Q112+R112+S112+T112+U112+V112+W112+X112+Y112+Z112+AA112+AB112+AC112+AD112+AE112+AF112+AG112+AH112+AI112+AJ112+AK112+AL112+AN112+AO112+AP112+AQ112</f>
        <v>0</v>
      </c>
      <c r="AS112">
        <f>D112+AM117-AR112</f>
        <v>0.08</v>
      </c>
    </row>
    <row r="113" spans="1:45" ht="20.25" customHeight="1">
      <c r="A113" t="s">
        <v>114</v>
      </c>
      <c r="B113" t="s">
        <v>115</v>
      </c>
      <c r="C113" t="s">
        <v>116</v>
      </c>
      <c r="D113">
        <f t="shared" si="82"/>
        <v>82.93</v>
      </c>
      <c r="E113">
        <f t="shared" si="39"/>
        <v>0</v>
      </c>
      <c r="F113">
        <f t="shared" si="83"/>
        <v>0</v>
      </c>
      <c r="G113">
        <f t="shared" si="83"/>
        <v>0</v>
      </c>
      <c r="H113">
        <f t="shared" si="84"/>
        <v>0</v>
      </c>
      <c r="I113">
        <f t="shared" si="84"/>
        <v>0</v>
      </c>
      <c r="J113">
        <f t="shared" si="79"/>
        <v>0</v>
      </c>
      <c r="K113">
        <f t="shared" si="79"/>
        <v>0</v>
      </c>
      <c r="L113">
        <f t="shared" si="79"/>
        <v>0</v>
      </c>
      <c r="M113">
        <f t="shared" si="79"/>
        <v>0</v>
      </c>
      <c r="N113">
        <f t="shared" si="79"/>
        <v>0</v>
      </c>
      <c r="O113">
        <f t="shared" si="79"/>
        <v>0</v>
      </c>
      <c r="P113">
        <f t="shared" si="73"/>
        <v>82.93</v>
      </c>
      <c r="Q113">
        <f t="shared" si="80"/>
        <v>0</v>
      </c>
      <c r="R113">
        <f t="shared" si="80"/>
        <v>0</v>
      </c>
      <c r="S113">
        <f t="shared" si="80"/>
        <v>0</v>
      </c>
      <c r="T113">
        <f t="shared" si="80"/>
        <v>0</v>
      </c>
      <c r="U113">
        <f t="shared" si="80"/>
        <v>0</v>
      </c>
      <c r="V113">
        <f t="shared" si="80"/>
        <v>0</v>
      </c>
      <c r="W113">
        <f t="shared" si="80"/>
        <v>0</v>
      </c>
      <c r="X113">
        <f t="shared" si="80"/>
        <v>0</v>
      </c>
      <c r="Y113">
        <f t="shared" si="80"/>
        <v>0</v>
      </c>
      <c r="Z113">
        <f t="shared" si="85"/>
        <v>0</v>
      </c>
      <c r="AA113">
        <f t="shared" si="85"/>
        <v>0</v>
      </c>
      <c r="AB113">
        <f t="shared" si="85"/>
        <v>0</v>
      </c>
      <c r="AC113">
        <f t="shared" si="85"/>
        <v>0</v>
      </c>
      <c r="AD113">
        <f t="shared" si="85"/>
        <v>0</v>
      </c>
      <c r="AE113">
        <f t="shared" si="85"/>
        <v>0</v>
      </c>
      <c r="AF113">
        <f t="shared" si="85"/>
        <v>0</v>
      </c>
      <c r="AG113">
        <f t="shared" si="85"/>
        <v>0</v>
      </c>
      <c r="AH113">
        <f t="shared" si="85"/>
        <v>0</v>
      </c>
      <c r="AI113">
        <f t="shared" si="85"/>
        <v>0</v>
      </c>
      <c r="AJ113">
        <f t="shared" si="85"/>
        <v>0</v>
      </c>
      <c r="AK113">
        <f t="shared" si="85"/>
        <v>0</v>
      </c>
      <c r="AL113">
        <f>BC60</f>
        <v>0</v>
      </c>
      <c r="AM113">
        <f>BD60</f>
        <v>0</v>
      </c>
      <c r="AN113">
        <f>D113-AR113</f>
        <v>82.93</v>
      </c>
      <c r="AO113">
        <f>BF60</f>
        <v>0</v>
      </c>
      <c r="AP113">
        <f>BG60</f>
        <v>0</v>
      </c>
      <c r="AQ113">
        <f>BH60</f>
        <v>0</v>
      </c>
      <c r="AR113">
        <f>E113+Q113+R113+S113+T113+U113+V113+W113+X113+Y113+Z113+AA113+AB113+AC113+AD113+AE113+AF113+AG113+AH113+AI113+AJ113+AK113+AL113+AM113+AO113+AP113+AQ113</f>
        <v>0</v>
      </c>
      <c r="AS113">
        <f>D113+AN117-AR113</f>
        <v>82.93</v>
      </c>
    </row>
    <row r="114" spans="1:45" ht="20.25" customHeight="1">
      <c r="A114" t="s">
        <v>117</v>
      </c>
      <c r="B114" t="s">
        <v>118</v>
      </c>
      <c r="C114" t="s">
        <v>119</v>
      </c>
      <c r="D114">
        <f t="shared" si="82"/>
        <v>27.11</v>
      </c>
      <c r="E114">
        <f t="shared" si="39"/>
        <v>0</v>
      </c>
      <c r="F114">
        <f t="shared" si="83"/>
        <v>0</v>
      </c>
      <c r="G114">
        <f t="shared" si="83"/>
        <v>0</v>
      </c>
      <c r="H114">
        <f t="shared" si="84"/>
        <v>0</v>
      </c>
      <c r="I114">
        <f t="shared" si="84"/>
        <v>0</v>
      </c>
      <c r="J114">
        <f t="shared" si="79"/>
        <v>0</v>
      </c>
      <c r="K114">
        <f t="shared" si="79"/>
        <v>0</v>
      </c>
      <c r="L114">
        <f t="shared" si="79"/>
        <v>0</v>
      </c>
      <c r="M114">
        <f t="shared" si="79"/>
        <v>0</v>
      </c>
      <c r="N114">
        <f t="shared" si="79"/>
        <v>0</v>
      </c>
      <c r="O114">
        <f t="shared" si="79"/>
        <v>0</v>
      </c>
      <c r="P114">
        <f t="shared" si="73"/>
        <v>27.11</v>
      </c>
      <c r="Q114">
        <f t="shared" si="80"/>
        <v>0</v>
      </c>
      <c r="R114">
        <f t="shared" si="80"/>
        <v>0</v>
      </c>
      <c r="S114">
        <f t="shared" si="80"/>
        <v>0</v>
      </c>
      <c r="T114">
        <f t="shared" si="80"/>
        <v>0</v>
      </c>
      <c r="U114">
        <f t="shared" si="80"/>
        <v>0</v>
      </c>
      <c r="V114">
        <f t="shared" si="80"/>
        <v>0</v>
      </c>
      <c r="W114">
        <f t="shared" si="80"/>
        <v>0</v>
      </c>
      <c r="X114">
        <f t="shared" si="80"/>
        <v>0</v>
      </c>
      <c r="Y114">
        <f t="shared" si="80"/>
        <v>0</v>
      </c>
      <c r="Z114">
        <f t="shared" si="85"/>
        <v>0</v>
      </c>
      <c r="AA114">
        <f t="shared" si="85"/>
        <v>0</v>
      </c>
      <c r="AB114">
        <f t="shared" si="85"/>
        <v>0</v>
      </c>
      <c r="AC114">
        <f t="shared" si="85"/>
        <v>0</v>
      </c>
      <c r="AD114">
        <f t="shared" si="85"/>
        <v>0</v>
      </c>
      <c r="AE114">
        <f t="shared" si="85"/>
        <v>0</v>
      </c>
      <c r="AF114">
        <f t="shared" si="85"/>
        <v>0</v>
      </c>
      <c r="AG114">
        <f t="shared" si="85"/>
        <v>0</v>
      </c>
      <c r="AH114">
        <f t="shared" si="85"/>
        <v>0</v>
      </c>
      <c r="AI114">
        <f t="shared" si="85"/>
        <v>0</v>
      </c>
      <c r="AJ114">
        <f t="shared" si="85"/>
        <v>0</v>
      </c>
      <c r="AK114">
        <f t="shared" si="85"/>
        <v>0</v>
      </c>
      <c r="AL114">
        <f>BC61</f>
        <v>0</v>
      </c>
      <c r="AM114">
        <f>BD61</f>
        <v>0</v>
      </c>
      <c r="AN114">
        <f>BE61</f>
        <v>0</v>
      </c>
      <c r="AO114">
        <f>D114-AR114</f>
        <v>27.11</v>
      </c>
      <c r="AP114">
        <f>BG61</f>
        <v>0</v>
      </c>
      <c r="AQ114">
        <f>BH61</f>
        <v>0</v>
      </c>
      <c r="AR114">
        <f>E114+Q114+R114+S114+T114+U114+V114+W114+X114+Y114+Z114+AA114+AB114+AC114+AD114+AE114+AF114+AG114+AH114+AI114+AJ114+AK114+AL114+AM114+AN114+AP114+AQ114</f>
        <v>0</v>
      </c>
      <c r="AS114">
        <f>D114+AO117-AR114</f>
        <v>27.11</v>
      </c>
    </row>
    <row r="115" spans="1:45" ht="20.25" customHeight="1">
      <c r="A115" t="s">
        <v>120</v>
      </c>
      <c r="B115" t="s">
        <v>121</v>
      </c>
      <c r="C115" t="s">
        <v>122</v>
      </c>
      <c r="D115">
        <f t="shared" si="82"/>
        <v>0</v>
      </c>
      <c r="E115">
        <f t="shared" si="39"/>
        <v>0</v>
      </c>
      <c r="F115">
        <f t="shared" si="83"/>
        <v>0</v>
      </c>
      <c r="G115">
        <f t="shared" si="83"/>
        <v>0</v>
      </c>
      <c r="H115">
        <f t="shared" si="84"/>
        <v>0</v>
      </c>
      <c r="I115">
        <f t="shared" si="84"/>
        <v>0</v>
      </c>
      <c r="J115">
        <f t="shared" ref="J115:O116" si="86">P62</f>
        <v>0</v>
      </c>
      <c r="K115">
        <f t="shared" si="86"/>
        <v>0</v>
      </c>
      <c r="L115">
        <f t="shared" si="86"/>
        <v>0</v>
      </c>
      <c r="M115">
        <f t="shared" si="86"/>
        <v>0</v>
      </c>
      <c r="N115">
        <f t="shared" si="86"/>
        <v>0</v>
      </c>
      <c r="O115">
        <f t="shared" si="86"/>
        <v>0</v>
      </c>
      <c r="P115">
        <f t="shared" si="73"/>
        <v>0</v>
      </c>
      <c r="Q115">
        <f t="shared" ref="Q115:Y116" si="87">W62</f>
        <v>0</v>
      </c>
      <c r="R115">
        <f t="shared" si="87"/>
        <v>0</v>
      </c>
      <c r="S115">
        <f t="shared" si="87"/>
        <v>0</v>
      </c>
      <c r="T115">
        <f t="shared" si="87"/>
        <v>0</v>
      </c>
      <c r="U115">
        <f t="shared" si="87"/>
        <v>0</v>
      </c>
      <c r="V115">
        <f t="shared" si="87"/>
        <v>0</v>
      </c>
      <c r="W115">
        <f t="shared" si="87"/>
        <v>0</v>
      </c>
      <c r="X115">
        <f t="shared" si="87"/>
        <v>0</v>
      </c>
      <c r="Y115">
        <f t="shared" si="87"/>
        <v>0</v>
      </c>
      <c r="Z115">
        <f t="shared" si="85"/>
        <v>0</v>
      </c>
      <c r="AA115">
        <f t="shared" si="85"/>
        <v>0</v>
      </c>
      <c r="AB115">
        <f t="shared" si="85"/>
        <v>0</v>
      </c>
      <c r="AC115">
        <f t="shared" si="85"/>
        <v>0</v>
      </c>
      <c r="AD115">
        <f t="shared" si="85"/>
        <v>0</v>
      </c>
      <c r="AE115">
        <f t="shared" si="85"/>
        <v>0</v>
      </c>
      <c r="AF115">
        <f t="shared" si="85"/>
        <v>0</v>
      </c>
      <c r="AG115">
        <f t="shared" si="85"/>
        <v>0</v>
      </c>
      <c r="AH115">
        <f t="shared" si="85"/>
        <v>0</v>
      </c>
      <c r="AI115">
        <f t="shared" si="85"/>
        <v>0</v>
      </c>
      <c r="AJ115">
        <f t="shared" si="85"/>
        <v>0</v>
      </c>
      <c r="AK115">
        <f t="shared" si="85"/>
        <v>0</v>
      </c>
      <c r="AL115">
        <f>BC62</f>
        <v>0</v>
      </c>
      <c r="AM115">
        <f>BD62</f>
        <v>0</v>
      </c>
      <c r="AN115">
        <f>BE62</f>
        <v>0</v>
      </c>
      <c r="AO115">
        <f>BF62</f>
        <v>0</v>
      </c>
      <c r="AP115">
        <f>D115-AR115</f>
        <v>0</v>
      </c>
      <c r="AQ115">
        <f>BH62</f>
        <v>0</v>
      </c>
      <c r="AR115">
        <f>E115+Q115+R115+S115+T115+U115+V115+W115+X115+Y115+Z115+AA115+AB115+AC115+AD115+AE115+AF115+AG115+AH115+AI115+AJ115+AK115+AL115+AM115+AN115+AO115+AQ115</f>
        <v>0</v>
      </c>
      <c r="AS115">
        <f>D115+AP117-AR115</f>
        <v>0</v>
      </c>
    </row>
    <row r="116" spans="1:45" ht="20.25" customHeight="1">
      <c r="A116">
        <v>3</v>
      </c>
      <c r="B116" t="s">
        <v>123</v>
      </c>
      <c r="C116" t="s">
        <v>124</v>
      </c>
      <c r="D116">
        <f>D63</f>
        <v>696.01</v>
      </c>
      <c r="E116">
        <f>F116+H116+I116+J116+K116+L116+M116+N116+O116</f>
        <v>1.41</v>
      </c>
      <c r="F116">
        <f t="shared" si="83"/>
        <v>0</v>
      </c>
      <c r="G116">
        <f t="shared" si="83"/>
        <v>0</v>
      </c>
      <c r="H116">
        <f t="shared" si="84"/>
        <v>0</v>
      </c>
      <c r="I116">
        <f t="shared" si="84"/>
        <v>0</v>
      </c>
      <c r="J116">
        <f t="shared" si="86"/>
        <v>0</v>
      </c>
      <c r="K116">
        <f t="shared" si="86"/>
        <v>0</v>
      </c>
      <c r="L116">
        <f t="shared" si="86"/>
        <v>0</v>
      </c>
      <c r="M116">
        <f t="shared" si="86"/>
        <v>1.41</v>
      </c>
      <c r="N116">
        <f t="shared" si="86"/>
        <v>0</v>
      </c>
      <c r="O116">
        <f t="shared" si="86"/>
        <v>0</v>
      </c>
      <c r="P116">
        <f>SUM(Q116:AP116)</f>
        <v>0</v>
      </c>
      <c r="Q116">
        <f t="shared" si="87"/>
        <v>0</v>
      </c>
      <c r="R116">
        <f t="shared" si="87"/>
        <v>0</v>
      </c>
      <c r="S116">
        <f t="shared" si="87"/>
        <v>0</v>
      </c>
      <c r="T116">
        <f t="shared" si="87"/>
        <v>0</v>
      </c>
      <c r="U116">
        <f t="shared" si="87"/>
        <v>0</v>
      </c>
      <c r="V116">
        <f t="shared" si="87"/>
        <v>0</v>
      </c>
      <c r="W116">
        <f t="shared" si="87"/>
        <v>0</v>
      </c>
      <c r="X116">
        <f t="shared" si="87"/>
        <v>0</v>
      </c>
      <c r="Y116">
        <f t="shared" si="87"/>
        <v>0</v>
      </c>
      <c r="Z116">
        <f t="shared" si="85"/>
        <v>0</v>
      </c>
      <c r="AA116">
        <f t="shared" si="85"/>
        <v>0</v>
      </c>
      <c r="AB116">
        <f t="shared" si="85"/>
        <v>0</v>
      </c>
      <c r="AC116">
        <f t="shared" si="85"/>
        <v>0</v>
      </c>
      <c r="AD116">
        <f t="shared" si="85"/>
        <v>0</v>
      </c>
      <c r="AE116">
        <f t="shared" si="85"/>
        <v>0</v>
      </c>
      <c r="AF116">
        <f t="shared" si="85"/>
        <v>0</v>
      </c>
      <c r="AG116">
        <f t="shared" si="85"/>
        <v>0</v>
      </c>
      <c r="AH116">
        <f t="shared" si="85"/>
        <v>0</v>
      </c>
      <c r="AI116">
        <f t="shared" si="85"/>
        <v>0</v>
      </c>
      <c r="AJ116">
        <f t="shared" si="85"/>
        <v>0</v>
      </c>
      <c r="AK116">
        <f t="shared" si="85"/>
        <v>0</v>
      </c>
      <c r="AL116">
        <f>BC63</f>
        <v>0</v>
      </c>
      <c r="AM116">
        <f>BD63</f>
        <v>0</v>
      </c>
      <c r="AN116">
        <f>BE63</f>
        <v>0</v>
      </c>
      <c r="AO116">
        <f>BF63</f>
        <v>0</v>
      </c>
      <c r="AP116">
        <f>BG63</f>
        <v>0</v>
      </c>
      <c r="AQ116">
        <f>AR116</f>
        <v>1.41</v>
      </c>
      <c r="AR116">
        <f>E116+Q116+R116+S116+T116+U116+V116+W116+X116+Y116+Z116+AA116+AB116+AC116+AD116+AE116+AF116+AG116+AH116+AI116+AJ116+AL116+AM116+AN116+AO116+AP116</f>
        <v>1.41</v>
      </c>
      <c r="AS116">
        <f>D116+AQ117-AR116</f>
        <v>694.6</v>
      </c>
    </row>
    <row r="117" spans="1:45" ht="20.25" customHeight="1">
      <c r="B117" t="s">
        <v>190</v>
      </c>
      <c r="E117">
        <f>E89+E116</f>
        <v>1.41</v>
      </c>
      <c r="F117">
        <f>F81+F82+F83+F84+F85+F86+F87+F88+F89+F116</f>
        <v>0</v>
      </c>
      <c r="G117">
        <f>G79+G81+G82+G83+G84+G85+G86+G87+G88+G89+G116</f>
        <v>0</v>
      </c>
      <c r="H117">
        <f>H79+H82+H83+H84+H85+H86+H87+H88+H89+H116</f>
        <v>0</v>
      </c>
      <c r="I117">
        <f>I79+I81+I83+I84+I85+I86+I87+I88+I89+I116</f>
        <v>0</v>
      </c>
      <c r="J117">
        <f>J79+J81+J82+J84+J85+J86+J87+J88+J89+J116</f>
        <v>0</v>
      </c>
      <c r="K117">
        <f>K79+K81+K82+K83+K85+K86+K87+K88+K89+K116</f>
        <v>0</v>
      </c>
      <c r="L117">
        <f>L79+L81+L82+L83+L84+L86+L87+L88+L89+L116</f>
        <v>0</v>
      </c>
      <c r="M117">
        <f>M79+M81+M82+M83+M84+M85+M87+M88+M89+M116</f>
        <v>5.97</v>
      </c>
      <c r="N117">
        <f>N79+N81+N82+N83+N84+N85+N86+N88+N89+N116</f>
        <v>0</v>
      </c>
      <c r="O117">
        <f>O79+O81+O82+O83+O84+O85+O86+O87+O89+O116</f>
        <v>0</v>
      </c>
      <c r="P117">
        <f>P78+P116</f>
        <v>0.87000000000000011</v>
      </c>
      <c r="Q117">
        <f>Q78+Q91+Q92+Q93+Q94+Q95+Q96+Q97+Q98+Q99+Q100+Q101+Q102+Q103+Q104+Q105+Q106+Q107+Q108+Q109+Q110+Q111+Q112+Q113+Q114+Q115+Q116</f>
        <v>0</v>
      </c>
      <c r="R117">
        <f>R78+R90+R92+R93+R94+R95+R96+R97+R98+R99+R100+R101+R102+R103+R104+R105+R106+R107+R108+R109+R110+R111+R112+R113+R114+R115+R116</f>
        <v>0</v>
      </c>
      <c r="S117">
        <f>S78+S90+S91+S93+S94+S95+S96+S97+S98+S99+S100+S101+S102+S103+S104+S105+S106+S107+S108+S109+S110+S111+S112+S113+S114+S115+S116</f>
        <v>0</v>
      </c>
      <c r="T117">
        <f>T78+T90+T91+T92+T94+T95+T96+T97+T98+T99+T100+T101+T102+T103+T104+T105+T106+T107+T108+T109+T110+T111+T112+T113+T114+T115+T116</f>
        <v>0</v>
      </c>
      <c r="U117">
        <f>U78+U90+U91+U92+U93+U95+U96+U97+U98+U99+U100+U101+U102+U103+U104+U105+U106+U107+U108+U109+U110+U111+U112+U113+U114+U115+U116</f>
        <v>0</v>
      </c>
      <c r="V117">
        <f>V78+V90+V91+V92+V93+V94+V96+V97+V98+V99+V100+V101+V102+V103+V104+V105+V106+V107+V108+V109+V110+V111+V112+V113+V114+V115+V116</f>
        <v>0</v>
      </c>
      <c r="W117">
        <f>W78+W90+W91+W92+W93+W94+W95+W97+W98+W99+W100+W101+W102+W103+W104+W105+W106+W107+W108+W109+W110+W111+W112+W113+W114+W115+W116</f>
        <v>0</v>
      </c>
      <c r="X117">
        <f>X78+X90+X91+X92+X93+X94+X95+X96+X98+X99+X100+X101+X102+X103+X104+X105+X106+X107+X108+X109+X110+X111+X112+X113+X114+X115+X116</f>
        <v>0</v>
      </c>
      <c r="Y117">
        <f>Y78+Y90+Y91+Y92+Y93+Y94+Y95+Y96+Y97+Y99+Y100+Y101+Y102+Y103+Y104+Y105+Y106+Y107+Y108+Y109+Y110+Y111+Y112+Y113+Y114+Y115+Y116</f>
        <v>0.42</v>
      </c>
      <c r="Z117">
        <f>Z78+Z90+Z91+Z92+Z93+Z94+Z95+Z96+Z97+Z98+Z100+Z101+Z102+Z103+Z104+Z105+Z106+Z107+Z108+Z109+Z110+Z111+Z112+Z113+Z114+Z115+Z116</f>
        <v>0</v>
      </c>
      <c r="AA117">
        <f>AA78+AA90+AA91+AA92+AA93+AA94+AA95+AA96+AA97+AA98+AA99+AA101+AA102+AA103+AA104+AA105+AA106+AA107+AA108+AA109+AA110+AA111+AA112+AA113+AA114+AA115+AA116</f>
        <v>0</v>
      </c>
      <c r="AB117">
        <f>AB78+AB90+AB91+AB92+AB93+AB94+AB95+AB96+AB97+AB98+AB99+AB100+AB102+AB103+AB104+AB105+AB106+AB107+AB108+AB109+AB110+AB111+AB112+AB113+AB114+AB115+AB116</f>
        <v>0</v>
      </c>
      <c r="AC117">
        <f>AC78+AC90+AC91+AC92+AC93+AC94+AC95+AC96+AC97+AC98+AC99+AC100+AC101+AC103+AC104+AC105+AC106+AC107+AC108+AC109+AC110+AC111+AC112+AC113+AC114+AC115+AC116</f>
        <v>0.5</v>
      </c>
      <c r="AD117">
        <f>AD78+AD90+AD91+AD92+AD93+AD94+AD95+AD96+AD97+AD98+AD99+AD100+AD101+AD102+AD104+AD105+AD106+AD107+AD108+AD109+AD110+AD111+AD112+AD113+AD114+AD115+AD116</f>
        <v>0</v>
      </c>
      <c r="AE117">
        <f>AE78+AE90+AE91+AE92+AE93+AE94+AE95+AE96+AE97+AE98+AE99+AE100+AE101+AE102+AE103+AE105+AE106+AE107+AE108+AE109+AE110+AE111+AE112+AE113+AE114+AE115+AE116</f>
        <v>0</v>
      </c>
      <c r="AF117">
        <f>AF78+AF90+AF91+AF92+AF93+AF94+AF95+AF96+AF97+AF98+AF99+AF100+AF101+AF102+AF103+AF104+AF106+AF107+AF108+AF109+AF110+AF111+AF112+AF113+AF114+AF115+AF116</f>
        <v>0</v>
      </c>
      <c r="AG117">
        <f>AG78+AG90+AG91+AG92+AG93+AG94+AG95+AG96+AG97+AG98+AG99+AG100+AG101+AG102+AG103+AG104+AG105+AG107+AG108+AG109+AG110+AG111+AG112+AG113+AG114+AG115+AG116</f>
        <v>0</v>
      </c>
      <c r="AH117">
        <f>AH78+AH90+AH91+AH92+AH93+AH94+AH95+AH96+AH97+AH98+AH99+AH100+AH101+AH102+AH103+AH104+AH105+AH106+AH108+AH109+AH110+AH111+AH112+AH113+AH114+AH115+AH116</f>
        <v>0</v>
      </c>
      <c r="AI117">
        <f>AI78+AI90+AI91+AI92+AI93+AI94+AI95+AI96+AI97+AI98+AI99+AI100+AI101+AI102+AI103+AI104+AI105+AI106+AI107+AI109+AI110+AI111+AI112+AI113+AI114+AI115+AI116</f>
        <v>0</v>
      </c>
      <c r="AJ117">
        <f>AJ78+AJ90+AJ91+AJ92+AJ93+AJ94+AJ95+AJ96+AJ97+AJ98+AJ99+AJ100+AJ101+AJ102+AJ103+AJ104+AJ105+AJ106+AJ107+AJ108+AJ110+AJ111+AJ112+AJ113+AJ114+AJ115+AJ116</f>
        <v>0</v>
      </c>
      <c r="AK117">
        <f>AK78+AK90+AK91+AK92+AK93+AK94+AK95+AK96+AK97+AK98+AK99+AK100+AK101+AK102+AK103+AK104+AK105+AK106+AK107+AK108+AK109+AK111+AK112+AK113+AK114+AK115+AK116</f>
        <v>0</v>
      </c>
      <c r="AL117">
        <f>AL78+AL90+AL91+AL92+AL93+AL94+AL95+AL96+AL97+AL98+AL99+AL100+AL101+AL102+AL103+AL104+AL105+AL106+AL107+AL108+AL109+AL110+AL112+AL113+AL114+AL115+AL116</f>
        <v>0</v>
      </c>
      <c r="AM117">
        <f>AM78+AM90+AM91+AM92+AM93+AM94+AM95+AM96+AM97+AM98+AM99+AM100+AM101+AM102+AM103+AM104+AM105+AM106+AM107+AM108+AM109+AM110+AM111+AM113+AM114+AM115+AM116</f>
        <v>0</v>
      </c>
      <c r="AN117">
        <f>AN78+AN90+AN91+AN92+AN93+AN94+AN95+AN96+AN97+AN98+AN99+AN100+AN101+AN102+AN103+AN104+AN105+AN106+AN107+AN108+AN109+AN110+AN111+AN112+AN114+AN115+AN116</f>
        <v>0</v>
      </c>
      <c r="AO117">
        <f>AO78+AO90+AO91+AO92+AO93+AO94+AO95+AO96+AO97+AO98+AO99+AO100+AO101+AO102+AO103+AO104+AO105+AO106+AO107+AO108+AO109+AO110+AO111+AO112+AO113+AO115+AO116</f>
        <v>0</v>
      </c>
      <c r="AP117">
        <f>AP78+AP90+AP91+AP92+AP93+AP94+AP95+AP96+AP97+AP98+AP99+AP100+AP101+AP102+AP103+AP104+AP105+AP106+AP107+AP108+AP109+AP110+AP111+AP112+AP113+AP114+AP116</f>
        <v>0</v>
      </c>
      <c r="AQ117">
        <f>AQ78+AQ89</f>
        <v>0</v>
      </c>
    </row>
    <row r="118" spans="1:45" ht="25.5" customHeight="1">
      <c r="B118" t="s">
        <v>325</v>
      </c>
      <c r="D118">
        <f>AS77</f>
        <v>2790.9594999999999</v>
      </c>
      <c r="E118">
        <f>AS78</f>
        <v>1886.68</v>
      </c>
      <c r="F118">
        <f>AS79</f>
        <v>171.75</v>
      </c>
      <c r="G118">
        <f>AS80</f>
        <v>22.91</v>
      </c>
      <c r="H118">
        <f>AS81</f>
        <v>50.43</v>
      </c>
      <c r="I118">
        <f>AS82</f>
        <v>40.94</v>
      </c>
      <c r="J118">
        <f>AS83</f>
        <v>956.86</v>
      </c>
      <c r="K118">
        <f>AS84</f>
        <v>-4.5799999999999992</v>
      </c>
      <c r="L118">
        <f>AS85</f>
        <v>579.66999999999996</v>
      </c>
      <c r="M118">
        <f>AS86</f>
        <v>90.5</v>
      </c>
      <c r="N118">
        <f>AS87</f>
        <v>0</v>
      </c>
      <c r="O118">
        <f>AS88</f>
        <v>1.1100000000000001</v>
      </c>
      <c r="P118">
        <f>AS89</f>
        <v>209.67950000000002</v>
      </c>
      <c r="Q118">
        <f>AS90</f>
        <v>5.38</v>
      </c>
      <c r="R118">
        <f>AS91</f>
        <v>0</v>
      </c>
      <c r="S118">
        <f>AS92</f>
        <v>0</v>
      </c>
      <c r="T118">
        <f>AS93</f>
        <v>0</v>
      </c>
      <c r="U118">
        <f>AS94</f>
        <v>0</v>
      </c>
      <c r="V118">
        <f>AS95</f>
        <v>0</v>
      </c>
      <c r="W118">
        <f>AS96</f>
        <v>0.55000000000000004</v>
      </c>
      <c r="X118">
        <f>AS97</f>
        <v>0</v>
      </c>
      <c r="Y118">
        <f>AS98</f>
        <v>75.219499999999996</v>
      </c>
      <c r="Z118">
        <f>AS99</f>
        <v>0</v>
      </c>
      <c r="AA118">
        <f>AS100</f>
        <v>0</v>
      </c>
      <c r="AB118">
        <f>AS101</f>
        <v>0.16</v>
      </c>
      <c r="AC118">
        <f>AS102</f>
        <v>16.55</v>
      </c>
      <c r="AD118">
        <f>AS103</f>
        <v>0</v>
      </c>
      <c r="AE118">
        <f>AS104</f>
        <v>0.65</v>
      </c>
      <c r="AF118">
        <f>AS105</f>
        <v>0</v>
      </c>
      <c r="AG118">
        <f>AS106</f>
        <v>0</v>
      </c>
      <c r="AH118">
        <f>AS107</f>
        <v>0</v>
      </c>
      <c r="AI118">
        <f>AS108</f>
        <v>0.52</v>
      </c>
      <c r="AJ118">
        <f>AS109</f>
        <v>0</v>
      </c>
      <c r="AK118">
        <f>AS110</f>
        <v>0.34</v>
      </c>
      <c r="AL118">
        <f>AS111</f>
        <v>0.19</v>
      </c>
      <c r="AM118">
        <f>AS112</f>
        <v>0.08</v>
      </c>
      <c r="AN118">
        <f>AS113</f>
        <v>82.93</v>
      </c>
      <c r="AO118">
        <f>AS114</f>
        <v>27.11</v>
      </c>
      <c r="AP118">
        <f>AS115</f>
        <v>0</v>
      </c>
      <c r="AQ118">
        <f>AS116</f>
        <v>694.6</v>
      </c>
    </row>
  </sheetData>
  <mergeCells count="21">
    <mergeCell ref="A1:B1"/>
    <mergeCell ref="A2:BN2"/>
    <mergeCell ref="A4:A5"/>
    <mergeCell ref="B4:B5"/>
    <mergeCell ref="C4:C5"/>
    <mergeCell ref="A75:A76"/>
    <mergeCell ref="BN4:BN5"/>
    <mergeCell ref="A71:B71"/>
    <mergeCell ref="BM4:BM5"/>
    <mergeCell ref="A73:AS73"/>
    <mergeCell ref="AS75:AS76"/>
    <mergeCell ref="D4:D5"/>
    <mergeCell ref="C75:C76"/>
    <mergeCell ref="A72:AS72"/>
    <mergeCell ref="E75:AQ75"/>
    <mergeCell ref="D75:D76"/>
    <mergeCell ref="E4:BK4"/>
    <mergeCell ref="AR74:AS74"/>
    <mergeCell ref="BL4:BL5"/>
    <mergeCell ref="B75:B76"/>
    <mergeCell ref="AR75:AR76"/>
  </mergeCells>
  <phoneticPr fontId="4" type="noConversion"/>
  <pageMargins left="0.75" right="0.75" top="1" bottom="1" header="0.5" footer="0.5"/>
  <pageSetup paperSize="9" scale="45" orientation="portrait" r:id="rId1"/>
  <headerFooter alignWithMargins="0"/>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BP117"/>
  <sheetViews>
    <sheetView showZeros="0" topLeftCell="B4" zoomScale="75" workbookViewId="0">
      <pane xSplit="3" ySplit="4" topLeftCell="AL53" activePane="bottomRight" state="frozen"/>
      <selection activeCell="B4" sqref="B4"/>
      <selection pane="topRight" activeCell="E4" sqref="E4"/>
      <selection pane="bottomLeft" activeCell="B8" sqref="B8"/>
      <selection pane="bottomRight" activeCell="AR62" sqref="AR62"/>
    </sheetView>
  </sheetViews>
  <sheetFormatPr defaultRowHeight="24.95" customHeight="1"/>
  <cols>
    <col min="1" max="1" width="8.85546875" customWidth="1"/>
    <col min="2" max="2" width="47.140625" customWidth="1"/>
    <col min="3" max="3" width="8.28515625" customWidth="1"/>
    <col min="4" max="4" width="13.5703125" customWidth="1"/>
    <col min="5" max="5" width="11.42578125" customWidth="1"/>
    <col min="6" max="6" width="0.140625" hidden="1" customWidth="1"/>
    <col min="7" max="7" width="11.28515625" hidden="1" customWidth="1"/>
    <col min="8" max="8" width="10.85546875" customWidth="1"/>
    <col min="9" max="9" width="11.140625" customWidth="1"/>
    <col min="10" max="10" width="10.85546875" customWidth="1"/>
    <col min="11" max="11" width="10" hidden="1" customWidth="1"/>
    <col min="12" max="12" width="11.140625" hidden="1" customWidth="1"/>
    <col min="13" max="13" width="11.85546875" customWidth="1"/>
    <col min="14" max="14" width="11.28515625" customWidth="1"/>
    <col min="15" max="15" width="11.28515625" hidden="1" customWidth="1"/>
    <col min="16" max="16" width="12.85546875" customWidth="1"/>
    <col min="17" max="17" width="12.28515625" customWidth="1"/>
    <col min="18" max="18" width="10.85546875" customWidth="1"/>
    <col min="19" max="19" width="9.140625" customWidth="1"/>
    <col min="20" max="20" width="10.140625" hidden="1" customWidth="1"/>
    <col min="21" max="21" width="9.85546875" customWidth="1"/>
    <col min="22" max="22" width="11.5703125" customWidth="1"/>
    <col min="23" max="23" width="11.140625" customWidth="1"/>
    <col min="24" max="24" width="10.7109375" customWidth="1"/>
    <col min="25" max="25" width="10.42578125" customWidth="1"/>
    <col min="26" max="26" width="11.140625" customWidth="1"/>
    <col min="27" max="27" width="9.85546875" customWidth="1"/>
    <col min="28" max="39" width="10.42578125" customWidth="1"/>
    <col min="40" max="40" width="11" customWidth="1"/>
    <col min="41" max="43" width="9.42578125" customWidth="1"/>
    <col min="44" max="44" width="10.85546875" customWidth="1"/>
    <col min="45" max="45" width="13.7109375" customWidth="1"/>
    <col min="46" max="47" width="9.42578125" customWidth="1"/>
    <col min="48" max="48" width="11.5703125" customWidth="1"/>
    <col min="49" max="59" width="9" customWidth="1"/>
    <col min="60" max="60" width="10.140625" customWidth="1"/>
    <col min="61" max="62" width="9.85546875" customWidth="1"/>
    <col min="64" max="64" width="10.5703125" customWidth="1"/>
    <col min="65" max="65" width="12.140625" customWidth="1"/>
    <col min="66" max="66" width="13" customWidth="1"/>
    <col min="67" max="67" width="11.7109375" customWidth="1"/>
  </cols>
  <sheetData>
    <row r="1" spans="1:68" ht="24.95" customHeight="1">
      <c r="A1" s="1300" t="s">
        <v>301</v>
      </c>
      <c r="B1" s="1300"/>
    </row>
    <row r="2" spans="1:68" ht="36.75" customHeight="1">
      <c r="A2" s="1282" t="s">
        <v>965</v>
      </c>
      <c r="B2" s="1282"/>
      <c r="C2" s="1282"/>
      <c r="D2" s="1282"/>
      <c r="E2" s="1282"/>
      <c r="F2" s="1282"/>
      <c r="G2" s="1282"/>
      <c r="H2" s="1282"/>
      <c r="I2" s="1282"/>
      <c r="J2" s="1282"/>
      <c r="K2" s="1282"/>
      <c r="L2" s="1282"/>
      <c r="M2" s="1282"/>
      <c r="N2" s="1282"/>
      <c r="O2" s="1282"/>
      <c r="P2" s="1282"/>
      <c r="Q2" s="1282"/>
      <c r="R2" s="1282"/>
      <c r="S2" s="1282"/>
      <c r="T2" s="1282"/>
      <c r="U2" s="1282"/>
      <c r="V2" s="1282"/>
      <c r="W2" s="1282"/>
      <c r="X2" s="1282"/>
      <c r="Y2" s="1282"/>
      <c r="Z2" s="1282"/>
      <c r="AA2" s="1282"/>
      <c r="AB2" s="1282"/>
      <c r="AC2" s="1282"/>
      <c r="AD2" s="1282"/>
      <c r="AE2" s="1282"/>
      <c r="AF2" s="1282"/>
      <c r="AG2" s="1282"/>
      <c r="AH2" s="1282"/>
      <c r="AI2" s="1282"/>
      <c r="AJ2" s="1282"/>
      <c r="AK2" s="1282"/>
      <c r="AL2" s="1282"/>
      <c r="AM2" s="1282"/>
      <c r="AN2" s="1282"/>
      <c r="AO2" s="1282"/>
      <c r="AP2" s="1282"/>
      <c r="AQ2" s="1282"/>
      <c r="AR2" s="1282"/>
      <c r="AS2" s="1282"/>
      <c r="AT2" s="1282"/>
      <c r="AU2" s="1282"/>
      <c r="AV2" s="1282"/>
      <c r="AW2" s="1282"/>
      <c r="AX2" s="1282"/>
      <c r="AY2" s="1282"/>
      <c r="AZ2" s="1282"/>
      <c r="BA2" s="1282"/>
      <c r="BB2" s="1282"/>
      <c r="BC2" s="1282"/>
      <c r="BD2" s="1282"/>
      <c r="BE2" s="1282"/>
      <c r="BF2" s="1282"/>
      <c r="BG2" s="1282"/>
      <c r="BH2" s="1282"/>
      <c r="BI2" s="1282"/>
      <c r="BJ2" s="1282"/>
      <c r="BK2" s="1282"/>
      <c r="BL2" s="1282"/>
      <c r="BM2" s="1282"/>
      <c r="BN2" s="1282"/>
    </row>
    <row r="4" spans="1:68" ht="33" customHeight="1">
      <c r="A4" s="1275" t="s">
        <v>136</v>
      </c>
      <c r="B4" s="1275" t="s">
        <v>469</v>
      </c>
      <c r="C4" s="1275" t="s">
        <v>192</v>
      </c>
      <c r="D4" s="1275" t="s">
        <v>693</v>
      </c>
      <c r="E4" s="1368" t="s">
        <v>694</v>
      </c>
      <c r="F4" s="1368"/>
      <c r="G4" s="1368"/>
      <c r="H4" s="1368"/>
      <c r="I4" s="1368"/>
      <c r="J4" s="1368"/>
      <c r="K4" s="1368"/>
      <c r="L4" s="1368"/>
      <c r="M4" s="1368"/>
      <c r="N4" s="1368"/>
      <c r="O4" s="1368"/>
      <c r="P4" s="1368"/>
      <c r="Q4" s="1368"/>
      <c r="R4" s="1368"/>
      <c r="S4" s="1368"/>
      <c r="T4" s="1368"/>
      <c r="U4" s="1368"/>
      <c r="V4" s="1368"/>
      <c r="W4" s="1368"/>
      <c r="X4" s="1368"/>
      <c r="Y4" s="1368"/>
      <c r="Z4" s="1368"/>
      <c r="AA4" s="1368"/>
      <c r="AB4" s="1368"/>
      <c r="AC4" s="1368"/>
      <c r="AD4" s="1368"/>
      <c r="AE4" s="1368"/>
      <c r="AF4" s="1368"/>
      <c r="AG4" s="1368"/>
      <c r="AH4" s="1368"/>
      <c r="AI4" s="1368"/>
      <c r="AJ4" s="1368"/>
      <c r="AK4" s="1368"/>
      <c r="AL4" s="1368"/>
      <c r="AM4" s="1368"/>
      <c r="AN4" s="1368"/>
      <c r="AO4" s="1368"/>
      <c r="AP4" s="1368"/>
      <c r="AQ4" s="1368"/>
      <c r="AR4" s="1368"/>
      <c r="AS4" s="1368"/>
      <c r="AT4" s="1368"/>
      <c r="AU4" s="1368"/>
      <c r="AV4" s="1368"/>
      <c r="AW4" s="1368"/>
      <c r="AX4" s="1368"/>
      <c r="AY4" s="1368"/>
      <c r="AZ4" s="1368"/>
      <c r="BA4" s="1368"/>
      <c r="BB4" s="1368"/>
      <c r="BC4" s="1368"/>
      <c r="BD4" s="1368"/>
      <c r="BE4" s="1368"/>
      <c r="BF4" s="1368"/>
      <c r="BG4" s="1368"/>
      <c r="BH4" s="1368"/>
      <c r="BI4" s="1368"/>
      <c r="BJ4" s="1368"/>
      <c r="BK4" s="1368"/>
      <c r="BL4" s="1365" t="s">
        <v>191</v>
      </c>
      <c r="BM4" s="1365" t="s">
        <v>493</v>
      </c>
      <c r="BN4" s="1365" t="s">
        <v>695</v>
      </c>
    </row>
    <row r="5" spans="1:68" ht="35.25" customHeight="1">
      <c r="A5" s="1275"/>
      <c r="B5" s="1275"/>
      <c r="C5" s="1275"/>
      <c r="D5" s="1275"/>
      <c r="E5" s="128" t="s">
        <v>15</v>
      </c>
      <c r="F5" s="128" t="s">
        <v>193</v>
      </c>
      <c r="G5" s="128" t="s">
        <v>194</v>
      </c>
      <c r="H5" s="128" t="s">
        <v>18</v>
      </c>
      <c r="I5" s="128" t="s">
        <v>20</v>
      </c>
      <c r="J5" s="128" t="s">
        <v>195</v>
      </c>
      <c r="K5" s="128" t="s">
        <v>196</v>
      </c>
      <c r="L5" s="128" t="s">
        <v>197</v>
      </c>
      <c r="M5" s="128" t="s">
        <v>23</v>
      </c>
      <c r="N5" s="128" t="s">
        <v>26</v>
      </c>
      <c r="O5" s="128" t="s">
        <v>198</v>
      </c>
      <c r="P5" s="128" t="s">
        <v>29</v>
      </c>
      <c r="Q5" s="128" t="s">
        <v>32</v>
      </c>
      <c r="R5" s="128" t="s">
        <v>35</v>
      </c>
      <c r="S5" s="128" t="s">
        <v>38</v>
      </c>
      <c r="T5" s="128" t="s">
        <v>41</v>
      </c>
      <c r="U5" s="128" t="s">
        <v>44</v>
      </c>
      <c r="V5" s="128" t="s">
        <v>46</v>
      </c>
      <c r="W5" s="128" t="s">
        <v>49</v>
      </c>
      <c r="X5" s="128" t="s">
        <v>52</v>
      </c>
      <c r="Y5" s="128" t="s">
        <v>55</v>
      </c>
      <c r="Z5" s="128" t="s">
        <v>58</v>
      </c>
      <c r="AA5" s="128" t="s">
        <v>61</v>
      </c>
      <c r="AB5" s="128" t="s">
        <v>64</v>
      </c>
      <c r="AC5" s="128" t="s">
        <v>67</v>
      </c>
      <c r="AD5" s="128" t="s">
        <v>70</v>
      </c>
      <c r="AE5" s="128" t="s">
        <v>72</v>
      </c>
      <c r="AF5" s="128" t="s">
        <v>202</v>
      </c>
      <c r="AG5" s="128" t="s">
        <v>203</v>
      </c>
      <c r="AH5" s="128" t="s">
        <v>204</v>
      </c>
      <c r="AI5" s="128" t="s">
        <v>205</v>
      </c>
      <c r="AJ5" s="128" t="s">
        <v>206</v>
      </c>
      <c r="AK5" s="128" t="s">
        <v>207</v>
      </c>
      <c r="AL5" s="128" t="s">
        <v>199</v>
      </c>
      <c r="AM5" s="128" t="s">
        <v>200</v>
      </c>
      <c r="AN5" s="128" t="s">
        <v>223</v>
      </c>
      <c r="AO5" s="128" t="s">
        <v>201</v>
      </c>
      <c r="AP5" s="128" t="s">
        <v>208</v>
      </c>
      <c r="AQ5" s="128" t="s">
        <v>75</v>
      </c>
      <c r="AR5" s="128" t="s">
        <v>78</v>
      </c>
      <c r="AS5" s="128" t="s">
        <v>81</v>
      </c>
      <c r="AT5" s="128" t="s">
        <v>84</v>
      </c>
      <c r="AU5" s="128" t="s">
        <v>87</v>
      </c>
      <c r="AV5" s="128" t="s">
        <v>90</v>
      </c>
      <c r="AW5" s="128" t="s">
        <v>93</v>
      </c>
      <c r="AX5" s="128" t="s">
        <v>96</v>
      </c>
      <c r="AY5" s="128" t="s">
        <v>99</v>
      </c>
      <c r="AZ5" s="128" t="s">
        <v>101</v>
      </c>
      <c r="BA5" s="128" t="s">
        <v>104</v>
      </c>
      <c r="BB5" s="128" t="s">
        <v>107</v>
      </c>
      <c r="BC5" s="128" t="s">
        <v>110</v>
      </c>
      <c r="BD5" s="128" t="s">
        <v>113</v>
      </c>
      <c r="BE5" s="128" t="s">
        <v>116</v>
      </c>
      <c r="BF5" s="128" t="s">
        <v>119</v>
      </c>
      <c r="BG5" s="128" t="s">
        <v>122</v>
      </c>
      <c r="BH5" s="128" t="s">
        <v>124</v>
      </c>
      <c r="BI5" s="128" t="s">
        <v>209</v>
      </c>
      <c r="BJ5" s="128" t="s">
        <v>210</v>
      </c>
      <c r="BK5" s="128" t="s">
        <v>211</v>
      </c>
      <c r="BL5" s="1366"/>
      <c r="BM5" s="1366"/>
      <c r="BN5" s="1366"/>
    </row>
    <row r="6" spans="1:68" ht="24.95" customHeight="1">
      <c r="A6" s="106" t="s">
        <v>235</v>
      </c>
      <c r="B6" s="106" t="s">
        <v>236</v>
      </c>
      <c r="C6" s="129" t="s">
        <v>237</v>
      </c>
      <c r="D6" s="129" t="s">
        <v>238</v>
      </c>
      <c r="E6" s="129" t="s">
        <v>239</v>
      </c>
      <c r="F6" s="129" t="s">
        <v>240</v>
      </c>
      <c r="G6" s="129" t="s">
        <v>241</v>
      </c>
      <c r="H6" s="129" t="s">
        <v>242</v>
      </c>
      <c r="I6" s="129" t="s">
        <v>243</v>
      </c>
      <c r="J6" s="129" t="s">
        <v>244</v>
      </c>
      <c r="K6" s="129" t="s">
        <v>245</v>
      </c>
      <c r="L6" s="129" t="s">
        <v>246</v>
      </c>
      <c r="M6" s="129" t="s">
        <v>247</v>
      </c>
      <c r="N6" s="129" t="s">
        <v>248</v>
      </c>
      <c r="O6" s="129" t="s">
        <v>249</v>
      </c>
      <c r="P6" s="129" t="s">
        <v>250</v>
      </c>
      <c r="Q6" s="129" t="s">
        <v>251</v>
      </c>
      <c r="R6" s="129" t="s">
        <v>252</v>
      </c>
      <c r="S6" s="129" t="s">
        <v>253</v>
      </c>
      <c r="T6" s="129" t="s">
        <v>254</v>
      </c>
      <c r="U6" s="129" t="s">
        <v>255</v>
      </c>
      <c r="V6" s="129" t="s">
        <v>256</v>
      </c>
      <c r="W6" s="129" t="s">
        <v>257</v>
      </c>
      <c r="X6" s="129" t="s">
        <v>258</v>
      </c>
      <c r="Y6" s="129" t="s">
        <v>259</v>
      </c>
      <c r="Z6" s="129" t="s">
        <v>260</v>
      </c>
      <c r="AA6" s="129" t="s">
        <v>261</v>
      </c>
      <c r="AB6" s="129" t="s">
        <v>262</v>
      </c>
      <c r="AC6" s="129" t="s">
        <v>263</v>
      </c>
      <c r="AD6" s="129" t="s">
        <v>264</v>
      </c>
      <c r="AE6" s="129" t="s">
        <v>265</v>
      </c>
      <c r="AF6" s="129" t="s">
        <v>266</v>
      </c>
      <c r="AG6" s="129" t="s">
        <v>267</v>
      </c>
      <c r="AH6" s="129" t="s">
        <v>268</v>
      </c>
      <c r="AI6" s="129" t="s">
        <v>269</v>
      </c>
      <c r="AJ6" s="129" t="s">
        <v>270</v>
      </c>
      <c r="AK6" s="129" t="s">
        <v>271</v>
      </c>
      <c r="AL6" s="129" t="s">
        <v>272</v>
      </c>
      <c r="AM6" s="129" t="s">
        <v>273</v>
      </c>
      <c r="AN6" s="129" t="s">
        <v>274</v>
      </c>
      <c r="AO6" s="129" t="s">
        <v>275</v>
      </c>
      <c r="AP6" s="129" t="s">
        <v>276</v>
      </c>
      <c r="AQ6" s="129" t="s">
        <v>277</v>
      </c>
      <c r="AR6" s="129" t="s">
        <v>278</v>
      </c>
      <c r="AS6" s="129" t="s">
        <v>279</v>
      </c>
      <c r="AT6" s="129" t="s">
        <v>280</v>
      </c>
      <c r="AU6" s="129" t="s">
        <v>281</v>
      </c>
      <c r="AV6" s="129" t="s">
        <v>282</v>
      </c>
      <c r="AW6" s="129" t="s">
        <v>283</v>
      </c>
      <c r="AX6" s="129" t="s">
        <v>284</v>
      </c>
      <c r="AY6" s="129" t="s">
        <v>285</v>
      </c>
      <c r="AZ6" s="129" t="s">
        <v>286</v>
      </c>
      <c r="BA6" s="129" t="s">
        <v>287</v>
      </c>
      <c r="BB6" s="129" t="s">
        <v>288</v>
      </c>
      <c r="BC6" s="129" t="s">
        <v>289</v>
      </c>
      <c r="BD6" s="129" t="s">
        <v>290</v>
      </c>
      <c r="BE6" s="129" t="s">
        <v>291</v>
      </c>
      <c r="BF6" s="129" t="s">
        <v>292</v>
      </c>
      <c r="BG6" s="129" t="s">
        <v>293</v>
      </c>
      <c r="BH6" s="129" t="s">
        <v>294</v>
      </c>
      <c r="BI6" s="129" t="s">
        <v>295</v>
      </c>
      <c r="BJ6" s="129" t="s">
        <v>296</v>
      </c>
      <c r="BK6" s="129" t="s">
        <v>297</v>
      </c>
      <c r="BL6" s="129" t="s">
        <v>298</v>
      </c>
      <c r="BM6" s="129" t="s">
        <v>299</v>
      </c>
      <c r="BN6" s="129" t="s">
        <v>300</v>
      </c>
    </row>
    <row r="7" spans="1:68" s="117" customFormat="1" ht="31.5" customHeight="1">
      <c r="A7" s="154"/>
      <c r="B7" s="154" t="s">
        <v>470</v>
      </c>
      <c r="C7" s="154"/>
      <c r="D7" s="464">
        <f>D8+D25+D63</f>
        <v>2120.3599999999997</v>
      </c>
      <c r="E7" s="464">
        <f>E8+E25+E63</f>
        <v>1588</v>
      </c>
      <c r="F7" s="464">
        <f t="shared" ref="F7:BN7" si="0">F8+F25+F63</f>
        <v>394.22999999999996</v>
      </c>
      <c r="G7" s="464">
        <f t="shared" si="0"/>
        <v>339.04999999999995</v>
      </c>
      <c r="H7" s="464">
        <f t="shared" si="0"/>
        <v>250.82999999999998</v>
      </c>
      <c r="I7" s="464">
        <f t="shared" si="0"/>
        <v>108.55</v>
      </c>
      <c r="J7" s="464">
        <f t="shared" si="0"/>
        <v>142.28</v>
      </c>
      <c r="K7" s="464">
        <f t="shared" si="0"/>
        <v>0</v>
      </c>
      <c r="L7" s="464">
        <f t="shared" si="0"/>
        <v>0</v>
      </c>
      <c r="M7" s="464">
        <f t="shared" si="0"/>
        <v>88.22</v>
      </c>
      <c r="N7" s="464">
        <f t="shared" si="0"/>
        <v>55.18</v>
      </c>
      <c r="O7" s="464">
        <f t="shared" si="0"/>
        <v>1163.28</v>
      </c>
      <c r="P7" s="464">
        <f t="shared" si="0"/>
        <v>159.12</v>
      </c>
      <c r="Q7" s="464">
        <f t="shared" si="0"/>
        <v>0</v>
      </c>
      <c r="R7" s="464">
        <f t="shared" si="0"/>
        <v>1004.16</v>
      </c>
      <c r="S7" s="464">
        <f t="shared" si="0"/>
        <v>30.49</v>
      </c>
      <c r="T7" s="464">
        <f t="shared" si="0"/>
        <v>0</v>
      </c>
      <c r="U7" s="464">
        <f t="shared" si="0"/>
        <v>0</v>
      </c>
      <c r="V7" s="464">
        <f t="shared" si="0"/>
        <v>234.93</v>
      </c>
      <c r="W7" s="464">
        <f t="shared" si="0"/>
        <v>53.27</v>
      </c>
      <c r="X7" s="464">
        <f t="shared" si="0"/>
        <v>0</v>
      </c>
      <c r="Y7" s="464">
        <f t="shared" si="0"/>
        <v>0</v>
      </c>
      <c r="Z7" s="464">
        <f t="shared" si="0"/>
        <v>0</v>
      </c>
      <c r="AA7" s="464">
        <f t="shared" si="0"/>
        <v>0</v>
      </c>
      <c r="AB7" s="464">
        <f t="shared" si="0"/>
        <v>0</v>
      </c>
      <c r="AC7" s="464">
        <f t="shared" si="0"/>
        <v>1.51</v>
      </c>
      <c r="AD7" s="464">
        <f t="shared" si="0"/>
        <v>0</v>
      </c>
      <c r="AE7" s="464">
        <f t="shared" si="0"/>
        <v>84.49</v>
      </c>
      <c r="AF7" s="464">
        <f t="shared" si="0"/>
        <v>0.08</v>
      </c>
      <c r="AG7" s="464">
        <f t="shared" si="0"/>
        <v>0.2</v>
      </c>
      <c r="AH7" s="464">
        <f t="shared" si="0"/>
        <v>1.74</v>
      </c>
      <c r="AI7" s="464">
        <f t="shared" si="0"/>
        <v>2.21</v>
      </c>
      <c r="AJ7" s="464">
        <f t="shared" si="0"/>
        <v>0</v>
      </c>
      <c r="AK7" s="464">
        <f t="shared" si="0"/>
        <v>0</v>
      </c>
      <c r="AL7" s="464">
        <f t="shared" si="0"/>
        <v>44.929999999999993</v>
      </c>
      <c r="AM7" s="464">
        <f t="shared" si="0"/>
        <v>35.22</v>
      </c>
      <c r="AN7" s="464">
        <f t="shared" si="0"/>
        <v>0</v>
      </c>
      <c r="AO7" s="464">
        <f t="shared" si="0"/>
        <v>0.11</v>
      </c>
      <c r="AP7" s="464">
        <f t="shared" si="0"/>
        <v>0</v>
      </c>
      <c r="AQ7" s="464">
        <f t="shared" si="0"/>
        <v>0</v>
      </c>
      <c r="AR7" s="464">
        <f t="shared" si="0"/>
        <v>0</v>
      </c>
      <c r="AS7" s="464">
        <f t="shared" si="0"/>
        <v>0.21</v>
      </c>
      <c r="AT7" s="464">
        <f t="shared" si="0"/>
        <v>23.74</v>
      </c>
      <c r="AU7" s="464">
        <f t="shared" si="0"/>
        <v>0</v>
      </c>
      <c r="AV7" s="464">
        <f t="shared" si="0"/>
        <v>1.05</v>
      </c>
      <c r="AW7" s="464">
        <f t="shared" si="0"/>
        <v>0</v>
      </c>
      <c r="AX7" s="464">
        <f t="shared" si="0"/>
        <v>0</v>
      </c>
      <c r="AY7" s="464">
        <f t="shared" si="0"/>
        <v>0</v>
      </c>
      <c r="AZ7" s="464">
        <f t="shared" si="0"/>
        <v>16.59</v>
      </c>
      <c r="BA7" s="464">
        <f t="shared" si="0"/>
        <v>0</v>
      </c>
      <c r="BB7" s="464">
        <f t="shared" si="0"/>
        <v>0.62</v>
      </c>
      <c r="BC7" s="464">
        <f t="shared" si="0"/>
        <v>0</v>
      </c>
      <c r="BD7" s="464">
        <f t="shared" si="0"/>
        <v>0.57999999999999996</v>
      </c>
      <c r="BE7" s="464">
        <f t="shared" si="0"/>
        <v>0</v>
      </c>
      <c r="BF7" s="464">
        <f t="shared" si="0"/>
        <v>52.87</v>
      </c>
      <c r="BG7" s="464">
        <f t="shared" si="0"/>
        <v>0</v>
      </c>
      <c r="BH7" s="464">
        <f t="shared" si="0"/>
        <v>297.42999999999995</v>
      </c>
      <c r="BI7" s="464">
        <f t="shared" si="0"/>
        <v>281.02999999999997</v>
      </c>
      <c r="BJ7" s="464">
        <f t="shared" si="0"/>
        <v>16.399999999999999</v>
      </c>
      <c r="BK7" s="464">
        <f t="shared" si="0"/>
        <v>0</v>
      </c>
      <c r="BL7" s="464"/>
      <c r="BM7" s="464">
        <f t="shared" si="0"/>
        <v>0</v>
      </c>
      <c r="BN7" s="464">
        <f t="shared" si="0"/>
        <v>2120.36</v>
      </c>
    </row>
    <row r="8" spans="1:68" s="115" customFormat="1" ht="21" customHeight="1">
      <c r="A8" s="15">
        <v>1</v>
      </c>
      <c r="B8" s="142" t="s">
        <v>14</v>
      </c>
      <c r="C8" s="158" t="s">
        <v>15</v>
      </c>
      <c r="D8" s="420">
        <f>D9+D18+D22+D23+D24</f>
        <v>1590.57</v>
      </c>
      <c r="E8" s="420">
        <f>D8-BL8</f>
        <v>1588</v>
      </c>
      <c r="F8" s="420">
        <f>G8+N8</f>
        <v>394.22999999999996</v>
      </c>
      <c r="G8" s="420">
        <f>H8+L8+M8</f>
        <v>339.04999999999995</v>
      </c>
      <c r="H8" s="420">
        <f>I8+J8+K8</f>
        <v>250.82999999999998</v>
      </c>
      <c r="I8" s="420">
        <f>I9+I18+I22+I23+I24</f>
        <v>108.55</v>
      </c>
      <c r="J8" s="420">
        <f t="shared" ref="J8:BG8" si="1">J9+J18+J22+J23+J24</f>
        <v>142.28</v>
      </c>
      <c r="K8" s="420">
        <f t="shared" si="1"/>
        <v>0</v>
      </c>
      <c r="L8" s="420">
        <f t="shared" si="1"/>
        <v>0</v>
      </c>
      <c r="M8" s="420">
        <f t="shared" si="1"/>
        <v>88.22</v>
      </c>
      <c r="N8" s="420">
        <f t="shared" si="1"/>
        <v>55.18</v>
      </c>
      <c r="O8" s="420">
        <f>P8+Q8+R8</f>
        <v>1163.28</v>
      </c>
      <c r="P8" s="420">
        <f t="shared" si="1"/>
        <v>159.12</v>
      </c>
      <c r="Q8" s="420">
        <f t="shared" si="1"/>
        <v>0</v>
      </c>
      <c r="R8" s="420">
        <f t="shared" si="1"/>
        <v>1004.16</v>
      </c>
      <c r="S8" s="420">
        <f t="shared" si="1"/>
        <v>30.49</v>
      </c>
      <c r="T8" s="420">
        <f t="shared" si="1"/>
        <v>0</v>
      </c>
      <c r="U8" s="420">
        <f t="shared" si="1"/>
        <v>0</v>
      </c>
      <c r="V8" s="420">
        <f t="shared" si="1"/>
        <v>2.5700000000000003</v>
      </c>
      <c r="W8" s="420">
        <f t="shared" si="1"/>
        <v>0</v>
      </c>
      <c r="X8" s="420">
        <f t="shared" si="1"/>
        <v>0</v>
      </c>
      <c r="Y8" s="420">
        <f t="shared" si="1"/>
        <v>0</v>
      </c>
      <c r="Z8" s="420">
        <f t="shared" si="1"/>
        <v>0</v>
      </c>
      <c r="AA8" s="420">
        <f t="shared" si="1"/>
        <v>0</v>
      </c>
      <c r="AB8" s="420">
        <f t="shared" si="1"/>
        <v>0</v>
      </c>
      <c r="AC8" s="420">
        <f t="shared" si="1"/>
        <v>0</v>
      </c>
      <c r="AD8" s="420">
        <f t="shared" si="1"/>
        <v>0</v>
      </c>
      <c r="AE8" s="420">
        <f t="shared" si="1"/>
        <v>0.44</v>
      </c>
      <c r="AF8" s="420">
        <f t="shared" si="1"/>
        <v>0</v>
      </c>
      <c r="AG8" s="420">
        <f t="shared" si="1"/>
        <v>0</v>
      </c>
      <c r="AH8" s="420">
        <f t="shared" si="1"/>
        <v>0</v>
      </c>
      <c r="AI8" s="420">
        <f t="shared" si="1"/>
        <v>0</v>
      </c>
      <c r="AJ8" s="420">
        <f t="shared" si="1"/>
        <v>0</v>
      </c>
      <c r="AK8" s="420">
        <f t="shared" si="1"/>
        <v>0</v>
      </c>
      <c r="AL8" s="420">
        <f t="shared" si="1"/>
        <v>0.44</v>
      </c>
      <c r="AM8" s="420">
        <f t="shared" si="1"/>
        <v>0</v>
      </c>
      <c r="AN8" s="420">
        <f t="shared" si="1"/>
        <v>0</v>
      </c>
      <c r="AO8" s="420">
        <f t="shared" si="1"/>
        <v>0</v>
      </c>
      <c r="AP8" s="420">
        <f t="shared" si="1"/>
        <v>0</v>
      </c>
      <c r="AQ8" s="420">
        <f t="shared" si="1"/>
        <v>0</v>
      </c>
      <c r="AR8" s="420">
        <f t="shared" si="1"/>
        <v>0</v>
      </c>
      <c r="AS8" s="420">
        <f t="shared" si="1"/>
        <v>0</v>
      </c>
      <c r="AT8" s="420">
        <f t="shared" si="1"/>
        <v>2.13</v>
      </c>
      <c r="AU8" s="420">
        <f t="shared" si="1"/>
        <v>0</v>
      </c>
      <c r="AV8" s="420">
        <f t="shared" si="1"/>
        <v>0</v>
      </c>
      <c r="AW8" s="420">
        <f t="shared" si="1"/>
        <v>0</v>
      </c>
      <c r="AX8" s="420">
        <f t="shared" si="1"/>
        <v>0</v>
      </c>
      <c r="AY8" s="420">
        <f t="shared" si="1"/>
        <v>0</v>
      </c>
      <c r="AZ8" s="420">
        <f t="shared" si="1"/>
        <v>0</v>
      </c>
      <c r="BA8" s="420">
        <f t="shared" si="1"/>
        <v>0</v>
      </c>
      <c r="BB8" s="420">
        <f t="shared" si="1"/>
        <v>0</v>
      </c>
      <c r="BC8" s="420">
        <f t="shared" si="1"/>
        <v>0</v>
      </c>
      <c r="BD8" s="420">
        <f t="shared" si="1"/>
        <v>0</v>
      </c>
      <c r="BE8" s="420">
        <f t="shared" si="1"/>
        <v>0</v>
      </c>
      <c r="BF8" s="420">
        <f t="shared" si="1"/>
        <v>0</v>
      </c>
      <c r="BG8" s="420">
        <f t="shared" si="1"/>
        <v>0</v>
      </c>
      <c r="BH8" s="420">
        <f>BH9+BH18+BH22+BH23+BH24</f>
        <v>0</v>
      </c>
      <c r="BI8" s="420">
        <f>BI9+BI18+BI22+BI23+BI24</f>
        <v>0</v>
      </c>
      <c r="BJ8" s="420">
        <f>BJ9+BJ18+BJ22+BJ23+BJ24</f>
        <v>0</v>
      </c>
      <c r="BK8" s="420">
        <f>BK9+BK18+BK22+BK23+BK24</f>
        <v>0</v>
      </c>
      <c r="BL8" s="420">
        <f>V8+BH8</f>
        <v>2.5700000000000003</v>
      </c>
      <c r="BM8" s="420">
        <f>BM9+BM18+BM22+BM23+BM24</f>
        <v>-2.5700000000000003</v>
      </c>
      <c r="BN8" s="420">
        <f>BN9+BN18+BN22+BN23+BN24</f>
        <v>1588</v>
      </c>
      <c r="BP8" s="117"/>
    </row>
    <row r="9" spans="1:68" ht="21.75" hidden="1" customHeight="1">
      <c r="A9" s="14" t="s">
        <v>16</v>
      </c>
      <c r="B9" s="143" t="s">
        <v>471</v>
      </c>
      <c r="C9" s="30" t="s">
        <v>193</v>
      </c>
      <c r="D9" s="185">
        <f>D10+D17</f>
        <v>396.8</v>
      </c>
      <c r="E9" s="185">
        <f>F9+O9+S9+T9+U9</f>
        <v>396.8</v>
      </c>
      <c r="F9" s="185">
        <f>D9-BK9</f>
        <v>396.8</v>
      </c>
      <c r="G9" s="185">
        <f>H9+L9+M9</f>
        <v>339.04999999999995</v>
      </c>
      <c r="H9" s="185">
        <f>I9+J9+K9</f>
        <v>250.82999999999998</v>
      </c>
      <c r="I9" s="185">
        <f>I10+I17</f>
        <v>108.55</v>
      </c>
      <c r="J9" s="185">
        <f t="shared" ref="J9:BG9" si="2">J10+J17</f>
        <v>142.28</v>
      </c>
      <c r="K9" s="185">
        <f t="shared" si="2"/>
        <v>0</v>
      </c>
      <c r="L9" s="185">
        <f t="shared" si="2"/>
        <v>0</v>
      </c>
      <c r="M9" s="185">
        <f t="shared" si="2"/>
        <v>88.22</v>
      </c>
      <c r="N9" s="185">
        <f t="shared" si="2"/>
        <v>55.18</v>
      </c>
      <c r="O9" s="185">
        <f t="shared" ref="O9:O17" si="3">P9+Q9+R9</f>
        <v>0</v>
      </c>
      <c r="P9" s="185">
        <f t="shared" si="2"/>
        <v>0</v>
      </c>
      <c r="Q9" s="185">
        <f t="shared" si="2"/>
        <v>0</v>
      </c>
      <c r="R9" s="185">
        <f t="shared" si="2"/>
        <v>0</v>
      </c>
      <c r="S9" s="185">
        <f t="shared" si="2"/>
        <v>0</v>
      </c>
      <c r="T9" s="185">
        <f t="shared" si="2"/>
        <v>0</v>
      </c>
      <c r="U9" s="185">
        <f t="shared" si="2"/>
        <v>0</v>
      </c>
      <c r="V9" s="185">
        <f t="shared" si="2"/>
        <v>2.5700000000000003</v>
      </c>
      <c r="W9" s="185">
        <f t="shared" si="2"/>
        <v>0</v>
      </c>
      <c r="X9" s="185">
        <f t="shared" si="2"/>
        <v>0</v>
      </c>
      <c r="Y9" s="185">
        <f t="shared" si="2"/>
        <v>0</v>
      </c>
      <c r="Z9" s="185">
        <f t="shared" si="2"/>
        <v>0</v>
      </c>
      <c r="AA9" s="185">
        <f t="shared" si="2"/>
        <v>0</v>
      </c>
      <c r="AB9" s="185">
        <f t="shared" si="2"/>
        <v>0</v>
      </c>
      <c r="AC9" s="185">
        <f t="shared" si="2"/>
        <v>0</v>
      </c>
      <c r="AD9" s="185">
        <f t="shared" si="2"/>
        <v>0</v>
      </c>
      <c r="AE9" s="185">
        <f t="shared" si="2"/>
        <v>0.44</v>
      </c>
      <c r="AF9" s="185">
        <f t="shared" si="2"/>
        <v>0</v>
      </c>
      <c r="AG9" s="185">
        <f t="shared" si="2"/>
        <v>0</v>
      </c>
      <c r="AH9" s="185">
        <f t="shared" si="2"/>
        <v>0</v>
      </c>
      <c r="AI9" s="185">
        <f t="shared" si="2"/>
        <v>0</v>
      </c>
      <c r="AJ9" s="185">
        <f t="shared" si="2"/>
        <v>0</v>
      </c>
      <c r="AK9" s="185">
        <f t="shared" si="2"/>
        <v>0</v>
      </c>
      <c r="AL9" s="185">
        <f t="shared" si="2"/>
        <v>0.44</v>
      </c>
      <c r="AM9" s="185">
        <f t="shared" si="2"/>
        <v>0</v>
      </c>
      <c r="AN9" s="185">
        <f t="shared" si="2"/>
        <v>0</v>
      </c>
      <c r="AO9" s="185">
        <f t="shared" si="2"/>
        <v>0</v>
      </c>
      <c r="AP9" s="185">
        <f t="shared" si="2"/>
        <v>0</v>
      </c>
      <c r="AQ9" s="185">
        <f t="shared" si="2"/>
        <v>0</v>
      </c>
      <c r="AR9" s="185">
        <f t="shared" si="2"/>
        <v>0</v>
      </c>
      <c r="AS9" s="185">
        <f t="shared" si="2"/>
        <v>0</v>
      </c>
      <c r="AT9" s="185">
        <f t="shared" si="2"/>
        <v>2.13</v>
      </c>
      <c r="AU9" s="185">
        <f t="shared" si="2"/>
        <v>0</v>
      </c>
      <c r="AV9" s="185">
        <f t="shared" si="2"/>
        <v>0</v>
      </c>
      <c r="AW9" s="185">
        <f t="shared" si="2"/>
        <v>0</v>
      </c>
      <c r="AX9" s="185">
        <f t="shared" si="2"/>
        <v>0</v>
      </c>
      <c r="AY9" s="185">
        <f t="shared" si="2"/>
        <v>0</v>
      </c>
      <c r="AZ9" s="185">
        <f t="shared" si="2"/>
        <v>0</v>
      </c>
      <c r="BA9" s="185">
        <f t="shared" si="2"/>
        <v>0</v>
      </c>
      <c r="BB9" s="185">
        <f t="shared" si="2"/>
        <v>0</v>
      </c>
      <c r="BC9" s="185">
        <f t="shared" si="2"/>
        <v>0</v>
      </c>
      <c r="BD9" s="185">
        <f t="shared" si="2"/>
        <v>0</v>
      </c>
      <c r="BE9" s="185">
        <f t="shared" si="2"/>
        <v>0</v>
      </c>
      <c r="BF9" s="185">
        <f t="shared" si="2"/>
        <v>0</v>
      </c>
      <c r="BG9" s="185">
        <f t="shared" si="2"/>
        <v>0</v>
      </c>
      <c r="BH9" s="185">
        <f>BH10+BH17</f>
        <v>0</v>
      </c>
      <c r="BI9" s="185">
        <f>BI10+BI17</f>
        <v>0</v>
      </c>
      <c r="BJ9" s="185">
        <f>BJ10+BJ17</f>
        <v>0</v>
      </c>
      <c r="BK9" s="185">
        <f>BK10+BK17</f>
        <v>0</v>
      </c>
      <c r="BL9" s="185">
        <f>O9+S9+T9+U9+V9+BH9</f>
        <v>2.5700000000000003</v>
      </c>
      <c r="BM9" s="185">
        <f>BM10+BM17</f>
        <v>-2.5700000000000003</v>
      </c>
      <c r="BN9" s="185">
        <f>D9+BM9</f>
        <v>394.23</v>
      </c>
      <c r="BP9" s="117"/>
    </row>
    <row r="10" spans="1:68" ht="19.5" hidden="1" customHeight="1">
      <c r="A10" s="14" t="s">
        <v>212</v>
      </c>
      <c r="B10" s="143" t="s">
        <v>472</v>
      </c>
      <c r="C10" s="30" t="s">
        <v>194</v>
      </c>
      <c r="D10" s="185">
        <f>D11+D15+D16</f>
        <v>341.12</v>
      </c>
      <c r="E10" s="185">
        <f t="shared" ref="E10:E66" si="4">F10+O10+S10+T10+U10</f>
        <v>339.05</v>
      </c>
      <c r="F10" s="185">
        <f>G10+N10</f>
        <v>339.05</v>
      </c>
      <c r="G10" s="185">
        <f>D10-BL10</f>
        <v>339.05</v>
      </c>
      <c r="H10" s="185">
        <f>I10+J10+K10</f>
        <v>250.82999999999998</v>
      </c>
      <c r="I10" s="185">
        <f>I11+I15+I16</f>
        <v>108.55</v>
      </c>
      <c r="J10" s="185">
        <f t="shared" ref="J10:BG10" si="5">J11+J15+J16</f>
        <v>142.28</v>
      </c>
      <c r="K10" s="185">
        <f t="shared" si="5"/>
        <v>0</v>
      </c>
      <c r="L10" s="185">
        <f t="shared" si="5"/>
        <v>0</v>
      </c>
      <c r="M10" s="185">
        <f t="shared" si="5"/>
        <v>88.22</v>
      </c>
      <c r="N10" s="185">
        <f t="shared" si="5"/>
        <v>0</v>
      </c>
      <c r="O10" s="185">
        <f t="shared" si="3"/>
        <v>0</v>
      </c>
      <c r="P10" s="185">
        <f t="shared" si="5"/>
        <v>0</v>
      </c>
      <c r="Q10" s="185">
        <f t="shared" si="5"/>
        <v>0</v>
      </c>
      <c r="R10" s="185">
        <f t="shared" si="5"/>
        <v>0</v>
      </c>
      <c r="S10" s="185">
        <f t="shared" si="5"/>
        <v>0</v>
      </c>
      <c r="T10" s="185">
        <f t="shared" si="5"/>
        <v>0</v>
      </c>
      <c r="U10" s="185">
        <f t="shared" si="5"/>
        <v>0</v>
      </c>
      <c r="V10" s="185">
        <f t="shared" si="5"/>
        <v>2.0700000000000003</v>
      </c>
      <c r="W10" s="185">
        <f t="shared" si="5"/>
        <v>0</v>
      </c>
      <c r="X10" s="185">
        <f t="shared" si="5"/>
        <v>0</v>
      </c>
      <c r="Y10" s="185">
        <f t="shared" si="5"/>
        <v>0</v>
      </c>
      <c r="Z10" s="185">
        <f t="shared" si="5"/>
        <v>0</v>
      </c>
      <c r="AA10" s="185">
        <f t="shared" si="5"/>
        <v>0</v>
      </c>
      <c r="AB10" s="185">
        <f t="shared" si="5"/>
        <v>0</v>
      </c>
      <c r="AC10" s="185">
        <f t="shared" si="5"/>
        <v>0</v>
      </c>
      <c r="AD10" s="185">
        <f t="shared" si="5"/>
        <v>0</v>
      </c>
      <c r="AE10" s="185">
        <f t="shared" si="5"/>
        <v>0.44</v>
      </c>
      <c r="AF10" s="185">
        <f t="shared" si="5"/>
        <v>0</v>
      </c>
      <c r="AG10" s="185">
        <f t="shared" si="5"/>
        <v>0</v>
      </c>
      <c r="AH10" s="185">
        <f t="shared" si="5"/>
        <v>0</v>
      </c>
      <c r="AI10" s="185">
        <f t="shared" si="5"/>
        <v>0</v>
      </c>
      <c r="AJ10" s="185">
        <f t="shared" si="5"/>
        <v>0</v>
      </c>
      <c r="AK10" s="185">
        <f t="shared" si="5"/>
        <v>0</v>
      </c>
      <c r="AL10" s="185">
        <f t="shared" si="5"/>
        <v>0.44</v>
      </c>
      <c r="AM10" s="185">
        <f t="shared" si="5"/>
        <v>0</v>
      </c>
      <c r="AN10" s="185">
        <f t="shared" si="5"/>
        <v>0</v>
      </c>
      <c r="AO10" s="185">
        <f t="shared" si="5"/>
        <v>0</v>
      </c>
      <c r="AP10" s="185">
        <f t="shared" si="5"/>
        <v>0</v>
      </c>
      <c r="AQ10" s="185">
        <f t="shared" si="5"/>
        <v>0</v>
      </c>
      <c r="AR10" s="185">
        <f t="shared" si="5"/>
        <v>0</v>
      </c>
      <c r="AS10" s="185">
        <f t="shared" si="5"/>
        <v>0</v>
      </c>
      <c r="AT10" s="185">
        <f t="shared" si="5"/>
        <v>1.6300000000000001</v>
      </c>
      <c r="AU10" s="185">
        <f t="shared" si="5"/>
        <v>0</v>
      </c>
      <c r="AV10" s="185">
        <f t="shared" si="5"/>
        <v>0</v>
      </c>
      <c r="AW10" s="185">
        <f t="shared" si="5"/>
        <v>0</v>
      </c>
      <c r="AX10" s="185">
        <f t="shared" si="5"/>
        <v>0</v>
      </c>
      <c r="AY10" s="185">
        <f t="shared" si="5"/>
        <v>0</v>
      </c>
      <c r="AZ10" s="185">
        <f t="shared" si="5"/>
        <v>0</v>
      </c>
      <c r="BA10" s="185">
        <f t="shared" si="5"/>
        <v>0</v>
      </c>
      <c r="BB10" s="185">
        <f t="shared" si="5"/>
        <v>0</v>
      </c>
      <c r="BC10" s="185">
        <f t="shared" si="5"/>
        <v>0</v>
      </c>
      <c r="BD10" s="185">
        <f t="shared" si="5"/>
        <v>0</v>
      </c>
      <c r="BE10" s="185">
        <f t="shared" si="5"/>
        <v>0</v>
      </c>
      <c r="BF10" s="185">
        <f t="shared" si="5"/>
        <v>0</v>
      </c>
      <c r="BG10" s="185">
        <f t="shared" si="5"/>
        <v>0</v>
      </c>
      <c r="BH10" s="185">
        <f>BH11+BH15+BH16</f>
        <v>0</v>
      </c>
      <c r="BI10" s="185">
        <f>BI11+BI15+BI16</f>
        <v>0</v>
      </c>
      <c r="BJ10" s="185">
        <f>BJ11+BJ15+BJ16</f>
        <v>0</v>
      </c>
      <c r="BK10" s="185">
        <f>BK11+BK15+BK16</f>
        <v>0</v>
      </c>
      <c r="BL10" s="185">
        <f>N10+O10+S10+T10+U10+V10+BH10</f>
        <v>2.0700000000000003</v>
      </c>
      <c r="BM10" s="185">
        <f>BM11+BM15+BM16</f>
        <v>-2.0700000000000003</v>
      </c>
      <c r="BN10" s="185">
        <f>BN11+BN15+BN16</f>
        <v>339.04999999999995</v>
      </c>
      <c r="BP10" s="117"/>
    </row>
    <row r="11" spans="1:68" ht="20.100000000000001" customHeight="1">
      <c r="A11" s="14" t="s">
        <v>213</v>
      </c>
      <c r="B11" s="143" t="s">
        <v>17</v>
      </c>
      <c r="C11" s="30" t="s">
        <v>18</v>
      </c>
      <c r="D11" s="185">
        <f>D12+D13+D14</f>
        <v>251.77999999999997</v>
      </c>
      <c r="E11" s="185">
        <f t="shared" si="4"/>
        <v>250.82999999999998</v>
      </c>
      <c r="F11" s="185">
        <f t="shared" ref="F11:F24" si="6">G11+N11</f>
        <v>250.82999999999998</v>
      </c>
      <c r="G11" s="185">
        <f>H11+L11+M11</f>
        <v>250.82999999999998</v>
      </c>
      <c r="H11" s="185">
        <f>D11-BL11</f>
        <v>250.82999999999998</v>
      </c>
      <c r="I11" s="185">
        <f>I12+I13+I14</f>
        <v>108.55</v>
      </c>
      <c r="J11" s="185">
        <f t="shared" ref="J11:BG11" si="7">J12+J13+J14</f>
        <v>142.28</v>
      </c>
      <c r="K11" s="185">
        <f t="shared" si="7"/>
        <v>0</v>
      </c>
      <c r="L11" s="185">
        <f t="shared" si="7"/>
        <v>0</v>
      </c>
      <c r="M11" s="185">
        <f t="shared" si="7"/>
        <v>0</v>
      </c>
      <c r="N11" s="185">
        <f t="shared" si="7"/>
        <v>0</v>
      </c>
      <c r="O11" s="185">
        <f t="shared" si="3"/>
        <v>0</v>
      </c>
      <c r="P11" s="185">
        <f t="shared" si="7"/>
        <v>0</v>
      </c>
      <c r="Q11" s="185">
        <f t="shared" si="7"/>
        <v>0</v>
      </c>
      <c r="R11" s="185">
        <f t="shared" si="7"/>
        <v>0</v>
      </c>
      <c r="S11" s="185">
        <f t="shared" si="7"/>
        <v>0</v>
      </c>
      <c r="T11" s="185">
        <f t="shared" si="7"/>
        <v>0</v>
      </c>
      <c r="U11" s="185">
        <f t="shared" si="7"/>
        <v>0</v>
      </c>
      <c r="V11" s="185">
        <f t="shared" si="7"/>
        <v>0.95000000000000007</v>
      </c>
      <c r="W11" s="185">
        <f t="shared" si="7"/>
        <v>0</v>
      </c>
      <c r="X11" s="185">
        <f t="shared" si="7"/>
        <v>0</v>
      </c>
      <c r="Y11" s="185">
        <f t="shared" si="7"/>
        <v>0</v>
      </c>
      <c r="Z11" s="185">
        <f t="shared" si="7"/>
        <v>0</v>
      </c>
      <c r="AA11" s="185">
        <f t="shared" si="7"/>
        <v>0</v>
      </c>
      <c r="AB11" s="185">
        <f t="shared" si="7"/>
        <v>0</v>
      </c>
      <c r="AC11" s="185">
        <f t="shared" si="7"/>
        <v>0</v>
      </c>
      <c r="AD11" s="185">
        <f t="shared" si="7"/>
        <v>0</v>
      </c>
      <c r="AE11" s="185">
        <f t="shared" si="7"/>
        <v>0.13</v>
      </c>
      <c r="AF11" s="185">
        <f t="shared" si="7"/>
        <v>0</v>
      </c>
      <c r="AG11" s="185">
        <f t="shared" si="7"/>
        <v>0</v>
      </c>
      <c r="AH11" s="185">
        <f t="shared" si="7"/>
        <v>0</v>
      </c>
      <c r="AI11" s="185">
        <f t="shared" si="7"/>
        <v>0</v>
      </c>
      <c r="AJ11" s="185">
        <f t="shared" si="7"/>
        <v>0</v>
      </c>
      <c r="AK11" s="185">
        <f t="shared" si="7"/>
        <v>0</v>
      </c>
      <c r="AL11" s="185">
        <f t="shared" si="7"/>
        <v>0.13</v>
      </c>
      <c r="AM11" s="185">
        <f t="shared" si="7"/>
        <v>0</v>
      </c>
      <c r="AN11" s="185">
        <f t="shared" si="7"/>
        <v>0</v>
      </c>
      <c r="AO11" s="185">
        <f t="shared" si="7"/>
        <v>0</v>
      </c>
      <c r="AP11" s="185">
        <f t="shared" si="7"/>
        <v>0</v>
      </c>
      <c r="AQ11" s="185">
        <f t="shared" si="7"/>
        <v>0</v>
      </c>
      <c r="AR11" s="185">
        <f t="shared" si="7"/>
        <v>0</v>
      </c>
      <c r="AS11" s="185">
        <f t="shared" si="7"/>
        <v>0</v>
      </c>
      <c r="AT11" s="185">
        <f t="shared" si="7"/>
        <v>0.82000000000000006</v>
      </c>
      <c r="AU11" s="185">
        <f t="shared" si="7"/>
        <v>0</v>
      </c>
      <c r="AV11" s="185">
        <f t="shared" si="7"/>
        <v>0</v>
      </c>
      <c r="AW11" s="185">
        <f t="shared" si="7"/>
        <v>0</v>
      </c>
      <c r="AX11" s="185">
        <f t="shared" si="7"/>
        <v>0</v>
      </c>
      <c r="AY11" s="185">
        <f t="shared" si="7"/>
        <v>0</v>
      </c>
      <c r="AZ11" s="185">
        <f t="shared" si="7"/>
        <v>0</v>
      </c>
      <c r="BA11" s="185">
        <f t="shared" si="7"/>
        <v>0</v>
      </c>
      <c r="BB11" s="185">
        <f t="shared" si="7"/>
        <v>0</v>
      </c>
      <c r="BC11" s="185">
        <f t="shared" si="7"/>
        <v>0</v>
      </c>
      <c r="BD11" s="185">
        <f t="shared" si="7"/>
        <v>0</v>
      </c>
      <c r="BE11" s="185">
        <f t="shared" si="7"/>
        <v>0</v>
      </c>
      <c r="BF11" s="185">
        <f t="shared" si="7"/>
        <v>0</v>
      </c>
      <c r="BG11" s="185">
        <f t="shared" si="7"/>
        <v>0</v>
      </c>
      <c r="BH11" s="185">
        <f>BH12+BH13+BH14</f>
        <v>0</v>
      </c>
      <c r="BI11" s="185">
        <f>BI12+BI13+BI14</f>
        <v>0</v>
      </c>
      <c r="BJ11" s="185">
        <f>BJ12+BJ13+BJ14</f>
        <v>0</v>
      </c>
      <c r="BK11" s="185">
        <f>BK12+BK13+BK14</f>
        <v>0</v>
      </c>
      <c r="BL11" s="185">
        <f>L11+M11+N11+S11+T11+U11+V11+BH11</f>
        <v>0.95000000000000007</v>
      </c>
      <c r="BM11" s="185">
        <f>H67-BL11</f>
        <v>-0.95000000000000007</v>
      </c>
      <c r="BN11" s="185">
        <f>BN12+BN13+BN14</f>
        <v>250.82999999999998</v>
      </c>
      <c r="BP11" s="117"/>
    </row>
    <row r="12" spans="1:68" ht="20.100000000000001" customHeight="1">
      <c r="A12" s="14" t="s">
        <v>214</v>
      </c>
      <c r="B12" s="143" t="s">
        <v>473</v>
      </c>
      <c r="C12" s="30" t="s">
        <v>20</v>
      </c>
      <c r="D12" s="185">
        <f>#REF!</f>
        <v>108.58</v>
      </c>
      <c r="E12" s="185">
        <f t="shared" si="4"/>
        <v>108.55</v>
      </c>
      <c r="F12" s="185">
        <f t="shared" si="6"/>
        <v>108.55</v>
      </c>
      <c r="G12" s="185">
        <f t="shared" ref="G12:G66" si="8">H12+L12+M12</f>
        <v>108.55</v>
      </c>
      <c r="H12" s="185">
        <f>I12+J12+K12</f>
        <v>108.55</v>
      </c>
      <c r="I12" s="185">
        <f>D12-BL12</f>
        <v>108.55</v>
      </c>
      <c r="J12" s="185"/>
      <c r="K12" s="185"/>
      <c r="L12" s="185"/>
      <c r="M12" s="185"/>
      <c r="N12" s="185"/>
      <c r="O12" s="185">
        <f t="shared" si="3"/>
        <v>0</v>
      </c>
      <c r="P12" s="185"/>
      <c r="Q12" s="185"/>
      <c r="R12" s="185"/>
      <c r="S12" s="185"/>
      <c r="T12" s="185"/>
      <c r="U12" s="185"/>
      <c r="V12" s="185">
        <f>W12+X12+Y12+Z12+AA12+AB12+AC12+AD12+AE12+AQ12+AR12+AS12+AT12+AU12+AV12+AW12+AX12+AY12+AZ12+BA12+BB12+BC12+BD12+BE12+BF12+BG12</f>
        <v>0.03</v>
      </c>
      <c r="W12" s="185"/>
      <c r="X12" s="185"/>
      <c r="Y12" s="185"/>
      <c r="Z12" s="185"/>
      <c r="AA12" s="185"/>
      <c r="AB12" s="185"/>
      <c r="AC12" s="185"/>
      <c r="AD12" s="185"/>
      <c r="AE12" s="185">
        <f t="shared" ref="AE12:AE33" si="9">SUM(AF12:AP12)</f>
        <v>0</v>
      </c>
      <c r="AF12" s="185"/>
      <c r="AG12" s="185"/>
      <c r="AH12" s="185"/>
      <c r="AI12" s="185"/>
      <c r="AJ12" s="185"/>
      <c r="AK12" s="185"/>
      <c r="AL12" s="185"/>
      <c r="AM12" s="185"/>
      <c r="AN12" s="185"/>
      <c r="AO12" s="185"/>
      <c r="AP12" s="185"/>
      <c r="AQ12" s="185"/>
      <c r="AR12" s="185"/>
      <c r="AS12" s="185"/>
      <c r="AT12" s="185">
        <v>0.03</v>
      </c>
      <c r="AU12" s="185"/>
      <c r="AV12" s="185"/>
      <c r="AW12" s="185"/>
      <c r="AX12" s="185"/>
      <c r="AY12" s="185"/>
      <c r="AZ12" s="185"/>
      <c r="BA12" s="185"/>
      <c r="BB12" s="185"/>
      <c r="BC12" s="185"/>
      <c r="BD12" s="185"/>
      <c r="BE12" s="185"/>
      <c r="BF12" s="185"/>
      <c r="BG12" s="185"/>
      <c r="BH12" s="185">
        <f t="shared" ref="BH12:BH17" si="10">BI12+BJ12+BK12</f>
        <v>0</v>
      </c>
      <c r="BI12" s="185"/>
      <c r="BJ12" s="185"/>
      <c r="BK12" s="185"/>
      <c r="BL12" s="185">
        <f>J12+K12+L12+M12+N12+O12+S12+T12+U12+V12+BH12</f>
        <v>0.03</v>
      </c>
      <c r="BM12" s="185">
        <f>I67-BL12</f>
        <v>-0.03</v>
      </c>
      <c r="BN12" s="185">
        <f t="shared" ref="BN12:BN17" si="11">D12+BM12</f>
        <v>108.55</v>
      </c>
      <c r="BP12" s="117"/>
    </row>
    <row r="13" spans="1:68" ht="17.25" customHeight="1">
      <c r="A13" s="14" t="s">
        <v>215</v>
      </c>
      <c r="B13" s="143" t="s">
        <v>474</v>
      </c>
      <c r="C13" s="30" t="s">
        <v>195</v>
      </c>
      <c r="D13" s="185">
        <f>#REF!</f>
        <v>143.19999999999999</v>
      </c>
      <c r="E13" s="185">
        <f t="shared" si="4"/>
        <v>142.28</v>
      </c>
      <c r="F13" s="185">
        <f t="shared" si="6"/>
        <v>142.28</v>
      </c>
      <c r="G13" s="185">
        <f t="shared" si="8"/>
        <v>142.28</v>
      </c>
      <c r="H13" s="185">
        <f t="shared" ref="H13:H66" si="12">I13+J13+K13</f>
        <v>142.28</v>
      </c>
      <c r="I13" s="185"/>
      <c r="J13" s="185">
        <f>D13-BL13</f>
        <v>142.28</v>
      </c>
      <c r="K13" s="185"/>
      <c r="L13" s="185"/>
      <c r="M13" s="185"/>
      <c r="N13" s="185"/>
      <c r="O13" s="185">
        <f t="shared" si="3"/>
        <v>0</v>
      </c>
      <c r="P13" s="185"/>
      <c r="Q13" s="185"/>
      <c r="R13" s="185"/>
      <c r="S13" s="185"/>
      <c r="T13" s="185"/>
      <c r="U13" s="185"/>
      <c r="V13" s="185">
        <f t="shared" ref="V13:V66" si="13">W13+X13+Y13+Z13+AA13+AB13+AC13+AD13+AE13+AQ13+AR13+AS13+AT13+AU13+AV13+AW13+AX13+AY13+AZ13+BA13+BB13+BC13+BD13+BE13+BF13+BG13</f>
        <v>0.92</v>
      </c>
      <c r="W13" s="185"/>
      <c r="X13" s="185"/>
      <c r="Y13" s="185"/>
      <c r="Z13" s="185"/>
      <c r="AA13" s="185"/>
      <c r="AB13" s="185"/>
      <c r="AC13" s="185"/>
      <c r="AD13" s="185"/>
      <c r="AE13" s="185">
        <f t="shared" si="9"/>
        <v>0.13</v>
      </c>
      <c r="AF13" s="185"/>
      <c r="AG13" s="185"/>
      <c r="AH13" s="185"/>
      <c r="AI13" s="185"/>
      <c r="AJ13" s="185"/>
      <c r="AK13" s="185"/>
      <c r="AL13" s="185">
        <v>0.13</v>
      </c>
      <c r="AM13" s="185"/>
      <c r="AN13" s="185"/>
      <c r="AO13" s="185"/>
      <c r="AP13" s="185"/>
      <c r="AQ13" s="185"/>
      <c r="AR13" s="185"/>
      <c r="AS13" s="185"/>
      <c r="AT13" s="185">
        <v>0.79</v>
      </c>
      <c r="AU13" s="185"/>
      <c r="AV13" s="185"/>
      <c r="AW13" s="185"/>
      <c r="AX13" s="185"/>
      <c r="AY13" s="185"/>
      <c r="AZ13" s="185"/>
      <c r="BA13" s="185"/>
      <c r="BB13" s="185"/>
      <c r="BC13" s="185"/>
      <c r="BD13" s="185"/>
      <c r="BE13" s="185"/>
      <c r="BF13" s="185"/>
      <c r="BG13" s="185"/>
      <c r="BH13" s="185">
        <f t="shared" si="10"/>
        <v>0</v>
      </c>
      <c r="BI13" s="185"/>
      <c r="BJ13" s="185"/>
      <c r="BK13" s="185"/>
      <c r="BL13" s="185">
        <f>I13+K13+L13+M13+N13+O13+S13+T13+U13+V13+BH13</f>
        <v>0.92</v>
      </c>
      <c r="BM13" s="185">
        <f>J67-BL13</f>
        <v>-0.92</v>
      </c>
      <c r="BN13" s="185">
        <f t="shared" si="11"/>
        <v>142.28</v>
      </c>
      <c r="BP13" s="117"/>
    </row>
    <row r="14" spans="1:68" ht="0.75" hidden="1" customHeight="1">
      <c r="A14" s="14" t="s">
        <v>216</v>
      </c>
      <c r="B14" s="143" t="s">
        <v>475</v>
      </c>
      <c r="C14" s="30" t="s">
        <v>196</v>
      </c>
      <c r="D14" s="185"/>
      <c r="E14" s="185">
        <f t="shared" si="4"/>
        <v>0</v>
      </c>
      <c r="F14" s="185">
        <f t="shared" si="6"/>
        <v>0</v>
      </c>
      <c r="G14" s="185">
        <f t="shared" si="8"/>
        <v>0</v>
      </c>
      <c r="H14" s="185">
        <f t="shared" si="12"/>
        <v>0</v>
      </c>
      <c r="I14" s="185"/>
      <c r="J14" s="185"/>
      <c r="K14" s="185">
        <f>D14-BL14</f>
        <v>0</v>
      </c>
      <c r="L14" s="185"/>
      <c r="M14" s="185"/>
      <c r="N14" s="185"/>
      <c r="O14" s="185">
        <f t="shared" si="3"/>
        <v>0</v>
      </c>
      <c r="P14" s="185"/>
      <c r="Q14" s="185"/>
      <c r="R14" s="185"/>
      <c r="S14" s="185"/>
      <c r="T14" s="185"/>
      <c r="U14" s="185"/>
      <c r="V14" s="185">
        <f t="shared" si="13"/>
        <v>0</v>
      </c>
      <c r="W14" s="185"/>
      <c r="X14" s="185"/>
      <c r="Y14" s="185"/>
      <c r="Z14" s="185"/>
      <c r="AA14" s="185"/>
      <c r="AB14" s="185"/>
      <c r="AC14" s="185"/>
      <c r="AD14" s="185"/>
      <c r="AE14" s="185">
        <f t="shared" si="9"/>
        <v>0</v>
      </c>
      <c r="AF14" s="185"/>
      <c r="AG14" s="185"/>
      <c r="AH14" s="185"/>
      <c r="AI14" s="185"/>
      <c r="AJ14" s="185"/>
      <c r="AK14" s="185"/>
      <c r="AL14" s="185"/>
      <c r="AM14" s="185"/>
      <c r="AN14" s="185"/>
      <c r="AO14" s="185"/>
      <c r="AP14" s="185"/>
      <c r="AQ14" s="185"/>
      <c r="AR14" s="185"/>
      <c r="AS14" s="185"/>
      <c r="AT14" s="185"/>
      <c r="AU14" s="185"/>
      <c r="AV14" s="185"/>
      <c r="AW14" s="185"/>
      <c r="AX14" s="185"/>
      <c r="AY14" s="185"/>
      <c r="AZ14" s="185"/>
      <c r="BA14" s="185"/>
      <c r="BB14" s="185"/>
      <c r="BC14" s="185"/>
      <c r="BD14" s="185"/>
      <c r="BE14" s="185"/>
      <c r="BF14" s="185"/>
      <c r="BG14" s="185"/>
      <c r="BH14" s="185">
        <f t="shared" si="10"/>
        <v>0</v>
      </c>
      <c r="BI14" s="185"/>
      <c r="BJ14" s="185"/>
      <c r="BK14" s="185"/>
      <c r="BL14" s="185">
        <f>I14+J14+L14+M14+N14+O14+S14+T14+U14+V14+BH14</f>
        <v>0</v>
      </c>
      <c r="BM14" s="185">
        <f>K67-BL14</f>
        <v>0</v>
      </c>
      <c r="BN14" s="185">
        <f t="shared" si="11"/>
        <v>0</v>
      </c>
      <c r="BP14" s="117"/>
    </row>
    <row r="15" spans="1:68" ht="19.5" hidden="1" customHeight="1">
      <c r="A15" s="14" t="s">
        <v>217</v>
      </c>
      <c r="B15" s="143" t="s">
        <v>476</v>
      </c>
      <c r="C15" s="30" t="s">
        <v>197</v>
      </c>
      <c r="D15" s="185"/>
      <c r="E15" s="185">
        <f t="shared" si="4"/>
        <v>0</v>
      </c>
      <c r="F15" s="185">
        <f t="shared" si="6"/>
        <v>0</v>
      </c>
      <c r="G15" s="185">
        <f t="shared" si="8"/>
        <v>0</v>
      </c>
      <c r="H15" s="185">
        <f t="shared" si="12"/>
        <v>0</v>
      </c>
      <c r="I15" s="185"/>
      <c r="J15" s="185"/>
      <c r="K15" s="185"/>
      <c r="L15" s="185">
        <f>D15-BL15</f>
        <v>0</v>
      </c>
      <c r="M15" s="185"/>
      <c r="N15" s="185"/>
      <c r="O15" s="185">
        <f t="shared" si="3"/>
        <v>0</v>
      </c>
      <c r="P15" s="185"/>
      <c r="Q15" s="185"/>
      <c r="R15" s="185"/>
      <c r="S15" s="185"/>
      <c r="T15" s="185"/>
      <c r="U15" s="185"/>
      <c r="V15" s="185">
        <f t="shared" si="13"/>
        <v>0</v>
      </c>
      <c r="W15" s="185"/>
      <c r="X15" s="185"/>
      <c r="Y15" s="185"/>
      <c r="Z15" s="185"/>
      <c r="AA15" s="185"/>
      <c r="AB15" s="185"/>
      <c r="AC15" s="185"/>
      <c r="AD15" s="185"/>
      <c r="AE15" s="185">
        <f t="shared" si="9"/>
        <v>0</v>
      </c>
      <c r="AF15" s="185"/>
      <c r="AG15" s="185"/>
      <c r="AH15" s="185"/>
      <c r="AI15" s="185"/>
      <c r="AJ15" s="185"/>
      <c r="AK15" s="185"/>
      <c r="AL15" s="185"/>
      <c r="AM15" s="185"/>
      <c r="AN15" s="185"/>
      <c r="AO15" s="185"/>
      <c r="AP15" s="185"/>
      <c r="AQ15" s="185"/>
      <c r="AR15" s="185"/>
      <c r="AS15" s="185"/>
      <c r="AT15" s="185"/>
      <c r="AU15" s="185"/>
      <c r="AV15" s="185"/>
      <c r="AW15" s="185"/>
      <c r="AX15" s="185"/>
      <c r="AY15" s="185"/>
      <c r="AZ15" s="185"/>
      <c r="BA15" s="185"/>
      <c r="BB15" s="185"/>
      <c r="BC15" s="185"/>
      <c r="BD15" s="185"/>
      <c r="BE15" s="185"/>
      <c r="BF15" s="185"/>
      <c r="BG15" s="185"/>
      <c r="BH15" s="185">
        <f t="shared" si="10"/>
        <v>0</v>
      </c>
      <c r="BI15" s="185"/>
      <c r="BJ15" s="185"/>
      <c r="BK15" s="185"/>
      <c r="BL15" s="185">
        <f>H15+M15+N15+O15+S15+T15+U15+V15+BH15</f>
        <v>0</v>
      </c>
      <c r="BM15" s="185">
        <f>L67-BL15</f>
        <v>0</v>
      </c>
      <c r="BN15" s="185">
        <f t="shared" si="11"/>
        <v>0</v>
      </c>
      <c r="BP15" s="117"/>
    </row>
    <row r="16" spans="1:68" ht="20.100000000000001" customHeight="1">
      <c r="A16" s="14" t="s">
        <v>218</v>
      </c>
      <c r="B16" s="143" t="s">
        <v>22</v>
      </c>
      <c r="C16" s="30" t="s">
        <v>23</v>
      </c>
      <c r="D16" s="185">
        <f>#REF!</f>
        <v>89.34</v>
      </c>
      <c r="E16" s="185">
        <f t="shared" si="4"/>
        <v>88.22</v>
      </c>
      <c r="F16" s="185">
        <f t="shared" si="6"/>
        <v>88.22</v>
      </c>
      <c r="G16" s="185">
        <f t="shared" si="8"/>
        <v>88.22</v>
      </c>
      <c r="H16" s="185">
        <f t="shared" si="12"/>
        <v>0</v>
      </c>
      <c r="I16" s="185"/>
      <c r="J16" s="185"/>
      <c r="K16" s="185"/>
      <c r="L16" s="185"/>
      <c r="M16" s="185">
        <f>D16-BL16</f>
        <v>88.22</v>
      </c>
      <c r="N16" s="185"/>
      <c r="O16" s="185">
        <f t="shared" si="3"/>
        <v>0</v>
      </c>
      <c r="P16" s="185"/>
      <c r="Q16" s="185"/>
      <c r="R16" s="185"/>
      <c r="S16" s="185"/>
      <c r="T16" s="185"/>
      <c r="U16" s="185"/>
      <c r="V16" s="185">
        <f t="shared" si="13"/>
        <v>1.1200000000000001</v>
      </c>
      <c r="W16" s="185"/>
      <c r="X16" s="185"/>
      <c r="Y16" s="185"/>
      <c r="Z16" s="185"/>
      <c r="AA16" s="185"/>
      <c r="AB16" s="185"/>
      <c r="AC16" s="185"/>
      <c r="AD16" s="185"/>
      <c r="AE16" s="185">
        <f t="shared" si="9"/>
        <v>0.31</v>
      </c>
      <c r="AF16" s="185"/>
      <c r="AG16" s="185"/>
      <c r="AH16" s="185"/>
      <c r="AI16" s="185"/>
      <c r="AJ16" s="185"/>
      <c r="AK16" s="185"/>
      <c r="AL16" s="185">
        <v>0.31</v>
      </c>
      <c r="AM16" s="185"/>
      <c r="AN16" s="185"/>
      <c r="AO16" s="185"/>
      <c r="AP16" s="185"/>
      <c r="AQ16" s="185"/>
      <c r="AR16" s="185"/>
      <c r="AS16" s="185"/>
      <c r="AT16" s="185">
        <v>0.81</v>
      </c>
      <c r="AU16" s="185"/>
      <c r="AV16" s="185"/>
      <c r="AW16" s="185"/>
      <c r="AX16" s="185"/>
      <c r="AY16" s="185"/>
      <c r="AZ16" s="185"/>
      <c r="BA16" s="185"/>
      <c r="BB16" s="185"/>
      <c r="BC16" s="185"/>
      <c r="BD16" s="185"/>
      <c r="BE16" s="185"/>
      <c r="BF16" s="185"/>
      <c r="BG16" s="185"/>
      <c r="BH16" s="185">
        <f t="shared" si="10"/>
        <v>0</v>
      </c>
      <c r="BI16" s="185"/>
      <c r="BJ16" s="185"/>
      <c r="BK16" s="185"/>
      <c r="BL16" s="185">
        <f>H16+L16+N16+S16+T16+U16+V16+BH16</f>
        <v>1.1200000000000001</v>
      </c>
      <c r="BM16" s="185">
        <f>M67-BL16</f>
        <v>-1.1200000000000001</v>
      </c>
      <c r="BN16" s="185">
        <f t="shared" si="11"/>
        <v>88.22</v>
      </c>
      <c r="BP16" s="117"/>
    </row>
    <row r="17" spans="1:68" ht="18.75" customHeight="1">
      <c r="A17" s="14" t="s">
        <v>219</v>
      </c>
      <c r="B17" s="143" t="s">
        <v>25</v>
      </c>
      <c r="C17" s="30" t="s">
        <v>26</v>
      </c>
      <c r="D17" s="185">
        <f>#REF!</f>
        <v>55.68</v>
      </c>
      <c r="E17" s="185">
        <f t="shared" si="4"/>
        <v>55.18</v>
      </c>
      <c r="F17" s="185">
        <f t="shared" si="6"/>
        <v>55.18</v>
      </c>
      <c r="G17" s="185">
        <f t="shared" si="8"/>
        <v>0</v>
      </c>
      <c r="H17" s="185">
        <f t="shared" si="12"/>
        <v>0</v>
      </c>
      <c r="I17" s="185"/>
      <c r="J17" s="185"/>
      <c r="K17" s="185"/>
      <c r="L17" s="185"/>
      <c r="M17" s="185"/>
      <c r="N17" s="185">
        <f>D17-BL17</f>
        <v>55.18</v>
      </c>
      <c r="O17" s="185">
        <f t="shared" si="3"/>
        <v>0</v>
      </c>
      <c r="P17" s="185"/>
      <c r="Q17" s="185"/>
      <c r="R17" s="185"/>
      <c r="S17" s="185"/>
      <c r="T17" s="185"/>
      <c r="U17" s="185"/>
      <c r="V17" s="185">
        <f t="shared" si="13"/>
        <v>0.5</v>
      </c>
      <c r="W17" s="185"/>
      <c r="X17" s="185"/>
      <c r="Y17" s="185"/>
      <c r="Z17" s="185"/>
      <c r="AA17" s="185"/>
      <c r="AB17" s="185"/>
      <c r="AC17" s="185"/>
      <c r="AD17" s="185"/>
      <c r="AE17" s="185">
        <f t="shared" si="9"/>
        <v>0</v>
      </c>
      <c r="AF17" s="185"/>
      <c r="AG17" s="185"/>
      <c r="AH17" s="185"/>
      <c r="AI17" s="185"/>
      <c r="AJ17" s="185"/>
      <c r="AK17" s="185"/>
      <c r="AL17" s="185"/>
      <c r="AM17" s="185"/>
      <c r="AN17" s="185"/>
      <c r="AO17" s="185"/>
      <c r="AP17" s="185"/>
      <c r="AQ17" s="185"/>
      <c r="AR17" s="185"/>
      <c r="AS17" s="185"/>
      <c r="AT17" s="185">
        <v>0.5</v>
      </c>
      <c r="AU17" s="185"/>
      <c r="AV17" s="185"/>
      <c r="AW17" s="185"/>
      <c r="AX17" s="185"/>
      <c r="AY17" s="185"/>
      <c r="AZ17" s="185"/>
      <c r="BA17" s="185"/>
      <c r="BB17" s="185"/>
      <c r="BC17" s="185"/>
      <c r="BD17" s="185"/>
      <c r="BE17" s="185"/>
      <c r="BF17" s="185"/>
      <c r="BG17" s="185"/>
      <c r="BH17" s="185">
        <f t="shared" si="10"/>
        <v>0</v>
      </c>
      <c r="BI17" s="185"/>
      <c r="BJ17" s="185"/>
      <c r="BK17" s="185"/>
      <c r="BL17" s="185">
        <f>H17+L17+M17+O17+S17+T17+U17+V17+BH17</f>
        <v>0.5</v>
      </c>
      <c r="BM17" s="185">
        <f>N67-BL17</f>
        <v>-0.5</v>
      </c>
      <c r="BN17" s="185">
        <f t="shared" si="11"/>
        <v>55.18</v>
      </c>
      <c r="BP17" s="117"/>
    </row>
    <row r="18" spans="1:68" ht="19.5" hidden="1" customHeight="1">
      <c r="A18" s="14" t="s">
        <v>21</v>
      </c>
      <c r="B18" s="143" t="s">
        <v>477</v>
      </c>
      <c r="C18" s="30" t="s">
        <v>198</v>
      </c>
      <c r="D18" s="185">
        <f>D19+D20+D21</f>
        <v>1163.28</v>
      </c>
      <c r="E18" s="185">
        <f t="shared" si="4"/>
        <v>1163.28</v>
      </c>
      <c r="F18" s="185">
        <f t="shared" si="6"/>
        <v>0</v>
      </c>
      <c r="G18" s="185">
        <f t="shared" si="8"/>
        <v>0</v>
      </c>
      <c r="H18" s="185">
        <f t="shared" si="12"/>
        <v>0</v>
      </c>
      <c r="I18" s="185">
        <f t="shared" ref="I18:N18" si="14">I19+I20+I21</f>
        <v>0</v>
      </c>
      <c r="J18" s="185">
        <f t="shared" si="14"/>
        <v>0</v>
      </c>
      <c r="K18" s="185">
        <f t="shared" si="14"/>
        <v>0</v>
      </c>
      <c r="L18" s="185">
        <f t="shared" si="14"/>
        <v>0</v>
      </c>
      <c r="M18" s="185">
        <f t="shared" si="14"/>
        <v>0</v>
      </c>
      <c r="N18" s="185">
        <f t="shared" si="14"/>
        <v>0</v>
      </c>
      <c r="O18" s="185">
        <f>D18-BL18</f>
        <v>1163.28</v>
      </c>
      <c r="P18" s="185">
        <f t="shared" ref="P18:BG18" si="15">P19+P20+P21</f>
        <v>159.12</v>
      </c>
      <c r="Q18" s="185">
        <f t="shared" si="15"/>
        <v>0</v>
      </c>
      <c r="R18" s="185">
        <f t="shared" si="15"/>
        <v>1004.16</v>
      </c>
      <c r="S18" s="185">
        <f t="shared" si="15"/>
        <v>0</v>
      </c>
      <c r="T18" s="185">
        <f t="shared" si="15"/>
        <v>0</v>
      </c>
      <c r="U18" s="185">
        <f t="shared" si="15"/>
        <v>0</v>
      </c>
      <c r="V18" s="185">
        <f t="shared" si="15"/>
        <v>0</v>
      </c>
      <c r="W18" s="185">
        <f t="shared" si="15"/>
        <v>0</v>
      </c>
      <c r="X18" s="185">
        <f t="shared" si="15"/>
        <v>0</v>
      </c>
      <c r="Y18" s="185">
        <f t="shared" si="15"/>
        <v>0</v>
      </c>
      <c r="Z18" s="185">
        <f t="shared" si="15"/>
        <v>0</v>
      </c>
      <c r="AA18" s="185">
        <f t="shared" si="15"/>
        <v>0</v>
      </c>
      <c r="AB18" s="185">
        <f t="shared" si="15"/>
        <v>0</v>
      </c>
      <c r="AC18" s="185">
        <f t="shared" si="15"/>
        <v>0</v>
      </c>
      <c r="AD18" s="185">
        <f t="shared" si="15"/>
        <v>0</v>
      </c>
      <c r="AE18" s="185">
        <f t="shared" si="15"/>
        <v>0</v>
      </c>
      <c r="AF18" s="185">
        <f t="shared" si="15"/>
        <v>0</v>
      </c>
      <c r="AG18" s="185">
        <f t="shared" si="15"/>
        <v>0</v>
      </c>
      <c r="AH18" s="185">
        <f t="shared" si="15"/>
        <v>0</v>
      </c>
      <c r="AI18" s="185">
        <f t="shared" si="15"/>
        <v>0</v>
      </c>
      <c r="AJ18" s="185">
        <f t="shared" si="15"/>
        <v>0</v>
      </c>
      <c r="AK18" s="185">
        <f t="shared" si="15"/>
        <v>0</v>
      </c>
      <c r="AL18" s="185">
        <f t="shared" si="15"/>
        <v>0</v>
      </c>
      <c r="AM18" s="185">
        <f t="shared" si="15"/>
        <v>0</v>
      </c>
      <c r="AN18" s="185">
        <f t="shared" si="15"/>
        <v>0</v>
      </c>
      <c r="AO18" s="185">
        <f t="shared" si="15"/>
        <v>0</v>
      </c>
      <c r="AP18" s="185">
        <f t="shared" si="15"/>
        <v>0</v>
      </c>
      <c r="AQ18" s="185">
        <f t="shared" si="15"/>
        <v>0</v>
      </c>
      <c r="AR18" s="185">
        <f t="shared" si="15"/>
        <v>0</v>
      </c>
      <c r="AS18" s="185">
        <f t="shared" si="15"/>
        <v>0</v>
      </c>
      <c r="AT18" s="185">
        <f t="shared" si="15"/>
        <v>0</v>
      </c>
      <c r="AU18" s="185">
        <f t="shared" si="15"/>
        <v>0</v>
      </c>
      <c r="AV18" s="185">
        <f t="shared" si="15"/>
        <v>0</v>
      </c>
      <c r="AW18" s="185">
        <f t="shared" si="15"/>
        <v>0</v>
      </c>
      <c r="AX18" s="185">
        <f t="shared" si="15"/>
        <v>0</v>
      </c>
      <c r="AY18" s="185">
        <f t="shared" si="15"/>
        <v>0</v>
      </c>
      <c r="AZ18" s="185">
        <f t="shared" si="15"/>
        <v>0</v>
      </c>
      <c r="BA18" s="185">
        <f t="shared" si="15"/>
        <v>0</v>
      </c>
      <c r="BB18" s="185">
        <f t="shared" si="15"/>
        <v>0</v>
      </c>
      <c r="BC18" s="185">
        <f t="shared" si="15"/>
        <v>0</v>
      </c>
      <c r="BD18" s="185">
        <f t="shared" si="15"/>
        <v>0</v>
      </c>
      <c r="BE18" s="185">
        <f t="shared" si="15"/>
        <v>0</v>
      </c>
      <c r="BF18" s="185">
        <f t="shared" si="15"/>
        <v>0</v>
      </c>
      <c r="BG18" s="185">
        <f t="shared" si="15"/>
        <v>0</v>
      </c>
      <c r="BH18" s="185">
        <f>BH19+BH20+BH21</f>
        <v>0</v>
      </c>
      <c r="BI18" s="185">
        <f>BI19+BI20+BI21</f>
        <v>0</v>
      </c>
      <c r="BJ18" s="185">
        <f>BJ19+BJ20+BJ21</f>
        <v>0</v>
      </c>
      <c r="BK18" s="185">
        <f>BK19+BK20+BK21</f>
        <v>0</v>
      </c>
      <c r="BL18" s="185">
        <f>F18+S18+T18+U18+BH18+V18</f>
        <v>0</v>
      </c>
      <c r="BM18" s="185">
        <f>O67-BL18</f>
        <v>0</v>
      </c>
      <c r="BN18" s="185">
        <f>BN19+BN20+BN21</f>
        <v>1163.28</v>
      </c>
      <c r="BP18" s="117"/>
    </row>
    <row r="19" spans="1:68" ht="20.100000000000001" customHeight="1">
      <c r="A19" s="14" t="s">
        <v>182</v>
      </c>
      <c r="B19" s="143" t="s">
        <v>28</v>
      </c>
      <c r="C19" s="30" t="s">
        <v>29</v>
      </c>
      <c r="D19" s="185">
        <f>#REF!</f>
        <v>159.12</v>
      </c>
      <c r="E19" s="185">
        <f>F19+O19+S19+T19+U19</f>
        <v>159.12</v>
      </c>
      <c r="F19" s="185">
        <f>G19+N19</f>
        <v>0</v>
      </c>
      <c r="G19" s="185">
        <f>H19+L19+M19</f>
        <v>0</v>
      </c>
      <c r="H19" s="185">
        <f t="shared" si="12"/>
        <v>0</v>
      </c>
      <c r="I19" s="185"/>
      <c r="J19" s="185"/>
      <c r="K19" s="185"/>
      <c r="L19" s="185"/>
      <c r="M19" s="185"/>
      <c r="N19" s="185"/>
      <c r="O19" s="185">
        <f t="shared" ref="O19:O24" si="16">P19+Q19+R19</f>
        <v>159.12</v>
      </c>
      <c r="P19" s="185">
        <f>D19-BL19</f>
        <v>159.12</v>
      </c>
      <c r="Q19" s="185"/>
      <c r="R19" s="185"/>
      <c r="S19" s="185"/>
      <c r="T19" s="185"/>
      <c r="U19" s="185"/>
      <c r="V19" s="185">
        <f t="shared" si="13"/>
        <v>0</v>
      </c>
      <c r="W19" s="185"/>
      <c r="X19" s="185"/>
      <c r="Y19" s="185"/>
      <c r="Z19" s="185"/>
      <c r="AA19" s="185"/>
      <c r="AB19" s="185"/>
      <c r="AC19" s="185"/>
      <c r="AD19" s="185"/>
      <c r="AE19" s="185">
        <f t="shared" si="9"/>
        <v>0</v>
      </c>
      <c r="AF19" s="185"/>
      <c r="AG19" s="185"/>
      <c r="AH19" s="185"/>
      <c r="AI19" s="185"/>
      <c r="AJ19" s="185"/>
      <c r="AK19" s="185"/>
      <c r="AL19" s="185"/>
      <c r="AM19" s="185"/>
      <c r="AN19" s="185"/>
      <c r="AO19" s="185"/>
      <c r="AP19" s="185"/>
      <c r="AQ19" s="185"/>
      <c r="AR19" s="185"/>
      <c r="AS19" s="185"/>
      <c r="AT19" s="185"/>
      <c r="AU19" s="185"/>
      <c r="AV19" s="185"/>
      <c r="AW19" s="185"/>
      <c r="AX19" s="185"/>
      <c r="AY19" s="185"/>
      <c r="AZ19" s="185"/>
      <c r="BA19" s="185"/>
      <c r="BB19" s="185"/>
      <c r="BC19" s="185"/>
      <c r="BD19" s="185"/>
      <c r="BE19" s="185"/>
      <c r="BF19" s="185"/>
      <c r="BG19" s="185"/>
      <c r="BH19" s="185">
        <f t="shared" ref="BH19:BH24" si="17">BI19+BJ19+BK19</f>
        <v>0</v>
      </c>
      <c r="BI19" s="185"/>
      <c r="BJ19" s="185"/>
      <c r="BK19" s="185"/>
      <c r="BL19" s="185">
        <f>F19+Q19+R19+S19+T19+U19+V19+BH19</f>
        <v>0</v>
      </c>
      <c r="BM19" s="185">
        <f>P67-BL19</f>
        <v>0</v>
      </c>
      <c r="BN19" s="185">
        <f t="shared" ref="BN19:BN24" si="18">D19+BM19</f>
        <v>159.12</v>
      </c>
      <c r="BP19" s="117"/>
    </row>
    <row r="20" spans="1:68" ht="19.5" customHeight="1">
      <c r="A20" s="14" t="s">
        <v>183</v>
      </c>
      <c r="B20" s="143" t="s">
        <v>31</v>
      </c>
      <c r="C20" s="30" t="s">
        <v>32</v>
      </c>
      <c r="D20" s="185"/>
      <c r="E20" s="185">
        <f t="shared" si="4"/>
        <v>0</v>
      </c>
      <c r="F20" s="185">
        <f t="shared" si="6"/>
        <v>0</v>
      </c>
      <c r="G20" s="185">
        <f t="shared" si="8"/>
        <v>0</v>
      </c>
      <c r="H20" s="185">
        <f t="shared" si="12"/>
        <v>0</v>
      </c>
      <c r="I20" s="185"/>
      <c r="J20" s="185"/>
      <c r="K20" s="185"/>
      <c r="L20" s="185"/>
      <c r="M20" s="185"/>
      <c r="N20" s="185"/>
      <c r="O20" s="185">
        <f t="shared" si="16"/>
        <v>0</v>
      </c>
      <c r="P20" s="185"/>
      <c r="Q20" s="185">
        <f>D20-BL20</f>
        <v>0</v>
      </c>
      <c r="R20" s="185"/>
      <c r="S20" s="185"/>
      <c r="T20" s="185"/>
      <c r="U20" s="185"/>
      <c r="V20" s="185">
        <f t="shared" si="13"/>
        <v>0</v>
      </c>
      <c r="W20" s="185"/>
      <c r="X20" s="185"/>
      <c r="Y20" s="185"/>
      <c r="Z20" s="185"/>
      <c r="AA20" s="185"/>
      <c r="AB20" s="185"/>
      <c r="AC20" s="185"/>
      <c r="AD20" s="185"/>
      <c r="AE20" s="185">
        <f t="shared" si="9"/>
        <v>0</v>
      </c>
      <c r="AF20" s="185"/>
      <c r="AG20" s="185"/>
      <c r="AH20" s="185"/>
      <c r="AI20" s="185"/>
      <c r="AJ20" s="185"/>
      <c r="AK20" s="185"/>
      <c r="AL20" s="185"/>
      <c r="AM20" s="185"/>
      <c r="AN20" s="185"/>
      <c r="AO20" s="185"/>
      <c r="AP20" s="185"/>
      <c r="AQ20" s="185"/>
      <c r="AR20" s="185"/>
      <c r="AS20" s="185"/>
      <c r="AT20" s="185"/>
      <c r="AU20" s="185"/>
      <c r="AV20" s="185"/>
      <c r="AW20" s="185"/>
      <c r="AX20" s="185"/>
      <c r="AY20" s="185"/>
      <c r="AZ20" s="185"/>
      <c r="BA20" s="185"/>
      <c r="BB20" s="185"/>
      <c r="BC20" s="185"/>
      <c r="BD20" s="185"/>
      <c r="BE20" s="185"/>
      <c r="BF20" s="185"/>
      <c r="BG20" s="185"/>
      <c r="BH20" s="185">
        <f t="shared" si="17"/>
        <v>0</v>
      </c>
      <c r="BI20" s="185"/>
      <c r="BJ20" s="185"/>
      <c r="BK20" s="185"/>
      <c r="BL20" s="185">
        <f>F20+P20+R20+S20+T20+U20+V20+BH20</f>
        <v>0</v>
      </c>
      <c r="BM20" s="185">
        <f>Q67-BL20</f>
        <v>0</v>
      </c>
      <c r="BN20" s="185">
        <f t="shared" si="18"/>
        <v>0</v>
      </c>
      <c r="BP20" s="117"/>
    </row>
    <row r="21" spans="1:68" ht="20.100000000000001" customHeight="1">
      <c r="A21" s="14" t="s">
        <v>184</v>
      </c>
      <c r="B21" s="143" t="s">
        <v>34</v>
      </c>
      <c r="C21" s="30" t="s">
        <v>35</v>
      </c>
      <c r="D21" s="185">
        <f>#REF!</f>
        <v>1004.16</v>
      </c>
      <c r="E21" s="185">
        <f t="shared" si="4"/>
        <v>1004.16</v>
      </c>
      <c r="F21" s="185">
        <f>G21+N21</f>
        <v>0</v>
      </c>
      <c r="G21" s="185">
        <f t="shared" si="8"/>
        <v>0</v>
      </c>
      <c r="H21" s="185">
        <f t="shared" si="12"/>
        <v>0</v>
      </c>
      <c r="I21" s="185"/>
      <c r="J21" s="185"/>
      <c r="K21" s="185"/>
      <c r="L21" s="185"/>
      <c r="M21" s="185"/>
      <c r="N21" s="185"/>
      <c r="O21" s="185">
        <f t="shared" si="16"/>
        <v>1004.16</v>
      </c>
      <c r="P21" s="185"/>
      <c r="Q21" s="185"/>
      <c r="R21" s="185">
        <f>D21-BL21</f>
        <v>1004.16</v>
      </c>
      <c r="S21" s="185"/>
      <c r="T21" s="185"/>
      <c r="U21" s="185"/>
      <c r="V21" s="185">
        <f t="shared" si="13"/>
        <v>0</v>
      </c>
      <c r="W21" s="185"/>
      <c r="X21" s="185"/>
      <c r="Y21" s="185"/>
      <c r="Z21" s="185"/>
      <c r="AA21" s="185"/>
      <c r="AB21" s="185"/>
      <c r="AC21" s="185"/>
      <c r="AD21" s="185"/>
      <c r="AE21" s="185">
        <f t="shared" si="9"/>
        <v>0</v>
      </c>
      <c r="AF21" s="185"/>
      <c r="AG21" s="185"/>
      <c r="AH21" s="185"/>
      <c r="AI21" s="185"/>
      <c r="AJ21" s="185"/>
      <c r="AK21" s="185"/>
      <c r="AL21" s="185"/>
      <c r="AM21" s="185"/>
      <c r="AN21" s="185"/>
      <c r="AO21" s="185"/>
      <c r="AP21" s="185"/>
      <c r="AQ21" s="185"/>
      <c r="AR21" s="185"/>
      <c r="AS21" s="185"/>
      <c r="AT21" s="185"/>
      <c r="AU21" s="185"/>
      <c r="AV21" s="185"/>
      <c r="AW21" s="185"/>
      <c r="AX21" s="185"/>
      <c r="AY21" s="185"/>
      <c r="AZ21" s="185"/>
      <c r="BA21" s="185"/>
      <c r="BB21" s="185"/>
      <c r="BC21" s="185"/>
      <c r="BD21" s="185"/>
      <c r="BE21" s="185"/>
      <c r="BF21" s="185"/>
      <c r="BG21" s="185"/>
      <c r="BH21" s="185">
        <f t="shared" si="17"/>
        <v>0</v>
      </c>
      <c r="BI21" s="185"/>
      <c r="BJ21" s="185"/>
      <c r="BK21" s="185"/>
      <c r="BL21" s="185">
        <f>F21+P21+Q21+S21+T21+U21+V21+BH21</f>
        <v>0</v>
      </c>
      <c r="BM21" s="185">
        <f>R67-BL21</f>
        <v>0</v>
      </c>
      <c r="BN21" s="185">
        <f t="shared" si="18"/>
        <v>1004.16</v>
      </c>
      <c r="BP21" s="117"/>
    </row>
    <row r="22" spans="1:68" ht="18.75" customHeight="1">
      <c r="A22" s="14" t="s">
        <v>24</v>
      </c>
      <c r="B22" s="143" t="s">
        <v>37</v>
      </c>
      <c r="C22" s="30" t="s">
        <v>38</v>
      </c>
      <c r="D22" s="185">
        <f>#REF!</f>
        <v>30.49</v>
      </c>
      <c r="E22" s="185">
        <f>F22+O22+S22+T22+U22</f>
        <v>30.49</v>
      </c>
      <c r="F22" s="185">
        <f t="shared" si="6"/>
        <v>0</v>
      </c>
      <c r="G22" s="185">
        <f t="shared" si="8"/>
        <v>0</v>
      </c>
      <c r="H22" s="185">
        <f t="shared" si="12"/>
        <v>0</v>
      </c>
      <c r="I22" s="185"/>
      <c r="J22" s="185"/>
      <c r="K22" s="185"/>
      <c r="L22" s="185"/>
      <c r="M22" s="185"/>
      <c r="N22" s="185"/>
      <c r="O22" s="185">
        <f t="shared" si="16"/>
        <v>0</v>
      </c>
      <c r="P22" s="185"/>
      <c r="Q22" s="185"/>
      <c r="R22" s="185"/>
      <c r="S22" s="185">
        <f>D22-BL22</f>
        <v>30.49</v>
      </c>
      <c r="T22" s="185"/>
      <c r="U22" s="185"/>
      <c r="V22" s="185">
        <f t="shared" si="13"/>
        <v>0</v>
      </c>
      <c r="W22" s="185"/>
      <c r="X22" s="185"/>
      <c r="Y22" s="185"/>
      <c r="Z22" s="185"/>
      <c r="AA22" s="185"/>
      <c r="AB22" s="185"/>
      <c r="AC22" s="185"/>
      <c r="AD22" s="185"/>
      <c r="AE22" s="185">
        <f t="shared" si="9"/>
        <v>0</v>
      </c>
      <c r="AF22" s="185"/>
      <c r="AG22" s="185"/>
      <c r="AH22" s="185"/>
      <c r="AI22" s="185"/>
      <c r="AJ22" s="185"/>
      <c r="AK22" s="185"/>
      <c r="AL22" s="185"/>
      <c r="AM22" s="185"/>
      <c r="AN22" s="185"/>
      <c r="AO22" s="185"/>
      <c r="AP22" s="185"/>
      <c r="AQ22" s="185"/>
      <c r="AR22" s="185"/>
      <c r="AS22" s="185"/>
      <c r="AT22" s="185"/>
      <c r="AU22" s="185"/>
      <c r="AV22" s="185"/>
      <c r="AW22" s="185"/>
      <c r="AX22" s="185"/>
      <c r="AY22" s="185"/>
      <c r="AZ22" s="185"/>
      <c r="BA22" s="185"/>
      <c r="BB22" s="185"/>
      <c r="BC22" s="185"/>
      <c r="BD22" s="185"/>
      <c r="BE22" s="185"/>
      <c r="BF22" s="185"/>
      <c r="BG22" s="185"/>
      <c r="BH22" s="185">
        <f t="shared" si="17"/>
        <v>0</v>
      </c>
      <c r="BI22" s="185"/>
      <c r="BJ22" s="185"/>
      <c r="BK22" s="185"/>
      <c r="BL22" s="185">
        <f>G22+O22+T22+U22+V22+BH22</f>
        <v>0</v>
      </c>
      <c r="BM22" s="185">
        <f>S67-BL22</f>
        <v>0</v>
      </c>
      <c r="BN22" s="185">
        <f t="shared" si="18"/>
        <v>30.49</v>
      </c>
      <c r="BP22" s="117"/>
    </row>
    <row r="23" spans="1:68" ht="19.5" hidden="1" customHeight="1">
      <c r="A23" s="14" t="s">
        <v>27</v>
      </c>
      <c r="B23" s="143" t="s">
        <v>40</v>
      </c>
      <c r="C23" s="30" t="s">
        <v>41</v>
      </c>
      <c r="D23" s="185"/>
      <c r="E23" s="185">
        <f t="shared" si="4"/>
        <v>0</v>
      </c>
      <c r="F23" s="185">
        <f t="shared" si="6"/>
        <v>0</v>
      </c>
      <c r="G23" s="185">
        <f t="shared" si="8"/>
        <v>0</v>
      </c>
      <c r="H23" s="185">
        <f t="shared" si="12"/>
        <v>0</v>
      </c>
      <c r="I23" s="185"/>
      <c r="J23" s="185"/>
      <c r="K23" s="185"/>
      <c r="L23" s="185"/>
      <c r="M23" s="185"/>
      <c r="N23" s="185"/>
      <c r="O23" s="185">
        <f t="shared" si="16"/>
        <v>0</v>
      </c>
      <c r="P23" s="185"/>
      <c r="Q23" s="185"/>
      <c r="R23" s="185"/>
      <c r="S23" s="185"/>
      <c r="T23" s="185">
        <f>D23-BL23</f>
        <v>0</v>
      </c>
      <c r="U23" s="185"/>
      <c r="V23" s="185">
        <f t="shared" si="13"/>
        <v>0</v>
      </c>
      <c r="W23" s="185"/>
      <c r="X23" s="185"/>
      <c r="Y23" s="185"/>
      <c r="Z23" s="185"/>
      <c r="AA23" s="185"/>
      <c r="AB23" s="185"/>
      <c r="AC23" s="185"/>
      <c r="AD23" s="185"/>
      <c r="AE23" s="185">
        <f t="shared" si="9"/>
        <v>0</v>
      </c>
      <c r="AF23" s="185"/>
      <c r="AG23" s="185"/>
      <c r="AH23" s="185"/>
      <c r="AI23" s="185"/>
      <c r="AJ23" s="185"/>
      <c r="AK23" s="185"/>
      <c r="AL23" s="185"/>
      <c r="AM23" s="185"/>
      <c r="AN23" s="185"/>
      <c r="AO23" s="185"/>
      <c r="AP23" s="185"/>
      <c r="AQ23" s="185"/>
      <c r="AR23" s="185"/>
      <c r="AS23" s="185"/>
      <c r="AT23" s="185"/>
      <c r="AU23" s="185"/>
      <c r="AV23" s="185"/>
      <c r="AW23" s="185"/>
      <c r="AX23" s="185"/>
      <c r="AY23" s="185"/>
      <c r="AZ23" s="185"/>
      <c r="BA23" s="185"/>
      <c r="BB23" s="185"/>
      <c r="BC23" s="185"/>
      <c r="BD23" s="185"/>
      <c r="BE23" s="185"/>
      <c r="BF23" s="185"/>
      <c r="BG23" s="185"/>
      <c r="BH23" s="185">
        <f t="shared" si="17"/>
        <v>0</v>
      </c>
      <c r="BI23" s="185"/>
      <c r="BJ23" s="185"/>
      <c r="BK23" s="185"/>
      <c r="BL23" s="185">
        <f>F23+O23+S23+U23+V23+BH23</f>
        <v>0</v>
      </c>
      <c r="BM23" s="185">
        <f>T67-BL23</f>
        <v>0</v>
      </c>
      <c r="BN23" s="185">
        <f t="shared" si="18"/>
        <v>0</v>
      </c>
      <c r="BP23" s="117"/>
    </row>
    <row r="24" spans="1:68" ht="20.100000000000001" customHeight="1">
      <c r="A24" s="14" t="s">
        <v>30</v>
      </c>
      <c r="B24" s="143" t="s">
        <v>43</v>
      </c>
      <c r="C24" s="30" t="s">
        <v>44</v>
      </c>
      <c r="D24" s="185"/>
      <c r="E24" s="185">
        <f t="shared" si="4"/>
        <v>0</v>
      </c>
      <c r="F24" s="185">
        <f t="shared" si="6"/>
        <v>0</v>
      </c>
      <c r="G24" s="185">
        <f t="shared" si="8"/>
        <v>0</v>
      </c>
      <c r="H24" s="185">
        <f t="shared" si="12"/>
        <v>0</v>
      </c>
      <c r="I24" s="185"/>
      <c r="J24" s="185"/>
      <c r="K24" s="185"/>
      <c r="L24" s="185"/>
      <c r="M24" s="185"/>
      <c r="N24" s="185"/>
      <c r="O24" s="185">
        <f t="shared" si="16"/>
        <v>0</v>
      </c>
      <c r="P24" s="185"/>
      <c r="Q24" s="185"/>
      <c r="R24" s="185"/>
      <c r="S24" s="185"/>
      <c r="T24" s="185"/>
      <c r="U24" s="185">
        <f>D24-BL24</f>
        <v>0</v>
      </c>
      <c r="V24" s="185">
        <f t="shared" si="13"/>
        <v>0</v>
      </c>
      <c r="W24" s="185"/>
      <c r="X24" s="185"/>
      <c r="Y24" s="185"/>
      <c r="Z24" s="185"/>
      <c r="AA24" s="185"/>
      <c r="AB24" s="185"/>
      <c r="AC24" s="185"/>
      <c r="AD24" s="185"/>
      <c r="AE24" s="185">
        <f t="shared" si="9"/>
        <v>0</v>
      </c>
      <c r="AF24" s="185"/>
      <c r="AG24" s="185"/>
      <c r="AH24" s="185"/>
      <c r="AI24" s="185"/>
      <c r="AJ24" s="185"/>
      <c r="AK24" s="185"/>
      <c r="AL24" s="185"/>
      <c r="AM24" s="185"/>
      <c r="AN24" s="185"/>
      <c r="AO24" s="185"/>
      <c r="AP24" s="185"/>
      <c r="AQ24" s="185"/>
      <c r="AR24" s="185"/>
      <c r="AS24" s="185"/>
      <c r="AT24" s="185"/>
      <c r="AU24" s="185"/>
      <c r="AV24" s="185"/>
      <c r="AW24" s="185"/>
      <c r="AX24" s="185"/>
      <c r="AY24" s="185"/>
      <c r="AZ24" s="185"/>
      <c r="BA24" s="185"/>
      <c r="BB24" s="185"/>
      <c r="BC24" s="185"/>
      <c r="BD24" s="185"/>
      <c r="BE24" s="185"/>
      <c r="BF24" s="185"/>
      <c r="BG24" s="185"/>
      <c r="BH24" s="185">
        <f t="shared" si="17"/>
        <v>0</v>
      </c>
      <c r="BI24" s="185"/>
      <c r="BJ24" s="185"/>
      <c r="BK24" s="185"/>
      <c r="BL24" s="185">
        <f>F24+O24+S24+T24+BH24</f>
        <v>0</v>
      </c>
      <c r="BM24" s="185">
        <f>U67-BL24</f>
        <v>0</v>
      </c>
      <c r="BN24" s="185">
        <f t="shared" si="18"/>
        <v>0</v>
      </c>
      <c r="BP24" s="117"/>
    </row>
    <row r="25" spans="1:68" s="115" customFormat="1" ht="25.5" customHeight="1">
      <c r="A25" s="15">
        <v>2</v>
      </c>
      <c r="B25" s="142" t="s">
        <v>45</v>
      </c>
      <c r="C25" s="158" t="s">
        <v>46</v>
      </c>
      <c r="D25" s="420">
        <f>D26+D27+D28+D29+D30+D31+D32+D33+D34+D46+D47+D48+D49+D50+D51+D52+D53+D54+D55+D56+D57+D58+D59+D60+D61+D62</f>
        <v>232.36</v>
      </c>
      <c r="E25" s="420">
        <f>E26+E27+E28+E29+E30+E31+E32+E33+E34+E46+E47+E48+E49+E50+E51+E52+E53+E54+E55+E56+E57+E58+E59+E60+E61+E62</f>
        <v>0</v>
      </c>
      <c r="F25" s="420">
        <f t="shared" ref="F25:U25" si="19">F26+F27+F28+F29+F30+F31+F32+F33+F34+F46+F47+F48+F49+F50+F51+F52+F53+F54+F55+F56+F57+F58+F59+F60+F61+F62</f>
        <v>0</v>
      </c>
      <c r="G25" s="420">
        <f t="shared" si="19"/>
        <v>0</v>
      </c>
      <c r="H25" s="420">
        <f t="shared" si="19"/>
        <v>0</v>
      </c>
      <c r="I25" s="420">
        <f t="shared" si="19"/>
        <v>0</v>
      </c>
      <c r="J25" s="420">
        <f t="shared" si="19"/>
        <v>0</v>
      </c>
      <c r="K25" s="420">
        <f t="shared" si="19"/>
        <v>0</v>
      </c>
      <c r="L25" s="420">
        <f t="shared" si="19"/>
        <v>0</v>
      </c>
      <c r="M25" s="420">
        <f t="shared" si="19"/>
        <v>0</v>
      </c>
      <c r="N25" s="420">
        <f t="shared" si="19"/>
        <v>0</v>
      </c>
      <c r="O25" s="420">
        <f t="shared" si="19"/>
        <v>0</v>
      </c>
      <c r="P25" s="420">
        <f t="shared" si="19"/>
        <v>0</v>
      </c>
      <c r="Q25" s="420">
        <f t="shared" si="19"/>
        <v>0</v>
      </c>
      <c r="R25" s="420">
        <f t="shared" si="19"/>
        <v>0</v>
      </c>
      <c r="S25" s="420">
        <f t="shared" si="19"/>
        <v>0</v>
      </c>
      <c r="T25" s="420">
        <f t="shared" si="19"/>
        <v>0</v>
      </c>
      <c r="U25" s="420">
        <f t="shared" si="19"/>
        <v>0</v>
      </c>
      <c r="V25" s="420">
        <f>D25-BL25</f>
        <v>232.36</v>
      </c>
      <c r="W25" s="420">
        <f>W26+W27+W28+W29+W30+W31+W32+W33+W34+W46+W47+W48+W49+W50+W51+W52+W53+W54+W55+W56+W57+W58+W59+W60+W61+W62</f>
        <v>53.27</v>
      </c>
      <c r="X25" s="420">
        <f t="shared" ref="X25:BK25" si="20">X26+X27+X28+X29+X30+X31+X32+X33+X34+X46+X47+X48+X49+X50+X51+X52+X53+X54+X55+X56+X57+X58+X59+X60+X61+X62</f>
        <v>0</v>
      </c>
      <c r="Y25" s="420">
        <f t="shared" si="20"/>
        <v>0</v>
      </c>
      <c r="Z25" s="420">
        <f t="shared" si="20"/>
        <v>0</v>
      </c>
      <c r="AA25" s="420">
        <f t="shared" si="20"/>
        <v>0</v>
      </c>
      <c r="AB25" s="420">
        <f t="shared" si="20"/>
        <v>0</v>
      </c>
      <c r="AC25" s="420">
        <f t="shared" si="20"/>
        <v>1.51</v>
      </c>
      <c r="AD25" s="420">
        <f t="shared" si="20"/>
        <v>0</v>
      </c>
      <c r="AE25" s="420">
        <f t="shared" si="20"/>
        <v>84.05</v>
      </c>
      <c r="AF25" s="420">
        <f t="shared" si="20"/>
        <v>0.08</v>
      </c>
      <c r="AG25" s="420">
        <f t="shared" si="20"/>
        <v>0.2</v>
      </c>
      <c r="AH25" s="420">
        <f t="shared" si="20"/>
        <v>1.74</v>
      </c>
      <c r="AI25" s="420">
        <f t="shared" si="20"/>
        <v>2.21</v>
      </c>
      <c r="AJ25" s="420">
        <f t="shared" si="20"/>
        <v>0</v>
      </c>
      <c r="AK25" s="420">
        <f t="shared" si="20"/>
        <v>0</v>
      </c>
      <c r="AL25" s="420">
        <f t="shared" si="20"/>
        <v>44.489999999999995</v>
      </c>
      <c r="AM25" s="420">
        <f t="shared" si="20"/>
        <v>35.22</v>
      </c>
      <c r="AN25" s="420">
        <f t="shared" si="20"/>
        <v>0</v>
      </c>
      <c r="AO25" s="420">
        <f t="shared" si="20"/>
        <v>0.11</v>
      </c>
      <c r="AP25" s="420">
        <f t="shared" si="20"/>
        <v>0</v>
      </c>
      <c r="AQ25" s="420">
        <f t="shared" si="20"/>
        <v>0</v>
      </c>
      <c r="AR25" s="420">
        <f t="shared" si="20"/>
        <v>0</v>
      </c>
      <c r="AS25" s="420">
        <f t="shared" si="20"/>
        <v>0.21</v>
      </c>
      <c r="AT25" s="420">
        <f t="shared" si="20"/>
        <v>21.61</v>
      </c>
      <c r="AU25" s="420">
        <f t="shared" si="20"/>
        <v>0</v>
      </c>
      <c r="AV25" s="420">
        <f t="shared" si="20"/>
        <v>1.05</v>
      </c>
      <c r="AW25" s="420">
        <f t="shared" si="20"/>
        <v>0</v>
      </c>
      <c r="AX25" s="420">
        <f t="shared" si="20"/>
        <v>0</v>
      </c>
      <c r="AY25" s="420">
        <f t="shared" si="20"/>
        <v>0</v>
      </c>
      <c r="AZ25" s="420">
        <f t="shared" si="20"/>
        <v>16.59</v>
      </c>
      <c r="BA25" s="420">
        <f t="shared" si="20"/>
        <v>0</v>
      </c>
      <c r="BB25" s="420">
        <f t="shared" si="20"/>
        <v>0.62</v>
      </c>
      <c r="BC25" s="420">
        <f t="shared" si="20"/>
        <v>0</v>
      </c>
      <c r="BD25" s="420">
        <f t="shared" si="20"/>
        <v>0.57999999999999996</v>
      </c>
      <c r="BE25" s="420">
        <f t="shared" si="20"/>
        <v>0</v>
      </c>
      <c r="BF25" s="420">
        <f t="shared" si="20"/>
        <v>52.87</v>
      </c>
      <c r="BG25" s="420">
        <f t="shared" si="20"/>
        <v>0</v>
      </c>
      <c r="BH25" s="420">
        <f t="shared" si="20"/>
        <v>0</v>
      </c>
      <c r="BI25" s="420">
        <f t="shared" si="20"/>
        <v>0</v>
      </c>
      <c r="BJ25" s="420">
        <f t="shared" si="20"/>
        <v>0</v>
      </c>
      <c r="BK25" s="420">
        <f t="shared" si="20"/>
        <v>0</v>
      </c>
      <c r="BL25" s="420">
        <f>E25+BH25</f>
        <v>0</v>
      </c>
      <c r="BM25" s="420">
        <f>BM26+BM27+BM28+BM29+BM30+BM31+BM32+BM33+BM34+BM46+BM47+BM48+BM49+BM50+BM51+BM52+BM53+BM54+BM55+BM56+BM57+BM58+BM59+BM60+BM61+BM62</f>
        <v>2.5700000000000003</v>
      </c>
      <c r="BN25" s="420">
        <f>BN26+BN27+BN28+BN29+BN30+BN31+BN32+BN33+BN34+BN46+BN47+BN48+BN49+BN50+BN51+BN52+BN53+BN54+BN55+BN56+BN57+BN58+BN59+BN60+BN61+BN62</f>
        <v>234.93000000000004</v>
      </c>
    </row>
    <row r="26" spans="1:68" ht="20.100000000000001" customHeight="1">
      <c r="A26" s="19" t="s">
        <v>47</v>
      </c>
      <c r="B26" s="144" t="s">
        <v>48</v>
      </c>
      <c r="C26" s="30" t="s">
        <v>49</v>
      </c>
      <c r="D26" s="185">
        <f>#REF!</f>
        <v>53.27</v>
      </c>
      <c r="E26" s="185">
        <f t="shared" si="4"/>
        <v>0</v>
      </c>
      <c r="F26" s="185">
        <f>G26+N26</f>
        <v>0</v>
      </c>
      <c r="G26" s="185">
        <f t="shared" si="8"/>
        <v>0</v>
      </c>
      <c r="H26" s="185">
        <f t="shared" si="12"/>
        <v>0</v>
      </c>
      <c r="I26" s="185"/>
      <c r="J26" s="185"/>
      <c r="K26" s="185"/>
      <c r="L26" s="185"/>
      <c r="M26" s="185"/>
      <c r="N26" s="185"/>
      <c r="O26" s="185"/>
      <c r="P26" s="185"/>
      <c r="Q26" s="185"/>
      <c r="R26" s="185"/>
      <c r="S26" s="185"/>
      <c r="T26" s="185"/>
      <c r="U26" s="185"/>
      <c r="V26" s="185">
        <f t="shared" si="13"/>
        <v>53.27</v>
      </c>
      <c r="W26" s="185">
        <f>D26-BL26</f>
        <v>53.27</v>
      </c>
      <c r="X26" s="185"/>
      <c r="Y26" s="185"/>
      <c r="Z26" s="185"/>
      <c r="AA26" s="185"/>
      <c r="AB26" s="185"/>
      <c r="AC26" s="185"/>
      <c r="AD26" s="185"/>
      <c r="AE26" s="185">
        <f t="shared" si="9"/>
        <v>0</v>
      </c>
      <c r="AF26" s="185"/>
      <c r="AG26" s="185"/>
      <c r="AH26" s="185"/>
      <c r="AI26" s="185"/>
      <c r="AJ26" s="185"/>
      <c r="AK26" s="185"/>
      <c r="AL26" s="185"/>
      <c r="AM26" s="185"/>
      <c r="AN26" s="185"/>
      <c r="AO26" s="185"/>
      <c r="AP26" s="185"/>
      <c r="AQ26" s="185"/>
      <c r="AR26" s="185"/>
      <c r="AS26" s="185"/>
      <c r="AT26" s="185"/>
      <c r="AU26" s="185"/>
      <c r="AV26" s="185"/>
      <c r="AW26" s="185"/>
      <c r="AX26" s="185"/>
      <c r="AY26" s="185"/>
      <c r="AZ26" s="185"/>
      <c r="BA26" s="185"/>
      <c r="BB26" s="185"/>
      <c r="BC26" s="185"/>
      <c r="BD26" s="185"/>
      <c r="BE26" s="185"/>
      <c r="BF26" s="185"/>
      <c r="BG26" s="185"/>
      <c r="BH26" s="185">
        <f>BI26+BJ26+BK26</f>
        <v>0</v>
      </c>
      <c r="BI26" s="185"/>
      <c r="BJ26" s="185"/>
      <c r="BK26" s="185"/>
      <c r="BL26" s="185">
        <f>X26+Y26+Z26+AA26+AB26+AC26+AD26+AE26+AQ26+AR26+AS26+AT26+AU26+AV26+AW26+AX26+AY26+AZ26+BA26+BB26+BC26+BD26+BE26+BF26+BG26+BH26</f>
        <v>0</v>
      </c>
      <c r="BM26" s="185">
        <f>W67-BL26</f>
        <v>0</v>
      </c>
      <c r="BN26" s="185">
        <f>D26+BM26</f>
        <v>53.27</v>
      </c>
      <c r="BP26" s="117"/>
    </row>
    <row r="27" spans="1:68" ht="20.100000000000001" customHeight="1">
      <c r="A27" s="19" t="s">
        <v>50</v>
      </c>
      <c r="B27" s="144" t="s">
        <v>51</v>
      </c>
      <c r="C27" s="30" t="s">
        <v>52</v>
      </c>
      <c r="D27" s="185"/>
      <c r="E27" s="185">
        <f t="shared" si="4"/>
        <v>0</v>
      </c>
      <c r="F27" s="185">
        <f t="shared" ref="F27:F66" si="21">G27+N27</f>
        <v>0</v>
      </c>
      <c r="G27" s="185">
        <f t="shared" si="8"/>
        <v>0</v>
      </c>
      <c r="H27" s="185">
        <f t="shared" si="12"/>
        <v>0</v>
      </c>
      <c r="I27" s="185"/>
      <c r="J27" s="185"/>
      <c r="K27" s="185"/>
      <c r="L27" s="185"/>
      <c r="M27" s="185"/>
      <c r="N27" s="185"/>
      <c r="O27" s="185"/>
      <c r="P27" s="185"/>
      <c r="Q27" s="185"/>
      <c r="R27" s="185"/>
      <c r="S27" s="185"/>
      <c r="T27" s="185"/>
      <c r="U27" s="185"/>
      <c r="V27" s="185">
        <f t="shared" si="13"/>
        <v>0</v>
      </c>
      <c r="W27" s="185"/>
      <c r="X27" s="185">
        <f>D27-BL27</f>
        <v>0</v>
      </c>
      <c r="Y27" s="185"/>
      <c r="Z27" s="185"/>
      <c r="AA27" s="185"/>
      <c r="AB27" s="185"/>
      <c r="AC27" s="185"/>
      <c r="AD27" s="185"/>
      <c r="AE27" s="185">
        <f t="shared" si="9"/>
        <v>0</v>
      </c>
      <c r="AF27" s="185"/>
      <c r="AG27" s="185"/>
      <c r="AH27" s="185"/>
      <c r="AI27" s="185"/>
      <c r="AJ27" s="185"/>
      <c r="AK27" s="185"/>
      <c r="AL27" s="185"/>
      <c r="AM27" s="185"/>
      <c r="AN27" s="185"/>
      <c r="AO27" s="185"/>
      <c r="AP27" s="185"/>
      <c r="AQ27" s="185"/>
      <c r="AR27" s="185"/>
      <c r="AS27" s="185"/>
      <c r="AT27" s="185"/>
      <c r="AU27" s="185"/>
      <c r="AV27" s="185"/>
      <c r="AW27" s="185"/>
      <c r="AX27" s="185"/>
      <c r="AY27" s="185"/>
      <c r="AZ27" s="185"/>
      <c r="BA27" s="185"/>
      <c r="BB27" s="185"/>
      <c r="BC27" s="185"/>
      <c r="BD27" s="185"/>
      <c r="BE27" s="185"/>
      <c r="BF27" s="185"/>
      <c r="BG27" s="185"/>
      <c r="BH27" s="185">
        <f t="shared" ref="BH27:BH62" si="22">BI27+BJ27+BK27</f>
        <v>0</v>
      </c>
      <c r="BI27" s="185"/>
      <c r="BJ27" s="185"/>
      <c r="BK27" s="185"/>
      <c r="BL27" s="185">
        <f>F27+W27+Y27+Z27+AA27+AB27+AC27+AD27+AE27+AQ27+AR27+AS27+AT27+AU27+AV27+AW27+AX27+AY27+AZ27+BA27+BB27+BC27+BD27+BE27+BF27+BG27+BH27</f>
        <v>0</v>
      </c>
      <c r="BM27" s="185">
        <f>X67-BL27</f>
        <v>0</v>
      </c>
      <c r="BN27" s="185">
        <f t="shared" ref="BN27:BN33" si="23">D27+BM27</f>
        <v>0</v>
      </c>
      <c r="BP27" s="117"/>
    </row>
    <row r="28" spans="1:68" ht="20.100000000000001" customHeight="1">
      <c r="A28" s="19" t="s">
        <v>53</v>
      </c>
      <c r="B28" s="144" t="s">
        <v>54</v>
      </c>
      <c r="C28" s="30" t="s">
        <v>55</v>
      </c>
      <c r="D28" s="185"/>
      <c r="E28" s="185">
        <f t="shared" si="4"/>
        <v>0</v>
      </c>
      <c r="F28" s="185">
        <f t="shared" si="21"/>
        <v>0</v>
      </c>
      <c r="G28" s="185">
        <f t="shared" si="8"/>
        <v>0</v>
      </c>
      <c r="H28" s="185">
        <f t="shared" si="12"/>
        <v>0</v>
      </c>
      <c r="I28" s="185"/>
      <c r="J28" s="185"/>
      <c r="K28" s="185"/>
      <c r="L28" s="185"/>
      <c r="M28" s="185"/>
      <c r="N28" s="185"/>
      <c r="O28" s="185"/>
      <c r="P28" s="185"/>
      <c r="Q28" s="185"/>
      <c r="R28" s="185"/>
      <c r="S28" s="185"/>
      <c r="T28" s="185"/>
      <c r="U28" s="185"/>
      <c r="V28" s="185">
        <f t="shared" si="13"/>
        <v>0</v>
      </c>
      <c r="W28" s="185"/>
      <c r="X28" s="185"/>
      <c r="Y28" s="185">
        <f>D28-BL28</f>
        <v>0</v>
      </c>
      <c r="Z28" s="185"/>
      <c r="AA28" s="185"/>
      <c r="AB28" s="185"/>
      <c r="AC28" s="185"/>
      <c r="AD28" s="185"/>
      <c r="AE28" s="185">
        <f t="shared" si="9"/>
        <v>0</v>
      </c>
      <c r="AF28" s="185"/>
      <c r="AG28" s="185"/>
      <c r="AH28" s="185"/>
      <c r="AI28" s="185"/>
      <c r="AJ28" s="185"/>
      <c r="AK28" s="185"/>
      <c r="AL28" s="185"/>
      <c r="AM28" s="185"/>
      <c r="AN28" s="185"/>
      <c r="AO28" s="185"/>
      <c r="AP28" s="185"/>
      <c r="AQ28" s="185"/>
      <c r="AR28" s="185"/>
      <c r="AS28" s="185"/>
      <c r="AT28" s="185"/>
      <c r="AU28" s="185"/>
      <c r="AV28" s="185"/>
      <c r="AW28" s="185"/>
      <c r="AX28" s="185"/>
      <c r="AY28" s="185"/>
      <c r="AZ28" s="185"/>
      <c r="BA28" s="185"/>
      <c r="BB28" s="185"/>
      <c r="BC28" s="185"/>
      <c r="BD28" s="185"/>
      <c r="BE28" s="185"/>
      <c r="BF28" s="185"/>
      <c r="BG28" s="185"/>
      <c r="BH28" s="185">
        <f t="shared" si="22"/>
        <v>0</v>
      </c>
      <c r="BI28" s="185"/>
      <c r="BJ28" s="185"/>
      <c r="BK28" s="185"/>
      <c r="BL28" s="185">
        <f>E28+W28+X28+Z28+AA28+AB28+AC28+AD28+AE28+AQ28+AR28+AS28+AT28+AU28+AV28+AW28+AX28+AY28+AZ28+BA28+BB28+BC28+BD28+BE28+BF28+BG28+BH28</f>
        <v>0</v>
      </c>
      <c r="BM28" s="185">
        <f>Y67-BL28</f>
        <v>0</v>
      </c>
      <c r="BN28" s="185">
        <f t="shared" si="23"/>
        <v>0</v>
      </c>
      <c r="BP28" s="117"/>
    </row>
    <row r="29" spans="1:68" ht="20.100000000000001" customHeight="1">
      <c r="A29" s="19" t="s">
        <v>56</v>
      </c>
      <c r="B29" s="144" t="s">
        <v>57</v>
      </c>
      <c r="C29" s="30" t="s">
        <v>58</v>
      </c>
      <c r="D29" s="185"/>
      <c r="E29" s="185">
        <f t="shared" si="4"/>
        <v>0</v>
      </c>
      <c r="F29" s="185">
        <f t="shared" si="21"/>
        <v>0</v>
      </c>
      <c r="G29" s="185">
        <f t="shared" si="8"/>
        <v>0</v>
      </c>
      <c r="H29" s="185">
        <f t="shared" si="12"/>
        <v>0</v>
      </c>
      <c r="I29" s="185"/>
      <c r="J29" s="185"/>
      <c r="K29" s="185"/>
      <c r="L29" s="185"/>
      <c r="M29" s="185"/>
      <c r="N29" s="185"/>
      <c r="O29" s="185"/>
      <c r="P29" s="185"/>
      <c r="Q29" s="185"/>
      <c r="R29" s="185"/>
      <c r="S29" s="185"/>
      <c r="T29" s="185"/>
      <c r="U29" s="185"/>
      <c r="V29" s="185">
        <f t="shared" si="13"/>
        <v>0</v>
      </c>
      <c r="W29" s="185"/>
      <c r="X29" s="185"/>
      <c r="Y29" s="185"/>
      <c r="Z29" s="185">
        <f>D29-BL29</f>
        <v>0</v>
      </c>
      <c r="AA29" s="185"/>
      <c r="AB29" s="185"/>
      <c r="AC29" s="185"/>
      <c r="AD29" s="185"/>
      <c r="AE29" s="185">
        <f t="shared" si="9"/>
        <v>0</v>
      </c>
      <c r="AF29" s="185"/>
      <c r="AG29" s="185"/>
      <c r="AH29" s="185"/>
      <c r="AI29" s="185"/>
      <c r="AJ29" s="185"/>
      <c r="AK29" s="185"/>
      <c r="AL29" s="185"/>
      <c r="AM29" s="185"/>
      <c r="AN29" s="185"/>
      <c r="AO29" s="185"/>
      <c r="AP29" s="185"/>
      <c r="AQ29" s="185"/>
      <c r="AR29" s="185"/>
      <c r="AS29" s="185"/>
      <c r="AT29" s="185"/>
      <c r="AU29" s="185"/>
      <c r="AV29" s="185"/>
      <c r="AW29" s="185"/>
      <c r="AX29" s="185"/>
      <c r="AY29" s="185"/>
      <c r="AZ29" s="185"/>
      <c r="BA29" s="185"/>
      <c r="BB29" s="185"/>
      <c r="BC29" s="185"/>
      <c r="BD29" s="185"/>
      <c r="BE29" s="185"/>
      <c r="BF29" s="185"/>
      <c r="BG29" s="185"/>
      <c r="BH29" s="185">
        <f t="shared" si="22"/>
        <v>0</v>
      </c>
      <c r="BI29" s="185"/>
      <c r="BJ29" s="185"/>
      <c r="BK29" s="185"/>
      <c r="BL29" s="185">
        <f>E29+W29+X29+Y29+AA29+AB29+AC29+AD29+AE29+AQ29+AR29+AS29+AT29+AU29+AV29+AW29+AX29+AY29+AZ29+BA29+BB29+BC29+BD29+BE29+BF29+BG29+BH29</f>
        <v>0</v>
      </c>
      <c r="BM29" s="185">
        <f>Z67-BL29</f>
        <v>0</v>
      </c>
      <c r="BN29" s="185">
        <f t="shared" si="23"/>
        <v>0</v>
      </c>
      <c r="BP29" s="117"/>
    </row>
    <row r="30" spans="1:68" ht="20.100000000000001" customHeight="1">
      <c r="A30" s="19" t="s">
        <v>59</v>
      </c>
      <c r="B30" s="144" t="s">
        <v>60</v>
      </c>
      <c r="C30" s="30" t="s">
        <v>61</v>
      </c>
      <c r="D30" s="185"/>
      <c r="E30" s="185">
        <f t="shared" si="4"/>
        <v>0</v>
      </c>
      <c r="F30" s="185">
        <f t="shared" si="21"/>
        <v>0</v>
      </c>
      <c r="G30" s="185">
        <f t="shared" si="8"/>
        <v>0</v>
      </c>
      <c r="H30" s="185">
        <f t="shared" si="12"/>
        <v>0</v>
      </c>
      <c r="I30" s="185"/>
      <c r="J30" s="185"/>
      <c r="K30" s="185"/>
      <c r="L30" s="185"/>
      <c r="M30" s="185"/>
      <c r="N30" s="185"/>
      <c r="O30" s="185"/>
      <c r="P30" s="185"/>
      <c r="Q30" s="185"/>
      <c r="R30" s="185"/>
      <c r="S30" s="185"/>
      <c r="T30" s="185"/>
      <c r="U30" s="185"/>
      <c r="V30" s="185">
        <f t="shared" si="13"/>
        <v>0</v>
      </c>
      <c r="W30" s="185"/>
      <c r="X30" s="185"/>
      <c r="Y30" s="185"/>
      <c r="Z30" s="185"/>
      <c r="AA30" s="185">
        <f>D30-BL30</f>
        <v>0</v>
      </c>
      <c r="AB30" s="185"/>
      <c r="AC30" s="185"/>
      <c r="AD30" s="185"/>
      <c r="AE30" s="185">
        <f t="shared" si="9"/>
        <v>0</v>
      </c>
      <c r="AF30" s="185"/>
      <c r="AG30" s="185"/>
      <c r="AH30" s="185"/>
      <c r="AI30" s="185"/>
      <c r="AJ30" s="185"/>
      <c r="AK30" s="185"/>
      <c r="AL30" s="185"/>
      <c r="AM30" s="185"/>
      <c r="AN30" s="185"/>
      <c r="AO30" s="185"/>
      <c r="AP30" s="185"/>
      <c r="AQ30" s="185"/>
      <c r="AR30" s="185"/>
      <c r="AS30" s="185"/>
      <c r="AT30" s="185"/>
      <c r="AU30" s="185"/>
      <c r="AV30" s="185"/>
      <c r="AW30" s="185"/>
      <c r="AX30" s="185"/>
      <c r="AY30" s="185"/>
      <c r="AZ30" s="185"/>
      <c r="BA30" s="185"/>
      <c r="BB30" s="185"/>
      <c r="BC30" s="185"/>
      <c r="BD30" s="185"/>
      <c r="BE30" s="185"/>
      <c r="BF30" s="185"/>
      <c r="BG30" s="185"/>
      <c r="BH30" s="185">
        <f t="shared" si="22"/>
        <v>0</v>
      </c>
      <c r="BI30" s="185"/>
      <c r="BJ30" s="185"/>
      <c r="BK30" s="185"/>
      <c r="BL30" s="185">
        <f>E30+W30+X30+Y30+Z30+AB30+AC30+AD30+AE30+AQ30+AR30+AS30+AT30+AU30+AV30+AW30+AX30+AY30+AZ30+BA30+BB30+BC30+BD30+BE30+BF30+BG30+BH30</f>
        <v>0</v>
      </c>
      <c r="BM30" s="185">
        <f>AA67-BL30</f>
        <v>0</v>
      </c>
      <c r="BN30" s="185">
        <f t="shared" si="23"/>
        <v>0</v>
      </c>
      <c r="BP30" s="117"/>
    </row>
    <row r="31" spans="1:68" ht="20.100000000000001" customHeight="1">
      <c r="A31" s="19" t="s">
        <v>62</v>
      </c>
      <c r="B31" s="144" t="s">
        <v>63</v>
      </c>
      <c r="C31" s="30" t="s">
        <v>64</v>
      </c>
      <c r="D31" s="185"/>
      <c r="E31" s="185">
        <f t="shared" si="4"/>
        <v>0</v>
      </c>
      <c r="F31" s="185">
        <f t="shared" si="21"/>
        <v>0</v>
      </c>
      <c r="G31" s="185">
        <f t="shared" si="8"/>
        <v>0</v>
      </c>
      <c r="H31" s="185">
        <f t="shared" si="12"/>
        <v>0</v>
      </c>
      <c r="I31" s="185"/>
      <c r="J31" s="185"/>
      <c r="K31" s="185"/>
      <c r="L31" s="185"/>
      <c r="M31" s="185"/>
      <c r="N31" s="185"/>
      <c r="O31" s="185"/>
      <c r="P31" s="185"/>
      <c r="Q31" s="185"/>
      <c r="R31" s="185"/>
      <c r="S31" s="185"/>
      <c r="T31" s="185"/>
      <c r="U31" s="185"/>
      <c r="V31" s="185">
        <f>W31+X31+Y31+Z31+AA31+AB31+AC31+AD31+AE31+AQ31+AR31+AS31+AT31+AU31+AV31+AW31+AX31+AY31+AZ31+BA31+BB31+BC31+BD31+BE31+BF31+BG31</f>
        <v>0</v>
      </c>
      <c r="W31" s="185"/>
      <c r="X31" s="185"/>
      <c r="Y31" s="185"/>
      <c r="Z31" s="185"/>
      <c r="AA31" s="185"/>
      <c r="AB31" s="185">
        <f>D31-BL31</f>
        <v>0</v>
      </c>
      <c r="AC31" s="185"/>
      <c r="AD31" s="185"/>
      <c r="AE31" s="185">
        <f t="shared" si="9"/>
        <v>0</v>
      </c>
      <c r="AF31" s="185"/>
      <c r="AG31" s="185"/>
      <c r="AH31" s="185"/>
      <c r="AI31" s="185"/>
      <c r="AJ31" s="185"/>
      <c r="AK31" s="185"/>
      <c r="AL31" s="185"/>
      <c r="AM31" s="185"/>
      <c r="AN31" s="185"/>
      <c r="AO31" s="185"/>
      <c r="AP31" s="185"/>
      <c r="AQ31" s="185"/>
      <c r="AR31" s="185"/>
      <c r="AS31" s="185"/>
      <c r="AT31" s="185"/>
      <c r="AU31" s="185"/>
      <c r="AV31" s="185"/>
      <c r="AW31" s="185"/>
      <c r="AX31" s="185"/>
      <c r="AY31" s="185"/>
      <c r="AZ31" s="185"/>
      <c r="BA31" s="185"/>
      <c r="BB31" s="185"/>
      <c r="BC31" s="185"/>
      <c r="BD31" s="185"/>
      <c r="BE31" s="185"/>
      <c r="BF31" s="185"/>
      <c r="BG31" s="185"/>
      <c r="BH31" s="185">
        <f>BI31+BJ31+BK31</f>
        <v>0</v>
      </c>
      <c r="BI31" s="185"/>
      <c r="BJ31" s="185"/>
      <c r="BK31" s="185"/>
      <c r="BL31" s="185">
        <f>E31+W31+X31+Y31+Z31+AA31+AC31+AD31+AE31+AQ31+AR31+AS31+AT31+AU31+AV31+AW31+AX31+AY31+AZ31+BA31+BB31+BC31+BD31+BE31+BF31+BG31+BH31</f>
        <v>0</v>
      </c>
      <c r="BM31" s="185">
        <f>AB67-BL31</f>
        <v>0</v>
      </c>
      <c r="BN31" s="185">
        <f t="shared" si="23"/>
        <v>0</v>
      </c>
      <c r="BP31" s="117"/>
    </row>
    <row r="32" spans="1:68" ht="20.100000000000001" customHeight="1">
      <c r="A32" s="19" t="s">
        <v>65</v>
      </c>
      <c r="B32" s="144" t="s">
        <v>66</v>
      </c>
      <c r="C32" s="30" t="s">
        <v>67</v>
      </c>
      <c r="D32" s="185">
        <f>#REF!</f>
        <v>1.51</v>
      </c>
      <c r="E32" s="185">
        <f t="shared" si="4"/>
        <v>0</v>
      </c>
      <c r="F32" s="185">
        <f t="shared" si="21"/>
        <v>0</v>
      </c>
      <c r="G32" s="185">
        <f t="shared" si="8"/>
        <v>0</v>
      </c>
      <c r="H32" s="185">
        <f t="shared" si="12"/>
        <v>0</v>
      </c>
      <c r="I32" s="185"/>
      <c r="J32" s="185"/>
      <c r="K32" s="185"/>
      <c r="L32" s="185"/>
      <c r="M32" s="185"/>
      <c r="N32" s="185"/>
      <c r="O32" s="185"/>
      <c r="P32" s="185"/>
      <c r="Q32" s="185"/>
      <c r="R32" s="185"/>
      <c r="S32" s="185"/>
      <c r="T32" s="185"/>
      <c r="U32" s="185"/>
      <c r="V32" s="185">
        <f t="shared" si="13"/>
        <v>1.51</v>
      </c>
      <c r="W32" s="185"/>
      <c r="X32" s="185"/>
      <c r="Y32" s="185"/>
      <c r="Z32" s="185"/>
      <c r="AA32" s="185"/>
      <c r="AB32" s="185"/>
      <c r="AC32" s="185">
        <f>D32-BL32</f>
        <v>1.51</v>
      </c>
      <c r="AD32" s="185"/>
      <c r="AE32" s="185">
        <f t="shared" si="9"/>
        <v>0</v>
      </c>
      <c r="AF32" s="185"/>
      <c r="AG32" s="185"/>
      <c r="AH32" s="185"/>
      <c r="AI32" s="185"/>
      <c r="AJ32" s="185"/>
      <c r="AK32" s="185"/>
      <c r="AL32" s="185"/>
      <c r="AM32" s="185"/>
      <c r="AN32" s="185"/>
      <c r="AO32" s="185"/>
      <c r="AP32" s="185"/>
      <c r="AQ32" s="185"/>
      <c r="AR32" s="185"/>
      <c r="AS32" s="185"/>
      <c r="AT32" s="185"/>
      <c r="AU32" s="185"/>
      <c r="AV32" s="185"/>
      <c r="AW32" s="185"/>
      <c r="AX32" s="185"/>
      <c r="AY32" s="185"/>
      <c r="AZ32" s="185"/>
      <c r="BA32" s="185"/>
      <c r="BB32" s="185"/>
      <c r="BC32" s="185"/>
      <c r="BD32" s="185"/>
      <c r="BE32" s="185"/>
      <c r="BF32" s="185"/>
      <c r="BG32" s="185"/>
      <c r="BH32" s="185">
        <f t="shared" si="22"/>
        <v>0</v>
      </c>
      <c r="BI32" s="185"/>
      <c r="BJ32" s="185"/>
      <c r="BK32" s="185"/>
      <c r="BL32" s="185">
        <f>E32+W32+X32+Y32+Z32+AA32+AB32+AD32+AE32+AQ32+AR32+AS32+AT32+AU32+AV32+AW32+AX32+AY32+AZ32+BA32+BB32+BC32+BD32+BE32+BF32+BG32+BH32</f>
        <v>0</v>
      </c>
      <c r="BM32" s="185">
        <f>AC67-BL32</f>
        <v>0</v>
      </c>
      <c r="BN32" s="185">
        <f t="shared" si="23"/>
        <v>1.51</v>
      </c>
      <c r="BP32" s="117"/>
    </row>
    <row r="33" spans="1:68" ht="20.100000000000001" customHeight="1">
      <c r="A33" s="19" t="s">
        <v>68</v>
      </c>
      <c r="B33" s="144" t="s">
        <v>69</v>
      </c>
      <c r="C33" s="30" t="s">
        <v>70</v>
      </c>
      <c r="D33" s="185"/>
      <c r="E33" s="185">
        <f t="shared" si="4"/>
        <v>0</v>
      </c>
      <c r="F33" s="185">
        <f t="shared" si="21"/>
        <v>0</v>
      </c>
      <c r="G33" s="185">
        <f t="shared" si="8"/>
        <v>0</v>
      </c>
      <c r="H33" s="185">
        <f t="shared" si="12"/>
        <v>0</v>
      </c>
      <c r="I33" s="185"/>
      <c r="J33" s="185"/>
      <c r="K33" s="185"/>
      <c r="L33" s="185"/>
      <c r="M33" s="185"/>
      <c r="N33" s="185"/>
      <c r="O33" s="185"/>
      <c r="P33" s="185"/>
      <c r="Q33" s="185"/>
      <c r="R33" s="185"/>
      <c r="S33" s="185"/>
      <c r="T33" s="185"/>
      <c r="U33" s="185"/>
      <c r="V33" s="185">
        <f t="shared" si="13"/>
        <v>0</v>
      </c>
      <c r="W33" s="185"/>
      <c r="X33" s="185"/>
      <c r="Y33" s="185"/>
      <c r="Z33" s="185"/>
      <c r="AA33" s="185"/>
      <c r="AB33" s="185"/>
      <c r="AC33" s="185"/>
      <c r="AD33" s="185">
        <f>D33-BL33</f>
        <v>0</v>
      </c>
      <c r="AE33" s="185">
        <f t="shared" si="9"/>
        <v>0</v>
      </c>
      <c r="AF33" s="185"/>
      <c r="AG33" s="185"/>
      <c r="AH33" s="185"/>
      <c r="AI33" s="185"/>
      <c r="AJ33" s="185"/>
      <c r="AK33" s="185"/>
      <c r="AL33" s="185"/>
      <c r="AM33" s="185"/>
      <c r="AN33" s="185"/>
      <c r="AO33" s="185"/>
      <c r="AP33" s="185"/>
      <c r="AQ33" s="185"/>
      <c r="AR33" s="185"/>
      <c r="AS33" s="185"/>
      <c r="AT33" s="185"/>
      <c r="AU33" s="185"/>
      <c r="AV33" s="185"/>
      <c r="AW33" s="185"/>
      <c r="AX33" s="185"/>
      <c r="AY33" s="185"/>
      <c r="AZ33" s="185"/>
      <c r="BA33" s="185"/>
      <c r="BB33" s="185"/>
      <c r="BC33" s="185"/>
      <c r="BD33" s="185"/>
      <c r="BE33" s="185"/>
      <c r="BF33" s="185"/>
      <c r="BG33" s="185"/>
      <c r="BH33" s="185">
        <f t="shared" si="22"/>
        <v>0</v>
      </c>
      <c r="BI33" s="185"/>
      <c r="BJ33" s="185"/>
      <c r="BK33" s="185"/>
      <c r="BL33" s="185">
        <f>E33+W33+X33+Y33+Z33+AA33+AB33+AC33+AE33+AQ33+AR33+AS33+AT33+AU33+AV33+AW33+AX33+AY33+AZ33+BA33+BB33+BC33+BD33+BE33+BF33+BG33+BH33</f>
        <v>0</v>
      </c>
      <c r="BM33" s="185">
        <f>AD67-BL33</f>
        <v>0</v>
      </c>
      <c r="BN33" s="185">
        <f t="shared" si="23"/>
        <v>0</v>
      </c>
      <c r="BP33" s="117"/>
    </row>
    <row r="34" spans="1:68" ht="40.5" customHeight="1">
      <c r="A34" s="19" t="s">
        <v>71</v>
      </c>
      <c r="B34" s="144" t="s">
        <v>135</v>
      </c>
      <c r="C34" s="30" t="s">
        <v>72</v>
      </c>
      <c r="D34" s="185">
        <f>SUM(D35:D45)</f>
        <v>86.71</v>
      </c>
      <c r="E34" s="185">
        <f>SUM(E35:E45)</f>
        <v>0</v>
      </c>
      <c r="F34" s="185">
        <f t="shared" ref="F34:U34" si="24">SUM(F35:F45)</f>
        <v>0</v>
      </c>
      <c r="G34" s="185">
        <f t="shared" si="24"/>
        <v>0</v>
      </c>
      <c r="H34" s="185">
        <f t="shared" si="24"/>
        <v>0</v>
      </c>
      <c r="I34" s="185">
        <f t="shared" si="24"/>
        <v>0</v>
      </c>
      <c r="J34" s="185">
        <f t="shared" si="24"/>
        <v>0</v>
      </c>
      <c r="K34" s="185">
        <f t="shared" si="24"/>
        <v>0</v>
      </c>
      <c r="L34" s="185">
        <f t="shared" si="24"/>
        <v>0</v>
      </c>
      <c r="M34" s="185">
        <f t="shared" si="24"/>
        <v>0</v>
      </c>
      <c r="N34" s="185">
        <f t="shared" si="24"/>
        <v>0</v>
      </c>
      <c r="O34" s="185">
        <f t="shared" si="24"/>
        <v>0</v>
      </c>
      <c r="P34" s="185">
        <f t="shared" si="24"/>
        <v>0</v>
      </c>
      <c r="Q34" s="185">
        <f t="shared" si="24"/>
        <v>0</v>
      </c>
      <c r="R34" s="185">
        <f t="shared" si="24"/>
        <v>0</v>
      </c>
      <c r="S34" s="185">
        <f t="shared" si="24"/>
        <v>0</v>
      </c>
      <c r="T34" s="185">
        <f t="shared" si="24"/>
        <v>0</v>
      </c>
      <c r="U34" s="185">
        <f t="shared" si="24"/>
        <v>0</v>
      </c>
      <c r="V34" s="185">
        <f>SUM(V35:V45)</f>
        <v>86.71</v>
      </c>
      <c r="W34" s="185">
        <f t="shared" ref="W34:AD34" si="25">SUM(W35:W45)</f>
        <v>0</v>
      </c>
      <c r="X34" s="185">
        <f t="shared" si="25"/>
        <v>0</v>
      </c>
      <c r="Y34" s="185">
        <f t="shared" si="25"/>
        <v>0</v>
      </c>
      <c r="Z34" s="185">
        <f t="shared" si="25"/>
        <v>0</v>
      </c>
      <c r="AA34" s="185">
        <f t="shared" si="25"/>
        <v>0</v>
      </c>
      <c r="AB34" s="185">
        <f t="shared" si="25"/>
        <v>0</v>
      </c>
      <c r="AC34" s="185">
        <f t="shared" si="25"/>
        <v>0</v>
      </c>
      <c r="AD34" s="185">
        <f t="shared" si="25"/>
        <v>0</v>
      </c>
      <c r="AE34" s="185">
        <f>D34-BL34</f>
        <v>83.94</v>
      </c>
      <c r="AF34" s="185">
        <f>SUM(AF35:AF45)</f>
        <v>0.08</v>
      </c>
      <c r="AG34" s="185">
        <f t="shared" ref="AG34:BE34" si="26">SUM(AG35:AG45)</f>
        <v>0.2</v>
      </c>
      <c r="AH34" s="185">
        <f t="shared" si="26"/>
        <v>1.74</v>
      </c>
      <c r="AI34" s="185">
        <f t="shared" si="26"/>
        <v>2.21</v>
      </c>
      <c r="AJ34" s="185">
        <f t="shared" si="26"/>
        <v>0</v>
      </c>
      <c r="AK34" s="185">
        <f t="shared" si="26"/>
        <v>0</v>
      </c>
      <c r="AL34" s="185">
        <f t="shared" si="26"/>
        <v>44.379999999999995</v>
      </c>
      <c r="AM34" s="185">
        <f t="shared" si="26"/>
        <v>35.22</v>
      </c>
      <c r="AN34" s="185">
        <f t="shared" si="26"/>
        <v>0</v>
      </c>
      <c r="AO34" s="185">
        <f t="shared" si="26"/>
        <v>0.11</v>
      </c>
      <c r="AP34" s="185">
        <f t="shared" si="26"/>
        <v>0</v>
      </c>
      <c r="AQ34" s="185">
        <f t="shared" si="26"/>
        <v>0</v>
      </c>
      <c r="AR34" s="185">
        <f t="shared" si="26"/>
        <v>0</v>
      </c>
      <c r="AS34" s="185">
        <f t="shared" si="26"/>
        <v>0</v>
      </c>
      <c r="AT34" s="185">
        <f t="shared" si="26"/>
        <v>0.04</v>
      </c>
      <c r="AU34" s="185">
        <f t="shared" si="26"/>
        <v>0</v>
      </c>
      <c r="AV34" s="185">
        <f t="shared" si="26"/>
        <v>0</v>
      </c>
      <c r="AW34" s="185">
        <f t="shared" si="26"/>
        <v>0</v>
      </c>
      <c r="AX34" s="185">
        <f t="shared" si="26"/>
        <v>0</v>
      </c>
      <c r="AY34" s="185">
        <f t="shared" si="26"/>
        <v>0</v>
      </c>
      <c r="AZ34" s="185">
        <f t="shared" si="26"/>
        <v>0</v>
      </c>
      <c r="BA34" s="185">
        <f t="shared" si="26"/>
        <v>0</v>
      </c>
      <c r="BB34" s="185">
        <f t="shared" si="26"/>
        <v>0</v>
      </c>
      <c r="BC34" s="185">
        <f t="shared" si="26"/>
        <v>0</v>
      </c>
      <c r="BD34" s="185">
        <f t="shared" si="26"/>
        <v>0</v>
      </c>
      <c r="BE34" s="185">
        <f t="shared" si="26"/>
        <v>0</v>
      </c>
      <c r="BF34" s="185">
        <f>SUM(BF35:BF45)</f>
        <v>2.73</v>
      </c>
      <c r="BG34" s="185">
        <f>SUM(BG35:BG45)</f>
        <v>0</v>
      </c>
      <c r="BH34" s="185">
        <f>BI34+BJ34+BK34</f>
        <v>0</v>
      </c>
      <c r="BI34" s="185">
        <f>SUM(BI35:BI45)</f>
        <v>0</v>
      </c>
      <c r="BJ34" s="185">
        <f>SUM(BJ35:BJ45)</f>
        <v>0</v>
      </c>
      <c r="BK34" s="185">
        <f>SUM(BK35:BK45)</f>
        <v>0</v>
      </c>
      <c r="BL34" s="185">
        <f>E34+W34+X34+Y34+Z34+AA34+AB34+AC34+AQ34+AR34+AS34+AT34+AU34+AV34+AW34+AX34+AY34+AZ34+BA34+BB34+BC34+BD34+BE34+BF34+BG34+BH34</f>
        <v>2.77</v>
      </c>
      <c r="BM34" s="185">
        <f>AE67-BL34</f>
        <v>-2.2199999999999998</v>
      </c>
      <c r="BN34" s="185">
        <f>SUM(BN35:BN45)</f>
        <v>84.49</v>
      </c>
      <c r="BP34" s="117"/>
    </row>
    <row r="35" spans="1:68" ht="20.100000000000001" customHeight="1">
      <c r="A35" s="14" t="s">
        <v>224</v>
      </c>
      <c r="B35" s="143" t="s">
        <v>478</v>
      </c>
      <c r="C35" s="30" t="s">
        <v>202</v>
      </c>
      <c r="D35" s="185">
        <f>#REF!</f>
        <v>0.08</v>
      </c>
      <c r="E35" s="185">
        <f t="shared" si="4"/>
        <v>0</v>
      </c>
      <c r="F35" s="185">
        <f t="shared" si="21"/>
        <v>0</v>
      </c>
      <c r="G35" s="185">
        <f t="shared" si="8"/>
        <v>0</v>
      </c>
      <c r="H35" s="185">
        <f t="shared" si="12"/>
        <v>0</v>
      </c>
      <c r="I35" s="185"/>
      <c r="J35" s="185"/>
      <c r="K35" s="185"/>
      <c r="L35" s="185"/>
      <c r="M35" s="185"/>
      <c r="N35" s="185"/>
      <c r="O35" s="185"/>
      <c r="P35" s="185"/>
      <c r="Q35" s="185"/>
      <c r="R35" s="185"/>
      <c r="S35" s="185"/>
      <c r="T35" s="185"/>
      <c r="U35" s="185"/>
      <c r="V35" s="185">
        <f t="shared" si="13"/>
        <v>0.08</v>
      </c>
      <c r="W35" s="185"/>
      <c r="X35" s="185"/>
      <c r="Y35" s="185"/>
      <c r="Z35" s="185"/>
      <c r="AA35" s="185"/>
      <c r="AB35" s="185"/>
      <c r="AC35" s="185"/>
      <c r="AD35" s="185"/>
      <c r="AE35" s="185">
        <f>SUM(AF35:AP35)</f>
        <v>0.08</v>
      </c>
      <c r="AF35" s="185">
        <f>D35-BL35</f>
        <v>0.08</v>
      </c>
      <c r="AG35" s="185"/>
      <c r="AH35" s="185"/>
      <c r="AI35" s="185"/>
      <c r="AJ35" s="185"/>
      <c r="AK35" s="185"/>
      <c r="AL35" s="185"/>
      <c r="AM35" s="185"/>
      <c r="AN35" s="185"/>
      <c r="AO35" s="185"/>
      <c r="AP35" s="185"/>
      <c r="AQ35" s="185"/>
      <c r="AR35" s="185"/>
      <c r="AS35" s="185"/>
      <c r="AT35" s="185"/>
      <c r="AU35" s="185"/>
      <c r="AV35" s="185"/>
      <c r="AW35" s="185"/>
      <c r="AX35" s="185"/>
      <c r="AY35" s="185"/>
      <c r="AZ35" s="185"/>
      <c r="BA35" s="185"/>
      <c r="BB35" s="185"/>
      <c r="BC35" s="185"/>
      <c r="BD35" s="185"/>
      <c r="BE35" s="185"/>
      <c r="BF35" s="185"/>
      <c r="BG35" s="185"/>
      <c r="BH35" s="185">
        <f t="shared" si="22"/>
        <v>0</v>
      </c>
      <c r="BI35" s="185"/>
      <c r="BJ35" s="185"/>
      <c r="BK35" s="185"/>
      <c r="BL35" s="185">
        <f>E35+W35+X35+Y35+Z35+AA35+AB35+AC35+AD35+AG35+AH35+AI35+AJ35+AK35+AL35+AM35+AN35+AO35+AP35+AQ35+AR35+AS35+AT35+AU35+AV35+AW35+AX35+AY35+AZ35+BA35+BB35+BC35+BD35</f>
        <v>0</v>
      </c>
      <c r="BM35" s="185">
        <f>AF67-BL35</f>
        <v>0</v>
      </c>
      <c r="BN35" s="185">
        <f>D35+BM35</f>
        <v>0.08</v>
      </c>
      <c r="BP35" s="117"/>
    </row>
    <row r="36" spans="1:68" ht="20.100000000000001" customHeight="1">
      <c r="A36" s="14" t="s">
        <v>225</v>
      </c>
      <c r="B36" s="143" t="s">
        <v>479</v>
      </c>
      <c r="C36" s="30" t="s">
        <v>203</v>
      </c>
      <c r="D36" s="185">
        <f>#REF!</f>
        <v>0.2</v>
      </c>
      <c r="E36" s="185">
        <f t="shared" si="4"/>
        <v>0</v>
      </c>
      <c r="F36" s="185">
        <f t="shared" si="21"/>
        <v>0</v>
      </c>
      <c r="G36" s="185">
        <f t="shared" si="8"/>
        <v>0</v>
      </c>
      <c r="H36" s="185">
        <f t="shared" si="12"/>
        <v>0</v>
      </c>
      <c r="I36" s="185"/>
      <c r="J36" s="185"/>
      <c r="K36" s="185"/>
      <c r="L36" s="185"/>
      <c r="M36" s="185"/>
      <c r="N36" s="185"/>
      <c r="O36" s="185"/>
      <c r="P36" s="185"/>
      <c r="Q36" s="185"/>
      <c r="R36" s="185"/>
      <c r="S36" s="185"/>
      <c r="T36" s="185"/>
      <c r="U36" s="185"/>
      <c r="V36" s="185">
        <f t="shared" si="13"/>
        <v>0.2</v>
      </c>
      <c r="W36" s="185"/>
      <c r="X36" s="185"/>
      <c r="Y36" s="185"/>
      <c r="Z36" s="185"/>
      <c r="AA36" s="185"/>
      <c r="AB36" s="185"/>
      <c r="AC36" s="185"/>
      <c r="AD36" s="185"/>
      <c r="AE36" s="185">
        <f t="shared" ref="AE36:AE66" si="27">SUM(AF36:AP36)</f>
        <v>0.2</v>
      </c>
      <c r="AF36" s="185"/>
      <c r="AG36" s="185">
        <f>D36-BL36</f>
        <v>0.2</v>
      </c>
      <c r="AH36" s="185"/>
      <c r="AI36" s="185"/>
      <c r="AJ36" s="185"/>
      <c r="AK36" s="185"/>
      <c r="AL36" s="185"/>
      <c r="AM36" s="185"/>
      <c r="AN36" s="185"/>
      <c r="AO36" s="185"/>
      <c r="AP36" s="185"/>
      <c r="AQ36" s="185"/>
      <c r="AR36" s="185"/>
      <c r="AS36" s="185"/>
      <c r="AT36" s="185"/>
      <c r="AU36" s="185"/>
      <c r="AV36" s="185"/>
      <c r="AW36" s="185"/>
      <c r="AX36" s="185"/>
      <c r="AY36" s="185"/>
      <c r="AZ36" s="185"/>
      <c r="BA36" s="185"/>
      <c r="BB36" s="185"/>
      <c r="BC36" s="185"/>
      <c r="BD36" s="185"/>
      <c r="BE36" s="185"/>
      <c r="BF36" s="185"/>
      <c r="BG36" s="185"/>
      <c r="BH36" s="185">
        <f t="shared" si="22"/>
        <v>0</v>
      </c>
      <c r="BI36" s="185"/>
      <c r="BJ36" s="185"/>
      <c r="BK36" s="185"/>
      <c r="BL36" s="185">
        <f>E36+W36+X36+Y36+Z36+AA36+AB36+AC36+AD36+AF36+AH36+AI36+AJ36+AK36+AL36+AM36+AN36+AO36+AP36+AQ36+AR36+AS36+AT36+AU36+AV36+AW36+AX36+AY36+AZ36+BA36+BB36+BC36+BD36+BE36+BF36+BG36+BH36</f>
        <v>0</v>
      </c>
      <c r="BM36" s="185">
        <f>AG67-BL36</f>
        <v>0</v>
      </c>
      <c r="BN36" s="185">
        <f t="shared" ref="BN36:BN45" si="28">D36+BM36</f>
        <v>0.2</v>
      </c>
      <c r="BP36" s="117"/>
    </row>
    <row r="37" spans="1:68" ht="20.100000000000001" customHeight="1">
      <c r="A37" s="14" t="s">
        <v>226</v>
      </c>
      <c r="B37" s="143" t="s">
        <v>480</v>
      </c>
      <c r="C37" s="30" t="s">
        <v>204</v>
      </c>
      <c r="D37" s="185">
        <f>#REF!</f>
        <v>1.74</v>
      </c>
      <c r="E37" s="185">
        <f t="shared" si="4"/>
        <v>0</v>
      </c>
      <c r="F37" s="185">
        <f t="shared" si="21"/>
        <v>0</v>
      </c>
      <c r="G37" s="185">
        <f t="shared" si="8"/>
        <v>0</v>
      </c>
      <c r="H37" s="185">
        <f t="shared" si="12"/>
        <v>0</v>
      </c>
      <c r="I37" s="185"/>
      <c r="J37" s="185"/>
      <c r="K37" s="185"/>
      <c r="L37" s="185"/>
      <c r="M37" s="185"/>
      <c r="N37" s="185"/>
      <c r="O37" s="185"/>
      <c r="P37" s="185"/>
      <c r="Q37" s="185"/>
      <c r="R37" s="185"/>
      <c r="S37" s="185"/>
      <c r="T37" s="185"/>
      <c r="U37" s="185"/>
      <c r="V37" s="185">
        <f t="shared" si="13"/>
        <v>1.74</v>
      </c>
      <c r="W37" s="185"/>
      <c r="X37" s="185"/>
      <c r="Y37" s="185"/>
      <c r="Z37" s="185"/>
      <c r="AA37" s="185"/>
      <c r="AB37" s="185"/>
      <c r="AC37" s="185"/>
      <c r="AD37" s="185"/>
      <c r="AE37" s="185">
        <f t="shared" si="27"/>
        <v>1.74</v>
      </c>
      <c r="AF37" s="185"/>
      <c r="AG37" s="185"/>
      <c r="AH37" s="185">
        <f>D37-BL37</f>
        <v>1.74</v>
      </c>
      <c r="AI37" s="185"/>
      <c r="AJ37" s="185"/>
      <c r="AK37" s="185"/>
      <c r="AL37" s="185"/>
      <c r="AM37" s="185"/>
      <c r="AN37" s="185"/>
      <c r="AO37" s="185"/>
      <c r="AP37" s="185"/>
      <c r="AQ37" s="185"/>
      <c r="AR37" s="185"/>
      <c r="AS37" s="185"/>
      <c r="AT37" s="185"/>
      <c r="AU37" s="185"/>
      <c r="AV37" s="185"/>
      <c r="AW37" s="185"/>
      <c r="AX37" s="185"/>
      <c r="AY37" s="185"/>
      <c r="AZ37" s="185"/>
      <c r="BA37" s="185"/>
      <c r="BB37" s="185"/>
      <c r="BC37" s="185"/>
      <c r="BD37" s="185"/>
      <c r="BE37" s="185"/>
      <c r="BF37" s="185"/>
      <c r="BG37" s="185"/>
      <c r="BH37" s="185">
        <f t="shared" si="22"/>
        <v>0</v>
      </c>
      <c r="BI37" s="185"/>
      <c r="BJ37" s="185"/>
      <c r="BK37" s="185"/>
      <c r="BL37" s="185">
        <f>E37+W37+X37+Y37+Z37+AA37+AB37+AC37+AD37+AF37+AG37+AI37+AJ37+AK37+AL37+AM37+AN37+AO37+AP37+AQ37+AR37+AS37+AT37+AU37+AV37+AW37+AX37+AY37+AZ37+BA37+BB37+BC37+BD37+BE37+BF37+BG37+BH37</f>
        <v>0</v>
      </c>
      <c r="BM37" s="185">
        <f>AH67-BL37</f>
        <v>0</v>
      </c>
      <c r="BN37" s="185">
        <f t="shared" si="28"/>
        <v>1.74</v>
      </c>
      <c r="BP37" s="117"/>
    </row>
    <row r="38" spans="1:68" ht="20.100000000000001" customHeight="1">
      <c r="A38" s="14" t="s">
        <v>227</v>
      </c>
      <c r="B38" s="143" t="s">
        <v>481</v>
      </c>
      <c r="C38" s="30" t="s">
        <v>205</v>
      </c>
      <c r="D38" s="185">
        <f>#REF!</f>
        <v>2.21</v>
      </c>
      <c r="E38" s="185">
        <f t="shared" si="4"/>
        <v>0</v>
      </c>
      <c r="F38" s="185">
        <f t="shared" si="21"/>
        <v>0</v>
      </c>
      <c r="G38" s="185">
        <f t="shared" si="8"/>
        <v>0</v>
      </c>
      <c r="H38" s="185">
        <f t="shared" si="12"/>
        <v>0</v>
      </c>
      <c r="I38" s="185"/>
      <c r="J38" s="185"/>
      <c r="K38" s="185"/>
      <c r="L38" s="185"/>
      <c r="M38" s="185"/>
      <c r="N38" s="185"/>
      <c r="O38" s="185"/>
      <c r="P38" s="185"/>
      <c r="Q38" s="185"/>
      <c r="R38" s="185"/>
      <c r="S38" s="185"/>
      <c r="T38" s="185"/>
      <c r="U38" s="185"/>
      <c r="V38" s="185">
        <f t="shared" si="13"/>
        <v>2.21</v>
      </c>
      <c r="W38" s="185"/>
      <c r="X38" s="185"/>
      <c r="Y38" s="185"/>
      <c r="Z38" s="185"/>
      <c r="AA38" s="185"/>
      <c r="AB38" s="185"/>
      <c r="AC38" s="185"/>
      <c r="AD38" s="185"/>
      <c r="AE38" s="185">
        <f t="shared" si="27"/>
        <v>2.21</v>
      </c>
      <c r="AF38" s="185"/>
      <c r="AG38" s="185"/>
      <c r="AH38" s="185"/>
      <c r="AI38" s="185">
        <f>D38-BL38</f>
        <v>2.21</v>
      </c>
      <c r="AJ38" s="185"/>
      <c r="AK38" s="185"/>
      <c r="AL38" s="185"/>
      <c r="AM38" s="185"/>
      <c r="AN38" s="185"/>
      <c r="AO38" s="185"/>
      <c r="AP38" s="185"/>
      <c r="AQ38" s="185"/>
      <c r="AR38" s="185"/>
      <c r="AS38" s="185"/>
      <c r="AT38" s="185"/>
      <c r="AU38" s="185"/>
      <c r="AV38" s="185"/>
      <c r="AW38" s="185"/>
      <c r="AX38" s="185"/>
      <c r="AY38" s="185"/>
      <c r="AZ38" s="185"/>
      <c r="BA38" s="185"/>
      <c r="BB38" s="185"/>
      <c r="BC38" s="185"/>
      <c r="BD38" s="185"/>
      <c r="BE38" s="185"/>
      <c r="BF38" s="185"/>
      <c r="BG38" s="185"/>
      <c r="BH38" s="185">
        <f t="shared" si="22"/>
        <v>0</v>
      </c>
      <c r="BI38" s="185"/>
      <c r="BJ38" s="185"/>
      <c r="BK38" s="185"/>
      <c r="BL38" s="185">
        <f>E38+W38+X38+Y38+Z38+AA38+AB38+AC38+AD38+AF38+AG38+AH38+AJ38+AK38+AL38+AM38+AN38+AO38+AP38+AQ38+AR38+AS38+AT38+AU38+AV38+AW38+AX38+AY38+AZ38+BA38+BB38+BC38+BD38+BE38+BF38+BG38+BH38</f>
        <v>0</v>
      </c>
      <c r="BM38" s="185">
        <f>AI67-BL38</f>
        <v>0</v>
      </c>
      <c r="BN38" s="185">
        <f t="shared" si="28"/>
        <v>2.21</v>
      </c>
      <c r="BP38" s="117"/>
    </row>
    <row r="39" spans="1:68" ht="20.100000000000001" customHeight="1">
      <c r="A39" s="14" t="s">
        <v>228</v>
      </c>
      <c r="B39" s="143" t="s">
        <v>482</v>
      </c>
      <c r="C39" s="30" t="s">
        <v>206</v>
      </c>
      <c r="D39" s="185"/>
      <c r="E39" s="185">
        <f t="shared" si="4"/>
        <v>0</v>
      </c>
      <c r="F39" s="185">
        <f t="shared" si="21"/>
        <v>0</v>
      </c>
      <c r="G39" s="185">
        <f t="shared" si="8"/>
        <v>0</v>
      </c>
      <c r="H39" s="185">
        <f t="shared" si="12"/>
        <v>0</v>
      </c>
      <c r="I39" s="185"/>
      <c r="J39" s="185"/>
      <c r="K39" s="185"/>
      <c r="L39" s="185"/>
      <c r="M39" s="185"/>
      <c r="N39" s="185"/>
      <c r="O39" s="185"/>
      <c r="P39" s="185"/>
      <c r="Q39" s="185"/>
      <c r="R39" s="185"/>
      <c r="S39" s="185"/>
      <c r="T39" s="185"/>
      <c r="U39" s="185"/>
      <c r="V39" s="185">
        <f t="shared" si="13"/>
        <v>0</v>
      </c>
      <c r="W39" s="185"/>
      <c r="X39" s="185"/>
      <c r="Y39" s="185"/>
      <c r="Z39" s="185"/>
      <c r="AA39" s="185"/>
      <c r="AB39" s="185"/>
      <c r="AC39" s="185"/>
      <c r="AD39" s="185"/>
      <c r="AE39" s="185">
        <f t="shared" si="27"/>
        <v>0</v>
      </c>
      <c r="AF39" s="185"/>
      <c r="AG39" s="185"/>
      <c r="AH39" s="185"/>
      <c r="AI39" s="185"/>
      <c r="AJ39" s="185">
        <f>D39-BL39</f>
        <v>0</v>
      </c>
      <c r="AK39" s="185"/>
      <c r="AL39" s="185"/>
      <c r="AM39" s="185"/>
      <c r="AN39" s="185"/>
      <c r="AO39" s="185"/>
      <c r="AP39" s="185"/>
      <c r="AQ39" s="185"/>
      <c r="AR39" s="185"/>
      <c r="AS39" s="185"/>
      <c r="AT39" s="185"/>
      <c r="AU39" s="185"/>
      <c r="AV39" s="185"/>
      <c r="AW39" s="185"/>
      <c r="AX39" s="185"/>
      <c r="AY39" s="185"/>
      <c r="AZ39" s="185"/>
      <c r="BA39" s="185"/>
      <c r="BB39" s="185"/>
      <c r="BC39" s="185"/>
      <c r="BD39" s="185"/>
      <c r="BE39" s="185"/>
      <c r="BF39" s="185"/>
      <c r="BG39" s="185"/>
      <c r="BH39" s="185">
        <f t="shared" si="22"/>
        <v>0</v>
      </c>
      <c r="BI39" s="185"/>
      <c r="BJ39" s="185"/>
      <c r="BK39" s="185"/>
      <c r="BL39" s="185">
        <f>E39+W39+X39+Y39+Z39+AA39+AB39+AC39+AD39+AQ39+AR39+AS39+AT39+AU39+AV39+AW39+AX39+AY39+AZ39+BA39+BB39+BC39+BD39+BE39+BF39+BG39+BH39+AF39+AG39+AH39+AI39+AK39+AL39+AM39+AN39+AO39+AP39</f>
        <v>0</v>
      </c>
      <c r="BM39" s="185">
        <f>AJ67-BL39</f>
        <v>0</v>
      </c>
      <c r="BN39" s="185">
        <f t="shared" si="28"/>
        <v>0</v>
      </c>
      <c r="BP39" s="117"/>
    </row>
    <row r="40" spans="1:68" ht="20.100000000000001" customHeight="1">
      <c r="A40" s="14" t="s">
        <v>229</v>
      </c>
      <c r="B40" s="143" t="s">
        <v>483</v>
      </c>
      <c r="C40" s="30" t="s">
        <v>207</v>
      </c>
      <c r="D40" s="185"/>
      <c r="E40" s="185">
        <f t="shared" si="4"/>
        <v>0</v>
      </c>
      <c r="F40" s="185">
        <f t="shared" si="21"/>
        <v>0</v>
      </c>
      <c r="G40" s="185">
        <f t="shared" si="8"/>
        <v>0</v>
      </c>
      <c r="H40" s="185">
        <f t="shared" si="12"/>
        <v>0</v>
      </c>
      <c r="I40" s="185"/>
      <c r="J40" s="185"/>
      <c r="K40" s="185"/>
      <c r="L40" s="185"/>
      <c r="M40" s="185"/>
      <c r="N40" s="185"/>
      <c r="O40" s="185"/>
      <c r="P40" s="185"/>
      <c r="Q40" s="185"/>
      <c r="R40" s="185"/>
      <c r="S40" s="185"/>
      <c r="T40" s="185"/>
      <c r="U40" s="185"/>
      <c r="V40" s="185">
        <f t="shared" si="13"/>
        <v>0</v>
      </c>
      <c r="W40" s="185"/>
      <c r="X40" s="185"/>
      <c r="Y40" s="185"/>
      <c r="Z40" s="185"/>
      <c r="AA40" s="185"/>
      <c r="AB40" s="185"/>
      <c r="AC40" s="185"/>
      <c r="AD40" s="185"/>
      <c r="AE40" s="185">
        <f t="shared" si="27"/>
        <v>0</v>
      </c>
      <c r="AF40" s="185"/>
      <c r="AG40" s="185"/>
      <c r="AH40" s="185"/>
      <c r="AI40" s="185"/>
      <c r="AJ40" s="185"/>
      <c r="AK40" s="185">
        <f>D40-BL40</f>
        <v>0</v>
      </c>
      <c r="AL40" s="185"/>
      <c r="AM40" s="185"/>
      <c r="AN40" s="185"/>
      <c r="AO40" s="185"/>
      <c r="AP40" s="185"/>
      <c r="AQ40" s="185"/>
      <c r="AR40" s="185"/>
      <c r="AS40" s="185"/>
      <c r="AT40" s="185"/>
      <c r="AU40" s="185"/>
      <c r="AV40" s="185"/>
      <c r="AW40" s="185"/>
      <c r="AX40" s="185"/>
      <c r="AY40" s="185"/>
      <c r="AZ40" s="185"/>
      <c r="BA40" s="185"/>
      <c r="BB40" s="185"/>
      <c r="BC40" s="185"/>
      <c r="BD40" s="185"/>
      <c r="BE40" s="185"/>
      <c r="BF40" s="185"/>
      <c r="BG40" s="185"/>
      <c r="BH40" s="185">
        <f t="shared" si="22"/>
        <v>0</v>
      </c>
      <c r="BI40" s="185"/>
      <c r="BJ40" s="185"/>
      <c r="BK40" s="185"/>
      <c r="BL40" s="185">
        <f>E40+W40+X40+Y40+Z40+AA40+AB40+AC40+AD40+AF40+AG40+AH40+AI40+AJ40+AL40+AM40+AN40+AO40+AP40+AQ40+AR40+AS40+AT40+AU40+AV40+AW40+AX40+AY40+AZ40+BA40+BB40+BC40+BD40+BE40+BF40+BG40+BH40</f>
        <v>0</v>
      </c>
      <c r="BM40" s="185">
        <f>AK67-BL40</f>
        <v>0</v>
      </c>
      <c r="BN40" s="185">
        <f t="shared" si="28"/>
        <v>0</v>
      </c>
      <c r="BP40" s="117"/>
    </row>
    <row r="41" spans="1:68" ht="20.100000000000001" customHeight="1">
      <c r="A41" s="14" t="s">
        <v>230</v>
      </c>
      <c r="B41" s="143" t="s">
        <v>484</v>
      </c>
      <c r="C41" s="30" t="s">
        <v>199</v>
      </c>
      <c r="D41" s="185">
        <f>#REF!</f>
        <v>47.15</v>
      </c>
      <c r="E41" s="185">
        <f t="shared" si="4"/>
        <v>0</v>
      </c>
      <c r="F41" s="185">
        <f t="shared" si="21"/>
        <v>0</v>
      </c>
      <c r="G41" s="185">
        <f t="shared" si="8"/>
        <v>0</v>
      </c>
      <c r="H41" s="185">
        <f t="shared" si="12"/>
        <v>0</v>
      </c>
      <c r="I41" s="185"/>
      <c r="J41" s="185"/>
      <c r="K41" s="185"/>
      <c r="L41" s="185"/>
      <c r="M41" s="185"/>
      <c r="N41" s="185"/>
      <c r="O41" s="185"/>
      <c r="P41" s="185"/>
      <c r="Q41" s="185"/>
      <c r="R41" s="185"/>
      <c r="S41" s="185"/>
      <c r="T41" s="185"/>
      <c r="U41" s="185"/>
      <c r="V41" s="185">
        <f t="shared" si="13"/>
        <v>47.149999999999991</v>
      </c>
      <c r="W41" s="185"/>
      <c r="X41" s="185"/>
      <c r="Y41" s="185"/>
      <c r="Z41" s="185"/>
      <c r="AA41" s="185"/>
      <c r="AB41" s="185"/>
      <c r="AC41" s="185"/>
      <c r="AD41" s="185"/>
      <c r="AE41" s="185">
        <f t="shared" si="27"/>
        <v>44.379999999999995</v>
      </c>
      <c r="AF41" s="185"/>
      <c r="AG41" s="185"/>
      <c r="AH41" s="185"/>
      <c r="AI41" s="185"/>
      <c r="AJ41" s="185"/>
      <c r="AK41" s="185"/>
      <c r="AL41" s="185">
        <f>D41-BL41</f>
        <v>44.379999999999995</v>
      </c>
      <c r="AM41" s="185"/>
      <c r="AN41" s="185"/>
      <c r="AO41" s="185"/>
      <c r="AP41" s="185"/>
      <c r="AQ41" s="185"/>
      <c r="AR41" s="185"/>
      <c r="AS41" s="185"/>
      <c r="AT41" s="185">
        <v>0.04</v>
      </c>
      <c r="AU41" s="185"/>
      <c r="AV41" s="185"/>
      <c r="AW41" s="185"/>
      <c r="AX41" s="185"/>
      <c r="AY41" s="185"/>
      <c r="AZ41" s="185"/>
      <c r="BA41" s="185"/>
      <c r="BB41" s="185"/>
      <c r="BC41" s="185"/>
      <c r="BD41" s="185"/>
      <c r="BE41" s="185"/>
      <c r="BF41" s="185">
        <v>2.73</v>
      </c>
      <c r="BG41" s="185"/>
      <c r="BH41" s="185">
        <f t="shared" si="22"/>
        <v>0</v>
      </c>
      <c r="BI41" s="185"/>
      <c r="BJ41" s="185"/>
      <c r="BK41" s="185"/>
      <c r="BL41" s="185">
        <f>E41+W41+X41+Y41+Z41+AA41+AB41+AC41+AD41+AF41+AG41+AH41+AI41+AJ41+AK41+AM41+AN41+AO41+AP41+AQ41+AR41+AS41+AT41+AU41+AV41+AW41+AX41+AY41+AZ41+BA41+BB41+BC41+BD41+BE41+BF41+BG41+BH41</f>
        <v>2.77</v>
      </c>
      <c r="BM41" s="185">
        <f>AL67-BL41</f>
        <v>-2.2199999999999998</v>
      </c>
      <c r="BN41" s="185">
        <f t="shared" si="28"/>
        <v>44.93</v>
      </c>
      <c r="BP41" s="117"/>
    </row>
    <row r="42" spans="1:68" ht="20.100000000000001" customHeight="1">
      <c r="A42" s="14" t="s">
        <v>231</v>
      </c>
      <c r="B42" s="143" t="s">
        <v>485</v>
      </c>
      <c r="C42" s="30" t="s">
        <v>200</v>
      </c>
      <c r="D42" s="185">
        <f>#REF!</f>
        <v>35.22</v>
      </c>
      <c r="E42" s="185">
        <f t="shared" si="4"/>
        <v>0</v>
      </c>
      <c r="F42" s="185">
        <f t="shared" si="21"/>
        <v>0</v>
      </c>
      <c r="G42" s="185">
        <f t="shared" si="8"/>
        <v>0</v>
      </c>
      <c r="H42" s="185">
        <f t="shared" si="12"/>
        <v>0</v>
      </c>
      <c r="I42" s="185"/>
      <c r="J42" s="185"/>
      <c r="K42" s="185"/>
      <c r="L42" s="185"/>
      <c r="M42" s="185"/>
      <c r="N42" s="185"/>
      <c r="O42" s="185"/>
      <c r="P42" s="185"/>
      <c r="Q42" s="185"/>
      <c r="R42" s="185"/>
      <c r="S42" s="185"/>
      <c r="T42" s="185"/>
      <c r="U42" s="185"/>
      <c r="V42" s="185">
        <f t="shared" si="13"/>
        <v>35.22</v>
      </c>
      <c r="W42" s="185"/>
      <c r="X42" s="185"/>
      <c r="Y42" s="185"/>
      <c r="Z42" s="185"/>
      <c r="AA42" s="185"/>
      <c r="AB42" s="185"/>
      <c r="AC42" s="185"/>
      <c r="AD42" s="185"/>
      <c r="AE42" s="185">
        <f t="shared" si="27"/>
        <v>35.22</v>
      </c>
      <c r="AF42" s="185"/>
      <c r="AG42" s="185"/>
      <c r="AH42" s="185"/>
      <c r="AI42" s="185"/>
      <c r="AJ42" s="185"/>
      <c r="AK42" s="185"/>
      <c r="AL42" s="185"/>
      <c r="AM42" s="185">
        <f>D42-BL42</f>
        <v>35.22</v>
      </c>
      <c r="AN42" s="185"/>
      <c r="AO42" s="185"/>
      <c r="AP42" s="185"/>
      <c r="AQ42" s="185"/>
      <c r="AR42" s="185"/>
      <c r="AS42" s="185"/>
      <c r="AT42" s="185"/>
      <c r="AU42" s="185"/>
      <c r="AV42" s="185"/>
      <c r="AW42" s="185"/>
      <c r="AX42" s="185"/>
      <c r="AY42" s="185"/>
      <c r="AZ42" s="185"/>
      <c r="BA42" s="185"/>
      <c r="BB42" s="185"/>
      <c r="BC42" s="185"/>
      <c r="BD42" s="185"/>
      <c r="BE42" s="185"/>
      <c r="BF42" s="185"/>
      <c r="BG42" s="185"/>
      <c r="BH42" s="185">
        <f t="shared" si="22"/>
        <v>0</v>
      </c>
      <c r="BI42" s="185"/>
      <c r="BJ42" s="185"/>
      <c r="BK42" s="185"/>
      <c r="BL42" s="185">
        <f>E42+W42+X42+Y42+Z42+AA42+AB42+AC42+AD42+AF42+AG42+AH42+AI42+AJ42+AK42+AL42+AN42+AO42+AP42+AQ42+AR42+AS42+AT42+AU42+AV42+AW42+AX42+AY42+AZ42+BA42+BB42+BC42+BD42+BE42+BF42+BG42+BH42</f>
        <v>0</v>
      </c>
      <c r="BM42" s="185">
        <f>AM67-BL42</f>
        <v>0</v>
      </c>
      <c r="BN42" s="185">
        <f t="shared" si="28"/>
        <v>35.22</v>
      </c>
      <c r="BP42" s="117"/>
    </row>
    <row r="43" spans="1:68" ht="20.100000000000001" customHeight="1">
      <c r="A43" s="14" t="s">
        <v>232</v>
      </c>
      <c r="B43" s="143" t="s">
        <v>486</v>
      </c>
      <c r="C43" s="30" t="s">
        <v>223</v>
      </c>
      <c r="D43" s="185"/>
      <c r="E43" s="185">
        <f t="shared" si="4"/>
        <v>0</v>
      </c>
      <c r="F43" s="185">
        <f t="shared" si="21"/>
        <v>0</v>
      </c>
      <c r="G43" s="185">
        <f t="shared" si="8"/>
        <v>0</v>
      </c>
      <c r="H43" s="185">
        <f t="shared" si="12"/>
        <v>0</v>
      </c>
      <c r="I43" s="185"/>
      <c r="J43" s="185"/>
      <c r="K43" s="185"/>
      <c r="L43" s="185"/>
      <c r="M43" s="185"/>
      <c r="N43" s="185"/>
      <c r="O43" s="185"/>
      <c r="P43" s="185"/>
      <c r="Q43" s="185"/>
      <c r="R43" s="185"/>
      <c r="S43" s="185"/>
      <c r="T43" s="185"/>
      <c r="U43" s="185"/>
      <c r="V43" s="185">
        <f t="shared" si="13"/>
        <v>0</v>
      </c>
      <c r="W43" s="185"/>
      <c r="X43" s="185"/>
      <c r="Y43" s="185"/>
      <c r="Z43" s="185"/>
      <c r="AA43" s="185"/>
      <c r="AB43" s="185"/>
      <c r="AC43" s="185"/>
      <c r="AD43" s="185"/>
      <c r="AE43" s="185">
        <f t="shared" si="27"/>
        <v>0</v>
      </c>
      <c r="AF43" s="185"/>
      <c r="AG43" s="185"/>
      <c r="AH43" s="185"/>
      <c r="AI43" s="185"/>
      <c r="AJ43" s="185"/>
      <c r="AK43" s="185"/>
      <c r="AL43" s="185"/>
      <c r="AM43" s="185"/>
      <c r="AN43" s="185">
        <f>D43-BL43</f>
        <v>0</v>
      </c>
      <c r="AO43" s="185"/>
      <c r="AP43" s="185"/>
      <c r="AQ43" s="185"/>
      <c r="AR43" s="185"/>
      <c r="AS43" s="185"/>
      <c r="AT43" s="185"/>
      <c r="AU43" s="185"/>
      <c r="AV43" s="185"/>
      <c r="AW43" s="185"/>
      <c r="AX43" s="185"/>
      <c r="AY43" s="185"/>
      <c r="AZ43" s="185"/>
      <c r="BA43" s="185"/>
      <c r="BB43" s="185"/>
      <c r="BC43" s="185"/>
      <c r="BD43" s="185"/>
      <c r="BE43" s="185"/>
      <c r="BF43" s="185"/>
      <c r="BG43" s="185"/>
      <c r="BH43" s="185">
        <f t="shared" si="22"/>
        <v>0</v>
      </c>
      <c r="BI43" s="185"/>
      <c r="BJ43" s="185"/>
      <c r="BK43" s="185"/>
      <c r="BL43" s="185">
        <f>E43+W43+X43+Y43+Z43+AA43+AB43+AC43+AD43+AF43+AG43+AH43+AI43+AJ43+AK43+AL43+AM43+AO43+AP43+AQ43+AR43+AS43+AT43+AU43+AV43+AW43+AX43+AY43+AZ43+BA43+BB43+BC43+BD43+BE43+BF43+BG43+BH43</f>
        <v>0</v>
      </c>
      <c r="BM43" s="185">
        <f>AN67-BL43</f>
        <v>0</v>
      </c>
      <c r="BN43" s="185">
        <f t="shared" si="28"/>
        <v>0</v>
      </c>
      <c r="BP43" s="117"/>
    </row>
    <row r="44" spans="1:68" ht="20.100000000000001" customHeight="1">
      <c r="A44" s="14" t="s">
        <v>233</v>
      </c>
      <c r="B44" s="143" t="s">
        <v>487</v>
      </c>
      <c r="C44" s="30" t="s">
        <v>201</v>
      </c>
      <c r="D44" s="185">
        <f>#REF!</f>
        <v>0.11</v>
      </c>
      <c r="E44" s="185">
        <f t="shared" si="4"/>
        <v>0</v>
      </c>
      <c r="F44" s="185">
        <f t="shared" si="21"/>
        <v>0</v>
      </c>
      <c r="G44" s="185">
        <f t="shared" si="8"/>
        <v>0</v>
      </c>
      <c r="H44" s="185">
        <f t="shared" si="12"/>
        <v>0</v>
      </c>
      <c r="I44" s="185"/>
      <c r="J44" s="185"/>
      <c r="K44" s="185"/>
      <c r="L44" s="185"/>
      <c r="M44" s="185"/>
      <c r="N44" s="185"/>
      <c r="O44" s="185"/>
      <c r="P44" s="185"/>
      <c r="Q44" s="185"/>
      <c r="R44" s="185"/>
      <c r="S44" s="185"/>
      <c r="T44" s="185"/>
      <c r="U44" s="185"/>
      <c r="V44" s="185">
        <f t="shared" si="13"/>
        <v>0.11</v>
      </c>
      <c r="W44" s="185"/>
      <c r="X44" s="185"/>
      <c r="Y44" s="185"/>
      <c r="Z44" s="185"/>
      <c r="AA44" s="185"/>
      <c r="AB44" s="185"/>
      <c r="AC44" s="185"/>
      <c r="AD44" s="185"/>
      <c r="AE44" s="185">
        <f t="shared" si="27"/>
        <v>0.11</v>
      </c>
      <c r="AF44" s="185"/>
      <c r="AG44" s="185"/>
      <c r="AH44" s="185"/>
      <c r="AI44" s="185"/>
      <c r="AJ44" s="185"/>
      <c r="AK44" s="185"/>
      <c r="AL44" s="185"/>
      <c r="AM44" s="185"/>
      <c r="AN44" s="185"/>
      <c r="AO44" s="185">
        <f>D44-BL44</f>
        <v>0.11</v>
      </c>
      <c r="AP44" s="185"/>
      <c r="AQ44" s="185"/>
      <c r="AR44" s="185"/>
      <c r="AS44" s="185"/>
      <c r="AT44" s="185"/>
      <c r="AU44" s="185"/>
      <c r="AV44" s="185"/>
      <c r="AW44" s="185"/>
      <c r="AX44" s="185"/>
      <c r="AY44" s="185"/>
      <c r="AZ44" s="185"/>
      <c r="BA44" s="185"/>
      <c r="BB44" s="185"/>
      <c r="BC44" s="185"/>
      <c r="BD44" s="185"/>
      <c r="BE44" s="185"/>
      <c r="BF44" s="185"/>
      <c r="BG44" s="185"/>
      <c r="BH44" s="185">
        <f t="shared" si="22"/>
        <v>0</v>
      </c>
      <c r="BI44" s="185"/>
      <c r="BJ44" s="185"/>
      <c r="BK44" s="185"/>
      <c r="BL44" s="185">
        <f>E44+W44+X44+Y44+Z44+AA44+AB44+AC44+AD44+AF44+AG44+AH44+AI44+AJ44+AK44+AL44+AM44+AN44+AP44+AQ44+AR44+AS44+AT44+AU44+AV44+AW44+AX44+AY44+AZ44+BA44+BB44+BC44+BD44+BE44+BF44+BG44+BH44</f>
        <v>0</v>
      </c>
      <c r="BM44" s="185">
        <f>AO67-BL44</f>
        <v>0</v>
      </c>
      <c r="BN44" s="185">
        <f t="shared" si="28"/>
        <v>0.11</v>
      </c>
      <c r="BP44" s="117"/>
    </row>
    <row r="45" spans="1:68" ht="20.100000000000001" customHeight="1">
      <c r="A45" s="14" t="s">
        <v>234</v>
      </c>
      <c r="B45" s="143" t="s">
        <v>488</v>
      </c>
      <c r="C45" s="30" t="s">
        <v>208</v>
      </c>
      <c r="D45" s="185"/>
      <c r="E45" s="185">
        <f t="shared" si="4"/>
        <v>0</v>
      </c>
      <c r="F45" s="185">
        <f t="shared" si="21"/>
        <v>0</v>
      </c>
      <c r="G45" s="185">
        <f t="shared" si="8"/>
        <v>0</v>
      </c>
      <c r="H45" s="185">
        <f t="shared" si="12"/>
        <v>0</v>
      </c>
      <c r="I45" s="185"/>
      <c r="J45" s="185"/>
      <c r="K45" s="185"/>
      <c r="L45" s="185"/>
      <c r="M45" s="185"/>
      <c r="N45" s="185"/>
      <c r="O45" s="185"/>
      <c r="P45" s="185"/>
      <c r="Q45" s="185"/>
      <c r="R45" s="185"/>
      <c r="S45" s="185"/>
      <c r="T45" s="185"/>
      <c r="U45" s="185"/>
      <c r="V45" s="185">
        <f t="shared" si="13"/>
        <v>0</v>
      </c>
      <c r="W45" s="185"/>
      <c r="X45" s="185"/>
      <c r="Y45" s="185"/>
      <c r="Z45" s="185"/>
      <c r="AA45" s="185"/>
      <c r="AB45" s="185"/>
      <c r="AC45" s="185"/>
      <c r="AD45" s="185"/>
      <c r="AE45" s="185">
        <f t="shared" si="27"/>
        <v>0</v>
      </c>
      <c r="AF45" s="185"/>
      <c r="AG45" s="185"/>
      <c r="AH45" s="185"/>
      <c r="AI45" s="185"/>
      <c r="AJ45" s="185"/>
      <c r="AK45" s="185"/>
      <c r="AL45" s="185"/>
      <c r="AM45" s="185"/>
      <c r="AN45" s="185"/>
      <c r="AO45" s="185"/>
      <c r="AP45" s="185">
        <f>D45-BL45</f>
        <v>0</v>
      </c>
      <c r="AQ45" s="185"/>
      <c r="AR45" s="185"/>
      <c r="AS45" s="185"/>
      <c r="AT45" s="185"/>
      <c r="AU45" s="185"/>
      <c r="AV45" s="185"/>
      <c r="AW45" s="185"/>
      <c r="AX45" s="185"/>
      <c r="AY45" s="185"/>
      <c r="AZ45" s="185"/>
      <c r="BA45" s="185"/>
      <c r="BB45" s="185"/>
      <c r="BC45" s="185"/>
      <c r="BD45" s="185"/>
      <c r="BE45" s="185"/>
      <c r="BF45" s="185"/>
      <c r="BG45" s="185"/>
      <c r="BH45" s="185">
        <f t="shared" si="22"/>
        <v>0</v>
      </c>
      <c r="BI45" s="185"/>
      <c r="BJ45" s="185"/>
      <c r="BK45" s="185"/>
      <c r="BL45" s="185">
        <f>E45+W45+X45+Y45+Z45+AA45+AB45+AC45+AD45+AF45+AG45+AH45+AI45+AJ45+AK45+AL45+AM45+AN45+AO45+AQ45+AR45+AS45+AT45+AU45+AV45+AW45+AX45+AY45+AZ45+BA45+BB45+BC45+BD45+BE45+BF45+BG45+BH45</f>
        <v>0</v>
      </c>
      <c r="BM45" s="185">
        <f>AP67-BL45</f>
        <v>0</v>
      </c>
      <c r="BN45" s="185">
        <f t="shared" si="28"/>
        <v>0</v>
      </c>
      <c r="BP45" s="117"/>
    </row>
    <row r="46" spans="1:68" ht="20.100000000000001" customHeight="1">
      <c r="A46" s="19" t="s">
        <v>73</v>
      </c>
      <c r="B46" s="144" t="s">
        <v>74</v>
      </c>
      <c r="C46" s="30" t="s">
        <v>75</v>
      </c>
      <c r="D46" s="185"/>
      <c r="E46" s="185">
        <f t="shared" si="4"/>
        <v>0</v>
      </c>
      <c r="F46" s="185">
        <f t="shared" si="21"/>
        <v>0</v>
      </c>
      <c r="G46" s="185">
        <f t="shared" si="8"/>
        <v>0</v>
      </c>
      <c r="H46" s="185">
        <f t="shared" si="12"/>
        <v>0</v>
      </c>
      <c r="I46" s="185"/>
      <c r="J46" s="185"/>
      <c r="K46" s="185"/>
      <c r="L46" s="185"/>
      <c r="M46" s="185"/>
      <c r="N46" s="185"/>
      <c r="O46" s="185"/>
      <c r="P46" s="185"/>
      <c r="Q46" s="185"/>
      <c r="R46" s="185"/>
      <c r="S46" s="185"/>
      <c r="T46" s="185"/>
      <c r="U46" s="185"/>
      <c r="V46" s="185">
        <f t="shared" si="13"/>
        <v>0</v>
      </c>
      <c r="W46" s="185"/>
      <c r="X46" s="185"/>
      <c r="Y46" s="185"/>
      <c r="Z46" s="185"/>
      <c r="AA46" s="185"/>
      <c r="AB46" s="185"/>
      <c r="AC46" s="185"/>
      <c r="AD46" s="185"/>
      <c r="AE46" s="185">
        <f t="shared" si="27"/>
        <v>0</v>
      </c>
      <c r="AF46" s="185"/>
      <c r="AG46" s="185"/>
      <c r="AH46" s="185"/>
      <c r="AI46" s="185"/>
      <c r="AJ46" s="185"/>
      <c r="AK46" s="185"/>
      <c r="AL46" s="185"/>
      <c r="AM46" s="185"/>
      <c r="AN46" s="185"/>
      <c r="AO46" s="185"/>
      <c r="AP46" s="185"/>
      <c r="AQ46" s="185">
        <f>D46-BL46</f>
        <v>0</v>
      </c>
      <c r="AR46" s="185"/>
      <c r="AS46" s="185"/>
      <c r="AT46" s="185"/>
      <c r="AU46" s="185"/>
      <c r="AV46" s="185"/>
      <c r="AW46" s="185"/>
      <c r="AX46" s="185"/>
      <c r="AY46" s="185"/>
      <c r="AZ46" s="185"/>
      <c r="BA46" s="185"/>
      <c r="BB46" s="185"/>
      <c r="BC46" s="185"/>
      <c r="BD46" s="185"/>
      <c r="BE46" s="185"/>
      <c r="BF46" s="185"/>
      <c r="BG46" s="185"/>
      <c r="BH46" s="185">
        <f t="shared" si="22"/>
        <v>0</v>
      </c>
      <c r="BI46" s="185"/>
      <c r="BJ46" s="185"/>
      <c r="BK46" s="185"/>
      <c r="BL46" s="185">
        <f>E46+W46+X46+Y46+Z46+AA46+AB46+AC46+AD46+AE46+AR46+AS46+AT46+AU46+AV46+AW46+AX46+AY46+AZ46+BA46+BB46+BC46+BD46+BE46+BF46+BG46+BH46</f>
        <v>0</v>
      </c>
      <c r="BM46" s="185">
        <f>AQ67-BL46</f>
        <v>0</v>
      </c>
      <c r="BN46" s="185">
        <f>D46+BM46</f>
        <v>0</v>
      </c>
      <c r="BP46" s="117"/>
    </row>
    <row r="47" spans="1:68" ht="20.100000000000001" customHeight="1">
      <c r="A47" s="19" t="s">
        <v>76</v>
      </c>
      <c r="B47" s="144" t="s">
        <v>77</v>
      </c>
      <c r="C47" s="30" t="s">
        <v>78</v>
      </c>
      <c r="D47" s="185"/>
      <c r="E47" s="185">
        <f t="shared" si="4"/>
        <v>0</v>
      </c>
      <c r="F47" s="185">
        <f t="shared" si="21"/>
        <v>0</v>
      </c>
      <c r="G47" s="185">
        <f t="shared" si="8"/>
        <v>0</v>
      </c>
      <c r="H47" s="185">
        <f t="shared" si="12"/>
        <v>0</v>
      </c>
      <c r="I47" s="185"/>
      <c r="J47" s="185"/>
      <c r="K47" s="185"/>
      <c r="L47" s="185"/>
      <c r="M47" s="185"/>
      <c r="N47" s="185"/>
      <c r="O47" s="185"/>
      <c r="P47" s="185"/>
      <c r="Q47" s="185"/>
      <c r="R47" s="185"/>
      <c r="S47" s="185"/>
      <c r="T47" s="185"/>
      <c r="U47" s="185"/>
      <c r="V47" s="185">
        <f t="shared" si="13"/>
        <v>0</v>
      </c>
      <c r="W47" s="185"/>
      <c r="X47" s="185"/>
      <c r="Y47" s="185"/>
      <c r="Z47" s="185"/>
      <c r="AA47" s="185"/>
      <c r="AB47" s="185"/>
      <c r="AC47" s="185"/>
      <c r="AD47" s="185"/>
      <c r="AE47" s="185">
        <f t="shared" si="27"/>
        <v>0</v>
      </c>
      <c r="AF47" s="185"/>
      <c r="AG47" s="185"/>
      <c r="AH47" s="185"/>
      <c r="AI47" s="185"/>
      <c r="AJ47" s="185"/>
      <c r="AK47" s="185"/>
      <c r="AL47" s="185"/>
      <c r="AM47" s="185"/>
      <c r="AN47" s="185"/>
      <c r="AO47" s="185"/>
      <c r="AP47" s="185"/>
      <c r="AQ47" s="185"/>
      <c r="AR47" s="185">
        <f>D47-BL47</f>
        <v>0</v>
      </c>
      <c r="AS47" s="185"/>
      <c r="AT47" s="185"/>
      <c r="AU47" s="185"/>
      <c r="AV47" s="185"/>
      <c r="AW47" s="185"/>
      <c r="AX47" s="185"/>
      <c r="AY47" s="185"/>
      <c r="AZ47" s="185"/>
      <c r="BA47" s="185"/>
      <c r="BB47" s="185"/>
      <c r="BC47" s="185"/>
      <c r="BD47" s="185"/>
      <c r="BE47" s="185"/>
      <c r="BF47" s="185"/>
      <c r="BG47" s="185"/>
      <c r="BH47" s="185">
        <f t="shared" si="22"/>
        <v>0</v>
      </c>
      <c r="BI47" s="185"/>
      <c r="BJ47" s="185"/>
      <c r="BK47" s="185"/>
      <c r="BL47" s="185">
        <f>E47+W47+X47+Y47+Z47+AA47+AB47+AC47+AD47+AE47+AQ47+AS47+AT47+AU47+AV47+AW47+AX47+AY47+AZ47+BA47+BB47+BC47+BD47+BE47+BF47+BG47+BH47</f>
        <v>0</v>
      </c>
      <c r="BM47" s="185">
        <f>AR67-BL47</f>
        <v>0</v>
      </c>
      <c r="BN47" s="185">
        <f t="shared" ref="BN47:BN62" si="29">D47+BM47</f>
        <v>0</v>
      </c>
      <c r="BP47" s="117"/>
    </row>
    <row r="48" spans="1:68" ht="20.100000000000001" customHeight="1">
      <c r="A48" s="19" t="s">
        <v>79</v>
      </c>
      <c r="B48" s="144" t="s">
        <v>80</v>
      </c>
      <c r="C48" s="30" t="s">
        <v>81</v>
      </c>
      <c r="D48" s="185">
        <f>#REF!</f>
        <v>0.21</v>
      </c>
      <c r="E48" s="185">
        <f t="shared" si="4"/>
        <v>0</v>
      </c>
      <c r="F48" s="185">
        <f t="shared" si="21"/>
        <v>0</v>
      </c>
      <c r="G48" s="185">
        <f t="shared" si="8"/>
        <v>0</v>
      </c>
      <c r="H48" s="185">
        <f t="shared" si="12"/>
        <v>0</v>
      </c>
      <c r="I48" s="185"/>
      <c r="J48" s="185"/>
      <c r="K48" s="185"/>
      <c r="L48" s="185"/>
      <c r="M48" s="185"/>
      <c r="N48" s="185"/>
      <c r="O48" s="185"/>
      <c r="P48" s="185"/>
      <c r="Q48" s="185"/>
      <c r="R48" s="185"/>
      <c r="S48" s="185"/>
      <c r="T48" s="185"/>
      <c r="U48" s="185"/>
      <c r="V48" s="185">
        <f t="shared" si="13"/>
        <v>0.21</v>
      </c>
      <c r="W48" s="185"/>
      <c r="X48" s="185"/>
      <c r="Y48" s="185"/>
      <c r="Z48" s="185"/>
      <c r="AA48" s="185"/>
      <c r="AB48" s="185"/>
      <c r="AC48" s="185"/>
      <c r="AD48" s="185"/>
      <c r="AE48" s="185">
        <f t="shared" si="27"/>
        <v>0</v>
      </c>
      <c r="AF48" s="185"/>
      <c r="AG48" s="185"/>
      <c r="AH48" s="185"/>
      <c r="AI48" s="185"/>
      <c r="AJ48" s="185"/>
      <c r="AK48" s="185"/>
      <c r="AL48" s="185"/>
      <c r="AM48" s="185"/>
      <c r="AN48" s="185"/>
      <c r="AO48" s="185"/>
      <c r="AP48" s="185"/>
      <c r="AQ48" s="185"/>
      <c r="AR48" s="185"/>
      <c r="AS48" s="185">
        <f>D48-BL48</f>
        <v>0.21</v>
      </c>
      <c r="AT48" s="185"/>
      <c r="AU48" s="185"/>
      <c r="AV48" s="185"/>
      <c r="AW48" s="185"/>
      <c r="AX48" s="185"/>
      <c r="AY48" s="185"/>
      <c r="AZ48" s="185"/>
      <c r="BA48" s="185"/>
      <c r="BB48" s="185"/>
      <c r="BC48" s="185"/>
      <c r="BD48" s="185"/>
      <c r="BE48" s="185"/>
      <c r="BF48" s="185"/>
      <c r="BG48" s="185"/>
      <c r="BH48" s="185">
        <f t="shared" si="22"/>
        <v>0</v>
      </c>
      <c r="BI48" s="185"/>
      <c r="BJ48" s="185"/>
      <c r="BK48" s="185"/>
      <c r="BL48" s="185">
        <f>E48+W48+X48+Y48+Z48+AA48+AB48+AC48+AD48+AQ48+AR48+AT48+AU48+AV48+AW48+AX48+AY48+AZ48+BA48+BB48+BC48+BD48+BE48+BF48+BG48+BH48</f>
        <v>0</v>
      </c>
      <c r="BM48" s="185">
        <f>AS67-BL48</f>
        <v>0</v>
      </c>
      <c r="BN48" s="185">
        <f t="shared" si="29"/>
        <v>0.21</v>
      </c>
      <c r="BP48" s="117"/>
    </row>
    <row r="49" spans="1:68" ht="20.100000000000001" customHeight="1">
      <c r="A49" s="19" t="s">
        <v>82</v>
      </c>
      <c r="B49" s="144" t="s">
        <v>83</v>
      </c>
      <c r="C49" s="30" t="s">
        <v>84</v>
      </c>
      <c r="D49" s="185">
        <f>#REF!</f>
        <v>21.67</v>
      </c>
      <c r="E49" s="185">
        <f t="shared" si="4"/>
        <v>0</v>
      </c>
      <c r="F49" s="185">
        <f t="shared" si="21"/>
        <v>0</v>
      </c>
      <c r="G49" s="185">
        <f t="shared" si="8"/>
        <v>0</v>
      </c>
      <c r="H49" s="185">
        <f t="shared" si="12"/>
        <v>0</v>
      </c>
      <c r="I49" s="185"/>
      <c r="J49" s="185"/>
      <c r="K49" s="185"/>
      <c r="L49" s="185"/>
      <c r="M49" s="185"/>
      <c r="N49" s="185"/>
      <c r="O49" s="185"/>
      <c r="P49" s="185"/>
      <c r="Q49" s="185"/>
      <c r="R49" s="185"/>
      <c r="S49" s="185"/>
      <c r="T49" s="185"/>
      <c r="U49" s="185"/>
      <c r="V49" s="185">
        <f t="shared" si="13"/>
        <v>21.67</v>
      </c>
      <c r="W49" s="185"/>
      <c r="X49" s="185"/>
      <c r="Y49" s="185"/>
      <c r="Z49" s="185"/>
      <c r="AA49" s="185"/>
      <c r="AB49" s="185"/>
      <c r="AC49" s="185"/>
      <c r="AD49" s="185"/>
      <c r="AE49" s="185">
        <f t="shared" si="27"/>
        <v>0.1</v>
      </c>
      <c r="AF49" s="185"/>
      <c r="AG49" s="185"/>
      <c r="AH49" s="185"/>
      <c r="AI49" s="185"/>
      <c r="AJ49" s="185"/>
      <c r="AK49" s="185"/>
      <c r="AL49" s="185">
        <v>0.1</v>
      </c>
      <c r="AM49" s="185"/>
      <c r="AN49" s="185"/>
      <c r="AO49" s="185"/>
      <c r="AP49" s="185"/>
      <c r="AQ49" s="185"/>
      <c r="AR49" s="185"/>
      <c r="AS49" s="185"/>
      <c r="AT49" s="185">
        <f>D49-BL49</f>
        <v>21.57</v>
      </c>
      <c r="AU49" s="185"/>
      <c r="AV49" s="185"/>
      <c r="AW49" s="185"/>
      <c r="AX49" s="185"/>
      <c r="AY49" s="185"/>
      <c r="AZ49" s="185"/>
      <c r="BA49" s="185"/>
      <c r="BB49" s="185"/>
      <c r="BC49" s="185"/>
      <c r="BD49" s="185"/>
      <c r="BE49" s="185"/>
      <c r="BF49" s="185"/>
      <c r="BG49" s="185"/>
      <c r="BH49" s="185">
        <f t="shared" si="22"/>
        <v>0</v>
      </c>
      <c r="BI49" s="185"/>
      <c r="BJ49" s="185"/>
      <c r="BK49" s="185"/>
      <c r="BL49" s="185">
        <f>E49+W49+X49+Y49+Z49+AA49+AB49+AC49+AD49+AE49+AQ49+AR49+AS49+AU49+AV49+AW49+AX49+AY49+AZ49+BA49+BB49+BC49+BD49+BE49+BF49+BG49+BH49</f>
        <v>0.1</v>
      </c>
      <c r="BM49" s="185">
        <f>AT67-BL49</f>
        <v>2.0699999999999998</v>
      </c>
      <c r="BN49" s="185">
        <f t="shared" si="29"/>
        <v>23.740000000000002</v>
      </c>
      <c r="BP49" s="117"/>
    </row>
    <row r="50" spans="1:68" ht="20.100000000000001" customHeight="1">
      <c r="A50" s="19" t="s">
        <v>85</v>
      </c>
      <c r="B50" s="144" t="s">
        <v>86</v>
      </c>
      <c r="C50" s="30" t="s">
        <v>87</v>
      </c>
      <c r="D50" s="185"/>
      <c r="E50" s="185">
        <f t="shared" si="4"/>
        <v>0</v>
      </c>
      <c r="F50" s="185">
        <f t="shared" si="21"/>
        <v>0</v>
      </c>
      <c r="G50" s="185">
        <f t="shared" si="8"/>
        <v>0</v>
      </c>
      <c r="H50" s="185">
        <f t="shared" si="12"/>
        <v>0</v>
      </c>
      <c r="I50" s="185"/>
      <c r="J50" s="185"/>
      <c r="K50" s="185"/>
      <c r="L50" s="185"/>
      <c r="M50" s="185"/>
      <c r="N50" s="185"/>
      <c r="O50" s="185"/>
      <c r="P50" s="185"/>
      <c r="Q50" s="185"/>
      <c r="R50" s="185"/>
      <c r="S50" s="185"/>
      <c r="T50" s="185"/>
      <c r="U50" s="185"/>
      <c r="V50" s="185">
        <f t="shared" si="13"/>
        <v>0</v>
      </c>
      <c r="W50" s="185"/>
      <c r="X50" s="185"/>
      <c r="Y50" s="185"/>
      <c r="Z50" s="185"/>
      <c r="AA50" s="185"/>
      <c r="AB50" s="185"/>
      <c r="AC50" s="185"/>
      <c r="AD50" s="185"/>
      <c r="AE50" s="185">
        <f t="shared" si="27"/>
        <v>0</v>
      </c>
      <c r="AF50" s="185"/>
      <c r="AG50" s="185"/>
      <c r="AH50" s="185"/>
      <c r="AI50" s="185"/>
      <c r="AJ50" s="185"/>
      <c r="AK50" s="185"/>
      <c r="AL50" s="185"/>
      <c r="AM50" s="185"/>
      <c r="AN50" s="185"/>
      <c r="AO50" s="185"/>
      <c r="AP50" s="185"/>
      <c r="AQ50" s="185"/>
      <c r="AR50" s="185"/>
      <c r="AS50" s="185"/>
      <c r="AT50" s="185"/>
      <c r="AU50" s="185">
        <f>D50-BL50</f>
        <v>0</v>
      </c>
      <c r="AV50" s="185"/>
      <c r="AW50" s="185"/>
      <c r="AX50" s="185"/>
      <c r="AY50" s="185"/>
      <c r="AZ50" s="185"/>
      <c r="BA50" s="185"/>
      <c r="BB50" s="185"/>
      <c r="BC50" s="185"/>
      <c r="BD50" s="185"/>
      <c r="BE50" s="185"/>
      <c r="BF50" s="185"/>
      <c r="BG50" s="185"/>
      <c r="BH50" s="185">
        <f t="shared" si="22"/>
        <v>0</v>
      </c>
      <c r="BI50" s="185"/>
      <c r="BJ50" s="185"/>
      <c r="BK50" s="185"/>
      <c r="BL50" s="185">
        <f>E50+W50+X50+Y50+Z50+AA50+AB50+AC50+AD50+AE50+AQ50+AR50+AS50+AT50+AV50+AW50+AX50+AY50+AZ50+BA50+BB50+BC50+BD50+BE50+BF50+BG50+BH50</f>
        <v>0</v>
      </c>
      <c r="BM50" s="185">
        <f>AU67-BL50</f>
        <v>0</v>
      </c>
      <c r="BN50" s="185">
        <f t="shared" si="29"/>
        <v>0</v>
      </c>
      <c r="BP50" s="117"/>
    </row>
    <row r="51" spans="1:68" ht="20.100000000000001" customHeight="1">
      <c r="A51" s="19" t="s">
        <v>88</v>
      </c>
      <c r="B51" s="144" t="s">
        <v>89</v>
      </c>
      <c r="C51" s="30" t="s">
        <v>90</v>
      </c>
      <c r="D51" s="185">
        <f>#REF!</f>
        <v>1.05</v>
      </c>
      <c r="E51" s="185">
        <f t="shared" si="4"/>
        <v>0</v>
      </c>
      <c r="F51" s="185">
        <f t="shared" si="21"/>
        <v>0</v>
      </c>
      <c r="G51" s="185">
        <f t="shared" si="8"/>
        <v>0</v>
      </c>
      <c r="H51" s="185">
        <f t="shared" si="12"/>
        <v>0</v>
      </c>
      <c r="I51" s="185"/>
      <c r="J51" s="185"/>
      <c r="K51" s="185"/>
      <c r="L51" s="185"/>
      <c r="M51" s="185"/>
      <c r="N51" s="185"/>
      <c r="O51" s="185"/>
      <c r="P51" s="185"/>
      <c r="Q51" s="185"/>
      <c r="R51" s="185"/>
      <c r="S51" s="185"/>
      <c r="T51" s="185"/>
      <c r="U51" s="185"/>
      <c r="V51" s="185">
        <f t="shared" si="13"/>
        <v>1.05</v>
      </c>
      <c r="W51" s="185"/>
      <c r="X51" s="185"/>
      <c r="Y51" s="185"/>
      <c r="Z51" s="185"/>
      <c r="AA51" s="185"/>
      <c r="AB51" s="185"/>
      <c r="AC51" s="185"/>
      <c r="AD51" s="185"/>
      <c r="AE51" s="185">
        <f t="shared" si="27"/>
        <v>0</v>
      </c>
      <c r="AF51" s="185"/>
      <c r="AG51" s="185"/>
      <c r="AH51" s="185"/>
      <c r="AI51" s="185"/>
      <c r="AJ51" s="185"/>
      <c r="AK51" s="185"/>
      <c r="AL51" s="185"/>
      <c r="AM51" s="185"/>
      <c r="AN51" s="185"/>
      <c r="AO51" s="185"/>
      <c r="AP51" s="185"/>
      <c r="AQ51" s="185"/>
      <c r="AR51" s="185"/>
      <c r="AS51" s="185"/>
      <c r="AT51" s="185"/>
      <c r="AU51" s="185"/>
      <c r="AV51" s="185">
        <f>D51-BL51</f>
        <v>1.05</v>
      </c>
      <c r="AW51" s="185"/>
      <c r="AX51" s="185"/>
      <c r="AY51" s="185"/>
      <c r="AZ51" s="185"/>
      <c r="BA51" s="185"/>
      <c r="BB51" s="185"/>
      <c r="BC51" s="185"/>
      <c r="BD51" s="185"/>
      <c r="BE51" s="185"/>
      <c r="BF51" s="185"/>
      <c r="BG51" s="185"/>
      <c r="BH51" s="185">
        <f t="shared" si="22"/>
        <v>0</v>
      </c>
      <c r="BI51" s="185"/>
      <c r="BJ51" s="185"/>
      <c r="BK51" s="185"/>
      <c r="BL51" s="185">
        <f>E51+W51+X51+Y51+Z51+AA51+AB51+AC51+AD51+AE51+AQ51+AR51+AS51+AT51+AU51+AW51+AX51+AY51+AZ51+BA51+BB51+BC51+BD51+BE51+BF51+BG51+BH51</f>
        <v>0</v>
      </c>
      <c r="BM51" s="185">
        <f>AV67-BL51</f>
        <v>0</v>
      </c>
      <c r="BN51" s="185">
        <f t="shared" si="29"/>
        <v>1.05</v>
      </c>
      <c r="BP51" s="117"/>
    </row>
    <row r="52" spans="1:68" ht="20.100000000000001" customHeight="1">
      <c r="A52" s="19" t="s">
        <v>91</v>
      </c>
      <c r="B52" s="144" t="s">
        <v>489</v>
      </c>
      <c r="C52" s="30" t="s">
        <v>93</v>
      </c>
      <c r="D52" s="185"/>
      <c r="E52" s="185">
        <f t="shared" si="4"/>
        <v>0</v>
      </c>
      <c r="F52" s="185">
        <f t="shared" si="21"/>
        <v>0</v>
      </c>
      <c r="G52" s="185">
        <f t="shared" si="8"/>
        <v>0</v>
      </c>
      <c r="H52" s="185">
        <f t="shared" si="12"/>
        <v>0</v>
      </c>
      <c r="I52" s="185"/>
      <c r="J52" s="185"/>
      <c r="K52" s="185"/>
      <c r="L52" s="185"/>
      <c r="M52" s="185"/>
      <c r="N52" s="185"/>
      <c r="O52" s="185"/>
      <c r="P52" s="185"/>
      <c r="Q52" s="185"/>
      <c r="R52" s="185"/>
      <c r="S52" s="185"/>
      <c r="T52" s="185"/>
      <c r="U52" s="185"/>
      <c r="V52" s="185">
        <f t="shared" si="13"/>
        <v>0</v>
      </c>
      <c r="W52" s="185"/>
      <c r="X52" s="185"/>
      <c r="Y52" s="185"/>
      <c r="Z52" s="185"/>
      <c r="AA52" s="185"/>
      <c r="AB52" s="185"/>
      <c r="AC52" s="185"/>
      <c r="AD52" s="185"/>
      <c r="AE52" s="185">
        <f t="shared" si="27"/>
        <v>0</v>
      </c>
      <c r="AF52" s="185"/>
      <c r="AG52" s="185"/>
      <c r="AH52" s="185"/>
      <c r="AI52" s="185"/>
      <c r="AJ52" s="185"/>
      <c r="AK52" s="185"/>
      <c r="AL52" s="185"/>
      <c r="AM52" s="185"/>
      <c r="AN52" s="185"/>
      <c r="AO52" s="185"/>
      <c r="AP52" s="185"/>
      <c r="AQ52" s="185"/>
      <c r="AR52" s="185"/>
      <c r="AS52" s="185"/>
      <c r="AT52" s="185"/>
      <c r="AU52" s="185"/>
      <c r="AV52" s="185"/>
      <c r="AW52" s="185">
        <f>D52-BL52</f>
        <v>0</v>
      </c>
      <c r="AX52" s="185"/>
      <c r="AY52" s="185"/>
      <c r="AZ52" s="185"/>
      <c r="BA52" s="185"/>
      <c r="BB52" s="185"/>
      <c r="BC52" s="185"/>
      <c r="BD52" s="185"/>
      <c r="BE52" s="185"/>
      <c r="BF52" s="185"/>
      <c r="BG52" s="185"/>
      <c r="BH52" s="185">
        <f t="shared" si="22"/>
        <v>0</v>
      </c>
      <c r="BI52" s="185"/>
      <c r="BJ52" s="185"/>
      <c r="BK52" s="185"/>
      <c r="BL52" s="185">
        <f>E52+W52+X52+Y52+Z52+AA52+AB52+AC52+AD52+AE52+AQ52+AR52+AS52+AT52+AU52+AV52+AX52+AY52+AZ52+BA52+BB52+BC52+BD52+BE52+BF52+BG52+BH52</f>
        <v>0</v>
      </c>
      <c r="BM52" s="185">
        <f>AW67-BL52</f>
        <v>0</v>
      </c>
      <c r="BN52" s="185">
        <f t="shared" si="29"/>
        <v>0</v>
      </c>
      <c r="BP52" s="117"/>
    </row>
    <row r="53" spans="1:68" ht="20.100000000000001" customHeight="1">
      <c r="A53" s="19" t="s">
        <v>94</v>
      </c>
      <c r="B53" s="144" t="s">
        <v>95</v>
      </c>
      <c r="C53" s="30" t="s">
        <v>96</v>
      </c>
      <c r="D53" s="185"/>
      <c r="E53" s="185">
        <f t="shared" si="4"/>
        <v>0</v>
      </c>
      <c r="F53" s="185">
        <f t="shared" si="21"/>
        <v>0</v>
      </c>
      <c r="G53" s="185">
        <f t="shared" si="8"/>
        <v>0</v>
      </c>
      <c r="H53" s="185">
        <f t="shared" si="12"/>
        <v>0</v>
      </c>
      <c r="I53" s="185"/>
      <c r="J53" s="185"/>
      <c r="K53" s="185"/>
      <c r="L53" s="185"/>
      <c r="M53" s="185"/>
      <c r="N53" s="185"/>
      <c r="O53" s="185"/>
      <c r="P53" s="185"/>
      <c r="Q53" s="185"/>
      <c r="R53" s="185"/>
      <c r="S53" s="185"/>
      <c r="T53" s="185"/>
      <c r="U53" s="185"/>
      <c r="V53" s="185">
        <f t="shared" si="13"/>
        <v>0</v>
      </c>
      <c r="W53" s="185"/>
      <c r="X53" s="185"/>
      <c r="Y53" s="185"/>
      <c r="Z53" s="185"/>
      <c r="AA53" s="185"/>
      <c r="AB53" s="185"/>
      <c r="AC53" s="185"/>
      <c r="AD53" s="185"/>
      <c r="AE53" s="185">
        <f t="shared" si="27"/>
        <v>0</v>
      </c>
      <c r="AF53" s="185"/>
      <c r="AG53" s="185"/>
      <c r="AH53" s="185"/>
      <c r="AI53" s="185"/>
      <c r="AJ53" s="185"/>
      <c r="AK53" s="185"/>
      <c r="AL53" s="185"/>
      <c r="AM53" s="185"/>
      <c r="AN53" s="185"/>
      <c r="AO53" s="185"/>
      <c r="AP53" s="185"/>
      <c r="AQ53" s="185"/>
      <c r="AR53" s="185"/>
      <c r="AS53" s="185"/>
      <c r="AT53" s="185"/>
      <c r="AU53" s="185"/>
      <c r="AV53" s="185"/>
      <c r="AW53" s="185"/>
      <c r="AX53" s="185">
        <f>D53-BL53</f>
        <v>0</v>
      </c>
      <c r="AY53" s="185"/>
      <c r="AZ53" s="185"/>
      <c r="BA53" s="185"/>
      <c r="BB53" s="185"/>
      <c r="BC53" s="185"/>
      <c r="BD53" s="185"/>
      <c r="BE53" s="185"/>
      <c r="BF53" s="185"/>
      <c r="BG53" s="185"/>
      <c r="BH53" s="185">
        <f t="shared" si="22"/>
        <v>0</v>
      </c>
      <c r="BI53" s="185"/>
      <c r="BJ53" s="185"/>
      <c r="BK53" s="185"/>
      <c r="BL53" s="185">
        <f>E53+W53+X53+Y53+Z53+AA53+AB53+AC53+AD53+AE53+AQ53+AR53+AS53+AT53+AU53+AV53+AW53+AY53+AZ53+BA53+BB53+BC53+BD53+BE53+BF53+BG53+BH53</f>
        <v>0</v>
      </c>
      <c r="BM53" s="185">
        <f>AX67-BL53</f>
        <v>0</v>
      </c>
      <c r="BN53" s="185">
        <f t="shared" si="29"/>
        <v>0</v>
      </c>
      <c r="BP53" s="117"/>
    </row>
    <row r="54" spans="1:68" ht="20.100000000000001" customHeight="1">
      <c r="A54" s="19" t="s">
        <v>97</v>
      </c>
      <c r="B54" s="144" t="s">
        <v>98</v>
      </c>
      <c r="C54" s="30" t="s">
        <v>99</v>
      </c>
      <c r="D54" s="185"/>
      <c r="E54" s="185">
        <f t="shared" si="4"/>
        <v>0</v>
      </c>
      <c r="F54" s="185">
        <f t="shared" si="21"/>
        <v>0</v>
      </c>
      <c r="G54" s="185">
        <f t="shared" si="8"/>
        <v>0</v>
      </c>
      <c r="H54" s="185">
        <f t="shared" si="12"/>
        <v>0</v>
      </c>
      <c r="I54" s="185"/>
      <c r="J54" s="185"/>
      <c r="K54" s="185"/>
      <c r="L54" s="185"/>
      <c r="M54" s="185"/>
      <c r="N54" s="185"/>
      <c r="O54" s="185"/>
      <c r="P54" s="185"/>
      <c r="Q54" s="185"/>
      <c r="R54" s="185"/>
      <c r="S54" s="185"/>
      <c r="T54" s="185"/>
      <c r="U54" s="185"/>
      <c r="V54" s="185">
        <f t="shared" si="13"/>
        <v>0</v>
      </c>
      <c r="W54" s="185"/>
      <c r="X54" s="185"/>
      <c r="Y54" s="185"/>
      <c r="Z54" s="185"/>
      <c r="AA54" s="185"/>
      <c r="AB54" s="185"/>
      <c r="AC54" s="185"/>
      <c r="AD54" s="185"/>
      <c r="AE54" s="185">
        <f t="shared" si="27"/>
        <v>0</v>
      </c>
      <c r="AF54" s="185"/>
      <c r="AG54" s="185"/>
      <c r="AH54" s="185"/>
      <c r="AI54" s="185"/>
      <c r="AJ54" s="185"/>
      <c r="AK54" s="185"/>
      <c r="AL54" s="185"/>
      <c r="AM54" s="185"/>
      <c r="AN54" s="185"/>
      <c r="AO54" s="185"/>
      <c r="AP54" s="185"/>
      <c r="AQ54" s="185"/>
      <c r="AR54" s="185"/>
      <c r="AS54" s="185"/>
      <c r="AT54" s="185"/>
      <c r="AU54" s="185"/>
      <c r="AV54" s="185"/>
      <c r="AW54" s="185"/>
      <c r="AX54" s="185"/>
      <c r="AY54" s="185">
        <f>D54-BL54</f>
        <v>0</v>
      </c>
      <c r="AZ54" s="185"/>
      <c r="BA54" s="185"/>
      <c r="BB54" s="185"/>
      <c r="BC54" s="185"/>
      <c r="BD54" s="185"/>
      <c r="BE54" s="185"/>
      <c r="BF54" s="185"/>
      <c r="BG54" s="185"/>
      <c r="BH54" s="185">
        <f t="shared" si="22"/>
        <v>0</v>
      </c>
      <c r="BI54" s="185"/>
      <c r="BJ54" s="185"/>
      <c r="BK54" s="185"/>
      <c r="BL54" s="185">
        <f>E54+W54+X54+Y54+Z54+AA54+AB54+AC54+AD54+AE54+AQ54+AR54+AS54+AT54+AU54+AV54+AW54+AX54+AZ54+BA54+BB54+BC54+BD54+BE54+BF54+BG54+BH54</f>
        <v>0</v>
      </c>
      <c r="BM54" s="185">
        <f>AY67-BL54</f>
        <v>0</v>
      </c>
      <c r="BN54" s="185">
        <f t="shared" si="29"/>
        <v>0</v>
      </c>
      <c r="BP54" s="117"/>
    </row>
    <row r="55" spans="1:68" ht="33.75" customHeight="1">
      <c r="A55" s="19" t="s">
        <v>100</v>
      </c>
      <c r="B55" s="144" t="s">
        <v>490</v>
      </c>
      <c r="C55" s="30" t="s">
        <v>101</v>
      </c>
      <c r="D55" s="185">
        <f>#REF!</f>
        <v>16.600000000000001</v>
      </c>
      <c r="E55" s="185">
        <f t="shared" si="4"/>
        <v>0</v>
      </c>
      <c r="F55" s="185">
        <f t="shared" si="21"/>
        <v>0</v>
      </c>
      <c r="G55" s="185">
        <f t="shared" si="8"/>
        <v>0</v>
      </c>
      <c r="H55" s="185">
        <f t="shared" si="12"/>
        <v>0</v>
      </c>
      <c r="I55" s="185"/>
      <c r="J55" s="185"/>
      <c r="K55" s="185"/>
      <c r="L55" s="185"/>
      <c r="M55" s="185"/>
      <c r="N55" s="185"/>
      <c r="O55" s="185"/>
      <c r="P55" s="185"/>
      <c r="Q55" s="185"/>
      <c r="R55" s="185"/>
      <c r="S55" s="185"/>
      <c r="T55" s="185"/>
      <c r="U55" s="185"/>
      <c r="V55" s="185">
        <f t="shared" si="13"/>
        <v>16.600000000000001</v>
      </c>
      <c r="W55" s="185"/>
      <c r="X55" s="185"/>
      <c r="Y55" s="185"/>
      <c r="Z55" s="185"/>
      <c r="AA55" s="185"/>
      <c r="AB55" s="185"/>
      <c r="AC55" s="185"/>
      <c r="AD55" s="185"/>
      <c r="AE55" s="185">
        <f t="shared" si="27"/>
        <v>0.01</v>
      </c>
      <c r="AF55" s="185"/>
      <c r="AG55" s="185"/>
      <c r="AH55" s="185"/>
      <c r="AI55" s="185"/>
      <c r="AJ55" s="185"/>
      <c r="AK55" s="185"/>
      <c r="AL55" s="185">
        <v>0.01</v>
      </c>
      <c r="AM55" s="185"/>
      <c r="AN55" s="185"/>
      <c r="AO55" s="185"/>
      <c r="AP55" s="185"/>
      <c r="AQ55" s="185"/>
      <c r="AR55" s="185"/>
      <c r="AS55" s="185"/>
      <c r="AT55" s="185"/>
      <c r="AU55" s="185"/>
      <c r="AV55" s="185"/>
      <c r="AW55" s="185"/>
      <c r="AX55" s="185"/>
      <c r="AY55" s="185"/>
      <c r="AZ55" s="185">
        <f>D55-BL55</f>
        <v>16.59</v>
      </c>
      <c r="BA55" s="185"/>
      <c r="BB55" s="185"/>
      <c r="BC55" s="185"/>
      <c r="BD55" s="185"/>
      <c r="BE55" s="185"/>
      <c r="BF55" s="185"/>
      <c r="BG55" s="185"/>
      <c r="BH55" s="185">
        <f t="shared" si="22"/>
        <v>0</v>
      </c>
      <c r="BI55" s="185"/>
      <c r="BJ55" s="185"/>
      <c r="BK55" s="185"/>
      <c r="BL55" s="185">
        <f>E55+W55+X55+Y55+Z55+AA55+AB55+AC55+AD55+AE55+AQ55+AR55+AS55+AT55+AU55+AV55+AW55+AX55+AY55+BA55+BB55+BC55+BD55+BE55+BF55+BG55+BH55</f>
        <v>0.01</v>
      </c>
      <c r="BM55" s="185">
        <f>AZ67-BL55</f>
        <v>-0.01</v>
      </c>
      <c r="BN55" s="185">
        <f t="shared" si="29"/>
        <v>16.59</v>
      </c>
      <c r="BP55" s="117"/>
    </row>
    <row r="56" spans="1:68" ht="20.100000000000001" customHeight="1">
      <c r="A56" s="19" t="s">
        <v>102</v>
      </c>
      <c r="B56" s="144" t="s">
        <v>103</v>
      </c>
      <c r="C56" s="30" t="s">
        <v>104</v>
      </c>
      <c r="D56" s="185"/>
      <c r="E56" s="185">
        <f t="shared" si="4"/>
        <v>0</v>
      </c>
      <c r="F56" s="185">
        <f t="shared" si="21"/>
        <v>0</v>
      </c>
      <c r="G56" s="185">
        <f t="shared" si="8"/>
        <v>0</v>
      </c>
      <c r="H56" s="185">
        <f t="shared" si="12"/>
        <v>0</v>
      </c>
      <c r="I56" s="185"/>
      <c r="J56" s="185"/>
      <c r="K56" s="185"/>
      <c r="L56" s="185"/>
      <c r="M56" s="185"/>
      <c r="N56" s="185"/>
      <c r="O56" s="185"/>
      <c r="P56" s="185"/>
      <c r="Q56" s="185"/>
      <c r="R56" s="185"/>
      <c r="S56" s="185"/>
      <c r="T56" s="185"/>
      <c r="U56" s="185"/>
      <c r="V56" s="185">
        <f t="shared" si="13"/>
        <v>0</v>
      </c>
      <c r="W56" s="185"/>
      <c r="X56" s="185"/>
      <c r="Y56" s="185"/>
      <c r="Z56" s="185"/>
      <c r="AA56" s="185"/>
      <c r="AB56" s="185"/>
      <c r="AC56" s="185"/>
      <c r="AD56" s="185"/>
      <c r="AE56" s="185">
        <f t="shared" si="27"/>
        <v>0</v>
      </c>
      <c r="AF56" s="185"/>
      <c r="AG56" s="185"/>
      <c r="AH56" s="185"/>
      <c r="AI56" s="185"/>
      <c r="AJ56" s="185"/>
      <c r="AK56" s="185"/>
      <c r="AL56" s="185"/>
      <c r="AM56" s="185"/>
      <c r="AN56" s="185"/>
      <c r="AO56" s="185"/>
      <c r="AP56" s="185"/>
      <c r="AQ56" s="185"/>
      <c r="AR56" s="185"/>
      <c r="AS56" s="185"/>
      <c r="AT56" s="185"/>
      <c r="AU56" s="185"/>
      <c r="AV56" s="185"/>
      <c r="AW56" s="185"/>
      <c r="AX56" s="185"/>
      <c r="AY56" s="185"/>
      <c r="AZ56" s="185"/>
      <c r="BA56" s="185">
        <f>D56-BL56</f>
        <v>0</v>
      </c>
      <c r="BB56" s="185"/>
      <c r="BC56" s="185"/>
      <c r="BD56" s="185"/>
      <c r="BE56" s="185"/>
      <c r="BF56" s="185"/>
      <c r="BG56" s="185"/>
      <c r="BH56" s="185">
        <f t="shared" si="22"/>
        <v>0</v>
      </c>
      <c r="BI56" s="185"/>
      <c r="BJ56" s="185"/>
      <c r="BK56" s="185"/>
      <c r="BL56" s="185">
        <f>E56+W56+X56+Y56+Z56+AA56+AB56+AC56+AD56+AE56+AQ56+AR56+AS56+AT56+AU56+AV56+AW56+AX56+AY56+AZ56+BB56+BC56+BD56+BE56+BF56+BG56+BH56</f>
        <v>0</v>
      </c>
      <c r="BM56" s="185">
        <f>BA67-BL56</f>
        <v>0</v>
      </c>
      <c r="BN56" s="185">
        <f t="shared" si="29"/>
        <v>0</v>
      </c>
      <c r="BP56" s="117"/>
    </row>
    <row r="57" spans="1:68" ht="20.100000000000001" customHeight="1">
      <c r="A57" s="19" t="s">
        <v>105</v>
      </c>
      <c r="B57" s="144" t="s">
        <v>106</v>
      </c>
      <c r="C57" s="30" t="s">
        <v>107</v>
      </c>
      <c r="D57" s="185">
        <f>#REF!</f>
        <v>0.62</v>
      </c>
      <c r="E57" s="185">
        <f t="shared" si="4"/>
        <v>0</v>
      </c>
      <c r="F57" s="185">
        <f t="shared" si="21"/>
        <v>0</v>
      </c>
      <c r="G57" s="185">
        <f t="shared" si="8"/>
        <v>0</v>
      </c>
      <c r="H57" s="185">
        <f t="shared" si="12"/>
        <v>0</v>
      </c>
      <c r="I57" s="185"/>
      <c r="J57" s="185"/>
      <c r="K57" s="185"/>
      <c r="L57" s="185"/>
      <c r="M57" s="185"/>
      <c r="N57" s="185"/>
      <c r="O57" s="185"/>
      <c r="P57" s="185"/>
      <c r="Q57" s="185"/>
      <c r="R57" s="185"/>
      <c r="S57" s="185"/>
      <c r="T57" s="185"/>
      <c r="U57" s="185"/>
      <c r="V57" s="185">
        <f t="shared" si="13"/>
        <v>0.62</v>
      </c>
      <c r="W57" s="185"/>
      <c r="X57" s="185"/>
      <c r="Y57" s="185"/>
      <c r="Z57" s="185"/>
      <c r="AA57" s="185"/>
      <c r="AB57" s="185"/>
      <c r="AC57" s="185"/>
      <c r="AD57" s="185"/>
      <c r="AE57" s="185">
        <f>SUM(AF57:AP57)</f>
        <v>0</v>
      </c>
      <c r="AF57" s="185"/>
      <c r="AG57" s="185"/>
      <c r="AH57" s="185"/>
      <c r="AI57" s="185"/>
      <c r="AJ57" s="185"/>
      <c r="AK57" s="185"/>
      <c r="AL57" s="185"/>
      <c r="AM57" s="185"/>
      <c r="AN57" s="185"/>
      <c r="AO57" s="185"/>
      <c r="AP57" s="185"/>
      <c r="AQ57" s="185"/>
      <c r="AR57" s="185"/>
      <c r="AS57" s="185"/>
      <c r="AT57" s="185"/>
      <c r="AU57" s="185"/>
      <c r="AV57" s="185"/>
      <c r="AW57" s="185"/>
      <c r="AX57" s="185"/>
      <c r="AY57" s="185"/>
      <c r="AZ57" s="185"/>
      <c r="BA57" s="185"/>
      <c r="BB57" s="185">
        <f>D57-BL57</f>
        <v>0.62</v>
      </c>
      <c r="BC57" s="185"/>
      <c r="BD57" s="185"/>
      <c r="BE57" s="185"/>
      <c r="BF57" s="185"/>
      <c r="BG57" s="185"/>
      <c r="BH57" s="185">
        <f t="shared" si="22"/>
        <v>0</v>
      </c>
      <c r="BI57" s="185"/>
      <c r="BJ57" s="185"/>
      <c r="BK57" s="185"/>
      <c r="BL57" s="185">
        <f>E57+W57+X57+Y57+Z57+AA57+AB57+AC57+AD57+AE57+AQ57+AR57+AS57+AT57+AU57+AV57+AW57+AX57+AY57+AZ57+BA57+BC57+BD57+BE57+BF57+BG57+BH57</f>
        <v>0</v>
      </c>
      <c r="BM57" s="185">
        <f>BB67-BL57</f>
        <v>0</v>
      </c>
      <c r="BN57" s="185">
        <f t="shared" si="29"/>
        <v>0.62</v>
      </c>
      <c r="BP57" s="117"/>
    </row>
    <row r="58" spans="1:68" ht="20.100000000000001" customHeight="1">
      <c r="A58" s="19" t="s">
        <v>108</v>
      </c>
      <c r="B58" s="144" t="s">
        <v>491</v>
      </c>
      <c r="C58" s="30" t="s">
        <v>110</v>
      </c>
      <c r="D58" s="185"/>
      <c r="E58" s="185">
        <f t="shared" si="4"/>
        <v>0</v>
      </c>
      <c r="F58" s="185">
        <f t="shared" si="21"/>
        <v>0</v>
      </c>
      <c r="G58" s="185">
        <f t="shared" si="8"/>
        <v>0</v>
      </c>
      <c r="H58" s="185">
        <f t="shared" si="12"/>
        <v>0</v>
      </c>
      <c r="I58" s="185"/>
      <c r="J58" s="185"/>
      <c r="K58" s="185"/>
      <c r="L58" s="185"/>
      <c r="M58" s="185"/>
      <c r="N58" s="185"/>
      <c r="O58" s="185"/>
      <c r="P58" s="185"/>
      <c r="Q58" s="185"/>
      <c r="R58" s="185"/>
      <c r="S58" s="185"/>
      <c r="T58" s="185"/>
      <c r="U58" s="185"/>
      <c r="V58" s="185">
        <f t="shared" si="13"/>
        <v>0</v>
      </c>
      <c r="W58" s="185"/>
      <c r="X58" s="185"/>
      <c r="Y58" s="185"/>
      <c r="Z58" s="185"/>
      <c r="AA58" s="185"/>
      <c r="AB58" s="185"/>
      <c r="AC58" s="185"/>
      <c r="AD58" s="185"/>
      <c r="AE58" s="185">
        <f t="shared" si="27"/>
        <v>0</v>
      </c>
      <c r="AF58" s="185"/>
      <c r="AG58" s="185"/>
      <c r="AH58" s="185"/>
      <c r="AI58" s="185"/>
      <c r="AJ58" s="185"/>
      <c r="AK58" s="185"/>
      <c r="AL58" s="185"/>
      <c r="AM58" s="185"/>
      <c r="AN58" s="185"/>
      <c r="AO58" s="185"/>
      <c r="AP58" s="185"/>
      <c r="AQ58" s="185"/>
      <c r="AR58" s="185"/>
      <c r="AS58" s="185"/>
      <c r="AT58" s="185"/>
      <c r="AU58" s="185"/>
      <c r="AV58" s="185"/>
      <c r="AW58" s="185"/>
      <c r="AX58" s="185"/>
      <c r="AY58" s="185"/>
      <c r="AZ58" s="185"/>
      <c r="BA58" s="185"/>
      <c r="BB58" s="185"/>
      <c r="BC58" s="185">
        <f>D58-BL58</f>
        <v>0</v>
      </c>
      <c r="BD58" s="185"/>
      <c r="BE58" s="185"/>
      <c r="BF58" s="185"/>
      <c r="BG58" s="185"/>
      <c r="BH58" s="185">
        <f t="shared" si="22"/>
        <v>0</v>
      </c>
      <c r="BI58" s="185"/>
      <c r="BJ58" s="185"/>
      <c r="BK58" s="185"/>
      <c r="BL58" s="185">
        <f>E58+W58+X58+Y58+Z58+AA58+AB58+AC58+AD58+AE58+AQ58+AR58+AS58+AT58+AU58+AV58+AW58+AX58+AY58+AZ58+BA58+BB58+BD58+BE58+BF58+BG58+BH58</f>
        <v>0</v>
      </c>
      <c r="BM58" s="185">
        <f>BC67-BL58</f>
        <v>0</v>
      </c>
      <c r="BN58" s="185">
        <f t="shared" si="29"/>
        <v>0</v>
      </c>
      <c r="BP58" s="117"/>
    </row>
    <row r="59" spans="1:68" ht="20.100000000000001" customHeight="1">
      <c r="A59" s="19" t="s">
        <v>111</v>
      </c>
      <c r="B59" s="144" t="s">
        <v>112</v>
      </c>
      <c r="C59" s="30" t="s">
        <v>113</v>
      </c>
      <c r="D59" s="185">
        <f>#REF!</f>
        <v>0.57999999999999996</v>
      </c>
      <c r="E59" s="185">
        <f t="shared" si="4"/>
        <v>0</v>
      </c>
      <c r="F59" s="185">
        <f t="shared" si="21"/>
        <v>0</v>
      </c>
      <c r="G59" s="185">
        <f t="shared" si="8"/>
        <v>0</v>
      </c>
      <c r="H59" s="185">
        <f t="shared" si="12"/>
        <v>0</v>
      </c>
      <c r="I59" s="185"/>
      <c r="J59" s="185"/>
      <c r="K59" s="185"/>
      <c r="L59" s="185"/>
      <c r="M59" s="185"/>
      <c r="N59" s="185"/>
      <c r="O59" s="185"/>
      <c r="P59" s="185"/>
      <c r="Q59" s="185"/>
      <c r="R59" s="185"/>
      <c r="S59" s="185"/>
      <c r="T59" s="185"/>
      <c r="U59" s="185"/>
      <c r="V59" s="185">
        <f t="shared" si="13"/>
        <v>0.57999999999999996</v>
      </c>
      <c r="W59" s="185"/>
      <c r="X59" s="185"/>
      <c r="Y59" s="185"/>
      <c r="Z59" s="185"/>
      <c r="AA59" s="185"/>
      <c r="AB59" s="185"/>
      <c r="AC59" s="185"/>
      <c r="AD59" s="185"/>
      <c r="AE59" s="185">
        <f t="shared" si="27"/>
        <v>0</v>
      </c>
      <c r="AF59" s="185"/>
      <c r="AG59" s="185"/>
      <c r="AH59" s="185"/>
      <c r="AI59" s="185"/>
      <c r="AJ59" s="185"/>
      <c r="AK59" s="185"/>
      <c r="AL59" s="185"/>
      <c r="AM59" s="185"/>
      <c r="AN59" s="185"/>
      <c r="AO59" s="185"/>
      <c r="AP59" s="185"/>
      <c r="AQ59" s="185"/>
      <c r="AR59" s="185"/>
      <c r="AS59" s="185"/>
      <c r="AT59" s="185"/>
      <c r="AU59" s="185"/>
      <c r="AV59" s="185"/>
      <c r="AW59" s="185"/>
      <c r="AX59" s="185"/>
      <c r="AY59" s="185"/>
      <c r="AZ59" s="185"/>
      <c r="BA59" s="185"/>
      <c r="BB59" s="185"/>
      <c r="BC59" s="185"/>
      <c r="BD59" s="185">
        <f>D59-BL59</f>
        <v>0.57999999999999996</v>
      </c>
      <c r="BE59" s="185"/>
      <c r="BF59" s="185"/>
      <c r="BG59" s="185"/>
      <c r="BH59" s="185">
        <f t="shared" si="22"/>
        <v>0</v>
      </c>
      <c r="BI59" s="185"/>
      <c r="BJ59" s="185"/>
      <c r="BK59" s="185"/>
      <c r="BL59" s="185">
        <f>E59+W59+X59+Y59+Z59+AA59+AB59+AC59+AD59+AE59+AQ59+AR59+AS59+AT59+AU59+AV59+AW59+AX59+AY59+AZ59+BA59+BB59+BC59+BE59+BF59+BG59+BH59</f>
        <v>0</v>
      </c>
      <c r="BM59" s="185">
        <f>BD67-BL59</f>
        <v>0</v>
      </c>
      <c r="BN59" s="185">
        <f t="shared" si="29"/>
        <v>0.57999999999999996</v>
      </c>
      <c r="BP59" s="117"/>
    </row>
    <row r="60" spans="1:68" ht="20.100000000000001" customHeight="1">
      <c r="A60" s="19" t="s">
        <v>114</v>
      </c>
      <c r="B60" s="144" t="s">
        <v>115</v>
      </c>
      <c r="C60" s="30" t="s">
        <v>116</v>
      </c>
      <c r="D60" s="185"/>
      <c r="E60" s="185">
        <f t="shared" si="4"/>
        <v>0</v>
      </c>
      <c r="F60" s="185">
        <f t="shared" si="21"/>
        <v>0</v>
      </c>
      <c r="G60" s="185">
        <f t="shared" si="8"/>
        <v>0</v>
      </c>
      <c r="H60" s="185">
        <f t="shared" si="12"/>
        <v>0</v>
      </c>
      <c r="I60" s="185"/>
      <c r="J60" s="185"/>
      <c r="K60" s="185"/>
      <c r="L60" s="185"/>
      <c r="M60" s="185"/>
      <c r="N60" s="185"/>
      <c r="O60" s="185"/>
      <c r="P60" s="185"/>
      <c r="Q60" s="185"/>
      <c r="R60" s="185"/>
      <c r="S60" s="185"/>
      <c r="T60" s="185"/>
      <c r="U60" s="185"/>
      <c r="V60" s="185">
        <f t="shared" si="13"/>
        <v>0</v>
      </c>
      <c r="W60" s="185"/>
      <c r="X60" s="185"/>
      <c r="Y60" s="185"/>
      <c r="Z60" s="185"/>
      <c r="AA60" s="185"/>
      <c r="AB60" s="185"/>
      <c r="AC60" s="185"/>
      <c r="AD60" s="185"/>
      <c r="AE60" s="185">
        <f t="shared" si="27"/>
        <v>0</v>
      </c>
      <c r="AF60" s="185"/>
      <c r="AG60" s="185"/>
      <c r="AH60" s="185"/>
      <c r="AI60" s="185"/>
      <c r="AJ60" s="185"/>
      <c r="AK60" s="185"/>
      <c r="AL60" s="185"/>
      <c r="AM60" s="185"/>
      <c r="AN60" s="185"/>
      <c r="AO60" s="185"/>
      <c r="AP60" s="185"/>
      <c r="AQ60" s="185"/>
      <c r="AR60" s="185"/>
      <c r="AS60" s="185"/>
      <c r="AT60" s="185"/>
      <c r="AU60" s="185"/>
      <c r="AV60" s="185"/>
      <c r="AW60" s="185"/>
      <c r="AX60" s="185"/>
      <c r="AY60" s="185"/>
      <c r="AZ60" s="185"/>
      <c r="BA60" s="185"/>
      <c r="BB60" s="185"/>
      <c r="BC60" s="185"/>
      <c r="BD60" s="185"/>
      <c r="BE60" s="185">
        <f>D60-BL60</f>
        <v>0</v>
      </c>
      <c r="BF60" s="185"/>
      <c r="BG60" s="185"/>
      <c r="BH60" s="185">
        <f t="shared" si="22"/>
        <v>0</v>
      </c>
      <c r="BI60" s="185"/>
      <c r="BJ60" s="185"/>
      <c r="BK60" s="185"/>
      <c r="BL60" s="185">
        <f>E60+W60+X60+Y60+Z60+AA60+AB60+AC60+AD60+AE60+AQ60+AR60+AS60+AT60+AU60+AV60+AW60+AX60+AY60+AZ60+BA60+BB60+BC60+BD60+BF60+BG60+BH60</f>
        <v>0</v>
      </c>
      <c r="BM60" s="185">
        <f>BE67-BL60</f>
        <v>0</v>
      </c>
      <c r="BN60" s="185">
        <f t="shared" si="29"/>
        <v>0</v>
      </c>
      <c r="BP60" s="117"/>
    </row>
    <row r="61" spans="1:68" ht="20.100000000000001" customHeight="1">
      <c r="A61" s="19" t="s">
        <v>117</v>
      </c>
      <c r="B61" s="144" t="s">
        <v>118</v>
      </c>
      <c r="C61" s="30" t="s">
        <v>119</v>
      </c>
      <c r="D61" s="185">
        <f>#REF!</f>
        <v>50.14</v>
      </c>
      <c r="E61" s="185">
        <f t="shared" si="4"/>
        <v>0</v>
      </c>
      <c r="F61" s="185">
        <f t="shared" si="21"/>
        <v>0</v>
      </c>
      <c r="G61" s="185">
        <f t="shared" si="8"/>
        <v>0</v>
      </c>
      <c r="H61" s="185">
        <f t="shared" si="12"/>
        <v>0</v>
      </c>
      <c r="I61" s="185"/>
      <c r="J61" s="185"/>
      <c r="K61" s="185"/>
      <c r="L61" s="185"/>
      <c r="M61" s="185"/>
      <c r="N61" s="185"/>
      <c r="O61" s="185"/>
      <c r="P61" s="185"/>
      <c r="Q61" s="185"/>
      <c r="R61" s="185"/>
      <c r="S61" s="185"/>
      <c r="T61" s="185"/>
      <c r="U61" s="185"/>
      <c r="V61" s="185">
        <f t="shared" si="13"/>
        <v>50.14</v>
      </c>
      <c r="W61" s="185"/>
      <c r="X61" s="185"/>
      <c r="Y61" s="185"/>
      <c r="Z61" s="185"/>
      <c r="AA61" s="185"/>
      <c r="AB61" s="185"/>
      <c r="AC61" s="185"/>
      <c r="AD61" s="185"/>
      <c r="AE61" s="185">
        <f t="shared" si="27"/>
        <v>0</v>
      </c>
      <c r="AF61" s="185"/>
      <c r="AG61" s="185"/>
      <c r="AH61" s="185"/>
      <c r="AI61" s="185"/>
      <c r="AJ61" s="185"/>
      <c r="AK61" s="185"/>
      <c r="AL61" s="185"/>
      <c r="AM61" s="185"/>
      <c r="AN61" s="185"/>
      <c r="AO61" s="185"/>
      <c r="AP61" s="185"/>
      <c r="AQ61" s="185"/>
      <c r="AR61" s="185"/>
      <c r="AS61" s="185"/>
      <c r="AT61" s="185"/>
      <c r="AU61" s="185"/>
      <c r="AV61" s="185"/>
      <c r="AW61" s="185"/>
      <c r="AX61" s="185"/>
      <c r="AY61" s="185"/>
      <c r="AZ61" s="185"/>
      <c r="BA61" s="185"/>
      <c r="BB61" s="185"/>
      <c r="BC61" s="185"/>
      <c r="BD61" s="185"/>
      <c r="BE61" s="185"/>
      <c r="BF61" s="185">
        <f>D61-BL61</f>
        <v>50.14</v>
      </c>
      <c r="BG61" s="185"/>
      <c r="BH61" s="185">
        <f t="shared" si="22"/>
        <v>0</v>
      </c>
      <c r="BI61" s="185"/>
      <c r="BJ61" s="185"/>
      <c r="BK61" s="185"/>
      <c r="BL61" s="185">
        <f>E61+W61+X61+Y61+Z61+AA61+AB61+AC61+AD61+AE61+AQ61+AR61+AS61+AT61+AU61+AV61+AW61+AX61+AY61+AZ61+BA61+BB61+BC61+BD61+BE61+BG61+BH61</f>
        <v>0</v>
      </c>
      <c r="BM61" s="185">
        <f>BF67-BL61</f>
        <v>2.73</v>
      </c>
      <c r="BN61" s="185">
        <f t="shared" si="29"/>
        <v>52.87</v>
      </c>
      <c r="BP61" s="117"/>
    </row>
    <row r="62" spans="1:68" ht="20.100000000000001" customHeight="1">
      <c r="A62" s="19" t="s">
        <v>120</v>
      </c>
      <c r="B62" s="144" t="s">
        <v>121</v>
      </c>
      <c r="C62" s="30" t="s">
        <v>122</v>
      </c>
      <c r="D62" s="185"/>
      <c r="E62" s="185">
        <f t="shared" si="4"/>
        <v>0</v>
      </c>
      <c r="F62" s="185">
        <f t="shared" si="21"/>
        <v>0</v>
      </c>
      <c r="G62" s="185">
        <f t="shared" si="8"/>
        <v>0</v>
      </c>
      <c r="H62" s="185">
        <f t="shared" si="12"/>
        <v>0</v>
      </c>
      <c r="I62" s="185"/>
      <c r="J62" s="185"/>
      <c r="K62" s="185"/>
      <c r="L62" s="185"/>
      <c r="M62" s="185"/>
      <c r="N62" s="185"/>
      <c r="O62" s="185"/>
      <c r="P62" s="185"/>
      <c r="Q62" s="185"/>
      <c r="R62" s="185"/>
      <c r="S62" s="185"/>
      <c r="T62" s="185"/>
      <c r="U62" s="185"/>
      <c r="V62" s="185">
        <f t="shared" si="13"/>
        <v>0</v>
      </c>
      <c r="W62" s="185"/>
      <c r="X62" s="185"/>
      <c r="Y62" s="185"/>
      <c r="Z62" s="185"/>
      <c r="AA62" s="185"/>
      <c r="AB62" s="185"/>
      <c r="AC62" s="185"/>
      <c r="AD62" s="185"/>
      <c r="AE62" s="185">
        <f t="shared" si="27"/>
        <v>0</v>
      </c>
      <c r="AF62" s="185"/>
      <c r="AG62" s="185"/>
      <c r="AH62" s="185"/>
      <c r="AI62" s="185"/>
      <c r="AJ62" s="185"/>
      <c r="AK62" s="185"/>
      <c r="AL62" s="185"/>
      <c r="AM62" s="185"/>
      <c r="AN62" s="185"/>
      <c r="AO62" s="185"/>
      <c r="AP62" s="185"/>
      <c r="AQ62" s="185"/>
      <c r="AR62" s="185"/>
      <c r="AS62" s="185"/>
      <c r="AT62" s="185"/>
      <c r="AU62" s="185"/>
      <c r="AV62" s="185"/>
      <c r="AW62" s="185"/>
      <c r="AX62" s="185"/>
      <c r="AY62" s="185"/>
      <c r="AZ62" s="185"/>
      <c r="BA62" s="185"/>
      <c r="BB62" s="185"/>
      <c r="BC62" s="185"/>
      <c r="BD62" s="185"/>
      <c r="BE62" s="185"/>
      <c r="BF62" s="185"/>
      <c r="BG62" s="185">
        <f>D62-BL62</f>
        <v>0</v>
      </c>
      <c r="BH62" s="185">
        <f t="shared" si="22"/>
        <v>0</v>
      </c>
      <c r="BI62" s="185"/>
      <c r="BJ62" s="185"/>
      <c r="BK62" s="185"/>
      <c r="BL62" s="185">
        <f>E62+W62+X62+Y62+Z62+AA62+AB62+AC62+AD62+AE62+AQ62+AR62+AS62+AT62+AU62+AV62+AW62+AX62+AY62+AZ62+BA62+BB62+BC62+BD62+BE62+BF62+BH62</f>
        <v>0</v>
      </c>
      <c r="BM62" s="185">
        <f>BG67-BL62</f>
        <v>0</v>
      </c>
      <c r="BN62" s="185">
        <f t="shared" si="29"/>
        <v>0</v>
      </c>
      <c r="BP62" s="117"/>
    </row>
    <row r="63" spans="1:68" s="115" customFormat="1" ht="21.75" customHeight="1">
      <c r="A63" s="15">
        <v>3</v>
      </c>
      <c r="B63" s="142" t="s">
        <v>123</v>
      </c>
      <c r="C63" s="158" t="s">
        <v>124</v>
      </c>
      <c r="D63" s="420">
        <f>D64+D65+D66</f>
        <v>297.42999999999995</v>
      </c>
      <c r="E63" s="420">
        <f>E64+E65+E66</f>
        <v>0</v>
      </c>
      <c r="F63" s="420">
        <f t="shared" ref="F63:U63" si="30">F64+F65+F66</f>
        <v>0</v>
      </c>
      <c r="G63" s="420">
        <f t="shared" si="30"/>
        <v>0</v>
      </c>
      <c r="H63" s="420">
        <f t="shared" si="30"/>
        <v>0</v>
      </c>
      <c r="I63" s="420">
        <f t="shared" si="30"/>
        <v>0</v>
      </c>
      <c r="J63" s="420">
        <f t="shared" si="30"/>
        <v>0</v>
      </c>
      <c r="K63" s="420">
        <f t="shared" si="30"/>
        <v>0</v>
      </c>
      <c r="L63" s="420">
        <f t="shared" si="30"/>
        <v>0</v>
      </c>
      <c r="M63" s="420">
        <f t="shared" si="30"/>
        <v>0</v>
      </c>
      <c r="N63" s="420">
        <f t="shared" si="30"/>
        <v>0</v>
      </c>
      <c r="O63" s="420">
        <f>O64+O65+O66</f>
        <v>0</v>
      </c>
      <c r="P63" s="420">
        <f t="shared" si="30"/>
        <v>0</v>
      </c>
      <c r="Q63" s="420">
        <f t="shared" si="30"/>
        <v>0</v>
      </c>
      <c r="R63" s="420">
        <f t="shared" si="30"/>
        <v>0</v>
      </c>
      <c r="S63" s="420">
        <f t="shared" si="30"/>
        <v>0</v>
      </c>
      <c r="T63" s="420">
        <f t="shared" si="30"/>
        <v>0</v>
      </c>
      <c r="U63" s="420">
        <f t="shared" si="30"/>
        <v>0</v>
      </c>
      <c r="V63" s="420">
        <f>V64+V65+V66</f>
        <v>0</v>
      </c>
      <c r="W63" s="420">
        <f t="shared" ref="W63:BG63" si="31">W64+W65+W66</f>
        <v>0</v>
      </c>
      <c r="X63" s="420">
        <f t="shared" si="31"/>
        <v>0</v>
      </c>
      <c r="Y63" s="420">
        <f t="shared" si="31"/>
        <v>0</v>
      </c>
      <c r="Z63" s="420">
        <f t="shared" si="31"/>
        <v>0</v>
      </c>
      <c r="AA63" s="420">
        <f t="shared" si="31"/>
        <v>0</v>
      </c>
      <c r="AB63" s="420">
        <f t="shared" si="31"/>
        <v>0</v>
      </c>
      <c r="AC63" s="420">
        <f t="shared" si="31"/>
        <v>0</v>
      </c>
      <c r="AD63" s="420">
        <f t="shared" si="31"/>
        <v>0</v>
      </c>
      <c r="AE63" s="420">
        <f t="shared" si="31"/>
        <v>0</v>
      </c>
      <c r="AF63" s="420">
        <f t="shared" si="31"/>
        <v>0</v>
      </c>
      <c r="AG63" s="420">
        <f t="shared" si="31"/>
        <v>0</v>
      </c>
      <c r="AH63" s="420">
        <f t="shared" si="31"/>
        <v>0</v>
      </c>
      <c r="AI63" s="420">
        <f t="shared" si="31"/>
        <v>0</v>
      </c>
      <c r="AJ63" s="420">
        <f t="shared" si="31"/>
        <v>0</v>
      </c>
      <c r="AK63" s="420">
        <f t="shared" si="31"/>
        <v>0</v>
      </c>
      <c r="AL63" s="420">
        <f t="shared" si="31"/>
        <v>0</v>
      </c>
      <c r="AM63" s="420">
        <f t="shared" si="31"/>
        <v>0</v>
      </c>
      <c r="AN63" s="420">
        <f t="shared" si="31"/>
        <v>0</v>
      </c>
      <c r="AO63" s="420">
        <f t="shared" si="31"/>
        <v>0</v>
      </c>
      <c r="AP63" s="420">
        <f t="shared" si="31"/>
        <v>0</v>
      </c>
      <c r="AQ63" s="420">
        <f t="shared" si="31"/>
        <v>0</v>
      </c>
      <c r="AR63" s="420">
        <f t="shared" si="31"/>
        <v>0</v>
      </c>
      <c r="AS63" s="420">
        <f t="shared" si="31"/>
        <v>0</v>
      </c>
      <c r="AT63" s="420">
        <f t="shared" si="31"/>
        <v>0</v>
      </c>
      <c r="AU63" s="420">
        <f t="shared" si="31"/>
        <v>0</v>
      </c>
      <c r="AV63" s="420">
        <f t="shared" si="31"/>
        <v>0</v>
      </c>
      <c r="AW63" s="420">
        <f t="shared" si="31"/>
        <v>0</v>
      </c>
      <c r="AX63" s="420">
        <f t="shared" si="31"/>
        <v>0</v>
      </c>
      <c r="AY63" s="420">
        <f t="shared" si="31"/>
        <v>0</v>
      </c>
      <c r="AZ63" s="420">
        <f t="shared" si="31"/>
        <v>0</v>
      </c>
      <c r="BA63" s="420">
        <f t="shared" si="31"/>
        <v>0</v>
      </c>
      <c r="BB63" s="420">
        <f t="shared" si="31"/>
        <v>0</v>
      </c>
      <c r="BC63" s="420">
        <f t="shared" si="31"/>
        <v>0</v>
      </c>
      <c r="BD63" s="420">
        <f t="shared" si="31"/>
        <v>0</v>
      </c>
      <c r="BE63" s="420">
        <f t="shared" si="31"/>
        <v>0</v>
      </c>
      <c r="BF63" s="420">
        <f t="shared" si="31"/>
        <v>0</v>
      </c>
      <c r="BG63" s="420">
        <f t="shared" si="31"/>
        <v>0</v>
      </c>
      <c r="BH63" s="420">
        <f>D63-BL63</f>
        <v>297.42999999999995</v>
      </c>
      <c r="BI63" s="420">
        <f t="shared" ref="BI63:BN63" si="32">BI64+BI65+BI66</f>
        <v>281.02999999999997</v>
      </c>
      <c r="BJ63" s="420">
        <f t="shared" si="32"/>
        <v>16.399999999999999</v>
      </c>
      <c r="BK63" s="420">
        <f t="shared" si="32"/>
        <v>0</v>
      </c>
      <c r="BL63" s="420">
        <f t="shared" si="32"/>
        <v>0</v>
      </c>
      <c r="BM63" s="420">
        <f t="shared" si="32"/>
        <v>0</v>
      </c>
      <c r="BN63" s="420">
        <f t="shared" si="32"/>
        <v>297.42999999999995</v>
      </c>
    </row>
    <row r="64" spans="1:68" ht="21.75" customHeight="1">
      <c r="A64" s="14" t="s">
        <v>220</v>
      </c>
      <c r="B64" s="143" t="s">
        <v>461</v>
      </c>
      <c r="C64" s="30" t="s">
        <v>209</v>
      </c>
      <c r="D64" s="185">
        <f>#REF!</f>
        <v>281.02999999999997</v>
      </c>
      <c r="E64" s="185">
        <f t="shared" si="4"/>
        <v>0</v>
      </c>
      <c r="F64" s="185">
        <f t="shared" si="21"/>
        <v>0</v>
      </c>
      <c r="G64" s="185">
        <f t="shared" si="8"/>
        <v>0</v>
      </c>
      <c r="H64" s="185">
        <f t="shared" si="12"/>
        <v>0</v>
      </c>
      <c r="I64" s="185"/>
      <c r="J64" s="185"/>
      <c r="K64" s="185"/>
      <c r="L64" s="185"/>
      <c r="M64" s="185"/>
      <c r="N64" s="185"/>
      <c r="O64" s="185">
        <f>SUM(P64:R64)</f>
        <v>0</v>
      </c>
      <c r="P64" s="185"/>
      <c r="Q64" s="185"/>
      <c r="R64" s="185"/>
      <c r="S64" s="185"/>
      <c r="T64" s="185"/>
      <c r="U64" s="185"/>
      <c r="V64" s="185">
        <f t="shared" si="13"/>
        <v>0</v>
      </c>
      <c r="W64" s="185"/>
      <c r="X64" s="185"/>
      <c r="Y64" s="185"/>
      <c r="Z64" s="185"/>
      <c r="AA64" s="185"/>
      <c r="AB64" s="185"/>
      <c r="AC64" s="185"/>
      <c r="AD64" s="185"/>
      <c r="AE64" s="185">
        <f t="shared" si="27"/>
        <v>0</v>
      </c>
      <c r="AF64" s="185"/>
      <c r="AG64" s="185"/>
      <c r="AH64" s="185"/>
      <c r="AI64" s="185"/>
      <c r="AJ64" s="185"/>
      <c r="AK64" s="185"/>
      <c r="AL64" s="185"/>
      <c r="AM64" s="185"/>
      <c r="AN64" s="185"/>
      <c r="AO64" s="185"/>
      <c r="AP64" s="185"/>
      <c r="AQ64" s="185"/>
      <c r="AR64" s="185"/>
      <c r="AS64" s="185"/>
      <c r="AT64" s="185"/>
      <c r="AU64" s="185"/>
      <c r="AV64" s="185"/>
      <c r="AW64" s="185"/>
      <c r="AX64" s="185"/>
      <c r="AY64" s="185"/>
      <c r="AZ64" s="185"/>
      <c r="BA64" s="185"/>
      <c r="BB64" s="185"/>
      <c r="BC64" s="185"/>
      <c r="BD64" s="185"/>
      <c r="BE64" s="185"/>
      <c r="BF64" s="185"/>
      <c r="BG64" s="185"/>
      <c r="BH64" s="185">
        <f>BI64+BJ64+BK64</f>
        <v>281.02999999999997</v>
      </c>
      <c r="BI64" s="185">
        <f>D64-BL64</f>
        <v>281.02999999999997</v>
      </c>
      <c r="BJ64" s="185"/>
      <c r="BK64" s="185"/>
      <c r="BL64" s="185">
        <f>E64+V64</f>
        <v>0</v>
      </c>
      <c r="BM64" s="185">
        <f>BI67-BL64</f>
        <v>0</v>
      </c>
      <c r="BN64" s="185">
        <f>D64+BM64</f>
        <v>281.02999999999997</v>
      </c>
      <c r="BP64" s="117"/>
    </row>
    <row r="65" spans="1:68" ht="21.75" customHeight="1">
      <c r="A65" s="14" t="s">
        <v>221</v>
      </c>
      <c r="B65" s="143" t="s">
        <v>462</v>
      </c>
      <c r="C65" s="30" t="s">
        <v>210</v>
      </c>
      <c r="D65" s="185">
        <f>#REF!</f>
        <v>16.399999999999999</v>
      </c>
      <c r="E65" s="185">
        <f t="shared" si="4"/>
        <v>0</v>
      </c>
      <c r="F65" s="185">
        <f t="shared" si="21"/>
        <v>0</v>
      </c>
      <c r="G65" s="185">
        <f t="shared" si="8"/>
        <v>0</v>
      </c>
      <c r="H65" s="185">
        <f t="shared" si="12"/>
        <v>0</v>
      </c>
      <c r="I65" s="185"/>
      <c r="J65" s="185"/>
      <c r="K65" s="185"/>
      <c r="L65" s="185"/>
      <c r="M65" s="185"/>
      <c r="N65" s="185"/>
      <c r="O65" s="185">
        <f t="shared" ref="O65:O66" si="33">SUM(P65:R65)</f>
        <v>0</v>
      </c>
      <c r="P65" s="185"/>
      <c r="Q65" s="185"/>
      <c r="R65" s="185"/>
      <c r="S65" s="185"/>
      <c r="T65" s="185"/>
      <c r="U65" s="185"/>
      <c r="V65" s="185">
        <f t="shared" si="13"/>
        <v>0</v>
      </c>
      <c r="W65" s="185"/>
      <c r="X65" s="185"/>
      <c r="Y65" s="185"/>
      <c r="Z65" s="185"/>
      <c r="AA65" s="185"/>
      <c r="AB65" s="185"/>
      <c r="AC65" s="185"/>
      <c r="AD65" s="185"/>
      <c r="AE65" s="185">
        <f t="shared" si="27"/>
        <v>0</v>
      </c>
      <c r="AF65" s="185"/>
      <c r="AG65" s="185"/>
      <c r="AH65" s="185"/>
      <c r="AI65" s="185"/>
      <c r="AJ65" s="185"/>
      <c r="AK65" s="185"/>
      <c r="AL65" s="185"/>
      <c r="AM65" s="185"/>
      <c r="AN65" s="185"/>
      <c r="AO65" s="185"/>
      <c r="AP65" s="185"/>
      <c r="AQ65" s="185"/>
      <c r="AR65" s="185"/>
      <c r="AS65" s="185"/>
      <c r="AT65" s="185"/>
      <c r="AU65" s="185"/>
      <c r="AV65" s="185"/>
      <c r="AW65" s="185"/>
      <c r="AX65" s="185"/>
      <c r="AY65" s="185"/>
      <c r="AZ65" s="185"/>
      <c r="BA65" s="185"/>
      <c r="BB65" s="185"/>
      <c r="BC65" s="185"/>
      <c r="BD65" s="185"/>
      <c r="BE65" s="185"/>
      <c r="BF65" s="185"/>
      <c r="BG65" s="185"/>
      <c r="BH65" s="185">
        <f>BI65+BJ65+BK65</f>
        <v>16.399999999999999</v>
      </c>
      <c r="BI65" s="185"/>
      <c r="BJ65" s="185">
        <f>D65-BL65</f>
        <v>16.399999999999999</v>
      </c>
      <c r="BK65" s="185"/>
      <c r="BL65" s="185">
        <f>E65+V65</f>
        <v>0</v>
      </c>
      <c r="BM65" s="185">
        <f>BJ67-BL65</f>
        <v>0</v>
      </c>
      <c r="BN65" s="185">
        <f>D65+BM65</f>
        <v>16.399999999999999</v>
      </c>
      <c r="BP65" s="117"/>
    </row>
    <row r="66" spans="1:68" ht="21.75" customHeight="1">
      <c r="A66" s="16" t="s">
        <v>222</v>
      </c>
      <c r="B66" s="145" t="s">
        <v>492</v>
      </c>
      <c r="C66" s="156" t="s">
        <v>211</v>
      </c>
      <c r="D66" s="455"/>
      <c r="E66" s="455">
        <f t="shared" si="4"/>
        <v>0</v>
      </c>
      <c r="F66" s="455">
        <f t="shared" si="21"/>
        <v>0</v>
      </c>
      <c r="G66" s="455">
        <f t="shared" si="8"/>
        <v>0</v>
      </c>
      <c r="H66" s="455">
        <f t="shared" si="12"/>
        <v>0</v>
      </c>
      <c r="I66" s="455"/>
      <c r="J66" s="455"/>
      <c r="K66" s="455"/>
      <c r="L66" s="455"/>
      <c r="M66" s="455"/>
      <c r="N66" s="455"/>
      <c r="O66" s="185">
        <f t="shared" si="33"/>
        <v>0</v>
      </c>
      <c r="P66" s="455"/>
      <c r="Q66" s="455"/>
      <c r="R66" s="455"/>
      <c r="S66" s="455"/>
      <c r="T66" s="455"/>
      <c r="U66" s="455"/>
      <c r="V66" s="455">
        <f t="shared" si="13"/>
        <v>0</v>
      </c>
      <c r="W66" s="455"/>
      <c r="X66" s="455"/>
      <c r="Y66" s="455"/>
      <c r="Z66" s="455"/>
      <c r="AA66" s="455"/>
      <c r="AB66" s="455"/>
      <c r="AC66" s="455"/>
      <c r="AD66" s="455"/>
      <c r="AE66" s="455">
        <f t="shared" si="27"/>
        <v>0</v>
      </c>
      <c r="AF66" s="455"/>
      <c r="AG66" s="455"/>
      <c r="AH66" s="455"/>
      <c r="AI66" s="455"/>
      <c r="AJ66" s="455"/>
      <c r="AK66" s="455"/>
      <c r="AL66" s="455"/>
      <c r="AM66" s="455"/>
      <c r="AN66" s="455"/>
      <c r="AO66" s="455"/>
      <c r="AP66" s="455"/>
      <c r="AQ66" s="455"/>
      <c r="AR66" s="455"/>
      <c r="AS66" s="455"/>
      <c r="AT66" s="455"/>
      <c r="AU66" s="455"/>
      <c r="AV66" s="455"/>
      <c r="AW66" s="455"/>
      <c r="AX66" s="455"/>
      <c r="AY66" s="455"/>
      <c r="AZ66" s="455"/>
      <c r="BA66" s="455"/>
      <c r="BB66" s="455"/>
      <c r="BC66" s="455"/>
      <c r="BD66" s="455"/>
      <c r="BE66" s="455"/>
      <c r="BF66" s="455"/>
      <c r="BG66" s="455"/>
      <c r="BH66" s="455">
        <f>BI66+BJ66+BK66</f>
        <v>0</v>
      </c>
      <c r="BI66" s="455"/>
      <c r="BJ66" s="455"/>
      <c r="BK66" s="455">
        <f>D66-BL66</f>
        <v>0</v>
      </c>
      <c r="BL66" s="455">
        <f>E66+V66</f>
        <v>0</v>
      </c>
      <c r="BM66" s="455">
        <f>D66-BL66</f>
        <v>0</v>
      </c>
      <c r="BN66" s="455">
        <f>D66+BM66</f>
        <v>0</v>
      </c>
      <c r="BP66" s="117"/>
    </row>
    <row r="67" spans="1:68" s="115" customFormat="1" ht="24.75" customHeight="1">
      <c r="A67" s="17"/>
      <c r="B67" s="146" t="s">
        <v>190</v>
      </c>
      <c r="C67" s="17"/>
      <c r="D67" s="399"/>
      <c r="E67" s="399">
        <f>E25+E63</f>
        <v>0</v>
      </c>
      <c r="F67" s="399">
        <f>F18+F22+F23+F24+F25+F63</f>
        <v>0</v>
      </c>
      <c r="G67" s="399">
        <f>G17+G18+G22+G23+G24+G25+G63</f>
        <v>0</v>
      </c>
      <c r="H67" s="399">
        <f>H15+H16+H17+H18+H22+H23+H24+H25+H63</f>
        <v>0</v>
      </c>
      <c r="I67" s="399">
        <f>I13+I14+I15+I16+I17+I18+I22+I23+I24+I25+I63</f>
        <v>0</v>
      </c>
      <c r="J67" s="399">
        <f>J12+J14+J15+J16+J17+J18+J22+J23+J24+J25+J63</f>
        <v>0</v>
      </c>
      <c r="K67" s="399">
        <f>K12+K13+K15+K16+K17+K18+K22+K23+K24+K25+K63</f>
        <v>0</v>
      </c>
      <c r="L67" s="399">
        <f>L12+L13+L14+L16+L17+L18+L22+L23+L24+L25+L63</f>
        <v>0</v>
      </c>
      <c r="M67" s="399">
        <f>M12+M13+M14+M15+M17+M18+M22+M23+M24+M25+M63</f>
        <v>0</v>
      </c>
      <c r="N67" s="399">
        <f>N12+N13+N14+N15+N16+N18+N22+N23+N24+N25+N63</f>
        <v>0</v>
      </c>
      <c r="O67" s="399">
        <f>O9+O22+O23+O24+O25+O63</f>
        <v>0</v>
      </c>
      <c r="P67" s="399">
        <f>P10+P17+P20+P21+P22+P23+P24+P25+P63</f>
        <v>0</v>
      </c>
      <c r="Q67" s="399">
        <f>Q12+Q13+Q14+Q15+Q16+Q17+Q19+Q21+Q22+Q23+Q24+Q25+Q63</f>
        <v>0</v>
      </c>
      <c r="R67" s="399">
        <f>R12+R13+R14+R15+R16+R17+R19+R20+R22+R23+R24+R25+R63</f>
        <v>0</v>
      </c>
      <c r="S67" s="399">
        <f>S9+S18+S23+S24+S25+S63</f>
        <v>0</v>
      </c>
      <c r="T67" s="399">
        <f>T9+T18+T22+T24+T25+T63</f>
        <v>0</v>
      </c>
      <c r="U67" s="399">
        <f>U9+U18+U22+U23+U25+U63</f>
        <v>0</v>
      </c>
      <c r="V67" s="399">
        <f>V8+V63</f>
        <v>2.5700000000000003</v>
      </c>
      <c r="W67" s="399">
        <f>W8+W27+W28+W29+W30+W31+W32+W33+W34+W46+W47+W48+W49+W50+W51+W52+W53+W54+W55+W56+W57+W58+W59+W60+W61+W62+W63</f>
        <v>0</v>
      </c>
      <c r="X67" s="399">
        <f>X8+X26+X28+X29+X30+X31+X32+X33+X34+X46+X47+X48+X49+X50+X51+X52+X53+X54+X55+X56+X57+X58+X59+X60+X61+X62+X63</f>
        <v>0</v>
      </c>
      <c r="Y67" s="399">
        <f>Y8+Y26+Y27+Y29+Y30+Y31+Y32+Y33+Y34+Y46+Y47+Y48+Y49+Y50+Y51+Y52+Y53+Y54+Y55+Y56+Y57+Y58+Y59+Y60+Y61+Y62+Y63</f>
        <v>0</v>
      </c>
      <c r="Z67" s="399">
        <f>Z8+Z26+Z27+Z28+Z30+Z31+Z32+Z33+Z34+Z46+Z47+Z48+Z49+Z50+Z51+Z52+Z53+Z54+Z55+Z56+Z57+Z58+Z59+Z60+Z61+Z62+Z63</f>
        <v>0</v>
      </c>
      <c r="AA67" s="399">
        <f>AA8+AA26+AA27+AA28+AA29+AA31+AA32+AA33+AA34+AA46+AA47+AA48+AA49+AA50+AA51+AA52+AA53+AA54+AA55+AA56+AA57+AA58+AA59+AA60+AA61+AA62+AA63</f>
        <v>0</v>
      </c>
      <c r="AB67" s="399">
        <f>AB8+AB26+AB27+AB28+AB29+AB30+AB32+AB33+AB34+AB46+AB47+AB48+AB49+AB50+AB51+AB52+AB53+AB54+AB55+AB56+AB57+AB58+AB59+AB60+AB61+AB62+AB63</f>
        <v>0</v>
      </c>
      <c r="AC67" s="399">
        <f>AC8+AC26+AC27+AC28+AC29+AC30+AC31+AC33+AC34+AC46+AC47+AC48+AC49+AC50+AC51+AC52+AC53+AC54+AC55+AC56+AC57+AC58+AC59+AC60+AC61+AC62+AC63</f>
        <v>0</v>
      </c>
      <c r="AD67" s="399">
        <f>AD8+AD26+AD27+AD28+AD29+AD30+AD31+AD32+AD34+AD46+AD47+AD48+AD49+AD50+AD51+AD52+AD53+AD54+AD55+AD56+AD57+AD58+AD59+AD60+AD61+AD62+AD63</f>
        <v>0</v>
      </c>
      <c r="AE67" s="399">
        <f>AE8+AE26+AE27+AE28+AE29+AE30+AE31+AE32+AE33+AE46+AE47+AE48+AE49+AE50+AE51+AE52+AE53+AE54+AE55+AE56+AE57+AE58+AE59+AE60+AE61+AE62+AE63</f>
        <v>0.55000000000000004</v>
      </c>
      <c r="AF67" s="399">
        <f>AF8+AF26+AF27+AF28+AF29+AF30+AF31+AF32+AF33+AF3+AF36+AF37+AF38+AF39+AF40+AF41+AF42+AF43+AF44+AF45+AF46+AF47+AF48+AF49+AF50+AF51+AF52+AF53+AF54+AF55+AF56+AF57+AF58+AF59+AF60+AF61+AF62+AF63</f>
        <v>0</v>
      </c>
      <c r="AG67" s="399">
        <f>AG8+AG26+AG27+AG28+AG29+AG30+AG31+AG32+AG33+AG35+AG37+AG38+AG39+AG40+AG41+AG42+AG43+AG44+AG45+AG46+AG47+AG48+AG49+AG50+AG51+AG52+AG53+AG54+AG55+AG56+AG57+AG58+AG59+AG60+AG61+AG62+AG63</f>
        <v>0</v>
      </c>
      <c r="AH67" s="399">
        <f>AH8+AH26+AH27+AH28+AH29+AH30+AH31+AH32+AH33+AH35+AH36+AH38+AH39+AH40+AH41+AH42+AH43+AH44+AH45+AH46+AH47+AH48+AH49+AH50+AH51+AH52+AH53+AH54+AH55+AH56+AH57+AH58+AH59+AH60+AH61+AH62+AH63</f>
        <v>0</v>
      </c>
      <c r="AI67" s="399">
        <f>AI8+AI26+AI27+AI28+AI29+AI30+AI31+AI32+AI33+AI35+AI36+AI37+AI39+AI40+AI41+AI42+AI43+AI44+AI45+AI46+AI47+AI48+AI49+AI50+AI51+AI52+AI53+AI54+AI55+AI56+AI57+AI58+AI59+AI60+AI61+AI62+AI63</f>
        <v>0</v>
      </c>
      <c r="AJ67" s="399">
        <f>AJ8+AJ26+AJ27+AJ28+AJ29+AJ30+AJ31+AJ32+AJ33+AJ35+AJ36+AJ37+AJ38+AJ40+AJ41+AJ42+AJ43+AJ44+AJ45+AJ46+AJ47+AJ48+AJ49+AJ50+AJ51+AJ52+AJ53+AJ54+AJ55+AJ56+AJ57+AJ58+AJ59+AJ60+AJ61+AJ62+AJ63</f>
        <v>0</v>
      </c>
      <c r="AK67" s="399">
        <f>AK8+AK26+AK27+AK28+AK29+AK30+AK31+AK32+AK33+AK35+AK36+AK37+AK38+AK39+AK41+AK42+AK43+AK44+AK45+AK46+AK47+AK48+AK49+AK50+AK51+AK52+AK53+AK54+AK55+AK56+AK57+AK58+AK59+AK60+AK61+AK62+AK63</f>
        <v>0</v>
      </c>
      <c r="AL67" s="399">
        <f>AL8+AL26+AL27+AL28+AL29+AL30+AL31+AL32+AL33+AL35+AL36+AL37+AL38+AL39+AL40+AL42+AL43+AL44+AL45+AL46+AL47+AL48+AL49+AL50+AL51+AL52+AL53+AL54+AL55+AL56+AL57+AL58+AL59+AL60+AL61+AL62+AL63</f>
        <v>0.55000000000000004</v>
      </c>
      <c r="AM67" s="399">
        <f>AM8+AM26+AM27+AM28+AM29+AM30+AM31+AM32+AM33+AM35+AM36+AM37+AM38+AM39+AM40+AM41+AM43+AM44+AM45+AM46+AM47+AM48+AM49+AM50+AM51+AM52+AM53+AM54+AM55+AM56+AM57+AM58+AM59+AM60+AM61+AM62+AM63</f>
        <v>0</v>
      </c>
      <c r="AN67" s="399">
        <f>AN8+AN26+AN27+AN28+AN29+AN30+AN31+AN32+AN33+AN35+AN36+AN37+AN38+AN39+AN40+AN41+AN42+AN44+AN45+AN46+AN47+AN48+AN49+AN50+AN51+AN52+AN53+AN54+AN55+AN56+AN57+AN58+AN59+AN60+AN61+AN62+AN63</f>
        <v>0</v>
      </c>
      <c r="AO67" s="399">
        <f>AO8+AO26+AO27+AO28+AO29+AO30+AO31+AO32+AO33+AO35+AO36+AO37+AO38+AO39+AO40+AO41+AO42+AO43+AO45+AO46+AO47+AO48+AO49+AO50+AO51+AO52+AO53+AO54+AO55+AO56+AO57+AO58+AO59+AO60+AO61+AO62+AO63</f>
        <v>0</v>
      </c>
      <c r="AP67" s="399">
        <f>AP8+AP26+AP27+AP28+AP29+AP30+AP31+AP32+AP33+AP35+AP36+AP37+AP38+AP39+AP40+AP41+AP42+AP43+AP44+AP46+AP47+AP48+AP49+AP50+AP51+AP52+AP53+AP54+AP55+AP56+AP57+AP58+AP59+AP60+AP61+AP62+AP63</f>
        <v>0</v>
      </c>
      <c r="AQ67" s="399">
        <f>AQ8+AQ26+AQ27+AQ28+AQ29+AQ30+AQ31+AQ32+AQ33+AQ34+AQ47+AQ48+AQ49+AQ50+AQ51+AQ52+AQ53+AQ54+AQ55+AQ56+AQ57+AQ58+AQ59+AQ60+AQ61+AQ62+AQ63</f>
        <v>0</v>
      </c>
      <c r="AR67" s="399">
        <f>AR8+AR26+AR27+AR28+AR29+AR30+AR31+AR32+AR33+AR34+AR46+AR48+AR49+AR50+AR51+AR52+AR53+AR54+AR55+AR56+AR57+AR58+AR59+AR60+AR61+AR62+AR63</f>
        <v>0</v>
      </c>
      <c r="AS67" s="399">
        <f>AS8+AS26+AS27+AS28+AS29+AS30+AS31+AS32+AS33+AS34+AS46+AS47+AS49+AS50+AS51+AS52+AS53+AS54+AS55+AS56+AS57+AS58+AS59+AS60+AS61+AS62+AS63</f>
        <v>0</v>
      </c>
      <c r="AT67" s="729">
        <f>AT8+AT26+AT27+AT28+AT29+AT30+AT31+AT32+AT33+AT34+AT46+AT47+AT48+AT50+AT51+AT52+AT53+AT54+AT55+AT56+AT57+AT58+AT59+AT60+AT61+AT62+AT63</f>
        <v>2.17</v>
      </c>
      <c r="AU67" s="399">
        <f>AU8+AU26+AU27+AU28+AU29+AU30+AU31+AU32+AU33+AU34+AU46+AU47+AU48+AU49+AU51+AU52+AU53+AU54+AU55+AU56+AU57+AU58+AU59+AU60+AU61+AU62+AU63</f>
        <v>0</v>
      </c>
      <c r="AV67" s="399">
        <f>AV8+AV26+AV27+AV28+AV29+AV30+AV31+AV32+AV33+AV34+AV46+AV47+AV48+AV49+AV50+AV52+AV53+AV54+AV55+AV56+AV57+AV58+AV59+AV60+AV61+AV62+AV63</f>
        <v>0</v>
      </c>
      <c r="AW67" s="399">
        <f>AW8+AW26+AW27+AW28+AW29+AW30+AW31+AW32+AW33+AW34+AW46+AW47+AW48+AW49+AW50+AW51+AW53+AW54+AW55+AW56+AW57+AW58+AW59+AW60+AW61+AW62+AW63</f>
        <v>0</v>
      </c>
      <c r="AX67" s="399">
        <f>AX8+AX26+AX27+AX28+AX29+AX30+AX31+AX32+AX33+AX34+AX46+AX47+AX48+AX49+AX50+AX51+AX52+AX54+AX55+AX56+AX57+AX58+AX59+AX60+AX61+AX62+AX63</f>
        <v>0</v>
      </c>
      <c r="AY67" s="399">
        <f>AY8+AY26+AY27+AY28+AY29+AY30+AY31+AY32+AY33+AY34+AY46+AY47+AY48+AY49+AY50+AY51+AY52+AY53+AY55+AY56+AY57+AY58+AY59+AY60+AY61+AY62+AY63</f>
        <v>0</v>
      </c>
      <c r="AZ67" s="399">
        <f>AZ8+AZ26+AZ27+AZ28+AZ29+AZ30+AZ31+AZ32+AZ33+AZ34+AZ46+AZ47+AZ48+AZ49+AZ50+AZ51+AZ52+AZ53+AZ54+AZ56+AZ57+AZ58+AZ59+AZ60+AZ61+AZ62+AZ63</f>
        <v>0</v>
      </c>
      <c r="BA67" s="399">
        <f>BA8+BA26+BA27+BA28+BA29+BA30+BA31+BA32+BA33+BA34+BA46+BA47+BA48+BA49+BA50+BA51+BA52+BA53+BA54+BA55+BA57+BA58+BA59+BA60+BA61+BA62+BA63</f>
        <v>0</v>
      </c>
      <c r="BB67" s="399">
        <f>BB8+BB26+BB27+BB28+BB29+BB30+BB31+BB32+BB33+BB34+BB46+BB47+BB48+BB49+BB50+BB51+BB52+BB53+BB54+BB55+BB56+BB58+BB59+BB60+BB61+BB62+BB63</f>
        <v>0</v>
      </c>
      <c r="BC67" s="399">
        <f>BC8+BC26+BC27+BC28+BC29+BC30+BC31+BC32+BC33+BC34+BC46+BC47+BC48+BC49+BC50+BC51+BC52+BC53+BC54+BC55+BC56+BC57+BC59+BC60+BC61+BC62+BC63</f>
        <v>0</v>
      </c>
      <c r="BD67" s="399">
        <f>BD8+BD26+BD27+BD28+BD29+BD30+BD31+BD32+BD33+BD34+BD46+BD47+BD48+BD49+BD50+BD51+BD52+BD53+BD54+BD55+BD56+BD57+BD58+BD60+BD61+BD62+BD63</f>
        <v>0</v>
      </c>
      <c r="BE67" s="399">
        <f>BE8+BE26+BE27+BE28+BE29+BE30+BE31+BE32+BE33+BE34+BE46+BE47+BE48+BE49+BE50+BE51+BE52+BE53+BE54+BE55+BE56+BE57+BE58+BE59+BE61+BE62+BE63</f>
        <v>0</v>
      </c>
      <c r="BF67" s="399">
        <f>BF8+BF26+BF27+BF28+BF29+BF30+BF31+BF32+BF33+BF34+BF46+BF47+BF48+BF49+BF50+BF51+BF52+BF53+BF54+BF55+BF56+BF57+BF58+BF59+BF60+BF62+BF63</f>
        <v>2.73</v>
      </c>
      <c r="BG67" s="399">
        <f>BG8+BG26+BG27+BG28+BG29+BG30+BG31+BG32+BG33+BG34+BG46+BG47+BG48+BG49+BG50+BG51+BG52+BG53+BG54+BG55+BG56+BG57+BG58+BG59+BG60+BG61+BG63</f>
        <v>0</v>
      </c>
      <c r="BH67" s="399">
        <f>BH8+BH25</f>
        <v>0</v>
      </c>
      <c r="BI67" s="399">
        <f>BI8+BI25+BI65+BI66</f>
        <v>0</v>
      </c>
      <c r="BJ67" s="399">
        <f>BJ8+BJ25+BJ64+BJ66</f>
        <v>0</v>
      </c>
      <c r="BK67" s="399">
        <f>BK8+BK25+BK64+BK65</f>
        <v>0</v>
      </c>
      <c r="BL67" s="399"/>
      <c r="BM67" s="399"/>
      <c r="BN67" s="399"/>
    </row>
    <row r="68" spans="1:68" s="117" customFormat="1" ht="31.5" customHeight="1">
      <c r="A68" s="18"/>
      <c r="B68" s="149" t="s">
        <v>695</v>
      </c>
      <c r="C68" s="157"/>
      <c r="D68" s="456">
        <f>BN7</f>
        <v>2120.36</v>
      </c>
      <c r="E68" s="456">
        <f>BN8</f>
        <v>1588</v>
      </c>
      <c r="F68" s="456">
        <f>BN9</f>
        <v>394.23</v>
      </c>
      <c r="G68" s="456">
        <f>BN10</f>
        <v>339.04999999999995</v>
      </c>
      <c r="H68" s="456">
        <f>BN11</f>
        <v>250.82999999999998</v>
      </c>
      <c r="I68" s="456">
        <f>BN12</f>
        <v>108.55</v>
      </c>
      <c r="J68" s="456">
        <f>BN13</f>
        <v>142.28</v>
      </c>
      <c r="K68" s="456">
        <f>BN14</f>
        <v>0</v>
      </c>
      <c r="L68" s="456">
        <f>BN15</f>
        <v>0</v>
      </c>
      <c r="M68" s="456">
        <f>BN16</f>
        <v>88.22</v>
      </c>
      <c r="N68" s="456">
        <f>BN17</f>
        <v>55.18</v>
      </c>
      <c r="O68" s="456">
        <f>BN18</f>
        <v>1163.28</v>
      </c>
      <c r="P68" s="456">
        <f>BN19</f>
        <v>159.12</v>
      </c>
      <c r="Q68" s="456">
        <f>BN20</f>
        <v>0</v>
      </c>
      <c r="R68" s="456">
        <f>BN21</f>
        <v>1004.16</v>
      </c>
      <c r="S68" s="456">
        <f>BN22</f>
        <v>30.49</v>
      </c>
      <c r="T68" s="456">
        <f>BN23</f>
        <v>0</v>
      </c>
      <c r="U68" s="456">
        <f>BN24</f>
        <v>0</v>
      </c>
      <c r="V68" s="456">
        <f>BN25</f>
        <v>234.93000000000004</v>
      </c>
      <c r="W68" s="456">
        <f>BN26</f>
        <v>53.27</v>
      </c>
      <c r="X68" s="456">
        <f>BN27</f>
        <v>0</v>
      </c>
      <c r="Y68" s="456">
        <f>BN28</f>
        <v>0</v>
      </c>
      <c r="Z68" s="456">
        <f>BN29</f>
        <v>0</v>
      </c>
      <c r="AA68" s="456">
        <f>BN30</f>
        <v>0</v>
      </c>
      <c r="AB68" s="456">
        <f>BN31</f>
        <v>0</v>
      </c>
      <c r="AC68" s="456">
        <f>BN32</f>
        <v>1.51</v>
      </c>
      <c r="AD68" s="456">
        <f>BN33</f>
        <v>0</v>
      </c>
      <c r="AE68" s="456">
        <f>BN34</f>
        <v>84.49</v>
      </c>
      <c r="AF68" s="456">
        <f>BN35</f>
        <v>0.08</v>
      </c>
      <c r="AG68" s="456">
        <f>BN36</f>
        <v>0.2</v>
      </c>
      <c r="AH68" s="456">
        <f>BN37</f>
        <v>1.74</v>
      </c>
      <c r="AI68" s="456">
        <f>BN38</f>
        <v>2.21</v>
      </c>
      <c r="AJ68" s="456">
        <f>BN39</f>
        <v>0</v>
      </c>
      <c r="AK68" s="456">
        <f>BN40</f>
        <v>0</v>
      </c>
      <c r="AL68" s="456">
        <f>BN41</f>
        <v>44.93</v>
      </c>
      <c r="AM68" s="456">
        <f>BN42</f>
        <v>35.22</v>
      </c>
      <c r="AN68" s="456">
        <f>BN43</f>
        <v>0</v>
      </c>
      <c r="AO68" s="456">
        <f>BN44</f>
        <v>0.11</v>
      </c>
      <c r="AP68" s="456">
        <f>BN45</f>
        <v>0</v>
      </c>
      <c r="AQ68" s="456">
        <f>BN46</f>
        <v>0</v>
      </c>
      <c r="AR68" s="456">
        <f>BN47</f>
        <v>0</v>
      </c>
      <c r="AS68" s="456">
        <f>BN48</f>
        <v>0.21</v>
      </c>
      <c r="AT68" s="456">
        <f>BN49</f>
        <v>23.740000000000002</v>
      </c>
      <c r="AU68" s="456">
        <f>BN50</f>
        <v>0</v>
      </c>
      <c r="AV68" s="456">
        <f>BN51</f>
        <v>1.05</v>
      </c>
      <c r="AW68" s="456">
        <f>BN52</f>
        <v>0</v>
      </c>
      <c r="AX68" s="456">
        <f>BN53</f>
        <v>0</v>
      </c>
      <c r="AY68" s="456">
        <f>BN54</f>
        <v>0</v>
      </c>
      <c r="AZ68" s="456">
        <f>BN55</f>
        <v>16.59</v>
      </c>
      <c r="BA68" s="456">
        <f>BN56</f>
        <v>0</v>
      </c>
      <c r="BB68" s="456">
        <f>BN57</f>
        <v>0.62</v>
      </c>
      <c r="BC68" s="456">
        <f>BN58</f>
        <v>0</v>
      </c>
      <c r="BD68" s="456">
        <f>BN59</f>
        <v>0.57999999999999996</v>
      </c>
      <c r="BE68" s="456">
        <f>BN60</f>
        <v>0</v>
      </c>
      <c r="BF68" s="456">
        <f>BN61</f>
        <v>52.87</v>
      </c>
      <c r="BG68" s="456">
        <f>BN62</f>
        <v>0</v>
      </c>
      <c r="BH68" s="456">
        <f>BN63</f>
        <v>297.42999999999995</v>
      </c>
      <c r="BI68" s="456">
        <f>BN64</f>
        <v>281.02999999999997</v>
      </c>
      <c r="BJ68" s="456">
        <f>BN65</f>
        <v>16.399999999999999</v>
      </c>
      <c r="BK68" s="456">
        <f>BN66</f>
        <v>0</v>
      </c>
      <c r="BL68" s="456"/>
      <c r="BM68" s="456"/>
      <c r="BN68" s="456"/>
    </row>
    <row r="70" spans="1:68" ht="18" customHeight="1">
      <c r="A70" s="1300" t="s">
        <v>10</v>
      </c>
      <c r="B70" s="1300"/>
    </row>
    <row r="71" spans="1:68" ht="28.5" customHeight="1">
      <c r="A71" s="1300" t="s">
        <v>321</v>
      </c>
      <c r="B71" s="1300"/>
      <c r="C71" s="1300"/>
      <c r="D71" s="1300"/>
      <c r="E71" s="1300"/>
      <c r="F71" s="1300"/>
      <c r="G71" s="1300"/>
      <c r="H71" s="1300"/>
      <c r="I71" s="1300"/>
      <c r="J71" s="1300"/>
      <c r="K71" s="1300"/>
      <c r="L71" s="1300"/>
      <c r="M71" s="1300"/>
      <c r="N71" s="1300"/>
      <c r="O71" s="1300"/>
      <c r="P71" s="1300"/>
      <c r="Q71" s="1300"/>
      <c r="R71" s="1300"/>
      <c r="S71" s="1300"/>
      <c r="T71" s="1300"/>
      <c r="U71" s="1300"/>
      <c r="V71" s="1300"/>
      <c r="W71" s="1300"/>
      <c r="X71" s="1300"/>
      <c r="Y71" s="1300"/>
      <c r="Z71" s="1300"/>
      <c r="AA71" s="1300"/>
      <c r="AB71" s="1300"/>
      <c r="AC71" s="1300"/>
      <c r="AD71" s="1300"/>
      <c r="AE71" s="1300"/>
      <c r="AF71" s="1300"/>
      <c r="AG71" s="1300"/>
      <c r="AH71" s="1300"/>
      <c r="AI71" s="1300"/>
      <c r="AJ71" s="1300"/>
      <c r="AK71" s="1300"/>
      <c r="AL71" s="1300"/>
      <c r="AM71" s="1300"/>
      <c r="AN71" s="1300"/>
      <c r="AO71" s="1300"/>
      <c r="AP71" s="1300"/>
      <c r="AQ71" s="1300"/>
      <c r="AR71" s="1300"/>
      <c r="AS71" s="1300"/>
    </row>
    <row r="72" spans="1:68" ht="24.75" customHeight="1">
      <c r="A72" s="1300" t="s">
        <v>322</v>
      </c>
      <c r="B72" s="1300"/>
      <c r="C72" s="1300"/>
      <c r="D72" s="1300"/>
      <c r="E72" s="1300"/>
      <c r="F72" s="1300"/>
      <c r="G72" s="1300"/>
      <c r="H72" s="1300"/>
      <c r="I72" s="1300"/>
      <c r="J72" s="1300"/>
      <c r="K72" s="1300"/>
      <c r="L72" s="1300"/>
      <c r="M72" s="1300"/>
      <c r="N72" s="1300"/>
      <c r="O72" s="1300"/>
      <c r="P72" s="1300"/>
      <c r="Q72" s="1300"/>
      <c r="R72" s="1300"/>
      <c r="S72" s="1300"/>
      <c r="T72" s="1300"/>
      <c r="U72" s="1300"/>
      <c r="V72" s="1300"/>
      <c r="W72" s="1300"/>
      <c r="X72" s="1300"/>
      <c r="Y72" s="1300"/>
      <c r="Z72" s="1300"/>
      <c r="AA72" s="1300"/>
      <c r="AB72" s="1300"/>
      <c r="AC72" s="1300"/>
      <c r="AD72" s="1300"/>
      <c r="AE72" s="1300"/>
      <c r="AF72" s="1300"/>
      <c r="AG72" s="1300"/>
      <c r="AH72" s="1300"/>
      <c r="AI72" s="1300"/>
      <c r="AJ72" s="1300"/>
      <c r="AK72" s="1300"/>
      <c r="AL72" s="1300"/>
      <c r="AM72" s="1300"/>
      <c r="AN72" s="1300"/>
      <c r="AO72" s="1300"/>
      <c r="AP72" s="1300"/>
      <c r="AQ72" s="1300"/>
      <c r="AR72" s="1300"/>
      <c r="AS72" s="1300"/>
    </row>
    <row r="73" spans="1:68" ht="21.75" customHeight="1">
      <c r="AR73" s="1300" t="s">
        <v>138</v>
      </c>
      <c r="AS73" s="1300"/>
    </row>
    <row r="74" spans="1:68" ht="31.5" customHeight="1">
      <c r="A74" s="1300" t="s">
        <v>0</v>
      </c>
      <c r="B74" s="1300" t="s">
        <v>12</v>
      </c>
      <c r="C74" s="1300" t="s">
        <v>13</v>
      </c>
      <c r="D74" s="1300" t="s">
        <v>324</v>
      </c>
      <c r="E74" s="1300" t="s">
        <v>326</v>
      </c>
      <c r="F74" s="1300"/>
      <c r="G74" s="1300"/>
      <c r="H74" s="1300"/>
      <c r="I74" s="1300"/>
      <c r="J74" s="1300"/>
      <c r="K74" s="1300"/>
      <c r="L74" s="1300"/>
      <c r="M74" s="1300"/>
      <c r="N74" s="1300"/>
      <c r="O74" s="1300"/>
      <c r="P74" s="1300"/>
      <c r="Q74" s="1300"/>
      <c r="R74" s="1300"/>
      <c r="S74" s="1300"/>
      <c r="T74" s="1300"/>
      <c r="U74" s="1300"/>
      <c r="V74" s="1300"/>
      <c r="W74" s="1300"/>
      <c r="X74" s="1300"/>
      <c r="Y74" s="1300"/>
      <c r="Z74" s="1300"/>
      <c r="AA74" s="1300"/>
      <c r="AB74" s="1300"/>
      <c r="AC74" s="1300"/>
      <c r="AD74" s="1300"/>
      <c r="AE74" s="1300"/>
      <c r="AF74" s="1300"/>
      <c r="AG74" s="1300"/>
      <c r="AH74" s="1300"/>
      <c r="AI74" s="1300"/>
      <c r="AJ74" s="1300"/>
      <c r="AK74" s="1300"/>
      <c r="AL74" s="1300"/>
      <c r="AM74" s="1300"/>
      <c r="AN74" s="1300"/>
      <c r="AO74" s="1300"/>
      <c r="AP74" s="1300"/>
      <c r="AQ74" s="1300"/>
      <c r="AR74" s="1300" t="s">
        <v>191</v>
      </c>
      <c r="AS74" s="1300" t="s">
        <v>323</v>
      </c>
    </row>
    <row r="75" spans="1:68" ht="30" customHeight="1">
      <c r="A75" s="1300"/>
      <c r="B75" s="1300"/>
      <c r="C75" s="1300"/>
      <c r="D75" s="1300"/>
      <c r="E75" t="s">
        <v>15</v>
      </c>
      <c r="F75" t="s">
        <v>18</v>
      </c>
      <c r="G75" t="s">
        <v>20</v>
      </c>
      <c r="H75" t="s">
        <v>23</v>
      </c>
      <c r="I75" t="s">
        <v>26</v>
      </c>
      <c r="J75" t="s">
        <v>29</v>
      </c>
      <c r="K75" t="s">
        <v>32</v>
      </c>
      <c r="L75" t="s">
        <v>35</v>
      </c>
      <c r="M75" t="s">
        <v>38</v>
      </c>
      <c r="N75" t="s">
        <v>41</v>
      </c>
      <c r="O75" t="s">
        <v>44</v>
      </c>
      <c r="P75" t="s">
        <v>46</v>
      </c>
      <c r="Q75" t="s">
        <v>49</v>
      </c>
      <c r="R75" t="s">
        <v>52</v>
      </c>
      <c r="S75" t="s">
        <v>55</v>
      </c>
      <c r="T75" t="s">
        <v>58</v>
      </c>
      <c r="U75" t="s">
        <v>61</v>
      </c>
      <c r="V75" t="s">
        <v>64</v>
      </c>
      <c r="W75" t="s">
        <v>67</v>
      </c>
      <c r="X75" t="s">
        <v>70</v>
      </c>
      <c r="Y75" t="s">
        <v>72</v>
      </c>
      <c r="Z75" t="s">
        <v>75</v>
      </c>
      <c r="AA75" t="s">
        <v>78</v>
      </c>
      <c r="AB75" t="s">
        <v>81</v>
      </c>
      <c r="AC75" t="s">
        <v>84</v>
      </c>
      <c r="AD75" t="s">
        <v>87</v>
      </c>
      <c r="AE75" t="s">
        <v>90</v>
      </c>
      <c r="AF75" t="s">
        <v>93</v>
      </c>
      <c r="AG75" t="s">
        <v>96</v>
      </c>
      <c r="AH75" t="s">
        <v>99</v>
      </c>
      <c r="AI75" t="s">
        <v>101</v>
      </c>
      <c r="AJ75" t="s">
        <v>104</v>
      </c>
      <c r="AK75" t="s">
        <v>107</v>
      </c>
      <c r="AL75" t="s">
        <v>110</v>
      </c>
      <c r="AM75" t="s">
        <v>113</v>
      </c>
      <c r="AN75" t="s">
        <v>116</v>
      </c>
      <c r="AO75" t="s">
        <v>119</v>
      </c>
      <c r="AP75" t="s">
        <v>122</v>
      </c>
      <c r="AQ75" t="s">
        <v>124</v>
      </c>
      <c r="AR75" s="1300"/>
      <c r="AS75" s="1300"/>
    </row>
    <row r="76" spans="1:68" ht="27.75" customHeight="1">
      <c r="B76" t="s">
        <v>189</v>
      </c>
      <c r="D76">
        <f>D77+D88+D115</f>
        <v>2120.3599999999997</v>
      </c>
      <c r="E76">
        <f t="shared" ref="E76:AS76" si="34">E77+E88+E115</f>
        <v>1587.9999999999998</v>
      </c>
      <c r="F76">
        <f t="shared" si="34"/>
        <v>250.82999999999998</v>
      </c>
      <c r="G76">
        <f t="shared" si="34"/>
        <v>0</v>
      </c>
      <c r="H76">
        <f t="shared" si="34"/>
        <v>88.22</v>
      </c>
      <c r="I76">
        <f t="shared" si="34"/>
        <v>55.18</v>
      </c>
      <c r="J76">
        <f>J77+J88+J115</f>
        <v>159.12</v>
      </c>
      <c r="K76">
        <f t="shared" si="34"/>
        <v>0</v>
      </c>
      <c r="L76">
        <f t="shared" si="34"/>
        <v>1004.16</v>
      </c>
      <c r="M76">
        <f t="shared" si="34"/>
        <v>30.49</v>
      </c>
      <c r="N76">
        <f t="shared" si="34"/>
        <v>0</v>
      </c>
      <c r="O76">
        <f t="shared" si="34"/>
        <v>0</v>
      </c>
      <c r="P76">
        <f t="shared" si="34"/>
        <v>234.93</v>
      </c>
      <c r="Q76">
        <f t="shared" si="34"/>
        <v>53.27</v>
      </c>
      <c r="R76">
        <f t="shared" si="34"/>
        <v>0</v>
      </c>
      <c r="S76">
        <f t="shared" si="34"/>
        <v>0</v>
      </c>
      <c r="T76">
        <f t="shared" si="34"/>
        <v>0</v>
      </c>
      <c r="U76">
        <f t="shared" si="34"/>
        <v>0</v>
      </c>
      <c r="V76">
        <f t="shared" si="34"/>
        <v>0</v>
      </c>
      <c r="W76">
        <f t="shared" si="34"/>
        <v>1.51</v>
      </c>
      <c r="X76">
        <f t="shared" si="34"/>
        <v>0</v>
      </c>
      <c r="Y76">
        <f t="shared" si="34"/>
        <v>84.49</v>
      </c>
      <c r="Z76">
        <f t="shared" si="34"/>
        <v>0</v>
      </c>
      <c r="AA76">
        <f t="shared" si="34"/>
        <v>0</v>
      </c>
      <c r="AB76">
        <f t="shared" si="34"/>
        <v>0.21</v>
      </c>
      <c r="AC76">
        <f t="shared" si="34"/>
        <v>23.74</v>
      </c>
      <c r="AD76">
        <f t="shared" si="34"/>
        <v>0</v>
      </c>
      <c r="AE76">
        <f t="shared" si="34"/>
        <v>1.05</v>
      </c>
      <c r="AF76">
        <f t="shared" si="34"/>
        <v>0</v>
      </c>
      <c r="AG76">
        <f t="shared" si="34"/>
        <v>0</v>
      </c>
      <c r="AH76">
        <f t="shared" si="34"/>
        <v>0</v>
      </c>
      <c r="AI76">
        <f t="shared" si="34"/>
        <v>16.59</v>
      </c>
      <c r="AJ76">
        <f t="shared" si="34"/>
        <v>0</v>
      </c>
      <c r="AK76">
        <f t="shared" si="34"/>
        <v>0.62</v>
      </c>
      <c r="AL76">
        <f t="shared" si="34"/>
        <v>0</v>
      </c>
      <c r="AM76">
        <f t="shared" si="34"/>
        <v>0.57999999999999996</v>
      </c>
      <c r="AN76">
        <f t="shared" si="34"/>
        <v>0</v>
      </c>
      <c r="AO76">
        <f t="shared" si="34"/>
        <v>52.87</v>
      </c>
      <c r="AP76">
        <f t="shared" si="34"/>
        <v>0</v>
      </c>
      <c r="AQ76">
        <f t="shared" si="34"/>
        <v>0</v>
      </c>
      <c r="AS76">
        <f t="shared" si="34"/>
        <v>2120.3599999999997</v>
      </c>
    </row>
    <row r="77" spans="1:68" ht="20.25" customHeight="1">
      <c r="A77">
        <v>1</v>
      </c>
      <c r="B77" t="s">
        <v>14</v>
      </c>
      <c r="C77" t="s">
        <v>15</v>
      </c>
      <c r="D77">
        <f>D78+D80+D81+D82+D83+D84+D85+D86+D87</f>
        <v>1590.57</v>
      </c>
      <c r="E77">
        <f t="shared" ref="E77:AS77" si="35">E78+E80+E81+E82+E83+E84+E85+E86+E87</f>
        <v>1587.9999999999998</v>
      </c>
      <c r="F77">
        <f t="shared" si="35"/>
        <v>250.82999999999998</v>
      </c>
      <c r="G77">
        <f t="shared" si="35"/>
        <v>0</v>
      </c>
      <c r="H77">
        <f t="shared" si="35"/>
        <v>88.22</v>
      </c>
      <c r="I77">
        <f t="shared" si="35"/>
        <v>55.18</v>
      </c>
      <c r="J77">
        <f t="shared" si="35"/>
        <v>159.12</v>
      </c>
      <c r="K77">
        <f t="shared" si="35"/>
        <v>0</v>
      </c>
      <c r="L77">
        <f t="shared" si="35"/>
        <v>1004.16</v>
      </c>
      <c r="M77">
        <f t="shared" si="35"/>
        <v>30.49</v>
      </c>
      <c r="N77">
        <f t="shared" si="35"/>
        <v>0</v>
      </c>
      <c r="O77">
        <f t="shared" si="35"/>
        <v>0</v>
      </c>
      <c r="P77">
        <f>P78+P80+P81+P82+P83+P84+P85+P86+P87</f>
        <v>2.5700000000000003</v>
      </c>
      <c r="Q77">
        <f t="shared" si="35"/>
        <v>0</v>
      </c>
      <c r="R77">
        <f t="shared" si="35"/>
        <v>0</v>
      </c>
      <c r="S77">
        <f t="shared" si="35"/>
        <v>0</v>
      </c>
      <c r="T77">
        <f t="shared" si="35"/>
        <v>0</v>
      </c>
      <c r="U77">
        <f t="shared" si="35"/>
        <v>0</v>
      </c>
      <c r="V77">
        <f t="shared" si="35"/>
        <v>0</v>
      </c>
      <c r="W77">
        <f t="shared" si="35"/>
        <v>0</v>
      </c>
      <c r="X77">
        <f t="shared" si="35"/>
        <v>0</v>
      </c>
      <c r="Y77">
        <f t="shared" si="35"/>
        <v>0.44</v>
      </c>
      <c r="Z77">
        <f t="shared" si="35"/>
        <v>0</v>
      </c>
      <c r="AA77">
        <f t="shared" si="35"/>
        <v>0</v>
      </c>
      <c r="AB77">
        <f t="shared" si="35"/>
        <v>0</v>
      </c>
      <c r="AC77">
        <f t="shared" si="35"/>
        <v>2.13</v>
      </c>
      <c r="AD77">
        <f t="shared" si="35"/>
        <v>0</v>
      </c>
      <c r="AE77">
        <f t="shared" si="35"/>
        <v>0</v>
      </c>
      <c r="AF77">
        <f t="shared" si="35"/>
        <v>0</v>
      </c>
      <c r="AG77">
        <f t="shared" si="35"/>
        <v>0</v>
      </c>
      <c r="AH77">
        <f t="shared" si="35"/>
        <v>0</v>
      </c>
      <c r="AI77">
        <f t="shared" si="35"/>
        <v>0</v>
      </c>
      <c r="AJ77">
        <f t="shared" si="35"/>
        <v>0</v>
      </c>
      <c r="AK77">
        <f t="shared" si="35"/>
        <v>0</v>
      </c>
      <c r="AL77">
        <f t="shared" si="35"/>
        <v>0</v>
      </c>
      <c r="AM77">
        <f t="shared" si="35"/>
        <v>0</v>
      </c>
      <c r="AN77">
        <f t="shared" si="35"/>
        <v>0</v>
      </c>
      <c r="AO77">
        <f t="shared" si="35"/>
        <v>0</v>
      </c>
      <c r="AP77">
        <f t="shared" si="35"/>
        <v>0</v>
      </c>
      <c r="AQ77">
        <f t="shared" si="35"/>
        <v>0</v>
      </c>
      <c r="AR77">
        <f>P77</f>
        <v>2.5700000000000003</v>
      </c>
      <c r="AS77">
        <f t="shared" si="35"/>
        <v>1587.9999999999998</v>
      </c>
    </row>
    <row r="78" spans="1:68" ht="20.25" customHeight="1">
      <c r="A78" t="s">
        <v>16</v>
      </c>
      <c r="B78" t="s">
        <v>17</v>
      </c>
      <c r="C78" t="s">
        <v>18</v>
      </c>
      <c r="D78">
        <f>D11</f>
        <v>251.77999999999997</v>
      </c>
      <c r="E78">
        <f>F78+H78+I78+J78+K78+L78+M78+N78+O78</f>
        <v>250.82999999999998</v>
      </c>
      <c r="F78">
        <f>D78-AR78</f>
        <v>250.82999999999998</v>
      </c>
      <c r="G78">
        <f>I13</f>
        <v>0</v>
      </c>
      <c r="H78">
        <f>M11</f>
        <v>0</v>
      </c>
      <c r="I78">
        <f>N11</f>
        <v>0</v>
      </c>
      <c r="J78">
        <f t="shared" ref="J78:O79" si="36">P11</f>
        <v>0</v>
      </c>
      <c r="K78">
        <f t="shared" si="36"/>
        <v>0</v>
      </c>
      <c r="L78">
        <f t="shared" si="36"/>
        <v>0</v>
      </c>
      <c r="M78">
        <f t="shared" si="36"/>
        <v>0</v>
      </c>
      <c r="N78">
        <f t="shared" si="36"/>
        <v>0</v>
      </c>
      <c r="O78">
        <f t="shared" si="36"/>
        <v>0</v>
      </c>
      <c r="P78">
        <f>SUM(Q78:AP78)</f>
        <v>0.95000000000000007</v>
      </c>
      <c r="Q78">
        <f t="shared" ref="Q78:Y79" si="37">W11</f>
        <v>0</v>
      </c>
      <c r="R78">
        <f t="shared" si="37"/>
        <v>0</v>
      </c>
      <c r="S78">
        <f t="shared" si="37"/>
        <v>0</v>
      </c>
      <c r="T78">
        <f t="shared" si="37"/>
        <v>0</v>
      </c>
      <c r="U78">
        <f t="shared" si="37"/>
        <v>0</v>
      </c>
      <c r="V78">
        <f t="shared" si="37"/>
        <v>0</v>
      </c>
      <c r="W78">
        <f t="shared" si="37"/>
        <v>0</v>
      </c>
      <c r="X78">
        <f t="shared" si="37"/>
        <v>0</v>
      </c>
      <c r="Y78">
        <f t="shared" si="37"/>
        <v>0.13</v>
      </c>
      <c r="Z78">
        <f>AQ11</f>
        <v>0</v>
      </c>
      <c r="AA78">
        <f t="shared" ref="AA78:AQ79" si="38">AR11</f>
        <v>0</v>
      </c>
      <c r="AB78">
        <f t="shared" si="38"/>
        <v>0</v>
      </c>
      <c r="AC78">
        <f t="shared" si="38"/>
        <v>0.82000000000000006</v>
      </c>
      <c r="AD78">
        <f t="shared" si="38"/>
        <v>0</v>
      </c>
      <c r="AE78">
        <f t="shared" si="38"/>
        <v>0</v>
      </c>
      <c r="AF78">
        <f t="shared" si="38"/>
        <v>0</v>
      </c>
      <c r="AG78">
        <f t="shared" si="38"/>
        <v>0</v>
      </c>
      <c r="AH78">
        <f t="shared" si="38"/>
        <v>0</v>
      </c>
      <c r="AI78">
        <f t="shared" si="38"/>
        <v>0</v>
      </c>
      <c r="AJ78">
        <f t="shared" si="38"/>
        <v>0</v>
      </c>
      <c r="AK78">
        <f t="shared" si="38"/>
        <v>0</v>
      </c>
      <c r="AL78">
        <f t="shared" si="38"/>
        <v>0</v>
      </c>
      <c r="AM78">
        <f t="shared" si="38"/>
        <v>0</v>
      </c>
      <c r="AN78">
        <f t="shared" si="38"/>
        <v>0</v>
      </c>
      <c r="AO78">
        <f t="shared" si="38"/>
        <v>0</v>
      </c>
      <c r="AP78">
        <f t="shared" si="38"/>
        <v>0</v>
      </c>
      <c r="AQ78">
        <f t="shared" si="38"/>
        <v>0</v>
      </c>
      <c r="AR78">
        <f>H78+I78+J78+K78+L78+M78+N78+O78+P78+AQ78</f>
        <v>0.95000000000000007</v>
      </c>
      <c r="AS78">
        <f>D78+F116-AR78</f>
        <v>250.82999999999998</v>
      </c>
    </row>
    <row r="79" spans="1:68" ht="20.25" customHeight="1">
      <c r="B79" t="s">
        <v>19</v>
      </c>
      <c r="C79" t="s">
        <v>20</v>
      </c>
      <c r="D79">
        <f>D12</f>
        <v>108.58</v>
      </c>
      <c r="E79">
        <f t="shared" ref="E79:E114" si="39">F79+H79+I79+J79+K79+L79+M79+N79+O79</f>
        <v>0</v>
      </c>
      <c r="G79">
        <f>D79-AR79</f>
        <v>108.55</v>
      </c>
      <c r="H79">
        <f>M12</f>
        <v>0</v>
      </c>
      <c r="I79">
        <f>N12</f>
        <v>0</v>
      </c>
      <c r="J79">
        <f t="shared" si="36"/>
        <v>0</v>
      </c>
      <c r="K79">
        <f t="shared" si="36"/>
        <v>0</v>
      </c>
      <c r="L79">
        <f t="shared" si="36"/>
        <v>0</v>
      </c>
      <c r="M79">
        <f t="shared" si="36"/>
        <v>0</v>
      </c>
      <c r="N79">
        <f t="shared" si="36"/>
        <v>0</v>
      </c>
      <c r="O79">
        <f t="shared" si="36"/>
        <v>0</v>
      </c>
      <c r="P79">
        <f t="shared" ref="P79:P87" si="40">SUM(Q79:AP79)</f>
        <v>0.03</v>
      </c>
      <c r="Q79">
        <f t="shared" si="37"/>
        <v>0</v>
      </c>
      <c r="R79">
        <f t="shared" si="37"/>
        <v>0</v>
      </c>
      <c r="S79">
        <f t="shared" si="37"/>
        <v>0</v>
      </c>
      <c r="T79">
        <f t="shared" si="37"/>
        <v>0</v>
      </c>
      <c r="U79">
        <f t="shared" si="37"/>
        <v>0</v>
      </c>
      <c r="V79">
        <f t="shared" si="37"/>
        <v>0</v>
      </c>
      <c r="W79">
        <f t="shared" si="37"/>
        <v>0</v>
      </c>
      <c r="X79">
        <f t="shared" si="37"/>
        <v>0</v>
      </c>
      <c r="Y79">
        <f t="shared" si="37"/>
        <v>0</v>
      </c>
      <c r="Z79">
        <f>AQ12</f>
        <v>0</v>
      </c>
      <c r="AA79">
        <f t="shared" si="38"/>
        <v>0</v>
      </c>
      <c r="AB79">
        <f t="shared" si="38"/>
        <v>0</v>
      </c>
      <c r="AC79">
        <f t="shared" si="38"/>
        <v>0.03</v>
      </c>
      <c r="AD79">
        <f t="shared" si="38"/>
        <v>0</v>
      </c>
      <c r="AE79">
        <f t="shared" si="38"/>
        <v>0</v>
      </c>
      <c r="AF79">
        <f t="shared" si="38"/>
        <v>0</v>
      </c>
      <c r="AG79">
        <f t="shared" si="38"/>
        <v>0</v>
      </c>
      <c r="AH79">
        <f t="shared" si="38"/>
        <v>0</v>
      </c>
      <c r="AI79">
        <f t="shared" si="38"/>
        <v>0</v>
      </c>
      <c r="AJ79">
        <f t="shared" si="38"/>
        <v>0</v>
      </c>
      <c r="AK79">
        <f t="shared" si="38"/>
        <v>0</v>
      </c>
      <c r="AL79">
        <f t="shared" si="38"/>
        <v>0</v>
      </c>
      <c r="AM79">
        <f t="shared" si="38"/>
        <v>0</v>
      </c>
      <c r="AN79">
        <f t="shared" si="38"/>
        <v>0</v>
      </c>
      <c r="AO79">
        <f t="shared" si="38"/>
        <v>0</v>
      </c>
      <c r="AP79">
        <f t="shared" si="38"/>
        <v>0</v>
      </c>
      <c r="AQ79">
        <f t="shared" si="38"/>
        <v>0</v>
      </c>
      <c r="AR79">
        <f>F79+H79+I79+J79+K79+L79+M79+N79+O79+P79</f>
        <v>0.03</v>
      </c>
      <c r="AS79">
        <f>D79+G116-AR79</f>
        <v>108.55</v>
      </c>
    </row>
    <row r="80" spans="1:68" ht="20.25" customHeight="1">
      <c r="A80" t="s">
        <v>21</v>
      </c>
      <c r="B80" t="s">
        <v>22</v>
      </c>
      <c r="C80" t="s">
        <v>23</v>
      </c>
      <c r="D80">
        <f>D16</f>
        <v>89.34</v>
      </c>
      <c r="E80">
        <f t="shared" si="39"/>
        <v>88.22</v>
      </c>
      <c r="F80">
        <f>H16</f>
        <v>0</v>
      </c>
      <c r="G80">
        <f>I16</f>
        <v>0</v>
      </c>
      <c r="H80">
        <f>D80-AR80</f>
        <v>88.22</v>
      </c>
      <c r="I80">
        <f>N16</f>
        <v>0</v>
      </c>
      <c r="J80">
        <f t="shared" ref="J80:O81" si="41">P16</f>
        <v>0</v>
      </c>
      <c r="K80">
        <f t="shared" si="41"/>
        <v>0</v>
      </c>
      <c r="L80">
        <f t="shared" si="41"/>
        <v>0</v>
      </c>
      <c r="M80">
        <f t="shared" si="41"/>
        <v>0</v>
      </c>
      <c r="N80">
        <f t="shared" si="41"/>
        <v>0</v>
      </c>
      <c r="O80">
        <f t="shared" si="41"/>
        <v>0</v>
      </c>
      <c r="P80">
        <f t="shared" si="40"/>
        <v>1.1200000000000001</v>
      </c>
      <c r="Q80">
        <f t="shared" ref="Q80:Y81" si="42">W16</f>
        <v>0</v>
      </c>
      <c r="R80">
        <f t="shared" si="42"/>
        <v>0</v>
      </c>
      <c r="S80">
        <f t="shared" si="42"/>
        <v>0</v>
      </c>
      <c r="T80">
        <f t="shared" si="42"/>
        <v>0</v>
      </c>
      <c r="U80">
        <f t="shared" si="42"/>
        <v>0</v>
      </c>
      <c r="V80">
        <f t="shared" si="42"/>
        <v>0</v>
      </c>
      <c r="W80">
        <f t="shared" si="42"/>
        <v>0</v>
      </c>
      <c r="X80">
        <f t="shared" si="42"/>
        <v>0</v>
      </c>
      <c r="Y80">
        <f t="shared" si="42"/>
        <v>0.31</v>
      </c>
      <c r="Z80">
        <f>AQ16</f>
        <v>0</v>
      </c>
      <c r="AA80">
        <f t="shared" ref="AA80:AQ81" si="43">AR16</f>
        <v>0</v>
      </c>
      <c r="AB80">
        <f t="shared" si="43"/>
        <v>0</v>
      </c>
      <c r="AC80">
        <f t="shared" si="43"/>
        <v>0.81</v>
      </c>
      <c r="AD80">
        <f t="shared" si="43"/>
        <v>0</v>
      </c>
      <c r="AE80">
        <f t="shared" si="43"/>
        <v>0</v>
      </c>
      <c r="AF80">
        <f t="shared" si="43"/>
        <v>0</v>
      </c>
      <c r="AG80">
        <f t="shared" si="43"/>
        <v>0</v>
      </c>
      <c r="AH80">
        <f t="shared" si="43"/>
        <v>0</v>
      </c>
      <c r="AI80">
        <f t="shared" si="43"/>
        <v>0</v>
      </c>
      <c r="AJ80">
        <f t="shared" si="43"/>
        <v>0</v>
      </c>
      <c r="AK80">
        <f t="shared" si="43"/>
        <v>0</v>
      </c>
      <c r="AL80">
        <f t="shared" si="43"/>
        <v>0</v>
      </c>
      <c r="AM80">
        <f t="shared" si="43"/>
        <v>0</v>
      </c>
      <c r="AN80">
        <f t="shared" si="43"/>
        <v>0</v>
      </c>
      <c r="AO80">
        <f t="shared" si="43"/>
        <v>0</v>
      </c>
      <c r="AP80">
        <f t="shared" si="43"/>
        <v>0</v>
      </c>
      <c r="AQ80">
        <f t="shared" si="43"/>
        <v>0</v>
      </c>
      <c r="AR80">
        <f>F80+I80+J80+K80+L80+M80+N80+O80+P80</f>
        <v>1.1200000000000001</v>
      </c>
      <c r="AS80">
        <f>D80+H116-AR80</f>
        <v>88.22</v>
      </c>
    </row>
    <row r="81" spans="1:45" ht="20.25" customHeight="1">
      <c r="A81" t="s">
        <v>24</v>
      </c>
      <c r="B81" t="s">
        <v>25</v>
      </c>
      <c r="C81" t="s">
        <v>26</v>
      </c>
      <c r="D81">
        <f>D17</f>
        <v>55.68</v>
      </c>
      <c r="E81">
        <f t="shared" si="39"/>
        <v>55.18</v>
      </c>
      <c r="F81">
        <f>H17</f>
        <v>0</v>
      </c>
      <c r="G81">
        <f>I17</f>
        <v>0</v>
      </c>
      <c r="H81">
        <f>M17</f>
        <v>0</v>
      </c>
      <c r="I81">
        <f>D81-AR81</f>
        <v>55.18</v>
      </c>
      <c r="J81">
        <f t="shared" si="41"/>
        <v>0</v>
      </c>
      <c r="K81">
        <f t="shared" si="41"/>
        <v>0</v>
      </c>
      <c r="L81">
        <f t="shared" si="41"/>
        <v>0</v>
      </c>
      <c r="M81">
        <f t="shared" si="41"/>
        <v>0</v>
      </c>
      <c r="N81">
        <f t="shared" si="41"/>
        <v>0</v>
      </c>
      <c r="O81">
        <f t="shared" si="41"/>
        <v>0</v>
      </c>
      <c r="P81">
        <f t="shared" si="40"/>
        <v>0.5</v>
      </c>
      <c r="Q81">
        <f t="shared" si="42"/>
        <v>0</v>
      </c>
      <c r="R81">
        <f t="shared" si="42"/>
        <v>0</v>
      </c>
      <c r="S81">
        <f t="shared" si="42"/>
        <v>0</v>
      </c>
      <c r="T81">
        <f t="shared" si="42"/>
        <v>0</v>
      </c>
      <c r="U81">
        <f t="shared" si="42"/>
        <v>0</v>
      </c>
      <c r="V81">
        <f t="shared" si="42"/>
        <v>0</v>
      </c>
      <c r="W81">
        <f t="shared" si="42"/>
        <v>0</v>
      </c>
      <c r="X81">
        <f t="shared" si="42"/>
        <v>0</v>
      </c>
      <c r="Y81">
        <f t="shared" si="42"/>
        <v>0</v>
      </c>
      <c r="Z81">
        <f>AQ17</f>
        <v>0</v>
      </c>
      <c r="AA81">
        <f t="shared" si="43"/>
        <v>0</v>
      </c>
      <c r="AB81">
        <f t="shared" si="43"/>
        <v>0</v>
      </c>
      <c r="AC81">
        <f t="shared" si="43"/>
        <v>0.5</v>
      </c>
      <c r="AD81">
        <f t="shared" si="43"/>
        <v>0</v>
      </c>
      <c r="AE81">
        <f t="shared" si="43"/>
        <v>0</v>
      </c>
      <c r="AF81">
        <f t="shared" si="43"/>
        <v>0</v>
      </c>
      <c r="AG81">
        <f t="shared" si="43"/>
        <v>0</v>
      </c>
      <c r="AH81">
        <f t="shared" si="43"/>
        <v>0</v>
      </c>
      <c r="AI81">
        <f t="shared" si="43"/>
        <v>0</v>
      </c>
      <c r="AJ81">
        <f t="shared" si="43"/>
        <v>0</v>
      </c>
      <c r="AK81">
        <f t="shared" si="43"/>
        <v>0</v>
      </c>
      <c r="AL81">
        <f t="shared" si="43"/>
        <v>0</v>
      </c>
      <c r="AM81">
        <f t="shared" si="43"/>
        <v>0</v>
      </c>
      <c r="AN81">
        <f t="shared" si="43"/>
        <v>0</v>
      </c>
      <c r="AO81">
        <f t="shared" si="43"/>
        <v>0</v>
      </c>
      <c r="AP81">
        <f t="shared" si="43"/>
        <v>0</v>
      </c>
      <c r="AQ81">
        <f t="shared" si="43"/>
        <v>0</v>
      </c>
      <c r="AR81">
        <f>F81+H81+J81+K81+L81+M81+N81+O81+P81</f>
        <v>0.5</v>
      </c>
      <c r="AS81">
        <f>D81+I116-AR81</f>
        <v>55.18</v>
      </c>
    </row>
    <row r="82" spans="1:45" ht="20.25" customHeight="1">
      <c r="A82" t="s">
        <v>27</v>
      </c>
      <c r="B82" t="s">
        <v>28</v>
      </c>
      <c r="C82" t="s">
        <v>29</v>
      </c>
      <c r="D82">
        <f t="shared" ref="D82:D87" si="44">D19</f>
        <v>159.12</v>
      </c>
      <c r="E82">
        <f t="shared" si="39"/>
        <v>159.12</v>
      </c>
      <c r="F82">
        <f>H20</f>
        <v>0</v>
      </c>
      <c r="G82">
        <f>I20</f>
        <v>0</v>
      </c>
      <c r="H82">
        <f>M20</f>
        <v>0</v>
      </c>
      <c r="I82">
        <f>N20</f>
        <v>0</v>
      </c>
      <c r="J82">
        <f>D82-AR82</f>
        <v>159.12</v>
      </c>
      <c r="K82">
        <f>Q19</f>
        <v>0</v>
      </c>
      <c r="L82">
        <f>R19</f>
        <v>0</v>
      </c>
      <c r="M82">
        <f t="shared" ref="M82:O83" si="45">S20</f>
        <v>0</v>
      </c>
      <c r="N82">
        <f t="shared" si="45"/>
        <v>0</v>
      </c>
      <c r="O82">
        <f t="shared" si="45"/>
        <v>0</v>
      </c>
      <c r="P82">
        <f t="shared" si="40"/>
        <v>0</v>
      </c>
      <c r="Q82">
        <f>W20</f>
        <v>0</v>
      </c>
      <c r="R82">
        <f>X20</f>
        <v>0</v>
      </c>
      <c r="S82">
        <f>Z20</f>
        <v>0</v>
      </c>
      <c r="T82">
        <f t="shared" ref="T82:Y83" si="46">Z20</f>
        <v>0</v>
      </c>
      <c r="U82">
        <f t="shared" si="46"/>
        <v>0</v>
      </c>
      <c r="V82">
        <f t="shared" si="46"/>
        <v>0</v>
      </c>
      <c r="W82">
        <f t="shared" si="46"/>
        <v>0</v>
      </c>
      <c r="X82">
        <f t="shared" si="46"/>
        <v>0</v>
      </c>
      <c r="Y82">
        <f t="shared" si="46"/>
        <v>0</v>
      </c>
      <c r="Z82">
        <f>AQ20</f>
        <v>0</v>
      </c>
      <c r="AA82">
        <f t="shared" ref="AA82:AQ83" si="47">AR20</f>
        <v>0</v>
      </c>
      <c r="AB82">
        <f t="shared" si="47"/>
        <v>0</v>
      </c>
      <c r="AC82">
        <f t="shared" si="47"/>
        <v>0</v>
      </c>
      <c r="AD82">
        <f t="shared" si="47"/>
        <v>0</v>
      </c>
      <c r="AE82">
        <f t="shared" si="47"/>
        <v>0</v>
      </c>
      <c r="AF82">
        <f t="shared" si="47"/>
        <v>0</v>
      </c>
      <c r="AG82">
        <f t="shared" si="47"/>
        <v>0</v>
      </c>
      <c r="AH82">
        <f t="shared" si="47"/>
        <v>0</v>
      </c>
      <c r="AI82">
        <f t="shared" si="47"/>
        <v>0</v>
      </c>
      <c r="AJ82">
        <f t="shared" si="47"/>
        <v>0</v>
      </c>
      <c r="AK82">
        <f t="shared" si="47"/>
        <v>0</v>
      </c>
      <c r="AL82">
        <f t="shared" si="47"/>
        <v>0</v>
      </c>
      <c r="AM82">
        <f t="shared" si="47"/>
        <v>0</v>
      </c>
      <c r="AN82">
        <f t="shared" si="47"/>
        <v>0</v>
      </c>
      <c r="AO82">
        <f t="shared" si="47"/>
        <v>0</v>
      </c>
      <c r="AP82">
        <f t="shared" si="47"/>
        <v>0</v>
      </c>
      <c r="AQ82">
        <f t="shared" si="47"/>
        <v>0</v>
      </c>
      <c r="AR82">
        <f>F82+H82+I82+K82+L82+M82+N82+O82+P82</f>
        <v>0</v>
      </c>
      <c r="AS82">
        <f>D82+J116-AR82</f>
        <v>159.12</v>
      </c>
    </row>
    <row r="83" spans="1:45" ht="20.25" customHeight="1">
      <c r="A83" t="s">
        <v>30</v>
      </c>
      <c r="B83" t="s">
        <v>31</v>
      </c>
      <c r="C83" t="s">
        <v>32</v>
      </c>
      <c r="D83">
        <f t="shared" si="44"/>
        <v>0</v>
      </c>
      <c r="E83">
        <f t="shared" si="39"/>
        <v>0</v>
      </c>
      <c r="F83">
        <f>H21</f>
        <v>0</v>
      </c>
      <c r="G83">
        <f>I21</f>
        <v>0</v>
      </c>
      <c r="H83">
        <f>M21</f>
        <v>0</v>
      </c>
      <c r="I83">
        <f>N21</f>
        <v>0</v>
      </c>
      <c r="J83">
        <f>P20</f>
        <v>0</v>
      </c>
      <c r="K83">
        <f>D83-AR83</f>
        <v>0</v>
      </c>
      <c r="L83">
        <f>R20</f>
        <v>0</v>
      </c>
      <c r="M83">
        <f t="shared" si="45"/>
        <v>0</v>
      </c>
      <c r="N83">
        <f t="shared" si="45"/>
        <v>0</v>
      </c>
      <c r="O83">
        <f t="shared" si="45"/>
        <v>0</v>
      </c>
      <c r="P83">
        <f t="shared" si="40"/>
        <v>0</v>
      </c>
      <c r="Q83">
        <f>W21</f>
        <v>0</v>
      </c>
      <c r="R83">
        <f>X21</f>
        <v>0</v>
      </c>
      <c r="S83">
        <f>Z21</f>
        <v>0</v>
      </c>
      <c r="T83">
        <f t="shared" si="46"/>
        <v>0</v>
      </c>
      <c r="U83">
        <f t="shared" si="46"/>
        <v>0</v>
      </c>
      <c r="V83">
        <f t="shared" si="46"/>
        <v>0</v>
      </c>
      <c r="W83">
        <f t="shared" si="46"/>
        <v>0</v>
      </c>
      <c r="X83">
        <f t="shared" si="46"/>
        <v>0</v>
      </c>
      <c r="Y83">
        <f t="shared" si="46"/>
        <v>0</v>
      </c>
      <c r="Z83">
        <f>AQ21</f>
        <v>0</v>
      </c>
      <c r="AA83">
        <f t="shared" si="47"/>
        <v>0</v>
      </c>
      <c r="AB83">
        <f t="shared" si="47"/>
        <v>0</v>
      </c>
      <c r="AC83">
        <f t="shared" si="47"/>
        <v>0</v>
      </c>
      <c r="AD83">
        <f t="shared" si="47"/>
        <v>0</v>
      </c>
      <c r="AE83">
        <f t="shared" si="47"/>
        <v>0</v>
      </c>
      <c r="AF83">
        <f t="shared" si="47"/>
        <v>0</v>
      </c>
      <c r="AG83">
        <f t="shared" si="47"/>
        <v>0</v>
      </c>
      <c r="AH83">
        <f t="shared" si="47"/>
        <v>0</v>
      </c>
      <c r="AI83">
        <f t="shared" si="47"/>
        <v>0</v>
      </c>
      <c r="AJ83">
        <f t="shared" si="47"/>
        <v>0</v>
      </c>
      <c r="AK83">
        <f t="shared" si="47"/>
        <v>0</v>
      </c>
      <c r="AL83">
        <f t="shared" si="47"/>
        <v>0</v>
      </c>
      <c r="AM83">
        <f t="shared" si="47"/>
        <v>0</v>
      </c>
      <c r="AN83">
        <f t="shared" si="47"/>
        <v>0</v>
      </c>
      <c r="AO83">
        <f t="shared" si="47"/>
        <v>0</v>
      </c>
      <c r="AP83">
        <f t="shared" si="47"/>
        <v>0</v>
      </c>
      <c r="AQ83">
        <f t="shared" si="47"/>
        <v>0</v>
      </c>
      <c r="AR83">
        <f>F83+H83+I83+J83+L83+M83+N83+O83+P83</f>
        <v>0</v>
      </c>
      <c r="AS83">
        <f>D83+K116-AR83</f>
        <v>0</v>
      </c>
    </row>
    <row r="84" spans="1:45" ht="20.25" customHeight="1">
      <c r="A84" t="s">
        <v>33</v>
      </c>
      <c r="B84" t="s">
        <v>34</v>
      </c>
      <c r="C84" t="s">
        <v>35</v>
      </c>
      <c r="D84">
        <f t="shared" si="44"/>
        <v>1004.16</v>
      </c>
      <c r="E84">
        <f t="shared" si="39"/>
        <v>1004.16</v>
      </c>
      <c r="F84">
        <f>H19</f>
        <v>0</v>
      </c>
      <c r="G84">
        <f>I19</f>
        <v>0</v>
      </c>
      <c r="H84">
        <f>M19</f>
        <v>0</v>
      </c>
      <c r="I84">
        <f>N19</f>
        <v>0</v>
      </c>
      <c r="J84">
        <f>P21</f>
        <v>0</v>
      </c>
      <c r="K84">
        <f>Q21</f>
        <v>0</v>
      </c>
      <c r="L84">
        <f>D84-AR84</f>
        <v>1004.16</v>
      </c>
      <c r="M84">
        <f>S19</f>
        <v>0</v>
      </c>
      <c r="N84">
        <f>T19</f>
        <v>0</v>
      </c>
      <c r="O84">
        <f>U19</f>
        <v>0</v>
      </c>
      <c r="P84">
        <f t="shared" si="40"/>
        <v>0</v>
      </c>
      <c r="Q84">
        <f t="shared" ref="Q84:Y84" si="48">W19</f>
        <v>0</v>
      </c>
      <c r="R84">
        <f t="shared" si="48"/>
        <v>0</v>
      </c>
      <c r="S84">
        <f t="shared" si="48"/>
        <v>0</v>
      </c>
      <c r="T84">
        <f t="shared" si="48"/>
        <v>0</v>
      </c>
      <c r="U84">
        <f t="shared" si="48"/>
        <v>0</v>
      </c>
      <c r="V84">
        <f t="shared" si="48"/>
        <v>0</v>
      </c>
      <c r="W84">
        <f t="shared" si="48"/>
        <v>0</v>
      </c>
      <c r="X84">
        <f t="shared" si="48"/>
        <v>0</v>
      </c>
      <c r="Y84">
        <f t="shared" si="48"/>
        <v>0</v>
      </c>
      <c r="Z84">
        <f>AQ19</f>
        <v>0</v>
      </c>
      <c r="AA84">
        <f t="shared" ref="AA84:AQ84" si="49">AR19</f>
        <v>0</v>
      </c>
      <c r="AB84">
        <f t="shared" si="49"/>
        <v>0</v>
      </c>
      <c r="AC84">
        <f t="shared" si="49"/>
        <v>0</v>
      </c>
      <c r="AD84">
        <f t="shared" si="49"/>
        <v>0</v>
      </c>
      <c r="AE84">
        <f t="shared" si="49"/>
        <v>0</v>
      </c>
      <c r="AF84">
        <f t="shared" si="49"/>
        <v>0</v>
      </c>
      <c r="AG84">
        <f t="shared" si="49"/>
        <v>0</v>
      </c>
      <c r="AH84">
        <f t="shared" si="49"/>
        <v>0</v>
      </c>
      <c r="AI84">
        <f t="shared" si="49"/>
        <v>0</v>
      </c>
      <c r="AJ84">
        <f t="shared" si="49"/>
        <v>0</v>
      </c>
      <c r="AK84">
        <f t="shared" si="49"/>
        <v>0</v>
      </c>
      <c r="AL84">
        <f t="shared" si="49"/>
        <v>0</v>
      </c>
      <c r="AM84">
        <f t="shared" si="49"/>
        <v>0</v>
      </c>
      <c r="AN84">
        <f t="shared" si="49"/>
        <v>0</v>
      </c>
      <c r="AO84">
        <f t="shared" si="49"/>
        <v>0</v>
      </c>
      <c r="AP84">
        <f t="shared" si="49"/>
        <v>0</v>
      </c>
      <c r="AQ84">
        <f t="shared" si="49"/>
        <v>0</v>
      </c>
      <c r="AR84">
        <f>F84+H84+I84+J84+K84+M84+N84+O84+P84</f>
        <v>0</v>
      </c>
      <c r="AS84">
        <f>D84+L116-AR84</f>
        <v>1004.16</v>
      </c>
    </row>
    <row r="85" spans="1:45" ht="20.25" customHeight="1">
      <c r="A85" t="s">
        <v>36</v>
      </c>
      <c r="B85" t="s">
        <v>37</v>
      </c>
      <c r="C85" t="s">
        <v>38</v>
      </c>
      <c r="D85">
        <f t="shared" si="44"/>
        <v>30.49</v>
      </c>
      <c r="E85">
        <f t="shared" si="39"/>
        <v>30.49</v>
      </c>
      <c r="F85">
        <f t="shared" ref="F85:G87" si="50">H22</f>
        <v>0</v>
      </c>
      <c r="G85">
        <f t="shared" si="50"/>
        <v>0</v>
      </c>
      <c r="H85">
        <f t="shared" ref="H85:I87" si="51">M22</f>
        <v>0</v>
      </c>
      <c r="I85">
        <f t="shared" si="51"/>
        <v>0</v>
      </c>
      <c r="J85">
        <f>P22</f>
        <v>0</v>
      </c>
      <c r="K85">
        <f>Q22</f>
        <v>0</v>
      </c>
      <c r="L85">
        <f>R22</f>
        <v>0</v>
      </c>
      <c r="M85">
        <f>D85-AR85</f>
        <v>30.49</v>
      </c>
      <c r="N85">
        <f>T22</f>
        <v>0</v>
      </c>
      <c r="O85">
        <f>U22</f>
        <v>0</v>
      </c>
      <c r="P85">
        <f>SUM(Q85:AP85)</f>
        <v>0</v>
      </c>
      <c r="Q85">
        <f t="shared" ref="Q85:Y87" si="52">W22</f>
        <v>0</v>
      </c>
      <c r="R85">
        <f t="shared" si="52"/>
        <v>0</v>
      </c>
      <c r="S85">
        <f t="shared" si="52"/>
        <v>0</v>
      </c>
      <c r="T85">
        <f t="shared" si="52"/>
        <v>0</v>
      </c>
      <c r="U85">
        <f t="shared" si="52"/>
        <v>0</v>
      </c>
      <c r="V85">
        <f t="shared" si="52"/>
        <v>0</v>
      </c>
      <c r="W85">
        <f t="shared" si="52"/>
        <v>0</v>
      </c>
      <c r="X85">
        <f t="shared" si="52"/>
        <v>0</v>
      </c>
      <c r="Y85">
        <f t="shared" si="52"/>
        <v>0</v>
      </c>
      <c r="Z85">
        <f t="shared" ref="Z85:AP85" si="53">AQ22</f>
        <v>0</v>
      </c>
      <c r="AA85">
        <f t="shared" si="53"/>
        <v>0</v>
      </c>
      <c r="AB85">
        <f t="shared" si="53"/>
        <v>0</v>
      </c>
      <c r="AC85">
        <f t="shared" si="53"/>
        <v>0</v>
      </c>
      <c r="AD85">
        <f t="shared" si="53"/>
        <v>0</v>
      </c>
      <c r="AE85">
        <f t="shared" si="53"/>
        <v>0</v>
      </c>
      <c r="AF85">
        <f t="shared" si="53"/>
        <v>0</v>
      </c>
      <c r="AG85">
        <f t="shared" si="53"/>
        <v>0</v>
      </c>
      <c r="AH85">
        <f t="shared" si="53"/>
        <v>0</v>
      </c>
      <c r="AI85">
        <f t="shared" si="53"/>
        <v>0</v>
      </c>
      <c r="AJ85">
        <f t="shared" si="53"/>
        <v>0</v>
      </c>
      <c r="AK85">
        <f t="shared" si="53"/>
        <v>0</v>
      </c>
      <c r="AL85">
        <f t="shared" si="53"/>
        <v>0</v>
      </c>
      <c r="AM85">
        <f t="shared" si="53"/>
        <v>0</v>
      </c>
      <c r="AN85">
        <f t="shared" si="53"/>
        <v>0</v>
      </c>
      <c r="AO85">
        <f t="shared" si="53"/>
        <v>0</v>
      </c>
      <c r="AP85">
        <f t="shared" si="53"/>
        <v>0</v>
      </c>
      <c r="AQ85">
        <f t="shared" ref="AA85:AQ87" si="54">BH22</f>
        <v>0</v>
      </c>
      <c r="AR85">
        <f>F85+H85+I85+J85+K85+L85+N85+O85+P85</f>
        <v>0</v>
      </c>
      <c r="AS85">
        <f>D85+M116-AR85</f>
        <v>30.49</v>
      </c>
    </row>
    <row r="86" spans="1:45" ht="20.25" customHeight="1">
      <c r="A86" t="s">
        <v>39</v>
      </c>
      <c r="B86" t="s">
        <v>40</v>
      </c>
      <c r="C86" t="s">
        <v>41</v>
      </c>
      <c r="D86">
        <f t="shared" si="44"/>
        <v>0</v>
      </c>
      <c r="E86">
        <f t="shared" si="39"/>
        <v>0</v>
      </c>
      <c r="F86">
        <f t="shared" si="50"/>
        <v>0</v>
      </c>
      <c r="G86">
        <f t="shared" si="50"/>
        <v>0</v>
      </c>
      <c r="H86">
        <f t="shared" si="51"/>
        <v>0</v>
      </c>
      <c r="I86">
        <f t="shared" si="51"/>
        <v>0</v>
      </c>
      <c r="J86">
        <f>P23</f>
        <v>0</v>
      </c>
      <c r="K86">
        <f>Q23</f>
        <v>0</v>
      </c>
      <c r="L86">
        <f>R23</f>
        <v>0</v>
      </c>
      <c r="M86">
        <f>S23</f>
        <v>0</v>
      </c>
      <c r="N86">
        <f>D86-AR86</f>
        <v>0</v>
      </c>
      <c r="O86">
        <f>U23</f>
        <v>0</v>
      </c>
      <c r="P86">
        <f t="shared" si="40"/>
        <v>0</v>
      </c>
      <c r="Q86">
        <f t="shared" si="52"/>
        <v>0</v>
      </c>
      <c r="R86">
        <f t="shared" si="52"/>
        <v>0</v>
      </c>
      <c r="S86">
        <f t="shared" si="52"/>
        <v>0</v>
      </c>
      <c r="T86">
        <f t="shared" si="52"/>
        <v>0</v>
      </c>
      <c r="U86">
        <f t="shared" si="52"/>
        <v>0</v>
      </c>
      <c r="V86">
        <f t="shared" si="52"/>
        <v>0</v>
      </c>
      <c r="W86">
        <f t="shared" si="52"/>
        <v>0</v>
      </c>
      <c r="X86">
        <f t="shared" si="52"/>
        <v>0</v>
      </c>
      <c r="Y86">
        <f t="shared" si="52"/>
        <v>0</v>
      </c>
      <c r="Z86">
        <f>AQ23</f>
        <v>0</v>
      </c>
      <c r="AA86">
        <f t="shared" si="54"/>
        <v>0</v>
      </c>
      <c r="AB86">
        <f t="shared" si="54"/>
        <v>0</v>
      </c>
      <c r="AC86">
        <f t="shared" si="54"/>
        <v>0</v>
      </c>
      <c r="AD86">
        <f t="shared" si="54"/>
        <v>0</v>
      </c>
      <c r="AE86">
        <f t="shared" si="54"/>
        <v>0</v>
      </c>
      <c r="AF86">
        <f t="shared" si="54"/>
        <v>0</v>
      </c>
      <c r="AG86">
        <f t="shared" si="54"/>
        <v>0</v>
      </c>
      <c r="AH86">
        <f t="shared" si="54"/>
        <v>0</v>
      </c>
      <c r="AI86">
        <f t="shared" si="54"/>
        <v>0</v>
      </c>
      <c r="AJ86">
        <f t="shared" si="54"/>
        <v>0</v>
      </c>
      <c r="AK86">
        <f t="shared" si="54"/>
        <v>0</v>
      </c>
      <c r="AL86">
        <f t="shared" si="54"/>
        <v>0</v>
      </c>
      <c r="AM86">
        <f t="shared" si="54"/>
        <v>0</v>
      </c>
      <c r="AN86">
        <f t="shared" si="54"/>
        <v>0</v>
      </c>
      <c r="AO86">
        <f t="shared" si="54"/>
        <v>0</v>
      </c>
      <c r="AP86">
        <f t="shared" si="54"/>
        <v>0</v>
      </c>
      <c r="AQ86">
        <f t="shared" si="54"/>
        <v>0</v>
      </c>
      <c r="AR86">
        <f>F86+H86+I86+J86+K86+L86+M86+O86+P86</f>
        <v>0</v>
      </c>
      <c r="AS86">
        <f>D86+N116-AR86</f>
        <v>0</v>
      </c>
    </row>
    <row r="87" spans="1:45" ht="20.25" customHeight="1">
      <c r="A87">
        <v>2</v>
      </c>
      <c r="B87" t="s">
        <v>43</v>
      </c>
      <c r="C87" t="s">
        <v>44</v>
      </c>
      <c r="D87">
        <f t="shared" si="44"/>
        <v>0</v>
      </c>
      <c r="E87">
        <f t="shared" si="39"/>
        <v>0</v>
      </c>
      <c r="F87">
        <f t="shared" si="50"/>
        <v>0</v>
      </c>
      <c r="G87">
        <f t="shared" si="50"/>
        <v>0</v>
      </c>
      <c r="H87">
        <f t="shared" si="51"/>
        <v>0</v>
      </c>
      <c r="I87">
        <f t="shared" si="51"/>
        <v>0</v>
      </c>
      <c r="J87">
        <f>P24</f>
        <v>0</v>
      </c>
      <c r="K87">
        <f>Q24</f>
        <v>0</v>
      </c>
      <c r="L87">
        <f>R24</f>
        <v>0</v>
      </c>
      <c r="M87">
        <f>S24</f>
        <v>0</v>
      </c>
      <c r="N87">
        <f>T24</f>
        <v>0</v>
      </c>
      <c r="O87">
        <f>D87-AR87</f>
        <v>0</v>
      </c>
      <c r="P87">
        <f t="shared" si="40"/>
        <v>0</v>
      </c>
      <c r="Q87">
        <f t="shared" si="52"/>
        <v>0</v>
      </c>
      <c r="R87">
        <f t="shared" si="52"/>
        <v>0</v>
      </c>
      <c r="S87">
        <f t="shared" si="52"/>
        <v>0</v>
      </c>
      <c r="T87">
        <f t="shared" si="52"/>
        <v>0</v>
      </c>
      <c r="U87">
        <f t="shared" si="52"/>
        <v>0</v>
      </c>
      <c r="V87">
        <f t="shared" si="52"/>
        <v>0</v>
      </c>
      <c r="W87">
        <f t="shared" si="52"/>
        <v>0</v>
      </c>
      <c r="X87">
        <f t="shared" si="52"/>
        <v>0</v>
      </c>
      <c r="Y87">
        <f t="shared" si="52"/>
        <v>0</v>
      </c>
      <c r="Z87">
        <f>AQ24</f>
        <v>0</v>
      </c>
      <c r="AA87">
        <f t="shared" si="54"/>
        <v>0</v>
      </c>
      <c r="AB87">
        <f t="shared" si="54"/>
        <v>0</v>
      </c>
      <c r="AC87">
        <f t="shared" si="54"/>
        <v>0</v>
      </c>
      <c r="AD87">
        <f t="shared" si="54"/>
        <v>0</v>
      </c>
      <c r="AE87">
        <f t="shared" si="54"/>
        <v>0</v>
      </c>
      <c r="AF87">
        <f t="shared" si="54"/>
        <v>0</v>
      </c>
      <c r="AG87">
        <f t="shared" si="54"/>
        <v>0</v>
      </c>
      <c r="AH87">
        <f t="shared" si="54"/>
        <v>0</v>
      </c>
      <c r="AI87">
        <f t="shared" si="54"/>
        <v>0</v>
      </c>
      <c r="AJ87">
        <f t="shared" si="54"/>
        <v>0</v>
      </c>
      <c r="AK87">
        <f t="shared" si="54"/>
        <v>0</v>
      </c>
      <c r="AL87">
        <f t="shared" si="54"/>
        <v>0</v>
      </c>
      <c r="AM87">
        <f t="shared" si="54"/>
        <v>0</v>
      </c>
      <c r="AN87">
        <f t="shared" si="54"/>
        <v>0</v>
      </c>
      <c r="AO87">
        <f t="shared" si="54"/>
        <v>0</v>
      </c>
      <c r="AP87">
        <f t="shared" si="54"/>
        <v>0</v>
      </c>
      <c r="AQ87">
        <f t="shared" si="54"/>
        <v>0</v>
      </c>
      <c r="AR87">
        <f>F87+H87+I87+J87+K87+L87+M87+N87+P87</f>
        <v>0</v>
      </c>
      <c r="AS87">
        <f>D87+O116-AR87</f>
        <v>0</v>
      </c>
    </row>
    <row r="88" spans="1:45" ht="20.25" customHeight="1">
      <c r="A88">
        <v>2</v>
      </c>
      <c r="B88" t="s">
        <v>45</v>
      </c>
      <c r="C88" t="s">
        <v>46</v>
      </c>
      <c r="D88">
        <f>SUM(D89:D114)</f>
        <v>232.36</v>
      </c>
      <c r="E88">
        <f t="shared" ref="E88:AS88" si="55">SUM(E89:E114)</f>
        <v>0</v>
      </c>
      <c r="F88">
        <f t="shared" si="55"/>
        <v>0</v>
      </c>
      <c r="G88">
        <f t="shared" si="55"/>
        <v>0</v>
      </c>
      <c r="H88">
        <f t="shared" si="55"/>
        <v>0</v>
      </c>
      <c r="I88">
        <f t="shared" si="55"/>
        <v>0</v>
      </c>
      <c r="J88">
        <f t="shared" si="55"/>
        <v>0</v>
      </c>
      <c r="K88">
        <f t="shared" si="55"/>
        <v>0</v>
      </c>
      <c r="L88">
        <f t="shared" si="55"/>
        <v>0</v>
      </c>
      <c r="M88">
        <f t="shared" si="55"/>
        <v>0</v>
      </c>
      <c r="N88">
        <f t="shared" si="55"/>
        <v>0</v>
      </c>
      <c r="O88">
        <f t="shared" si="55"/>
        <v>0</v>
      </c>
      <c r="P88">
        <f t="shared" si="55"/>
        <v>232.36</v>
      </c>
      <c r="Q88">
        <f t="shared" si="55"/>
        <v>53.27</v>
      </c>
      <c r="R88">
        <f t="shared" si="55"/>
        <v>0</v>
      </c>
      <c r="S88">
        <f t="shared" si="55"/>
        <v>0</v>
      </c>
      <c r="T88">
        <f t="shared" si="55"/>
        <v>0</v>
      </c>
      <c r="U88">
        <f t="shared" si="55"/>
        <v>0</v>
      </c>
      <c r="V88">
        <f t="shared" si="55"/>
        <v>0</v>
      </c>
      <c r="W88">
        <f t="shared" si="55"/>
        <v>1.51</v>
      </c>
      <c r="X88">
        <f t="shared" si="55"/>
        <v>0</v>
      </c>
      <c r="Y88">
        <f t="shared" si="55"/>
        <v>84.05</v>
      </c>
      <c r="Z88">
        <f t="shared" si="55"/>
        <v>0</v>
      </c>
      <c r="AA88">
        <f t="shared" si="55"/>
        <v>0</v>
      </c>
      <c r="AB88">
        <f t="shared" si="55"/>
        <v>0.21</v>
      </c>
      <c r="AC88">
        <f t="shared" si="55"/>
        <v>21.61</v>
      </c>
      <c r="AD88">
        <f t="shared" si="55"/>
        <v>0</v>
      </c>
      <c r="AE88">
        <f t="shared" si="55"/>
        <v>1.05</v>
      </c>
      <c r="AF88">
        <f t="shared" si="55"/>
        <v>0</v>
      </c>
      <c r="AG88">
        <f t="shared" si="55"/>
        <v>0</v>
      </c>
      <c r="AH88">
        <f t="shared" si="55"/>
        <v>0</v>
      </c>
      <c r="AI88">
        <f t="shared" si="55"/>
        <v>16.59</v>
      </c>
      <c r="AJ88">
        <f t="shared" si="55"/>
        <v>0</v>
      </c>
      <c r="AK88">
        <f t="shared" si="55"/>
        <v>0.62</v>
      </c>
      <c r="AL88">
        <f t="shared" si="55"/>
        <v>0</v>
      </c>
      <c r="AM88">
        <f t="shared" si="55"/>
        <v>0.57999999999999996</v>
      </c>
      <c r="AN88">
        <f t="shared" si="55"/>
        <v>0</v>
      </c>
      <c r="AO88">
        <f t="shared" si="55"/>
        <v>52.87</v>
      </c>
      <c r="AP88">
        <f t="shared" si="55"/>
        <v>0</v>
      </c>
      <c r="AQ88">
        <f t="shared" si="55"/>
        <v>0</v>
      </c>
      <c r="AR88">
        <f>E88+AQ88</f>
        <v>0</v>
      </c>
      <c r="AS88">
        <f t="shared" si="55"/>
        <v>234.93000000000004</v>
      </c>
    </row>
    <row r="89" spans="1:45" ht="20.25" customHeight="1">
      <c r="A89" t="s">
        <v>47</v>
      </c>
      <c r="B89" t="s">
        <v>48</v>
      </c>
      <c r="C89" t="s">
        <v>49</v>
      </c>
      <c r="D89">
        <f>D26</f>
        <v>53.27</v>
      </c>
      <c r="E89">
        <f t="shared" si="39"/>
        <v>0</v>
      </c>
      <c r="F89">
        <f>H26</f>
        <v>0</v>
      </c>
      <c r="G89">
        <f>I26</f>
        <v>0</v>
      </c>
      <c r="H89">
        <f>M26</f>
        <v>0</v>
      </c>
      <c r="I89">
        <f>N26</f>
        <v>0</v>
      </c>
      <c r="J89">
        <f t="shared" ref="J89:O97" si="56">P26</f>
        <v>0</v>
      </c>
      <c r="K89">
        <f t="shared" si="56"/>
        <v>0</v>
      </c>
      <c r="L89">
        <f t="shared" si="56"/>
        <v>0</v>
      </c>
      <c r="M89">
        <f t="shared" si="56"/>
        <v>0</v>
      </c>
      <c r="N89">
        <f t="shared" si="56"/>
        <v>0</v>
      </c>
      <c r="O89">
        <f t="shared" si="56"/>
        <v>0</v>
      </c>
      <c r="P89">
        <f>SUM(Q89:AP89)</f>
        <v>53.27</v>
      </c>
      <c r="Q89">
        <f>D89-AR89</f>
        <v>53.27</v>
      </c>
      <c r="R89">
        <f t="shared" ref="R89:Y89" si="57">X26</f>
        <v>0</v>
      </c>
      <c r="S89">
        <f t="shared" si="57"/>
        <v>0</v>
      </c>
      <c r="T89">
        <f t="shared" si="57"/>
        <v>0</v>
      </c>
      <c r="U89">
        <f t="shared" si="57"/>
        <v>0</v>
      </c>
      <c r="V89">
        <f t="shared" si="57"/>
        <v>0</v>
      </c>
      <c r="W89">
        <f t="shared" si="57"/>
        <v>0</v>
      </c>
      <c r="X89">
        <f t="shared" si="57"/>
        <v>0</v>
      </c>
      <c r="Y89">
        <f t="shared" si="57"/>
        <v>0</v>
      </c>
      <c r="Z89">
        <f t="shared" ref="Z89:AP89" si="58">AQ26</f>
        <v>0</v>
      </c>
      <c r="AA89">
        <f t="shared" si="58"/>
        <v>0</v>
      </c>
      <c r="AB89">
        <f t="shared" si="58"/>
        <v>0</v>
      </c>
      <c r="AC89">
        <f t="shared" si="58"/>
        <v>0</v>
      </c>
      <c r="AD89">
        <f t="shared" si="58"/>
        <v>0</v>
      </c>
      <c r="AE89">
        <f t="shared" si="58"/>
        <v>0</v>
      </c>
      <c r="AF89">
        <f t="shared" si="58"/>
        <v>0</v>
      </c>
      <c r="AG89">
        <f t="shared" si="58"/>
        <v>0</v>
      </c>
      <c r="AH89">
        <f t="shared" si="58"/>
        <v>0</v>
      </c>
      <c r="AI89">
        <f t="shared" si="58"/>
        <v>0</v>
      </c>
      <c r="AJ89">
        <f t="shared" si="58"/>
        <v>0</v>
      </c>
      <c r="AK89">
        <f t="shared" si="58"/>
        <v>0</v>
      </c>
      <c r="AL89">
        <f t="shared" si="58"/>
        <v>0</v>
      </c>
      <c r="AM89">
        <f t="shared" si="58"/>
        <v>0</v>
      </c>
      <c r="AN89">
        <f t="shared" si="58"/>
        <v>0</v>
      </c>
      <c r="AO89">
        <f t="shared" si="58"/>
        <v>0</v>
      </c>
      <c r="AP89">
        <f t="shared" si="58"/>
        <v>0</v>
      </c>
      <c r="AQ89">
        <f t="shared" ref="AA89:AQ97" si="59">BH26</f>
        <v>0</v>
      </c>
      <c r="AR89">
        <f>E89+R89+S89+T89+U89+V89+W89+X89+Y89+Z89+AA89+AB89+AC89+AD89+AE89+AF89+AG89+AH89+AI89+AJ89+AK89+AL89+AM89+AN89+AO89+AP89+AQ89</f>
        <v>0</v>
      </c>
      <c r="AS89">
        <f>D89+Q116-AR89</f>
        <v>53.27</v>
      </c>
    </row>
    <row r="90" spans="1:45" ht="20.25" customHeight="1">
      <c r="A90" t="s">
        <v>50</v>
      </c>
      <c r="B90" t="s">
        <v>51</v>
      </c>
      <c r="C90" t="s">
        <v>52</v>
      </c>
      <c r="D90">
        <f t="shared" ref="D90:D97" si="60">D27</f>
        <v>0</v>
      </c>
      <c r="E90">
        <f t="shared" si="39"/>
        <v>0</v>
      </c>
      <c r="F90">
        <f t="shared" ref="F90:G97" si="61">H27</f>
        <v>0</v>
      </c>
      <c r="G90">
        <f t="shared" si="61"/>
        <v>0</v>
      </c>
      <c r="H90">
        <f t="shared" ref="H90:I97" si="62">M27</f>
        <v>0</v>
      </c>
      <c r="I90">
        <f t="shared" si="62"/>
        <v>0</v>
      </c>
      <c r="J90">
        <f t="shared" si="56"/>
        <v>0</v>
      </c>
      <c r="K90">
        <f t="shared" si="56"/>
        <v>0</v>
      </c>
      <c r="L90">
        <f t="shared" si="56"/>
        <v>0</v>
      </c>
      <c r="M90">
        <f t="shared" si="56"/>
        <v>0</v>
      </c>
      <c r="N90">
        <f t="shared" si="56"/>
        <v>0</v>
      </c>
      <c r="O90">
        <f t="shared" si="56"/>
        <v>0</v>
      </c>
      <c r="P90">
        <f t="shared" ref="P90:P114" si="63">SUM(Q90:AP90)</f>
        <v>0</v>
      </c>
      <c r="Q90">
        <f>W27</f>
        <v>0</v>
      </c>
      <c r="R90">
        <f>D90-AR90</f>
        <v>0</v>
      </c>
      <c r="S90">
        <f t="shared" ref="S90:Y90" si="64">Y27</f>
        <v>0</v>
      </c>
      <c r="T90">
        <f t="shared" si="64"/>
        <v>0</v>
      </c>
      <c r="U90">
        <f t="shared" si="64"/>
        <v>0</v>
      </c>
      <c r="V90">
        <f t="shared" si="64"/>
        <v>0</v>
      </c>
      <c r="W90">
        <f t="shared" si="64"/>
        <v>0</v>
      </c>
      <c r="X90">
        <f t="shared" si="64"/>
        <v>0</v>
      </c>
      <c r="Y90">
        <f t="shared" si="64"/>
        <v>0</v>
      </c>
      <c r="Z90">
        <f t="shared" ref="Z90:Z97" si="65">AQ27</f>
        <v>0</v>
      </c>
      <c r="AA90">
        <f t="shared" si="59"/>
        <v>0</v>
      </c>
      <c r="AB90">
        <f t="shared" si="59"/>
        <v>0</v>
      </c>
      <c r="AC90">
        <f t="shared" si="59"/>
        <v>0</v>
      </c>
      <c r="AD90">
        <f t="shared" si="59"/>
        <v>0</v>
      </c>
      <c r="AE90">
        <f t="shared" si="59"/>
        <v>0</v>
      </c>
      <c r="AF90">
        <f t="shared" si="59"/>
        <v>0</v>
      </c>
      <c r="AG90">
        <f t="shared" si="59"/>
        <v>0</v>
      </c>
      <c r="AH90">
        <f t="shared" si="59"/>
        <v>0</v>
      </c>
      <c r="AI90">
        <f t="shared" si="59"/>
        <v>0</v>
      </c>
      <c r="AJ90">
        <f t="shared" si="59"/>
        <v>0</v>
      </c>
      <c r="AK90">
        <f t="shared" si="59"/>
        <v>0</v>
      </c>
      <c r="AL90">
        <f t="shared" si="59"/>
        <v>0</v>
      </c>
      <c r="AM90">
        <f t="shared" si="59"/>
        <v>0</v>
      </c>
      <c r="AN90">
        <f t="shared" si="59"/>
        <v>0</v>
      </c>
      <c r="AO90">
        <f t="shared" si="59"/>
        <v>0</v>
      </c>
      <c r="AP90">
        <f t="shared" si="59"/>
        <v>0</v>
      </c>
      <c r="AQ90">
        <f t="shared" si="59"/>
        <v>0</v>
      </c>
      <c r="AR90">
        <f>E90+Q90+S90+T90+U90+V90+W90+X90+Y90+Z90+AA90+AB90+AC90+AD90+AE90+AF90+AG90+AH90+AI90+AJ90+AK90+AL90+AM90+AN90+AO90+AP90+AQ90</f>
        <v>0</v>
      </c>
      <c r="AS90">
        <f>D90+R116-AR90</f>
        <v>0</v>
      </c>
    </row>
    <row r="91" spans="1:45" ht="20.25" customHeight="1">
      <c r="A91" t="s">
        <v>53</v>
      </c>
      <c r="B91" t="s">
        <v>54</v>
      </c>
      <c r="C91" t="s">
        <v>55</v>
      </c>
      <c r="D91">
        <f t="shared" si="60"/>
        <v>0</v>
      </c>
      <c r="E91">
        <f t="shared" si="39"/>
        <v>0</v>
      </c>
      <c r="F91">
        <f t="shared" si="61"/>
        <v>0</v>
      </c>
      <c r="G91">
        <f t="shared" si="61"/>
        <v>0</v>
      </c>
      <c r="H91">
        <f t="shared" si="62"/>
        <v>0</v>
      </c>
      <c r="I91">
        <f t="shared" si="62"/>
        <v>0</v>
      </c>
      <c r="J91">
        <f t="shared" si="56"/>
        <v>0</v>
      </c>
      <c r="K91">
        <f t="shared" si="56"/>
        <v>0</v>
      </c>
      <c r="L91">
        <f t="shared" si="56"/>
        <v>0</v>
      </c>
      <c r="M91">
        <f t="shared" si="56"/>
        <v>0</v>
      </c>
      <c r="N91">
        <f t="shared" si="56"/>
        <v>0</v>
      </c>
      <c r="O91">
        <f t="shared" si="56"/>
        <v>0</v>
      </c>
      <c r="P91">
        <f t="shared" si="63"/>
        <v>0</v>
      </c>
      <c r="Q91">
        <f t="shared" ref="Q91:S97" si="66">W28</f>
        <v>0</v>
      </c>
      <c r="R91">
        <f>X28</f>
        <v>0</v>
      </c>
      <c r="S91">
        <f>D91-AR91</f>
        <v>0</v>
      </c>
      <c r="T91">
        <f t="shared" ref="T91:Y91" si="67">Z28</f>
        <v>0</v>
      </c>
      <c r="U91">
        <f t="shared" si="67"/>
        <v>0</v>
      </c>
      <c r="V91">
        <f t="shared" si="67"/>
        <v>0</v>
      </c>
      <c r="W91">
        <f t="shared" si="67"/>
        <v>0</v>
      </c>
      <c r="X91">
        <f t="shared" si="67"/>
        <v>0</v>
      </c>
      <c r="Y91">
        <f t="shared" si="67"/>
        <v>0</v>
      </c>
      <c r="Z91">
        <f t="shared" si="65"/>
        <v>0</v>
      </c>
      <c r="AA91">
        <f t="shared" si="59"/>
        <v>0</v>
      </c>
      <c r="AB91">
        <f t="shared" si="59"/>
        <v>0</v>
      </c>
      <c r="AC91">
        <f t="shared" si="59"/>
        <v>0</v>
      </c>
      <c r="AD91">
        <f t="shared" si="59"/>
        <v>0</v>
      </c>
      <c r="AE91">
        <f t="shared" si="59"/>
        <v>0</v>
      </c>
      <c r="AF91">
        <f t="shared" si="59"/>
        <v>0</v>
      </c>
      <c r="AG91">
        <f t="shared" si="59"/>
        <v>0</v>
      </c>
      <c r="AH91">
        <f t="shared" si="59"/>
        <v>0</v>
      </c>
      <c r="AI91">
        <f t="shared" si="59"/>
        <v>0</v>
      </c>
      <c r="AJ91">
        <f t="shared" si="59"/>
        <v>0</v>
      </c>
      <c r="AK91">
        <f t="shared" si="59"/>
        <v>0</v>
      </c>
      <c r="AL91">
        <f t="shared" si="59"/>
        <v>0</v>
      </c>
      <c r="AM91">
        <f t="shared" si="59"/>
        <v>0</v>
      </c>
      <c r="AN91">
        <f t="shared" si="59"/>
        <v>0</v>
      </c>
      <c r="AO91">
        <f t="shared" si="59"/>
        <v>0</v>
      </c>
      <c r="AP91">
        <f t="shared" si="59"/>
        <v>0</v>
      </c>
      <c r="AQ91">
        <f t="shared" si="59"/>
        <v>0</v>
      </c>
      <c r="AR91">
        <f>E91+Q91+R91+T91+U91+V91+W91+X91+Y91+Z91+AA91+AB91+AC91+AD91+AE91+AF91+AG91+AH91+AI91+AJ91+AK91+AL91+AM91+AN91+AO91+AP91+AQ91</f>
        <v>0</v>
      </c>
      <c r="AS91">
        <f>D91+S116-AR91</f>
        <v>0</v>
      </c>
    </row>
    <row r="92" spans="1:45" ht="20.25" customHeight="1">
      <c r="A92" t="s">
        <v>56</v>
      </c>
      <c r="B92" t="s">
        <v>57</v>
      </c>
      <c r="C92" t="s">
        <v>58</v>
      </c>
      <c r="D92">
        <f t="shared" si="60"/>
        <v>0</v>
      </c>
      <c r="E92">
        <f t="shared" si="39"/>
        <v>0</v>
      </c>
      <c r="F92">
        <f t="shared" si="61"/>
        <v>0</v>
      </c>
      <c r="G92">
        <f t="shared" si="61"/>
        <v>0</v>
      </c>
      <c r="H92">
        <f t="shared" si="62"/>
        <v>0</v>
      </c>
      <c r="I92">
        <f t="shared" si="62"/>
        <v>0</v>
      </c>
      <c r="J92">
        <f t="shared" si="56"/>
        <v>0</v>
      </c>
      <c r="K92">
        <f t="shared" si="56"/>
        <v>0</v>
      </c>
      <c r="L92">
        <f t="shared" si="56"/>
        <v>0</v>
      </c>
      <c r="M92">
        <f t="shared" si="56"/>
        <v>0</v>
      </c>
      <c r="N92">
        <f t="shared" si="56"/>
        <v>0</v>
      </c>
      <c r="O92">
        <f t="shared" si="56"/>
        <v>0</v>
      </c>
      <c r="P92">
        <f t="shared" si="63"/>
        <v>0</v>
      </c>
      <c r="Q92">
        <f t="shared" si="66"/>
        <v>0</v>
      </c>
      <c r="R92">
        <f t="shared" si="66"/>
        <v>0</v>
      </c>
      <c r="S92">
        <f t="shared" si="66"/>
        <v>0</v>
      </c>
      <c r="T92">
        <f>D92-AR92</f>
        <v>0</v>
      </c>
      <c r="U92">
        <f>AA29</f>
        <v>0</v>
      </c>
      <c r="V92">
        <f>AB29</f>
        <v>0</v>
      </c>
      <c r="W92">
        <f>AC29</f>
        <v>0</v>
      </c>
      <c r="X92">
        <f>AD29</f>
        <v>0</v>
      </c>
      <c r="Y92">
        <f>AE29</f>
        <v>0</v>
      </c>
      <c r="Z92">
        <f t="shared" si="65"/>
        <v>0</v>
      </c>
      <c r="AA92">
        <f t="shared" si="59"/>
        <v>0</v>
      </c>
      <c r="AB92">
        <f t="shared" si="59"/>
        <v>0</v>
      </c>
      <c r="AC92">
        <f t="shared" si="59"/>
        <v>0</v>
      </c>
      <c r="AD92">
        <f t="shared" si="59"/>
        <v>0</v>
      </c>
      <c r="AE92">
        <f t="shared" si="59"/>
        <v>0</v>
      </c>
      <c r="AF92">
        <f t="shared" si="59"/>
        <v>0</v>
      </c>
      <c r="AG92">
        <f t="shared" si="59"/>
        <v>0</v>
      </c>
      <c r="AH92">
        <f t="shared" si="59"/>
        <v>0</v>
      </c>
      <c r="AI92">
        <f t="shared" si="59"/>
        <v>0</v>
      </c>
      <c r="AJ92">
        <f t="shared" si="59"/>
        <v>0</v>
      </c>
      <c r="AK92">
        <f t="shared" si="59"/>
        <v>0</v>
      </c>
      <c r="AL92">
        <f t="shared" si="59"/>
        <v>0</v>
      </c>
      <c r="AM92">
        <f t="shared" si="59"/>
        <v>0</v>
      </c>
      <c r="AN92">
        <f t="shared" si="59"/>
        <v>0</v>
      </c>
      <c r="AO92">
        <f t="shared" si="59"/>
        <v>0</v>
      </c>
      <c r="AP92">
        <f t="shared" si="59"/>
        <v>0</v>
      </c>
      <c r="AQ92">
        <f t="shared" si="59"/>
        <v>0</v>
      </c>
      <c r="AR92">
        <f>E92+Q92+R92+S92+U92+V92+W92+X92+Y92+Z92+AA92+AB92+AC92+AD92+AE92+AF92+AG92+AH92+AI92+AJ92+AK92+AL92+AM92+AN92+AO92+AP92+AQ92</f>
        <v>0</v>
      </c>
      <c r="AS92">
        <f>D92+T116-AR92</f>
        <v>0</v>
      </c>
    </row>
    <row r="93" spans="1:45" ht="20.25" customHeight="1">
      <c r="A93" t="s">
        <v>59</v>
      </c>
      <c r="B93" t="s">
        <v>60</v>
      </c>
      <c r="C93" t="s">
        <v>61</v>
      </c>
      <c r="D93">
        <f t="shared" si="60"/>
        <v>0</v>
      </c>
      <c r="E93">
        <f t="shared" si="39"/>
        <v>0</v>
      </c>
      <c r="F93">
        <f t="shared" si="61"/>
        <v>0</v>
      </c>
      <c r="G93">
        <f t="shared" si="61"/>
        <v>0</v>
      </c>
      <c r="H93">
        <f t="shared" si="62"/>
        <v>0</v>
      </c>
      <c r="I93">
        <f t="shared" si="62"/>
        <v>0</v>
      </c>
      <c r="J93">
        <f t="shared" si="56"/>
        <v>0</v>
      </c>
      <c r="K93">
        <f t="shared" si="56"/>
        <v>0</v>
      </c>
      <c r="L93">
        <f t="shared" si="56"/>
        <v>0</v>
      </c>
      <c r="M93">
        <f t="shared" si="56"/>
        <v>0</v>
      </c>
      <c r="N93">
        <f t="shared" si="56"/>
        <v>0</v>
      </c>
      <c r="O93">
        <f t="shared" si="56"/>
        <v>0</v>
      </c>
      <c r="P93">
        <f t="shared" si="63"/>
        <v>0</v>
      </c>
      <c r="Q93">
        <f t="shared" si="66"/>
        <v>0</v>
      </c>
      <c r="R93">
        <f t="shared" si="66"/>
        <v>0</v>
      </c>
      <c r="S93">
        <f t="shared" si="66"/>
        <v>0</v>
      </c>
      <c r="T93">
        <f>Z30</f>
        <v>0</v>
      </c>
      <c r="U93">
        <f>D93-AR93</f>
        <v>0</v>
      </c>
      <c r="V93">
        <f>AB30</f>
        <v>0</v>
      </c>
      <c r="W93">
        <f>AC30</f>
        <v>0</v>
      </c>
      <c r="X93">
        <f>AD30</f>
        <v>0</v>
      </c>
      <c r="Y93">
        <f>AE30</f>
        <v>0</v>
      </c>
      <c r="Z93">
        <f t="shared" si="65"/>
        <v>0</v>
      </c>
      <c r="AA93">
        <f t="shared" si="59"/>
        <v>0</v>
      </c>
      <c r="AB93">
        <f t="shared" si="59"/>
        <v>0</v>
      </c>
      <c r="AC93">
        <f t="shared" si="59"/>
        <v>0</v>
      </c>
      <c r="AD93">
        <f t="shared" si="59"/>
        <v>0</v>
      </c>
      <c r="AE93">
        <f t="shared" si="59"/>
        <v>0</v>
      </c>
      <c r="AF93">
        <f t="shared" si="59"/>
        <v>0</v>
      </c>
      <c r="AG93">
        <f t="shared" si="59"/>
        <v>0</v>
      </c>
      <c r="AH93">
        <f t="shared" si="59"/>
        <v>0</v>
      </c>
      <c r="AI93">
        <f t="shared" si="59"/>
        <v>0</v>
      </c>
      <c r="AJ93">
        <f t="shared" si="59"/>
        <v>0</v>
      </c>
      <c r="AK93">
        <f t="shared" si="59"/>
        <v>0</v>
      </c>
      <c r="AL93">
        <f t="shared" si="59"/>
        <v>0</v>
      </c>
      <c r="AM93">
        <f t="shared" si="59"/>
        <v>0</v>
      </c>
      <c r="AN93">
        <f t="shared" si="59"/>
        <v>0</v>
      </c>
      <c r="AO93">
        <f t="shared" si="59"/>
        <v>0</v>
      </c>
      <c r="AP93">
        <f t="shared" si="59"/>
        <v>0</v>
      </c>
      <c r="AQ93">
        <f t="shared" si="59"/>
        <v>0</v>
      </c>
      <c r="AR93">
        <f>E93+Q93+R93+S93+T93+V93+W93+X93+Y93+Z93+AA93+AB93+AC93+AD93+AE93+AF93+AG93+AH93+AI93+AJ93+AK93+AL93+AM93+AN93+AO93+AP93+AQ93</f>
        <v>0</v>
      </c>
      <c r="AS93">
        <f>D93+U116-AR93</f>
        <v>0</v>
      </c>
    </row>
    <row r="94" spans="1:45" ht="20.25" customHeight="1">
      <c r="A94" t="s">
        <v>62</v>
      </c>
      <c r="B94" t="s">
        <v>63</v>
      </c>
      <c r="C94" t="s">
        <v>64</v>
      </c>
      <c r="D94">
        <f t="shared" si="60"/>
        <v>0</v>
      </c>
      <c r="E94">
        <f t="shared" si="39"/>
        <v>0</v>
      </c>
      <c r="F94">
        <f t="shared" si="61"/>
        <v>0</v>
      </c>
      <c r="G94">
        <f t="shared" si="61"/>
        <v>0</v>
      </c>
      <c r="H94">
        <f t="shared" si="62"/>
        <v>0</v>
      </c>
      <c r="I94">
        <f t="shared" si="62"/>
        <v>0</v>
      </c>
      <c r="J94">
        <f t="shared" si="56"/>
        <v>0</v>
      </c>
      <c r="K94">
        <f t="shared" si="56"/>
        <v>0</v>
      </c>
      <c r="L94">
        <f t="shared" si="56"/>
        <v>0</v>
      </c>
      <c r="M94">
        <f t="shared" si="56"/>
        <v>0</v>
      </c>
      <c r="N94">
        <f t="shared" si="56"/>
        <v>0</v>
      </c>
      <c r="O94">
        <f t="shared" si="56"/>
        <v>0</v>
      </c>
      <c r="P94">
        <f t="shared" si="63"/>
        <v>0</v>
      </c>
      <c r="Q94">
        <f t="shared" si="66"/>
        <v>0</v>
      </c>
      <c r="R94">
        <f t="shared" si="66"/>
        <v>0</v>
      </c>
      <c r="S94">
        <f t="shared" si="66"/>
        <v>0</v>
      </c>
      <c r="T94">
        <f>Z31</f>
        <v>0</v>
      </c>
      <c r="U94">
        <f>AA31</f>
        <v>0</v>
      </c>
      <c r="V94">
        <f>D94-AR94</f>
        <v>0</v>
      </c>
      <c r="W94">
        <f>AC31</f>
        <v>0</v>
      </c>
      <c r="X94">
        <f>AD31</f>
        <v>0</v>
      </c>
      <c r="Y94">
        <f>AE31</f>
        <v>0</v>
      </c>
      <c r="Z94">
        <f t="shared" si="65"/>
        <v>0</v>
      </c>
      <c r="AA94">
        <f t="shared" si="59"/>
        <v>0</v>
      </c>
      <c r="AB94">
        <f t="shared" si="59"/>
        <v>0</v>
      </c>
      <c r="AC94">
        <f t="shared" si="59"/>
        <v>0</v>
      </c>
      <c r="AD94">
        <f t="shared" si="59"/>
        <v>0</v>
      </c>
      <c r="AE94">
        <f t="shared" si="59"/>
        <v>0</v>
      </c>
      <c r="AF94">
        <f t="shared" si="59"/>
        <v>0</v>
      </c>
      <c r="AG94">
        <f t="shared" si="59"/>
        <v>0</v>
      </c>
      <c r="AH94">
        <f t="shared" si="59"/>
        <v>0</v>
      </c>
      <c r="AI94">
        <f t="shared" si="59"/>
        <v>0</v>
      </c>
      <c r="AJ94">
        <f t="shared" si="59"/>
        <v>0</v>
      </c>
      <c r="AK94">
        <f t="shared" si="59"/>
        <v>0</v>
      </c>
      <c r="AL94">
        <f t="shared" si="59"/>
        <v>0</v>
      </c>
      <c r="AM94">
        <f t="shared" si="59"/>
        <v>0</v>
      </c>
      <c r="AN94">
        <f t="shared" si="59"/>
        <v>0</v>
      </c>
      <c r="AO94">
        <f t="shared" si="59"/>
        <v>0</v>
      </c>
      <c r="AP94">
        <f t="shared" si="59"/>
        <v>0</v>
      </c>
      <c r="AQ94">
        <f t="shared" si="59"/>
        <v>0</v>
      </c>
      <c r="AR94">
        <f>E94+Q94+R94+S94+T94+U94+W94+X94+Y94+Z94+AA94+AB94+AC94+AD94+AE94+AF94+AG94+AH94+AI94+AJ94+AK94+AL94+AM94+AN94+AO94+AP94+AQ94</f>
        <v>0</v>
      </c>
      <c r="AS94">
        <f>D94+V116-AR94</f>
        <v>0</v>
      </c>
    </row>
    <row r="95" spans="1:45" ht="20.25" customHeight="1">
      <c r="A95" t="s">
        <v>65</v>
      </c>
      <c r="B95" t="s">
        <v>66</v>
      </c>
      <c r="C95" t="s">
        <v>67</v>
      </c>
      <c r="D95">
        <f t="shared" si="60"/>
        <v>1.51</v>
      </c>
      <c r="E95">
        <f t="shared" si="39"/>
        <v>0</v>
      </c>
      <c r="F95">
        <f t="shared" si="61"/>
        <v>0</v>
      </c>
      <c r="G95">
        <f t="shared" si="61"/>
        <v>0</v>
      </c>
      <c r="H95">
        <f t="shared" si="62"/>
        <v>0</v>
      </c>
      <c r="I95">
        <f t="shared" si="62"/>
        <v>0</v>
      </c>
      <c r="J95">
        <f t="shared" si="56"/>
        <v>0</v>
      </c>
      <c r="K95">
        <f t="shared" si="56"/>
        <v>0</v>
      </c>
      <c r="L95">
        <f t="shared" si="56"/>
        <v>0</v>
      </c>
      <c r="M95">
        <f t="shared" si="56"/>
        <v>0</v>
      </c>
      <c r="N95">
        <f t="shared" si="56"/>
        <v>0</v>
      </c>
      <c r="O95">
        <f t="shared" si="56"/>
        <v>0</v>
      </c>
      <c r="P95">
        <f t="shared" si="63"/>
        <v>1.51</v>
      </c>
      <c r="Q95">
        <f t="shared" si="66"/>
        <v>0</v>
      </c>
      <c r="R95">
        <f t="shared" si="66"/>
        <v>0</v>
      </c>
      <c r="S95">
        <f t="shared" si="66"/>
        <v>0</v>
      </c>
      <c r="T95">
        <f>Z32</f>
        <v>0</v>
      </c>
      <c r="U95">
        <f>AA32</f>
        <v>0</v>
      </c>
      <c r="V95">
        <f>AB32</f>
        <v>0</v>
      </c>
      <c r="W95">
        <f>D95-AR95</f>
        <v>1.51</v>
      </c>
      <c r="X95">
        <f>AD32</f>
        <v>0</v>
      </c>
      <c r="Y95">
        <f>AE32</f>
        <v>0</v>
      </c>
      <c r="Z95">
        <f t="shared" si="65"/>
        <v>0</v>
      </c>
      <c r="AA95">
        <f t="shared" si="59"/>
        <v>0</v>
      </c>
      <c r="AB95">
        <f t="shared" si="59"/>
        <v>0</v>
      </c>
      <c r="AC95">
        <f t="shared" si="59"/>
        <v>0</v>
      </c>
      <c r="AD95">
        <f t="shared" si="59"/>
        <v>0</v>
      </c>
      <c r="AE95">
        <f t="shared" si="59"/>
        <v>0</v>
      </c>
      <c r="AF95">
        <f t="shared" si="59"/>
        <v>0</v>
      </c>
      <c r="AG95">
        <f t="shared" si="59"/>
        <v>0</v>
      </c>
      <c r="AH95">
        <f t="shared" si="59"/>
        <v>0</v>
      </c>
      <c r="AI95">
        <f t="shared" si="59"/>
        <v>0</v>
      </c>
      <c r="AJ95">
        <f t="shared" si="59"/>
        <v>0</v>
      </c>
      <c r="AK95">
        <f t="shared" si="59"/>
        <v>0</v>
      </c>
      <c r="AL95">
        <f t="shared" si="59"/>
        <v>0</v>
      </c>
      <c r="AM95">
        <f t="shared" si="59"/>
        <v>0</v>
      </c>
      <c r="AN95">
        <f t="shared" si="59"/>
        <v>0</v>
      </c>
      <c r="AO95">
        <f t="shared" si="59"/>
        <v>0</v>
      </c>
      <c r="AP95">
        <f t="shared" si="59"/>
        <v>0</v>
      </c>
      <c r="AQ95">
        <f t="shared" si="59"/>
        <v>0</v>
      </c>
      <c r="AR95">
        <f>E95+Q95+R95+S95+T95+U95+V95+X95+Y95+Z95+AA95+AB95+AC95+AD95+AE95+AF95+AG95+AH95+AI95+AJ95+AK95+AL95+AM95+AN95+AO95+AP95+AQ95</f>
        <v>0</v>
      </c>
      <c r="AS95">
        <f>D95+W116-AR95</f>
        <v>1.51</v>
      </c>
    </row>
    <row r="96" spans="1:45" ht="20.25" customHeight="1">
      <c r="A96" t="s">
        <v>68</v>
      </c>
      <c r="B96" t="s">
        <v>69</v>
      </c>
      <c r="C96" t="s">
        <v>70</v>
      </c>
      <c r="D96">
        <f t="shared" si="60"/>
        <v>0</v>
      </c>
      <c r="E96">
        <f t="shared" si="39"/>
        <v>0</v>
      </c>
      <c r="F96">
        <f t="shared" si="61"/>
        <v>0</v>
      </c>
      <c r="G96">
        <f t="shared" si="61"/>
        <v>0</v>
      </c>
      <c r="H96">
        <f t="shared" si="62"/>
        <v>0</v>
      </c>
      <c r="I96">
        <f t="shared" si="62"/>
        <v>0</v>
      </c>
      <c r="J96">
        <f t="shared" si="56"/>
        <v>0</v>
      </c>
      <c r="K96">
        <f t="shared" si="56"/>
        <v>0</v>
      </c>
      <c r="L96">
        <f t="shared" si="56"/>
        <v>0</v>
      </c>
      <c r="M96">
        <f t="shared" si="56"/>
        <v>0</v>
      </c>
      <c r="N96">
        <f t="shared" si="56"/>
        <v>0</v>
      </c>
      <c r="O96">
        <f t="shared" si="56"/>
        <v>0</v>
      </c>
      <c r="P96">
        <f t="shared" si="63"/>
        <v>0</v>
      </c>
      <c r="Q96">
        <f t="shared" si="66"/>
        <v>0</v>
      </c>
      <c r="R96">
        <f t="shared" si="66"/>
        <v>0</v>
      </c>
      <c r="S96">
        <f t="shared" si="66"/>
        <v>0</v>
      </c>
      <c r="T96">
        <f>Z33</f>
        <v>0</v>
      </c>
      <c r="U96">
        <f>AA33</f>
        <v>0</v>
      </c>
      <c r="V96">
        <f>AB33</f>
        <v>0</v>
      </c>
      <c r="W96">
        <f>AC33</f>
        <v>0</v>
      </c>
      <c r="X96">
        <f>D96-AR96</f>
        <v>0</v>
      </c>
      <c r="Y96">
        <f>AE33</f>
        <v>0</v>
      </c>
      <c r="Z96">
        <f t="shared" si="65"/>
        <v>0</v>
      </c>
      <c r="AA96">
        <f t="shared" si="59"/>
        <v>0</v>
      </c>
      <c r="AB96">
        <f t="shared" si="59"/>
        <v>0</v>
      </c>
      <c r="AC96">
        <f t="shared" si="59"/>
        <v>0</v>
      </c>
      <c r="AD96">
        <f t="shared" si="59"/>
        <v>0</v>
      </c>
      <c r="AE96">
        <f t="shared" si="59"/>
        <v>0</v>
      </c>
      <c r="AF96">
        <f t="shared" si="59"/>
        <v>0</v>
      </c>
      <c r="AG96">
        <f t="shared" si="59"/>
        <v>0</v>
      </c>
      <c r="AH96">
        <f t="shared" si="59"/>
        <v>0</v>
      </c>
      <c r="AI96">
        <f t="shared" si="59"/>
        <v>0</v>
      </c>
      <c r="AJ96">
        <f t="shared" si="59"/>
        <v>0</v>
      </c>
      <c r="AK96">
        <f t="shared" si="59"/>
        <v>0</v>
      </c>
      <c r="AL96">
        <f t="shared" si="59"/>
        <v>0</v>
      </c>
      <c r="AM96">
        <f t="shared" si="59"/>
        <v>0</v>
      </c>
      <c r="AN96">
        <f t="shared" si="59"/>
        <v>0</v>
      </c>
      <c r="AO96">
        <f t="shared" si="59"/>
        <v>0</v>
      </c>
      <c r="AP96">
        <f t="shared" si="59"/>
        <v>0</v>
      </c>
      <c r="AQ96">
        <f t="shared" si="59"/>
        <v>0</v>
      </c>
      <c r="AR96">
        <f>E96+Q96+R96+S96+T96+U96+V96+W96+Y96+Z96+AA96+AB96+AC96+AD96+AE96+AF96+AG96+AH96+AI96+AJ96+AK96+AL96+AM96+AN96+AO96+AP96+AQ96</f>
        <v>0</v>
      </c>
      <c r="AS96">
        <f>D96+X116-AR96</f>
        <v>0</v>
      </c>
    </row>
    <row r="97" spans="1:45" ht="38.25" customHeight="1">
      <c r="A97" t="s">
        <v>71</v>
      </c>
      <c r="B97" t="s">
        <v>135</v>
      </c>
      <c r="C97" t="s">
        <v>72</v>
      </c>
      <c r="D97">
        <f t="shared" si="60"/>
        <v>86.71</v>
      </c>
      <c r="E97">
        <f t="shared" si="39"/>
        <v>0</v>
      </c>
      <c r="F97">
        <f t="shared" si="61"/>
        <v>0</v>
      </c>
      <c r="G97">
        <f t="shared" si="61"/>
        <v>0</v>
      </c>
      <c r="H97">
        <f t="shared" si="62"/>
        <v>0</v>
      </c>
      <c r="I97">
        <f t="shared" si="62"/>
        <v>0</v>
      </c>
      <c r="J97">
        <f>P34</f>
        <v>0</v>
      </c>
      <c r="K97">
        <f t="shared" si="56"/>
        <v>0</v>
      </c>
      <c r="L97">
        <f t="shared" si="56"/>
        <v>0</v>
      </c>
      <c r="M97">
        <f t="shared" si="56"/>
        <v>0</v>
      </c>
      <c r="N97">
        <f t="shared" si="56"/>
        <v>0</v>
      </c>
      <c r="O97">
        <f t="shared" si="56"/>
        <v>0</v>
      </c>
      <c r="P97">
        <f t="shared" si="63"/>
        <v>86.710000000000008</v>
      </c>
      <c r="Q97">
        <f t="shared" si="66"/>
        <v>0</v>
      </c>
      <c r="R97">
        <f t="shared" si="66"/>
        <v>0</v>
      </c>
      <c r="S97">
        <f t="shared" si="66"/>
        <v>0</v>
      </c>
      <c r="T97">
        <f>Z34</f>
        <v>0</v>
      </c>
      <c r="U97">
        <f>AA34</f>
        <v>0</v>
      </c>
      <c r="V97">
        <f>AB34</f>
        <v>0</v>
      </c>
      <c r="W97">
        <f>AC34</f>
        <v>0</v>
      </c>
      <c r="X97">
        <f>AD34</f>
        <v>0</v>
      </c>
      <c r="Y97">
        <f>D97-AR97</f>
        <v>83.94</v>
      </c>
      <c r="Z97">
        <f t="shared" si="65"/>
        <v>0</v>
      </c>
      <c r="AA97">
        <f t="shared" si="59"/>
        <v>0</v>
      </c>
      <c r="AB97">
        <f t="shared" si="59"/>
        <v>0</v>
      </c>
      <c r="AC97">
        <f t="shared" si="59"/>
        <v>0.04</v>
      </c>
      <c r="AD97">
        <f t="shared" si="59"/>
        <v>0</v>
      </c>
      <c r="AE97">
        <f t="shared" si="59"/>
        <v>0</v>
      </c>
      <c r="AF97">
        <f t="shared" si="59"/>
        <v>0</v>
      </c>
      <c r="AG97">
        <f t="shared" si="59"/>
        <v>0</v>
      </c>
      <c r="AH97">
        <f t="shared" si="59"/>
        <v>0</v>
      </c>
      <c r="AI97">
        <f t="shared" si="59"/>
        <v>0</v>
      </c>
      <c r="AJ97">
        <f t="shared" si="59"/>
        <v>0</v>
      </c>
      <c r="AK97">
        <f t="shared" si="59"/>
        <v>0</v>
      </c>
      <c r="AL97">
        <f t="shared" si="59"/>
        <v>0</v>
      </c>
      <c r="AM97">
        <f t="shared" si="59"/>
        <v>0</v>
      </c>
      <c r="AN97">
        <f t="shared" si="59"/>
        <v>0</v>
      </c>
      <c r="AO97">
        <f t="shared" si="59"/>
        <v>2.73</v>
      </c>
      <c r="AP97">
        <f t="shared" si="59"/>
        <v>0</v>
      </c>
      <c r="AQ97">
        <f t="shared" si="59"/>
        <v>0</v>
      </c>
      <c r="AR97">
        <f>E97+Q97+R97+S97+T97+U97+V97+W97+X97+Z97+AA97+AB97+AC97+AD97+AE97+AF97+AG97+AH97+AI97+AJ97+AK97+AL97+AM97+AN97+AO97+AP97+AQ97</f>
        <v>2.77</v>
      </c>
      <c r="AS97">
        <f>D97+Y116-AR97</f>
        <v>84.49</v>
      </c>
    </row>
    <row r="98" spans="1:45" ht="20.25" customHeight="1">
      <c r="A98" t="s">
        <v>73</v>
      </c>
      <c r="B98" t="s">
        <v>74</v>
      </c>
      <c r="C98" t="s">
        <v>75</v>
      </c>
      <c r="D98">
        <f>D46</f>
        <v>0</v>
      </c>
      <c r="E98">
        <f t="shared" si="39"/>
        <v>0</v>
      </c>
      <c r="F98">
        <f>H46</f>
        <v>0</v>
      </c>
      <c r="G98">
        <f>I46</f>
        <v>0</v>
      </c>
      <c r="H98">
        <f>M46</f>
        <v>0</v>
      </c>
      <c r="I98">
        <f>N46</f>
        <v>0</v>
      </c>
      <c r="J98">
        <f t="shared" ref="J98:O113" si="68">P46</f>
        <v>0</v>
      </c>
      <c r="K98">
        <f t="shared" si="68"/>
        <v>0</v>
      </c>
      <c r="L98">
        <f t="shared" si="68"/>
        <v>0</v>
      </c>
      <c r="M98">
        <f t="shared" si="68"/>
        <v>0</v>
      </c>
      <c r="N98">
        <f t="shared" si="68"/>
        <v>0</v>
      </c>
      <c r="O98">
        <f t="shared" si="68"/>
        <v>0</v>
      </c>
      <c r="P98">
        <f t="shared" si="63"/>
        <v>0</v>
      </c>
      <c r="Q98">
        <f t="shared" ref="Q98:Y113" si="69">W46</f>
        <v>0</v>
      </c>
      <c r="R98">
        <f t="shared" si="69"/>
        <v>0</v>
      </c>
      <c r="S98">
        <f t="shared" si="69"/>
        <v>0</v>
      </c>
      <c r="T98">
        <f t="shared" si="69"/>
        <v>0</v>
      </c>
      <c r="U98">
        <f t="shared" si="69"/>
        <v>0</v>
      </c>
      <c r="V98">
        <f t="shared" si="69"/>
        <v>0</v>
      </c>
      <c r="W98">
        <f t="shared" si="69"/>
        <v>0</v>
      </c>
      <c r="X98">
        <f t="shared" si="69"/>
        <v>0</v>
      </c>
      <c r="Y98">
        <f t="shared" si="69"/>
        <v>0</v>
      </c>
      <c r="Z98">
        <f>D98-AR98</f>
        <v>0</v>
      </c>
      <c r="AA98">
        <f>AR46</f>
        <v>0</v>
      </c>
      <c r="AB98">
        <f t="shared" ref="AB98:AQ109" si="70">AS46</f>
        <v>0</v>
      </c>
      <c r="AC98">
        <f t="shared" si="70"/>
        <v>0</v>
      </c>
      <c r="AD98">
        <f t="shared" si="70"/>
        <v>0</v>
      </c>
      <c r="AE98">
        <f t="shared" si="70"/>
        <v>0</v>
      </c>
      <c r="AF98">
        <f t="shared" si="70"/>
        <v>0</v>
      </c>
      <c r="AG98">
        <f t="shared" si="70"/>
        <v>0</v>
      </c>
      <c r="AH98">
        <f t="shared" si="70"/>
        <v>0</v>
      </c>
      <c r="AI98">
        <f t="shared" si="70"/>
        <v>0</v>
      </c>
      <c r="AJ98">
        <f t="shared" si="70"/>
        <v>0</v>
      </c>
      <c r="AK98">
        <f t="shared" si="70"/>
        <v>0</v>
      </c>
      <c r="AL98">
        <f t="shared" si="70"/>
        <v>0</v>
      </c>
      <c r="AM98">
        <f t="shared" si="70"/>
        <v>0</v>
      </c>
      <c r="AN98">
        <f t="shared" si="70"/>
        <v>0</v>
      </c>
      <c r="AO98">
        <f t="shared" si="70"/>
        <v>0</v>
      </c>
      <c r="AP98">
        <f t="shared" si="70"/>
        <v>0</v>
      </c>
      <c r="AQ98">
        <f t="shared" si="70"/>
        <v>0</v>
      </c>
      <c r="AR98">
        <f>E98+Q98+R98+S98+T98+U98+V98+W98+X98+Y98+AA98+AB98+AC98+AD98+AE98+AF98+AG98+AH98+AI98+AJ98+AK98+AL98+AM98+AN98+AO98+AP98+AQ98</f>
        <v>0</v>
      </c>
      <c r="AS98">
        <f>D98+Z116-AR98</f>
        <v>0</v>
      </c>
    </row>
    <row r="99" spans="1:45" ht="20.25" customHeight="1">
      <c r="A99" t="s">
        <v>76</v>
      </c>
      <c r="B99" t="s">
        <v>77</v>
      </c>
      <c r="C99" t="s">
        <v>78</v>
      </c>
      <c r="D99">
        <f t="shared" ref="D99:D114" si="71">D47</f>
        <v>0</v>
      </c>
      <c r="E99">
        <f t="shared" si="39"/>
        <v>0</v>
      </c>
      <c r="F99">
        <f t="shared" ref="F99:G115" si="72">H47</f>
        <v>0</v>
      </c>
      <c r="G99">
        <f t="shared" si="72"/>
        <v>0</v>
      </c>
      <c r="H99">
        <f t="shared" ref="H99:I115" si="73">M47</f>
        <v>0</v>
      </c>
      <c r="I99">
        <f t="shared" si="73"/>
        <v>0</v>
      </c>
      <c r="J99">
        <f t="shared" si="68"/>
        <v>0</v>
      </c>
      <c r="K99">
        <f t="shared" si="68"/>
        <v>0</v>
      </c>
      <c r="L99">
        <f t="shared" si="68"/>
        <v>0</v>
      </c>
      <c r="M99">
        <f t="shared" si="68"/>
        <v>0</v>
      </c>
      <c r="N99">
        <f t="shared" si="68"/>
        <v>0</v>
      </c>
      <c r="O99">
        <f t="shared" si="68"/>
        <v>0</v>
      </c>
      <c r="P99">
        <f t="shared" si="63"/>
        <v>0</v>
      </c>
      <c r="Q99">
        <f t="shared" si="69"/>
        <v>0</v>
      </c>
      <c r="R99">
        <f t="shared" si="69"/>
        <v>0</v>
      </c>
      <c r="S99">
        <f t="shared" si="69"/>
        <v>0</v>
      </c>
      <c r="T99">
        <f t="shared" si="69"/>
        <v>0</v>
      </c>
      <c r="U99">
        <f t="shared" si="69"/>
        <v>0</v>
      </c>
      <c r="V99">
        <f t="shared" si="69"/>
        <v>0</v>
      </c>
      <c r="W99">
        <f t="shared" si="69"/>
        <v>0</v>
      </c>
      <c r="X99">
        <f t="shared" si="69"/>
        <v>0</v>
      </c>
      <c r="Y99">
        <f t="shared" si="69"/>
        <v>0</v>
      </c>
      <c r="Z99">
        <f>AQ47</f>
        <v>0</v>
      </c>
      <c r="AA99">
        <f>D99-AR99</f>
        <v>0</v>
      </c>
      <c r="AB99">
        <f>AS47</f>
        <v>0</v>
      </c>
      <c r="AC99">
        <f t="shared" si="70"/>
        <v>0</v>
      </c>
      <c r="AD99">
        <f t="shared" si="70"/>
        <v>0</v>
      </c>
      <c r="AE99">
        <f t="shared" si="70"/>
        <v>0</v>
      </c>
      <c r="AF99">
        <f t="shared" si="70"/>
        <v>0</v>
      </c>
      <c r="AG99">
        <f t="shared" si="70"/>
        <v>0</v>
      </c>
      <c r="AH99">
        <f t="shared" si="70"/>
        <v>0</v>
      </c>
      <c r="AI99">
        <f t="shared" si="70"/>
        <v>0</v>
      </c>
      <c r="AJ99">
        <f t="shared" si="70"/>
        <v>0</v>
      </c>
      <c r="AK99">
        <f t="shared" si="70"/>
        <v>0</v>
      </c>
      <c r="AL99">
        <f t="shared" si="70"/>
        <v>0</v>
      </c>
      <c r="AM99">
        <f t="shared" si="70"/>
        <v>0</v>
      </c>
      <c r="AN99">
        <f t="shared" si="70"/>
        <v>0</v>
      </c>
      <c r="AO99">
        <f t="shared" si="70"/>
        <v>0</v>
      </c>
      <c r="AP99">
        <f t="shared" si="70"/>
        <v>0</v>
      </c>
      <c r="AQ99">
        <f t="shared" si="70"/>
        <v>0</v>
      </c>
      <c r="AR99">
        <f>E99+Q99+R99+S99+T99+U99+V99+W99+X99+Y99+Z99+AB99+AC99+AD99+AE99+AF99+AG99+AH99+AI99+AJ99+AK99+AL99+AM99+AN99+AO99+AP99+AQ99</f>
        <v>0</v>
      </c>
      <c r="AS99">
        <f>D99+AA116-AR99</f>
        <v>0</v>
      </c>
    </row>
    <row r="100" spans="1:45" ht="20.25" customHeight="1">
      <c r="A100" t="s">
        <v>79</v>
      </c>
      <c r="B100" t="s">
        <v>80</v>
      </c>
      <c r="C100" t="s">
        <v>81</v>
      </c>
      <c r="D100">
        <f t="shared" si="71"/>
        <v>0.21</v>
      </c>
      <c r="E100">
        <f t="shared" si="39"/>
        <v>0</v>
      </c>
      <c r="F100">
        <f t="shared" si="72"/>
        <v>0</v>
      </c>
      <c r="G100">
        <f t="shared" si="72"/>
        <v>0</v>
      </c>
      <c r="H100">
        <f t="shared" si="73"/>
        <v>0</v>
      </c>
      <c r="I100">
        <f t="shared" si="73"/>
        <v>0</v>
      </c>
      <c r="J100">
        <f t="shared" si="68"/>
        <v>0</v>
      </c>
      <c r="K100">
        <f t="shared" si="68"/>
        <v>0</v>
      </c>
      <c r="L100">
        <f t="shared" si="68"/>
        <v>0</v>
      </c>
      <c r="M100">
        <f t="shared" si="68"/>
        <v>0</v>
      </c>
      <c r="N100">
        <f t="shared" si="68"/>
        <v>0</v>
      </c>
      <c r="O100">
        <f t="shared" si="68"/>
        <v>0</v>
      </c>
      <c r="P100">
        <f t="shared" si="63"/>
        <v>0.21</v>
      </c>
      <c r="Q100">
        <f t="shared" si="69"/>
        <v>0</v>
      </c>
      <c r="R100">
        <f t="shared" si="69"/>
        <v>0</v>
      </c>
      <c r="S100">
        <f t="shared" si="69"/>
        <v>0</v>
      </c>
      <c r="T100">
        <f t="shared" si="69"/>
        <v>0</v>
      </c>
      <c r="U100">
        <f t="shared" si="69"/>
        <v>0</v>
      </c>
      <c r="V100">
        <f t="shared" si="69"/>
        <v>0</v>
      </c>
      <c r="W100">
        <f t="shared" si="69"/>
        <v>0</v>
      </c>
      <c r="X100">
        <f t="shared" si="69"/>
        <v>0</v>
      </c>
      <c r="Y100">
        <f t="shared" si="69"/>
        <v>0</v>
      </c>
      <c r="Z100">
        <f t="shared" ref="Z100:AK115" si="74">AQ48</f>
        <v>0</v>
      </c>
      <c r="AA100">
        <f t="shared" si="74"/>
        <v>0</v>
      </c>
      <c r="AB100">
        <f>D100-AR100</f>
        <v>0.21</v>
      </c>
      <c r="AC100">
        <f>AT48</f>
        <v>0</v>
      </c>
      <c r="AD100">
        <f t="shared" si="70"/>
        <v>0</v>
      </c>
      <c r="AE100">
        <f t="shared" si="70"/>
        <v>0</v>
      </c>
      <c r="AF100">
        <f t="shared" si="70"/>
        <v>0</v>
      </c>
      <c r="AG100">
        <f t="shared" si="70"/>
        <v>0</v>
      </c>
      <c r="AH100">
        <f t="shared" si="70"/>
        <v>0</v>
      </c>
      <c r="AI100">
        <f t="shared" si="70"/>
        <v>0</v>
      </c>
      <c r="AJ100">
        <f t="shared" si="70"/>
        <v>0</v>
      </c>
      <c r="AK100">
        <f t="shared" si="70"/>
        <v>0</v>
      </c>
      <c r="AL100">
        <f t="shared" si="70"/>
        <v>0</v>
      </c>
      <c r="AM100">
        <f t="shared" si="70"/>
        <v>0</v>
      </c>
      <c r="AN100">
        <f t="shared" si="70"/>
        <v>0</v>
      </c>
      <c r="AO100">
        <f t="shared" si="70"/>
        <v>0</v>
      </c>
      <c r="AP100">
        <f t="shared" si="70"/>
        <v>0</v>
      </c>
      <c r="AQ100">
        <f t="shared" si="70"/>
        <v>0</v>
      </c>
      <c r="AR100">
        <f>E100+Q100+R100+S100+T100+U100+V100+W100+X100+Y100+Z100+AA100+AC100+AD100+AE100+AF100+AG100+AH100+AI100+AJ100+AK100+AL100+AM100+AN100+AO100+AP100+AQ100</f>
        <v>0</v>
      </c>
      <c r="AS100">
        <f>D100+AB116-AR100</f>
        <v>0.21</v>
      </c>
    </row>
    <row r="101" spans="1:45" ht="20.25" customHeight="1">
      <c r="A101" t="s">
        <v>82</v>
      </c>
      <c r="B101" t="s">
        <v>83</v>
      </c>
      <c r="C101" t="s">
        <v>84</v>
      </c>
      <c r="D101">
        <f t="shared" si="71"/>
        <v>21.67</v>
      </c>
      <c r="E101">
        <f t="shared" si="39"/>
        <v>0</v>
      </c>
      <c r="F101">
        <f t="shared" si="72"/>
        <v>0</v>
      </c>
      <c r="G101">
        <f t="shared" si="72"/>
        <v>0</v>
      </c>
      <c r="H101">
        <f t="shared" si="73"/>
        <v>0</v>
      </c>
      <c r="I101">
        <f t="shared" si="73"/>
        <v>0</v>
      </c>
      <c r="J101">
        <f t="shared" si="68"/>
        <v>0</v>
      </c>
      <c r="K101">
        <f t="shared" si="68"/>
        <v>0</v>
      </c>
      <c r="L101">
        <f t="shared" si="68"/>
        <v>0</v>
      </c>
      <c r="M101">
        <f t="shared" si="68"/>
        <v>0</v>
      </c>
      <c r="N101">
        <f t="shared" si="68"/>
        <v>0</v>
      </c>
      <c r="O101">
        <f t="shared" si="68"/>
        <v>0</v>
      </c>
      <c r="P101">
        <f t="shared" si="63"/>
        <v>21.67</v>
      </c>
      <c r="Q101">
        <f t="shared" si="69"/>
        <v>0</v>
      </c>
      <c r="R101">
        <f t="shared" si="69"/>
        <v>0</v>
      </c>
      <c r="S101">
        <f t="shared" si="69"/>
        <v>0</v>
      </c>
      <c r="T101">
        <f t="shared" si="69"/>
        <v>0</v>
      </c>
      <c r="U101">
        <f t="shared" si="69"/>
        <v>0</v>
      </c>
      <c r="V101">
        <f t="shared" si="69"/>
        <v>0</v>
      </c>
      <c r="W101">
        <f t="shared" si="69"/>
        <v>0</v>
      </c>
      <c r="X101">
        <f t="shared" si="69"/>
        <v>0</v>
      </c>
      <c r="Y101">
        <f t="shared" si="69"/>
        <v>0.1</v>
      </c>
      <c r="Z101">
        <f t="shared" si="74"/>
        <v>0</v>
      </c>
      <c r="AA101">
        <f t="shared" si="74"/>
        <v>0</v>
      </c>
      <c r="AB101">
        <f t="shared" si="74"/>
        <v>0</v>
      </c>
      <c r="AC101">
        <f>D101-AR101</f>
        <v>21.57</v>
      </c>
      <c r="AD101">
        <f>AU49</f>
        <v>0</v>
      </c>
      <c r="AE101">
        <f t="shared" si="70"/>
        <v>0</v>
      </c>
      <c r="AF101">
        <f t="shared" si="70"/>
        <v>0</v>
      </c>
      <c r="AG101">
        <f t="shared" si="70"/>
        <v>0</v>
      </c>
      <c r="AH101">
        <f t="shared" si="70"/>
        <v>0</v>
      </c>
      <c r="AI101">
        <f t="shared" si="70"/>
        <v>0</v>
      </c>
      <c r="AJ101">
        <f t="shared" si="70"/>
        <v>0</v>
      </c>
      <c r="AK101">
        <f t="shared" si="70"/>
        <v>0</v>
      </c>
      <c r="AL101">
        <f t="shared" si="70"/>
        <v>0</v>
      </c>
      <c r="AM101">
        <f t="shared" si="70"/>
        <v>0</v>
      </c>
      <c r="AN101">
        <f t="shared" si="70"/>
        <v>0</v>
      </c>
      <c r="AO101">
        <f t="shared" si="70"/>
        <v>0</v>
      </c>
      <c r="AP101">
        <f t="shared" si="70"/>
        <v>0</v>
      </c>
      <c r="AQ101">
        <f t="shared" si="70"/>
        <v>0</v>
      </c>
      <c r="AR101">
        <f>E101+Q101+R101+S101+T101+U101+V101+W101+X101+Y101+Z101+AA101+AB101+AD101+AE101+AF101+AG101+AH101+AI101+AJ101+AK101+AL101+AM101+AN101+AO101+AP101+AQ101</f>
        <v>0.1</v>
      </c>
      <c r="AS101">
        <f>D101+AC116-AR101</f>
        <v>23.740000000000002</v>
      </c>
    </row>
    <row r="102" spans="1:45" ht="20.25" customHeight="1">
      <c r="A102" t="s">
        <v>85</v>
      </c>
      <c r="B102" t="s">
        <v>86</v>
      </c>
      <c r="C102" t="s">
        <v>87</v>
      </c>
      <c r="D102">
        <f t="shared" si="71"/>
        <v>0</v>
      </c>
      <c r="E102">
        <f t="shared" si="39"/>
        <v>0</v>
      </c>
      <c r="F102">
        <f t="shared" si="72"/>
        <v>0</v>
      </c>
      <c r="G102">
        <f t="shared" si="72"/>
        <v>0</v>
      </c>
      <c r="H102">
        <f t="shared" si="73"/>
        <v>0</v>
      </c>
      <c r="I102">
        <f t="shared" si="73"/>
        <v>0</v>
      </c>
      <c r="J102">
        <f t="shared" si="68"/>
        <v>0</v>
      </c>
      <c r="K102">
        <f t="shared" si="68"/>
        <v>0</v>
      </c>
      <c r="L102">
        <f t="shared" si="68"/>
        <v>0</v>
      </c>
      <c r="M102">
        <f t="shared" si="68"/>
        <v>0</v>
      </c>
      <c r="N102">
        <f t="shared" si="68"/>
        <v>0</v>
      </c>
      <c r="O102">
        <f t="shared" si="68"/>
        <v>0</v>
      </c>
      <c r="P102">
        <f t="shared" si="63"/>
        <v>0</v>
      </c>
      <c r="Q102">
        <f t="shared" si="69"/>
        <v>0</v>
      </c>
      <c r="R102">
        <f t="shared" si="69"/>
        <v>0</v>
      </c>
      <c r="S102">
        <f t="shared" si="69"/>
        <v>0</v>
      </c>
      <c r="T102">
        <f t="shared" si="69"/>
        <v>0</v>
      </c>
      <c r="U102">
        <f t="shared" si="69"/>
        <v>0</v>
      </c>
      <c r="V102">
        <f t="shared" si="69"/>
        <v>0</v>
      </c>
      <c r="W102">
        <f t="shared" si="69"/>
        <v>0</v>
      </c>
      <c r="X102">
        <f t="shared" si="69"/>
        <v>0</v>
      </c>
      <c r="Y102">
        <f t="shared" si="69"/>
        <v>0</v>
      </c>
      <c r="Z102">
        <f t="shared" si="74"/>
        <v>0</v>
      </c>
      <c r="AA102">
        <f t="shared" si="74"/>
        <v>0</v>
      </c>
      <c r="AB102">
        <f t="shared" si="74"/>
        <v>0</v>
      </c>
      <c r="AC102">
        <f t="shared" si="74"/>
        <v>0</v>
      </c>
      <c r="AD102">
        <f>D102-AR102</f>
        <v>0</v>
      </c>
      <c r="AE102">
        <f>AV50</f>
        <v>0</v>
      </c>
      <c r="AF102">
        <f t="shared" si="70"/>
        <v>0</v>
      </c>
      <c r="AG102">
        <f t="shared" si="70"/>
        <v>0</v>
      </c>
      <c r="AH102">
        <f t="shared" si="70"/>
        <v>0</v>
      </c>
      <c r="AI102">
        <f t="shared" si="70"/>
        <v>0</v>
      </c>
      <c r="AJ102">
        <f t="shared" si="70"/>
        <v>0</v>
      </c>
      <c r="AK102">
        <f t="shared" si="70"/>
        <v>0</v>
      </c>
      <c r="AL102">
        <f t="shared" si="70"/>
        <v>0</v>
      </c>
      <c r="AM102">
        <f t="shared" si="70"/>
        <v>0</v>
      </c>
      <c r="AN102">
        <f t="shared" si="70"/>
        <v>0</v>
      </c>
      <c r="AO102">
        <f t="shared" si="70"/>
        <v>0</v>
      </c>
      <c r="AP102">
        <f t="shared" si="70"/>
        <v>0</v>
      </c>
      <c r="AQ102">
        <f t="shared" si="70"/>
        <v>0</v>
      </c>
      <c r="AR102">
        <f>E102+Q102+R102+S102+T102+U102+V102+W102+X102+Y102+Z102+AA102+AB102+AC102+AE102+AF102+AG102+AH102+AI102+AJ102+AK102+AL102+AM102+AN102+AO102+AP102+AQ102</f>
        <v>0</v>
      </c>
      <c r="AS102">
        <f>D102+AD116-AR102</f>
        <v>0</v>
      </c>
    </row>
    <row r="103" spans="1:45" ht="20.25" customHeight="1">
      <c r="A103" t="s">
        <v>88</v>
      </c>
      <c r="B103" t="s">
        <v>89</v>
      </c>
      <c r="C103" t="s">
        <v>90</v>
      </c>
      <c r="D103">
        <f t="shared" si="71"/>
        <v>1.05</v>
      </c>
      <c r="E103">
        <f t="shared" si="39"/>
        <v>0</v>
      </c>
      <c r="F103">
        <f t="shared" si="72"/>
        <v>0</v>
      </c>
      <c r="G103">
        <f t="shared" si="72"/>
        <v>0</v>
      </c>
      <c r="H103">
        <f t="shared" si="73"/>
        <v>0</v>
      </c>
      <c r="I103">
        <f t="shared" si="73"/>
        <v>0</v>
      </c>
      <c r="J103">
        <f t="shared" si="68"/>
        <v>0</v>
      </c>
      <c r="K103">
        <f t="shared" si="68"/>
        <v>0</v>
      </c>
      <c r="L103">
        <f t="shared" si="68"/>
        <v>0</v>
      </c>
      <c r="M103">
        <f t="shared" si="68"/>
        <v>0</v>
      </c>
      <c r="N103">
        <f t="shared" si="68"/>
        <v>0</v>
      </c>
      <c r="O103">
        <f t="shared" si="68"/>
        <v>0</v>
      </c>
      <c r="P103">
        <f t="shared" si="63"/>
        <v>1.05</v>
      </c>
      <c r="Q103">
        <f t="shared" si="69"/>
        <v>0</v>
      </c>
      <c r="R103">
        <f t="shared" si="69"/>
        <v>0</v>
      </c>
      <c r="S103">
        <f t="shared" si="69"/>
        <v>0</v>
      </c>
      <c r="T103">
        <f t="shared" si="69"/>
        <v>0</v>
      </c>
      <c r="U103">
        <f t="shared" si="69"/>
        <v>0</v>
      </c>
      <c r="V103">
        <f t="shared" si="69"/>
        <v>0</v>
      </c>
      <c r="W103">
        <f t="shared" si="69"/>
        <v>0</v>
      </c>
      <c r="X103">
        <f t="shared" si="69"/>
        <v>0</v>
      </c>
      <c r="Y103">
        <f t="shared" si="69"/>
        <v>0</v>
      </c>
      <c r="Z103">
        <f t="shared" si="74"/>
        <v>0</v>
      </c>
      <c r="AA103">
        <f t="shared" si="74"/>
        <v>0</v>
      </c>
      <c r="AB103">
        <f t="shared" si="74"/>
        <v>0</v>
      </c>
      <c r="AC103">
        <f t="shared" si="74"/>
        <v>0</v>
      </c>
      <c r="AD103">
        <f t="shared" si="74"/>
        <v>0</v>
      </c>
      <c r="AE103">
        <f>D103-AR103</f>
        <v>1.05</v>
      </c>
      <c r="AF103">
        <f>AW51</f>
        <v>0</v>
      </c>
      <c r="AG103">
        <f t="shared" si="70"/>
        <v>0</v>
      </c>
      <c r="AH103">
        <f t="shared" si="70"/>
        <v>0</v>
      </c>
      <c r="AI103">
        <f t="shared" si="70"/>
        <v>0</v>
      </c>
      <c r="AJ103">
        <f t="shared" si="70"/>
        <v>0</v>
      </c>
      <c r="AK103">
        <f t="shared" si="70"/>
        <v>0</v>
      </c>
      <c r="AL103">
        <f t="shared" si="70"/>
        <v>0</v>
      </c>
      <c r="AM103">
        <f t="shared" si="70"/>
        <v>0</v>
      </c>
      <c r="AN103">
        <f t="shared" si="70"/>
        <v>0</v>
      </c>
      <c r="AO103">
        <f t="shared" si="70"/>
        <v>0</v>
      </c>
      <c r="AP103">
        <f t="shared" si="70"/>
        <v>0</v>
      </c>
      <c r="AQ103">
        <f t="shared" si="70"/>
        <v>0</v>
      </c>
      <c r="AR103">
        <f>E103+Q103+R103+S103+T103+U103+V103+W103+X103+Y103+Z103+AA103+AB103+AC103+AD103+AF103+AG103+AH103+AI103+AJ103+AK103+AL103+AM103+AN103+AO103+AP103+AQ103</f>
        <v>0</v>
      </c>
      <c r="AS103">
        <f>D103+AE116-AR103</f>
        <v>1.05</v>
      </c>
    </row>
    <row r="104" spans="1:45" ht="37.5" customHeight="1">
      <c r="A104" t="s">
        <v>91</v>
      </c>
      <c r="B104" t="s">
        <v>92</v>
      </c>
      <c r="C104" t="s">
        <v>93</v>
      </c>
      <c r="D104">
        <f t="shared" si="71"/>
        <v>0</v>
      </c>
      <c r="E104">
        <f t="shared" si="39"/>
        <v>0</v>
      </c>
      <c r="F104">
        <f t="shared" si="72"/>
        <v>0</v>
      </c>
      <c r="G104">
        <f t="shared" si="72"/>
        <v>0</v>
      </c>
      <c r="H104">
        <f t="shared" si="73"/>
        <v>0</v>
      </c>
      <c r="I104">
        <f t="shared" si="73"/>
        <v>0</v>
      </c>
      <c r="J104">
        <f t="shared" si="68"/>
        <v>0</v>
      </c>
      <c r="K104">
        <f t="shared" si="68"/>
        <v>0</v>
      </c>
      <c r="L104">
        <f t="shared" si="68"/>
        <v>0</v>
      </c>
      <c r="M104">
        <f t="shared" si="68"/>
        <v>0</v>
      </c>
      <c r="N104">
        <f t="shared" si="68"/>
        <v>0</v>
      </c>
      <c r="O104">
        <f t="shared" si="68"/>
        <v>0</v>
      </c>
      <c r="P104">
        <f t="shared" si="63"/>
        <v>0</v>
      </c>
      <c r="Q104">
        <f t="shared" si="69"/>
        <v>0</v>
      </c>
      <c r="R104">
        <f t="shared" si="69"/>
        <v>0</v>
      </c>
      <c r="S104">
        <f t="shared" si="69"/>
        <v>0</v>
      </c>
      <c r="T104">
        <f t="shared" si="69"/>
        <v>0</v>
      </c>
      <c r="U104">
        <f t="shared" si="69"/>
        <v>0</v>
      </c>
      <c r="V104">
        <f t="shared" si="69"/>
        <v>0</v>
      </c>
      <c r="W104">
        <f t="shared" si="69"/>
        <v>0</v>
      </c>
      <c r="X104">
        <f t="shared" si="69"/>
        <v>0</v>
      </c>
      <c r="Y104">
        <f t="shared" si="69"/>
        <v>0</v>
      </c>
      <c r="Z104">
        <f t="shared" si="74"/>
        <v>0</v>
      </c>
      <c r="AA104">
        <f t="shared" si="74"/>
        <v>0</v>
      </c>
      <c r="AB104">
        <f t="shared" si="74"/>
        <v>0</v>
      </c>
      <c r="AC104">
        <f t="shared" si="74"/>
        <v>0</v>
      </c>
      <c r="AD104">
        <f t="shared" si="74"/>
        <v>0</v>
      </c>
      <c r="AE104">
        <f t="shared" si="74"/>
        <v>0</v>
      </c>
      <c r="AF104">
        <f>D104-AR104</f>
        <v>0</v>
      </c>
      <c r="AG104">
        <f>AX52</f>
        <v>0</v>
      </c>
      <c r="AH104">
        <f t="shared" si="70"/>
        <v>0</v>
      </c>
      <c r="AI104">
        <f t="shared" si="70"/>
        <v>0</v>
      </c>
      <c r="AJ104">
        <f t="shared" si="70"/>
        <v>0</v>
      </c>
      <c r="AK104">
        <f t="shared" si="70"/>
        <v>0</v>
      </c>
      <c r="AL104">
        <f t="shared" si="70"/>
        <v>0</v>
      </c>
      <c r="AM104">
        <f t="shared" si="70"/>
        <v>0</v>
      </c>
      <c r="AN104">
        <f t="shared" si="70"/>
        <v>0</v>
      </c>
      <c r="AO104">
        <f t="shared" si="70"/>
        <v>0</v>
      </c>
      <c r="AP104">
        <f t="shared" si="70"/>
        <v>0</v>
      </c>
      <c r="AQ104">
        <f t="shared" si="70"/>
        <v>0</v>
      </c>
      <c r="AR104">
        <f>E104+Q104+R104+S104+T104+U104+V104+W104+X104+Y104+Z104+AA104+AB104+AC104+AD104+AE104+AG104+AH104+AI104+AJ104+AK104+AL104+AM104+AN104+AO104+AP104+AQ104</f>
        <v>0</v>
      </c>
      <c r="AS104">
        <f>D104+AF116-AR104</f>
        <v>0</v>
      </c>
    </row>
    <row r="105" spans="1:45" ht="20.25" customHeight="1">
      <c r="A105" t="s">
        <v>94</v>
      </c>
      <c r="B105" t="s">
        <v>95</v>
      </c>
      <c r="C105" t="s">
        <v>96</v>
      </c>
      <c r="D105">
        <f t="shared" si="71"/>
        <v>0</v>
      </c>
      <c r="E105">
        <f t="shared" si="39"/>
        <v>0</v>
      </c>
      <c r="F105">
        <f t="shared" si="72"/>
        <v>0</v>
      </c>
      <c r="G105">
        <f t="shared" si="72"/>
        <v>0</v>
      </c>
      <c r="H105">
        <f t="shared" si="73"/>
        <v>0</v>
      </c>
      <c r="I105">
        <f t="shared" si="73"/>
        <v>0</v>
      </c>
      <c r="J105">
        <f t="shared" si="68"/>
        <v>0</v>
      </c>
      <c r="K105">
        <f t="shared" si="68"/>
        <v>0</v>
      </c>
      <c r="L105">
        <f t="shared" si="68"/>
        <v>0</v>
      </c>
      <c r="M105">
        <f t="shared" si="68"/>
        <v>0</v>
      </c>
      <c r="N105">
        <f t="shared" si="68"/>
        <v>0</v>
      </c>
      <c r="O105">
        <f t="shared" si="68"/>
        <v>0</v>
      </c>
      <c r="P105">
        <f t="shared" si="63"/>
        <v>0</v>
      </c>
      <c r="Q105">
        <f t="shared" si="69"/>
        <v>0</v>
      </c>
      <c r="R105">
        <f t="shared" si="69"/>
        <v>0</v>
      </c>
      <c r="S105">
        <f t="shared" si="69"/>
        <v>0</v>
      </c>
      <c r="T105">
        <f t="shared" si="69"/>
        <v>0</v>
      </c>
      <c r="U105">
        <f t="shared" si="69"/>
        <v>0</v>
      </c>
      <c r="V105">
        <f t="shared" si="69"/>
        <v>0</v>
      </c>
      <c r="W105">
        <f t="shared" si="69"/>
        <v>0</v>
      </c>
      <c r="X105">
        <f t="shared" si="69"/>
        <v>0</v>
      </c>
      <c r="Y105">
        <f t="shared" si="69"/>
        <v>0</v>
      </c>
      <c r="Z105">
        <f t="shared" si="74"/>
        <v>0</v>
      </c>
      <c r="AA105">
        <f t="shared" si="74"/>
        <v>0</v>
      </c>
      <c r="AB105">
        <f t="shared" si="74"/>
        <v>0</v>
      </c>
      <c r="AC105">
        <f t="shared" si="74"/>
        <v>0</v>
      </c>
      <c r="AD105">
        <f t="shared" si="74"/>
        <v>0</v>
      </c>
      <c r="AE105">
        <f t="shared" si="74"/>
        <v>0</v>
      </c>
      <c r="AF105">
        <f t="shared" si="74"/>
        <v>0</v>
      </c>
      <c r="AG105">
        <f>D105-AR105</f>
        <v>0</v>
      </c>
      <c r="AH105">
        <f>AY53</f>
        <v>0</v>
      </c>
      <c r="AI105">
        <f t="shared" si="70"/>
        <v>0</v>
      </c>
      <c r="AJ105">
        <f t="shared" si="70"/>
        <v>0</v>
      </c>
      <c r="AK105">
        <f t="shared" si="70"/>
        <v>0</v>
      </c>
      <c r="AL105">
        <f t="shared" si="70"/>
        <v>0</v>
      </c>
      <c r="AM105">
        <f t="shared" si="70"/>
        <v>0</v>
      </c>
      <c r="AN105">
        <f t="shared" si="70"/>
        <v>0</v>
      </c>
      <c r="AO105">
        <f t="shared" si="70"/>
        <v>0</v>
      </c>
      <c r="AP105">
        <f t="shared" si="70"/>
        <v>0</v>
      </c>
      <c r="AQ105">
        <f t="shared" si="70"/>
        <v>0</v>
      </c>
      <c r="AR105">
        <f>E105+Q105+R105+S105+T105+U105+V105+W105+X105+Y105+Z105+AA105+AB105+AC105+AD105+AE105+AF105+AH105+AI105+AJ105+AK105+AL105+AM105+AN105+AO105+AP105+AQ105</f>
        <v>0</v>
      </c>
      <c r="AS105">
        <f>D105+AG116-AR105</f>
        <v>0</v>
      </c>
    </row>
    <row r="106" spans="1:45" ht="20.25" customHeight="1">
      <c r="A106" t="s">
        <v>97</v>
      </c>
      <c r="B106" t="s">
        <v>98</v>
      </c>
      <c r="C106" t="s">
        <v>99</v>
      </c>
      <c r="D106">
        <f t="shared" si="71"/>
        <v>0</v>
      </c>
      <c r="E106">
        <f t="shared" si="39"/>
        <v>0</v>
      </c>
      <c r="F106">
        <f t="shared" si="72"/>
        <v>0</v>
      </c>
      <c r="G106">
        <f t="shared" si="72"/>
        <v>0</v>
      </c>
      <c r="H106">
        <f t="shared" si="73"/>
        <v>0</v>
      </c>
      <c r="I106">
        <f t="shared" si="73"/>
        <v>0</v>
      </c>
      <c r="J106">
        <f t="shared" si="68"/>
        <v>0</v>
      </c>
      <c r="K106">
        <f t="shared" si="68"/>
        <v>0</v>
      </c>
      <c r="L106">
        <f t="shared" si="68"/>
        <v>0</v>
      </c>
      <c r="M106">
        <f t="shared" si="68"/>
        <v>0</v>
      </c>
      <c r="N106">
        <f t="shared" si="68"/>
        <v>0</v>
      </c>
      <c r="O106">
        <f t="shared" si="68"/>
        <v>0</v>
      </c>
      <c r="P106">
        <f t="shared" si="63"/>
        <v>0</v>
      </c>
      <c r="Q106">
        <f t="shared" si="69"/>
        <v>0</v>
      </c>
      <c r="R106">
        <f t="shared" si="69"/>
        <v>0</v>
      </c>
      <c r="S106">
        <f t="shared" si="69"/>
        <v>0</v>
      </c>
      <c r="T106">
        <f t="shared" si="69"/>
        <v>0</v>
      </c>
      <c r="U106">
        <f t="shared" si="69"/>
        <v>0</v>
      </c>
      <c r="V106">
        <f t="shared" si="69"/>
        <v>0</v>
      </c>
      <c r="W106">
        <f t="shared" si="69"/>
        <v>0</v>
      </c>
      <c r="X106">
        <f t="shared" si="69"/>
        <v>0</v>
      </c>
      <c r="Y106">
        <f t="shared" si="69"/>
        <v>0</v>
      </c>
      <c r="Z106">
        <f t="shared" si="74"/>
        <v>0</v>
      </c>
      <c r="AA106">
        <f t="shared" si="74"/>
        <v>0</v>
      </c>
      <c r="AB106">
        <f t="shared" si="74"/>
        <v>0</v>
      </c>
      <c r="AC106">
        <f t="shared" si="74"/>
        <v>0</v>
      </c>
      <c r="AD106">
        <f t="shared" si="74"/>
        <v>0</v>
      </c>
      <c r="AE106">
        <f t="shared" si="74"/>
        <v>0</v>
      </c>
      <c r="AF106">
        <f t="shared" si="74"/>
        <v>0</v>
      </c>
      <c r="AG106">
        <f t="shared" si="74"/>
        <v>0</v>
      </c>
      <c r="AH106">
        <f>D106-AR106</f>
        <v>0</v>
      </c>
      <c r="AI106">
        <f>AZ54</f>
        <v>0</v>
      </c>
      <c r="AJ106">
        <f t="shared" si="70"/>
        <v>0</v>
      </c>
      <c r="AK106">
        <f t="shared" si="70"/>
        <v>0</v>
      </c>
      <c r="AL106">
        <f t="shared" si="70"/>
        <v>0</v>
      </c>
      <c r="AM106">
        <f t="shared" si="70"/>
        <v>0</v>
      </c>
      <c r="AN106">
        <f t="shared" si="70"/>
        <v>0</v>
      </c>
      <c r="AO106">
        <f t="shared" si="70"/>
        <v>0</v>
      </c>
      <c r="AP106">
        <f t="shared" si="70"/>
        <v>0</v>
      </c>
      <c r="AQ106">
        <f t="shared" si="70"/>
        <v>0</v>
      </c>
      <c r="AR106">
        <f>E106+Q106+R106+S106+T106+U106+V106+W106+X106+Y106+Z106+AA106+AB106+AC106+AD106+AE106+AF106+AG106+AI106+AJ106+AK106+AL106+AM106+AN106+AO106+AP106+AQ106</f>
        <v>0</v>
      </c>
      <c r="AS106">
        <f>D106+AH116-AR106</f>
        <v>0</v>
      </c>
    </row>
    <row r="107" spans="1:45" ht="31.5" customHeight="1">
      <c r="A107" t="s">
        <v>100</v>
      </c>
      <c r="B107" t="s">
        <v>134</v>
      </c>
      <c r="C107" t="s">
        <v>101</v>
      </c>
      <c r="D107">
        <f t="shared" si="71"/>
        <v>16.600000000000001</v>
      </c>
      <c r="E107">
        <f t="shared" si="39"/>
        <v>0</v>
      </c>
      <c r="F107">
        <f t="shared" si="72"/>
        <v>0</v>
      </c>
      <c r="G107">
        <f t="shared" si="72"/>
        <v>0</v>
      </c>
      <c r="H107">
        <f t="shared" si="73"/>
        <v>0</v>
      </c>
      <c r="I107">
        <f t="shared" si="73"/>
        <v>0</v>
      </c>
      <c r="J107">
        <f t="shared" si="68"/>
        <v>0</v>
      </c>
      <c r="K107">
        <f t="shared" si="68"/>
        <v>0</v>
      </c>
      <c r="L107">
        <f t="shared" si="68"/>
        <v>0</v>
      </c>
      <c r="M107">
        <f t="shared" si="68"/>
        <v>0</v>
      </c>
      <c r="N107">
        <f t="shared" si="68"/>
        <v>0</v>
      </c>
      <c r="O107">
        <f t="shared" si="68"/>
        <v>0</v>
      </c>
      <c r="P107">
        <f t="shared" si="63"/>
        <v>16.600000000000001</v>
      </c>
      <c r="Q107">
        <f t="shared" si="69"/>
        <v>0</v>
      </c>
      <c r="R107">
        <f t="shared" si="69"/>
        <v>0</v>
      </c>
      <c r="S107">
        <f t="shared" si="69"/>
        <v>0</v>
      </c>
      <c r="T107">
        <f t="shared" si="69"/>
        <v>0</v>
      </c>
      <c r="U107">
        <f t="shared" si="69"/>
        <v>0</v>
      </c>
      <c r="V107">
        <f t="shared" si="69"/>
        <v>0</v>
      </c>
      <c r="W107">
        <f t="shared" si="69"/>
        <v>0</v>
      </c>
      <c r="X107">
        <f t="shared" si="69"/>
        <v>0</v>
      </c>
      <c r="Y107">
        <f t="shared" si="69"/>
        <v>0.01</v>
      </c>
      <c r="Z107">
        <f t="shared" si="74"/>
        <v>0</v>
      </c>
      <c r="AA107">
        <f t="shared" si="74"/>
        <v>0</v>
      </c>
      <c r="AB107">
        <f t="shared" si="74"/>
        <v>0</v>
      </c>
      <c r="AC107">
        <f t="shared" si="74"/>
        <v>0</v>
      </c>
      <c r="AD107">
        <f t="shared" si="74"/>
        <v>0</v>
      </c>
      <c r="AE107">
        <f t="shared" si="74"/>
        <v>0</v>
      </c>
      <c r="AF107">
        <f t="shared" si="74"/>
        <v>0</v>
      </c>
      <c r="AG107">
        <f t="shared" si="74"/>
        <v>0</v>
      </c>
      <c r="AH107">
        <f t="shared" si="74"/>
        <v>0</v>
      </c>
      <c r="AI107">
        <f>D107-AR107</f>
        <v>16.59</v>
      </c>
      <c r="AJ107">
        <f>BA55</f>
        <v>0</v>
      </c>
      <c r="AK107">
        <f t="shared" si="70"/>
        <v>0</v>
      </c>
      <c r="AL107">
        <f t="shared" si="70"/>
        <v>0</v>
      </c>
      <c r="AM107">
        <f t="shared" si="70"/>
        <v>0</v>
      </c>
      <c r="AN107">
        <f t="shared" si="70"/>
        <v>0</v>
      </c>
      <c r="AO107">
        <f t="shared" si="70"/>
        <v>0</v>
      </c>
      <c r="AP107">
        <f t="shared" si="70"/>
        <v>0</v>
      </c>
      <c r="AQ107">
        <f t="shared" si="70"/>
        <v>0</v>
      </c>
      <c r="AR107">
        <f>E107+Q107+R107+S107+T107+U107+V107+W107+X107+Y107+Z107+AA107+AB107+AC107+AD107+AE107+AF107+AG107+AH107+AJ107+AK107+AL107+AM107+AN107+AO107+AP107+AQ107</f>
        <v>0.01</v>
      </c>
      <c r="AS107">
        <f>D107+AI116-AR107</f>
        <v>16.59</v>
      </c>
    </row>
    <row r="108" spans="1:45" ht="20.25" customHeight="1">
      <c r="A108" t="s">
        <v>102</v>
      </c>
      <c r="B108" t="s">
        <v>103</v>
      </c>
      <c r="C108" t="s">
        <v>104</v>
      </c>
      <c r="D108">
        <f t="shared" si="71"/>
        <v>0</v>
      </c>
      <c r="E108">
        <f t="shared" si="39"/>
        <v>0</v>
      </c>
      <c r="F108">
        <f t="shared" si="72"/>
        <v>0</v>
      </c>
      <c r="G108">
        <f t="shared" si="72"/>
        <v>0</v>
      </c>
      <c r="H108">
        <f t="shared" si="73"/>
        <v>0</v>
      </c>
      <c r="I108">
        <f t="shared" si="73"/>
        <v>0</v>
      </c>
      <c r="J108">
        <f t="shared" si="68"/>
        <v>0</v>
      </c>
      <c r="K108">
        <f t="shared" si="68"/>
        <v>0</v>
      </c>
      <c r="L108">
        <f t="shared" si="68"/>
        <v>0</v>
      </c>
      <c r="M108">
        <f t="shared" si="68"/>
        <v>0</v>
      </c>
      <c r="N108">
        <f t="shared" si="68"/>
        <v>0</v>
      </c>
      <c r="O108">
        <f t="shared" si="68"/>
        <v>0</v>
      </c>
      <c r="P108">
        <f t="shared" si="63"/>
        <v>0</v>
      </c>
      <c r="Q108">
        <f t="shared" si="69"/>
        <v>0</v>
      </c>
      <c r="R108">
        <f t="shared" si="69"/>
        <v>0</v>
      </c>
      <c r="S108">
        <f t="shared" si="69"/>
        <v>0</v>
      </c>
      <c r="T108">
        <f t="shared" si="69"/>
        <v>0</v>
      </c>
      <c r="U108">
        <f t="shared" si="69"/>
        <v>0</v>
      </c>
      <c r="V108">
        <f t="shared" si="69"/>
        <v>0</v>
      </c>
      <c r="W108">
        <f t="shared" si="69"/>
        <v>0</v>
      </c>
      <c r="X108">
        <f t="shared" si="69"/>
        <v>0</v>
      </c>
      <c r="Y108">
        <f t="shared" si="69"/>
        <v>0</v>
      </c>
      <c r="Z108">
        <f t="shared" si="74"/>
        <v>0</v>
      </c>
      <c r="AA108">
        <f t="shared" si="74"/>
        <v>0</v>
      </c>
      <c r="AB108">
        <f t="shared" si="74"/>
        <v>0</v>
      </c>
      <c r="AC108">
        <f t="shared" si="74"/>
        <v>0</v>
      </c>
      <c r="AD108">
        <f t="shared" si="74"/>
        <v>0</v>
      </c>
      <c r="AE108">
        <f t="shared" si="74"/>
        <v>0</v>
      </c>
      <c r="AF108">
        <f t="shared" si="74"/>
        <v>0</v>
      </c>
      <c r="AG108">
        <f t="shared" si="74"/>
        <v>0</v>
      </c>
      <c r="AH108">
        <f t="shared" si="74"/>
        <v>0</v>
      </c>
      <c r="AI108">
        <f t="shared" si="74"/>
        <v>0</v>
      </c>
      <c r="AJ108">
        <f>D108-AR108</f>
        <v>0</v>
      </c>
      <c r="AK108">
        <f>BB56</f>
        <v>0</v>
      </c>
      <c r="AL108">
        <f t="shared" si="70"/>
        <v>0</v>
      </c>
      <c r="AM108">
        <f t="shared" si="70"/>
        <v>0</v>
      </c>
      <c r="AN108">
        <f t="shared" si="70"/>
        <v>0</v>
      </c>
      <c r="AO108">
        <f t="shared" si="70"/>
        <v>0</v>
      </c>
      <c r="AP108">
        <f t="shared" si="70"/>
        <v>0</v>
      </c>
      <c r="AQ108">
        <f t="shared" si="70"/>
        <v>0</v>
      </c>
      <c r="AR108">
        <f>E108+Q108+R108+S108+T108+U108+V108+W108+X108+Y108+Z108+AA108+AB108+AC108+AD108+AE108+AF108+AG108+AH108+AI108+AK108+AL108+AM108+AN108+AO108+AP108+AQ108</f>
        <v>0</v>
      </c>
      <c r="AS108">
        <f>D108+AJ116-AR108</f>
        <v>0</v>
      </c>
    </row>
    <row r="109" spans="1:45" ht="20.25" customHeight="1">
      <c r="A109" t="s">
        <v>105</v>
      </c>
      <c r="B109" t="s">
        <v>106</v>
      </c>
      <c r="C109" t="s">
        <v>107</v>
      </c>
      <c r="D109">
        <f t="shared" si="71"/>
        <v>0.62</v>
      </c>
      <c r="E109">
        <f t="shared" si="39"/>
        <v>0</v>
      </c>
      <c r="F109">
        <f t="shared" si="72"/>
        <v>0</v>
      </c>
      <c r="G109">
        <f t="shared" si="72"/>
        <v>0</v>
      </c>
      <c r="H109">
        <f t="shared" si="73"/>
        <v>0</v>
      </c>
      <c r="I109">
        <f t="shared" si="73"/>
        <v>0</v>
      </c>
      <c r="J109">
        <f t="shared" si="68"/>
        <v>0</v>
      </c>
      <c r="K109">
        <f t="shared" si="68"/>
        <v>0</v>
      </c>
      <c r="L109">
        <f t="shared" si="68"/>
        <v>0</v>
      </c>
      <c r="M109">
        <f t="shared" si="68"/>
        <v>0</v>
      </c>
      <c r="N109">
        <f t="shared" si="68"/>
        <v>0</v>
      </c>
      <c r="O109">
        <f t="shared" si="68"/>
        <v>0</v>
      </c>
      <c r="P109">
        <f t="shared" si="63"/>
        <v>0.62</v>
      </c>
      <c r="Q109">
        <f t="shared" si="69"/>
        <v>0</v>
      </c>
      <c r="R109">
        <f t="shared" si="69"/>
        <v>0</v>
      </c>
      <c r="S109">
        <f t="shared" si="69"/>
        <v>0</v>
      </c>
      <c r="T109">
        <f t="shared" si="69"/>
        <v>0</v>
      </c>
      <c r="U109">
        <f t="shared" si="69"/>
        <v>0</v>
      </c>
      <c r="V109">
        <f t="shared" si="69"/>
        <v>0</v>
      </c>
      <c r="W109">
        <f t="shared" si="69"/>
        <v>0</v>
      </c>
      <c r="X109">
        <f t="shared" si="69"/>
        <v>0</v>
      </c>
      <c r="Y109">
        <f t="shared" si="69"/>
        <v>0</v>
      </c>
      <c r="Z109">
        <f t="shared" si="74"/>
        <v>0</v>
      </c>
      <c r="AA109">
        <f t="shared" si="74"/>
        <v>0</v>
      </c>
      <c r="AB109">
        <f t="shared" si="74"/>
        <v>0</v>
      </c>
      <c r="AC109">
        <f t="shared" si="74"/>
        <v>0</v>
      </c>
      <c r="AD109">
        <f t="shared" si="74"/>
        <v>0</v>
      </c>
      <c r="AE109">
        <f t="shared" si="74"/>
        <v>0</v>
      </c>
      <c r="AF109">
        <f t="shared" si="74"/>
        <v>0</v>
      </c>
      <c r="AG109">
        <f t="shared" si="74"/>
        <v>0</v>
      </c>
      <c r="AH109">
        <f t="shared" si="74"/>
        <v>0</v>
      </c>
      <c r="AI109">
        <f t="shared" si="74"/>
        <v>0</v>
      </c>
      <c r="AJ109">
        <f t="shared" si="74"/>
        <v>0</v>
      </c>
      <c r="AK109">
        <f>D109-AR109</f>
        <v>0.62</v>
      </c>
      <c r="AL109">
        <f t="shared" si="70"/>
        <v>0</v>
      </c>
      <c r="AM109">
        <f t="shared" si="70"/>
        <v>0</v>
      </c>
      <c r="AN109">
        <f t="shared" si="70"/>
        <v>0</v>
      </c>
      <c r="AO109">
        <f t="shared" si="70"/>
        <v>0</v>
      </c>
      <c r="AP109">
        <f t="shared" si="70"/>
        <v>0</v>
      </c>
      <c r="AQ109">
        <f t="shared" si="70"/>
        <v>0</v>
      </c>
      <c r="AR109">
        <f>E109+Q109+R109+S109+T109+U109+V109+W109+X109+Y109+Z109+AA109+AB109+AC109+AD109+AE109+AF109+AG109+AH109+AI109+AJ109+AL109+AM109+AN109+AO109+AP109+AQ109</f>
        <v>0</v>
      </c>
      <c r="AS109">
        <f>D109+AK116-AR109</f>
        <v>0.62</v>
      </c>
    </row>
    <row r="110" spans="1:45" ht="20.25" customHeight="1">
      <c r="A110" t="s">
        <v>108</v>
      </c>
      <c r="B110" t="s">
        <v>109</v>
      </c>
      <c r="C110" t="s">
        <v>110</v>
      </c>
      <c r="D110">
        <f t="shared" si="71"/>
        <v>0</v>
      </c>
      <c r="E110">
        <f t="shared" si="39"/>
        <v>0</v>
      </c>
      <c r="F110">
        <f t="shared" si="72"/>
        <v>0</v>
      </c>
      <c r="G110">
        <f t="shared" si="72"/>
        <v>0</v>
      </c>
      <c r="H110">
        <f t="shared" si="73"/>
        <v>0</v>
      </c>
      <c r="I110">
        <f t="shared" si="73"/>
        <v>0</v>
      </c>
      <c r="J110">
        <f t="shared" si="68"/>
        <v>0</v>
      </c>
      <c r="K110">
        <f t="shared" si="68"/>
        <v>0</v>
      </c>
      <c r="L110">
        <f t="shared" si="68"/>
        <v>0</v>
      </c>
      <c r="M110">
        <f t="shared" si="68"/>
        <v>0</v>
      </c>
      <c r="N110">
        <f t="shared" si="68"/>
        <v>0</v>
      </c>
      <c r="O110">
        <f t="shared" si="68"/>
        <v>0</v>
      </c>
      <c r="P110">
        <f t="shared" si="63"/>
        <v>0</v>
      </c>
      <c r="Q110">
        <f t="shared" si="69"/>
        <v>0</v>
      </c>
      <c r="R110">
        <f t="shared" si="69"/>
        <v>0</v>
      </c>
      <c r="S110">
        <f t="shared" si="69"/>
        <v>0</v>
      </c>
      <c r="T110">
        <f t="shared" si="69"/>
        <v>0</v>
      </c>
      <c r="U110">
        <f t="shared" si="69"/>
        <v>0</v>
      </c>
      <c r="V110">
        <f t="shared" si="69"/>
        <v>0</v>
      </c>
      <c r="W110">
        <f t="shared" si="69"/>
        <v>0</v>
      </c>
      <c r="X110">
        <f t="shared" si="69"/>
        <v>0</v>
      </c>
      <c r="Y110">
        <f t="shared" si="69"/>
        <v>0</v>
      </c>
      <c r="Z110">
        <f t="shared" si="74"/>
        <v>0</v>
      </c>
      <c r="AA110">
        <f t="shared" si="74"/>
        <v>0</v>
      </c>
      <c r="AB110">
        <f t="shared" si="74"/>
        <v>0</v>
      </c>
      <c r="AC110">
        <f t="shared" si="74"/>
        <v>0</v>
      </c>
      <c r="AD110">
        <f t="shared" si="74"/>
        <v>0</v>
      </c>
      <c r="AE110">
        <f t="shared" si="74"/>
        <v>0</v>
      </c>
      <c r="AF110">
        <f t="shared" si="74"/>
        <v>0</v>
      </c>
      <c r="AG110">
        <f t="shared" si="74"/>
        <v>0</v>
      </c>
      <c r="AH110">
        <f t="shared" si="74"/>
        <v>0</v>
      </c>
      <c r="AI110">
        <f t="shared" si="74"/>
        <v>0</v>
      </c>
      <c r="AJ110">
        <f t="shared" si="74"/>
        <v>0</v>
      </c>
      <c r="AK110">
        <f t="shared" si="74"/>
        <v>0</v>
      </c>
      <c r="AL110">
        <f>D110-AR110</f>
        <v>0</v>
      </c>
      <c r="AM110">
        <f>BD58</f>
        <v>0</v>
      </c>
      <c r="AN110">
        <f>BE58</f>
        <v>0</v>
      </c>
      <c r="AO110">
        <f>BF58</f>
        <v>0</v>
      </c>
      <c r="AP110">
        <f>BG58</f>
        <v>0</v>
      </c>
      <c r="AQ110">
        <f>BH58</f>
        <v>0</v>
      </c>
      <c r="AR110">
        <f>E110+Q110+R110+S110+T110+U110+V110+W110+X110+Y110+Z110+AA110+AB110+AC110+AD110+AE110+AF110+AG110+AH110+AI110+AJ110+AK110+AM110+AN110+AO110+AP110+AQ110</f>
        <v>0</v>
      </c>
      <c r="AS110">
        <f>D110+AL116-AR110</f>
        <v>0</v>
      </c>
    </row>
    <row r="111" spans="1:45" ht="20.25" customHeight="1">
      <c r="A111" t="s">
        <v>111</v>
      </c>
      <c r="B111" t="s">
        <v>112</v>
      </c>
      <c r="C111" t="s">
        <v>113</v>
      </c>
      <c r="D111">
        <f t="shared" si="71"/>
        <v>0.57999999999999996</v>
      </c>
      <c r="E111">
        <f t="shared" si="39"/>
        <v>0</v>
      </c>
      <c r="F111">
        <f t="shared" si="72"/>
        <v>0</v>
      </c>
      <c r="G111">
        <f t="shared" si="72"/>
        <v>0</v>
      </c>
      <c r="H111">
        <f t="shared" si="73"/>
        <v>0</v>
      </c>
      <c r="I111">
        <f t="shared" si="73"/>
        <v>0</v>
      </c>
      <c r="J111">
        <f t="shared" si="68"/>
        <v>0</v>
      </c>
      <c r="K111">
        <f t="shared" si="68"/>
        <v>0</v>
      </c>
      <c r="L111">
        <f t="shared" si="68"/>
        <v>0</v>
      </c>
      <c r="M111">
        <f t="shared" si="68"/>
        <v>0</v>
      </c>
      <c r="N111">
        <f t="shared" si="68"/>
        <v>0</v>
      </c>
      <c r="O111">
        <f t="shared" si="68"/>
        <v>0</v>
      </c>
      <c r="P111">
        <f t="shared" si="63"/>
        <v>0.57999999999999996</v>
      </c>
      <c r="Q111">
        <f t="shared" si="69"/>
        <v>0</v>
      </c>
      <c r="R111">
        <f t="shared" si="69"/>
        <v>0</v>
      </c>
      <c r="S111">
        <f t="shared" si="69"/>
        <v>0</v>
      </c>
      <c r="T111">
        <f t="shared" si="69"/>
        <v>0</v>
      </c>
      <c r="U111">
        <f t="shared" si="69"/>
        <v>0</v>
      </c>
      <c r="V111">
        <f t="shared" si="69"/>
        <v>0</v>
      </c>
      <c r="W111">
        <f t="shared" si="69"/>
        <v>0</v>
      </c>
      <c r="X111">
        <f t="shared" si="69"/>
        <v>0</v>
      </c>
      <c r="Y111">
        <f t="shared" si="69"/>
        <v>0</v>
      </c>
      <c r="Z111">
        <f t="shared" si="74"/>
        <v>0</v>
      </c>
      <c r="AA111">
        <f t="shared" si="74"/>
        <v>0</v>
      </c>
      <c r="AB111">
        <f t="shared" si="74"/>
        <v>0</v>
      </c>
      <c r="AC111">
        <f t="shared" si="74"/>
        <v>0</v>
      </c>
      <c r="AD111">
        <f t="shared" si="74"/>
        <v>0</v>
      </c>
      <c r="AE111">
        <f t="shared" si="74"/>
        <v>0</v>
      </c>
      <c r="AF111">
        <f t="shared" si="74"/>
        <v>0</v>
      </c>
      <c r="AG111">
        <f t="shared" si="74"/>
        <v>0</v>
      </c>
      <c r="AH111">
        <f t="shared" si="74"/>
        <v>0</v>
      </c>
      <c r="AI111">
        <f t="shared" si="74"/>
        <v>0</v>
      </c>
      <c r="AJ111">
        <f t="shared" si="74"/>
        <v>0</v>
      </c>
      <c r="AK111">
        <f t="shared" si="74"/>
        <v>0</v>
      </c>
      <c r="AL111">
        <f>BC59</f>
        <v>0</v>
      </c>
      <c r="AM111">
        <f>D111-AR111</f>
        <v>0.57999999999999996</v>
      </c>
      <c r="AN111">
        <f>BE59</f>
        <v>0</v>
      </c>
      <c r="AO111">
        <f>BF59</f>
        <v>0</v>
      </c>
      <c r="AP111">
        <f>BG59</f>
        <v>0</v>
      </c>
      <c r="AQ111">
        <f>BH59</f>
        <v>0</v>
      </c>
      <c r="AR111">
        <f>E111+Q111+R111+S111+T111+U111+V111+W111+X111+Y111+Z111+AA111+AB111+AC111+AD111+AE111+AF111+AG111+AH111+AI111+AJ111+AK111+AL111+AN111+AO111+AP111+AQ111</f>
        <v>0</v>
      </c>
      <c r="AS111">
        <f>D111+AM116-AR111</f>
        <v>0.57999999999999996</v>
      </c>
    </row>
    <row r="112" spans="1:45" ht="20.25" customHeight="1">
      <c r="A112" t="s">
        <v>114</v>
      </c>
      <c r="B112" t="s">
        <v>115</v>
      </c>
      <c r="C112" t="s">
        <v>116</v>
      </c>
      <c r="D112">
        <f t="shared" si="71"/>
        <v>0</v>
      </c>
      <c r="E112">
        <f t="shared" si="39"/>
        <v>0</v>
      </c>
      <c r="F112">
        <f t="shared" si="72"/>
        <v>0</v>
      </c>
      <c r="G112">
        <f t="shared" si="72"/>
        <v>0</v>
      </c>
      <c r="H112">
        <f t="shared" si="73"/>
        <v>0</v>
      </c>
      <c r="I112">
        <f t="shared" si="73"/>
        <v>0</v>
      </c>
      <c r="J112">
        <f t="shared" si="68"/>
        <v>0</v>
      </c>
      <c r="K112">
        <f t="shared" si="68"/>
        <v>0</v>
      </c>
      <c r="L112">
        <f t="shared" si="68"/>
        <v>0</v>
      </c>
      <c r="M112">
        <f t="shared" si="68"/>
        <v>0</v>
      </c>
      <c r="N112">
        <f t="shared" si="68"/>
        <v>0</v>
      </c>
      <c r="O112">
        <f t="shared" si="68"/>
        <v>0</v>
      </c>
      <c r="P112">
        <f t="shared" si="63"/>
        <v>0</v>
      </c>
      <c r="Q112">
        <f t="shared" si="69"/>
        <v>0</v>
      </c>
      <c r="R112">
        <f t="shared" si="69"/>
        <v>0</v>
      </c>
      <c r="S112">
        <f t="shared" si="69"/>
        <v>0</v>
      </c>
      <c r="T112">
        <f t="shared" si="69"/>
        <v>0</v>
      </c>
      <c r="U112">
        <f t="shared" si="69"/>
        <v>0</v>
      </c>
      <c r="V112">
        <f t="shared" si="69"/>
        <v>0</v>
      </c>
      <c r="W112">
        <f t="shared" si="69"/>
        <v>0</v>
      </c>
      <c r="X112">
        <f t="shared" si="69"/>
        <v>0</v>
      </c>
      <c r="Y112">
        <f t="shared" si="69"/>
        <v>0</v>
      </c>
      <c r="Z112">
        <f t="shared" si="74"/>
        <v>0</v>
      </c>
      <c r="AA112">
        <f t="shared" si="74"/>
        <v>0</v>
      </c>
      <c r="AB112">
        <f t="shared" si="74"/>
        <v>0</v>
      </c>
      <c r="AC112">
        <f t="shared" si="74"/>
        <v>0</v>
      </c>
      <c r="AD112">
        <f t="shared" si="74"/>
        <v>0</v>
      </c>
      <c r="AE112">
        <f t="shared" si="74"/>
        <v>0</v>
      </c>
      <c r="AF112">
        <f t="shared" si="74"/>
        <v>0</v>
      </c>
      <c r="AG112">
        <f t="shared" si="74"/>
        <v>0</v>
      </c>
      <c r="AH112">
        <f t="shared" si="74"/>
        <v>0</v>
      </c>
      <c r="AI112">
        <f t="shared" si="74"/>
        <v>0</v>
      </c>
      <c r="AJ112">
        <f t="shared" si="74"/>
        <v>0</v>
      </c>
      <c r="AK112">
        <f t="shared" si="74"/>
        <v>0</v>
      </c>
      <c r="AL112">
        <f>BC60</f>
        <v>0</v>
      </c>
      <c r="AM112">
        <f>BD60</f>
        <v>0</v>
      </c>
      <c r="AN112">
        <f>D112-AR112</f>
        <v>0</v>
      </c>
      <c r="AO112">
        <f>BF60</f>
        <v>0</v>
      </c>
      <c r="AP112">
        <f>BG60</f>
        <v>0</v>
      </c>
      <c r="AQ112">
        <f>BH60</f>
        <v>0</v>
      </c>
      <c r="AR112">
        <f>E112+Q112+R112+S112+T112+U112+V112+W112+X112+Y112+Z112+AA112+AB112+AC112+AD112+AE112+AF112+AG112+AH112+AI112+AJ112+AK112+AL112+AM112+AO112+AP112+AQ112</f>
        <v>0</v>
      </c>
      <c r="AS112">
        <f>D112+AN116-AR112</f>
        <v>0</v>
      </c>
    </row>
    <row r="113" spans="1:45" ht="20.25" customHeight="1">
      <c r="A113" t="s">
        <v>117</v>
      </c>
      <c r="B113" t="s">
        <v>118</v>
      </c>
      <c r="C113" t="s">
        <v>119</v>
      </c>
      <c r="D113">
        <f t="shared" si="71"/>
        <v>50.14</v>
      </c>
      <c r="E113">
        <f t="shared" si="39"/>
        <v>0</v>
      </c>
      <c r="F113">
        <f t="shared" si="72"/>
        <v>0</v>
      </c>
      <c r="G113">
        <f t="shared" si="72"/>
        <v>0</v>
      </c>
      <c r="H113">
        <f t="shared" si="73"/>
        <v>0</v>
      </c>
      <c r="I113">
        <f t="shared" si="73"/>
        <v>0</v>
      </c>
      <c r="J113">
        <f t="shared" si="68"/>
        <v>0</v>
      </c>
      <c r="K113">
        <f t="shared" si="68"/>
        <v>0</v>
      </c>
      <c r="L113">
        <f t="shared" si="68"/>
        <v>0</v>
      </c>
      <c r="M113">
        <f t="shared" si="68"/>
        <v>0</v>
      </c>
      <c r="N113">
        <f t="shared" si="68"/>
        <v>0</v>
      </c>
      <c r="O113">
        <f t="shared" si="68"/>
        <v>0</v>
      </c>
      <c r="P113">
        <f t="shared" si="63"/>
        <v>50.14</v>
      </c>
      <c r="Q113">
        <f t="shared" si="69"/>
        <v>0</v>
      </c>
      <c r="R113">
        <f t="shared" si="69"/>
        <v>0</v>
      </c>
      <c r="S113">
        <f t="shared" si="69"/>
        <v>0</v>
      </c>
      <c r="T113">
        <f t="shared" si="69"/>
        <v>0</v>
      </c>
      <c r="U113">
        <f t="shared" si="69"/>
        <v>0</v>
      </c>
      <c r="V113">
        <f t="shared" si="69"/>
        <v>0</v>
      </c>
      <c r="W113">
        <f t="shared" si="69"/>
        <v>0</v>
      </c>
      <c r="X113">
        <f t="shared" si="69"/>
        <v>0</v>
      </c>
      <c r="Y113">
        <f t="shared" si="69"/>
        <v>0</v>
      </c>
      <c r="Z113">
        <f t="shared" si="74"/>
        <v>0</v>
      </c>
      <c r="AA113">
        <f t="shared" si="74"/>
        <v>0</v>
      </c>
      <c r="AB113">
        <f t="shared" si="74"/>
        <v>0</v>
      </c>
      <c r="AC113">
        <f t="shared" si="74"/>
        <v>0</v>
      </c>
      <c r="AD113">
        <f t="shared" si="74"/>
        <v>0</v>
      </c>
      <c r="AE113">
        <f t="shared" si="74"/>
        <v>0</v>
      </c>
      <c r="AF113">
        <f t="shared" si="74"/>
        <v>0</v>
      </c>
      <c r="AG113">
        <f t="shared" si="74"/>
        <v>0</v>
      </c>
      <c r="AH113">
        <f t="shared" si="74"/>
        <v>0</v>
      </c>
      <c r="AI113">
        <f t="shared" si="74"/>
        <v>0</v>
      </c>
      <c r="AJ113">
        <f t="shared" si="74"/>
        <v>0</v>
      </c>
      <c r="AK113">
        <f t="shared" si="74"/>
        <v>0</v>
      </c>
      <c r="AL113">
        <f>BC61</f>
        <v>0</v>
      </c>
      <c r="AM113">
        <f>BD61</f>
        <v>0</v>
      </c>
      <c r="AN113">
        <f>BE61</f>
        <v>0</v>
      </c>
      <c r="AO113">
        <f>D113-AR113</f>
        <v>50.14</v>
      </c>
      <c r="AP113">
        <f>BG61</f>
        <v>0</v>
      </c>
      <c r="AQ113">
        <f>BH61</f>
        <v>0</v>
      </c>
      <c r="AR113">
        <f>E113+Q113+R113+S113+T113+U113+V113+W113+X113+Y113+Z113+AA113+AB113+AC113+AD113+AE113+AF113+AG113+AH113+AI113+AJ113+AK113+AL113+AM113+AN113+AP113+AQ113</f>
        <v>0</v>
      </c>
      <c r="AS113">
        <f>D113+AO116-AR113</f>
        <v>52.87</v>
      </c>
    </row>
    <row r="114" spans="1:45" ht="20.25" customHeight="1">
      <c r="A114" t="s">
        <v>120</v>
      </c>
      <c r="B114" t="s">
        <v>121</v>
      </c>
      <c r="C114" t="s">
        <v>122</v>
      </c>
      <c r="D114">
        <f t="shared" si="71"/>
        <v>0</v>
      </c>
      <c r="E114">
        <f t="shared" si="39"/>
        <v>0</v>
      </c>
      <c r="F114">
        <f t="shared" si="72"/>
        <v>0</v>
      </c>
      <c r="G114">
        <f t="shared" si="72"/>
        <v>0</v>
      </c>
      <c r="H114">
        <f t="shared" si="73"/>
        <v>0</v>
      </c>
      <c r="I114">
        <f t="shared" si="73"/>
        <v>0</v>
      </c>
      <c r="J114">
        <f t="shared" ref="J114:O115" si="75">P62</f>
        <v>0</v>
      </c>
      <c r="K114">
        <f t="shared" si="75"/>
        <v>0</v>
      </c>
      <c r="L114">
        <f t="shared" si="75"/>
        <v>0</v>
      </c>
      <c r="M114">
        <f t="shared" si="75"/>
        <v>0</v>
      </c>
      <c r="N114">
        <f t="shared" si="75"/>
        <v>0</v>
      </c>
      <c r="O114">
        <f t="shared" si="75"/>
        <v>0</v>
      </c>
      <c r="P114">
        <f t="shared" si="63"/>
        <v>0</v>
      </c>
      <c r="Q114">
        <f t="shared" ref="Q114:Y115" si="76">W62</f>
        <v>0</v>
      </c>
      <c r="R114">
        <f t="shared" si="76"/>
        <v>0</v>
      </c>
      <c r="S114">
        <f t="shared" si="76"/>
        <v>0</v>
      </c>
      <c r="T114">
        <f t="shared" si="76"/>
        <v>0</v>
      </c>
      <c r="U114">
        <f t="shared" si="76"/>
        <v>0</v>
      </c>
      <c r="V114">
        <f t="shared" si="76"/>
        <v>0</v>
      </c>
      <c r="W114">
        <f t="shared" si="76"/>
        <v>0</v>
      </c>
      <c r="X114">
        <f t="shared" si="76"/>
        <v>0</v>
      </c>
      <c r="Y114">
        <f t="shared" si="76"/>
        <v>0</v>
      </c>
      <c r="Z114">
        <f t="shared" si="74"/>
        <v>0</v>
      </c>
      <c r="AA114">
        <f t="shared" si="74"/>
        <v>0</v>
      </c>
      <c r="AB114">
        <f t="shared" si="74"/>
        <v>0</v>
      </c>
      <c r="AC114">
        <f t="shared" si="74"/>
        <v>0</v>
      </c>
      <c r="AD114">
        <f t="shared" si="74"/>
        <v>0</v>
      </c>
      <c r="AE114">
        <f t="shared" si="74"/>
        <v>0</v>
      </c>
      <c r="AF114">
        <f t="shared" si="74"/>
        <v>0</v>
      </c>
      <c r="AG114">
        <f t="shared" si="74"/>
        <v>0</v>
      </c>
      <c r="AH114">
        <f t="shared" si="74"/>
        <v>0</v>
      </c>
      <c r="AI114">
        <f t="shared" si="74"/>
        <v>0</v>
      </c>
      <c r="AJ114">
        <f t="shared" si="74"/>
        <v>0</v>
      </c>
      <c r="AK114">
        <f t="shared" si="74"/>
        <v>0</v>
      </c>
      <c r="AL114">
        <f>BC62</f>
        <v>0</v>
      </c>
      <c r="AM114">
        <f>BD62</f>
        <v>0</v>
      </c>
      <c r="AN114">
        <f>BE62</f>
        <v>0</v>
      </c>
      <c r="AO114">
        <f>BF62</f>
        <v>0</v>
      </c>
      <c r="AP114">
        <f>D114-AR114</f>
        <v>0</v>
      </c>
      <c r="AQ114">
        <f>BH62</f>
        <v>0</v>
      </c>
      <c r="AR114">
        <f>E114+Q114+R114+S114+T114+U114+V114+W114+X114+Y114+Z114+AA114+AB114+AC114+AD114+AE114+AF114+AG114+AH114+AI114+AJ114+AK114+AL114+AM114+AN114+AO114+AQ114</f>
        <v>0</v>
      </c>
      <c r="AS114">
        <f>D114+AP116-AR114</f>
        <v>0</v>
      </c>
    </row>
    <row r="115" spans="1:45" ht="20.25" customHeight="1">
      <c r="A115">
        <v>3</v>
      </c>
      <c r="B115" t="s">
        <v>123</v>
      </c>
      <c r="C115" t="s">
        <v>124</v>
      </c>
      <c r="D115">
        <f>D63</f>
        <v>297.42999999999995</v>
      </c>
      <c r="E115">
        <f>F115+H115+I115+J115+K115+L115+M115+N115+O115</f>
        <v>0</v>
      </c>
      <c r="F115">
        <f t="shared" si="72"/>
        <v>0</v>
      </c>
      <c r="G115">
        <f t="shared" si="72"/>
        <v>0</v>
      </c>
      <c r="H115">
        <f t="shared" si="73"/>
        <v>0</v>
      </c>
      <c r="I115">
        <f t="shared" si="73"/>
        <v>0</v>
      </c>
      <c r="J115">
        <f t="shared" si="75"/>
        <v>0</v>
      </c>
      <c r="K115">
        <f t="shared" si="75"/>
        <v>0</v>
      </c>
      <c r="L115">
        <f t="shared" si="75"/>
        <v>0</v>
      </c>
      <c r="M115">
        <f t="shared" si="75"/>
        <v>0</v>
      </c>
      <c r="N115">
        <f t="shared" si="75"/>
        <v>0</v>
      </c>
      <c r="O115">
        <f t="shared" si="75"/>
        <v>0</v>
      </c>
      <c r="P115">
        <f>SUM(Q115:AP115)</f>
        <v>0</v>
      </c>
      <c r="Q115">
        <f t="shared" si="76"/>
        <v>0</v>
      </c>
      <c r="R115">
        <f t="shared" si="76"/>
        <v>0</v>
      </c>
      <c r="S115">
        <f t="shared" si="76"/>
        <v>0</v>
      </c>
      <c r="T115">
        <f t="shared" si="76"/>
        <v>0</v>
      </c>
      <c r="U115">
        <f t="shared" si="76"/>
        <v>0</v>
      </c>
      <c r="V115">
        <f t="shared" si="76"/>
        <v>0</v>
      </c>
      <c r="W115">
        <f t="shared" si="76"/>
        <v>0</v>
      </c>
      <c r="X115">
        <f t="shared" si="76"/>
        <v>0</v>
      </c>
      <c r="Y115">
        <f t="shared" si="76"/>
        <v>0</v>
      </c>
      <c r="Z115">
        <f t="shared" si="74"/>
        <v>0</v>
      </c>
      <c r="AA115">
        <f t="shared" si="74"/>
        <v>0</v>
      </c>
      <c r="AB115">
        <f t="shared" si="74"/>
        <v>0</v>
      </c>
      <c r="AC115">
        <f t="shared" si="74"/>
        <v>0</v>
      </c>
      <c r="AD115">
        <f t="shared" si="74"/>
        <v>0</v>
      </c>
      <c r="AE115">
        <f t="shared" si="74"/>
        <v>0</v>
      </c>
      <c r="AF115">
        <f t="shared" si="74"/>
        <v>0</v>
      </c>
      <c r="AG115">
        <f t="shared" si="74"/>
        <v>0</v>
      </c>
      <c r="AH115">
        <f t="shared" si="74"/>
        <v>0</v>
      </c>
      <c r="AI115">
        <f t="shared" si="74"/>
        <v>0</v>
      </c>
      <c r="AJ115">
        <f t="shared" si="74"/>
        <v>0</v>
      </c>
      <c r="AK115">
        <f t="shared" si="74"/>
        <v>0</v>
      </c>
      <c r="AL115">
        <f>BC63</f>
        <v>0</v>
      </c>
      <c r="AM115">
        <f>BD63</f>
        <v>0</v>
      </c>
      <c r="AN115">
        <f>BE63</f>
        <v>0</v>
      </c>
      <c r="AO115">
        <f>BF63</f>
        <v>0</v>
      </c>
      <c r="AP115">
        <f>BG63</f>
        <v>0</v>
      </c>
      <c r="AQ115">
        <f>AR115</f>
        <v>0</v>
      </c>
      <c r="AR115">
        <f>E115+Q115+R115+S115+T115+U115+V115+W115+X115+Y115+Z115+AA115+AB115+AC115+AD115+AE115+AF115+AG115+AH115+AI115+AJ115+AL115+AM115+AN115+AO115+AP115</f>
        <v>0</v>
      </c>
      <c r="AS115">
        <f>D115+AQ116-AR115</f>
        <v>297.42999999999995</v>
      </c>
    </row>
    <row r="116" spans="1:45" ht="20.25" customHeight="1">
      <c r="B116" t="s">
        <v>190</v>
      </c>
      <c r="E116">
        <f>E88+E115</f>
        <v>0</v>
      </c>
      <c r="F116">
        <f>F80+F81+F82+F83+F84+F85+F86+F87+F88+F115</f>
        <v>0</v>
      </c>
      <c r="G116">
        <f>G78+G80+G81+G82+G83+G84+G85+G86+G87+G88+G115</f>
        <v>0</v>
      </c>
      <c r="H116">
        <f>H78+H81+H82+H83+H84+H85+H86+H87+H88+H115</f>
        <v>0</v>
      </c>
      <c r="I116">
        <f>I78+I80+I82+I83+I84+I85+I86+I87+I88+I115</f>
        <v>0</v>
      </c>
      <c r="J116">
        <f>J78+J80+J81+J83+J84+J85+J86+J87+J88+J115</f>
        <v>0</v>
      </c>
      <c r="K116">
        <f>K78+K80+K81+K82+K84+K85+K86+K87+K88+K115</f>
        <v>0</v>
      </c>
      <c r="L116">
        <f>L78+L80+L81+L82+L83+L85+L86+L87+L88+L115</f>
        <v>0</v>
      </c>
      <c r="M116">
        <f>M78+M80+M81+M82+M83+M84+M86+M87+M88+M115</f>
        <v>0</v>
      </c>
      <c r="N116">
        <f>N78+N80+N81+N82+N83+N84+N85+N87+N88+N115</f>
        <v>0</v>
      </c>
      <c r="O116">
        <f>O78+O80+O81+O82+O83+O84+O85+O86+O88+O115</f>
        <v>0</v>
      </c>
      <c r="P116">
        <f>P77+P115</f>
        <v>2.5700000000000003</v>
      </c>
      <c r="Q116">
        <f>Q77+Q90+Q91+Q92+Q93+Q94+Q95+Q96+Q97+Q98+Q99+Q100+Q101+Q102+Q103+Q104+Q105+Q106+Q107+Q108+Q109+Q110+Q111+Q112+Q113+Q114+Q115</f>
        <v>0</v>
      </c>
      <c r="R116">
        <f>R77+R89+R91+R92+R93+R94+R95+R96+R97+R98+R99+R100+R101+R102+R103+R104+R105+R106+R107+R108+R109+R110+R111+R112+R113+R114+R115</f>
        <v>0</v>
      </c>
      <c r="S116">
        <f>S77+S89+S90+S92+S93+S94+S95+S96+S97+S98+S99+S100+S101+S102+S103+S104+S105+S106+S107+S108+S109+S110+S111+S112+S113+S114+S115</f>
        <v>0</v>
      </c>
      <c r="T116">
        <f>T77+T89+T90+T91+T93+T94+T95+T96+T97+T98+T99+T100+T101+T102+T103+T104+T105+T106+T107+T108+T109+T110+T111+T112+T113+T114+T115</f>
        <v>0</v>
      </c>
      <c r="U116">
        <f>U77+U89+U90+U91+U92+U94+U95+U96+U97+U98+U99+U100+U101+U102+U103+U104+U105+U106+U107+U108+U109+U110+U111+U112+U113+U114+U115</f>
        <v>0</v>
      </c>
      <c r="V116">
        <f>V77+V89+V90+V91+V92+V93+V95+V96+V97+V98+V99+V100+V101+V102+V103+V104+V105+V106+V107+V108+V109+V110+V111+V112+V113+V114+V115</f>
        <v>0</v>
      </c>
      <c r="W116">
        <f>W77+W89+W90+W91+W92+W93+W94+W96+W97+W98+W99+W100+W101+W102+W103+W104+W105+W106+W107+W108+W109+W110+W111+W112+W113+W114+W115</f>
        <v>0</v>
      </c>
      <c r="X116">
        <f>X77+X89+X90+X91+X92+X93+X94+X95+X97+X98+X99+X100+X101+X102+X103+X104+X105+X106+X107+X108+X109+X110+X111+X112+X113+X114+X115</f>
        <v>0</v>
      </c>
      <c r="Y116">
        <f>Y77+Y89+Y90+Y91+Y92+Y93+Y94+Y95+Y96+Y98+Y99+Y100+Y101+Y102+Y103+Y104+Y105+Y106+Y107+Y108+Y109+Y110+Y111+Y112+Y113+Y114+Y115</f>
        <v>0.55000000000000004</v>
      </c>
      <c r="Z116">
        <f>Z77+Z89+Z90+Z91+Z92+Z93+Z94+Z95+Z96+Z97+Z99+Z100+Z101+Z102+Z103+Z104+Z105+Z106+Z107+Z108+Z109+Z110+Z111+Z112+Z113+Z114+Z115</f>
        <v>0</v>
      </c>
      <c r="AA116">
        <f>AA77+AA89+AA90+AA91+AA92+AA93+AA94+AA95+AA96+AA97+AA98+AA100+AA101+AA102+AA103+AA104+AA105+AA106+AA107+AA108+AA109+AA110+AA111+AA112+AA113+AA114+AA115</f>
        <v>0</v>
      </c>
      <c r="AB116">
        <f>AB77+AB89+AB90+AB91+AB92+AB93+AB94+AB95+AB96+AB97+AB98+AB99+AB101+AB102+AB103+AB104+AB105+AB106+AB107+AB108+AB109+AB110+AB111+AB112+AB113+AB114+AB115</f>
        <v>0</v>
      </c>
      <c r="AC116">
        <f>AC77+AC89+AC90+AC91+AC92+AC93+AC94+AC95+AC96+AC97+AC98+AC99+AC100+AC102+AC103+AC104+AC105+AC106+AC107+AC108+AC109+AC110+AC111+AC112+AC113+AC114+AC115</f>
        <v>2.17</v>
      </c>
      <c r="AD116">
        <f>AD77+AD89+AD90+AD91+AD92+AD93+AD94+AD95+AD96+AD97+AD98+AD99+AD100+AD101+AD103+AD104+AD105+AD106+AD107+AD108+AD109+AD110+AD111+AD112+AD113+AD114+AD115</f>
        <v>0</v>
      </c>
      <c r="AE116">
        <f>AE77+AE89+AE90+AE91+AE92+AE93+AE94+AE95+AE96+AE97+AE98+AE99+AE100+AE101+AE102+AE104+AE105+AE106+AE107+AE108+AE109+AE110+AE111+AE112+AE113+AE114+AE115</f>
        <v>0</v>
      </c>
      <c r="AF116">
        <f>AF77+AF89+AF90+AF91+AF92+AF93+AF94+AF95+AF96+AF97+AF98+AF99+AF100+AF101+AF102+AF103+AF105+AF106+AF107+AF108+AF109+AF110+AF111+AF112+AF113+AF114+AF115</f>
        <v>0</v>
      </c>
      <c r="AG116">
        <f>AG77+AG89+AG90+AG91+AG92+AG93+AG94+AG95+AG96+AG97+AG98+AG99+AG100+AG101+AG102+AG103+AG104+AG106+AG107+AG108+AG109+AG110+AG111+AG112+AG113+AG114+AG115</f>
        <v>0</v>
      </c>
      <c r="AH116">
        <f>AH77+AH89+AH90+AH91+AH92+AH93+AH94+AH95+AH96+AH97+AH98+AH99+AH100+AH101+AH102+AH103+AH104+AH105+AH107+AH108+AH109+AH110+AH111+AH112+AH113+AH114+AH115</f>
        <v>0</v>
      </c>
      <c r="AI116">
        <f>AI77+AI89+AI90+AI91+AI92+AI93+AI94+AI95+AI96+AI97+AI98+AI99+AI100+AI101+AI102+AI103+AI104+AI105+AI106+AI108+AI109+AI110+AI111+AI112+AI113+AI114+AI115</f>
        <v>0</v>
      </c>
      <c r="AJ116">
        <f>AJ77+AJ89+AJ90+AJ91+AJ92+AJ93+AJ94+AJ95+AJ96+AJ97+AJ98+AJ99+AJ100+AJ101+AJ102+AJ103+AJ104+AJ105+AJ106+AJ107+AJ109+AJ110+AJ111+AJ112+AJ113+AJ114+AJ115</f>
        <v>0</v>
      </c>
      <c r="AK116">
        <f>AK77+AK89+AK90+AK91+AK92+AK93+AK94+AK95+AK96+AK97+AK98+AK99+AK100+AK101+AK102+AK103+AK104+AK105+AK106+AK107+AK108+AK110+AK111+AK112+AK113+AK114+AK115</f>
        <v>0</v>
      </c>
      <c r="AL116">
        <f>AL77+AL89+AL90+AL91+AL92+AL93+AL94+AL95+AL96+AL97+AL98+AL99+AL100+AL101+AL102+AL103+AL104+AL105+AL106+AL107+AL108+AL109+AL111+AL112+AL113+AL114+AL115</f>
        <v>0</v>
      </c>
      <c r="AM116">
        <f>AM77+AM89+AM90+AM91+AM92+AM93+AM94+AM95+AM96+AM97+AM98+AM99+AM100+AM101+AM102+AM103+AM104+AM105+AM106+AM107+AM108+AM109+AM110+AM112+AM113+AM114+AM115</f>
        <v>0</v>
      </c>
      <c r="AN116">
        <f>AN77+AN89+AN90+AN91+AN92+AN93+AN94+AN95+AN96+AN97+AN98+AN99+AN100+AN101+AN102+AN103+AN104+AN105+AN106+AN107+AN108+AN109+AN110+AN111+AN113+AN114+AN115</f>
        <v>0</v>
      </c>
      <c r="AO116">
        <f>AO77+AO89+AO90+AO91+AO92+AO93+AO94+AO95+AO96+AO97+AO98+AO99+AO100+AO101+AO102+AO103+AO104+AO105+AO106+AO107+AO108+AO109+AO110+AO111+AO112+AO114+AO115</f>
        <v>2.73</v>
      </c>
      <c r="AP116">
        <f>AP77+AP89+AP90+AP91+AP92+AP93+AP94+AP95+AP96+AP97+AP98+AP99+AP100+AP101+AP102+AP103+AP104+AP105+AP106+AP107+AP108+AP109+AP110+AP111+AP112+AP113+AP115</f>
        <v>0</v>
      </c>
      <c r="AQ116">
        <f>AQ77+AQ88</f>
        <v>0</v>
      </c>
    </row>
    <row r="117" spans="1:45" ht="25.5" customHeight="1">
      <c r="B117" t="s">
        <v>325</v>
      </c>
      <c r="D117">
        <f>AS76</f>
        <v>2120.3599999999997</v>
      </c>
      <c r="E117">
        <f>AS77</f>
        <v>1587.9999999999998</v>
      </c>
      <c r="F117">
        <f>AS78</f>
        <v>250.82999999999998</v>
      </c>
      <c r="G117">
        <f>AS79</f>
        <v>108.55</v>
      </c>
      <c r="H117">
        <f>AS80</f>
        <v>88.22</v>
      </c>
      <c r="I117">
        <f>AS81</f>
        <v>55.18</v>
      </c>
      <c r="J117">
        <f>AS82</f>
        <v>159.12</v>
      </c>
      <c r="K117">
        <f>AS83</f>
        <v>0</v>
      </c>
      <c r="L117">
        <f>AS84</f>
        <v>1004.16</v>
      </c>
      <c r="M117">
        <f>AS85</f>
        <v>30.49</v>
      </c>
      <c r="N117">
        <f>AS86</f>
        <v>0</v>
      </c>
      <c r="O117">
        <f>AS87</f>
        <v>0</v>
      </c>
      <c r="P117">
        <f>AS88</f>
        <v>234.93000000000004</v>
      </c>
      <c r="Q117">
        <f>AS89</f>
        <v>53.27</v>
      </c>
      <c r="R117">
        <f>AS90</f>
        <v>0</v>
      </c>
      <c r="S117">
        <f>AS91</f>
        <v>0</v>
      </c>
      <c r="T117">
        <f>AS92</f>
        <v>0</v>
      </c>
      <c r="U117">
        <f>AS93</f>
        <v>0</v>
      </c>
      <c r="V117">
        <f>AS94</f>
        <v>0</v>
      </c>
      <c r="W117">
        <f>AS95</f>
        <v>1.51</v>
      </c>
      <c r="X117">
        <f>AS96</f>
        <v>0</v>
      </c>
      <c r="Y117">
        <f>AS97</f>
        <v>84.49</v>
      </c>
      <c r="Z117">
        <f>AS98</f>
        <v>0</v>
      </c>
      <c r="AA117">
        <f>AS99</f>
        <v>0</v>
      </c>
      <c r="AB117">
        <f>AS100</f>
        <v>0.21</v>
      </c>
      <c r="AC117">
        <f>AS101</f>
        <v>23.740000000000002</v>
      </c>
      <c r="AD117">
        <f>AS102</f>
        <v>0</v>
      </c>
      <c r="AE117">
        <f>AS103</f>
        <v>1.05</v>
      </c>
      <c r="AF117">
        <f>AS104</f>
        <v>0</v>
      </c>
      <c r="AG117">
        <f>AS105</f>
        <v>0</v>
      </c>
      <c r="AH117">
        <f>AS106</f>
        <v>0</v>
      </c>
      <c r="AI117">
        <f>AS107</f>
        <v>16.59</v>
      </c>
      <c r="AJ117">
        <f>AS108</f>
        <v>0</v>
      </c>
      <c r="AK117">
        <f>AS109</f>
        <v>0.62</v>
      </c>
      <c r="AL117">
        <f>AS110</f>
        <v>0</v>
      </c>
      <c r="AM117">
        <f>AS111</f>
        <v>0.57999999999999996</v>
      </c>
      <c r="AN117">
        <f>AS112</f>
        <v>0</v>
      </c>
      <c r="AO117">
        <f>AS113</f>
        <v>52.87</v>
      </c>
      <c r="AP117">
        <f>AS114</f>
        <v>0</v>
      </c>
      <c r="AQ117">
        <f>AS115</f>
        <v>297.42999999999995</v>
      </c>
    </row>
  </sheetData>
  <mergeCells count="21">
    <mergeCell ref="A1:B1"/>
    <mergeCell ref="A2:BN2"/>
    <mergeCell ref="A4:A5"/>
    <mergeCell ref="B4:B5"/>
    <mergeCell ref="C4:C5"/>
    <mergeCell ref="A74:A75"/>
    <mergeCell ref="BN4:BN5"/>
    <mergeCell ref="A70:B70"/>
    <mergeCell ref="BM4:BM5"/>
    <mergeCell ref="A72:AS72"/>
    <mergeCell ref="AS74:AS75"/>
    <mergeCell ref="D4:D5"/>
    <mergeCell ref="C74:C75"/>
    <mergeCell ref="A71:AS71"/>
    <mergeCell ref="E74:AQ74"/>
    <mergeCell ref="D74:D75"/>
    <mergeCell ref="E4:BK4"/>
    <mergeCell ref="AR73:AS73"/>
    <mergeCell ref="BL4:BL5"/>
    <mergeCell ref="B74:B75"/>
    <mergeCell ref="AR74:AR75"/>
  </mergeCells>
  <phoneticPr fontId="4" type="noConversion"/>
  <pageMargins left="0.75" right="0.75" top="1" bottom="1" header="0.5" footer="0.5"/>
  <pageSetup paperSize="9" scale="45" orientation="portrait" r:id="rId1"/>
  <headerFooter alignWithMargins="0"/>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0"/>
  <dimension ref="A1:BQ118"/>
  <sheetViews>
    <sheetView showZeros="0" topLeftCell="B4" zoomScale="75" workbookViewId="0">
      <pane xSplit="3" ySplit="4" topLeftCell="AU34" activePane="bottomRight" state="frozen"/>
      <selection activeCell="B4" sqref="B4"/>
      <selection pane="topRight" activeCell="E4" sqref="E4"/>
      <selection pane="bottomLeft" activeCell="B8" sqref="B8"/>
      <selection pane="bottomRight" activeCell="AU50" sqref="AU50"/>
    </sheetView>
  </sheetViews>
  <sheetFormatPr defaultRowHeight="24.95" customHeight="1"/>
  <cols>
    <col min="1" max="1" width="9.5703125" customWidth="1"/>
    <col min="2" max="2" width="47.140625" customWidth="1"/>
    <col min="3" max="3" width="8.28515625" customWidth="1"/>
    <col min="4" max="4" width="13.5703125" customWidth="1"/>
    <col min="5" max="5" width="11.5703125" customWidth="1"/>
    <col min="6" max="6" width="0.140625" hidden="1" customWidth="1"/>
    <col min="7" max="7" width="11.28515625" hidden="1" customWidth="1"/>
    <col min="8" max="8" width="10.85546875" customWidth="1"/>
    <col min="9" max="9" width="11.140625" customWidth="1"/>
    <col min="10" max="10" width="10.85546875" customWidth="1"/>
    <col min="11" max="11" width="10" hidden="1" customWidth="1"/>
    <col min="12" max="12" width="11.140625" hidden="1" customWidth="1"/>
    <col min="13" max="13" width="11.85546875" customWidth="1"/>
    <col min="14" max="15" width="11.28515625" customWidth="1"/>
    <col min="16" max="16" width="11.140625" customWidth="1"/>
    <col min="17" max="17" width="10" customWidth="1"/>
    <col min="18" max="18" width="10.85546875" customWidth="1"/>
    <col min="20" max="20" width="10.140625" hidden="1" customWidth="1"/>
    <col min="21" max="21" width="9.85546875" customWidth="1"/>
    <col min="22" max="22" width="11.5703125" customWidth="1"/>
    <col min="23" max="23" width="11.140625" customWidth="1"/>
    <col min="24" max="24" width="10.7109375" customWidth="1"/>
    <col min="25" max="25" width="10.42578125" customWidth="1"/>
    <col min="26" max="26" width="11.140625" customWidth="1"/>
    <col min="27" max="27" width="9.85546875" customWidth="1"/>
    <col min="28" max="39" width="10.42578125" customWidth="1"/>
    <col min="40" max="40" width="11" customWidth="1"/>
    <col min="41" max="43" width="9.42578125" customWidth="1"/>
    <col min="44" max="44" width="10.85546875" customWidth="1"/>
    <col min="45" max="45" width="13.7109375" customWidth="1"/>
    <col min="46" max="47" width="9.42578125" customWidth="1"/>
    <col min="48" max="48" width="11.5703125" customWidth="1"/>
    <col min="49" max="59" width="9" customWidth="1"/>
    <col min="60" max="60" width="10.140625" customWidth="1"/>
    <col min="61" max="62" width="9.85546875" customWidth="1"/>
    <col min="64" max="64" width="10.5703125" customWidth="1"/>
    <col min="65" max="65" width="12.140625" customWidth="1"/>
    <col min="66" max="66" width="13" customWidth="1"/>
    <col min="67" max="67" width="9.5703125" bestFit="1" customWidth="1"/>
    <col min="68" max="68" width="13.85546875" customWidth="1"/>
    <col min="69" max="69" width="13.140625" customWidth="1"/>
  </cols>
  <sheetData>
    <row r="1" spans="1:69" ht="24.95" customHeight="1">
      <c r="A1" s="1300" t="s">
        <v>301</v>
      </c>
      <c r="B1" s="1300"/>
    </row>
    <row r="2" spans="1:69" ht="36.75" customHeight="1">
      <c r="A2" s="1282" t="s">
        <v>698</v>
      </c>
      <c r="B2" s="1282"/>
      <c r="C2" s="1282"/>
      <c r="D2" s="1282"/>
      <c r="E2" s="1282"/>
      <c r="F2" s="1282"/>
      <c r="G2" s="1282"/>
      <c r="H2" s="1282"/>
      <c r="I2" s="1282"/>
      <c r="J2" s="1282"/>
      <c r="K2" s="1282"/>
      <c r="L2" s="1282"/>
      <c r="M2" s="1282"/>
      <c r="N2" s="1282"/>
      <c r="O2" s="1282"/>
      <c r="P2" s="1282"/>
      <c r="Q2" s="1282"/>
      <c r="R2" s="1282"/>
      <c r="S2" s="1282"/>
      <c r="T2" s="1282"/>
      <c r="U2" s="1282"/>
      <c r="V2" s="1282"/>
      <c r="W2" s="1282"/>
      <c r="X2" s="1282"/>
      <c r="Y2" s="1282"/>
      <c r="Z2" s="1282"/>
      <c r="AA2" s="1282"/>
      <c r="AB2" s="1282"/>
      <c r="AC2" s="1282"/>
      <c r="AD2" s="1282"/>
      <c r="AE2" s="1282"/>
      <c r="AF2" s="1282"/>
      <c r="AG2" s="1282"/>
      <c r="AH2" s="1282"/>
      <c r="AI2" s="1282"/>
      <c r="AJ2" s="1282"/>
      <c r="AK2" s="1282"/>
      <c r="AL2" s="1282"/>
      <c r="AM2" s="1282"/>
      <c r="AN2" s="1282"/>
      <c r="AO2" s="1282"/>
      <c r="AP2" s="1282"/>
      <c r="AQ2" s="1282"/>
      <c r="AR2" s="1282"/>
      <c r="AS2" s="1282"/>
      <c r="AT2" s="1282"/>
      <c r="AU2" s="1282"/>
      <c r="AV2" s="1282"/>
      <c r="AW2" s="1282"/>
      <c r="AX2" s="1282"/>
      <c r="AY2" s="1282"/>
      <c r="AZ2" s="1282"/>
      <c r="BA2" s="1282"/>
      <c r="BB2" s="1282"/>
      <c r="BC2" s="1282"/>
      <c r="BD2" s="1282"/>
      <c r="BE2" s="1282"/>
      <c r="BF2" s="1282"/>
      <c r="BG2" s="1282"/>
      <c r="BH2" s="1282"/>
      <c r="BI2" s="1282"/>
      <c r="BJ2" s="1282"/>
      <c r="BK2" s="1282"/>
      <c r="BL2" s="1282"/>
      <c r="BM2" s="1282"/>
      <c r="BN2" s="1282"/>
    </row>
    <row r="4" spans="1:69" ht="33" customHeight="1">
      <c r="A4" s="1275" t="s">
        <v>136</v>
      </c>
      <c r="B4" s="1275" t="s">
        <v>469</v>
      </c>
      <c r="C4" s="1275" t="s">
        <v>192</v>
      </c>
      <c r="D4" s="1275" t="s">
        <v>693</v>
      </c>
      <c r="E4" s="1368" t="s">
        <v>694</v>
      </c>
      <c r="F4" s="1368"/>
      <c r="G4" s="1368"/>
      <c r="H4" s="1368"/>
      <c r="I4" s="1368"/>
      <c r="J4" s="1368"/>
      <c r="K4" s="1368"/>
      <c r="L4" s="1368"/>
      <c r="M4" s="1368"/>
      <c r="N4" s="1368"/>
      <c r="O4" s="1368"/>
      <c r="P4" s="1368"/>
      <c r="Q4" s="1368"/>
      <c r="R4" s="1368"/>
      <c r="S4" s="1368"/>
      <c r="T4" s="1368"/>
      <c r="U4" s="1368"/>
      <c r="V4" s="1368"/>
      <c r="W4" s="1368"/>
      <c r="X4" s="1368"/>
      <c r="Y4" s="1368"/>
      <c r="Z4" s="1368"/>
      <c r="AA4" s="1368"/>
      <c r="AB4" s="1368"/>
      <c r="AC4" s="1368"/>
      <c r="AD4" s="1368"/>
      <c r="AE4" s="1368"/>
      <c r="AF4" s="1368"/>
      <c r="AG4" s="1368"/>
      <c r="AH4" s="1368"/>
      <c r="AI4" s="1368"/>
      <c r="AJ4" s="1368"/>
      <c r="AK4" s="1368"/>
      <c r="AL4" s="1368"/>
      <c r="AM4" s="1368"/>
      <c r="AN4" s="1368"/>
      <c r="AO4" s="1368"/>
      <c r="AP4" s="1368"/>
      <c r="AQ4" s="1368"/>
      <c r="AR4" s="1368"/>
      <c r="AS4" s="1368"/>
      <c r="AT4" s="1368"/>
      <c r="AU4" s="1368"/>
      <c r="AV4" s="1368"/>
      <c r="AW4" s="1368"/>
      <c r="AX4" s="1368"/>
      <c r="AY4" s="1368"/>
      <c r="AZ4" s="1368"/>
      <c r="BA4" s="1368"/>
      <c r="BB4" s="1368"/>
      <c r="BC4" s="1368"/>
      <c r="BD4" s="1368"/>
      <c r="BE4" s="1368"/>
      <c r="BF4" s="1368"/>
      <c r="BG4" s="1368"/>
      <c r="BH4" s="1368"/>
      <c r="BI4" s="1368"/>
      <c r="BJ4" s="1368"/>
      <c r="BK4" s="1368"/>
      <c r="BL4" s="1365" t="s">
        <v>191</v>
      </c>
      <c r="BM4" s="1365" t="s">
        <v>493</v>
      </c>
      <c r="BN4" s="1365" t="s">
        <v>695</v>
      </c>
    </row>
    <row r="5" spans="1:69" ht="35.25" customHeight="1">
      <c r="A5" s="1275"/>
      <c r="B5" s="1275"/>
      <c r="C5" s="1275"/>
      <c r="D5" s="1275"/>
      <c r="E5" s="128" t="s">
        <v>15</v>
      </c>
      <c r="F5" s="128" t="s">
        <v>193</v>
      </c>
      <c r="G5" s="128" t="s">
        <v>194</v>
      </c>
      <c r="H5" s="128" t="s">
        <v>18</v>
      </c>
      <c r="I5" s="128" t="s">
        <v>20</v>
      </c>
      <c r="J5" s="128" t="s">
        <v>195</v>
      </c>
      <c r="K5" s="128" t="s">
        <v>196</v>
      </c>
      <c r="L5" s="128" t="s">
        <v>197</v>
      </c>
      <c r="M5" s="128" t="s">
        <v>23</v>
      </c>
      <c r="N5" s="128" t="s">
        <v>26</v>
      </c>
      <c r="O5" s="128" t="s">
        <v>198</v>
      </c>
      <c r="P5" s="128" t="s">
        <v>29</v>
      </c>
      <c r="Q5" s="128" t="s">
        <v>32</v>
      </c>
      <c r="R5" s="128" t="s">
        <v>35</v>
      </c>
      <c r="S5" s="128" t="s">
        <v>38</v>
      </c>
      <c r="T5" s="128" t="s">
        <v>41</v>
      </c>
      <c r="U5" s="128" t="s">
        <v>44</v>
      </c>
      <c r="V5" s="128" t="s">
        <v>46</v>
      </c>
      <c r="W5" s="128" t="s">
        <v>49</v>
      </c>
      <c r="X5" s="128" t="s">
        <v>52</v>
      </c>
      <c r="Y5" s="128" t="s">
        <v>55</v>
      </c>
      <c r="Z5" s="128" t="s">
        <v>58</v>
      </c>
      <c r="AA5" s="128" t="s">
        <v>61</v>
      </c>
      <c r="AB5" s="128" t="s">
        <v>64</v>
      </c>
      <c r="AC5" s="128" t="s">
        <v>67</v>
      </c>
      <c r="AD5" s="128" t="s">
        <v>70</v>
      </c>
      <c r="AE5" s="128" t="s">
        <v>72</v>
      </c>
      <c r="AF5" s="128" t="s">
        <v>202</v>
      </c>
      <c r="AG5" s="128" t="s">
        <v>203</v>
      </c>
      <c r="AH5" s="128" t="s">
        <v>204</v>
      </c>
      <c r="AI5" s="128" t="s">
        <v>205</v>
      </c>
      <c r="AJ5" s="128" t="s">
        <v>206</v>
      </c>
      <c r="AK5" s="128" t="s">
        <v>207</v>
      </c>
      <c r="AL5" s="128" t="s">
        <v>199</v>
      </c>
      <c r="AM5" s="128" t="s">
        <v>200</v>
      </c>
      <c r="AN5" s="128" t="s">
        <v>223</v>
      </c>
      <c r="AO5" s="128" t="s">
        <v>201</v>
      </c>
      <c r="AP5" s="128" t="s">
        <v>208</v>
      </c>
      <c r="AQ5" s="128" t="s">
        <v>75</v>
      </c>
      <c r="AR5" s="128" t="s">
        <v>78</v>
      </c>
      <c r="AS5" s="128" t="s">
        <v>81</v>
      </c>
      <c r="AT5" s="128" t="s">
        <v>84</v>
      </c>
      <c r="AU5" s="128" t="s">
        <v>87</v>
      </c>
      <c r="AV5" s="128" t="s">
        <v>90</v>
      </c>
      <c r="AW5" s="128" t="s">
        <v>93</v>
      </c>
      <c r="AX5" s="128" t="s">
        <v>96</v>
      </c>
      <c r="AY5" s="128" t="s">
        <v>99</v>
      </c>
      <c r="AZ5" s="128" t="s">
        <v>101</v>
      </c>
      <c r="BA5" s="128" t="s">
        <v>104</v>
      </c>
      <c r="BB5" s="128" t="s">
        <v>107</v>
      </c>
      <c r="BC5" s="128" t="s">
        <v>110</v>
      </c>
      <c r="BD5" s="128" t="s">
        <v>113</v>
      </c>
      <c r="BE5" s="128" t="s">
        <v>116</v>
      </c>
      <c r="BF5" s="128" t="s">
        <v>119</v>
      </c>
      <c r="BG5" s="128" t="s">
        <v>122</v>
      </c>
      <c r="BH5" s="128" t="s">
        <v>124</v>
      </c>
      <c r="BI5" s="128" t="s">
        <v>209</v>
      </c>
      <c r="BJ5" s="128" t="s">
        <v>210</v>
      </c>
      <c r="BK5" s="128" t="s">
        <v>211</v>
      </c>
      <c r="BL5" s="1366"/>
      <c r="BM5" s="1366"/>
      <c r="BN5" s="1366"/>
    </row>
    <row r="6" spans="1:69" ht="24.95" customHeight="1">
      <c r="A6" s="128" t="s">
        <v>235</v>
      </c>
      <c r="B6" s="128" t="s">
        <v>236</v>
      </c>
      <c r="C6" s="129" t="s">
        <v>237</v>
      </c>
      <c r="D6" s="129" t="s">
        <v>238</v>
      </c>
      <c r="E6" s="129" t="s">
        <v>239</v>
      </c>
      <c r="F6" s="129" t="s">
        <v>240</v>
      </c>
      <c r="G6" s="129" t="s">
        <v>241</v>
      </c>
      <c r="H6" s="129" t="s">
        <v>242</v>
      </c>
      <c r="I6" s="129" t="s">
        <v>243</v>
      </c>
      <c r="J6" s="129" t="s">
        <v>244</v>
      </c>
      <c r="K6" s="129" t="s">
        <v>245</v>
      </c>
      <c r="L6" s="129" t="s">
        <v>246</v>
      </c>
      <c r="M6" s="129" t="s">
        <v>247</v>
      </c>
      <c r="N6" s="129" t="s">
        <v>248</v>
      </c>
      <c r="O6" s="129" t="s">
        <v>249</v>
      </c>
      <c r="P6" s="129" t="s">
        <v>250</v>
      </c>
      <c r="Q6" s="129" t="s">
        <v>251</v>
      </c>
      <c r="R6" s="129" t="s">
        <v>252</v>
      </c>
      <c r="S6" s="129" t="s">
        <v>253</v>
      </c>
      <c r="T6" s="129" t="s">
        <v>254</v>
      </c>
      <c r="U6" s="129" t="s">
        <v>255</v>
      </c>
      <c r="V6" s="129" t="s">
        <v>256</v>
      </c>
      <c r="W6" s="129" t="s">
        <v>257</v>
      </c>
      <c r="X6" s="129" t="s">
        <v>258</v>
      </c>
      <c r="Y6" s="129" t="s">
        <v>259</v>
      </c>
      <c r="Z6" s="129" t="s">
        <v>260</v>
      </c>
      <c r="AA6" s="129" t="s">
        <v>261</v>
      </c>
      <c r="AB6" s="129" t="s">
        <v>262</v>
      </c>
      <c r="AC6" s="129" t="s">
        <v>263</v>
      </c>
      <c r="AD6" s="129" t="s">
        <v>264</v>
      </c>
      <c r="AE6" s="129" t="s">
        <v>265</v>
      </c>
      <c r="AF6" s="129" t="s">
        <v>266</v>
      </c>
      <c r="AG6" s="129" t="s">
        <v>267</v>
      </c>
      <c r="AH6" s="129" t="s">
        <v>268</v>
      </c>
      <c r="AI6" s="129" t="s">
        <v>269</v>
      </c>
      <c r="AJ6" s="129" t="s">
        <v>270</v>
      </c>
      <c r="AK6" s="129" t="s">
        <v>271</v>
      </c>
      <c r="AL6" s="129" t="s">
        <v>272</v>
      </c>
      <c r="AM6" s="129" t="s">
        <v>273</v>
      </c>
      <c r="AN6" s="129" t="s">
        <v>274</v>
      </c>
      <c r="AO6" s="129" t="s">
        <v>275</v>
      </c>
      <c r="AP6" s="129" t="s">
        <v>276</v>
      </c>
      <c r="AQ6" s="129" t="s">
        <v>277</v>
      </c>
      <c r="AR6" s="129" t="s">
        <v>278</v>
      </c>
      <c r="AS6" s="129" t="s">
        <v>279</v>
      </c>
      <c r="AT6" s="129" t="s">
        <v>280</v>
      </c>
      <c r="AU6" s="129" t="s">
        <v>281</v>
      </c>
      <c r="AV6" s="129" t="s">
        <v>282</v>
      </c>
      <c r="AW6" s="129" t="s">
        <v>283</v>
      </c>
      <c r="AX6" s="129" t="s">
        <v>284</v>
      </c>
      <c r="AY6" s="129" t="s">
        <v>285</v>
      </c>
      <c r="AZ6" s="129" t="s">
        <v>286</v>
      </c>
      <c r="BA6" s="129" t="s">
        <v>287</v>
      </c>
      <c r="BB6" s="129" t="s">
        <v>288</v>
      </c>
      <c r="BC6" s="129" t="s">
        <v>289</v>
      </c>
      <c r="BD6" s="129" t="s">
        <v>290</v>
      </c>
      <c r="BE6" s="129" t="s">
        <v>291</v>
      </c>
      <c r="BF6" s="129" t="s">
        <v>292</v>
      </c>
      <c r="BG6" s="129" t="s">
        <v>293</v>
      </c>
      <c r="BH6" s="129" t="s">
        <v>294</v>
      </c>
      <c r="BI6" s="129" t="s">
        <v>295</v>
      </c>
      <c r="BJ6" s="129" t="s">
        <v>296</v>
      </c>
      <c r="BK6" s="129" t="s">
        <v>297</v>
      </c>
      <c r="BL6" s="129" t="s">
        <v>298</v>
      </c>
      <c r="BM6" s="129" t="s">
        <v>299</v>
      </c>
      <c r="BN6" s="129" t="s">
        <v>300</v>
      </c>
    </row>
    <row r="7" spans="1:69" s="117" customFormat="1" ht="31.5" customHeight="1">
      <c r="A7" s="150"/>
      <c r="B7" s="150" t="s">
        <v>470</v>
      </c>
      <c r="C7" s="160"/>
      <c r="D7" s="466">
        <f>D8+D25+D63</f>
        <v>4577.5753999999997</v>
      </c>
      <c r="E7" s="466">
        <f>E8+E25+E63</f>
        <v>3513.0654</v>
      </c>
      <c r="F7" s="466">
        <f t="shared" ref="F7:BN7" si="0">F8+F25+F63</f>
        <v>768.55539999999996</v>
      </c>
      <c r="G7" s="466">
        <f t="shared" si="0"/>
        <v>391.25580000000002</v>
      </c>
      <c r="H7" s="466">
        <f t="shared" si="0"/>
        <v>286.43510000000003</v>
      </c>
      <c r="I7" s="466">
        <f t="shared" si="0"/>
        <v>207.71510000000001</v>
      </c>
      <c r="J7" s="466">
        <f t="shared" si="0"/>
        <v>78.72</v>
      </c>
      <c r="K7" s="466">
        <f t="shared" si="0"/>
        <v>0</v>
      </c>
      <c r="L7" s="466">
        <f t="shared" si="0"/>
        <v>0</v>
      </c>
      <c r="M7" s="466">
        <f t="shared" si="0"/>
        <v>104.8207</v>
      </c>
      <c r="N7" s="466">
        <f t="shared" si="0"/>
        <v>377.2996</v>
      </c>
      <c r="O7" s="466">
        <f t="shared" si="0"/>
        <v>2429</v>
      </c>
      <c r="P7" s="466">
        <f t="shared" si="0"/>
        <v>870.28</v>
      </c>
      <c r="Q7" s="466">
        <f t="shared" si="0"/>
        <v>0</v>
      </c>
      <c r="R7" s="466">
        <f t="shared" si="0"/>
        <v>1558.72</v>
      </c>
      <c r="S7" s="466">
        <f t="shared" si="0"/>
        <v>277.87</v>
      </c>
      <c r="T7" s="466">
        <f t="shared" si="0"/>
        <v>0</v>
      </c>
      <c r="U7" s="466">
        <f t="shared" si="0"/>
        <v>37.64</v>
      </c>
      <c r="V7" s="466">
        <f t="shared" si="0"/>
        <v>897.21849999999972</v>
      </c>
      <c r="W7" s="466">
        <f t="shared" si="0"/>
        <v>18.489999999999998</v>
      </c>
      <c r="X7" s="466">
        <f t="shared" si="0"/>
        <v>0.61</v>
      </c>
      <c r="Y7" s="466">
        <f t="shared" si="0"/>
        <v>117.81</v>
      </c>
      <c r="Z7" s="466">
        <f t="shared" si="0"/>
        <v>0</v>
      </c>
      <c r="AA7" s="466">
        <f t="shared" si="0"/>
        <v>0</v>
      </c>
      <c r="AB7" s="466">
        <f t="shared" si="0"/>
        <v>173.70999999999998</v>
      </c>
      <c r="AC7" s="466">
        <f t="shared" si="0"/>
        <v>23.53</v>
      </c>
      <c r="AD7" s="466">
        <f t="shared" si="0"/>
        <v>0</v>
      </c>
      <c r="AE7" s="466">
        <f t="shared" si="0"/>
        <v>290.53519999999992</v>
      </c>
      <c r="AF7" s="466">
        <f t="shared" si="0"/>
        <v>1.3900000000000001</v>
      </c>
      <c r="AG7" s="466">
        <f t="shared" si="0"/>
        <v>0.18</v>
      </c>
      <c r="AH7" s="466">
        <f t="shared" si="0"/>
        <v>19.409999999999997</v>
      </c>
      <c r="AI7" s="466">
        <f t="shared" si="0"/>
        <v>0.54</v>
      </c>
      <c r="AJ7" s="466">
        <f t="shared" si="0"/>
        <v>0</v>
      </c>
      <c r="AK7" s="466">
        <f t="shared" si="0"/>
        <v>0</v>
      </c>
      <c r="AL7" s="466">
        <f t="shared" si="0"/>
        <v>199.65519999999998</v>
      </c>
      <c r="AM7" s="466">
        <f t="shared" si="0"/>
        <v>69.05</v>
      </c>
      <c r="AN7" s="466">
        <f t="shared" si="0"/>
        <v>0</v>
      </c>
      <c r="AO7" s="466">
        <f t="shared" si="0"/>
        <v>0.03</v>
      </c>
      <c r="AP7" s="466">
        <f t="shared" si="0"/>
        <v>0.28000000000000003</v>
      </c>
      <c r="AQ7" s="466">
        <f t="shared" si="0"/>
        <v>0</v>
      </c>
      <c r="AR7" s="466">
        <f t="shared" si="0"/>
        <v>0</v>
      </c>
      <c r="AS7" s="466">
        <f t="shared" si="0"/>
        <v>3.84</v>
      </c>
      <c r="AT7" s="466">
        <f t="shared" si="0"/>
        <v>0</v>
      </c>
      <c r="AU7" s="466">
        <f t="shared" si="0"/>
        <v>100.27369999999999</v>
      </c>
      <c r="AV7" s="466">
        <f t="shared" si="0"/>
        <v>0.71</v>
      </c>
      <c r="AW7" s="466">
        <f t="shared" si="0"/>
        <v>0</v>
      </c>
      <c r="AX7" s="466">
        <f t="shared" si="0"/>
        <v>0</v>
      </c>
      <c r="AY7" s="466">
        <f t="shared" si="0"/>
        <v>6.01</v>
      </c>
      <c r="AZ7" s="466">
        <f t="shared" si="0"/>
        <v>27.41</v>
      </c>
      <c r="BA7" s="466">
        <f t="shared" si="0"/>
        <v>22.65</v>
      </c>
      <c r="BB7" s="466">
        <f t="shared" si="0"/>
        <v>1.4596</v>
      </c>
      <c r="BC7" s="466">
        <f t="shared" si="0"/>
        <v>6.4399999999999995</v>
      </c>
      <c r="BD7" s="466">
        <f t="shared" si="0"/>
        <v>0.41</v>
      </c>
      <c r="BE7" s="466">
        <f t="shared" si="0"/>
        <v>37.520000000000003</v>
      </c>
      <c r="BF7" s="466">
        <f t="shared" si="0"/>
        <v>65.809999999999988</v>
      </c>
      <c r="BG7" s="466">
        <f t="shared" si="0"/>
        <v>0</v>
      </c>
      <c r="BH7" s="466">
        <f t="shared" si="0"/>
        <v>167.29149999999998</v>
      </c>
      <c r="BI7" s="466">
        <f t="shared" si="0"/>
        <v>32.351499999999994</v>
      </c>
      <c r="BJ7" s="466">
        <f t="shared" si="0"/>
        <v>134.94</v>
      </c>
      <c r="BK7" s="466">
        <f t="shared" si="0"/>
        <v>0</v>
      </c>
      <c r="BL7" s="466"/>
      <c r="BM7" s="466">
        <f t="shared" si="0"/>
        <v>0.13999999999999346</v>
      </c>
      <c r="BN7" s="466">
        <f t="shared" si="0"/>
        <v>4577.7154</v>
      </c>
      <c r="BQ7" s="513"/>
    </row>
    <row r="8" spans="1:69" s="115" customFormat="1" ht="21" customHeight="1">
      <c r="A8" s="15">
        <v>1</v>
      </c>
      <c r="B8" s="15" t="s">
        <v>14</v>
      </c>
      <c r="C8" s="158" t="s">
        <v>15</v>
      </c>
      <c r="D8" s="420">
        <f>D9+D18+D22+D23+D24</f>
        <v>3669.4753999999998</v>
      </c>
      <c r="E8" s="420">
        <f>D8-BL8</f>
        <v>3512.5853999999999</v>
      </c>
      <c r="F8" s="420">
        <f>G8+N8</f>
        <v>768.55539999999996</v>
      </c>
      <c r="G8" s="420">
        <f>H8+L8+M8</f>
        <v>391.25580000000002</v>
      </c>
      <c r="H8" s="420">
        <f>I8+J8+K8</f>
        <v>286.43510000000003</v>
      </c>
      <c r="I8" s="420">
        <f>I9+I18+I22+I23+I24</f>
        <v>207.71510000000001</v>
      </c>
      <c r="J8" s="420">
        <f t="shared" ref="J8:BG8" si="1">J9+J18+J22+J23+J24</f>
        <v>78.72</v>
      </c>
      <c r="K8" s="420">
        <f t="shared" si="1"/>
        <v>0</v>
      </c>
      <c r="L8" s="420">
        <f t="shared" si="1"/>
        <v>0</v>
      </c>
      <c r="M8" s="420">
        <f t="shared" si="1"/>
        <v>104.8207</v>
      </c>
      <c r="N8" s="420">
        <f t="shared" si="1"/>
        <v>377.2996</v>
      </c>
      <c r="O8" s="420">
        <f>P8+Q8+R8</f>
        <v>2429</v>
      </c>
      <c r="P8" s="420">
        <f t="shared" si="1"/>
        <v>870.28</v>
      </c>
      <c r="Q8" s="420">
        <f t="shared" si="1"/>
        <v>0</v>
      </c>
      <c r="R8" s="420">
        <f t="shared" si="1"/>
        <v>1558.72</v>
      </c>
      <c r="S8" s="420">
        <f t="shared" si="1"/>
        <v>277.39</v>
      </c>
      <c r="T8" s="420">
        <f t="shared" si="1"/>
        <v>0</v>
      </c>
      <c r="U8" s="420">
        <f t="shared" si="1"/>
        <v>37.64</v>
      </c>
      <c r="V8" s="420">
        <f t="shared" si="1"/>
        <v>156.89000000000001</v>
      </c>
      <c r="W8" s="420">
        <f t="shared" si="1"/>
        <v>0.02</v>
      </c>
      <c r="X8" s="420">
        <f t="shared" si="1"/>
        <v>0</v>
      </c>
      <c r="Y8" s="420">
        <f t="shared" si="1"/>
        <v>34.629999999999995</v>
      </c>
      <c r="Z8" s="420">
        <f t="shared" si="1"/>
        <v>0</v>
      </c>
      <c r="AA8" s="420">
        <f t="shared" si="1"/>
        <v>0</v>
      </c>
      <c r="AB8" s="420">
        <f t="shared" si="1"/>
        <v>56.73</v>
      </c>
      <c r="AC8" s="420">
        <f t="shared" si="1"/>
        <v>10.46</v>
      </c>
      <c r="AD8" s="420">
        <f t="shared" si="1"/>
        <v>0</v>
      </c>
      <c r="AE8" s="420">
        <f t="shared" si="1"/>
        <v>30.14</v>
      </c>
      <c r="AF8" s="420">
        <f t="shared" si="1"/>
        <v>0.14000000000000001</v>
      </c>
      <c r="AG8" s="420">
        <f t="shared" si="1"/>
        <v>0</v>
      </c>
      <c r="AH8" s="420">
        <f t="shared" si="1"/>
        <v>2.21</v>
      </c>
      <c r="AI8" s="420">
        <f t="shared" si="1"/>
        <v>0</v>
      </c>
      <c r="AJ8" s="420">
        <f t="shared" si="1"/>
        <v>0</v>
      </c>
      <c r="AK8" s="420">
        <f t="shared" si="1"/>
        <v>0</v>
      </c>
      <c r="AL8" s="420">
        <f t="shared" si="1"/>
        <v>27.79</v>
      </c>
      <c r="AM8" s="420">
        <f t="shared" si="1"/>
        <v>0</v>
      </c>
      <c r="AN8" s="420">
        <f t="shared" si="1"/>
        <v>0</v>
      </c>
      <c r="AO8" s="420">
        <f t="shared" si="1"/>
        <v>0</v>
      </c>
      <c r="AP8" s="420">
        <f t="shared" si="1"/>
        <v>0</v>
      </c>
      <c r="AQ8" s="420">
        <f t="shared" si="1"/>
        <v>0</v>
      </c>
      <c r="AR8" s="420">
        <f t="shared" si="1"/>
        <v>0</v>
      </c>
      <c r="AS8" s="420">
        <f t="shared" si="1"/>
        <v>0</v>
      </c>
      <c r="AT8" s="420">
        <f t="shared" si="1"/>
        <v>0</v>
      </c>
      <c r="AU8" s="420">
        <f t="shared" si="1"/>
        <v>6.75</v>
      </c>
      <c r="AV8" s="420">
        <f t="shared" si="1"/>
        <v>0</v>
      </c>
      <c r="AW8" s="420">
        <f t="shared" si="1"/>
        <v>0</v>
      </c>
      <c r="AX8" s="420">
        <f t="shared" si="1"/>
        <v>0</v>
      </c>
      <c r="AY8" s="420">
        <f t="shared" si="1"/>
        <v>1.34</v>
      </c>
      <c r="AZ8" s="420">
        <f t="shared" si="1"/>
        <v>0</v>
      </c>
      <c r="BA8" s="420">
        <f t="shared" si="1"/>
        <v>14.3</v>
      </c>
      <c r="BB8" s="420">
        <f t="shared" si="1"/>
        <v>0</v>
      </c>
      <c r="BC8" s="420">
        <f t="shared" si="1"/>
        <v>2.2199999999999998</v>
      </c>
      <c r="BD8" s="420">
        <f t="shared" si="1"/>
        <v>0</v>
      </c>
      <c r="BE8" s="420">
        <f t="shared" si="1"/>
        <v>0</v>
      </c>
      <c r="BF8" s="420">
        <f t="shared" si="1"/>
        <v>0.3</v>
      </c>
      <c r="BG8" s="420">
        <f t="shared" si="1"/>
        <v>0</v>
      </c>
      <c r="BH8" s="420">
        <f>BH9+BH18+BH22+BH23+BH24</f>
        <v>0</v>
      </c>
      <c r="BI8" s="420">
        <f>BI9+BI18+BI22+BI23+BI24</f>
        <v>0</v>
      </c>
      <c r="BJ8" s="420">
        <f>BJ9+BJ18+BJ22+BJ23+BJ24</f>
        <v>0</v>
      </c>
      <c r="BK8" s="420">
        <f>BK9+BK18+BK22+BK23+BK24</f>
        <v>0</v>
      </c>
      <c r="BL8" s="420">
        <f>V8+BH8</f>
        <v>156.89000000000001</v>
      </c>
      <c r="BM8" s="420">
        <f>E68-BL8</f>
        <v>-156.41000000000003</v>
      </c>
      <c r="BN8" s="420">
        <f>D8+BM8</f>
        <v>3513.0654</v>
      </c>
      <c r="BP8" s="512"/>
      <c r="BQ8" s="512"/>
    </row>
    <row r="9" spans="1:69" ht="21.75" hidden="1" customHeight="1">
      <c r="A9" s="14" t="s">
        <v>16</v>
      </c>
      <c r="B9" s="14" t="s">
        <v>471</v>
      </c>
      <c r="C9" s="30" t="s">
        <v>193</v>
      </c>
      <c r="D9" s="185">
        <f>D10+D17</f>
        <v>821.46540000000005</v>
      </c>
      <c r="E9" s="185">
        <f>F9+O9+S9+T9+U9</f>
        <v>821.95540000000005</v>
      </c>
      <c r="F9" s="185">
        <f>D9-BK9</f>
        <v>821.46540000000005</v>
      </c>
      <c r="G9" s="185">
        <f>H9+L9+M9</f>
        <v>391.25580000000002</v>
      </c>
      <c r="H9" s="185">
        <f>I9+J9+K9</f>
        <v>286.43510000000003</v>
      </c>
      <c r="I9" s="185">
        <f>I10+I17</f>
        <v>207.71510000000001</v>
      </c>
      <c r="J9" s="185">
        <f t="shared" ref="J9:BG9" si="2">J10+J17</f>
        <v>78.72</v>
      </c>
      <c r="K9" s="185">
        <f t="shared" si="2"/>
        <v>0</v>
      </c>
      <c r="L9" s="185">
        <f t="shared" si="2"/>
        <v>0</v>
      </c>
      <c r="M9" s="185">
        <f t="shared" si="2"/>
        <v>104.8207</v>
      </c>
      <c r="N9" s="185">
        <f t="shared" si="2"/>
        <v>377.2996</v>
      </c>
      <c r="O9" s="185">
        <f t="shared" ref="O9:O17" si="3">P9+Q9+R9</f>
        <v>0</v>
      </c>
      <c r="P9" s="185">
        <f t="shared" si="2"/>
        <v>0</v>
      </c>
      <c r="Q9" s="185">
        <f t="shared" si="2"/>
        <v>0</v>
      </c>
      <c r="R9" s="185">
        <f t="shared" si="2"/>
        <v>0</v>
      </c>
      <c r="S9" s="185">
        <f t="shared" si="2"/>
        <v>0.49000000000000005</v>
      </c>
      <c r="T9" s="185">
        <f t="shared" si="2"/>
        <v>0</v>
      </c>
      <c r="U9" s="185">
        <f t="shared" si="2"/>
        <v>0</v>
      </c>
      <c r="V9" s="185">
        <f t="shared" si="2"/>
        <v>52.42</v>
      </c>
      <c r="W9" s="185">
        <f t="shared" si="2"/>
        <v>0</v>
      </c>
      <c r="X9" s="185">
        <f t="shared" si="2"/>
        <v>0</v>
      </c>
      <c r="Y9" s="185">
        <f t="shared" si="2"/>
        <v>25.75</v>
      </c>
      <c r="Z9" s="185">
        <f t="shared" si="2"/>
        <v>0</v>
      </c>
      <c r="AA9" s="185">
        <f t="shared" si="2"/>
        <v>0</v>
      </c>
      <c r="AB9" s="185">
        <f t="shared" si="2"/>
        <v>5.4499999999999993</v>
      </c>
      <c r="AC9" s="185">
        <f t="shared" si="2"/>
        <v>0.06</v>
      </c>
      <c r="AD9" s="185">
        <f t="shared" si="2"/>
        <v>0</v>
      </c>
      <c r="AE9" s="185">
        <f t="shared" si="2"/>
        <v>12.99</v>
      </c>
      <c r="AF9" s="185">
        <f t="shared" si="2"/>
        <v>0.14000000000000001</v>
      </c>
      <c r="AG9" s="185">
        <f t="shared" si="2"/>
        <v>0</v>
      </c>
      <c r="AH9" s="185">
        <f t="shared" si="2"/>
        <v>1.85</v>
      </c>
      <c r="AI9" s="185">
        <f t="shared" si="2"/>
        <v>0</v>
      </c>
      <c r="AJ9" s="185">
        <f t="shared" si="2"/>
        <v>0</v>
      </c>
      <c r="AK9" s="185">
        <f t="shared" si="2"/>
        <v>0</v>
      </c>
      <c r="AL9" s="185">
        <f t="shared" si="2"/>
        <v>11</v>
      </c>
      <c r="AM9" s="185">
        <f t="shared" si="2"/>
        <v>0</v>
      </c>
      <c r="AN9" s="185">
        <f t="shared" si="2"/>
        <v>0</v>
      </c>
      <c r="AO9" s="185">
        <f t="shared" si="2"/>
        <v>0</v>
      </c>
      <c r="AP9" s="185">
        <f t="shared" si="2"/>
        <v>0</v>
      </c>
      <c r="AQ9" s="185">
        <f t="shared" si="2"/>
        <v>0</v>
      </c>
      <c r="AR9" s="185">
        <f t="shared" si="2"/>
        <v>0</v>
      </c>
      <c r="AS9" s="185">
        <f t="shared" si="2"/>
        <v>0</v>
      </c>
      <c r="AT9" s="185">
        <f t="shared" si="2"/>
        <v>0</v>
      </c>
      <c r="AU9" s="185">
        <f t="shared" si="2"/>
        <v>6</v>
      </c>
      <c r="AV9" s="185">
        <f t="shared" si="2"/>
        <v>0</v>
      </c>
      <c r="AW9" s="185">
        <f t="shared" si="2"/>
        <v>0</v>
      </c>
      <c r="AX9" s="185">
        <f t="shared" si="2"/>
        <v>0</v>
      </c>
      <c r="AY9" s="185">
        <f t="shared" si="2"/>
        <v>0.36</v>
      </c>
      <c r="AZ9" s="185">
        <f t="shared" si="2"/>
        <v>0</v>
      </c>
      <c r="BA9" s="185">
        <f t="shared" si="2"/>
        <v>0</v>
      </c>
      <c r="BB9" s="185">
        <f t="shared" si="2"/>
        <v>0</v>
      </c>
      <c r="BC9" s="185">
        <f t="shared" si="2"/>
        <v>1.69</v>
      </c>
      <c r="BD9" s="185">
        <f t="shared" si="2"/>
        <v>0</v>
      </c>
      <c r="BE9" s="185">
        <f t="shared" si="2"/>
        <v>0</v>
      </c>
      <c r="BF9" s="185">
        <f t="shared" si="2"/>
        <v>0.12</v>
      </c>
      <c r="BG9" s="185">
        <f t="shared" si="2"/>
        <v>0</v>
      </c>
      <c r="BH9" s="185">
        <f>BH10+BH17</f>
        <v>0</v>
      </c>
      <c r="BI9" s="185">
        <f>BI10+BI17</f>
        <v>0</v>
      </c>
      <c r="BJ9" s="185">
        <f>BJ10+BJ17</f>
        <v>0</v>
      </c>
      <c r="BK9" s="185">
        <f>BK10+BK17</f>
        <v>0</v>
      </c>
      <c r="BL9" s="185">
        <f>O9+S9+T9+U9+V9+BH9</f>
        <v>52.910000000000004</v>
      </c>
      <c r="BM9" s="185">
        <f>BM10+BM17</f>
        <v>-52.910000000000004</v>
      </c>
      <c r="BN9" s="185">
        <f>D9+BM9</f>
        <v>768.55540000000008</v>
      </c>
      <c r="BP9" s="123"/>
    </row>
    <row r="10" spans="1:69" ht="19.5" hidden="1" customHeight="1">
      <c r="A10" s="14" t="s">
        <v>212</v>
      </c>
      <c r="B10" s="14" t="s">
        <v>472</v>
      </c>
      <c r="C10" s="30" t="s">
        <v>194</v>
      </c>
      <c r="D10" s="185">
        <f>D11+D15+D16</f>
        <v>427.67579999999998</v>
      </c>
      <c r="E10" s="185">
        <f t="shared" ref="E10:E66" si="4">F10+O10+S10+T10+U10</f>
        <v>391.67579999999998</v>
      </c>
      <c r="F10" s="185">
        <f>G10+N10</f>
        <v>391.25579999999997</v>
      </c>
      <c r="G10" s="185">
        <f>D10-BL10</f>
        <v>391.25579999999997</v>
      </c>
      <c r="H10" s="185">
        <f>I10+J10+K10</f>
        <v>286.43510000000003</v>
      </c>
      <c r="I10" s="185">
        <f>I11+I15+I16</f>
        <v>207.71510000000001</v>
      </c>
      <c r="J10" s="185">
        <f t="shared" ref="J10:BG10" si="5">J11+J15+J16</f>
        <v>78.72</v>
      </c>
      <c r="K10" s="185">
        <f t="shared" si="5"/>
        <v>0</v>
      </c>
      <c r="L10" s="185">
        <f t="shared" si="5"/>
        <v>0</v>
      </c>
      <c r="M10" s="185">
        <f t="shared" si="5"/>
        <v>104.8207</v>
      </c>
      <c r="N10" s="185">
        <f t="shared" si="5"/>
        <v>0</v>
      </c>
      <c r="O10" s="185">
        <f t="shared" si="3"/>
        <v>0</v>
      </c>
      <c r="P10" s="185">
        <f t="shared" si="5"/>
        <v>0</v>
      </c>
      <c r="Q10" s="185">
        <f t="shared" si="5"/>
        <v>0</v>
      </c>
      <c r="R10" s="185">
        <f t="shared" si="5"/>
        <v>0</v>
      </c>
      <c r="S10" s="185">
        <f t="shared" si="5"/>
        <v>0.42000000000000004</v>
      </c>
      <c r="T10" s="185">
        <f t="shared" si="5"/>
        <v>0</v>
      </c>
      <c r="U10" s="185">
        <f t="shared" si="5"/>
        <v>0</v>
      </c>
      <c r="V10" s="185">
        <f t="shared" si="5"/>
        <v>36</v>
      </c>
      <c r="W10" s="185">
        <f t="shared" si="5"/>
        <v>0</v>
      </c>
      <c r="X10" s="185">
        <f t="shared" si="5"/>
        <v>0</v>
      </c>
      <c r="Y10" s="185">
        <f t="shared" si="5"/>
        <v>22.25</v>
      </c>
      <c r="Z10" s="185">
        <f t="shared" si="5"/>
        <v>0</v>
      </c>
      <c r="AA10" s="185">
        <f t="shared" si="5"/>
        <v>0</v>
      </c>
      <c r="AB10" s="185">
        <f t="shared" si="5"/>
        <v>2.42</v>
      </c>
      <c r="AC10" s="185">
        <f t="shared" si="5"/>
        <v>0.06</v>
      </c>
      <c r="AD10" s="185">
        <f t="shared" si="5"/>
        <v>0</v>
      </c>
      <c r="AE10" s="185">
        <f t="shared" si="5"/>
        <v>7.18</v>
      </c>
      <c r="AF10" s="185">
        <f t="shared" si="5"/>
        <v>0.04</v>
      </c>
      <c r="AG10" s="185">
        <f t="shared" si="5"/>
        <v>0</v>
      </c>
      <c r="AH10" s="185">
        <f t="shared" si="5"/>
        <v>0.25</v>
      </c>
      <c r="AI10" s="185">
        <f t="shared" si="5"/>
        <v>0</v>
      </c>
      <c r="AJ10" s="185">
        <f t="shared" si="5"/>
        <v>0</v>
      </c>
      <c r="AK10" s="185">
        <f t="shared" si="5"/>
        <v>0</v>
      </c>
      <c r="AL10" s="185">
        <f t="shared" si="5"/>
        <v>6.8900000000000006</v>
      </c>
      <c r="AM10" s="185">
        <f t="shared" si="5"/>
        <v>0</v>
      </c>
      <c r="AN10" s="185">
        <f t="shared" si="5"/>
        <v>0</v>
      </c>
      <c r="AO10" s="185">
        <f t="shared" si="5"/>
        <v>0</v>
      </c>
      <c r="AP10" s="185">
        <f t="shared" si="5"/>
        <v>0</v>
      </c>
      <c r="AQ10" s="185">
        <f t="shared" si="5"/>
        <v>0</v>
      </c>
      <c r="AR10" s="185">
        <f t="shared" si="5"/>
        <v>0</v>
      </c>
      <c r="AS10" s="185">
        <f t="shared" si="5"/>
        <v>0</v>
      </c>
      <c r="AT10" s="185">
        <f t="shared" si="5"/>
        <v>0</v>
      </c>
      <c r="AU10" s="185">
        <f t="shared" si="5"/>
        <v>3.42</v>
      </c>
      <c r="AV10" s="185">
        <f t="shared" si="5"/>
        <v>0</v>
      </c>
      <c r="AW10" s="185">
        <f t="shared" si="5"/>
        <v>0</v>
      </c>
      <c r="AX10" s="185">
        <f t="shared" si="5"/>
        <v>0</v>
      </c>
      <c r="AY10" s="185">
        <f t="shared" si="5"/>
        <v>0</v>
      </c>
      <c r="AZ10" s="185">
        <f t="shared" si="5"/>
        <v>0</v>
      </c>
      <c r="BA10" s="185">
        <f t="shared" si="5"/>
        <v>0</v>
      </c>
      <c r="BB10" s="185">
        <f t="shared" si="5"/>
        <v>0</v>
      </c>
      <c r="BC10" s="185">
        <f t="shared" si="5"/>
        <v>0.66999999999999993</v>
      </c>
      <c r="BD10" s="185">
        <f t="shared" si="5"/>
        <v>0</v>
      </c>
      <c r="BE10" s="185">
        <f t="shared" si="5"/>
        <v>0</v>
      </c>
      <c r="BF10" s="185">
        <f t="shared" si="5"/>
        <v>0</v>
      </c>
      <c r="BG10" s="185">
        <f t="shared" si="5"/>
        <v>0</v>
      </c>
      <c r="BH10" s="185">
        <f>BH11+BH15+BH16</f>
        <v>0</v>
      </c>
      <c r="BI10" s="185">
        <f>BI11+BI15+BI16</f>
        <v>0</v>
      </c>
      <c r="BJ10" s="185">
        <f>BJ11+BJ15+BJ16</f>
        <v>0</v>
      </c>
      <c r="BK10" s="185">
        <f>BK11+BK15+BK16</f>
        <v>0</v>
      </c>
      <c r="BL10" s="185">
        <f>N10+O10+S10+T10+U10+V10+BH10</f>
        <v>36.42</v>
      </c>
      <c r="BM10" s="185">
        <f>BM11+BM15+BM16</f>
        <v>-36.42</v>
      </c>
      <c r="BN10" s="185">
        <f>BN11+BN15+BN16</f>
        <v>391.25580000000002</v>
      </c>
      <c r="BP10" s="123"/>
    </row>
    <row r="11" spans="1:69" ht="20.100000000000001" customHeight="1">
      <c r="A11" s="14" t="s">
        <v>213</v>
      </c>
      <c r="B11" s="14" t="s">
        <v>17</v>
      </c>
      <c r="C11" s="30" t="s">
        <v>18</v>
      </c>
      <c r="D11" s="185">
        <f>D12+D13+D14</f>
        <v>306.83510000000001</v>
      </c>
      <c r="E11" s="185">
        <f t="shared" si="4"/>
        <v>286.60510000000005</v>
      </c>
      <c r="F11" s="185">
        <f t="shared" ref="F11:F24" si="6">G11+N11</f>
        <v>286.43510000000003</v>
      </c>
      <c r="G11" s="185">
        <f>H11+L11+M11</f>
        <v>286.43510000000003</v>
      </c>
      <c r="H11" s="185">
        <f>D11-BL11</f>
        <v>286.43510000000003</v>
      </c>
      <c r="I11" s="185">
        <f>I12+I13+I14</f>
        <v>207.71510000000001</v>
      </c>
      <c r="J11" s="185">
        <f t="shared" ref="J11:BG11" si="7">J12+J13+J14</f>
        <v>78.72</v>
      </c>
      <c r="K11" s="185">
        <f t="shared" si="7"/>
        <v>0</v>
      </c>
      <c r="L11" s="185">
        <f t="shared" si="7"/>
        <v>0</v>
      </c>
      <c r="M11" s="185">
        <f t="shared" si="7"/>
        <v>0</v>
      </c>
      <c r="N11" s="185">
        <f t="shared" si="7"/>
        <v>0</v>
      </c>
      <c r="O11" s="185">
        <f t="shared" si="3"/>
        <v>0</v>
      </c>
      <c r="P11" s="185">
        <f t="shared" si="7"/>
        <v>0</v>
      </c>
      <c r="Q11" s="185">
        <f t="shared" si="7"/>
        <v>0</v>
      </c>
      <c r="R11" s="185">
        <f t="shared" si="7"/>
        <v>0</v>
      </c>
      <c r="S11" s="185">
        <f t="shared" si="7"/>
        <v>0.17</v>
      </c>
      <c r="T11" s="185">
        <f t="shared" si="7"/>
        <v>0</v>
      </c>
      <c r="U11" s="185">
        <f t="shared" si="7"/>
        <v>0</v>
      </c>
      <c r="V11" s="185">
        <f t="shared" si="7"/>
        <v>20.229999999999997</v>
      </c>
      <c r="W11" s="185">
        <f t="shared" si="7"/>
        <v>0</v>
      </c>
      <c r="X11" s="185">
        <f t="shared" si="7"/>
        <v>0</v>
      </c>
      <c r="Y11" s="185">
        <f t="shared" si="7"/>
        <v>11.71</v>
      </c>
      <c r="Z11" s="185">
        <f t="shared" si="7"/>
        <v>0</v>
      </c>
      <c r="AA11" s="185">
        <f t="shared" si="7"/>
        <v>0</v>
      </c>
      <c r="AB11" s="185">
        <f t="shared" si="7"/>
        <v>2.11</v>
      </c>
      <c r="AC11" s="185">
        <f t="shared" si="7"/>
        <v>0</v>
      </c>
      <c r="AD11" s="185">
        <f t="shared" si="7"/>
        <v>0</v>
      </c>
      <c r="AE11" s="185">
        <f t="shared" si="7"/>
        <v>3.7399999999999998</v>
      </c>
      <c r="AF11" s="185">
        <f t="shared" si="7"/>
        <v>0</v>
      </c>
      <c r="AG11" s="185">
        <f t="shared" si="7"/>
        <v>0</v>
      </c>
      <c r="AH11" s="185">
        <f t="shared" si="7"/>
        <v>0.01</v>
      </c>
      <c r="AI11" s="185">
        <f t="shared" si="7"/>
        <v>0</v>
      </c>
      <c r="AJ11" s="185">
        <f t="shared" si="7"/>
        <v>0</v>
      </c>
      <c r="AK11" s="185">
        <f t="shared" si="7"/>
        <v>0</v>
      </c>
      <c r="AL11" s="185">
        <f t="shared" si="7"/>
        <v>3.73</v>
      </c>
      <c r="AM11" s="185">
        <f t="shared" si="7"/>
        <v>0</v>
      </c>
      <c r="AN11" s="185">
        <f t="shared" si="7"/>
        <v>0</v>
      </c>
      <c r="AO11" s="185">
        <f t="shared" si="7"/>
        <v>0</v>
      </c>
      <c r="AP11" s="185">
        <f t="shared" si="7"/>
        <v>0</v>
      </c>
      <c r="AQ11" s="185">
        <f t="shared" si="7"/>
        <v>0</v>
      </c>
      <c r="AR11" s="185">
        <f t="shared" si="7"/>
        <v>0</v>
      </c>
      <c r="AS11" s="185">
        <f t="shared" si="7"/>
        <v>0</v>
      </c>
      <c r="AT11" s="185">
        <f t="shared" si="7"/>
        <v>0</v>
      </c>
      <c r="AU11" s="185">
        <f t="shared" si="7"/>
        <v>2.35</v>
      </c>
      <c r="AV11" s="185">
        <f t="shared" si="7"/>
        <v>0</v>
      </c>
      <c r="AW11" s="185">
        <f t="shared" si="7"/>
        <v>0</v>
      </c>
      <c r="AX11" s="185">
        <f t="shared" si="7"/>
        <v>0</v>
      </c>
      <c r="AY11" s="185">
        <f t="shared" si="7"/>
        <v>0</v>
      </c>
      <c r="AZ11" s="185">
        <f t="shared" si="7"/>
        <v>0</v>
      </c>
      <c r="BA11" s="185">
        <f t="shared" si="7"/>
        <v>0</v>
      </c>
      <c r="BB11" s="185">
        <f t="shared" si="7"/>
        <v>0</v>
      </c>
      <c r="BC11" s="185">
        <f t="shared" si="7"/>
        <v>0.32</v>
      </c>
      <c r="BD11" s="185">
        <f t="shared" si="7"/>
        <v>0</v>
      </c>
      <c r="BE11" s="185">
        <f t="shared" si="7"/>
        <v>0</v>
      </c>
      <c r="BF11" s="185">
        <f t="shared" si="7"/>
        <v>0</v>
      </c>
      <c r="BG11" s="185">
        <f t="shared" si="7"/>
        <v>0</v>
      </c>
      <c r="BH11" s="185">
        <f>BH12+BH13+BH14</f>
        <v>0</v>
      </c>
      <c r="BI11" s="185">
        <f>BI12+BI13+BI14</f>
        <v>0</v>
      </c>
      <c r="BJ11" s="185">
        <f>BJ12+BJ13+BJ14</f>
        <v>0</v>
      </c>
      <c r="BK11" s="185">
        <f>BK12+BK13+BK14</f>
        <v>0</v>
      </c>
      <c r="BL11" s="185">
        <f>L11+M11+N11+S11+T11+U11+V11+BH11</f>
        <v>20.399999999999999</v>
      </c>
      <c r="BM11" s="185">
        <f>H68-BL11</f>
        <v>-20.399999999999999</v>
      </c>
      <c r="BN11" s="185">
        <f>BN12+BN13+BN14</f>
        <v>286.43510000000003</v>
      </c>
      <c r="BP11" s="123"/>
    </row>
    <row r="12" spans="1:69" ht="19.5" customHeight="1">
      <c r="A12" s="14" t="s">
        <v>214</v>
      </c>
      <c r="B12" s="14" t="s">
        <v>473</v>
      </c>
      <c r="C12" s="30" t="s">
        <v>20</v>
      </c>
      <c r="D12" s="185">
        <f>#REF!</f>
        <v>215.92510000000001</v>
      </c>
      <c r="E12" s="185">
        <f t="shared" si="4"/>
        <v>207.71510000000001</v>
      </c>
      <c r="F12" s="185">
        <f t="shared" si="6"/>
        <v>207.71510000000001</v>
      </c>
      <c r="G12" s="185">
        <f t="shared" ref="G12:G66" si="8">H12+L12+M12</f>
        <v>207.71510000000001</v>
      </c>
      <c r="H12" s="185">
        <f>I12+J12+K12</f>
        <v>207.71510000000001</v>
      </c>
      <c r="I12" s="185">
        <f>D12-BL12</f>
        <v>207.71510000000001</v>
      </c>
      <c r="J12" s="185"/>
      <c r="K12" s="185"/>
      <c r="L12" s="185"/>
      <c r="M12" s="185"/>
      <c r="N12" s="185"/>
      <c r="O12" s="185">
        <f t="shared" si="3"/>
        <v>0</v>
      </c>
      <c r="P12" s="185"/>
      <c r="Q12" s="185"/>
      <c r="R12" s="185"/>
      <c r="S12" s="185"/>
      <c r="T12" s="185"/>
      <c r="U12" s="185"/>
      <c r="V12" s="185">
        <f>W12+X12+Y12+Z12+AA12+AB12+AC12+AD12+AE12+AQ12+AR12+AS12+AT12+AU12+AV12+AW12+AX12+AY12+AZ12+BA12+BB12+BC12+BD12+BE12+BF12+BG12</f>
        <v>8.2099999999999991</v>
      </c>
      <c r="W12" s="185"/>
      <c r="X12" s="185"/>
      <c r="Y12" s="185">
        <v>1.37</v>
      </c>
      <c r="Z12" s="185"/>
      <c r="AA12" s="185"/>
      <c r="AB12" s="185">
        <v>0.68</v>
      </c>
      <c r="AC12" s="185"/>
      <c r="AD12" s="185"/>
      <c r="AE12" s="185">
        <f t="shared" ref="AE12:AE33" si="9">SUM(AF12:AP12)</f>
        <v>3.5399999999999996</v>
      </c>
      <c r="AF12" s="185"/>
      <c r="AG12" s="185"/>
      <c r="AH12" s="185">
        <v>0.01</v>
      </c>
      <c r="AI12" s="185"/>
      <c r="AJ12" s="185"/>
      <c r="AK12" s="185"/>
      <c r="AL12" s="185">
        <v>3.53</v>
      </c>
      <c r="AM12" s="185"/>
      <c r="AN12" s="185"/>
      <c r="AO12" s="185"/>
      <c r="AP12" s="185"/>
      <c r="AQ12" s="185"/>
      <c r="AR12" s="185"/>
      <c r="AS12" s="185"/>
      <c r="AT12" s="185"/>
      <c r="AU12" s="185">
        <v>2.35</v>
      </c>
      <c r="AV12" s="185"/>
      <c r="AW12" s="185"/>
      <c r="AX12" s="185"/>
      <c r="AY12" s="185"/>
      <c r="AZ12" s="185"/>
      <c r="BA12" s="185"/>
      <c r="BB12" s="185"/>
      <c r="BC12" s="185">
        <v>0.27</v>
      </c>
      <c r="BD12" s="185"/>
      <c r="BE12" s="185"/>
      <c r="BF12" s="185"/>
      <c r="BG12" s="185"/>
      <c r="BH12" s="185">
        <f t="shared" ref="BH12:BH17" si="10">BI12+BJ12+BK12</f>
        <v>0</v>
      </c>
      <c r="BI12" s="185"/>
      <c r="BJ12" s="185"/>
      <c r="BK12" s="185"/>
      <c r="BL12" s="185">
        <f>J12+K12+L12+M12+N12+O12+S12+T12+U12+V12+BH12</f>
        <v>8.2099999999999991</v>
      </c>
      <c r="BM12" s="185">
        <f>I68-BL12</f>
        <v>-8.2099999999999991</v>
      </c>
      <c r="BN12" s="185">
        <f t="shared" ref="BN12:BN17" si="11">D12+BM12</f>
        <v>207.71510000000001</v>
      </c>
      <c r="BP12" s="123"/>
    </row>
    <row r="13" spans="1:69" ht="18.75" customHeight="1">
      <c r="A13" s="14" t="s">
        <v>215</v>
      </c>
      <c r="B13" s="14" t="s">
        <v>474</v>
      </c>
      <c r="C13" s="30" t="s">
        <v>195</v>
      </c>
      <c r="D13" s="185">
        <f>#REF!</f>
        <v>90.91</v>
      </c>
      <c r="E13" s="185">
        <f t="shared" si="4"/>
        <v>78.89</v>
      </c>
      <c r="F13" s="185">
        <f t="shared" si="6"/>
        <v>78.72</v>
      </c>
      <c r="G13" s="185">
        <f t="shared" si="8"/>
        <v>78.72</v>
      </c>
      <c r="H13" s="185">
        <f t="shared" ref="H13:H66" si="12">I13+J13+K13</f>
        <v>78.72</v>
      </c>
      <c r="I13" s="185"/>
      <c r="J13" s="185">
        <f>D13-BL13</f>
        <v>78.72</v>
      </c>
      <c r="K13" s="185"/>
      <c r="L13" s="185"/>
      <c r="M13" s="185"/>
      <c r="N13" s="185"/>
      <c r="O13" s="185">
        <f t="shared" si="3"/>
        <v>0</v>
      </c>
      <c r="P13" s="185"/>
      <c r="Q13" s="185"/>
      <c r="R13" s="185"/>
      <c r="S13" s="185">
        <v>0.17</v>
      </c>
      <c r="T13" s="185"/>
      <c r="U13" s="185"/>
      <c r="V13" s="185">
        <f t="shared" ref="V13:V67" si="13">W13+X13+Y13+Z13+AA13+AB13+AC13+AD13+AE13+AQ13+AR13+AS13+AT13+AU13+AV13+AW13+AX13+AY13+AZ13+BA13+BB13+BC13+BD13+BE13+BF13+BG13</f>
        <v>12.02</v>
      </c>
      <c r="W13" s="185"/>
      <c r="X13" s="185"/>
      <c r="Y13" s="185">
        <v>10.34</v>
      </c>
      <c r="Z13" s="185"/>
      <c r="AA13" s="185"/>
      <c r="AB13" s="185">
        <v>1.43</v>
      </c>
      <c r="AC13" s="185"/>
      <c r="AD13" s="185"/>
      <c r="AE13" s="185">
        <f t="shared" si="9"/>
        <v>0.2</v>
      </c>
      <c r="AF13" s="185"/>
      <c r="AG13" s="185"/>
      <c r="AH13" s="185"/>
      <c r="AI13" s="185"/>
      <c r="AJ13" s="185"/>
      <c r="AK13" s="185"/>
      <c r="AL13" s="185">
        <v>0.2</v>
      </c>
      <c r="AM13" s="185"/>
      <c r="AN13" s="185"/>
      <c r="AO13" s="185"/>
      <c r="AP13" s="185"/>
      <c r="AQ13" s="185"/>
      <c r="AR13" s="185"/>
      <c r="AS13" s="185"/>
      <c r="AT13" s="185"/>
      <c r="AU13" s="185"/>
      <c r="AV13" s="185"/>
      <c r="AW13" s="185"/>
      <c r="AX13" s="185"/>
      <c r="AY13" s="185"/>
      <c r="AZ13" s="185"/>
      <c r="BA13" s="185"/>
      <c r="BB13" s="185"/>
      <c r="BC13" s="185">
        <v>0.05</v>
      </c>
      <c r="BD13" s="185"/>
      <c r="BE13" s="185"/>
      <c r="BF13" s="185"/>
      <c r="BG13" s="185"/>
      <c r="BH13" s="185">
        <f t="shared" si="10"/>
        <v>0</v>
      </c>
      <c r="BI13" s="185"/>
      <c r="BJ13" s="185"/>
      <c r="BK13" s="185"/>
      <c r="BL13" s="185">
        <f>I13+K13+L13+M13+N13+O13+S13+T13+U13+V13+BH13</f>
        <v>12.19</v>
      </c>
      <c r="BM13" s="185">
        <f>J68-BL13</f>
        <v>-12.19</v>
      </c>
      <c r="BN13" s="185">
        <f t="shared" si="11"/>
        <v>78.72</v>
      </c>
      <c r="BP13" s="123"/>
    </row>
    <row r="14" spans="1:69" ht="19.5" hidden="1" customHeight="1">
      <c r="A14" s="14" t="s">
        <v>216</v>
      </c>
      <c r="B14" s="14" t="s">
        <v>475</v>
      </c>
      <c r="C14" s="30" t="s">
        <v>196</v>
      </c>
      <c r="D14" s="185"/>
      <c r="E14" s="185">
        <f t="shared" si="4"/>
        <v>0</v>
      </c>
      <c r="F14" s="185">
        <f t="shared" si="6"/>
        <v>0</v>
      </c>
      <c r="G14" s="185">
        <f t="shared" si="8"/>
        <v>0</v>
      </c>
      <c r="H14" s="185">
        <f t="shared" si="12"/>
        <v>0</v>
      </c>
      <c r="I14" s="185"/>
      <c r="J14" s="185"/>
      <c r="K14" s="185">
        <f>D14-BL14</f>
        <v>0</v>
      </c>
      <c r="L14" s="185"/>
      <c r="M14" s="185"/>
      <c r="N14" s="185"/>
      <c r="O14" s="185">
        <f t="shared" si="3"/>
        <v>0</v>
      </c>
      <c r="P14" s="185"/>
      <c r="Q14" s="185"/>
      <c r="R14" s="185"/>
      <c r="S14" s="185"/>
      <c r="T14" s="185"/>
      <c r="U14" s="185"/>
      <c r="V14" s="185">
        <f t="shared" si="13"/>
        <v>0</v>
      </c>
      <c r="W14" s="185"/>
      <c r="X14" s="185"/>
      <c r="Y14" s="185"/>
      <c r="Z14" s="185"/>
      <c r="AA14" s="185"/>
      <c r="AB14" s="185"/>
      <c r="AC14" s="185"/>
      <c r="AD14" s="185"/>
      <c r="AE14" s="185">
        <f t="shared" si="9"/>
        <v>0</v>
      </c>
      <c r="AF14" s="185"/>
      <c r="AG14" s="185"/>
      <c r="AH14" s="185"/>
      <c r="AI14" s="185"/>
      <c r="AJ14" s="185"/>
      <c r="AK14" s="185"/>
      <c r="AL14" s="185"/>
      <c r="AM14" s="185"/>
      <c r="AN14" s="185"/>
      <c r="AO14" s="185"/>
      <c r="AP14" s="185"/>
      <c r="AQ14" s="185"/>
      <c r="AR14" s="185"/>
      <c r="AS14" s="185"/>
      <c r="AT14" s="185"/>
      <c r="AU14" s="185"/>
      <c r="AV14" s="185"/>
      <c r="AW14" s="185"/>
      <c r="AX14" s="185"/>
      <c r="AY14" s="185"/>
      <c r="AZ14" s="185"/>
      <c r="BA14" s="185"/>
      <c r="BB14" s="185"/>
      <c r="BC14" s="185"/>
      <c r="BD14" s="185"/>
      <c r="BE14" s="185"/>
      <c r="BF14" s="185"/>
      <c r="BG14" s="185"/>
      <c r="BH14" s="185">
        <f t="shared" si="10"/>
        <v>0</v>
      </c>
      <c r="BI14" s="185"/>
      <c r="BJ14" s="185"/>
      <c r="BK14" s="185"/>
      <c r="BL14" s="185">
        <f>I14+J14+L14+M14+N14+O14+S14+T14+U14+V14+BH14</f>
        <v>0</v>
      </c>
      <c r="BM14" s="185">
        <f>K68-BL14</f>
        <v>0</v>
      </c>
      <c r="BN14" s="185">
        <f t="shared" si="11"/>
        <v>0</v>
      </c>
      <c r="BP14" s="123"/>
    </row>
    <row r="15" spans="1:69" ht="19.5" hidden="1" customHeight="1">
      <c r="A15" s="14" t="s">
        <v>217</v>
      </c>
      <c r="B15" s="14" t="s">
        <v>476</v>
      </c>
      <c r="C15" s="30" t="s">
        <v>197</v>
      </c>
      <c r="D15" s="185"/>
      <c r="E15" s="185">
        <f t="shared" si="4"/>
        <v>0</v>
      </c>
      <c r="F15" s="185">
        <f t="shared" si="6"/>
        <v>0</v>
      </c>
      <c r="G15" s="185">
        <f t="shared" si="8"/>
        <v>0</v>
      </c>
      <c r="H15" s="185">
        <f t="shared" si="12"/>
        <v>0</v>
      </c>
      <c r="I15" s="185"/>
      <c r="J15" s="185"/>
      <c r="K15" s="185"/>
      <c r="L15" s="185">
        <f>D15-BL15</f>
        <v>0</v>
      </c>
      <c r="M15" s="185"/>
      <c r="N15" s="185"/>
      <c r="O15" s="185">
        <f t="shared" si="3"/>
        <v>0</v>
      </c>
      <c r="P15" s="185"/>
      <c r="Q15" s="185"/>
      <c r="R15" s="185"/>
      <c r="S15" s="185"/>
      <c r="T15" s="185"/>
      <c r="U15" s="185"/>
      <c r="V15" s="185">
        <f t="shared" si="13"/>
        <v>0</v>
      </c>
      <c r="W15" s="185"/>
      <c r="X15" s="185"/>
      <c r="Y15" s="185"/>
      <c r="Z15" s="185"/>
      <c r="AA15" s="185"/>
      <c r="AB15" s="185"/>
      <c r="AC15" s="185"/>
      <c r="AD15" s="185"/>
      <c r="AE15" s="185">
        <f t="shared" si="9"/>
        <v>0</v>
      </c>
      <c r="AF15" s="185"/>
      <c r="AG15" s="185"/>
      <c r="AH15" s="185"/>
      <c r="AI15" s="185"/>
      <c r="AJ15" s="185"/>
      <c r="AK15" s="185"/>
      <c r="AL15" s="185"/>
      <c r="AM15" s="185"/>
      <c r="AN15" s="185"/>
      <c r="AO15" s="185"/>
      <c r="AP15" s="185"/>
      <c r="AQ15" s="185"/>
      <c r="AR15" s="185"/>
      <c r="AS15" s="185"/>
      <c r="AT15" s="185"/>
      <c r="AU15" s="185"/>
      <c r="AV15" s="185"/>
      <c r="AW15" s="185"/>
      <c r="AX15" s="185"/>
      <c r="AY15" s="185"/>
      <c r="AZ15" s="185"/>
      <c r="BA15" s="185"/>
      <c r="BB15" s="185"/>
      <c r="BC15" s="185"/>
      <c r="BD15" s="185"/>
      <c r="BE15" s="185"/>
      <c r="BF15" s="185"/>
      <c r="BG15" s="185"/>
      <c r="BH15" s="185">
        <f t="shared" si="10"/>
        <v>0</v>
      </c>
      <c r="BI15" s="185"/>
      <c r="BJ15" s="185"/>
      <c r="BK15" s="185"/>
      <c r="BL15" s="185">
        <f>H15+M15+N15+O15+S15+T15+U15+V15+BH15</f>
        <v>0</v>
      </c>
      <c r="BM15" s="185">
        <f>L68-BL15</f>
        <v>0</v>
      </c>
      <c r="BN15" s="185">
        <f t="shared" si="11"/>
        <v>0</v>
      </c>
      <c r="BP15" s="123"/>
    </row>
    <row r="16" spans="1:69" ht="20.100000000000001" customHeight="1">
      <c r="A16" s="14" t="s">
        <v>218</v>
      </c>
      <c r="B16" s="14" t="s">
        <v>22</v>
      </c>
      <c r="C16" s="30" t="s">
        <v>23</v>
      </c>
      <c r="D16" s="185">
        <f>#REF!</f>
        <v>120.8407</v>
      </c>
      <c r="E16" s="185">
        <f t="shared" si="4"/>
        <v>105.0707</v>
      </c>
      <c r="F16" s="185">
        <f t="shared" si="6"/>
        <v>104.8207</v>
      </c>
      <c r="G16" s="185">
        <f t="shared" si="8"/>
        <v>104.8207</v>
      </c>
      <c r="H16" s="185">
        <f t="shared" si="12"/>
        <v>0</v>
      </c>
      <c r="I16" s="185"/>
      <c r="J16" s="185"/>
      <c r="K16" s="185"/>
      <c r="L16" s="185"/>
      <c r="M16" s="185">
        <f>D16-BL16</f>
        <v>104.8207</v>
      </c>
      <c r="N16" s="185"/>
      <c r="O16" s="185">
        <f t="shared" si="3"/>
        <v>0</v>
      </c>
      <c r="P16" s="185"/>
      <c r="Q16" s="185"/>
      <c r="R16" s="185"/>
      <c r="S16" s="185">
        <v>0.25</v>
      </c>
      <c r="T16" s="185"/>
      <c r="U16" s="185"/>
      <c r="V16" s="185">
        <f t="shared" si="13"/>
        <v>15.77</v>
      </c>
      <c r="W16" s="185"/>
      <c r="X16" s="185"/>
      <c r="Y16" s="185">
        <v>10.54</v>
      </c>
      <c r="Z16" s="185"/>
      <c r="AA16" s="185"/>
      <c r="AB16" s="185">
        <v>0.31</v>
      </c>
      <c r="AC16" s="185">
        <v>0.06</v>
      </c>
      <c r="AD16" s="185"/>
      <c r="AE16" s="185">
        <f t="shared" si="9"/>
        <v>3.44</v>
      </c>
      <c r="AF16" s="185">
        <v>0.04</v>
      </c>
      <c r="AG16" s="185"/>
      <c r="AH16" s="185">
        <v>0.24</v>
      </c>
      <c r="AI16" s="185"/>
      <c r="AJ16" s="185"/>
      <c r="AK16" s="185"/>
      <c r="AL16" s="185">
        <v>3.16</v>
      </c>
      <c r="AM16" s="185"/>
      <c r="AN16" s="185"/>
      <c r="AO16" s="185"/>
      <c r="AP16" s="185"/>
      <c r="AQ16" s="185"/>
      <c r="AR16" s="185"/>
      <c r="AS16" s="185"/>
      <c r="AT16" s="185"/>
      <c r="AU16" s="738">
        <v>1.07</v>
      </c>
      <c r="AV16" s="185"/>
      <c r="AW16" s="185"/>
      <c r="AX16" s="185"/>
      <c r="AY16" s="185"/>
      <c r="AZ16" s="185"/>
      <c r="BA16" s="185"/>
      <c r="BB16" s="185"/>
      <c r="BC16" s="185">
        <v>0.35</v>
      </c>
      <c r="BD16" s="185"/>
      <c r="BE16" s="185"/>
      <c r="BF16" s="185"/>
      <c r="BG16" s="185"/>
      <c r="BH16" s="185">
        <f t="shared" si="10"/>
        <v>0</v>
      </c>
      <c r="BI16" s="185"/>
      <c r="BJ16" s="185"/>
      <c r="BK16" s="185"/>
      <c r="BL16" s="185">
        <f>H16+L16+N16+S16+T16+U16+V16+BH16</f>
        <v>16.02</v>
      </c>
      <c r="BM16" s="185">
        <f>M68-BL16</f>
        <v>-16.02</v>
      </c>
      <c r="BN16" s="185">
        <f t="shared" si="11"/>
        <v>104.8207</v>
      </c>
      <c r="BP16" s="123"/>
    </row>
    <row r="17" spans="1:68" ht="18.75" customHeight="1">
      <c r="A17" s="14" t="s">
        <v>219</v>
      </c>
      <c r="B17" s="14" t="s">
        <v>25</v>
      </c>
      <c r="C17" s="30" t="s">
        <v>26</v>
      </c>
      <c r="D17" s="185">
        <f>#REF!</f>
        <v>393.78960000000001</v>
      </c>
      <c r="E17" s="185">
        <f t="shared" si="4"/>
        <v>377.36959999999999</v>
      </c>
      <c r="F17" s="185">
        <f t="shared" si="6"/>
        <v>377.2996</v>
      </c>
      <c r="G17" s="185">
        <f t="shared" si="8"/>
        <v>0</v>
      </c>
      <c r="H17" s="185">
        <f t="shared" si="12"/>
        <v>0</v>
      </c>
      <c r="I17" s="185"/>
      <c r="J17" s="185"/>
      <c r="K17" s="185"/>
      <c r="L17" s="185"/>
      <c r="M17" s="185"/>
      <c r="N17" s="185">
        <f>D17-BL17</f>
        <v>377.2996</v>
      </c>
      <c r="O17" s="185">
        <f t="shared" si="3"/>
        <v>0</v>
      </c>
      <c r="P17" s="185"/>
      <c r="Q17" s="185"/>
      <c r="R17" s="185"/>
      <c r="S17" s="185">
        <v>7.0000000000000007E-2</v>
      </c>
      <c r="T17" s="185"/>
      <c r="U17" s="185"/>
      <c r="V17" s="185">
        <f t="shared" si="13"/>
        <v>16.420000000000002</v>
      </c>
      <c r="W17" s="185"/>
      <c r="X17" s="185"/>
      <c r="Y17" s="185">
        <v>3.5</v>
      </c>
      <c r="Z17" s="185"/>
      <c r="AA17" s="185"/>
      <c r="AB17" s="185">
        <v>3.03</v>
      </c>
      <c r="AC17" s="185"/>
      <c r="AD17" s="185"/>
      <c r="AE17" s="185">
        <f t="shared" si="9"/>
        <v>5.8100000000000005</v>
      </c>
      <c r="AF17" s="185">
        <v>0.1</v>
      </c>
      <c r="AG17" s="185"/>
      <c r="AH17" s="185">
        <v>1.6</v>
      </c>
      <c r="AI17" s="185"/>
      <c r="AJ17" s="185"/>
      <c r="AK17" s="185"/>
      <c r="AL17" s="185">
        <v>4.1100000000000003</v>
      </c>
      <c r="AM17" s="185"/>
      <c r="AN17" s="185"/>
      <c r="AO17" s="185"/>
      <c r="AP17" s="185"/>
      <c r="AQ17" s="185"/>
      <c r="AR17" s="185"/>
      <c r="AS17" s="185"/>
      <c r="AT17" s="185"/>
      <c r="AU17" s="185">
        <v>2.58</v>
      </c>
      <c r="AV17" s="185"/>
      <c r="AW17" s="185"/>
      <c r="AX17" s="185"/>
      <c r="AY17" s="185">
        <v>0.36</v>
      </c>
      <c r="AZ17" s="185"/>
      <c r="BA17" s="185"/>
      <c r="BB17" s="185"/>
      <c r="BC17" s="185">
        <v>1.02</v>
      </c>
      <c r="BD17" s="185"/>
      <c r="BE17" s="185"/>
      <c r="BF17" s="185">
        <v>0.12</v>
      </c>
      <c r="BG17" s="185"/>
      <c r="BH17" s="185">
        <f t="shared" si="10"/>
        <v>0</v>
      </c>
      <c r="BI17" s="185"/>
      <c r="BJ17" s="185"/>
      <c r="BK17" s="185"/>
      <c r="BL17" s="185">
        <f>H17+L17+M17+O17+S17+T17+U17+V17+BH17</f>
        <v>16.490000000000002</v>
      </c>
      <c r="BM17" s="185">
        <f>N68-BL17</f>
        <v>-16.490000000000002</v>
      </c>
      <c r="BN17" s="185">
        <f t="shared" si="11"/>
        <v>377.2996</v>
      </c>
      <c r="BP17" s="123"/>
    </row>
    <row r="18" spans="1:68" ht="19.5" hidden="1" customHeight="1">
      <c r="A18" s="14" t="s">
        <v>21</v>
      </c>
      <c r="B18" s="14" t="s">
        <v>477</v>
      </c>
      <c r="C18" s="30" t="s">
        <v>198</v>
      </c>
      <c r="D18" s="185">
        <f>D19+D21</f>
        <v>2523.54</v>
      </c>
      <c r="E18" s="185">
        <f t="shared" si="4"/>
        <v>2429.2199999999998</v>
      </c>
      <c r="F18" s="185">
        <f t="shared" si="6"/>
        <v>0</v>
      </c>
      <c r="G18" s="185">
        <f t="shared" si="8"/>
        <v>0</v>
      </c>
      <c r="H18" s="185">
        <f t="shared" si="12"/>
        <v>0</v>
      </c>
      <c r="I18" s="185">
        <f t="shared" ref="I18:N18" si="14">I19+I20+I21</f>
        <v>0</v>
      </c>
      <c r="J18" s="185">
        <f t="shared" si="14"/>
        <v>0</v>
      </c>
      <c r="K18" s="185">
        <f t="shared" si="14"/>
        <v>0</v>
      </c>
      <c r="L18" s="185">
        <f t="shared" si="14"/>
        <v>0</v>
      </c>
      <c r="M18" s="185">
        <f t="shared" si="14"/>
        <v>0</v>
      </c>
      <c r="N18" s="185">
        <f t="shared" si="14"/>
        <v>0</v>
      </c>
      <c r="O18" s="185">
        <f>D18-BL18</f>
        <v>2429</v>
      </c>
      <c r="P18" s="185">
        <f t="shared" ref="P18:BG18" si="15">P19+P20+P21</f>
        <v>870.28</v>
      </c>
      <c r="Q18" s="185">
        <f t="shared" si="15"/>
        <v>0</v>
      </c>
      <c r="R18" s="185">
        <f t="shared" si="15"/>
        <v>1558.72</v>
      </c>
      <c r="S18" s="185">
        <f t="shared" si="15"/>
        <v>0.22</v>
      </c>
      <c r="T18" s="185">
        <f t="shared" si="15"/>
        <v>0</v>
      </c>
      <c r="U18" s="185">
        <f t="shared" si="15"/>
        <v>0</v>
      </c>
      <c r="V18" s="185">
        <f t="shared" si="15"/>
        <v>94.320000000000007</v>
      </c>
      <c r="W18" s="185">
        <f t="shared" si="15"/>
        <v>0.02</v>
      </c>
      <c r="X18" s="185">
        <f t="shared" si="15"/>
        <v>0</v>
      </c>
      <c r="Y18" s="185">
        <f t="shared" si="15"/>
        <v>5.33</v>
      </c>
      <c r="Z18" s="185">
        <f t="shared" si="15"/>
        <v>0</v>
      </c>
      <c r="AA18" s="185">
        <f t="shared" si="15"/>
        <v>0</v>
      </c>
      <c r="AB18" s="185">
        <f t="shared" si="15"/>
        <v>51.07</v>
      </c>
      <c r="AC18" s="185">
        <f t="shared" si="15"/>
        <v>8.94</v>
      </c>
      <c r="AD18" s="185">
        <f t="shared" si="15"/>
        <v>0</v>
      </c>
      <c r="AE18" s="185">
        <f t="shared" si="15"/>
        <v>14.219999999999999</v>
      </c>
      <c r="AF18" s="185">
        <f t="shared" si="15"/>
        <v>0</v>
      </c>
      <c r="AG18" s="185">
        <f t="shared" si="15"/>
        <v>0</v>
      </c>
      <c r="AH18" s="185">
        <f t="shared" si="15"/>
        <v>0</v>
      </c>
      <c r="AI18" s="185">
        <f t="shared" si="15"/>
        <v>0</v>
      </c>
      <c r="AJ18" s="185">
        <f t="shared" si="15"/>
        <v>0</v>
      </c>
      <c r="AK18" s="185">
        <f t="shared" si="15"/>
        <v>0</v>
      </c>
      <c r="AL18" s="185">
        <f t="shared" si="15"/>
        <v>14.219999999999999</v>
      </c>
      <c r="AM18" s="185">
        <f t="shared" si="15"/>
        <v>0</v>
      </c>
      <c r="AN18" s="185">
        <f t="shared" si="15"/>
        <v>0</v>
      </c>
      <c r="AO18" s="185">
        <f t="shared" si="15"/>
        <v>0</v>
      </c>
      <c r="AP18" s="185">
        <f t="shared" si="15"/>
        <v>0</v>
      </c>
      <c r="AQ18" s="185">
        <f t="shared" si="15"/>
        <v>0</v>
      </c>
      <c r="AR18" s="185">
        <f t="shared" si="15"/>
        <v>0</v>
      </c>
      <c r="AS18" s="185">
        <f t="shared" si="15"/>
        <v>0</v>
      </c>
      <c r="AT18" s="185">
        <f t="shared" si="15"/>
        <v>0</v>
      </c>
      <c r="AU18" s="185">
        <f t="shared" si="15"/>
        <v>0.1</v>
      </c>
      <c r="AV18" s="185">
        <f t="shared" si="15"/>
        <v>0</v>
      </c>
      <c r="AW18" s="185">
        <f t="shared" si="15"/>
        <v>0</v>
      </c>
      <c r="AX18" s="185">
        <f t="shared" si="15"/>
        <v>0</v>
      </c>
      <c r="AY18" s="185">
        <f t="shared" si="15"/>
        <v>0.95</v>
      </c>
      <c r="AZ18" s="185">
        <f t="shared" si="15"/>
        <v>0</v>
      </c>
      <c r="BA18" s="185">
        <f t="shared" si="15"/>
        <v>13.51</v>
      </c>
      <c r="BB18" s="185">
        <f t="shared" si="15"/>
        <v>0</v>
      </c>
      <c r="BC18" s="185">
        <f t="shared" si="15"/>
        <v>0.18</v>
      </c>
      <c r="BD18" s="185">
        <f t="shared" si="15"/>
        <v>0</v>
      </c>
      <c r="BE18" s="185">
        <f t="shared" si="15"/>
        <v>0</v>
      </c>
      <c r="BF18" s="185">
        <f t="shared" si="15"/>
        <v>0</v>
      </c>
      <c r="BG18" s="185">
        <f t="shared" si="15"/>
        <v>0</v>
      </c>
      <c r="BH18" s="185">
        <f>BH19+BH20+BH21</f>
        <v>0</v>
      </c>
      <c r="BI18" s="185">
        <f>BI19+BI20+BI21</f>
        <v>0</v>
      </c>
      <c r="BJ18" s="185">
        <f>BJ19+BJ20+BJ21</f>
        <v>0</v>
      </c>
      <c r="BK18" s="185">
        <f>BK19+BK20+BK21</f>
        <v>0</v>
      </c>
      <c r="BL18" s="185">
        <f>F18+S18+T18+U18+BH18+V18</f>
        <v>94.54</v>
      </c>
      <c r="BM18" s="185">
        <f>O68-BL18</f>
        <v>-94.54</v>
      </c>
      <c r="BN18" s="185">
        <f>BN19+BN20+BN21</f>
        <v>2429</v>
      </c>
      <c r="BP18" s="123"/>
    </row>
    <row r="19" spans="1:68" ht="20.100000000000001" customHeight="1">
      <c r="A19" s="14" t="s">
        <v>182</v>
      </c>
      <c r="B19" s="14" t="s">
        <v>28</v>
      </c>
      <c r="C19" s="30" t="s">
        <v>29</v>
      </c>
      <c r="D19" s="185">
        <f>#REF!</f>
        <v>880.47</v>
      </c>
      <c r="E19" s="185">
        <f>F19+O19+S19+T19+U19</f>
        <v>870.28</v>
      </c>
      <c r="F19" s="185">
        <f>G19+N19</f>
        <v>0</v>
      </c>
      <c r="G19" s="185">
        <f>H19+L19+M19</f>
        <v>0</v>
      </c>
      <c r="H19" s="185">
        <f t="shared" si="12"/>
        <v>0</v>
      </c>
      <c r="I19" s="185"/>
      <c r="J19" s="185"/>
      <c r="K19" s="185"/>
      <c r="L19" s="185"/>
      <c r="M19" s="185"/>
      <c r="N19" s="185"/>
      <c r="O19" s="185">
        <f t="shared" ref="O19:O24" si="16">P19+Q19+R19</f>
        <v>870.28</v>
      </c>
      <c r="P19" s="185">
        <f>D19-BL19</f>
        <v>870.28</v>
      </c>
      <c r="Q19" s="185"/>
      <c r="R19" s="185"/>
      <c r="S19" s="185"/>
      <c r="T19" s="185"/>
      <c r="U19" s="185"/>
      <c r="V19" s="185">
        <f t="shared" si="13"/>
        <v>10.19</v>
      </c>
      <c r="W19" s="185"/>
      <c r="X19" s="185"/>
      <c r="Y19" s="185"/>
      <c r="Z19" s="185"/>
      <c r="AA19" s="185"/>
      <c r="AB19" s="185"/>
      <c r="AC19" s="185"/>
      <c r="AD19" s="185"/>
      <c r="AE19" s="185">
        <f t="shared" si="9"/>
        <v>10.19</v>
      </c>
      <c r="AF19" s="185"/>
      <c r="AG19" s="185"/>
      <c r="AH19" s="185"/>
      <c r="AI19" s="185"/>
      <c r="AJ19" s="185"/>
      <c r="AK19" s="185"/>
      <c r="AL19" s="185">
        <v>10.19</v>
      </c>
      <c r="AM19" s="185"/>
      <c r="AN19" s="185"/>
      <c r="AO19" s="185"/>
      <c r="AP19" s="185"/>
      <c r="AQ19" s="185"/>
      <c r="AR19" s="185"/>
      <c r="AS19" s="185"/>
      <c r="AT19" s="185"/>
      <c r="AU19" s="185"/>
      <c r="AV19" s="185"/>
      <c r="AW19" s="185"/>
      <c r="AX19" s="185"/>
      <c r="AY19" s="185"/>
      <c r="AZ19" s="185"/>
      <c r="BA19" s="185"/>
      <c r="BB19" s="185"/>
      <c r="BC19" s="185"/>
      <c r="BD19" s="185"/>
      <c r="BE19" s="185"/>
      <c r="BF19" s="185"/>
      <c r="BG19" s="185"/>
      <c r="BH19" s="185">
        <f t="shared" ref="BH19:BH24" si="17">BI19+BJ19+BK19</f>
        <v>0</v>
      </c>
      <c r="BI19" s="185"/>
      <c r="BJ19" s="185"/>
      <c r="BK19" s="185"/>
      <c r="BL19" s="185">
        <f>F19+Q19+R19+S19+T19+U19+V19+BH19</f>
        <v>10.19</v>
      </c>
      <c r="BM19" s="185">
        <f>P68-BL19</f>
        <v>-10.19</v>
      </c>
      <c r="BN19" s="185">
        <f t="shared" ref="BN19:BN24" si="18">D19+BM19</f>
        <v>870.28</v>
      </c>
      <c r="BP19" s="123"/>
    </row>
    <row r="20" spans="1:68" ht="20.100000000000001" customHeight="1">
      <c r="A20" s="14" t="s">
        <v>183</v>
      </c>
      <c r="B20" s="14" t="s">
        <v>31</v>
      </c>
      <c r="C20" s="30" t="s">
        <v>32</v>
      </c>
      <c r="D20" s="185"/>
      <c r="E20" s="185">
        <f t="shared" si="4"/>
        <v>0</v>
      </c>
      <c r="F20" s="185">
        <f t="shared" si="6"/>
        <v>0</v>
      </c>
      <c r="G20" s="185">
        <f t="shared" si="8"/>
        <v>0</v>
      </c>
      <c r="H20" s="185">
        <f t="shared" si="12"/>
        <v>0</v>
      </c>
      <c r="I20" s="185"/>
      <c r="J20" s="185"/>
      <c r="K20" s="185"/>
      <c r="L20" s="185"/>
      <c r="M20" s="185"/>
      <c r="N20" s="185"/>
      <c r="O20" s="185">
        <f t="shared" si="16"/>
        <v>0</v>
      </c>
      <c r="P20" s="185"/>
      <c r="Q20" s="185">
        <f>D20-BL20</f>
        <v>0</v>
      </c>
      <c r="R20" s="185"/>
      <c r="S20" s="185"/>
      <c r="T20" s="185"/>
      <c r="U20" s="185"/>
      <c r="V20" s="185">
        <f t="shared" si="13"/>
        <v>0</v>
      </c>
      <c r="W20" s="185"/>
      <c r="X20" s="185"/>
      <c r="Y20" s="185"/>
      <c r="Z20" s="185"/>
      <c r="AA20" s="185"/>
      <c r="AB20" s="185"/>
      <c r="AC20" s="185"/>
      <c r="AD20" s="185"/>
      <c r="AE20" s="185">
        <f t="shared" si="9"/>
        <v>0</v>
      </c>
      <c r="AF20" s="185"/>
      <c r="AG20" s="185"/>
      <c r="AH20" s="185"/>
      <c r="AI20" s="185"/>
      <c r="AJ20" s="185"/>
      <c r="AK20" s="185"/>
      <c r="AL20" s="185"/>
      <c r="AM20" s="185"/>
      <c r="AN20" s="185"/>
      <c r="AO20" s="185"/>
      <c r="AP20" s="185"/>
      <c r="AQ20" s="185"/>
      <c r="AR20" s="185"/>
      <c r="AS20" s="185"/>
      <c r="AT20" s="185"/>
      <c r="AU20" s="185"/>
      <c r="AV20" s="185"/>
      <c r="AW20" s="185"/>
      <c r="AX20" s="185"/>
      <c r="AY20" s="185"/>
      <c r="AZ20" s="185"/>
      <c r="BA20" s="185"/>
      <c r="BB20" s="185"/>
      <c r="BC20" s="185"/>
      <c r="BD20" s="185"/>
      <c r="BE20" s="185"/>
      <c r="BF20" s="185"/>
      <c r="BG20" s="185"/>
      <c r="BH20" s="185">
        <f t="shared" si="17"/>
        <v>0</v>
      </c>
      <c r="BI20" s="185"/>
      <c r="BJ20" s="185"/>
      <c r="BK20" s="185"/>
      <c r="BL20" s="185">
        <f>F20+P20+R20+S20+T20+U20+V20+BH20</f>
        <v>0</v>
      </c>
      <c r="BM20" s="185">
        <f>Q68-BL20</f>
        <v>0</v>
      </c>
      <c r="BN20" s="185">
        <f t="shared" si="18"/>
        <v>0</v>
      </c>
      <c r="BP20" s="123"/>
    </row>
    <row r="21" spans="1:68" ht="20.100000000000001" customHeight="1">
      <c r="A21" s="14" t="s">
        <v>184</v>
      </c>
      <c r="B21" s="14" t="s">
        <v>34</v>
      </c>
      <c r="C21" s="30" t="s">
        <v>35</v>
      </c>
      <c r="D21" s="740">
        <v>1643.07</v>
      </c>
      <c r="E21" s="185">
        <f t="shared" si="4"/>
        <v>1558.94</v>
      </c>
      <c r="F21" s="185">
        <f>G21+N21</f>
        <v>0</v>
      </c>
      <c r="G21" s="185">
        <f t="shared" si="8"/>
        <v>0</v>
      </c>
      <c r="H21" s="185">
        <f t="shared" si="12"/>
        <v>0</v>
      </c>
      <c r="I21" s="185"/>
      <c r="J21" s="185"/>
      <c r="K21" s="185"/>
      <c r="L21" s="185"/>
      <c r="M21" s="185"/>
      <c r="N21" s="185"/>
      <c r="O21" s="185">
        <f t="shared" si="16"/>
        <v>1558.72</v>
      </c>
      <c r="P21" s="185"/>
      <c r="Q21" s="185"/>
      <c r="R21" s="185">
        <f>D21-BL21</f>
        <v>1558.72</v>
      </c>
      <c r="S21" s="185">
        <v>0.22</v>
      </c>
      <c r="T21" s="185"/>
      <c r="U21" s="185"/>
      <c r="V21" s="185">
        <f t="shared" si="13"/>
        <v>84.13000000000001</v>
      </c>
      <c r="W21" s="185">
        <v>0.02</v>
      </c>
      <c r="X21" s="185"/>
      <c r="Y21" s="185">
        <v>5.33</v>
      </c>
      <c r="Z21" s="185"/>
      <c r="AA21" s="185"/>
      <c r="AB21" s="185">
        <v>51.07</v>
      </c>
      <c r="AC21" s="185">
        <v>8.94</v>
      </c>
      <c r="AD21" s="185"/>
      <c r="AE21" s="185">
        <f t="shared" si="9"/>
        <v>4.03</v>
      </c>
      <c r="AF21" s="185"/>
      <c r="AG21" s="185"/>
      <c r="AH21" s="185"/>
      <c r="AI21" s="185"/>
      <c r="AJ21" s="185"/>
      <c r="AK21" s="185"/>
      <c r="AL21" s="185">
        <v>4.03</v>
      </c>
      <c r="AM21" s="185"/>
      <c r="AN21" s="185"/>
      <c r="AO21" s="185"/>
      <c r="AP21" s="185"/>
      <c r="AQ21" s="185"/>
      <c r="AR21" s="185"/>
      <c r="AS21" s="185"/>
      <c r="AT21" s="185"/>
      <c r="AU21" s="185">
        <v>0.1</v>
      </c>
      <c r="AV21" s="185"/>
      <c r="AW21" s="185"/>
      <c r="AX21" s="185"/>
      <c r="AY21" s="185">
        <v>0.95</v>
      </c>
      <c r="AZ21" s="185"/>
      <c r="BA21" s="185">
        <v>13.51</v>
      </c>
      <c r="BB21" s="185"/>
      <c r="BC21" s="185">
        <v>0.18</v>
      </c>
      <c r="BD21" s="185"/>
      <c r="BE21" s="185"/>
      <c r="BF21" s="185"/>
      <c r="BG21" s="185"/>
      <c r="BH21" s="185">
        <f t="shared" si="17"/>
        <v>0</v>
      </c>
      <c r="BI21" s="185"/>
      <c r="BJ21" s="185"/>
      <c r="BK21" s="185"/>
      <c r="BL21" s="185">
        <f>F21+P21+Q21+S21+T21+U21+V21+BH21</f>
        <v>84.350000000000009</v>
      </c>
      <c r="BM21" s="185">
        <f>R68-BL21</f>
        <v>-84.350000000000009</v>
      </c>
      <c r="BN21" s="185">
        <f t="shared" si="18"/>
        <v>1558.72</v>
      </c>
      <c r="BP21" s="123"/>
    </row>
    <row r="22" spans="1:68" ht="18.75" customHeight="1">
      <c r="A22" s="14" t="s">
        <v>24</v>
      </c>
      <c r="B22" s="14" t="s">
        <v>37</v>
      </c>
      <c r="C22" s="30" t="s">
        <v>38</v>
      </c>
      <c r="D22" s="185">
        <f>#REF!</f>
        <v>286.83</v>
      </c>
      <c r="E22" s="185">
        <f>F22+O22+S22+T22+U22</f>
        <v>276.68</v>
      </c>
      <c r="F22" s="185">
        <f t="shared" si="6"/>
        <v>0</v>
      </c>
      <c r="G22" s="185">
        <f t="shared" si="8"/>
        <v>0</v>
      </c>
      <c r="H22" s="185">
        <f t="shared" si="12"/>
        <v>0</v>
      </c>
      <c r="I22" s="185"/>
      <c r="J22" s="185"/>
      <c r="K22" s="185"/>
      <c r="L22" s="185"/>
      <c r="M22" s="185"/>
      <c r="N22" s="185"/>
      <c r="O22" s="185">
        <f t="shared" si="16"/>
        <v>0</v>
      </c>
      <c r="P22" s="185"/>
      <c r="Q22" s="185"/>
      <c r="R22" s="185"/>
      <c r="S22" s="185">
        <f>D22-BL22</f>
        <v>276.68</v>
      </c>
      <c r="T22" s="185"/>
      <c r="U22" s="185"/>
      <c r="V22" s="185">
        <f t="shared" si="13"/>
        <v>10.149999999999997</v>
      </c>
      <c r="W22" s="185"/>
      <c r="X22" s="185"/>
      <c r="Y22" s="185">
        <v>3.55</v>
      </c>
      <c r="Z22" s="185"/>
      <c r="AA22" s="185"/>
      <c r="AB22" s="185">
        <v>0.21</v>
      </c>
      <c r="AC22" s="185">
        <v>1.46</v>
      </c>
      <c r="AD22" s="185"/>
      <c r="AE22" s="185">
        <f t="shared" si="9"/>
        <v>2.9299999999999997</v>
      </c>
      <c r="AF22" s="185"/>
      <c r="AG22" s="185"/>
      <c r="AH22" s="185">
        <v>0.36</v>
      </c>
      <c r="AI22" s="185"/>
      <c r="AJ22" s="185"/>
      <c r="AK22" s="185"/>
      <c r="AL22" s="185">
        <v>2.57</v>
      </c>
      <c r="AM22" s="185"/>
      <c r="AN22" s="185"/>
      <c r="AO22" s="185"/>
      <c r="AP22" s="185"/>
      <c r="AQ22" s="185"/>
      <c r="AR22" s="185"/>
      <c r="AS22" s="185"/>
      <c r="AT22" s="185"/>
      <c r="AU22" s="185">
        <v>0.65</v>
      </c>
      <c r="AV22" s="185"/>
      <c r="AW22" s="185"/>
      <c r="AX22" s="185"/>
      <c r="AY22" s="185">
        <v>0.03</v>
      </c>
      <c r="AZ22" s="185"/>
      <c r="BA22" s="185">
        <v>0.79</v>
      </c>
      <c r="BB22" s="185"/>
      <c r="BC22" s="185">
        <v>0.35</v>
      </c>
      <c r="BD22" s="185"/>
      <c r="BE22" s="185"/>
      <c r="BF22" s="185">
        <v>0.18</v>
      </c>
      <c r="BG22" s="185"/>
      <c r="BH22" s="185">
        <f t="shared" si="17"/>
        <v>0</v>
      </c>
      <c r="BI22" s="185"/>
      <c r="BJ22" s="185"/>
      <c r="BK22" s="185"/>
      <c r="BL22" s="185">
        <f>G22+O22+T22+U22+V22+BH22</f>
        <v>10.149999999999997</v>
      </c>
      <c r="BM22" s="185">
        <f>S68-BL22</f>
        <v>-8.9599999999999973</v>
      </c>
      <c r="BN22" s="185">
        <f t="shared" si="18"/>
        <v>277.87</v>
      </c>
      <c r="BP22" s="123"/>
    </row>
    <row r="23" spans="1:68" ht="19.5" hidden="1" customHeight="1">
      <c r="A23" s="14" t="s">
        <v>27</v>
      </c>
      <c r="B23" s="14" t="s">
        <v>40</v>
      </c>
      <c r="C23" s="30" t="s">
        <v>41</v>
      </c>
      <c r="D23" s="185"/>
      <c r="E23" s="185">
        <f t="shared" si="4"/>
        <v>0</v>
      </c>
      <c r="F23" s="185">
        <f t="shared" si="6"/>
        <v>0</v>
      </c>
      <c r="G23" s="185">
        <f t="shared" si="8"/>
        <v>0</v>
      </c>
      <c r="H23" s="185">
        <f t="shared" si="12"/>
        <v>0</v>
      </c>
      <c r="I23" s="185"/>
      <c r="J23" s="185"/>
      <c r="K23" s="185"/>
      <c r="L23" s="185"/>
      <c r="M23" s="185"/>
      <c r="N23" s="185"/>
      <c r="O23" s="185">
        <f t="shared" si="16"/>
        <v>0</v>
      </c>
      <c r="P23" s="185"/>
      <c r="Q23" s="185"/>
      <c r="R23" s="185"/>
      <c r="S23" s="185"/>
      <c r="T23" s="185">
        <f>D23-BL23</f>
        <v>0</v>
      </c>
      <c r="U23" s="185"/>
      <c r="V23" s="185">
        <f t="shared" si="13"/>
        <v>0</v>
      </c>
      <c r="W23" s="185"/>
      <c r="X23" s="185"/>
      <c r="Y23" s="185"/>
      <c r="Z23" s="185"/>
      <c r="AA23" s="185"/>
      <c r="AB23" s="185"/>
      <c r="AC23" s="185"/>
      <c r="AD23" s="185"/>
      <c r="AE23" s="185">
        <f t="shared" si="9"/>
        <v>0</v>
      </c>
      <c r="AF23" s="185"/>
      <c r="AG23" s="185"/>
      <c r="AH23" s="185"/>
      <c r="AI23" s="185"/>
      <c r="AJ23" s="185"/>
      <c r="AK23" s="185"/>
      <c r="AL23" s="185"/>
      <c r="AM23" s="185"/>
      <c r="AN23" s="185"/>
      <c r="AO23" s="185"/>
      <c r="AP23" s="185"/>
      <c r="AQ23" s="185"/>
      <c r="AR23" s="185"/>
      <c r="AS23" s="185"/>
      <c r="AT23" s="185"/>
      <c r="AU23" s="185"/>
      <c r="AV23" s="185"/>
      <c r="AW23" s="185"/>
      <c r="AX23" s="185"/>
      <c r="AY23" s="185"/>
      <c r="AZ23" s="185"/>
      <c r="BA23" s="185"/>
      <c r="BB23" s="185"/>
      <c r="BC23" s="185"/>
      <c r="BD23" s="185"/>
      <c r="BE23" s="185"/>
      <c r="BF23" s="185"/>
      <c r="BG23" s="185"/>
      <c r="BH23" s="185">
        <f t="shared" si="17"/>
        <v>0</v>
      </c>
      <c r="BI23" s="185"/>
      <c r="BJ23" s="185"/>
      <c r="BK23" s="185"/>
      <c r="BL23" s="185">
        <f>F23+O23+S23+U23+V23+BH23</f>
        <v>0</v>
      </c>
      <c r="BM23" s="185">
        <f>T68-BL23</f>
        <v>0</v>
      </c>
      <c r="BN23" s="185">
        <f t="shared" si="18"/>
        <v>0</v>
      </c>
      <c r="BP23" s="123"/>
    </row>
    <row r="24" spans="1:68" ht="20.100000000000001" customHeight="1">
      <c r="A24" s="14" t="s">
        <v>30</v>
      </c>
      <c r="B24" s="14" t="s">
        <v>43</v>
      </c>
      <c r="C24" s="30" t="s">
        <v>44</v>
      </c>
      <c r="D24" s="185">
        <f>#REF!</f>
        <v>37.64</v>
      </c>
      <c r="E24" s="185">
        <f t="shared" si="4"/>
        <v>37.64</v>
      </c>
      <c r="F24" s="185">
        <f t="shared" si="6"/>
        <v>0</v>
      </c>
      <c r="G24" s="185">
        <f t="shared" si="8"/>
        <v>0</v>
      </c>
      <c r="H24" s="185">
        <f t="shared" si="12"/>
        <v>0</v>
      </c>
      <c r="I24" s="185"/>
      <c r="J24" s="185"/>
      <c r="K24" s="185"/>
      <c r="L24" s="185"/>
      <c r="M24" s="185"/>
      <c r="N24" s="185"/>
      <c r="O24" s="185">
        <f t="shared" si="16"/>
        <v>0</v>
      </c>
      <c r="P24" s="185"/>
      <c r="Q24" s="185"/>
      <c r="R24" s="185"/>
      <c r="S24" s="185"/>
      <c r="T24" s="185"/>
      <c r="U24" s="185">
        <f>D24-BL24</f>
        <v>37.64</v>
      </c>
      <c r="V24" s="185">
        <f t="shared" si="13"/>
        <v>0</v>
      </c>
      <c r="W24" s="185"/>
      <c r="X24" s="185"/>
      <c r="Y24" s="185"/>
      <c r="Z24" s="185"/>
      <c r="AA24" s="185"/>
      <c r="AB24" s="185"/>
      <c r="AC24" s="185"/>
      <c r="AD24" s="185"/>
      <c r="AE24" s="185">
        <f t="shared" si="9"/>
        <v>0</v>
      </c>
      <c r="AF24" s="185"/>
      <c r="AG24" s="185"/>
      <c r="AH24" s="185"/>
      <c r="AI24" s="185"/>
      <c r="AJ24" s="185"/>
      <c r="AK24" s="185"/>
      <c r="AL24" s="185"/>
      <c r="AM24" s="185"/>
      <c r="AN24" s="185"/>
      <c r="AO24" s="185"/>
      <c r="AP24" s="185"/>
      <c r="AQ24" s="185"/>
      <c r="AR24" s="185"/>
      <c r="AS24" s="185"/>
      <c r="AT24" s="185"/>
      <c r="AU24" s="185"/>
      <c r="AV24" s="185"/>
      <c r="AW24" s="185"/>
      <c r="AX24" s="185"/>
      <c r="AY24" s="185"/>
      <c r="AZ24" s="185"/>
      <c r="BA24" s="185"/>
      <c r="BB24" s="185"/>
      <c r="BC24" s="185"/>
      <c r="BD24" s="185"/>
      <c r="BE24" s="185"/>
      <c r="BF24" s="185"/>
      <c r="BG24" s="185"/>
      <c r="BH24" s="185">
        <f t="shared" si="17"/>
        <v>0</v>
      </c>
      <c r="BI24" s="185"/>
      <c r="BJ24" s="185"/>
      <c r="BK24" s="185"/>
      <c r="BL24" s="185">
        <f>V24</f>
        <v>0</v>
      </c>
      <c r="BM24" s="185">
        <f>U68-BL24</f>
        <v>0</v>
      </c>
      <c r="BN24" s="185">
        <f t="shared" si="18"/>
        <v>37.64</v>
      </c>
      <c r="BP24" s="123"/>
    </row>
    <row r="25" spans="1:68" s="115" customFormat="1" ht="25.5" customHeight="1">
      <c r="A25" s="15">
        <v>2</v>
      </c>
      <c r="B25" s="15" t="s">
        <v>45</v>
      </c>
      <c r="C25" s="158" t="s">
        <v>46</v>
      </c>
      <c r="D25" s="420">
        <f>D26+D27+D28+D29+D30+D31+D32+D33+D34+D46+D47+D48+D49+D50+D51+D52+D53+D54+D55+D56+D57+D58+D59+D60+D61+D62</f>
        <v>705.46849999999984</v>
      </c>
      <c r="E25" s="420">
        <f>E26+E27+E28+E29+E30+E31+E32+E33+E34+E46+E47+E48+E49+E50+E51+E52+E53+E54+E55+E56+E57+E58+E59+E60+E61+E62</f>
        <v>0.44</v>
      </c>
      <c r="F25" s="420">
        <f t="shared" ref="F25:U25" si="19">F26+F27+F28+F29+F30+F31+F32+F33+F34+F46+F47+F48+F49+F50+F51+F52+F53+F54+F55+F56+F57+F58+F59+F60+F61+F62</f>
        <v>0</v>
      </c>
      <c r="G25" s="420">
        <f t="shared" si="19"/>
        <v>0</v>
      </c>
      <c r="H25" s="420">
        <f t="shared" si="19"/>
        <v>0</v>
      </c>
      <c r="I25" s="420">
        <f t="shared" si="19"/>
        <v>0</v>
      </c>
      <c r="J25" s="420">
        <f t="shared" si="19"/>
        <v>0</v>
      </c>
      <c r="K25" s="420">
        <f t="shared" si="19"/>
        <v>0</v>
      </c>
      <c r="L25" s="420">
        <f t="shared" si="19"/>
        <v>0</v>
      </c>
      <c r="M25" s="420">
        <f t="shared" si="19"/>
        <v>0</v>
      </c>
      <c r="N25" s="420">
        <f t="shared" si="19"/>
        <v>0</v>
      </c>
      <c r="O25" s="420">
        <f t="shared" si="19"/>
        <v>0</v>
      </c>
      <c r="P25" s="420">
        <f t="shared" si="19"/>
        <v>0</v>
      </c>
      <c r="Q25" s="420">
        <f t="shared" si="19"/>
        <v>0</v>
      </c>
      <c r="R25" s="420">
        <f t="shared" si="19"/>
        <v>0</v>
      </c>
      <c r="S25" s="420">
        <f t="shared" si="19"/>
        <v>0.44</v>
      </c>
      <c r="T25" s="420">
        <f t="shared" si="19"/>
        <v>0</v>
      </c>
      <c r="U25" s="420">
        <f t="shared" si="19"/>
        <v>0</v>
      </c>
      <c r="V25" s="420">
        <f>D25-BL25</f>
        <v>705.02849999999978</v>
      </c>
      <c r="W25" s="420">
        <f>W26+W27+W28+W29+W30+W31+W32+W33+W34+W46+W47+W48+W49+W50+W51+W52+W53+W54+W55+W56+W57+W58+W59+W60+W61+W62</f>
        <v>18.47</v>
      </c>
      <c r="X25" s="420">
        <f t="shared" ref="X25:BK25" si="20">X26+X27+X28+X29+X30+X31+X32+X33+X34+X46+X47+X48+X49+X50+X51+X52+X53+X54+X55+X56+X57+X58+X59+X60+X61+X62</f>
        <v>0.61</v>
      </c>
      <c r="Y25" s="420">
        <f t="shared" si="20"/>
        <v>82.7</v>
      </c>
      <c r="Z25" s="420">
        <f t="shared" si="20"/>
        <v>0</v>
      </c>
      <c r="AA25" s="420">
        <f t="shared" si="20"/>
        <v>0</v>
      </c>
      <c r="AB25" s="420">
        <f t="shared" si="20"/>
        <v>114.94</v>
      </c>
      <c r="AC25" s="420">
        <f t="shared" si="20"/>
        <v>13.07</v>
      </c>
      <c r="AD25" s="420">
        <f t="shared" si="20"/>
        <v>0</v>
      </c>
      <c r="AE25" s="420">
        <f t="shared" si="20"/>
        <v>243.80519999999996</v>
      </c>
      <c r="AF25" s="420">
        <f t="shared" si="20"/>
        <v>1.08</v>
      </c>
      <c r="AG25" s="420">
        <f t="shared" si="20"/>
        <v>0.18</v>
      </c>
      <c r="AH25" s="420">
        <f t="shared" si="20"/>
        <v>15.12</v>
      </c>
      <c r="AI25" s="420">
        <f t="shared" si="20"/>
        <v>0.54</v>
      </c>
      <c r="AJ25" s="420">
        <f t="shared" si="20"/>
        <v>0</v>
      </c>
      <c r="AK25" s="420">
        <f t="shared" si="20"/>
        <v>0</v>
      </c>
      <c r="AL25" s="420">
        <f t="shared" si="20"/>
        <v>157.52519999999998</v>
      </c>
      <c r="AM25" s="420">
        <f t="shared" si="20"/>
        <v>69.05</v>
      </c>
      <c r="AN25" s="420">
        <f t="shared" si="20"/>
        <v>0</v>
      </c>
      <c r="AO25" s="420">
        <f t="shared" si="20"/>
        <v>0.03</v>
      </c>
      <c r="AP25" s="420">
        <f t="shared" si="20"/>
        <v>0.28000000000000003</v>
      </c>
      <c r="AQ25" s="420">
        <f t="shared" si="20"/>
        <v>0</v>
      </c>
      <c r="AR25" s="420">
        <f t="shared" si="20"/>
        <v>0</v>
      </c>
      <c r="AS25" s="420">
        <f t="shared" si="20"/>
        <v>3.84</v>
      </c>
      <c r="AT25" s="420">
        <f t="shared" si="20"/>
        <v>0</v>
      </c>
      <c r="AU25" s="420">
        <f t="shared" si="20"/>
        <v>82.253699999999995</v>
      </c>
      <c r="AV25" s="420">
        <f t="shared" si="20"/>
        <v>0.71</v>
      </c>
      <c r="AW25" s="420">
        <f t="shared" si="20"/>
        <v>0</v>
      </c>
      <c r="AX25" s="420">
        <f t="shared" si="20"/>
        <v>0</v>
      </c>
      <c r="AY25" s="420">
        <f t="shared" si="20"/>
        <v>4.67</v>
      </c>
      <c r="AZ25" s="420">
        <f t="shared" si="20"/>
        <v>27.41</v>
      </c>
      <c r="BA25" s="420">
        <f t="shared" si="20"/>
        <v>8.2899999999999991</v>
      </c>
      <c r="BB25" s="420">
        <f t="shared" si="20"/>
        <v>1.4596</v>
      </c>
      <c r="BC25" s="420">
        <f t="shared" si="20"/>
        <v>1.82</v>
      </c>
      <c r="BD25" s="420">
        <f t="shared" si="20"/>
        <v>0.41</v>
      </c>
      <c r="BE25" s="420">
        <f t="shared" si="20"/>
        <v>37.520000000000003</v>
      </c>
      <c r="BF25" s="420">
        <f t="shared" si="20"/>
        <v>63.05</v>
      </c>
      <c r="BG25" s="420">
        <f t="shared" si="20"/>
        <v>0</v>
      </c>
      <c r="BH25" s="420">
        <f t="shared" si="20"/>
        <v>0</v>
      </c>
      <c r="BI25" s="420">
        <f t="shared" si="20"/>
        <v>0</v>
      </c>
      <c r="BJ25" s="420">
        <f t="shared" si="20"/>
        <v>0</v>
      </c>
      <c r="BK25" s="420">
        <f t="shared" si="20"/>
        <v>0</v>
      </c>
      <c r="BL25" s="420">
        <f>E25+BH25</f>
        <v>0.44</v>
      </c>
      <c r="BM25" s="420">
        <f>BM26+BM27+BM28+BM29+BM30+BM31+BM32+BM33+BM34+BM46+BM47+BM48+BM49+BM50+BM51+BM52+BM53+BM54+BM55+BM56+BM57+BM58+BM59+BM60+BM61+BM62</f>
        <v>191.89000000000001</v>
      </c>
      <c r="BN25" s="420">
        <f>BN26+BN27+BN28+BN29+BN30+BN31+BN32+BN33+BN34+BN46+BN47+BN48+BN49+BN50+BN51+BN52+BN53+BN54+BN55+BN56+BN57+BN58+BN59+BN60+BN61+BN62</f>
        <v>897.35850000000005</v>
      </c>
    </row>
    <row r="26" spans="1:68" ht="20.100000000000001" customHeight="1">
      <c r="A26" s="19" t="s">
        <v>47</v>
      </c>
      <c r="B26" s="19" t="s">
        <v>48</v>
      </c>
      <c r="C26" s="30" t="s">
        <v>49</v>
      </c>
      <c r="D26" s="740">
        <v>18.47</v>
      </c>
      <c r="E26" s="185">
        <f t="shared" si="4"/>
        <v>0</v>
      </c>
      <c r="F26" s="185">
        <f>G26+N26</f>
        <v>0</v>
      </c>
      <c r="G26" s="185">
        <f t="shared" si="8"/>
        <v>0</v>
      </c>
      <c r="H26" s="185">
        <f t="shared" si="12"/>
        <v>0</v>
      </c>
      <c r="I26" s="185"/>
      <c r="J26" s="185"/>
      <c r="K26" s="185"/>
      <c r="L26" s="185"/>
      <c r="M26" s="185"/>
      <c r="N26" s="185"/>
      <c r="O26" s="185"/>
      <c r="P26" s="185"/>
      <c r="Q26" s="185"/>
      <c r="R26" s="185"/>
      <c r="S26" s="185"/>
      <c r="T26" s="185"/>
      <c r="U26" s="185"/>
      <c r="V26" s="185">
        <f t="shared" si="13"/>
        <v>18.47</v>
      </c>
      <c r="W26" s="185">
        <f>D26-BL26</f>
        <v>18.47</v>
      </c>
      <c r="X26" s="185"/>
      <c r="Y26" s="185"/>
      <c r="Z26" s="185"/>
      <c r="AA26" s="185"/>
      <c r="AB26" s="185"/>
      <c r="AC26" s="185"/>
      <c r="AD26" s="185"/>
      <c r="AE26" s="185">
        <f t="shared" si="9"/>
        <v>0</v>
      </c>
      <c r="AF26" s="185"/>
      <c r="AG26" s="185"/>
      <c r="AH26" s="185"/>
      <c r="AI26" s="185"/>
      <c r="AJ26" s="185"/>
      <c r="AK26" s="185"/>
      <c r="AL26" s="185"/>
      <c r="AM26" s="185"/>
      <c r="AN26" s="185"/>
      <c r="AO26" s="185"/>
      <c r="AP26" s="185"/>
      <c r="AQ26" s="185"/>
      <c r="AR26" s="185"/>
      <c r="AS26" s="185"/>
      <c r="AT26" s="185"/>
      <c r="AU26" s="185"/>
      <c r="AV26" s="185"/>
      <c r="AW26" s="185"/>
      <c r="AX26" s="185"/>
      <c r="AY26" s="185"/>
      <c r="AZ26" s="185"/>
      <c r="BA26" s="185"/>
      <c r="BB26" s="185"/>
      <c r="BC26" s="185"/>
      <c r="BD26" s="185"/>
      <c r="BE26" s="185"/>
      <c r="BF26" s="185"/>
      <c r="BG26" s="185"/>
      <c r="BH26" s="185">
        <f>BI26+BJ26+BK26</f>
        <v>0</v>
      </c>
      <c r="BI26" s="185"/>
      <c r="BJ26" s="185"/>
      <c r="BK26" s="185"/>
      <c r="BL26" s="185">
        <f>X26+Y26+Z26+AA26+AB26+AC26+AD26+AE26+AQ26+AR26+AS26+AT26+AU26+AV26+AW26+AX26+AY26+AZ26+BA26+BB26+BC26+BD26+BE26+BF26+BG26+BH26</f>
        <v>0</v>
      </c>
      <c r="BM26" s="185">
        <f>W68-BL26</f>
        <v>0.02</v>
      </c>
      <c r="BN26" s="185">
        <f>D26+BM26</f>
        <v>18.489999999999998</v>
      </c>
      <c r="BP26" s="123"/>
    </row>
    <row r="27" spans="1:68" ht="20.100000000000001" customHeight="1">
      <c r="A27" s="19" t="s">
        <v>50</v>
      </c>
      <c r="B27" s="19" t="s">
        <v>51</v>
      </c>
      <c r="C27" s="30" t="s">
        <v>52</v>
      </c>
      <c r="D27" s="185">
        <f>#REF!</f>
        <v>0.61</v>
      </c>
      <c r="E27" s="185">
        <f t="shared" si="4"/>
        <v>0</v>
      </c>
      <c r="F27" s="185">
        <f t="shared" ref="F27:F66" si="21">G27+N27</f>
        <v>0</v>
      </c>
      <c r="G27" s="185">
        <f t="shared" si="8"/>
        <v>0</v>
      </c>
      <c r="H27" s="185">
        <f t="shared" si="12"/>
        <v>0</v>
      </c>
      <c r="I27" s="185"/>
      <c r="J27" s="185"/>
      <c r="K27" s="185"/>
      <c r="L27" s="185"/>
      <c r="M27" s="185"/>
      <c r="N27" s="185"/>
      <c r="O27" s="185"/>
      <c r="P27" s="185"/>
      <c r="Q27" s="185"/>
      <c r="R27" s="185"/>
      <c r="S27" s="185"/>
      <c r="T27" s="185"/>
      <c r="U27" s="185"/>
      <c r="V27" s="185">
        <f t="shared" si="13"/>
        <v>0.61</v>
      </c>
      <c r="W27" s="185"/>
      <c r="X27" s="185">
        <f>D27-BL27</f>
        <v>0.61</v>
      </c>
      <c r="Y27" s="185"/>
      <c r="Z27" s="185"/>
      <c r="AA27" s="185"/>
      <c r="AB27" s="185"/>
      <c r="AC27" s="185"/>
      <c r="AD27" s="185"/>
      <c r="AE27" s="185">
        <f t="shared" si="9"/>
        <v>0</v>
      </c>
      <c r="AF27" s="185"/>
      <c r="AG27" s="185"/>
      <c r="AH27" s="185"/>
      <c r="AI27" s="185"/>
      <c r="AJ27" s="185"/>
      <c r="AK27" s="185"/>
      <c r="AL27" s="185"/>
      <c r="AM27" s="185"/>
      <c r="AN27" s="185"/>
      <c r="AO27" s="185"/>
      <c r="AP27" s="185"/>
      <c r="AQ27" s="185"/>
      <c r="AR27" s="185"/>
      <c r="AS27" s="185"/>
      <c r="AT27" s="185"/>
      <c r="AU27" s="185"/>
      <c r="AV27" s="185"/>
      <c r="AW27" s="185"/>
      <c r="AX27" s="185"/>
      <c r="AY27" s="185"/>
      <c r="AZ27" s="185"/>
      <c r="BA27" s="185"/>
      <c r="BB27" s="185"/>
      <c r="BC27" s="185"/>
      <c r="BD27" s="185"/>
      <c r="BE27" s="185"/>
      <c r="BF27" s="185"/>
      <c r="BG27" s="185"/>
      <c r="BH27" s="185">
        <f t="shared" ref="BH27:BH62" si="22">BI27+BJ27+BK27</f>
        <v>0</v>
      </c>
      <c r="BI27" s="185"/>
      <c r="BJ27" s="185"/>
      <c r="BK27" s="185"/>
      <c r="BL27" s="185">
        <f>F27+W27+Y27+Z27+AA27+AB27+AC27+AD27+AE27+AQ27+AR27+AS27+AT27+AU27+AV27+AW27+AX27+AY27+AZ27+BA27+BB27+BC27+BD27+BE27+BF27+BG27+BH27</f>
        <v>0</v>
      </c>
      <c r="BM27" s="185">
        <f>X68-BL27</f>
        <v>0</v>
      </c>
      <c r="BN27" s="185">
        <f t="shared" ref="BN27:BN33" si="23">D27+BM27</f>
        <v>0.61</v>
      </c>
      <c r="BP27" s="123"/>
    </row>
    <row r="28" spans="1:68" ht="20.100000000000001" customHeight="1">
      <c r="A28" s="19" t="s">
        <v>53</v>
      </c>
      <c r="B28" s="19" t="s">
        <v>54</v>
      </c>
      <c r="C28" s="30" t="s">
        <v>55</v>
      </c>
      <c r="D28" s="185">
        <f>#REF!</f>
        <v>79.59</v>
      </c>
      <c r="E28" s="185">
        <f t="shared" si="4"/>
        <v>0</v>
      </c>
      <c r="F28" s="185">
        <f t="shared" si="21"/>
        <v>0</v>
      </c>
      <c r="G28" s="185">
        <f t="shared" si="8"/>
        <v>0</v>
      </c>
      <c r="H28" s="185">
        <f t="shared" si="12"/>
        <v>0</v>
      </c>
      <c r="I28" s="185"/>
      <c r="J28" s="185"/>
      <c r="K28" s="185"/>
      <c r="L28" s="185"/>
      <c r="M28" s="185"/>
      <c r="N28" s="185"/>
      <c r="O28" s="185"/>
      <c r="P28" s="185"/>
      <c r="Q28" s="185"/>
      <c r="R28" s="185"/>
      <c r="S28" s="185"/>
      <c r="T28" s="185"/>
      <c r="U28" s="185"/>
      <c r="V28" s="185">
        <f t="shared" si="13"/>
        <v>79.59</v>
      </c>
      <c r="W28" s="185"/>
      <c r="X28" s="185"/>
      <c r="Y28" s="185">
        <f>D28-BL28</f>
        <v>79.59</v>
      </c>
      <c r="Z28" s="185"/>
      <c r="AA28" s="185"/>
      <c r="AB28" s="185"/>
      <c r="AC28" s="185"/>
      <c r="AD28" s="185"/>
      <c r="AE28" s="185">
        <f t="shared" si="9"/>
        <v>0</v>
      </c>
      <c r="AF28" s="185"/>
      <c r="AG28" s="185"/>
      <c r="AH28" s="185"/>
      <c r="AI28" s="185"/>
      <c r="AJ28" s="185"/>
      <c r="AK28" s="185"/>
      <c r="AL28" s="185"/>
      <c r="AM28" s="185"/>
      <c r="AN28" s="185"/>
      <c r="AO28" s="185"/>
      <c r="AP28" s="185"/>
      <c r="AQ28" s="185"/>
      <c r="AR28" s="185"/>
      <c r="AS28" s="185"/>
      <c r="AT28" s="185"/>
      <c r="AU28" s="185"/>
      <c r="AV28" s="185"/>
      <c r="AW28" s="185"/>
      <c r="AX28" s="185"/>
      <c r="AY28" s="185"/>
      <c r="AZ28" s="185"/>
      <c r="BA28" s="185"/>
      <c r="BB28" s="185"/>
      <c r="BC28" s="185"/>
      <c r="BD28" s="185"/>
      <c r="BE28" s="185"/>
      <c r="BF28" s="185"/>
      <c r="BG28" s="185"/>
      <c r="BH28" s="185">
        <f t="shared" si="22"/>
        <v>0</v>
      </c>
      <c r="BI28" s="185"/>
      <c r="BJ28" s="185"/>
      <c r="BK28" s="185"/>
      <c r="BL28" s="185">
        <f>E28+W28+X28+Z28+AA28+AB28+AC28+AD28+AE28+AQ28+AR28+AS28+AT28+AU28+AV28+AW28+AX28+AY28+AZ28+BA28+BB28+BC28+BD28+BE28+BF28+BG28+BH28</f>
        <v>0</v>
      </c>
      <c r="BM28" s="185">
        <f>Y68-BL28</f>
        <v>38.219999999999992</v>
      </c>
      <c r="BN28" s="185">
        <f t="shared" si="23"/>
        <v>117.81</v>
      </c>
      <c r="BP28" s="123"/>
    </row>
    <row r="29" spans="1:68" ht="20.100000000000001" customHeight="1">
      <c r="A29" s="19" t="s">
        <v>56</v>
      </c>
      <c r="B29" s="19" t="s">
        <v>57</v>
      </c>
      <c r="C29" s="30" t="s">
        <v>58</v>
      </c>
      <c r="D29" s="185"/>
      <c r="E29" s="185">
        <f t="shared" si="4"/>
        <v>0</v>
      </c>
      <c r="F29" s="185">
        <f t="shared" si="21"/>
        <v>0</v>
      </c>
      <c r="G29" s="185">
        <f t="shared" si="8"/>
        <v>0</v>
      </c>
      <c r="H29" s="185">
        <f t="shared" si="12"/>
        <v>0</v>
      </c>
      <c r="I29" s="185"/>
      <c r="J29" s="185"/>
      <c r="K29" s="185"/>
      <c r="L29" s="185"/>
      <c r="M29" s="185"/>
      <c r="N29" s="185"/>
      <c r="O29" s="185"/>
      <c r="P29" s="185"/>
      <c r="Q29" s="185"/>
      <c r="R29" s="185"/>
      <c r="S29" s="185"/>
      <c r="T29" s="185"/>
      <c r="U29" s="185"/>
      <c r="V29" s="185">
        <f t="shared" si="13"/>
        <v>0</v>
      </c>
      <c r="W29" s="185"/>
      <c r="X29" s="185"/>
      <c r="Y29" s="185"/>
      <c r="Z29" s="185">
        <f>D29-BL29</f>
        <v>0</v>
      </c>
      <c r="AA29" s="185"/>
      <c r="AB29" s="185"/>
      <c r="AC29" s="185"/>
      <c r="AD29" s="185"/>
      <c r="AE29" s="185">
        <f t="shared" si="9"/>
        <v>0</v>
      </c>
      <c r="AF29" s="185"/>
      <c r="AG29" s="185"/>
      <c r="AH29" s="185"/>
      <c r="AI29" s="185"/>
      <c r="AJ29" s="185"/>
      <c r="AK29" s="185"/>
      <c r="AL29" s="185"/>
      <c r="AM29" s="185"/>
      <c r="AN29" s="185"/>
      <c r="AO29" s="185"/>
      <c r="AP29" s="185"/>
      <c r="AQ29" s="185"/>
      <c r="AR29" s="185"/>
      <c r="AS29" s="185"/>
      <c r="AT29" s="185"/>
      <c r="AU29" s="185"/>
      <c r="AV29" s="185"/>
      <c r="AW29" s="185"/>
      <c r="AX29" s="185"/>
      <c r="AY29" s="185"/>
      <c r="AZ29" s="185"/>
      <c r="BA29" s="185"/>
      <c r="BB29" s="185"/>
      <c r="BC29" s="185"/>
      <c r="BD29" s="185"/>
      <c r="BE29" s="185"/>
      <c r="BF29" s="185"/>
      <c r="BG29" s="185"/>
      <c r="BH29" s="185">
        <f t="shared" si="22"/>
        <v>0</v>
      </c>
      <c r="BI29" s="185"/>
      <c r="BJ29" s="185"/>
      <c r="BK29" s="185"/>
      <c r="BL29" s="185">
        <f>E29+W29+X29+Y29+AA29+AB29+AC29+AD29+AE29+AQ29+AR29+AS29+AT29+AU29+AV29+AW29+AX29+AY29+AZ29+BA29+BB29+BC29+BD29+BE29+BF29+BG29+BH29</f>
        <v>0</v>
      </c>
      <c r="BM29" s="185">
        <f>Z68-BL29</f>
        <v>0</v>
      </c>
      <c r="BN29" s="185">
        <f t="shared" si="23"/>
        <v>0</v>
      </c>
      <c r="BP29" s="123"/>
    </row>
    <row r="30" spans="1:68" ht="20.100000000000001" customHeight="1">
      <c r="A30" s="19" t="s">
        <v>59</v>
      </c>
      <c r="B30" s="19" t="s">
        <v>60</v>
      </c>
      <c r="C30" s="30" t="s">
        <v>61</v>
      </c>
      <c r="D30" s="185"/>
      <c r="E30" s="185">
        <f t="shared" si="4"/>
        <v>0</v>
      </c>
      <c r="F30" s="185">
        <f t="shared" si="21"/>
        <v>0</v>
      </c>
      <c r="G30" s="185">
        <f t="shared" si="8"/>
        <v>0</v>
      </c>
      <c r="H30" s="185">
        <f t="shared" si="12"/>
        <v>0</v>
      </c>
      <c r="I30" s="185"/>
      <c r="J30" s="185"/>
      <c r="K30" s="185"/>
      <c r="L30" s="185"/>
      <c r="M30" s="185"/>
      <c r="N30" s="185"/>
      <c r="O30" s="185"/>
      <c r="P30" s="185"/>
      <c r="Q30" s="185"/>
      <c r="R30" s="185"/>
      <c r="S30" s="185"/>
      <c r="T30" s="185"/>
      <c r="U30" s="185"/>
      <c r="V30" s="185">
        <f t="shared" si="13"/>
        <v>0</v>
      </c>
      <c r="W30" s="185"/>
      <c r="X30" s="185"/>
      <c r="Y30" s="185"/>
      <c r="Z30" s="185"/>
      <c r="AA30" s="185">
        <f>D30-BL30</f>
        <v>0</v>
      </c>
      <c r="AB30" s="185"/>
      <c r="AC30" s="185"/>
      <c r="AD30" s="185"/>
      <c r="AE30" s="185">
        <f t="shared" si="9"/>
        <v>0</v>
      </c>
      <c r="AF30" s="185"/>
      <c r="AG30" s="185"/>
      <c r="AH30" s="185"/>
      <c r="AI30" s="185"/>
      <c r="AJ30" s="185"/>
      <c r="AK30" s="185"/>
      <c r="AL30" s="185"/>
      <c r="AM30" s="185"/>
      <c r="AN30" s="185"/>
      <c r="AO30" s="185"/>
      <c r="AP30" s="185"/>
      <c r="AQ30" s="185"/>
      <c r="AR30" s="185"/>
      <c r="AS30" s="185"/>
      <c r="AT30" s="185"/>
      <c r="AU30" s="185"/>
      <c r="AV30" s="185"/>
      <c r="AW30" s="185"/>
      <c r="AX30" s="185"/>
      <c r="AY30" s="185"/>
      <c r="AZ30" s="185"/>
      <c r="BA30" s="185"/>
      <c r="BB30" s="185"/>
      <c r="BC30" s="185"/>
      <c r="BD30" s="185"/>
      <c r="BE30" s="185"/>
      <c r="BF30" s="185"/>
      <c r="BG30" s="185"/>
      <c r="BH30" s="185">
        <f t="shared" si="22"/>
        <v>0</v>
      </c>
      <c r="BI30" s="185"/>
      <c r="BJ30" s="185"/>
      <c r="BK30" s="185"/>
      <c r="BL30" s="185">
        <f>E30+W30+X30+Y30+Z30+AB30+AC30+AD30+AE30+AQ30+AR30+AS30+AT30+AU30+AV30+AW30+AX30+AY30+AZ30+BA30+BB30+BC30+BD30+BE30+BF30+BG30+BH30</f>
        <v>0</v>
      </c>
      <c r="BM30" s="185">
        <f>AA68-BL30</f>
        <v>0</v>
      </c>
      <c r="BN30" s="185">
        <f t="shared" si="23"/>
        <v>0</v>
      </c>
      <c r="BP30" s="123"/>
    </row>
    <row r="31" spans="1:68" ht="20.100000000000001" customHeight="1">
      <c r="A31" s="19" t="s">
        <v>62</v>
      </c>
      <c r="B31" s="19" t="s">
        <v>63</v>
      </c>
      <c r="C31" s="30" t="s">
        <v>64</v>
      </c>
      <c r="D31" s="185">
        <f>#REF!</f>
        <v>114.26</v>
      </c>
      <c r="E31" s="185">
        <f t="shared" si="4"/>
        <v>0</v>
      </c>
      <c r="F31" s="185">
        <f t="shared" si="21"/>
        <v>0</v>
      </c>
      <c r="G31" s="185">
        <f t="shared" si="8"/>
        <v>0</v>
      </c>
      <c r="H31" s="185">
        <f t="shared" si="12"/>
        <v>0</v>
      </c>
      <c r="I31" s="185"/>
      <c r="J31" s="185"/>
      <c r="K31" s="185"/>
      <c r="L31" s="185"/>
      <c r="M31" s="185"/>
      <c r="N31" s="185"/>
      <c r="O31" s="185"/>
      <c r="P31" s="185"/>
      <c r="Q31" s="185"/>
      <c r="R31" s="185"/>
      <c r="S31" s="185"/>
      <c r="T31" s="185"/>
      <c r="U31" s="185"/>
      <c r="V31" s="185">
        <f>W31+X31+Y31+Z31+AA31+AB31+AC31+AD31+AE31+AQ31+AR31+AS31+AT31+AU31+AV31+AW31+AX31+AY31+AZ31+BA31+BB31+BC31+BD31+BE31+BF31+BG31</f>
        <v>114.26</v>
      </c>
      <c r="W31" s="185"/>
      <c r="X31" s="185"/>
      <c r="Y31" s="185"/>
      <c r="Z31" s="185"/>
      <c r="AA31" s="185"/>
      <c r="AB31" s="185">
        <f>D31-BL31</f>
        <v>114.26</v>
      </c>
      <c r="AC31" s="185"/>
      <c r="AD31" s="185"/>
      <c r="AE31" s="185">
        <f t="shared" si="9"/>
        <v>0</v>
      </c>
      <c r="AF31" s="185"/>
      <c r="AG31" s="185"/>
      <c r="AH31" s="185"/>
      <c r="AI31" s="185"/>
      <c r="AJ31" s="185"/>
      <c r="AK31" s="185"/>
      <c r="AL31" s="185"/>
      <c r="AM31" s="185"/>
      <c r="AN31" s="185"/>
      <c r="AO31" s="185"/>
      <c r="AP31" s="185"/>
      <c r="AQ31" s="185"/>
      <c r="AR31" s="185"/>
      <c r="AS31" s="185"/>
      <c r="AT31" s="185"/>
      <c r="AU31" s="185"/>
      <c r="AV31" s="185"/>
      <c r="AW31" s="185"/>
      <c r="AX31" s="185"/>
      <c r="AY31" s="185"/>
      <c r="AZ31" s="185"/>
      <c r="BA31" s="185"/>
      <c r="BB31" s="185"/>
      <c r="BC31" s="185"/>
      <c r="BD31" s="185"/>
      <c r="BE31" s="185"/>
      <c r="BF31" s="185"/>
      <c r="BG31" s="185"/>
      <c r="BH31" s="185">
        <f>BI31+BJ31+BK31</f>
        <v>0</v>
      </c>
      <c r="BI31" s="185"/>
      <c r="BJ31" s="185"/>
      <c r="BK31" s="185"/>
      <c r="BL31" s="185">
        <f>E31+W31+X31+Y31+Z31+AA31+AC31+AD31+AE31+AQ31+AR31+AS31+AT31+AU31+AV31+AW31+AX31+AY31+AZ31+BA31+BB31+BC31+BD31+BE31+BF31+BG31+BH31</f>
        <v>0</v>
      </c>
      <c r="BM31" s="185">
        <f>AB68-BL31</f>
        <v>59.449999999999996</v>
      </c>
      <c r="BN31" s="185">
        <f t="shared" si="23"/>
        <v>173.71</v>
      </c>
      <c r="BP31" s="123"/>
    </row>
    <row r="32" spans="1:68" ht="20.100000000000001" customHeight="1">
      <c r="A32" s="19" t="s">
        <v>65</v>
      </c>
      <c r="B32" s="19" t="s">
        <v>66</v>
      </c>
      <c r="C32" s="30" t="s">
        <v>67</v>
      </c>
      <c r="D32" s="185">
        <f>#REF!</f>
        <v>13.05</v>
      </c>
      <c r="E32" s="185">
        <f t="shared" si="4"/>
        <v>0</v>
      </c>
      <c r="F32" s="185">
        <f t="shared" si="21"/>
        <v>0</v>
      </c>
      <c r="G32" s="185">
        <f t="shared" si="8"/>
        <v>0</v>
      </c>
      <c r="H32" s="185">
        <f t="shared" si="12"/>
        <v>0</v>
      </c>
      <c r="I32" s="185"/>
      <c r="J32" s="185"/>
      <c r="K32" s="185"/>
      <c r="L32" s="185"/>
      <c r="M32" s="185"/>
      <c r="N32" s="185"/>
      <c r="O32" s="185"/>
      <c r="P32" s="185"/>
      <c r="Q32" s="185"/>
      <c r="R32" s="185"/>
      <c r="S32" s="185"/>
      <c r="T32" s="185"/>
      <c r="U32" s="185"/>
      <c r="V32" s="185">
        <f t="shared" si="13"/>
        <v>13.05</v>
      </c>
      <c r="W32" s="185"/>
      <c r="X32" s="185"/>
      <c r="Y32" s="185">
        <v>0.95</v>
      </c>
      <c r="Z32" s="185"/>
      <c r="AA32" s="185"/>
      <c r="AB32" s="185"/>
      <c r="AC32" s="185">
        <f>D32-BL32</f>
        <v>12.100000000000001</v>
      </c>
      <c r="AD32" s="185"/>
      <c r="AE32" s="185">
        <f t="shared" si="9"/>
        <v>0</v>
      </c>
      <c r="AF32" s="185"/>
      <c r="AG32" s="185"/>
      <c r="AH32" s="185"/>
      <c r="AI32" s="185"/>
      <c r="AJ32" s="185"/>
      <c r="AK32" s="185"/>
      <c r="AL32" s="185"/>
      <c r="AM32" s="185"/>
      <c r="AN32" s="185"/>
      <c r="AO32" s="185"/>
      <c r="AP32" s="185"/>
      <c r="AQ32" s="185"/>
      <c r="AR32" s="185"/>
      <c r="AS32" s="185"/>
      <c r="AT32" s="185"/>
      <c r="AU32" s="185"/>
      <c r="AV32" s="185"/>
      <c r="AW32" s="185"/>
      <c r="AX32" s="185"/>
      <c r="AY32" s="185"/>
      <c r="AZ32" s="185"/>
      <c r="BA32" s="185"/>
      <c r="BB32" s="185"/>
      <c r="BC32" s="185"/>
      <c r="BD32" s="185"/>
      <c r="BE32" s="185"/>
      <c r="BF32" s="185"/>
      <c r="BG32" s="185"/>
      <c r="BH32" s="185">
        <f t="shared" si="22"/>
        <v>0</v>
      </c>
      <c r="BI32" s="185"/>
      <c r="BJ32" s="185"/>
      <c r="BK32" s="185"/>
      <c r="BL32" s="185">
        <f>E32+W32+X32+Y32+Z32+AA32+AB32+AD32+AE32+AQ32+AR32+AS32+AT32+AU32+AV32+AW32+AX32+AY32+AZ32+BA32+BB32+BC32+BD32+BE32+BF32+BG32+BH32</f>
        <v>0.95</v>
      </c>
      <c r="BM32" s="185">
        <f>AC68-BL32</f>
        <v>10.48</v>
      </c>
      <c r="BN32" s="185">
        <f t="shared" si="23"/>
        <v>23.53</v>
      </c>
      <c r="BP32" s="123"/>
    </row>
    <row r="33" spans="1:68" ht="20.100000000000001" customHeight="1">
      <c r="A33" s="19" t="s">
        <v>68</v>
      </c>
      <c r="B33" s="19" t="s">
        <v>69</v>
      </c>
      <c r="C33" s="30" t="s">
        <v>70</v>
      </c>
      <c r="D33" s="185"/>
      <c r="E33" s="185">
        <f t="shared" si="4"/>
        <v>0</v>
      </c>
      <c r="F33" s="185">
        <f t="shared" si="21"/>
        <v>0</v>
      </c>
      <c r="G33" s="185">
        <f t="shared" si="8"/>
        <v>0</v>
      </c>
      <c r="H33" s="185">
        <f t="shared" si="12"/>
        <v>0</v>
      </c>
      <c r="I33" s="185"/>
      <c r="J33" s="185"/>
      <c r="K33" s="185"/>
      <c r="L33" s="185"/>
      <c r="M33" s="185"/>
      <c r="N33" s="185"/>
      <c r="O33" s="185"/>
      <c r="P33" s="185"/>
      <c r="Q33" s="185"/>
      <c r="R33" s="185"/>
      <c r="S33" s="185"/>
      <c r="T33" s="185"/>
      <c r="U33" s="185"/>
      <c r="V33" s="185">
        <f t="shared" si="13"/>
        <v>0</v>
      </c>
      <c r="W33" s="185"/>
      <c r="X33" s="185"/>
      <c r="Y33" s="185"/>
      <c r="Z33" s="185"/>
      <c r="AA33" s="185"/>
      <c r="AB33" s="185"/>
      <c r="AC33" s="185"/>
      <c r="AD33" s="185">
        <f>D33-BL33</f>
        <v>0</v>
      </c>
      <c r="AE33" s="185">
        <f t="shared" si="9"/>
        <v>0</v>
      </c>
      <c r="AF33" s="185"/>
      <c r="AG33" s="185"/>
      <c r="AH33" s="185"/>
      <c r="AI33" s="185"/>
      <c r="AJ33" s="185"/>
      <c r="AK33" s="185"/>
      <c r="AL33" s="185"/>
      <c r="AM33" s="185"/>
      <c r="AN33" s="185"/>
      <c r="AO33" s="185"/>
      <c r="AP33" s="185"/>
      <c r="AQ33" s="185"/>
      <c r="AR33" s="185"/>
      <c r="AS33" s="185"/>
      <c r="AT33" s="185"/>
      <c r="AU33" s="185"/>
      <c r="AV33" s="185"/>
      <c r="AW33" s="185"/>
      <c r="AX33" s="185"/>
      <c r="AY33" s="185"/>
      <c r="AZ33" s="185"/>
      <c r="BA33" s="185"/>
      <c r="BB33" s="185"/>
      <c r="BC33" s="185"/>
      <c r="BD33" s="185"/>
      <c r="BE33" s="185"/>
      <c r="BF33" s="185"/>
      <c r="BG33" s="185"/>
      <c r="BH33" s="185">
        <f t="shared" si="22"/>
        <v>0</v>
      </c>
      <c r="BI33" s="185"/>
      <c r="BJ33" s="185"/>
      <c r="BK33" s="185"/>
      <c r="BL33" s="185">
        <f>E33+W33+X33+Y33+Z33+AA33+AB33+AC33+AE33+AQ33+AR33+AS33+AT33+AU33+AV33+AW33+AX33+AY33+AZ33+BA33+BB33+BC33+BD33+BE33+BF33+BG33+BH33</f>
        <v>0</v>
      </c>
      <c r="BM33" s="185">
        <f>AD68-BL33</f>
        <v>0</v>
      </c>
      <c r="BN33" s="185">
        <f t="shared" si="23"/>
        <v>0</v>
      </c>
      <c r="BP33" s="123"/>
    </row>
    <row r="34" spans="1:68" ht="40.5" customHeight="1">
      <c r="A34" s="19" t="s">
        <v>71</v>
      </c>
      <c r="B34" s="19" t="s">
        <v>135</v>
      </c>
      <c r="C34" s="30" t="s">
        <v>72</v>
      </c>
      <c r="D34" s="185">
        <f>SUM(D35:D45)</f>
        <v>245.72519999999997</v>
      </c>
      <c r="E34" s="185">
        <f>SUM(E35:E45)</f>
        <v>0</v>
      </c>
      <c r="F34" s="185">
        <f t="shared" ref="F34:U34" si="24">SUM(F35:F45)</f>
        <v>0</v>
      </c>
      <c r="G34" s="185">
        <f t="shared" si="24"/>
        <v>0</v>
      </c>
      <c r="H34" s="185">
        <f t="shared" si="24"/>
        <v>0</v>
      </c>
      <c r="I34" s="185">
        <f t="shared" si="24"/>
        <v>0</v>
      </c>
      <c r="J34" s="185">
        <f t="shared" si="24"/>
        <v>0</v>
      </c>
      <c r="K34" s="185">
        <f t="shared" si="24"/>
        <v>0</v>
      </c>
      <c r="L34" s="185">
        <f t="shared" si="24"/>
        <v>0</v>
      </c>
      <c r="M34" s="185">
        <f t="shared" si="24"/>
        <v>0</v>
      </c>
      <c r="N34" s="185">
        <f t="shared" si="24"/>
        <v>0</v>
      </c>
      <c r="O34" s="185">
        <f t="shared" si="24"/>
        <v>0</v>
      </c>
      <c r="P34" s="185">
        <f t="shared" si="24"/>
        <v>0</v>
      </c>
      <c r="Q34" s="185">
        <f t="shared" si="24"/>
        <v>0</v>
      </c>
      <c r="R34" s="185">
        <f t="shared" si="24"/>
        <v>0</v>
      </c>
      <c r="S34" s="185">
        <f t="shared" si="24"/>
        <v>0</v>
      </c>
      <c r="T34" s="185">
        <f t="shared" si="24"/>
        <v>0</v>
      </c>
      <c r="U34" s="185">
        <f t="shared" si="24"/>
        <v>0</v>
      </c>
      <c r="V34" s="185">
        <f>SUM(V35:V45)</f>
        <v>245.72519999999997</v>
      </c>
      <c r="W34" s="185">
        <f t="shared" ref="W34:AD34" si="25">SUM(W35:W45)</f>
        <v>0</v>
      </c>
      <c r="X34" s="185">
        <f t="shared" si="25"/>
        <v>0</v>
      </c>
      <c r="Y34" s="185">
        <f t="shared" si="25"/>
        <v>1.1600000000000001</v>
      </c>
      <c r="Z34" s="185">
        <f t="shared" si="25"/>
        <v>0</v>
      </c>
      <c r="AA34" s="185">
        <f t="shared" si="25"/>
        <v>0</v>
      </c>
      <c r="AB34" s="185">
        <f t="shared" si="25"/>
        <v>0.13</v>
      </c>
      <c r="AC34" s="185">
        <f t="shared" si="25"/>
        <v>0.95</v>
      </c>
      <c r="AD34" s="185">
        <f t="shared" si="25"/>
        <v>0</v>
      </c>
      <c r="AE34" s="185">
        <f>D34-BL34</f>
        <v>242.20519999999996</v>
      </c>
      <c r="AF34" s="185">
        <f>SUM(AF35:AF45)</f>
        <v>1.08</v>
      </c>
      <c r="AG34" s="185">
        <f t="shared" ref="AG34:BE34" si="26">SUM(AG35:AG45)</f>
        <v>0.18</v>
      </c>
      <c r="AH34" s="185">
        <f t="shared" si="26"/>
        <v>14.969999999999999</v>
      </c>
      <c r="AI34" s="185">
        <f t="shared" si="26"/>
        <v>0.54</v>
      </c>
      <c r="AJ34" s="185">
        <f t="shared" si="26"/>
        <v>0</v>
      </c>
      <c r="AK34" s="185">
        <f t="shared" si="26"/>
        <v>0</v>
      </c>
      <c r="AL34" s="185">
        <f t="shared" si="26"/>
        <v>156.0752</v>
      </c>
      <c r="AM34" s="185">
        <f t="shared" si="26"/>
        <v>69.05</v>
      </c>
      <c r="AN34" s="185">
        <f t="shared" si="26"/>
        <v>0</v>
      </c>
      <c r="AO34" s="185">
        <f t="shared" si="26"/>
        <v>0.03</v>
      </c>
      <c r="AP34" s="185">
        <f t="shared" si="26"/>
        <v>0.28000000000000003</v>
      </c>
      <c r="AQ34" s="185">
        <f t="shared" si="26"/>
        <v>0</v>
      </c>
      <c r="AR34" s="185">
        <f t="shared" si="26"/>
        <v>0</v>
      </c>
      <c r="AS34" s="185">
        <f t="shared" si="26"/>
        <v>0</v>
      </c>
      <c r="AT34" s="185">
        <f t="shared" si="26"/>
        <v>0</v>
      </c>
      <c r="AU34" s="185">
        <f t="shared" si="26"/>
        <v>0.8600000000000001</v>
      </c>
      <c r="AV34" s="185">
        <f t="shared" si="26"/>
        <v>0</v>
      </c>
      <c r="AW34" s="185">
        <f t="shared" si="26"/>
        <v>0</v>
      </c>
      <c r="AX34" s="185">
        <f t="shared" si="26"/>
        <v>0</v>
      </c>
      <c r="AY34" s="185">
        <f t="shared" si="26"/>
        <v>0.01</v>
      </c>
      <c r="AZ34" s="185">
        <f t="shared" si="26"/>
        <v>0</v>
      </c>
      <c r="BA34" s="185">
        <f t="shared" si="26"/>
        <v>0</v>
      </c>
      <c r="BB34" s="185">
        <f t="shared" si="26"/>
        <v>0</v>
      </c>
      <c r="BC34" s="185">
        <f t="shared" si="26"/>
        <v>0.41</v>
      </c>
      <c r="BD34" s="185">
        <f t="shared" si="26"/>
        <v>0</v>
      </c>
      <c r="BE34" s="185">
        <f t="shared" si="26"/>
        <v>0</v>
      </c>
      <c r="BF34" s="185">
        <f>SUM(BF35:BF45)</f>
        <v>0</v>
      </c>
      <c r="BG34" s="185">
        <f>SUM(BG35:BG45)</f>
        <v>0</v>
      </c>
      <c r="BH34" s="185">
        <f>BI34+BJ34+BK34</f>
        <v>0</v>
      </c>
      <c r="BI34" s="185">
        <f>SUM(BI35:BI45)</f>
        <v>0</v>
      </c>
      <c r="BJ34" s="185">
        <f>SUM(BJ35:BJ45)</f>
        <v>0</v>
      </c>
      <c r="BK34" s="185">
        <f>SUM(BK35:BK45)</f>
        <v>0</v>
      </c>
      <c r="BL34" s="185">
        <f>E34+W34+X34+Y34+Z34+AA34+AB34+AC34+AQ34+AR34+AS34+AT34+AU34+AV34+AW34+AX34+AY34+AZ34+BA34+BB34+BC34+BD34+BE34+BF34+BG34+BH34</f>
        <v>3.5200000000000005</v>
      </c>
      <c r="BM34" s="185">
        <f>AE68-BL34</f>
        <v>44.949999999999996</v>
      </c>
      <c r="BN34" s="185">
        <f>SUM(BN35:BN45)</f>
        <v>290.67519999999996</v>
      </c>
      <c r="BP34" s="123"/>
    </row>
    <row r="35" spans="1:68" ht="20.100000000000001" customHeight="1">
      <c r="A35" s="14" t="s">
        <v>224</v>
      </c>
      <c r="B35" s="14" t="s">
        <v>478</v>
      </c>
      <c r="C35" s="30" t="s">
        <v>202</v>
      </c>
      <c r="D35" s="185">
        <f>#REF!</f>
        <v>1.1200000000000001</v>
      </c>
      <c r="E35" s="185">
        <f t="shared" si="4"/>
        <v>0</v>
      </c>
      <c r="F35" s="185">
        <f t="shared" si="21"/>
        <v>0</v>
      </c>
      <c r="G35" s="185">
        <f t="shared" si="8"/>
        <v>0</v>
      </c>
      <c r="H35" s="185">
        <f t="shared" si="12"/>
        <v>0</v>
      </c>
      <c r="I35" s="185"/>
      <c r="J35" s="185"/>
      <c r="K35" s="185"/>
      <c r="L35" s="185"/>
      <c r="M35" s="185"/>
      <c r="N35" s="185"/>
      <c r="O35" s="185"/>
      <c r="P35" s="185"/>
      <c r="Q35" s="185"/>
      <c r="R35" s="185"/>
      <c r="S35" s="185"/>
      <c r="T35" s="185"/>
      <c r="U35" s="185"/>
      <c r="V35" s="185">
        <f t="shared" si="13"/>
        <v>1.1200000000000001</v>
      </c>
      <c r="W35" s="185"/>
      <c r="X35" s="185"/>
      <c r="Y35" s="185"/>
      <c r="Z35" s="185"/>
      <c r="AA35" s="185"/>
      <c r="AB35" s="185"/>
      <c r="AC35" s="185"/>
      <c r="AD35" s="185"/>
      <c r="AE35" s="185">
        <f>SUM(AF35:AP35)</f>
        <v>1.1200000000000001</v>
      </c>
      <c r="AF35" s="185">
        <f>D35-BL35</f>
        <v>1.08</v>
      </c>
      <c r="AG35" s="185"/>
      <c r="AH35" s="185">
        <v>0.04</v>
      </c>
      <c r="AI35" s="185"/>
      <c r="AJ35" s="185"/>
      <c r="AK35" s="185"/>
      <c r="AL35" s="185"/>
      <c r="AM35" s="185"/>
      <c r="AN35" s="185"/>
      <c r="AO35" s="185"/>
      <c r="AP35" s="185"/>
      <c r="AQ35" s="185"/>
      <c r="AR35" s="185"/>
      <c r="AS35" s="185"/>
      <c r="AT35" s="185"/>
      <c r="AU35" s="185"/>
      <c r="AV35" s="185"/>
      <c r="AW35" s="185"/>
      <c r="AX35" s="185"/>
      <c r="AY35" s="185"/>
      <c r="AZ35" s="185"/>
      <c r="BA35" s="185"/>
      <c r="BB35" s="185"/>
      <c r="BC35" s="185"/>
      <c r="BD35" s="185"/>
      <c r="BE35" s="185"/>
      <c r="BF35" s="185"/>
      <c r="BG35" s="185"/>
      <c r="BH35" s="185">
        <f t="shared" si="22"/>
        <v>0</v>
      </c>
      <c r="BI35" s="185"/>
      <c r="BJ35" s="185"/>
      <c r="BK35" s="185"/>
      <c r="BL35" s="185">
        <f>E35+W35+X35+Y35+Z35+AA35+AB35+AC35+AD35+AG35+AH35+AI35+AJ35+AK35+AL35+AM35+AN35+AO35+AP35+AQ35+AR35+AS35+AT35+AU35+AV35+AW35+AX35+AY35+AZ35+BA35+BB35+BC35+BD35</f>
        <v>0.04</v>
      </c>
      <c r="BM35" s="185">
        <f>AF68-BL35</f>
        <v>0.27000000000000007</v>
      </c>
      <c r="BN35" s="185">
        <f>D35+BM35</f>
        <v>1.3900000000000001</v>
      </c>
      <c r="BP35" s="123"/>
    </row>
    <row r="36" spans="1:68" ht="20.100000000000001" customHeight="1">
      <c r="A36" s="14" t="s">
        <v>225</v>
      </c>
      <c r="B36" s="14" t="s">
        <v>479</v>
      </c>
      <c r="C36" s="30" t="s">
        <v>203</v>
      </c>
      <c r="D36" s="185">
        <f>#REF!</f>
        <v>0.18</v>
      </c>
      <c r="E36" s="185">
        <f t="shared" si="4"/>
        <v>0</v>
      </c>
      <c r="F36" s="185">
        <f t="shared" si="21"/>
        <v>0</v>
      </c>
      <c r="G36" s="185">
        <f t="shared" si="8"/>
        <v>0</v>
      </c>
      <c r="H36" s="185">
        <f t="shared" si="12"/>
        <v>0</v>
      </c>
      <c r="I36" s="185"/>
      <c r="J36" s="185"/>
      <c r="K36" s="185"/>
      <c r="L36" s="185"/>
      <c r="M36" s="185"/>
      <c r="N36" s="185"/>
      <c r="O36" s="185"/>
      <c r="P36" s="185"/>
      <c r="Q36" s="185"/>
      <c r="R36" s="185"/>
      <c r="S36" s="185"/>
      <c r="T36" s="185"/>
      <c r="U36" s="185"/>
      <c r="V36" s="185">
        <f t="shared" si="13"/>
        <v>0.18</v>
      </c>
      <c r="W36" s="185"/>
      <c r="X36" s="185"/>
      <c r="Y36" s="185"/>
      <c r="Z36" s="185"/>
      <c r="AA36" s="185"/>
      <c r="AB36" s="185"/>
      <c r="AC36" s="185"/>
      <c r="AD36" s="185"/>
      <c r="AE36" s="185">
        <f t="shared" ref="AE36:AE66" si="27">SUM(AF36:AP36)</f>
        <v>0.18</v>
      </c>
      <c r="AF36" s="185"/>
      <c r="AG36" s="185">
        <f>D36-BL36</f>
        <v>0.18</v>
      </c>
      <c r="AH36" s="185"/>
      <c r="AI36" s="185"/>
      <c r="AJ36" s="185"/>
      <c r="AK36" s="185"/>
      <c r="AL36" s="185"/>
      <c r="AM36" s="185"/>
      <c r="AN36" s="185"/>
      <c r="AO36" s="185"/>
      <c r="AP36" s="185"/>
      <c r="AQ36" s="185"/>
      <c r="AR36" s="185"/>
      <c r="AS36" s="185"/>
      <c r="AT36" s="185"/>
      <c r="AU36" s="185"/>
      <c r="AV36" s="185"/>
      <c r="AW36" s="185"/>
      <c r="AX36" s="185"/>
      <c r="AY36" s="185"/>
      <c r="AZ36" s="185"/>
      <c r="BA36" s="185"/>
      <c r="BB36" s="185"/>
      <c r="BC36" s="185"/>
      <c r="BD36" s="185"/>
      <c r="BE36" s="185"/>
      <c r="BF36" s="185"/>
      <c r="BG36" s="185"/>
      <c r="BH36" s="185">
        <f t="shared" si="22"/>
        <v>0</v>
      </c>
      <c r="BI36" s="185"/>
      <c r="BJ36" s="185"/>
      <c r="BK36" s="185"/>
      <c r="BL36" s="185">
        <f>E36+W36+X36+Y36+Z36+AA36+AB36+AC36+AD36+AF36+AH36+AI36+AJ36+AK36+AL36+AM36+AN36+AO36+AP36+AQ36+AR36+AS36+AT36+AU36+AV36+AW36+AX36+AY36+AZ36+BA36+BB36+BC36+BD36+BE36+BF36+BG36+BH36</f>
        <v>0</v>
      </c>
      <c r="BM36" s="185">
        <f>AG68-BL36</f>
        <v>0</v>
      </c>
      <c r="BN36" s="185">
        <f t="shared" ref="BN36:BN45" si="28">D36+BM36</f>
        <v>0.18</v>
      </c>
      <c r="BP36" s="123"/>
    </row>
    <row r="37" spans="1:68" ht="20.100000000000001" customHeight="1">
      <c r="A37" s="14" t="s">
        <v>226</v>
      </c>
      <c r="B37" s="14" t="s">
        <v>480</v>
      </c>
      <c r="C37" s="30" t="s">
        <v>204</v>
      </c>
      <c r="D37" s="185">
        <f>#REF!</f>
        <v>14.77</v>
      </c>
      <c r="E37" s="185">
        <f t="shared" si="4"/>
        <v>0</v>
      </c>
      <c r="F37" s="185">
        <f t="shared" si="21"/>
        <v>0</v>
      </c>
      <c r="G37" s="185">
        <f t="shared" si="8"/>
        <v>0</v>
      </c>
      <c r="H37" s="185">
        <f t="shared" si="12"/>
        <v>0</v>
      </c>
      <c r="I37" s="185"/>
      <c r="J37" s="185"/>
      <c r="K37" s="185"/>
      <c r="L37" s="185"/>
      <c r="M37" s="185"/>
      <c r="N37" s="185"/>
      <c r="O37" s="185"/>
      <c r="P37" s="185"/>
      <c r="Q37" s="185"/>
      <c r="R37" s="185"/>
      <c r="S37" s="185"/>
      <c r="T37" s="185"/>
      <c r="U37" s="185"/>
      <c r="V37" s="185">
        <f t="shared" si="13"/>
        <v>14.77</v>
      </c>
      <c r="W37" s="185"/>
      <c r="X37" s="185"/>
      <c r="Y37" s="185"/>
      <c r="Z37" s="185"/>
      <c r="AA37" s="185"/>
      <c r="AB37" s="185"/>
      <c r="AC37" s="185"/>
      <c r="AD37" s="185"/>
      <c r="AE37" s="185">
        <f t="shared" si="27"/>
        <v>14.719999999999999</v>
      </c>
      <c r="AF37" s="185"/>
      <c r="AG37" s="185"/>
      <c r="AH37" s="185">
        <f>D37-BL37</f>
        <v>14.719999999999999</v>
      </c>
      <c r="AI37" s="185"/>
      <c r="AJ37" s="185"/>
      <c r="AK37" s="185"/>
      <c r="AL37" s="185"/>
      <c r="AM37" s="185"/>
      <c r="AN37" s="185"/>
      <c r="AO37" s="185"/>
      <c r="AP37" s="185"/>
      <c r="AQ37" s="185"/>
      <c r="AR37" s="185"/>
      <c r="AS37" s="185"/>
      <c r="AT37" s="185"/>
      <c r="AU37" s="185">
        <v>0.05</v>
      </c>
      <c r="AV37" s="185"/>
      <c r="AW37" s="185"/>
      <c r="AX37" s="185"/>
      <c r="AY37" s="185"/>
      <c r="AZ37" s="185"/>
      <c r="BA37" s="185"/>
      <c r="BB37" s="185"/>
      <c r="BC37" s="185"/>
      <c r="BD37" s="185"/>
      <c r="BE37" s="185"/>
      <c r="BF37" s="185"/>
      <c r="BG37" s="185"/>
      <c r="BH37" s="185">
        <f t="shared" si="22"/>
        <v>0</v>
      </c>
      <c r="BI37" s="185"/>
      <c r="BJ37" s="185"/>
      <c r="BK37" s="185"/>
      <c r="BL37" s="185">
        <f>E37+W37+X37+Y37+Z37+AA37+AB37+AC37+AD37+AF37+AG37+AI37+AJ37+AK37+AL37+AM37+AN37+AO37+AP37+AQ37+AR37+AS37+AT37+AU37+AV37+AW37+AX37+AY37+AZ37+BA37+BB37+BC37+BD37+BE37+BF37+BG37+BH37</f>
        <v>0.05</v>
      </c>
      <c r="BM37" s="185">
        <f>AH68-BL37</f>
        <v>4.6399999999999997</v>
      </c>
      <c r="BN37" s="185">
        <f t="shared" si="28"/>
        <v>19.41</v>
      </c>
      <c r="BP37" s="123"/>
    </row>
    <row r="38" spans="1:68" ht="20.100000000000001" customHeight="1">
      <c r="A38" s="14" t="s">
        <v>227</v>
      </c>
      <c r="B38" s="14" t="s">
        <v>481</v>
      </c>
      <c r="C38" s="30" t="s">
        <v>205</v>
      </c>
      <c r="D38" s="185">
        <f>#REF!</f>
        <v>0.54</v>
      </c>
      <c r="E38" s="185">
        <f t="shared" si="4"/>
        <v>0</v>
      </c>
      <c r="F38" s="185">
        <f t="shared" si="21"/>
        <v>0</v>
      </c>
      <c r="G38" s="185">
        <f t="shared" si="8"/>
        <v>0</v>
      </c>
      <c r="H38" s="185">
        <f t="shared" si="12"/>
        <v>0</v>
      </c>
      <c r="I38" s="185"/>
      <c r="J38" s="185"/>
      <c r="K38" s="185"/>
      <c r="L38" s="185"/>
      <c r="M38" s="185"/>
      <c r="N38" s="185"/>
      <c r="O38" s="185"/>
      <c r="P38" s="185"/>
      <c r="Q38" s="185"/>
      <c r="R38" s="185"/>
      <c r="S38" s="185"/>
      <c r="T38" s="185"/>
      <c r="U38" s="185"/>
      <c r="V38" s="185">
        <f t="shared" si="13"/>
        <v>0.54</v>
      </c>
      <c r="W38" s="185"/>
      <c r="X38" s="185"/>
      <c r="Y38" s="185"/>
      <c r="Z38" s="185"/>
      <c r="AA38" s="185"/>
      <c r="AB38" s="185"/>
      <c r="AC38" s="185"/>
      <c r="AD38" s="185"/>
      <c r="AE38" s="185">
        <f t="shared" si="27"/>
        <v>0.54</v>
      </c>
      <c r="AF38" s="185"/>
      <c r="AG38" s="185"/>
      <c r="AH38" s="185"/>
      <c r="AI38" s="185">
        <f>D38-BL38</f>
        <v>0.54</v>
      </c>
      <c r="AJ38" s="185"/>
      <c r="AK38" s="185"/>
      <c r="AL38" s="185"/>
      <c r="AM38" s="185"/>
      <c r="AN38" s="185"/>
      <c r="AO38" s="185"/>
      <c r="AP38" s="185"/>
      <c r="AQ38" s="185"/>
      <c r="AR38" s="185"/>
      <c r="AS38" s="185"/>
      <c r="AT38" s="185"/>
      <c r="AU38" s="185"/>
      <c r="AV38" s="185"/>
      <c r="AW38" s="185"/>
      <c r="AX38" s="185"/>
      <c r="AY38" s="185"/>
      <c r="AZ38" s="185"/>
      <c r="BA38" s="185"/>
      <c r="BB38" s="185"/>
      <c r="BC38" s="185"/>
      <c r="BD38" s="185"/>
      <c r="BE38" s="185"/>
      <c r="BF38" s="185"/>
      <c r="BG38" s="185"/>
      <c r="BH38" s="185">
        <f t="shared" si="22"/>
        <v>0</v>
      </c>
      <c r="BI38" s="185"/>
      <c r="BJ38" s="185"/>
      <c r="BK38" s="185"/>
      <c r="BL38" s="185">
        <f>E38+W38+X38+Y38+Z38+AA38+AB38+AC38+AD38+AF38+AG38+AH38+AJ38+AK38+AL38+AM38+AN38+AO38+AP38+AQ38+AR38+AS38+AT38+AU38+AV38+AW38+AX38+AY38+AZ38+BA38+BB38+BC38+BD38+BE38+BF38+BG38+BH38</f>
        <v>0</v>
      </c>
      <c r="BM38" s="185">
        <f>AI68-BL38</f>
        <v>0</v>
      </c>
      <c r="BN38" s="185">
        <f t="shared" si="28"/>
        <v>0.54</v>
      </c>
      <c r="BP38" s="123"/>
    </row>
    <row r="39" spans="1:68" ht="20.100000000000001" customHeight="1">
      <c r="A39" s="14" t="s">
        <v>228</v>
      </c>
      <c r="B39" s="14" t="s">
        <v>482</v>
      </c>
      <c r="C39" s="30" t="s">
        <v>206</v>
      </c>
      <c r="D39" s="185"/>
      <c r="E39" s="185">
        <f t="shared" si="4"/>
        <v>0</v>
      </c>
      <c r="F39" s="185">
        <f t="shared" si="21"/>
        <v>0</v>
      </c>
      <c r="G39" s="185">
        <f t="shared" si="8"/>
        <v>0</v>
      </c>
      <c r="H39" s="185">
        <f t="shared" si="12"/>
        <v>0</v>
      </c>
      <c r="I39" s="185"/>
      <c r="J39" s="185"/>
      <c r="K39" s="185"/>
      <c r="L39" s="185"/>
      <c r="M39" s="185"/>
      <c r="N39" s="185"/>
      <c r="O39" s="185"/>
      <c r="P39" s="185"/>
      <c r="Q39" s="185"/>
      <c r="R39" s="185"/>
      <c r="S39" s="185"/>
      <c r="T39" s="185"/>
      <c r="U39" s="185"/>
      <c r="V39" s="185">
        <f t="shared" si="13"/>
        <v>0</v>
      </c>
      <c r="W39" s="185"/>
      <c r="X39" s="185"/>
      <c r="Y39" s="185"/>
      <c r="Z39" s="185"/>
      <c r="AA39" s="185"/>
      <c r="AB39" s="185"/>
      <c r="AC39" s="185"/>
      <c r="AD39" s="185"/>
      <c r="AE39" s="185">
        <f t="shared" si="27"/>
        <v>0</v>
      </c>
      <c r="AF39" s="185"/>
      <c r="AG39" s="185"/>
      <c r="AH39" s="185"/>
      <c r="AI39" s="185"/>
      <c r="AJ39" s="185">
        <f>D39-BL39</f>
        <v>0</v>
      </c>
      <c r="AK39" s="185"/>
      <c r="AL39" s="185"/>
      <c r="AM39" s="185"/>
      <c r="AN39" s="185"/>
      <c r="AO39" s="185"/>
      <c r="AP39" s="185"/>
      <c r="AQ39" s="185"/>
      <c r="AR39" s="185"/>
      <c r="AS39" s="185"/>
      <c r="AT39" s="185"/>
      <c r="AU39" s="185"/>
      <c r="AV39" s="185"/>
      <c r="AW39" s="185"/>
      <c r="AX39" s="185"/>
      <c r="AY39" s="185"/>
      <c r="AZ39" s="185"/>
      <c r="BA39" s="185"/>
      <c r="BB39" s="185"/>
      <c r="BC39" s="185"/>
      <c r="BD39" s="185"/>
      <c r="BE39" s="185"/>
      <c r="BF39" s="185"/>
      <c r="BG39" s="185"/>
      <c r="BH39" s="185">
        <f t="shared" si="22"/>
        <v>0</v>
      </c>
      <c r="BI39" s="185"/>
      <c r="BJ39" s="185"/>
      <c r="BK39" s="185"/>
      <c r="BL39" s="185">
        <f>E39+W39+X39+Y39+Z39+AA39+AB39+AC39+AD39+AQ39+AR39+AS39+AT39+AU39+AV39+AW39+AX39+AY39+AZ39+BA39+BB39+BC39+BD39+BE39+BF39+BG39+BH39+AF39+AG39+AH39+AI39+AK39+AL39+AM39+AN39+AO39+AP39</f>
        <v>0</v>
      </c>
      <c r="BM39" s="185">
        <f>AJ68-BL39</f>
        <v>0</v>
      </c>
      <c r="BN39" s="185">
        <f t="shared" si="28"/>
        <v>0</v>
      </c>
      <c r="BP39" s="123"/>
    </row>
    <row r="40" spans="1:68" ht="20.100000000000001" customHeight="1">
      <c r="A40" s="14" t="s">
        <v>229</v>
      </c>
      <c r="B40" s="14" t="s">
        <v>483</v>
      </c>
      <c r="C40" s="30" t="s">
        <v>207</v>
      </c>
      <c r="D40" s="185"/>
      <c r="E40" s="185">
        <f t="shared" si="4"/>
        <v>0</v>
      </c>
      <c r="F40" s="185">
        <f t="shared" si="21"/>
        <v>0</v>
      </c>
      <c r="G40" s="185">
        <f t="shared" si="8"/>
        <v>0</v>
      </c>
      <c r="H40" s="185">
        <f t="shared" si="12"/>
        <v>0</v>
      </c>
      <c r="I40" s="185"/>
      <c r="J40" s="185"/>
      <c r="K40" s="185"/>
      <c r="L40" s="185"/>
      <c r="M40" s="185"/>
      <c r="N40" s="185"/>
      <c r="O40" s="185"/>
      <c r="P40" s="185"/>
      <c r="Q40" s="185"/>
      <c r="R40" s="185"/>
      <c r="S40" s="185"/>
      <c r="T40" s="185"/>
      <c r="U40" s="185"/>
      <c r="V40" s="185">
        <f t="shared" si="13"/>
        <v>0</v>
      </c>
      <c r="W40" s="185"/>
      <c r="X40" s="185"/>
      <c r="Y40" s="185"/>
      <c r="Z40" s="185"/>
      <c r="AA40" s="185"/>
      <c r="AB40" s="185"/>
      <c r="AC40" s="185"/>
      <c r="AD40" s="185"/>
      <c r="AE40" s="185">
        <f t="shared" si="27"/>
        <v>0</v>
      </c>
      <c r="AF40" s="185"/>
      <c r="AG40" s="185"/>
      <c r="AH40" s="185"/>
      <c r="AI40" s="185"/>
      <c r="AJ40" s="185"/>
      <c r="AK40" s="185">
        <f>D40-BL40</f>
        <v>0</v>
      </c>
      <c r="AL40" s="185"/>
      <c r="AM40" s="185"/>
      <c r="AN40" s="185"/>
      <c r="AO40" s="185"/>
      <c r="AP40" s="185"/>
      <c r="AQ40" s="185"/>
      <c r="AR40" s="185"/>
      <c r="AS40" s="185"/>
      <c r="AT40" s="185"/>
      <c r="AU40" s="185"/>
      <c r="AV40" s="185"/>
      <c r="AW40" s="185"/>
      <c r="AX40" s="185"/>
      <c r="AY40" s="185"/>
      <c r="AZ40" s="185"/>
      <c r="BA40" s="185"/>
      <c r="BB40" s="185"/>
      <c r="BC40" s="185"/>
      <c r="BD40" s="185"/>
      <c r="BE40" s="185"/>
      <c r="BF40" s="185"/>
      <c r="BG40" s="185"/>
      <c r="BH40" s="185">
        <f t="shared" si="22"/>
        <v>0</v>
      </c>
      <c r="BI40" s="185"/>
      <c r="BJ40" s="185"/>
      <c r="BK40" s="185"/>
      <c r="BL40" s="185">
        <f>E40+W40+X40+Y40+Z40+AA40+AB40+AC40+AD40+AF40+AG40+AH40+AI40+AJ40+AL40+AM40+AN40+AO40+AP40+AQ40+AR40+AS40+AT40+AU40+AV40+AW40+AX40+AY40+AZ40+BA40+BB40+BC40+BD40+BE40+BF40+BG40+BH40</f>
        <v>0</v>
      </c>
      <c r="BM40" s="185">
        <f>AK68-BL40</f>
        <v>0</v>
      </c>
      <c r="BN40" s="185">
        <f t="shared" si="28"/>
        <v>0</v>
      </c>
      <c r="BP40" s="123"/>
    </row>
    <row r="41" spans="1:68" ht="20.100000000000001" customHeight="1">
      <c r="A41" s="14" t="s">
        <v>230</v>
      </c>
      <c r="B41" s="14" t="s">
        <v>484</v>
      </c>
      <c r="C41" s="30" t="s">
        <v>199</v>
      </c>
      <c r="D41" s="185">
        <f>#REF!</f>
        <v>157.30519999999999</v>
      </c>
      <c r="E41" s="185">
        <f t="shared" si="4"/>
        <v>0</v>
      </c>
      <c r="F41" s="185">
        <f t="shared" si="21"/>
        <v>0</v>
      </c>
      <c r="G41" s="185">
        <f t="shared" si="8"/>
        <v>0</v>
      </c>
      <c r="H41" s="185">
        <f t="shared" si="12"/>
        <v>0</v>
      </c>
      <c r="I41" s="185"/>
      <c r="J41" s="185"/>
      <c r="K41" s="185"/>
      <c r="L41" s="185"/>
      <c r="M41" s="185"/>
      <c r="N41" s="185"/>
      <c r="O41" s="185"/>
      <c r="P41" s="185"/>
      <c r="Q41" s="185"/>
      <c r="R41" s="185"/>
      <c r="S41" s="185"/>
      <c r="T41" s="185"/>
      <c r="U41" s="185"/>
      <c r="V41" s="185">
        <f t="shared" si="13"/>
        <v>157.30519999999999</v>
      </c>
      <c r="W41" s="185"/>
      <c r="X41" s="185"/>
      <c r="Y41" s="185">
        <v>0.27</v>
      </c>
      <c r="Z41" s="185"/>
      <c r="AA41" s="185"/>
      <c r="AB41" s="185">
        <v>0.12</v>
      </c>
      <c r="AC41" s="185"/>
      <c r="AD41" s="185"/>
      <c r="AE41" s="185">
        <f t="shared" si="27"/>
        <v>155.6952</v>
      </c>
      <c r="AF41" s="185"/>
      <c r="AG41" s="185"/>
      <c r="AH41" s="185">
        <v>0.21</v>
      </c>
      <c r="AI41" s="185"/>
      <c r="AJ41" s="185"/>
      <c r="AK41" s="185"/>
      <c r="AL41" s="185">
        <f>D41-BL41</f>
        <v>155.48519999999999</v>
      </c>
      <c r="AM41" s="185"/>
      <c r="AN41" s="185"/>
      <c r="AO41" s="185"/>
      <c r="AP41" s="185"/>
      <c r="AQ41" s="185"/>
      <c r="AR41" s="185"/>
      <c r="AS41" s="185"/>
      <c r="AT41" s="185"/>
      <c r="AU41" s="185">
        <v>0.8</v>
      </c>
      <c r="AV41" s="185"/>
      <c r="AW41" s="185"/>
      <c r="AX41" s="185"/>
      <c r="AY41" s="185">
        <v>0.01</v>
      </c>
      <c r="AZ41" s="185"/>
      <c r="BA41" s="185"/>
      <c r="BB41" s="185"/>
      <c r="BC41" s="185">
        <v>0.41</v>
      </c>
      <c r="BD41" s="185"/>
      <c r="BE41" s="185"/>
      <c r="BF41" s="185"/>
      <c r="BG41" s="185"/>
      <c r="BH41" s="185">
        <f t="shared" si="22"/>
        <v>0</v>
      </c>
      <c r="BI41" s="185"/>
      <c r="BJ41" s="185"/>
      <c r="BK41" s="185"/>
      <c r="BL41" s="185">
        <f>E41+W41+X41+Y41+Z41+AA41+AB41+AC41+AD41+AF41+AG41+AH41+AI41+AJ41+AK41+AM41+AN41+AO41+AP41+AQ41+AR41+AS41+AT41+AU41+AV41+AW41+AX41+AY41+AZ41+BA41+BB41+BC41+BD41+BE41+BF41+BG41+BH41</f>
        <v>1.8199999999999998</v>
      </c>
      <c r="BM41" s="185">
        <f>AL68-BL41</f>
        <v>42.49</v>
      </c>
      <c r="BN41" s="185">
        <f t="shared" si="28"/>
        <v>199.79519999999999</v>
      </c>
      <c r="BP41" s="123"/>
    </row>
    <row r="42" spans="1:68" ht="20.100000000000001" customHeight="1">
      <c r="A42" s="14" t="s">
        <v>231</v>
      </c>
      <c r="B42" s="14" t="s">
        <v>485</v>
      </c>
      <c r="C42" s="30" t="s">
        <v>200</v>
      </c>
      <c r="D42" s="740">
        <v>71.5</v>
      </c>
      <c r="E42" s="185">
        <f t="shared" si="4"/>
        <v>0</v>
      </c>
      <c r="F42" s="185">
        <f t="shared" si="21"/>
        <v>0</v>
      </c>
      <c r="G42" s="185">
        <f t="shared" si="8"/>
        <v>0</v>
      </c>
      <c r="H42" s="185">
        <f t="shared" si="12"/>
        <v>0</v>
      </c>
      <c r="I42" s="185"/>
      <c r="J42" s="185"/>
      <c r="K42" s="185"/>
      <c r="L42" s="185"/>
      <c r="M42" s="185"/>
      <c r="N42" s="185"/>
      <c r="O42" s="185"/>
      <c r="P42" s="185"/>
      <c r="Q42" s="185"/>
      <c r="R42" s="185"/>
      <c r="S42" s="185"/>
      <c r="T42" s="185"/>
      <c r="U42" s="185"/>
      <c r="V42" s="185">
        <f t="shared" si="13"/>
        <v>71.5</v>
      </c>
      <c r="W42" s="185"/>
      <c r="X42" s="185"/>
      <c r="Y42" s="185">
        <v>0.89</v>
      </c>
      <c r="Z42" s="185"/>
      <c r="AA42" s="185"/>
      <c r="AB42" s="185">
        <v>0.01</v>
      </c>
      <c r="AC42" s="185">
        <v>0.95</v>
      </c>
      <c r="AD42" s="185"/>
      <c r="AE42" s="185">
        <f t="shared" si="27"/>
        <v>69.64</v>
      </c>
      <c r="AF42" s="185"/>
      <c r="AG42" s="185"/>
      <c r="AH42" s="185"/>
      <c r="AI42" s="185"/>
      <c r="AJ42" s="185"/>
      <c r="AK42" s="185"/>
      <c r="AL42" s="185">
        <v>0.59</v>
      </c>
      <c r="AM42" s="185">
        <f>D42-BL42</f>
        <v>69.05</v>
      </c>
      <c r="AN42" s="185"/>
      <c r="AO42" s="185"/>
      <c r="AP42" s="185"/>
      <c r="AQ42" s="185"/>
      <c r="AR42" s="185"/>
      <c r="AS42" s="185"/>
      <c r="AT42" s="185"/>
      <c r="AU42" s="185">
        <v>0.01</v>
      </c>
      <c r="AV42" s="185"/>
      <c r="AW42" s="185"/>
      <c r="AX42" s="185"/>
      <c r="AY42" s="185"/>
      <c r="AZ42" s="185"/>
      <c r="BA42" s="185"/>
      <c r="BB42" s="185"/>
      <c r="BC42" s="185"/>
      <c r="BD42" s="185"/>
      <c r="BE42" s="185"/>
      <c r="BF42" s="185"/>
      <c r="BG42" s="185"/>
      <c r="BH42" s="185">
        <f t="shared" si="22"/>
        <v>0</v>
      </c>
      <c r="BI42" s="185"/>
      <c r="BJ42" s="185"/>
      <c r="BK42" s="185"/>
      <c r="BL42" s="185">
        <f>E42+W42+X42+Y42+Z42+AA42+AB42+AC42+AD42+AF42+AG42+AH42+AI42+AJ42+AK42+AL42+AN42+AO42+AP42+AQ42+AR42+AS42+AT42+AU42+AV42+AW42+AX42+AY42+AZ42+BA42+BB42+BC42+BD42+BE42+BF42+BG42+BH42</f>
        <v>2.4499999999999997</v>
      </c>
      <c r="BM42" s="185">
        <f>AM68-BL42</f>
        <v>-2.4499999999999997</v>
      </c>
      <c r="BN42" s="185">
        <f t="shared" si="28"/>
        <v>69.05</v>
      </c>
      <c r="BP42" s="123"/>
    </row>
    <row r="43" spans="1:68" ht="20.100000000000001" customHeight="1">
      <c r="A43" s="14" t="s">
        <v>232</v>
      </c>
      <c r="B43" s="14" t="s">
        <v>486</v>
      </c>
      <c r="C43" s="30" t="s">
        <v>223</v>
      </c>
      <c r="D43" s="185"/>
      <c r="E43" s="185">
        <f t="shared" si="4"/>
        <v>0</v>
      </c>
      <c r="F43" s="185">
        <f t="shared" si="21"/>
        <v>0</v>
      </c>
      <c r="G43" s="185">
        <f t="shared" si="8"/>
        <v>0</v>
      </c>
      <c r="H43" s="185">
        <f t="shared" si="12"/>
        <v>0</v>
      </c>
      <c r="I43" s="185"/>
      <c r="J43" s="185"/>
      <c r="K43" s="185"/>
      <c r="L43" s="185"/>
      <c r="M43" s="185"/>
      <c r="N43" s="185"/>
      <c r="O43" s="185"/>
      <c r="P43" s="185"/>
      <c r="Q43" s="185"/>
      <c r="R43" s="185"/>
      <c r="S43" s="185"/>
      <c r="T43" s="185"/>
      <c r="U43" s="185"/>
      <c r="V43" s="185">
        <f t="shared" si="13"/>
        <v>0</v>
      </c>
      <c r="W43" s="185"/>
      <c r="X43" s="185"/>
      <c r="Y43" s="185"/>
      <c r="Z43" s="185"/>
      <c r="AA43" s="185"/>
      <c r="AB43" s="185"/>
      <c r="AC43" s="185"/>
      <c r="AD43" s="185"/>
      <c r="AE43" s="185">
        <f t="shared" si="27"/>
        <v>0</v>
      </c>
      <c r="AF43" s="185"/>
      <c r="AG43" s="185"/>
      <c r="AH43" s="185"/>
      <c r="AI43" s="185"/>
      <c r="AJ43" s="185"/>
      <c r="AK43" s="185"/>
      <c r="AL43" s="185"/>
      <c r="AM43" s="185"/>
      <c r="AN43" s="185">
        <f>D43-BL43</f>
        <v>0</v>
      </c>
      <c r="AO43" s="185"/>
      <c r="AP43" s="185"/>
      <c r="AQ43" s="185"/>
      <c r="AR43" s="185"/>
      <c r="AS43" s="185"/>
      <c r="AT43" s="185"/>
      <c r="AU43" s="185"/>
      <c r="AV43" s="185"/>
      <c r="AW43" s="185"/>
      <c r="AX43" s="185"/>
      <c r="AY43" s="185"/>
      <c r="AZ43" s="185"/>
      <c r="BA43" s="185"/>
      <c r="BB43" s="185"/>
      <c r="BC43" s="185"/>
      <c r="BD43" s="185"/>
      <c r="BE43" s="185"/>
      <c r="BF43" s="185"/>
      <c r="BG43" s="185"/>
      <c r="BH43" s="185">
        <f t="shared" si="22"/>
        <v>0</v>
      </c>
      <c r="BI43" s="185"/>
      <c r="BJ43" s="185"/>
      <c r="BK43" s="185"/>
      <c r="BL43" s="185">
        <f>E43+W43+X43+Y43+Z43+AA43+AB43+AC43+AD43+AF43+AG43+AH43+AI43+AJ43+AK43+AL43+AM43+AO43+AP43+AQ43+AR43+AS43+AT43+AU43+AV43+AW43+AX43+AY43+AZ43+BA43+BB43+BC43+BD43+BE43+BF43+BG43+BH43</f>
        <v>0</v>
      </c>
      <c r="BM43" s="185">
        <f>AN68-BL43</f>
        <v>0</v>
      </c>
      <c r="BN43" s="185">
        <f t="shared" si="28"/>
        <v>0</v>
      </c>
      <c r="BP43" s="123"/>
    </row>
    <row r="44" spans="1:68" ht="20.100000000000001" customHeight="1">
      <c r="A44" s="14" t="s">
        <v>233</v>
      </c>
      <c r="B44" s="14" t="s">
        <v>487</v>
      </c>
      <c r="C44" s="30" t="s">
        <v>201</v>
      </c>
      <c r="D44" s="185">
        <f>#REF!</f>
        <v>0.03</v>
      </c>
      <c r="E44" s="185">
        <f t="shared" si="4"/>
        <v>0</v>
      </c>
      <c r="F44" s="185">
        <f t="shared" si="21"/>
        <v>0</v>
      </c>
      <c r="G44" s="185">
        <f t="shared" si="8"/>
        <v>0</v>
      </c>
      <c r="H44" s="185">
        <f t="shared" si="12"/>
        <v>0</v>
      </c>
      <c r="I44" s="185"/>
      <c r="J44" s="185"/>
      <c r="K44" s="185"/>
      <c r="L44" s="185"/>
      <c r="M44" s="185"/>
      <c r="N44" s="185"/>
      <c r="O44" s="185"/>
      <c r="P44" s="185"/>
      <c r="Q44" s="185"/>
      <c r="R44" s="185"/>
      <c r="S44" s="185"/>
      <c r="T44" s="185"/>
      <c r="U44" s="185"/>
      <c r="V44" s="185">
        <f t="shared" si="13"/>
        <v>0.03</v>
      </c>
      <c r="W44" s="185"/>
      <c r="X44" s="185"/>
      <c r="Y44" s="185"/>
      <c r="Z44" s="185"/>
      <c r="AA44" s="185"/>
      <c r="AB44" s="185"/>
      <c r="AC44" s="185"/>
      <c r="AD44" s="185"/>
      <c r="AE44" s="185">
        <f t="shared" si="27"/>
        <v>0.03</v>
      </c>
      <c r="AF44" s="185"/>
      <c r="AG44" s="185"/>
      <c r="AH44" s="185"/>
      <c r="AI44" s="185"/>
      <c r="AJ44" s="185"/>
      <c r="AK44" s="185"/>
      <c r="AL44" s="185"/>
      <c r="AM44" s="185"/>
      <c r="AN44" s="185"/>
      <c r="AO44" s="185">
        <f>D44-BL44</f>
        <v>0.03</v>
      </c>
      <c r="AP44" s="185"/>
      <c r="AQ44" s="185"/>
      <c r="AR44" s="185"/>
      <c r="AS44" s="185"/>
      <c r="AT44" s="185"/>
      <c r="AU44" s="185"/>
      <c r="AV44" s="185"/>
      <c r="AW44" s="185"/>
      <c r="AX44" s="185"/>
      <c r="AY44" s="185"/>
      <c r="AZ44" s="185"/>
      <c r="BA44" s="185"/>
      <c r="BB44" s="185"/>
      <c r="BC44" s="185"/>
      <c r="BD44" s="185"/>
      <c r="BE44" s="185"/>
      <c r="BF44" s="185"/>
      <c r="BG44" s="185"/>
      <c r="BH44" s="185">
        <f t="shared" si="22"/>
        <v>0</v>
      </c>
      <c r="BI44" s="185"/>
      <c r="BJ44" s="185"/>
      <c r="BK44" s="185"/>
      <c r="BL44" s="185">
        <f>E44+W44+X44+Y44+Z44+AA44+AB44+AC44+AD44+AF44+AG44+AH44+AI44+AJ44+AK44+AL44+AM44+AN44+AP44+AQ44+AR44+AS44+AT44+AU44+AV44+AW44+AX44+AY44+AZ44+BA44+BB44+BC44+BD44+BE44+BF44+BG44+BH44</f>
        <v>0</v>
      </c>
      <c r="BM44" s="185">
        <f>AO68-BL44</f>
        <v>0</v>
      </c>
      <c r="BN44" s="185">
        <f t="shared" si="28"/>
        <v>0.03</v>
      </c>
      <c r="BP44" s="123"/>
    </row>
    <row r="45" spans="1:68" ht="20.100000000000001" customHeight="1">
      <c r="A45" s="14" t="s">
        <v>234</v>
      </c>
      <c r="B45" s="14" t="s">
        <v>488</v>
      </c>
      <c r="C45" s="30" t="s">
        <v>208</v>
      </c>
      <c r="D45" s="185">
        <f>#REF!</f>
        <v>0.28000000000000003</v>
      </c>
      <c r="E45" s="185">
        <f t="shared" si="4"/>
        <v>0</v>
      </c>
      <c r="F45" s="185">
        <f t="shared" si="21"/>
        <v>0</v>
      </c>
      <c r="G45" s="185">
        <f t="shared" si="8"/>
        <v>0</v>
      </c>
      <c r="H45" s="185">
        <f t="shared" si="12"/>
        <v>0</v>
      </c>
      <c r="I45" s="185"/>
      <c r="J45" s="185"/>
      <c r="K45" s="185"/>
      <c r="L45" s="185"/>
      <c r="M45" s="185"/>
      <c r="N45" s="185"/>
      <c r="O45" s="185"/>
      <c r="P45" s="185"/>
      <c r="Q45" s="185"/>
      <c r="R45" s="185"/>
      <c r="S45" s="185"/>
      <c r="T45" s="185"/>
      <c r="U45" s="185"/>
      <c r="V45" s="185">
        <f t="shared" si="13"/>
        <v>0.28000000000000003</v>
      </c>
      <c r="W45" s="185"/>
      <c r="X45" s="185"/>
      <c r="Y45" s="185"/>
      <c r="Z45" s="185"/>
      <c r="AA45" s="185"/>
      <c r="AB45" s="185"/>
      <c r="AC45" s="185"/>
      <c r="AD45" s="185"/>
      <c r="AE45" s="185">
        <f t="shared" si="27"/>
        <v>0.28000000000000003</v>
      </c>
      <c r="AF45" s="185"/>
      <c r="AG45" s="185"/>
      <c r="AH45" s="185"/>
      <c r="AI45" s="185"/>
      <c r="AJ45" s="185"/>
      <c r="AK45" s="185"/>
      <c r="AL45" s="185"/>
      <c r="AM45" s="185"/>
      <c r="AN45" s="185"/>
      <c r="AO45" s="185"/>
      <c r="AP45" s="185">
        <f>D45-BL45</f>
        <v>0.28000000000000003</v>
      </c>
      <c r="AQ45" s="185"/>
      <c r="AR45" s="185"/>
      <c r="AS45" s="185"/>
      <c r="AT45" s="185"/>
      <c r="AU45" s="185"/>
      <c r="AV45" s="185"/>
      <c r="AW45" s="185"/>
      <c r="AX45" s="185"/>
      <c r="AY45" s="185"/>
      <c r="AZ45" s="185"/>
      <c r="BA45" s="185"/>
      <c r="BB45" s="185"/>
      <c r="BC45" s="185"/>
      <c r="BD45" s="185"/>
      <c r="BE45" s="185"/>
      <c r="BF45" s="185"/>
      <c r="BG45" s="185"/>
      <c r="BH45" s="185">
        <f t="shared" si="22"/>
        <v>0</v>
      </c>
      <c r="BI45" s="185"/>
      <c r="BJ45" s="185"/>
      <c r="BK45" s="185"/>
      <c r="BL45" s="185">
        <f>E45+W45+X45+Y45+Z45+AA45+AB45+AC45+AD45+AF45+AG45+AH45+AI45+AJ45+AK45+AL45+AM45+AN45+AO45+AQ45+AR45+AS45+AT45+AU45+AV45+AW45+AX45+AY45+AZ45+BA45+BB45+BC45+BD45+BE45+BF45+BG45+BH45</f>
        <v>0</v>
      </c>
      <c r="BM45" s="185">
        <f>AP68-BL45</f>
        <v>0</v>
      </c>
      <c r="BN45" s="185">
        <f t="shared" si="28"/>
        <v>0.28000000000000003</v>
      </c>
      <c r="BP45" s="123"/>
    </row>
    <row r="46" spans="1:68" ht="20.100000000000001" customHeight="1">
      <c r="A46" s="19" t="s">
        <v>73</v>
      </c>
      <c r="B46" s="19" t="s">
        <v>74</v>
      </c>
      <c r="C46" s="30" t="s">
        <v>75</v>
      </c>
      <c r="D46" s="185"/>
      <c r="E46" s="185">
        <f t="shared" si="4"/>
        <v>0</v>
      </c>
      <c r="F46" s="185">
        <f t="shared" si="21"/>
        <v>0</v>
      </c>
      <c r="G46" s="185">
        <f t="shared" si="8"/>
        <v>0</v>
      </c>
      <c r="H46" s="185">
        <f t="shared" si="12"/>
        <v>0</v>
      </c>
      <c r="I46" s="185"/>
      <c r="J46" s="185"/>
      <c r="K46" s="185"/>
      <c r="L46" s="185"/>
      <c r="M46" s="185"/>
      <c r="N46" s="185"/>
      <c r="O46" s="185"/>
      <c r="P46" s="185"/>
      <c r="Q46" s="185"/>
      <c r="R46" s="185"/>
      <c r="S46" s="185"/>
      <c r="T46" s="185"/>
      <c r="U46" s="185"/>
      <c r="V46" s="185">
        <f t="shared" si="13"/>
        <v>0</v>
      </c>
      <c r="W46" s="185"/>
      <c r="X46" s="185"/>
      <c r="Y46" s="185"/>
      <c r="Z46" s="185"/>
      <c r="AA46" s="185"/>
      <c r="AB46" s="185"/>
      <c r="AC46" s="185"/>
      <c r="AD46" s="185"/>
      <c r="AE46" s="185">
        <f t="shared" si="27"/>
        <v>0</v>
      </c>
      <c r="AF46" s="185"/>
      <c r="AG46" s="185"/>
      <c r="AH46" s="185"/>
      <c r="AI46" s="185"/>
      <c r="AJ46" s="185"/>
      <c r="AK46" s="185"/>
      <c r="AL46" s="185"/>
      <c r="AM46" s="185"/>
      <c r="AN46" s="185"/>
      <c r="AO46" s="185"/>
      <c r="AP46" s="185"/>
      <c r="AQ46" s="185">
        <f>D46-BL46</f>
        <v>0</v>
      </c>
      <c r="AR46" s="185"/>
      <c r="AS46" s="185"/>
      <c r="AT46" s="185"/>
      <c r="AU46" s="185"/>
      <c r="AV46" s="185"/>
      <c r="AW46" s="185"/>
      <c r="AX46" s="185"/>
      <c r="AY46" s="185"/>
      <c r="AZ46" s="185"/>
      <c r="BA46" s="185"/>
      <c r="BB46" s="185"/>
      <c r="BC46" s="185"/>
      <c r="BD46" s="185"/>
      <c r="BE46" s="185"/>
      <c r="BF46" s="185"/>
      <c r="BG46" s="185"/>
      <c r="BH46" s="185">
        <f t="shared" si="22"/>
        <v>0</v>
      </c>
      <c r="BI46" s="185"/>
      <c r="BJ46" s="185"/>
      <c r="BK46" s="185"/>
      <c r="BL46" s="185">
        <f>E46+W46+X46+Y46+Z46+AA46+AB46+AC46+AD46+AE46+AR46+AS46+AT46+AU46+AV46+AW46+AX46+AY46+AZ46+BA46+BB46+BC46+BD46+BE46+BF46+BG46+BH46</f>
        <v>0</v>
      </c>
      <c r="BM46" s="185">
        <f>AQ68-BL46</f>
        <v>0</v>
      </c>
      <c r="BN46" s="185">
        <f>D46+BM46</f>
        <v>0</v>
      </c>
      <c r="BP46" s="123"/>
    </row>
    <row r="47" spans="1:68" ht="20.100000000000001" customHeight="1">
      <c r="A47" s="19" t="s">
        <v>76</v>
      </c>
      <c r="B47" s="19" t="s">
        <v>77</v>
      </c>
      <c r="C47" s="30" t="s">
        <v>78</v>
      </c>
      <c r="D47" s="185"/>
      <c r="E47" s="185">
        <f t="shared" si="4"/>
        <v>0</v>
      </c>
      <c r="F47" s="185">
        <f t="shared" si="21"/>
        <v>0</v>
      </c>
      <c r="G47" s="185">
        <f t="shared" si="8"/>
        <v>0</v>
      </c>
      <c r="H47" s="185">
        <f t="shared" si="12"/>
        <v>0</v>
      </c>
      <c r="I47" s="185"/>
      <c r="J47" s="185"/>
      <c r="K47" s="185"/>
      <c r="L47" s="185"/>
      <c r="M47" s="185"/>
      <c r="N47" s="185"/>
      <c r="O47" s="185"/>
      <c r="P47" s="185"/>
      <c r="Q47" s="185"/>
      <c r="R47" s="185"/>
      <c r="S47" s="185"/>
      <c r="T47" s="185"/>
      <c r="U47" s="185"/>
      <c r="V47" s="185">
        <f t="shared" si="13"/>
        <v>0</v>
      </c>
      <c r="W47" s="185"/>
      <c r="X47" s="185"/>
      <c r="Y47" s="185"/>
      <c r="Z47" s="185"/>
      <c r="AA47" s="185"/>
      <c r="AB47" s="185"/>
      <c r="AC47" s="185"/>
      <c r="AD47" s="185"/>
      <c r="AE47" s="185">
        <f t="shared" si="27"/>
        <v>0</v>
      </c>
      <c r="AF47" s="185"/>
      <c r="AG47" s="185"/>
      <c r="AH47" s="185"/>
      <c r="AI47" s="185"/>
      <c r="AJ47" s="185"/>
      <c r="AK47" s="185"/>
      <c r="AL47" s="185"/>
      <c r="AM47" s="185"/>
      <c r="AN47" s="185"/>
      <c r="AO47" s="185"/>
      <c r="AP47" s="185"/>
      <c r="AQ47" s="185"/>
      <c r="AR47" s="185">
        <f>D47-BL47</f>
        <v>0</v>
      </c>
      <c r="AS47" s="185"/>
      <c r="AT47" s="185"/>
      <c r="AU47" s="185"/>
      <c r="AV47" s="185"/>
      <c r="AW47" s="185"/>
      <c r="AX47" s="185"/>
      <c r="AY47" s="185"/>
      <c r="AZ47" s="185"/>
      <c r="BA47" s="185"/>
      <c r="BB47" s="185"/>
      <c r="BC47" s="185"/>
      <c r="BD47" s="185"/>
      <c r="BE47" s="185"/>
      <c r="BF47" s="185"/>
      <c r="BG47" s="185"/>
      <c r="BH47" s="185">
        <f t="shared" si="22"/>
        <v>0</v>
      </c>
      <c r="BI47" s="185"/>
      <c r="BJ47" s="185"/>
      <c r="BK47" s="185"/>
      <c r="BL47" s="185">
        <f>E47+W47+X47+Y47+Z47+AA47+AB47+AC47+AD47+AE47+AQ47+AS47+AT47+AU47+AV47+AW47+AX47+AY47+AZ47+BA47+BB47+BC47+BD47+BE47+BF47+BG47+BH47</f>
        <v>0</v>
      </c>
      <c r="BM47" s="185">
        <f>AR68-BL47</f>
        <v>0</v>
      </c>
      <c r="BN47" s="185">
        <f t="shared" ref="BN47:BN62" si="29">D47+BM47</f>
        <v>0</v>
      </c>
      <c r="BP47" s="123"/>
    </row>
    <row r="48" spans="1:68" ht="20.100000000000001" customHeight="1">
      <c r="A48" s="19" t="s">
        <v>79</v>
      </c>
      <c r="B48" s="19" t="s">
        <v>80</v>
      </c>
      <c r="C48" s="30" t="s">
        <v>81</v>
      </c>
      <c r="D48" s="185">
        <f>#REF!</f>
        <v>3.84</v>
      </c>
      <c r="E48" s="185">
        <f t="shared" si="4"/>
        <v>0</v>
      </c>
      <c r="F48" s="185">
        <f t="shared" si="21"/>
        <v>0</v>
      </c>
      <c r="G48" s="185">
        <f t="shared" si="8"/>
        <v>0</v>
      </c>
      <c r="H48" s="185">
        <f t="shared" si="12"/>
        <v>0</v>
      </c>
      <c r="I48" s="185"/>
      <c r="J48" s="185"/>
      <c r="K48" s="185"/>
      <c r="L48" s="185"/>
      <c r="M48" s="185"/>
      <c r="N48" s="185"/>
      <c r="O48" s="185"/>
      <c r="P48" s="185"/>
      <c r="Q48" s="185"/>
      <c r="R48" s="185"/>
      <c r="S48" s="185"/>
      <c r="T48" s="185"/>
      <c r="U48" s="185"/>
      <c r="V48" s="185">
        <f t="shared" si="13"/>
        <v>3.84</v>
      </c>
      <c r="W48" s="185"/>
      <c r="X48" s="185"/>
      <c r="Y48" s="185"/>
      <c r="Z48" s="185"/>
      <c r="AA48" s="185"/>
      <c r="AB48" s="185"/>
      <c r="AC48" s="185"/>
      <c r="AD48" s="185"/>
      <c r="AE48" s="185">
        <f t="shared" si="27"/>
        <v>0</v>
      </c>
      <c r="AF48" s="185"/>
      <c r="AG48" s="185"/>
      <c r="AH48" s="185"/>
      <c r="AI48" s="185"/>
      <c r="AJ48" s="185"/>
      <c r="AK48" s="185"/>
      <c r="AL48" s="185"/>
      <c r="AM48" s="185"/>
      <c r="AN48" s="185"/>
      <c r="AO48" s="185"/>
      <c r="AP48" s="185"/>
      <c r="AQ48" s="185"/>
      <c r="AR48" s="185"/>
      <c r="AS48" s="185">
        <f>D48-BL48</f>
        <v>3.84</v>
      </c>
      <c r="AT48" s="185"/>
      <c r="AU48" s="185"/>
      <c r="AV48" s="185"/>
      <c r="AW48" s="185"/>
      <c r="AX48" s="185"/>
      <c r="AY48" s="185"/>
      <c r="AZ48" s="185"/>
      <c r="BA48" s="185"/>
      <c r="BB48" s="185"/>
      <c r="BC48" s="185"/>
      <c r="BD48" s="185"/>
      <c r="BE48" s="185"/>
      <c r="BF48" s="185"/>
      <c r="BG48" s="185"/>
      <c r="BH48" s="185">
        <f t="shared" si="22"/>
        <v>0</v>
      </c>
      <c r="BI48" s="185"/>
      <c r="BJ48" s="185"/>
      <c r="BK48" s="185"/>
      <c r="BL48" s="185">
        <f>E48+W48+X48+Y48+Z48+AA48+AB48+AC48+AD48+AQ48+AR48+AT48+AU48+AV48+AW48+AX48+AY48+AZ48+BA48+BB48+BC48+BD48+BE48+BF48+BG48+BH48</f>
        <v>0</v>
      </c>
      <c r="BM48" s="185">
        <f>AS68-BL48</f>
        <v>0</v>
      </c>
      <c r="BN48" s="185">
        <f t="shared" si="29"/>
        <v>3.84</v>
      </c>
      <c r="BP48" s="123"/>
    </row>
    <row r="49" spans="1:68" ht="20.100000000000001" customHeight="1">
      <c r="A49" s="19" t="s">
        <v>82</v>
      </c>
      <c r="B49" s="19" t="s">
        <v>83</v>
      </c>
      <c r="C49" s="30" t="s">
        <v>84</v>
      </c>
      <c r="D49" s="185"/>
      <c r="E49" s="185">
        <f t="shared" si="4"/>
        <v>0</v>
      </c>
      <c r="F49" s="185">
        <f t="shared" si="21"/>
        <v>0</v>
      </c>
      <c r="G49" s="185">
        <f t="shared" si="8"/>
        <v>0</v>
      </c>
      <c r="H49" s="185">
        <f t="shared" si="12"/>
        <v>0</v>
      </c>
      <c r="I49" s="185"/>
      <c r="J49" s="185"/>
      <c r="K49" s="185"/>
      <c r="L49" s="185"/>
      <c r="M49" s="185"/>
      <c r="N49" s="185"/>
      <c r="O49" s="185"/>
      <c r="P49" s="185"/>
      <c r="Q49" s="185"/>
      <c r="R49" s="185"/>
      <c r="S49" s="185"/>
      <c r="T49" s="185"/>
      <c r="U49" s="185"/>
      <c r="V49" s="185">
        <f t="shared" si="13"/>
        <v>0</v>
      </c>
      <c r="W49" s="185"/>
      <c r="X49" s="185"/>
      <c r="Y49" s="185"/>
      <c r="Z49" s="185"/>
      <c r="AA49" s="185"/>
      <c r="AB49" s="185"/>
      <c r="AC49" s="185"/>
      <c r="AD49" s="185"/>
      <c r="AE49" s="185">
        <f t="shared" si="27"/>
        <v>0</v>
      </c>
      <c r="AF49" s="185"/>
      <c r="AG49" s="185"/>
      <c r="AH49" s="185"/>
      <c r="AI49" s="185"/>
      <c r="AJ49" s="185"/>
      <c r="AK49" s="185"/>
      <c r="AL49" s="185"/>
      <c r="AM49" s="185"/>
      <c r="AN49" s="185"/>
      <c r="AO49" s="185"/>
      <c r="AP49" s="185"/>
      <c r="AQ49" s="185"/>
      <c r="AR49" s="185"/>
      <c r="AS49" s="185"/>
      <c r="AT49" s="185">
        <f>D49-BL49</f>
        <v>0</v>
      </c>
      <c r="AU49" s="185"/>
      <c r="AV49" s="185"/>
      <c r="AW49" s="185"/>
      <c r="AX49" s="185"/>
      <c r="AY49" s="185"/>
      <c r="AZ49" s="185"/>
      <c r="BA49" s="185"/>
      <c r="BB49" s="185"/>
      <c r="BC49" s="185"/>
      <c r="BD49" s="185"/>
      <c r="BE49" s="185"/>
      <c r="BF49" s="185"/>
      <c r="BG49" s="185"/>
      <c r="BH49" s="185">
        <f t="shared" si="22"/>
        <v>0</v>
      </c>
      <c r="BI49" s="185"/>
      <c r="BJ49" s="185"/>
      <c r="BK49" s="185"/>
      <c r="BL49" s="185">
        <f>E49+W49+X49+Y49+Z49+AA49+AB49+AC49+AD49+AE49+AQ49+AR49+AS49+AU49+AV49+AW49+AX49+AY49+AZ49+BA49+BB49+BC49+BD49+BE49+BF49+BG49+BH49</f>
        <v>0</v>
      </c>
      <c r="BM49" s="185">
        <f>AT68-BL49</f>
        <v>0</v>
      </c>
      <c r="BN49" s="185">
        <f t="shared" si="29"/>
        <v>0</v>
      </c>
      <c r="BP49" s="123"/>
    </row>
    <row r="50" spans="1:68" ht="20.100000000000001" customHeight="1">
      <c r="A50" s="19" t="s">
        <v>85</v>
      </c>
      <c r="B50" s="19" t="s">
        <v>86</v>
      </c>
      <c r="C50" s="30" t="s">
        <v>87</v>
      </c>
      <c r="D50" s="185">
        <f>#REF!</f>
        <v>84.563699999999997</v>
      </c>
      <c r="E50" s="185">
        <f t="shared" si="4"/>
        <v>0</v>
      </c>
      <c r="F50" s="185">
        <f t="shared" si="21"/>
        <v>0</v>
      </c>
      <c r="G50" s="185">
        <f t="shared" si="8"/>
        <v>0</v>
      </c>
      <c r="H50" s="185">
        <f t="shared" si="12"/>
        <v>0</v>
      </c>
      <c r="I50" s="185"/>
      <c r="J50" s="185"/>
      <c r="K50" s="185"/>
      <c r="L50" s="185"/>
      <c r="M50" s="185"/>
      <c r="N50" s="185"/>
      <c r="O50" s="185"/>
      <c r="P50" s="185"/>
      <c r="Q50" s="185"/>
      <c r="R50" s="185"/>
      <c r="S50" s="185"/>
      <c r="T50" s="185"/>
      <c r="U50" s="185"/>
      <c r="V50" s="185">
        <f t="shared" si="13"/>
        <v>84.563699999999997</v>
      </c>
      <c r="W50" s="185"/>
      <c r="X50" s="185"/>
      <c r="Y50" s="185">
        <v>1</v>
      </c>
      <c r="Z50" s="185"/>
      <c r="AA50" s="185"/>
      <c r="AB50" s="185">
        <v>0.55000000000000004</v>
      </c>
      <c r="AC50" s="185"/>
      <c r="AD50" s="185"/>
      <c r="AE50" s="185">
        <f t="shared" si="27"/>
        <v>1.54</v>
      </c>
      <c r="AF50" s="185"/>
      <c r="AG50" s="185"/>
      <c r="AH50" s="185">
        <v>0.1</v>
      </c>
      <c r="AI50" s="185"/>
      <c r="AJ50" s="185"/>
      <c r="AK50" s="185"/>
      <c r="AL50" s="185">
        <v>1.44</v>
      </c>
      <c r="AM50" s="185"/>
      <c r="AN50" s="185"/>
      <c r="AO50" s="185"/>
      <c r="AP50" s="185"/>
      <c r="AQ50" s="185"/>
      <c r="AR50" s="185"/>
      <c r="AS50" s="185"/>
      <c r="AT50" s="185"/>
      <c r="AU50" s="185">
        <f>D50-BL50</f>
        <v>81.333699999999993</v>
      </c>
      <c r="AV50" s="185"/>
      <c r="AW50" s="185"/>
      <c r="AX50" s="185"/>
      <c r="AY50" s="185"/>
      <c r="AZ50" s="185"/>
      <c r="BA50" s="185"/>
      <c r="BB50" s="185"/>
      <c r="BC50" s="185">
        <v>0.14000000000000001</v>
      </c>
      <c r="BD50" s="185"/>
      <c r="BE50" s="185"/>
      <c r="BF50" s="185"/>
      <c r="BG50" s="185"/>
      <c r="BH50" s="185">
        <f t="shared" si="22"/>
        <v>0</v>
      </c>
      <c r="BI50" s="185"/>
      <c r="BJ50" s="185"/>
      <c r="BK50" s="185"/>
      <c r="BL50" s="185">
        <f>E50+W50+X50+Y50+Z50+AA50+AB50+AC50+AD50+AE50+AQ50+AR50+AS50+AT50+AV50+AW50+AX50+AY50+AZ50+BA50+BB50+BC50+BD50+BE50+BF50+BG50+BH50</f>
        <v>3.23</v>
      </c>
      <c r="BM50" s="185">
        <f>AU68-BL50</f>
        <v>15.709999999999997</v>
      </c>
      <c r="BN50" s="185">
        <f t="shared" si="29"/>
        <v>100.27369999999999</v>
      </c>
      <c r="BP50" s="123"/>
    </row>
    <row r="51" spans="1:68" ht="20.100000000000001" customHeight="1">
      <c r="A51" s="19" t="s">
        <v>88</v>
      </c>
      <c r="B51" s="19" t="s">
        <v>89</v>
      </c>
      <c r="C51" s="30" t="s">
        <v>90</v>
      </c>
      <c r="D51" s="185">
        <f>#REF!</f>
        <v>0.77</v>
      </c>
      <c r="E51" s="185">
        <f t="shared" si="4"/>
        <v>0</v>
      </c>
      <c r="F51" s="185">
        <f t="shared" si="21"/>
        <v>0</v>
      </c>
      <c r="G51" s="185">
        <f t="shared" si="8"/>
        <v>0</v>
      </c>
      <c r="H51" s="185">
        <f t="shared" si="12"/>
        <v>0</v>
      </c>
      <c r="I51" s="185"/>
      <c r="J51" s="185"/>
      <c r="K51" s="185"/>
      <c r="L51" s="185"/>
      <c r="M51" s="185"/>
      <c r="N51" s="185"/>
      <c r="O51" s="185"/>
      <c r="P51" s="185"/>
      <c r="Q51" s="185"/>
      <c r="R51" s="185"/>
      <c r="S51" s="185"/>
      <c r="T51" s="185"/>
      <c r="U51" s="185"/>
      <c r="V51" s="185">
        <f t="shared" si="13"/>
        <v>0.77</v>
      </c>
      <c r="W51" s="185"/>
      <c r="X51" s="185"/>
      <c r="Y51" s="185"/>
      <c r="Z51" s="185"/>
      <c r="AA51" s="185"/>
      <c r="AB51" s="185"/>
      <c r="AC51" s="185"/>
      <c r="AD51" s="185"/>
      <c r="AE51" s="185">
        <f t="shared" si="27"/>
        <v>6.0000000000000005E-2</v>
      </c>
      <c r="AF51" s="185"/>
      <c r="AG51" s="185"/>
      <c r="AH51" s="185">
        <v>0.05</v>
      </c>
      <c r="AI51" s="185"/>
      <c r="AJ51" s="185"/>
      <c r="AK51" s="185"/>
      <c r="AL51" s="185">
        <v>0.01</v>
      </c>
      <c r="AM51" s="185"/>
      <c r="AN51" s="185"/>
      <c r="AO51" s="185"/>
      <c r="AP51" s="185"/>
      <c r="AQ51" s="185"/>
      <c r="AR51" s="185"/>
      <c r="AS51" s="185"/>
      <c r="AT51" s="185"/>
      <c r="AU51" s="185"/>
      <c r="AV51" s="185">
        <f>D51-BL51</f>
        <v>0.71</v>
      </c>
      <c r="AW51" s="185"/>
      <c r="AX51" s="185"/>
      <c r="AY51" s="185"/>
      <c r="AZ51" s="185"/>
      <c r="BA51" s="185"/>
      <c r="BB51" s="185"/>
      <c r="BC51" s="185"/>
      <c r="BD51" s="185"/>
      <c r="BE51" s="185"/>
      <c r="BF51" s="185"/>
      <c r="BG51" s="185"/>
      <c r="BH51" s="185">
        <f t="shared" si="22"/>
        <v>0</v>
      </c>
      <c r="BI51" s="185"/>
      <c r="BJ51" s="185"/>
      <c r="BK51" s="185"/>
      <c r="BL51" s="185">
        <f>E51+W51+X51+Y51+Z51+AA51+AB51+AC51+AD51+AE51+AQ51+AR51+AS51+AT51+AU51+AW51+AX51+AY51+AZ51+BA51+BB51+BC51+BD51+BE51+BF51+BG51+BH51</f>
        <v>6.0000000000000005E-2</v>
      </c>
      <c r="BM51" s="185">
        <f>AV68-BL51</f>
        <v>-6.0000000000000005E-2</v>
      </c>
      <c r="BN51" s="185">
        <f t="shared" si="29"/>
        <v>0.71</v>
      </c>
      <c r="BP51" s="123"/>
    </row>
    <row r="52" spans="1:68" ht="20.100000000000001" customHeight="1">
      <c r="A52" s="19" t="s">
        <v>91</v>
      </c>
      <c r="B52" s="19" t="s">
        <v>489</v>
      </c>
      <c r="C52" s="30" t="s">
        <v>93</v>
      </c>
      <c r="D52" s="185"/>
      <c r="E52" s="185">
        <f t="shared" si="4"/>
        <v>0</v>
      </c>
      <c r="F52" s="185">
        <f t="shared" si="21"/>
        <v>0</v>
      </c>
      <c r="G52" s="185">
        <f t="shared" si="8"/>
        <v>0</v>
      </c>
      <c r="H52" s="185">
        <f t="shared" si="12"/>
        <v>0</v>
      </c>
      <c r="I52" s="185"/>
      <c r="J52" s="185"/>
      <c r="K52" s="185"/>
      <c r="L52" s="185"/>
      <c r="M52" s="185"/>
      <c r="N52" s="185"/>
      <c r="O52" s="185"/>
      <c r="P52" s="185"/>
      <c r="Q52" s="185"/>
      <c r="R52" s="185"/>
      <c r="S52" s="185"/>
      <c r="T52" s="185"/>
      <c r="U52" s="185"/>
      <c r="V52" s="185">
        <f t="shared" si="13"/>
        <v>0</v>
      </c>
      <c r="W52" s="185"/>
      <c r="X52" s="185"/>
      <c r="Y52" s="185"/>
      <c r="Z52" s="185"/>
      <c r="AA52" s="185"/>
      <c r="AB52" s="185"/>
      <c r="AC52" s="185"/>
      <c r="AD52" s="185"/>
      <c r="AE52" s="185">
        <f t="shared" si="27"/>
        <v>0</v>
      </c>
      <c r="AF52" s="185"/>
      <c r="AG52" s="185"/>
      <c r="AH52" s="185"/>
      <c r="AI52" s="185"/>
      <c r="AJ52" s="185"/>
      <c r="AK52" s="185"/>
      <c r="AL52" s="185"/>
      <c r="AM52" s="185"/>
      <c r="AN52" s="185"/>
      <c r="AO52" s="185"/>
      <c r="AP52" s="185"/>
      <c r="AQ52" s="185"/>
      <c r="AR52" s="185"/>
      <c r="AS52" s="185"/>
      <c r="AT52" s="185"/>
      <c r="AU52" s="185"/>
      <c r="AV52" s="185"/>
      <c r="AW52" s="185">
        <f>D52-BL52</f>
        <v>0</v>
      </c>
      <c r="AX52" s="185"/>
      <c r="AY52" s="185"/>
      <c r="AZ52" s="185"/>
      <c r="BA52" s="185"/>
      <c r="BB52" s="185"/>
      <c r="BC52" s="185"/>
      <c r="BD52" s="185"/>
      <c r="BE52" s="185"/>
      <c r="BF52" s="185"/>
      <c r="BG52" s="185"/>
      <c r="BH52" s="185">
        <f t="shared" si="22"/>
        <v>0</v>
      </c>
      <c r="BI52" s="185"/>
      <c r="BJ52" s="185"/>
      <c r="BK52" s="185"/>
      <c r="BL52" s="185">
        <f>E52+W52+X52+Y52+Z52+AA52+AB52+AC52+AD52+AE52+AQ52+AR52+AS52+AT52+AU52+AV52+AX52+AY52+AZ52+BA52+BB52+BC52+BD52+BE52+BF52+BG52+BH52</f>
        <v>0</v>
      </c>
      <c r="BM52" s="185">
        <f>AW68-BL52</f>
        <v>0</v>
      </c>
      <c r="BN52" s="185">
        <f t="shared" si="29"/>
        <v>0</v>
      </c>
      <c r="BP52" s="123"/>
    </row>
    <row r="53" spans="1:68" ht="20.100000000000001" customHeight="1">
      <c r="A53" s="19" t="s">
        <v>94</v>
      </c>
      <c r="B53" s="19" t="s">
        <v>95</v>
      </c>
      <c r="C53" s="30" t="s">
        <v>96</v>
      </c>
      <c r="D53" s="185"/>
      <c r="E53" s="185">
        <f t="shared" si="4"/>
        <v>0</v>
      </c>
      <c r="F53" s="185">
        <f t="shared" si="21"/>
        <v>0</v>
      </c>
      <c r="G53" s="185">
        <f t="shared" si="8"/>
        <v>0</v>
      </c>
      <c r="H53" s="185">
        <f t="shared" si="12"/>
        <v>0</v>
      </c>
      <c r="I53" s="185"/>
      <c r="J53" s="185"/>
      <c r="K53" s="185"/>
      <c r="L53" s="185"/>
      <c r="M53" s="185"/>
      <c r="N53" s="185"/>
      <c r="O53" s="185"/>
      <c r="P53" s="185"/>
      <c r="Q53" s="185"/>
      <c r="R53" s="185"/>
      <c r="S53" s="185"/>
      <c r="T53" s="185"/>
      <c r="U53" s="185"/>
      <c r="V53" s="185">
        <f t="shared" si="13"/>
        <v>0</v>
      </c>
      <c r="W53" s="185"/>
      <c r="X53" s="185"/>
      <c r="Y53" s="185"/>
      <c r="Z53" s="185"/>
      <c r="AA53" s="185"/>
      <c r="AB53" s="185"/>
      <c r="AC53" s="185"/>
      <c r="AD53" s="185"/>
      <c r="AE53" s="185">
        <f t="shared" si="27"/>
        <v>0</v>
      </c>
      <c r="AF53" s="185"/>
      <c r="AG53" s="185"/>
      <c r="AH53" s="185"/>
      <c r="AI53" s="185"/>
      <c r="AJ53" s="185"/>
      <c r="AK53" s="185"/>
      <c r="AL53" s="185"/>
      <c r="AM53" s="185"/>
      <c r="AN53" s="185"/>
      <c r="AO53" s="185"/>
      <c r="AP53" s="185"/>
      <c r="AQ53" s="185"/>
      <c r="AR53" s="185"/>
      <c r="AS53" s="185"/>
      <c r="AT53" s="185"/>
      <c r="AU53" s="185"/>
      <c r="AV53" s="185"/>
      <c r="AW53" s="185"/>
      <c r="AX53" s="185">
        <f>D53-BL53</f>
        <v>0</v>
      </c>
      <c r="AY53" s="185"/>
      <c r="AZ53" s="185"/>
      <c r="BA53" s="185"/>
      <c r="BB53" s="185"/>
      <c r="BC53" s="185"/>
      <c r="BD53" s="185"/>
      <c r="BE53" s="185"/>
      <c r="BF53" s="185"/>
      <c r="BG53" s="185"/>
      <c r="BH53" s="185">
        <f t="shared" si="22"/>
        <v>0</v>
      </c>
      <c r="BI53" s="185"/>
      <c r="BJ53" s="185"/>
      <c r="BK53" s="185"/>
      <c r="BL53" s="185">
        <f>E53+W53+X53+Y53+Z53+AA53+AB53+AC53+AD53+AE53+AQ53+AR53+AS53+AT53+AU53+AV53+AW53+AY53+AZ53+BA53+BB53+BC53+BD53+BE53+BF53+BG53+BH53</f>
        <v>0</v>
      </c>
      <c r="BM53" s="185">
        <f>AX68-BL53</f>
        <v>0</v>
      </c>
      <c r="BN53" s="185">
        <f t="shared" si="29"/>
        <v>0</v>
      </c>
      <c r="BP53" s="123"/>
    </row>
    <row r="54" spans="1:68" ht="20.100000000000001" customHeight="1">
      <c r="A54" s="19" t="s">
        <v>97</v>
      </c>
      <c r="B54" s="19" t="s">
        <v>98</v>
      </c>
      <c r="C54" s="30" t="s">
        <v>99</v>
      </c>
      <c r="D54" s="185">
        <f>#REF!</f>
        <v>4.66</v>
      </c>
      <c r="E54" s="185">
        <f t="shared" si="4"/>
        <v>0</v>
      </c>
      <c r="F54" s="185">
        <f t="shared" si="21"/>
        <v>0</v>
      </c>
      <c r="G54" s="185">
        <f t="shared" si="8"/>
        <v>0</v>
      </c>
      <c r="H54" s="185">
        <f t="shared" si="12"/>
        <v>0</v>
      </c>
      <c r="I54" s="185"/>
      <c r="J54" s="185"/>
      <c r="K54" s="185"/>
      <c r="L54" s="185"/>
      <c r="M54" s="185"/>
      <c r="N54" s="185"/>
      <c r="O54" s="185"/>
      <c r="P54" s="185"/>
      <c r="Q54" s="185"/>
      <c r="R54" s="185"/>
      <c r="S54" s="185"/>
      <c r="T54" s="185"/>
      <c r="U54" s="185"/>
      <c r="V54" s="185">
        <f t="shared" si="13"/>
        <v>4.66</v>
      </c>
      <c r="W54" s="185"/>
      <c r="X54" s="185"/>
      <c r="Y54" s="185"/>
      <c r="Z54" s="185"/>
      <c r="AA54" s="185"/>
      <c r="AB54" s="185"/>
      <c r="AC54" s="185"/>
      <c r="AD54" s="185"/>
      <c r="AE54" s="185">
        <f t="shared" si="27"/>
        <v>0</v>
      </c>
      <c r="AF54" s="185"/>
      <c r="AG54" s="185"/>
      <c r="AH54" s="185"/>
      <c r="AI54" s="185"/>
      <c r="AJ54" s="185"/>
      <c r="AK54" s="185"/>
      <c r="AL54" s="185"/>
      <c r="AM54" s="185"/>
      <c r="AN54" s="185"/>
      <c r="AO54" s="185"/>
      <c r="AP54" s="185"/>
      <c r="AQ54" s="185"/>
      <c r="AR54" s="185"/>
      <c r="AS54" s="185"/>
      <c r="AT54" s="185"/>
      <c r="AU54" s="185"/>
      <c r="AV54" s="185"/>
      <c r="AW54" s="185"/>
      <c r="AX54" s="185"/>
      <c r="AY54" s="185">
        <f>D54-BL54</f>
        <v>4.66</v>
      </c>
      <c r="AZ54" s="185"/>
      <c r="BA54" s="185"/>
      <c r="BB54" s="185"/>
      <c r="BC54" s="185"/>
      <c r="BD54" s="185"/>
      <c r="BE54" s="185"/>
      <c r="BF54" s="185"/>
      <c r="BG54" s="185"/>
      <c r="BH54" s="185">
        <f t="shared" si="22"/>
        <v>0</v>
      </c>
      <c r="BI54" s="185"/>
      <c r="BJ54" s="185"/>
      <c r="BK54" s="185"/>
      <c r="BL54" s="185">
        <f>E54+W54+X54+Y54+Z54+AA54+AB54+AC54+AD54+AE54+AQ54+AR54+AS54+AT54+AU54+AV54+AW54+AX54+AZ54+BA54+BB54+BC54+BD54+BE54+BF54+BG54+BH54</f>
        <v>0</v>
      </c>
      <c r="BM54" s="185">
        <f>AY68-BL54</f>
        <v>1.35</v>
      </c>
      <c r="BN54" s="185">
        <f t="shared" si="29"/>
        <v>6.01</v>
      </c>
      <c r="BP54" s="123"/>
    </row>
    <row r="55" spans="1:68" ht="20.100000000000001" customHeight="1">
      <c r="A55" s="19" t="s">
        <v>100</v>
      </c>
      <c r="B55" s="19" t="s">
        <v>490</v>
      </c>
      <c r="C55" s="30" t="s">
        <v>101</v>
      </c>
      <c r="D55" s="185">
        <f>#REF!</f>
        <v>27.41</v>
      </c>
      <c r="E55" s="185">
        <f t="shared" si="4"/>
        <v>0</v>
      </c>
      <c r="F55" s="185">
        <f t="shared" si="21"/>
        <v>0</v>
      </c>
      <c r="G55" s="185">
        <f t="shared" si="8"/>
        <v>0</v>
      </c>
      <c r="H55" s="185">
        <f t="shared" si="12"/>
        <v>0</v>
      </c>
      <c r="I55" s="185"/>
      <c r="J55" s="185"/>
      <c r="K55" s="185"/>
      <c r="L55" s="185"/>
      <c r="M55" s="185"/>
      <c r="N55" s="185"/>
      <c r="O55" s="185"/>
      <c r="P55" s="185"/>
      <c r="Q55" s="185"/>
      <c r="R55" s="185"/>
      <c r="S55" s="185"/>
      <c r="T55" s="185"/>
      <c r="U55" s="185"/>
      <c r="V55" s="185">
        <f t="shared" si="13"/>
        <v>27.41</v>
      </c>
      <c r="W55" s="185"/>
      <c r="X55" s="185"/>
      <c r="Y55" s="185"/>
      <c r="Z55" s="185"/>
      <c r="AA55" s="185"/>
      <c r="AB55" s="185"/>
      <c r="AC55" s="185"/>
      <c r="AD55" s="185"/>
      <c r="AE55" s="185">
        <f t="shared" si="27"/>
        <v>0</v>
      </c>
      <c r="AF55" s="185"/>
      <c r="AG55" s="185"/>
      <c r="AH55" s="185"/>
      <c r="AI55" s="185"/>
      <c r="AJ55" s="185"/>
      <c r="AK55" s="185"/>
      <c r="AL55" s="185"/>
      <c r="AM55" s="185"/>
      <c r="AN55" s="185"/>
      <c r="AO55" s="185"/>
      <c r="AP55" s="185"/>
      <c r="AQ55" s="185"/>
      <c r="AR55" s="185"/>
      <c r="AS55" s="185"/>
      <c r="AT55" s="185"/>
      <c r="AU55" s="185"/>
      <c r="AV55" s="185"/>
      <c r="AW55" s="185"/>
      <c r="AX55" s="185"/>
      <c r="AY55" s="185"/>
      <c r="AZ55" s="185">
        <f>D55-BL55</f>
        <v>27.41</v>
      </c>
      <c r="BA55" s="185"/>
      <c r="BB55" s="185"/>
      <c r="BC55" s="185"/>
      <c r="BD55" s="185"/>
      <c r="BE55" s="185"/>
      <c r="BF55" s="185"/>
      <c r="BG55" s="185"/>
      <c r="BH55" s="185">
        <f t="shared" si="22"/>
        <v>0</v>
      </c>
      <c r="BI55" s="185"/>
      <c r="BJ55" s="185"/>
      <c r="BK55" s="185"/>
      <c r="BL55" s="185">
        <f>E55+W55+X55+Y55+Z55+AA55+AB55+AC55+AD55+AE55+AQ55+AR55+AS55+AT55+AU55+AV55+AW55+AX55+AY55+BA55+BB55+BC55+BD55+BE55+BF55+BG55+BH55</f>
        <v>0</v>
      </c>
      <c r="BM55" s="185">
        <f>AZ68-BL55</f>
        <v>0</v>
      </c>
      <c r="BN55" s="185">
        <f t="shared" si="29"/>
        <v>27.41</v>
      </c>
      <c r="BP55" s="123"/>
    </row>
    <row r="56" spans="1:68" ht="20.100000000000001" customHeight="1">
      <c r="A56" s="19" t="s">
        <v>102</v>
      </c>
      <c r="B56" s="19" t="s">
        <v>103</v>
      </c>
      <c r="C56" s="30" t="s">
        <v>104</v>
      </c>
      <c r="D56" s="185">
        <f>#REF!</f>
        <v>8.2899999999999991</v>
      </c>
      <c r="E56" s="185">
        <f t="shared" si="4"/>
        <v>0</v>
      </c>
      <c r="F56" s="185">
        <f t="shared" si="21"/>
        <v>0</v>
      </c>
      <c r="G56" s="185">
        <f t="shared" si="8"/>
        <v>0</v>
      </c>
      <c r="H56" s="185">
        <f t="shared" si="12"/>
        <v>0</v>
      </c>
      <c r="I56" s="185"/>
      <c r="J56" s="185"/>
      <c r="K56" s="185"/>
      <c r="L56" s="185"/>
      <c r="M56" s="185"/>
      <c r="N56" s="185"/>
      <c r="O56" s="185"/>
      <c r="P56" s="185"/>
      <c r="Q56" s="185"/>
      <c r="R56" s="185"/>
      <c r="S56" s="185"/>
      <c r="T56" s="185"/>
      <c r="U56" s="185"/>
      <c r="V56" s="185">
        <f t="shared" si="13"/>
        <v>8.2899999999999991</v>
      </c>
      <c r="W56" s="185"/>
      <c r="X56" s="185"/>
      <c r="Y56" s="185"/>
      <c r="Z56" s="185"/>
      <c r="AA56" s="185"/>
      <c r="AB56" s="185"/>
      <c r="AC56" s="185"/>
      <c r="AD56" s="185"/>
      <c r="AE56" s="185">
        <f t="shared" si="27"/>
        <v>0</v>
      </c>
      <c r="AF56" s="185"/>
      <c r="AG56" s="185"/>
      <c r="AH56" s="185"/>
      <c r="AI56" s="185"/>
      <c r="AJ56" s="185"/>
      <c r="AK56" s="185"/>
      <c r="AL56" s="185"/>
      <c r="AM56" s="185"/>
      <c r="AN56" s="185"/>
      <c r="AO56" s="185"/>
      <c r="AP56" s="185"/>
      <c r="AQ56" s="185"/>
      <c r="AR56" s="185"/>
      <c r="AS56" s="185"/>
      <c r="AT56" s="185"/>
      <c r="AU56" s="185"/>
      <c r="AV56" s="185"/>
      <c r="AW56" s="185"/>
      <c r="AX56" s="185"/>
      <c r="AY56" s="185"/>
      <c r="AZ56" s="185"/>
      <c r="BA56" s="185">
        <f>D56-BL56</f>
        <v>8.2899999999999991</v>
      </c>
      <c r="BB56" s="185"/>
      <c r="BC56" s="185"/>
      <c r="BD56" s="185"/>
      <c r="BE56" s="185"/>
      <c r="BF56" s="185"/>
      <c r="BG56" s="185"/>
      <c r="BH56" s="185">
        <f t="shared" si="22"/>
        <v>0</v>
      </c>
      <c r="BI56" s="185"/>
      <c r="BJ56" s="185"/>
      <c r="BK56" s="185"/>
      <c r="BL56" s="185">
        <f>E56+W56+X56+Y56+Z56+AA56+AB56+AC56+AD56+AE56+AQ56+AR56+AS56+AT56+AU56+AV56+AW56+AX56+AY56+AZ56+BB56+BC56+BD56+BE56+BF56+BG56+BH56</f>
        <v>0</v>
      </c>
      <c r="BM56" s="185">
        <f>BA68-BL56</f>
        <v>14.360000000000001</v>
      </c>
      <c r="BN56" s="185">
        <f t="shared" si="29"/>
        <v>22.65</v>
      </c>
      <c r="BP56" s="123"/>
    </row>
    <row r="57" spans="1:68" ht="20.100000000000001" customHeight="1">
      <c r="A57" s="19" t="s">
        <v>105</v>
      </c>
      <c r="B57" s="19" t="s">
        <v>106</v>
      </c>
      <c r="C57" s="30" t="s">
        <v>107</v>
      </c>
      <c r="D57" s="185">
        <f>#REF!</f>
        <v>1.5196000000000001</v>
      </c>
      <c r="E57" s="185">
        <f t="shared" si="4"/>
        <v>0</v>
      </c>
      <c r="F57" s="185">
        <f t="shared" si="21"/>
        <v>0</v>
      </c>
      <c r="G57" s="185">
        <f t="shared" si="8"/>
        <v>0</v>
      </c>
      <c r="H57" s="185">
        <f t="shared" si="12"/>
        <v>0</v>
      </c>
      <c r="I57" s="185"/>
      <c r="J57" s="185"/>
      <c r="K57" s="185"/>
      <c r="L57" s="185"/>
      <c r="M57" s="185"/>
      <c r="N57" s="185"/>
      <c r="O57" s="185"/>
      <c r="P57" s="185"/>
      <c r="Q57" s="185"/>
      <c r="R57" s="185"/>
      <c r="S57" s="185"/>
      <c r="T57" s="185"/>
      <c r="U57" s="185"/>
      <c r="V57" s="185">
        <f t="shared" si="13"/>
        <v>1.5196000000000001</v>
      </c>
      <c r="W57" s="185"/>
      <c r="X57" s="185"/>
      <c r="Y57" s="185"/>
      <c r="Z57" s="185"/>
      <c r="AA57" s="185"/>
      <c r="AB57" s="185"/>
      <c r="AC57" s="185"/>
      <c r="AD57" s="185"/>
      <c r="AE57" s="185">
        <f>SUM(AF57:AP57)</f>
        <v>0</v>
      </c>
      <c r="AF57" s="185"/>
      <c r="AG57" s="185"/>
      <c r="AH57" s="185"/>
      <c r="AI57" s="185"/>
      <c r="AJ57" s="185"/>
      <c r="AK57" s="185"/>
      <c r="AL57" s="185"/>
      <c r="AM57" s="185"/>
      <c r="AN57" s="185"/>
      <c r="AO57" s="185"/>
      <c r="AP57" s="185"/>
      <c r="AQ57" s="185"/>
      <c r="AR57" s="185"/>
      <c r="AS57" s="185"/>
      <c r="AT57" s="185"/>
      <c r="AU57" s="185">
        <v>0.06</v>
      </c>
      <c r="AV57" s="185"/>
      <c r="AW57" s="185"/>
      <c r="AX57" s="185"/>
      <c r="AY57" s="185"/>
      <c r="AZ57" s="185"/>
      <c r="BA57" s="185"/>
      <c r="BB57" s="185">
        <f>D57-BL57</f>
        <v>1.4596</v>
      </c>
      <c r="BC57" s="185"/>
      <c r="BD57" s="185"/>
      <c r="BE57" s="185"/>
      <c r="BF57" s="185"/>
      <c r="BG57" s="185"/>
      <c r="BH57" s="185">
        <f t="shared" si="22"/>
        <v>0</v>
      </c>
      <c r="BI57" s="185"/>
      <c r="BJ57" s="185"/>
      <c r="BK57" s="185"/>
      <c r="BL57" s="185">
        <f>E57+W57+X57+Y57+Z57+AA57+AB57+AC57+AD57+AE57+AQ57+AR57+AS57+AT57+AU57+AV57+AW57+AX57+AY57+AZ57+BA57+BC57+BD57+BE57+BF57+BG57+BH57</f>
        <v>0.06</v>
      </c>
      <c r="BM57" s="185">
        <f>BB68-BL57</f>
        <v>-0.06</v>
      </c>
      <c r="BN57" s="185">
        <f t="shared" si="29"/>
        <v>1.4596</v>
      </c>
      <c r="BP57" s="123"/>
    </row>
    <row r="58" spans="1:68" ht="20.100000000000001" customHeight="1">
      <c r="A58" s="19" t="s">
        <v>108</v>
      </c>
      <c r="B58" s="19" t="s">
        <v>491</v>
      </c>
      <c r="C58" s="30" t="s">
        <v>110</v>
      </c>
      <c r="D58" s="185">
        <f>#REF!</f>
        <v>1.27</v>
      </c>
      <c r="E58" s="185">
        <f t="shared" si="4"/>
        <v>0</v>
      </c>
      <c r="F58" s="185">
        <f t="shared" si="21"/>
        <v>0</v>
      </c>
      <c r="G58" s="185">
        <f t="shared" si="8"/>
        <v>0</v>
      </c>
      <c r="H58" s="185">
        <f t="shared" si="12"/>
        <v>0</v>
      </c>
      <c r="I58" s="185"/>
      <c r="J58" s="185"/>
      <c r="K58" s="185"/>
      <c r="L58" s="185"/>
      <c r="M58" s="185"/>
      <c r="N58" s="185"/>
      <c r="O58" s="185"/>
      <c r="P58" s="185"/>
      <c r="Q58" s="185"/>
      <c r="R58" s="185"/>
      <c r="S58" s="185"/>
      <c r="T58" s="185"/>
      <c r="U58" s="185"/>
      <c r="V58" s="185">
        <f t="shared" si="13"/>
        <v>1.27</v>
      </c>
      <c r="W58" s="185"/>
      <c r="X58" s="185"/>
      <c r="Y58" s="185"/>
      <c r="Z58" s="185"/>
      <c r="AA58" s="185"/>
      <c r="AB58" s="185"/>
      <c r="AC58" s="185"/>
      <c r="AD58" s="185"/>
      <c r="AE58" s="185">
        <f t="shared" si="27"/>
        <v>0</v>
      </c>
      <c r="AF58" s="185"/>
      <c r="AG58" s="185"/>
      <c r="AH58" s="185"/>
      <c r="AI58" s="185"/>
      <c r="AJ58" s="185"/>
      <c r="AK58" s="185"/>
      <c r="AL58" s="185"/>
      <c r="AM58" s="185"/>
      <c r="AN58" s="185"/>
      <c r="AO58" s="185"/>
      <c r="AP58" s="185"/>
      <c r="AQ58" s="185"/>
      <c r="AR58" s="185"/>
      <c r="AS58" s="185"/>
      <c r="AT58" s="185"/>
      <c r="AU58" s="185"/>
      <c r="AV58" s="185"/>
      <c r="AW58" s="185"/>
      <c r="AX58" s="185"/>
      <c r="AY58" s="185"/>
      <c r="AZ58" s="185"/>
      <c r="BA58" s="185"/>
      <c r="BB58" s="185"/>
      <c r="BC58" s="185">
        <f>D58-BL58</f>
        <v>1.27</v>
      </c>
      <c r="BD58" s="185"/>
      <c r="BE58" s="185"/>
      <c r="BF58" s="185"/>
      <c r="BG58" s="185"/>
      <c r="BH58" s="185">
        <f t="shared" si="22"/>
        <v>0</v>
      </c>
      <c r="BI58" s="185"/>
      <c r="BJ58" s="185"/>
      <c r="BK58" s="185"/>
      <c r="BL58" s="185">
        <f>E58+W58+X58+Y58+Z58+AA58+AB58+AC58+AD58+AE58+AQ58+AR58+AS58+AT58+AU58+AV58+AW58+AX58+AY58+AZ58+BA58+BB58+BD58+BE58+BF58+BG58+BH58</f>
        <v>0</v>
      </c>
      <c r="BM58" s="185">
        <f>BC68-BL58</f>
        <v>5.17</v>
      </c>
      <c r="BN58" s="185">
        <f t="shared" si="29"/>
        <v>6.4399999999999995</v>
      </c>
      <c r="BP58" s="123"/>
    </row>
    <row r="59" spans="1:68" ht="20.100000000000001" customHeight="1">
      <c r="A59" s="19" t="s">
        <v>111</v>
      </c>
      <c r="B59" s="19" t="s">
        <v>112</v>
      </c>
      <c r="C59" s="30" t="s">
        <v>113</v>
      </c>
      <c r="D59" s="185">
        <f>#REF!</f>
        <v>0.41</v>
      </c>
      <c r="E59" s="185">
        <f t="shared" si="4"/>
        <v>0</v>
      </c>
      <c r="F59" s="185">
        <f t="shared" si="21"/>
        <v>0</v>
      </c>
      <c r="G59" s="185">
        <f t="shared" si="8"/>
        <v>0</v>
      </c>
      <c r="H59" s="185">
        <f t="shared" si="12"/>
        <v>0</v>
      </c>
      <c r="I59" s="185"/>
      <c r="J59" s="185"/>
      <c r="K59" s="185"/>
      <c r="L59" s="185"/>
      <c r="M59" s="185"/>
      <c r="N59" s="185"/>
      <c r="O59" s="185"/>
      <c r="P59" s="185"/>
      <c r="Q59" s="185"/>
      <c r="R59" s="185"/>
      <c r="S59" s="185"/>
      <c r="T59" s="185"/>
      <c r="U59" s="185"/>
      <c r="V59" s="185">
        <f t="shared" si="13"/>
        <v>0.41</v>
      </c>
      <c r="W59" s="185"/>
      <c r="X59" s="185"/>
      <c r="Y59" s="185"/>
      <c r="Z59" s="185"/>
      <c r="AA59" s="185"/>
      <c r="AB59" s="185"/>
      <c r="AC59" s="185"/>
      <c r="AD59" s="185"/>
      <c r="AE59" s="185">
        <f t="shared" si="27"/>
        <v>0</v>
      </c>
      <c r="AF59" s="185"/>
      <c r="AG59" s="185"/>
      <c r="AH59" s="185"/>
      <c r="AI59" s="185"/>
      <c r="AJ59" s="185"/>
      <c r="AK59" s="185"/>
      <c r="AL59" s="185"/>
      <c r="AM59" s="185"/>
      <c r="AN59" s="185"/>
      <c r="AO59" s="185"/>
      <c r="AP59" s="185"/>
      <c r="AQ59" s="185"/>
      <c r="AR59" s="185"/>
      <c r="AS59" s="185"/>
      <c r="AT59" s="185"/>
      <c r="AU59" s="185"/>
      <c r="AV59" s="185"/>
      <c r="AW59" s="185"/>
      <c r="AX59" s="185"/>
      <c r="AY59" s="185"/>
      <c r="AZ59" s="185"/>
      <c r="BA59" s="185"/>
      <c r="BB59" s="185"/>
      <c r="BC59" s="185"/>
      <c r="BD59" s="185">
        <f>D59-BL59</f>
        <v>0.41</v>
      </c>
      <c r="BE59" s="185"/>
      <c r="BF59" s="185"/>
      <c r="BG59" s="185"/>
      <c r="BH59" s="185">
        <f t="shared" si="22"/>
        <v>0</v>
      </c>
      <c r="BI59" s="185"/>
      <c r="BJ59" s="185"/>
      <c r="BK59" s="185"/>
      <c r="BL59" s="185">
        <f>E59+W59+X59+Y59+Z59+AA59+AB59+AC59+AD59+AE59+AQ59+AR59+AS59+AT59+AU59+AV59+AW59+AX59+AY59+AZ59+BA59+BB59+BC59+BE59+BF59+BG59+BH59</f>
        <v>0</v>
      </c>
      <c r="BM59" s="185">
        <f>BD68-BL59</f>
        <v>0</v>
      </c>
      <c r="BN59" s="185">
        <f t="shared" si="29"/>
        <v>0.41</v>
      </c>
      <c r="BP59" s="123"/>
    </row>
    <row r="60" spans="1:68" ht="20.100000000000001" customHeight="1">
      <c r="A60" s="19" t="s">
        <v>114</v>
      </c>
      <c r="B60" s="19" t="s">
        <v>115</v>
      </c>
      <c r="C60" s="30" t="s">
        <v>116</v>
      </c>
      <c r="D60" s="185">
        <f>#REF!</f>
        <v>37.96</v>
      </c>
      <c r="E60" s="185">
        <f t="shared" si="4"/>
        <v>0.44</v>
      </c>
      <c r="F60" s="185">
        <f t="shared" si="21"/>
        <v>0</v>
      </c>
      <c r="G60" s="185">
        <f t="shared" si="8"/>
        <v>0</v>
      </c>
      <c r="H60" s="185">
        <f t="shared" si="12"/>
        <v>0</v>
      </c>
      <c r="I60" s="185"/>
      <c r="J60" s="185"/>
      <c r="K60" s="185"/>
      <c r="L60" s="185"/>
      <c r="M60" s="185"/>
      <c r="N60" s="185"/>
      <c r="O60" s="185"/>
      <c r="P60" s="185"/>
      <c r="Q60" s="185"/>
      <c r="R60" s="185"/>
      <c r="S60" s="185">
        <v>0.44</v>
      </c>
      <c r="T60" s="185"/>
      <c r="U60" s="185"/>
      <c r="V60" s="185">
        <f t="shared" si="13"/>
        <v>37.520000000000003</v>
      </c>
      <c r="W60" s="185"/>
      <c r="X60" s="185"/>
      <c r="Y60" s="185"/>
      <c r="Z60" s="185"/>
      <c r="AA60" s="185"/>
      <c r="AB60" s="185"/>
      <c r="AC60" s="185"/>
      <c r="AD60" s="185"/>
      <c r="AE60" s="185">
        <f t="shared" si="27"/>
        <v>0</v>
      </c>
      <c r="AF60" s="185"/>
      <c r="AG60" s="185"/>
      <c r="AH60" s="185"/>
      <c r="AI60" s="185"/>
      <c r="AJ60" s="185"/>
      <c r="AK60" s="185"/>
      <c r="AL60" s="185"/>
      <c r="AM60" s="185"/>
      <c r="AN60" s="185"/>
      <c r="AO60" s="185"/>
      <c r="AP60" s="185"/>
      <c r="AQ60" s="185"/>
      <c r="AR60" s="185"/>
      <c r="AS60" s="185"/>
      <c r="AT60" s="185"/>
      <c r="AU60" s="185"/>
      <c r="AV60" s="185"/>
      <c r="AW60" s="185"/>
      <c r="AX60" s="185"/>
      <c r="AY60" s="185"/>
      <c r="AZ60" s="185"/>
      <c r="BA60" s="185"/>
      <c r="BB60" s="185"/>
      <c r="BC60" s="185"/>
      <c r="BD60" s="185"/>
      <c r="BE60" s="185">
        <f>D60-BL60</f>
        <v>37.520000000000003</v>
      </c>
      <c r="BF60" s="185"/>
      <c r="BG60" s="185"/>
      <c r="BH60" s="185">
        <f t="shared" si="22"/>
        <v>0</v>
      </c>
      <c r="BI60" s="185"/>
      <c r="BJ60" s="185"/>
      <c r="BK60" s="185"/>
      <c r="BL60" s="185">
        <f>E60+W60+X60+Y60+Z60+AA60+AB60+AC60+AD60+AE60+AQ60+AR60+AS60+AT60+AU60+AV60+AW60+AX60+AY60+AZ60+BA60+BB60+BC60+BD60+BF60+BG60+BH60</f>
        <v>0.44</v>
      </c>
      <c r="BM60" s="185">
        <f>BE68-BL60</f>
        <v>-0.44</v>
      </c>
      <c r="BN60" s="185">
        <f t="shared" si="29"/>
        <v>37.520000000000003</v>
      </c>
      <c r="BP60" s="123"/>
    </row>
    <row r="61" spans="1:68" ht="20.100000000000001" customHeight="1">
      <c r="A61" s="19" t="s">
        <v>117</v>
      </c>
      <c r="B61" s="19" t="s">
        <v>118</v>
      </c>
      <c r="C61" s="30" t="s">
        <v>119</v>
      </c>
      <c r="D61" s="185">
        <f>#REF!</f>
        <v>63.07</v>
      </c>
      <c r="E61" s="185">
        <f t="shared" si="4"/>
        <v>0</v>
      </c>
      <c r="F61" s="185">
        <f t="shared" si="21"/>
        <v>0</v>
      </c>
      <c r="G61" s="185">
        <f t="shared" si="8"/>
        <v>0</v>
      </c>
      <c r="H61" s="185">
        <f t="shared" si="12"/>
        <v>0</v>
      </c>
      <c r="I61" s="185"/>
      <c r="J61" s="185"/>
      <c r="K61" s="185"/>
      <c r="L61" s="185"/>
      <c r="M61" s="185"/>
      <c r="N61" s="185"/>
      <c r="O61" s="185"/>
      <c r="P61" s="185"/>
      <c r="Q61" s="185"/>
      <c r="R61" s="185"/>
      <c r="S61" s="185"/>
      <c r="T61" s="185"/>
      <c r="U61" s="185"/>
      <c r="V61" s="185">
        <f t="shared" si="13"/>
        <v>63.07</v>
      </c>
      <c r="W61" s="185"/>
      <c r="X61" s="185"/>
      <c r="Y61" s="185"/>
      <c r="Z61" s="185"/>
      <c r="AA61" s="185"/>
      <c r="AB61" s="185"/>
      <c r="AC61" s="185">
        <v>0.02</v>
      </c>
      <c r="AD61" s="185"/>
      <c r="AE61" s="185">
        <f t="shared" si="27"/>
        <v>0</v>
      </c>
      <c r="AF61" s="185"/>
      <c r="AG61" s="185"/>
      <c r="AH61" s="185"/>
      <c r="AI61" s="185"/>
      <c r="AJ61" s="185"/>
      <c r="AK61" s="185"/>
      <c r="AL61" s="185"/>
      <c r="AM61" s="185"/>
      <c r="AN61" s="185"/>
      <c r="AO61" s="185"/>
      <c r="AP61" s="185"/>
      <c r="AQ61" s="185"/>
      <c r="AR61" s="185"/>
      <c r="AS61" s="185"/>
      <c r="AT61" s="185"/>
      <c r="AU61" s="185"/>
      <c r="AV61" s="185"/>
      <c r="AW61" s="185"/>
      <c r="AX61" s="185"/>
      <c r="AY61" s="185"/>
      <c r="AZ61" s="185"/>
      <c r="BA61" s="185"/>
      <c r="BB61" s="185"/>
      <c r="BC61" s="185"/>
      <c r="BD61" s="185"/>
      <c r="BE61" s="185"/>
      <c r="BF61" s="185">
        <f>D61-BL61</f>
        <v>63.05</v>
      </c>
      <c r="BG61" s="185"/>
      <c r="BH61" s="185">
        <f t="shared" si="22"/>
        <v>0</v>
      </c>
      <c r="BI61" s="185"/>
      <c r="BJ61" s="185"/>
      <c r="BK61" s="185"/>
      <c r="BL61" s="185">
        <f>E61+W61+X61+Y61+Z61+AA61+AB61+AC61+AD61+AE61+AQ61+AR61+AS61+AT61+AU61+AV61+AW61+AX61+AY61+AZ61+BA61+BB61+BC61+BD61+BE61+BG61+BH61</f>
        <v>0.02</v>
      </c>
      <c r="BM61" s="185">
        <f>BF68-BL61</f>
        <v>2.7399999999999998</v>
      </c>
      <c r="BN61" s="185">
        <f t="shared" si="29"/>
        <v>65.81</v>
      </c>
      <c r="BP61" s="123"/>
    </row>
    <row r="62" spans="1:68" ht="20.100000000000001" customHeight="1">
      <c r="A62" s="19" t="s">
        <v>120</v>
      </c>
      <c r="B62" s="19" t="s">
        <v>121</v>
      </c>
      <c r="C62" s="30" t="s">
        <v>122</v>
      </c>
      <c r="D62" s="185"/>
      <c r="E62" s="185">
        <f t="shared" si="4"/>
        <v>0</v>
      </c>
      <c r="F62" s="185">
        <f t="shared" si="21"/>
        <v>0</v>
      </c>
      <c r="G62" s="185">
        <f t="shared" si="8"/>
        <v>0</v>
      </c>
      <c r="H62" s="185">
        <f t="shared" si="12"/>
        <v>0</v>
      </c>
      <c r="I62" s="185"/>
      <c r="J62" s="185"/>
      <c r="K62" s="185"/>
      <c r="L62" s="185"/>
      <c r="M62" s="185"/>
      <c r="N62" s="185"/>
      <c r="O62" s="185"/>
      <c r="P62" s="185"/>
      <c r="Q62" s="185"/>
      <c r="R62" s="185"/>
      <c r="S62" s="185"/>
      <c r="T62" s="185"/>
      <c r="U62" s="185"/>
      <c r="V62" s="185">
        <f t="shared" si="13"/>
        <v>0</v>
      </c>
      <c r="W62" s="185"/>
      <c r="X62" s="185"/>
      <c r="Y62" s="185"/>
      <c r="Z62" s="185"/>
      <c r="AA62" s="185"/>
      <c r="AB62" s="185"/>
      <c r="AC62" s="185"/>
      <c r="AD62" s="185"/>
      <c r="AE62" s="185">
        <f t="shared" si="27"/>
        <v>0</v>
      </c>
      <c r="AF62" s="185"/>
      <c r="AG62" s="185"/>
      <c r="AH62" s="185"/>
      <c r="AI62" s="185"/>
      <c r="AJ62" s="185"/>
      <c r="AK62" s="185"/>
      <c r="AL62" s="185"/>
      <c r="AM62" s="185"/>
      <c r="AN62" s="185"/>
      <c r="AO62" s="185"/>
      <c r="AP62" s="185"/>
      <c r="AQ62" s="185"/>
      <c r="AR62" s="185"/>
      <c r="AS62" s="185"/>
      <c r="AT62" s="185"/>
      <c r="AU62" s="185"/>
      <c r="AV62" s="185"/>
      <c r="AW62" s="185"/>
      <c r="AX62" s="185"/>
      <c r="AY62" s="185"/>
      <c r="AZ62" s="185"/>
      <c r="BA62" s="185"/>
      <c r="BB62" s="185"/>
      <c r="BC62" s="185"/>
      <c r="BD62" s="185"/>
      <c r="BE62" s="185"/>
      <c r="BF62" s="185"/>
      <c r="BG62" s="185">
        <f>D62-BL62</f>
        <v>0</v>
      </c>
      <c r="BH62" s="185">
        <f t="shared" si="22"/>
        <v>0</v>
      </c>
      <c r="BI62" s="185"/>
      <c r="BJ62" s="185"/>
      <c r="BK62" s="185"/>
      <c r="BL62" s="185">
        <f>E62+W62+X62+Y62+Z62+AA62+AB62+AC62+AD62+AE62+AQ62+AR62+AS62+AT62+AU62+AV62+AW62+AX62+AY62+AZ62+BA62+BB62+BC62+BD62+BE62+BF62+BH62</f>
        <v>0</v>
      </c>
      <c r="BM62" s="185">
        <f>BG68-BL62</f>
        <v>0</v>
      </c>
      <c r="BN62" s="185">
        <f t="shared" si="29"/>
        <v>0</v>
      </c>
      <c r="BP62" s="123"/>
    </row>
    <row r="63" spans="1:68" s="115" customFormat="1" ht="21.75" customHeight="1">
      <c r="A63" s="15">
        <v>3</v>
      </c>
      <c r="B63" s="15" t="s">
        <v>123</v>
      </c>
      <c r="C63" s="158" t="s">
        <v>124</v>
      </c>
      <c r="D63" s="420">
        <f>D64+D65+D66</f>
        <v>202.63149999999999</v>
      </c>
      <c r="E63" s="420">
        <f>E64+E65+E66</f>
        <v>0.04</v>
      </c>
      <c r="F63" s="420">
        <f t="shared" ref="F63:U63" si="30">F64+F65+F66</f>
        <v>0</v>
      </c>
      <c r="G63" s="420">
        <f t="shared" si="30"/>
        <v>0</v>
      </c>
      <c r="H63" s="420">
        <f t="shared" si="30"/>
        <v>0</v>
      </c>
      <c r="I63" s="420">
        <f t="shared" si="30"/>
        <v>0</v>
      </c>
      <c r="J63" s="420">
        <f t="shared" si="30"/>
        <v>0</v>
      </c>
      <c r="K63" s="420">
        <f t="shared" si="30"/>
        <v>0</v>
      </c>
      <c r="L63" s="420">
        <f t="shared" si="30"/>
        <v>0</v>
      </c>
      <c r="M63" s="420">
        <f t="shared" si="30"/>
        <v>0</v>
      </c>
      <c r="N63" s="420">
        <f t="shared" si="30"/>
        <v>0</v>
      </c>
      <c r="O63" s="420">
        <f t="shared" si="30"/>
        <v>0</v>
      </c>
      <c r="P63" s="420">
        <f t="shared" si="30"/>
        <v>0</v>
      </c>
      <c r="Q63" s="420">
        <f t="shared" si="30"/>
        <v>0</v>
      </c>
      <c r="R63" s="420">
        <f t="shared" si="30"/>
        <v>0</v>
      </c>
      <c r="S63" s="420">
        <f t="shared" si="30"/>
        <v>0.04</v>
      </c>
      <c r="T63" s="420">
        <f t="shared" si="30"/>
        <v>0</v>
      </c>
      <c r="U63" s="420">
        <f t="shared" si="30"/>
        <v>0</v>
      </c>
      <c r="V63" s="420">
        <f>V64+V65+V66</f>
        <v>35.299999999999997</v>
      </c>
      <c r="W63" s="420">
        <f t="shared" ref="W63:BG63" si="31">W64+W65+W66</f>
        <v>0</v>
      </c>
      <c r="X63" s="420">
        <f t="shared" si="31"/>
        <v>0</v>
      </c>
      <c r="Y63" s="420">
        <f t="shared" si="31"/>
        <v>0.48</v>
      </c>
      <c r="Z63" s="420">
        <f t="shared" si="31"/>
        <v>0</v>
      </c>
      <c r="AA63" s="420">
        <f t="shared" si="31"/>
        <v>0</v>
      </c>
      <c r="AB63" s="420">
        <f t="shared" si="31"/>
        <v>2.04</v>
      </c>
      <c r="AC63" s="420">
        <f t="shared" si="31"/>
        <v>0</v>
      </c>
      <c r="AD63" s="420">
        <f t="shared" si="31"/>
        <v>0</v>
      </c>
      <c r="AE63" s="420">
        <f t="shared" si="31"/>
        <v>16.59</v>
      </c>
      <c r="AF63" s="420">
        <f t="shared" si="31"/>
        <v>0.17</v>
      </c>
      <c r="AG63" s="420">
        <f t="shared" si="31"/>
        <v>0</v>
      </c>
      <c r="AH63" s="420">
        <f t="shared" si="31"/>
        <v>2.08</v>
      </c>
      <c r="AI63" s="420">
        <f t="shared" si="31"/>
        <v>0</v>
      </c>
      <c r="AJ63" s="420">
        <f t="shared" si="31"/>
        <v>0</v>
      </c>
      <c r="AK63" s="420">
        <f t="shared" si="31"/>
        <v>0</v>
      </c>
      <c r="AL63" s="420">
        <f t="shared" si="31"/>
        <v>14.34</v>
      </c>
      <c r="AM63" s="420">
        <f t="shared" si="31"/>
        <v>0</v>
      </c>
      <c r="AN63" s="420">
        <f t="shared" si="31"/>
        <v>0</v>
      </c>
      <c r="AO63" s="420">
        <f t="shared" si="31"/>
        <v>0</v>
      </c>
      <c r="AP63" s="420">
        <f t="shared" si="31"/>
        <v>0</v>
      </c>
      <c r="AQ63" s="420">
        <f t="shared" si="31"/>
        <v>0</v>
      </c>
      <c r="AR63" s="420">
        <f t="shared" si="31"/>
        <v>0</v>
      </c>
      <c r="AS63" s="420">
        <f t="shared" si="31"/>
        <v>0</v>
      </c>
      <c r="AT63" s="420">
        <f t="shared" si="31"/>
        <v>0</v>
      </c>
      <c r="AU63" s="420">
        <f t="shared" si="31"/>
        <v>11.27</v>
      </c>
      <c r="AV63" s="420">
        <f t="shared" si="31"/>
        <v>0</v>
      </c>
      <c r="AW63" s="420">
        <f t="shared" si="31"/>
        <v>0</v>
      </c>
      <c r="AX63" s="420">
        <f t="shared" si="31"/>
        <v>0</v>
      </c>
      <c r="AY63" s="420">
        <f t="shared" si="31"/>
        <v>0</v>
      </c>
      <c r="AZ63" s="420">
        <f t="shared" si="31"/>
        <v>0</v>
      </c>
      <c r="BA63" s="420">
        <f t="shared" si="31"/>
        <v>0.06</v>
      </c>
      <c r="BB63" s="420">
        <f t="shared" si="31"/>
        <v>0</v>
      </c>
      <c r="BC63" s="420">
        <f t="shared" si="31"/>
        <v>2.4</v>
      </c>
      <c r="BD63" s="420">
        <f t="shared" si="31"/>
        <v>0</v>
      </c>
      <c r="BE63" s="420">
        <f t="shared" si="31"/>
        <v>0</v>
      </c>
      <c r="BF63" s="420">
        <f t="shared" si="31"/>
        <v>2.46</v>
      </c>
      <c r="BG63" s="420">
        <f t="shared" si="31"/>
        <v>0</v>
      </c>
      <c r="BH63" s="420">
        <f>D63-BL63</f>
        <v>167.29149999999998</v>
      </c>
      <c r="BI63" s="420">
        <f t="shared" ref="BI63:BN63" si="32">BI64+BI65+BI66</f>
        <v>32.351499999999994</v>
      </c>
      <c r="BJ63" s="420">
        <f t="shared" si="32"/>
        <v>134.94</v>
      </c>
      <c r="BK63" s="420">
        <f t="shared" si="32"/>
        <v>0</v>
      </c>
      <c r="BL63" s="420">
        <f t="shared" si="32"/>
        <v>35.339999999999996</v>
      </c>
      <c r="BM63" s="420">
        <f t="shared" si="32"/>
        <v>-35.339999999999996</v>
      </c>
      <c r="BN63" s="420">
        <f t="shared" si="32"/>
        <v>167.29149999999998</v>
      </c>
    </row>
    <row r="64" spans="1:68" ht="21.75" customHeight="1">
      <c r="A64" s="14" t="s">
        <v>220</v>
      </c>
      <c r="B64" s="14" t="s">
        <v>461</v>
      </c>
      <c r="C64" s="30" t="s">
        <v>209</v>
      </c>
      <c r="D64" s="185">
        <f>#REF!</f>
        <v>67.691499999999991</v>
      </c>
      <c r="E64" s="185">
        <f t="shared" si="4"/>
        <v>0.04</v>
      </c>
      <c r="F64" s="185">
        <f t="shared" si="21"/>
        <v>0</v>
      </c>
      <c r="G64" s="185">
        <f t="shared" si="8"/>
        <v>0</v>
      </c>
      <c r="H64" s="185">
        <f t="shared" si="12"/>
        <v>0</v>
      </c>
      <c r="I64" s="185"/>
      <c r="J64" s="185"/>
      <c r="K64" s="185"/>
      <c r="L64" s="185"/>
      <c r="M64" s="185"/>
      <c r="N64" s="185"/>
      <c r="O64" s="185"/>
      <c r="P64" s="185"/>
      <c r="Q64" s="185"/>
      <c r="R64" s="185"/>
      <c r="S64" s="185">
        <v>0.04</v>
      </c>
      <c r="T64" s="185"/>
      <c r="U64" s="185"/>
      <c r="V64" s="185">
        <f t="shared" si="13"/>
        <v>35.299999999999997</v>
      </c>
      <c r="W64" s="185"/>
      <c r="X64" s="185"/>
      <c r="Y64" s="185">
        <v>0.48</v>
      </c>
      <c r="Z64" s="185"/>
      <c r="AA64" s="185"/>
      <c r="AB64" s="185">
        <v>2.04</v>
      </c>
      <c r="AC64" s="185"/>
      <c r="AD64" s="185"/>
      <c r="AE64" s="185">
        <f t="shared" si="27"/>
        <v>16.59</v>
      </c>
      <c r="AF64" s="185">
        <v>0.17</v>
      </c>
      <c r="AG64" s="185"/>
      <c r="AH64" s="185">
        <v>2.08</v>
      </c>
      <c r="AI64" s="185"/>
      <c r="AJ64" s="185"/>
      <c r="AK64" s="185"/>
      <c r="AL64" s="185">
        <v>14.34</v>
      </c>
      <c r="AM64" s="185"/>
      <c r="AN64" s="185"/>
      <c r="AO64" s="185"/>
      <c r="AP64" s="185"/>
      <c r="AQ64" s="185"/>
      <c r="AR64" s="185"/>
      <c r="AS64" s="185"/>
      <c r="AT64" s="185"/>
      <c r="AU64" s="185">
        <v>11.27</v>
      </c>
      <c r="AV64" s="185"/>
      <c r="AW64" s="185"/>
      <c r="AX64" s="185"/>
      <c r="AY64" s="185"/>
      <c r="AZ64" s="185"/>
      <c r="BA64" s="185">
        <v>0.06</v>
      </c>
      <c r="BB64" s="185"/>
      <c r="BC64" s="185">
        <v>2.4</v>
      </c>
      <c r="BD64" s="185"/>
      <c r="BE64" s="185"/>
      <c r="BF64" s="185">
        <v>2.46</v>
      </c>
      <c r="BG64" s="185"/>
      <c r="BH64" s="185">
        <f>BI64+BJ64+BK64</f>
        <v>32.351499999999994</v>
      </c>
      <c r="BI64" s="185">
        <f>D64-BL64</f>
        <v>32.351499999999994</v>
      </c>
      <c r="BJ64" s="185"/>
      <c r="BK64" s="185"/>
      <c r="BL64" s="185">
        <f>E64+V64</f>
        <v>35.339999999999996</v>
      </c>
      <c r="BM64" s="185">
        <f>BI68-BL64</f>
        <v>-35.339999999999996</v>
      </c>
      <c r="BN64" s="185">
        <f>D64+BM64</f>
        <v>32.351499999999994</v>
      </c>
      <c r="BP64" s="123"/>
    </row>
    <row r="65" spans="1:68" ht="21.75" customHeight="1">
      <c r="A65" s="14" t="s">
        <v>221</v>
      </c>
      <c r="B65" s="14" t="s">
        <v>462</v>
      </c>
      <c r="C65" s="30" t="s">
        <v>210</v>
      </c>
      <c r="D65" s="185">
        <f>#REF!</f>
        <v>134.94</v>
      </c>
      <c r="E65" s="185">
        <f t="shared" si="4"/>
        <v>0</v>
      </c>
      <c r="F65" s="185">
        <f t="shared" si="21"/>
        <v>0</v>
      </c>
      <c r="G65" s="185">
        <f t="shared" si="8"/>
        <v>0</v>
      </c>
      <c r="H65" s="185">
        <f t="shared" si="12"/>
        <v>0</v>
      </c>
      <c r="I65" s="185"/>
      <c r="J65" s="185"/>
      <c r="K65" s="185"/>
      <c r="L65" s="185"/>
      <c r="M65" s="185"/>
      <c r="N65" s="185"/>
      <c r="O65" s="185"/>
      <c r="P65" s="185"/>
      <c r="Q65" s="185"/>
      <c r="R65" s="185"/>
      <c r="S65" s="185"/>
      <c r="T65" s="185"/>
      <c r="U65" s="185"/>
      <c r="V65" s="185">
        <f t="shared" si="13"/>
        <v>0</v>
      </c>
      <c r="W65" s="185"/>
      <c r="X65" s="185"/>
      <c r="Y65" s="185"/>
      <c r="Z65" s="185"/>
      <c r="AA65" s="185"/>
      <c r="AB65" s="185"/>
      <c r="AC65" s="185"/>
      <c r="AD65" s="185"/>
      <c r="AE65" s="185">
        <f t="shared" si="27"/>
        <v>0</v>
      </c>
      <c r="AF65" s="185"/>
      <c r="AG65" s="185"/>
      <c r="AH65" s="185"/>
      <c r="AI65" s="185"/>
      <c r="AJ65" s="185"/>
      <c r="AK65" s="185"/>
      <c r="AL65" s="185"/>
      <c r="AM65" s="185"/>
      <c r="AN65" s="185"/>
      <c r="AO65" s="185"/>
      <c r="AP65" s="185"/>
      <c r="AQ65" s="185"/>
      <c r="AR65" s="185"/>
      <c r="AS65" s="185"/>
      <c r="AT65" s="185"/>
      <c r="AU65" s="185"/>
      <c r="AV65" s="185"/>
      <c r="AW65" s="185"/>
      <c r="AX65" s="185"/>
      <c r="AY65" s="185"/>
      <c r="AZ65" s="185"/>
      <c r="BA65" s="185"/>
      <c r="BB65" s="185"/>
      <c r="BC65" s="185"/>
      <c r="BD65" s="185"/>
      <c r="BE65" s="185"/>
      <c r="BF65" s="185"/>
      <c r="BG65" s="185"/>
      <c r="BH65" s="185">
        <f>BI65+BJ65+BK65</f>
        <v>134.94</v>
      </c>
      <c r="BI65" s="185"/>
      <c r="BJ65" s="185">
        <f>D65-BL65</f>
        <v>134.94</v>
      </c>
      <c r="BK65" s="185"/>
      <c r="BL65" s="185">
        <f>E65+V65</f>
        <v>0</v>
      </c>
      <c r="BM65" s="185">
        <f>BJ68-BL65</f>
        <v>0</v>
      </c>
      <c r="BN65" s="185">
        <f>D65+BM65</f>
        <v>134.94</v>
      </c>
      <c r="BP65" s="123"/>
    </row>
    <row r="66" spans="1:68" ht="21.75" customHeight="1">
      <c r="A66" s="16" t="s">
        <v>222</v>
      </c>
      <c r="B66" s="16" t="s">
        <v>492</v>
      </c>
      <c r="C66" s="156" t="s">
        <v>211</v>
      </c>
      <c r="D66" s="455"/>
      <c r="E66" s="455">
        <f t="shared" si="4"/>
        <v>0</v>
      </c>
      <c r="F66" s="455">
        <f t="shared" si="21"/>
        <v>0</v>
      </c>
      <c r="G66" s="455">
        <f t="shared" si="8"/>
        <v>0</v>
      </c>
      <c r="H66" s="455">
        <f t="shared" si="12"/>
        <v>0</v>
      </c>
      <c r="I66" s="455"/>
      <c r="J66" s="455"/>
      <c r="K66" s="455"/>
      <c r="L66" s="455"/>
      <c r="M66" s="455"/>
      <c r="N66" s="455"/>
      <c r="O66" s="455"/>
      <c r="P66" s="455"/>
      <c r="Q66" s="455"/>
      <c r="R66" s="455"/>
      <c r="S66" s="455"/>
      <c r="T66" s="455"/>
      <c r="U66" s="455"/>
      <c r="V66" s="455">
        <f t="shared" si="13"/>
        <v>0</v>
      </c>
      <c r="W66" s="455"/>
      <c r="X66" s="455"/>
      <c r="Y66" s="455"/>
      <c r="Z66" s="455"/>
      <c r="AA66" s="455"/>
      <c r="AB66" s="455"/>
      <c r="AC66" s="455"/>
      <c r="AD66" s="455"/>
      <c r="AE66" s="455">
        <f t="shared" si="27"/>
        <v>0</v>
      </c>
      <c r="AF66" s="455"/>
      <c r="AG66" s="455"/>
      <c r="AH66" s="455"/>
      <c r="AI66" s="455"/>
      <c r="AJ66" s="455"/>
      <c r="AK66" s="455"/>
      <c r="AL66" s="455"/>
      <c r="AM66" s="455"/>
      <c r="AN66" s="455"/>
      <c r="AO66" s="455"/>
      <c r="AP66" s="455"/>
      <c r="AQ66" s="455"/>
      <c r="AR66" s="455"/>
      <c r="AS66" s="455"/>
      <c r="AT66" s="455"/>
      <c r="AU66" s="455"/>
      <c r="AV66" s="455"/>
      <c r="AW66" s="455"/>
      <c r="AX66" s="455"/>
      <c r="AY66" s="455"/>
      <c r="AZ66" s="455"/>
      <c r="BA66" s="455"/>
      <c r="BB66" s="455"/>
      <c r="BC66" s="455"/>
      <c r="BD66" s="455"/>
      <c r="BE66" s="455"/>
      <c r="BF66" s="455"/>
      <c r="BG66" s="455"/>
      <c r="BH66" s="455">
        <f>BI66+BJ66+BK66</f>
        <v>0</v>
      </c>
      <c r="BI66" s="455"/>
      <c r="BJ66" s="455"/>
      <c r="BK66" s="455">
        <f>D66-BL66</f>
        <v>0</v>
      </c>
      <c r="BL66" s="455">
        <f>E66+V66</f>
        <v>0</v>
      </c>
      <c r="BM66" s="455">
        <f>D66-BL66</f>
        <v>0</v>
      </c>
      <c r="BN66" s="455">
        <f>D66+BM66</f>
        <v>0</v>
      </c>
      <c r="BP66" s="123"/>
    </row>
    <row r="67" spans="1:68" s="892" customFormat="1" ht="21.75" customHeight="1">
      <c r="A67" s="900"/>
      <c r="B67" s="900"/>
      <c r="C67" s="912" t="s">
        <v>1079</v>
      </c>
      <c r="D67" s="913"/>
      <c r="E67" s="913"/>
      <c r="F67" s="913"/>
      <c r="G67" s="913"/>
      <c r="H67" s="913"/>
      <c r="I67" s="913"/>
      <c r="J67" s="913"/>
      <c r="K67" s="913"/>
      <c r="L67" s="913"/>
      <c r="M67" s="913"/>
      <c r="N67" s="913"/>
      <c r="O67" s="913"/>
      <c r="P67" s="913"/>
      <c r="Q67" s="913"/>
      <c r="R67" s="913"/>
      <c r="S67" s="913"/>
      <c r="T67" s="913"/>
      <c r="U67" s="913"/>
      <c r="V67" s="913">
        <f t="shared" si="13"/>
        <v>0.14000000000000001</v>
      </c>
      <c r="W67" s="913"/>
      <c r="X67" s="913"/>
      <c r="Y67" s="913"/>
      <c r="Z67" s="913"/>
      <c r="AA67" s="913"/>
      <c r="AB67" s="913"/>
      <c r="AC67" s="913"/>
      <c r="AD67" s="913"/>
      <c r="AE67" s="913">
        <f>+SUM(AF67:AP67)</f>
        <v>0.14000000000000001</v>
      </c>
      <c r="AF67" s="913"/>
      <c r="AG67" s="913"/>
      <c r="AH67" s="913"/>
      <c r="AI67" s="913"/>
      <c r="AJ67" s="913"/>
      <c r="AK67" s="913"/>
      <c r="AL67" s="913">
        <v>0.14000000000000001</v>
      </c>
      <c r="AM67" s="913"/>
      <c r="AN67" s="913"/>
      <c r="AO67" s="913"/>
      <c r="AP67" s="913"/>
      <c r="AQ67" s="913"/>
      <c r="AR67" s="913"/>
      <c r="AS67" s="913"/>
      <c r="AT67" s="913"/>
      <c r="AU67" s="913"/>
      <c r="AV67" s="913"/>
      <c r="AW67" s="913"/>
      <c r="AX67" s="913"/>
      <c r="AY67" s="913"/>
      <c r="AZ67" s="913"/>
      <c r="BA67" s="913"/>
      <c r="BB67" s="913"/>
      <c r="BC67" s="913"/>
      <c r="BD67" s="913"/>
      <c r="BE67" s="913"/>
      <c r="BF67" s="913"/>
      <c r="BG67" s="913"/>
      <c r="BH67" s="913"/>
      <c r="BI67" s="913"/>
      <c r="BJ67" s="913"/>
      <c r="BK67" s="913"/>
      <c r="BL67" s="913"/>
      <c r="BM67" s="913"/>
      <c r="BN67" s="913"/>
    </row>
    <row r="68" spans="1:68" s="115" customFormat="1" ht="24.75" customHeight="1">
      <c r="A68" s="17"/>
      <c r="B68" s="17" t="s">
        <v>190</v>
      </c>
      <c r="C68" s="17"/>
      <c r="D68" s="399"/>
      <c r="E68" s="399">
        <f>E25+E63</f>
        <v>0.48</v>
      </c>
      <c r="F68" s="399">
        <f>F18+F22+F23+F24+F25+F63</f>
        <v>0</v>
      </c>
      <c r="G68" s="399">
        <f>G17+G18+G22+G23+G24+G25+G63</f>
        <v>0</v>
      </c>
      <c r="H68" s="399">
        <f>H15+H16+H17+H18+H22+H23+H24+H25+H63</f>
        <v>0</v>
      </c>
      <c r="I68" s="399">
        <f>I13+I14+I15+I16+I17+I18+I22+I23+I24+I25+I63</f>
        <v>0</v>
      </c>
      <c r="J68" s="399">
        <f>J12+J14+J15+J16+J17+J18+J22+J23+J24+J25+J63</f>
        <v>0</v>
      </c>
      <c r="K68" s="399">
        <f>K12+K13+K15+K16+K17+K18+K22+K23+K24+K25+K63</f>
        <v>0</v>
      </c>
      <c r="L68" s="399">
        <f>L12+L13+L14+L16+L17+L18+L22+L23+L24+L25+L63</f>
        <v>0</v>
      </c>
      <c r="M68" s="399">
        <f>M12+M13+M14+M15+M17+M18+M22+M23+M24+M25+M63</f>
        <v>0</v>
      </c>
      <c r="N68" s="399">
        <f>N12+N13+N14+N15+N16+N18+N22+N23+N24+N25+N63</f>
        <v>0</v>
      </c>
      <c r="O68" s="399">
        <f>O9+O22+O23+O24+O25+O63</f>
        <v>0</v>
      </c>
      <c r="P68" s="733">
        <f>P10+P17+P20+P21+P22+P23+P24+P25+P63</f>
        <v>0</v>
      </c>
      <c r="Q68" s="733">
        <f>Q12+Q13+Q14+Q15+Q16+Q17+Q19+Q21+Q22+Q23+Q24+Q25+Q63</f>
        <v>0</v>
      </c>
      <c r="R68" s="733">
        <f>R12+R13+R14+R15+R16+R17+R19+R20+R22+R23+R24+R25+R63</f>
        <v>0</v>
      </c>
      <c r="S68" s="729">
        <f>S9+S18+S23+S24+S25+S63</f>
        <v>1.1900000000000002</v>
      </c>
      <c r="T68" s="733">
        <f>T9+T18+T22+T24+T25+T63</f>
        <v>0</v>
      </c>
      <c r="U68" s="733">
        <f>U9+U18+U22+U23+U25+U63</f>
        <v>0</v>
      </c>
      <c r="V68" s="733">
        <f>V8+V63+V67</f>
        <v>192.32999999999998</v>
      </c>
      <c r="W68" s="729">
        <f>W8+W27+W28+W29+W30+W31+W32+W33+W34+W46+W47+W48+W49+W50+W51+W52+W53+W54+W55+W56+W57+W58+W59+W60+W61+W62+W63</f>
        <v>0.02</v>
      </c>
      <c r="X68" s="733">
        <f>X8+X26+X28+X29+X30+X31+X32+X33+X34+X46+X47+X48+X49+X50+X51+X52+X53+X54+X55+X56+X57+X58+X59+X60+X61+X62+X63</f>
        <v>0</v>
      </c>
      <c r="Y68" s="729">
        <f>Y8+Y26+Y27+Y29+Y30+Y31+Y32+Y33+Y34+Y46+Y47+Y48+Y49+Y50+Y51+Y52+Y53+Y54+Y55+Y56+Y57+Y58+Y59+Y60+Y61+Y62+Y63</f>
        <v>38.219999999999992</v>
      </c>
      <c r="Z68" s="733">
        <f>Z8+Z26+Z27+Z28+Z30+Z31+Z32+Z33+Z34+Z46+Z47+Z48+Z49+Z50+Z51+Z52+Z53+Z54+Z55+Z56+Z57+Z58+Z59+Z60+Z61+Z62+Z63</f>
        <v>0</v>
      </c>
      <c r="AA68" s="733">
        <f>AA8+AA26+AA27+AA28+AA29+AA31+AA32+AA33+AA34+AA46+AA47+AA48+AA49+AA50+AA51+AA52+AA53+AA54+AA55+AA56+AA57+AA58+AA59+AA60+AA61+AA62+AA63</f>
        <v>0</v>
      </c>
      <c r="AB68" s="729">
        <f>AB8+AB26+AB27+AB28+AB29+AB30+AB32+AB33+AB34+AB46+AB47+AB48+AB49+AB50+AB51+AB52+AB53+AB54+AB55+AB56+AB57+AB58+AB59+AB60+AB61+AB62+AB63</f>
        <v>59.449999999999996</v>
      </c>
      <c r="AC68" s="729">
        <f>AC8+AC26+AC27+AC28+AC29+AC30+AC31+AC33+AC34+AC46+AC47+AC48+AC49+AC50+AC51+AC52+AC53+AC54+AC55+AC56+AC57+AC58+AC59+AC60+AC61+AC62+AC63</f>
        <v>11.43</v>
      </c>
      <c r="AD68" s="733">
        <f>AD8+AD26+AD27+AD28+AD29+AD30+AD31+AD32+AD34+AD46+AD47+AD48+AD49+AD50+AD51+AD52+AD53+AD54+AD55+AD56+AD57+AD58+AD59+AD60+AD61+AD62+AD63</f>
        <v>0</v>
      </c>
      <c r="AE68" s="733">
        <f>AE8+AE26+AE27+AE28+AE29+AE30+AE31+AE32+AE33+AE46+AE47+AE48+AE49+AE50+AE51+AE52+AE53+AE54+AE55+AE56+AE57+AE58+AE59+AE60+AE61+AE62+AE63+AE67</f>
        <v>48.47</v>
      </c>
      <c r="AF68" s="733">
        <f>AF8+AF26+AF27+AF28+AF29+AF30+AF31+AF32+AF33+AF3+AF36+AF37+AF38+AF39+AF40+AF41+AF42+AF43+AF44+AF45+AF46+AF47+AF48+AF49+AF50+AF51+AF52+AF53+AF54+AF55+AF56+AF57+AF58+AF59+AF60+AF61+AF62+AF63</f>
        <v>0.31000000000000005</v>
      </c>
      <c r="AG68" s="733">
        <f>AG8+AG26+AG27+AG28+AG29+AG30+AG31+AG32+AG33+AG35+AG37+AG38+AG39+AG40+AG41+AG42+AG43+AG44+AG45+AG46+AG47+AG48+AG49+AG50+AG51+AG52+AG53+AG54+AG55+AG56+AG57+AG58+AG59+AG60+AG61+AG62+AG63</f>
        <v>0</v>
      </c>
      <c r="AH68" s="729">
        <f>AH8+AH26+AH27+AH28+AH29+AH30+AH31+AH32+AH33+AH35+AH36+AH38+AH39+AH40+AH41+AH42+AH43+AH44+AH45+AH46+AH47+AH48+AH49+AH50+AH51+AH52+AH53+AH54+AH55+AH56+AH57+AH58+AH59+AH60+AH61+AH62+AH63</f>
        <v>4.6899999999999995</v>
      </c>
      <c r="AI68" s="733">
        <f>AI8+AI26+AI27+AI28+AI29+AI30+AI31+AI32+AI33+AI35+AI36+AI37+AI39+AI40+AI41+AI42+AI43+AI44+AI45+AI46+AI47+AI48+AI49+AI50+AI51+AI52+AI53+AI54+AI55+AI56+AI57+AI58+AI59+AI60+AI61+AI62+AI63</f>
        <v>0</v>
      </c>
      <c r="AJ68" s="733">
        <f>AJ8+AJ26+AJ27+AJ28+AJ29+AJ30+AJ31+AJ32+AJ33+AJ35+AJ36+AJ37+AJ38+AJ40+AJ41+AJ42+AJ43+AJ44+AJ45+AJ46+AJ47+AJ48+AJ49+AJ50+AJ51+AJ52+AJ53+AJ54+AJ55+AJ56+AJ57+AJ58+AJ59+AJ60+AJ61+AJ62+AJ63</f>
        <v>0</v>
      </c>
      <c r="AK68" s="733">
        <f>AK8+AK26+AK27+AK28+AK29+AK30+AK31+AK32+AK33+AK35+AK36+AK37+AK38+AK39+AK41+AK42+AK43+AK44+AK45+AK46+AK47+AK48+AK49+AK50+AK51+AK52+AK53+AK54+AK55+AK56+AK57+AK58+AK59+AK60+AK61+AK62+AK63</f>
        <v>0</v>
      </c>
      <c r="AL68" s="729">
        <f>AL8+AL26+AL27+AL28+AL29+AL30+AL31+AL32+AL33+AL35+AL36+AL37+AL38+AL39+AL40+AL42+AL43+AL44+AL45+AL46+AL47+AL48+AL49+AL50+AL51+AL52+AL53+AL54+AL55+AL56+AL57+AL58+AL59+AL60+AL61+AL62+AL63+AL67</f>
        <v>44.31</v>
      </c>
      <c r="AM68" s="729">
        <f>AM8+AM26+AM27+AM28+AM29+AM30+AM31+AM32+AM33+AM35+AM36+AM37+AM38+AM39+AM40+AM41+AM43+AM44+AM45+AM46+AM47+AM48+AM49+AM50+AM51+AM52+AM53+AM54+AM55+AM56+AM57+AM58+AM59+AM60+AM61+AM62+AM63</f>
        <v>0</v>
      </c>
      <c r="AN68" s="733">
        <f>AN8+AN26+AN27+AN28+AN29+AN30+AN31+AN32+AN33+AN35+AN36+AN37+AN38+AN39+AN40+AN41+AN42+AN44+AN45+AN46+AN47+AN48+AN49+AN50+AN51+AN52+AN53+AN54+AN55+AN56+AN57+AN58+AN59+AN60+AN61+AN62+AN63</f>
        <v>0</v>
      </c>
      <c r="AO68" s="733">
        <f>AO8+AO26+AO27+AO28+AO29+AO30+AO31+AO32+AO33+AO35+AO36+AO37+AO38+AO39+AO40+AO41+AO42+AO43+AO45+AO46+AO47+AO48+AO49+AO50+AO51+AO52+AO53+AO54+AO55+AO56+AO57+AO58+AO59+AO60+AO61+AO62+AO63</f>
        <v>0</v>
      </c>
      <c r="AP68" s="733">
        <f>AP8+AP26+AP27+AP28+AP29+AP30+AP31+AP32+AP33+AP35+AP36+AP37+AP38+AP39+AP40+AP41+AP42+AP43+AP44+AP46+AP47+AP48+AP49+AP50+AP51+AP52+AP53+AP54+AP55+AP56+AP57+AP58+AP59+AP60+AP61+AP62+AP63</f>
        <v>0</v>
      </c>
      <c r="AQ68" s="733">
        <f>AQ8+AQ26+AQ27+AQ28+AQ29+AQ30+AQ31+AQ32+AQ33+AQ34+AQ47+AQ48+AQ49+AQ50+AQ51+AQ52+AQ53+AQ54+AQ55+AQ56+AQ57+AQ58+AQ59+AQ60+AQ61+AQ62+AQ63</f>
        <v>0</v>
      </c>
      <c r="AR68" s="733">
        <f>AR8+AR26+AR27+AR28+AR29+AR30+AR31+AR32+AR33+AR34+AR46+AR48+AR49+AR50+AR51+AR52+AR53+AR54+AR55+AR56+AR57+AR58+AR59+AR60+AR61+AR62+AR63</f>
        <v>0</v>
      </c>
      <c r="AS68" s="733">
        <f>AS8+AS26+AS27+AS28+AS29+AS30+AS31+AS32+AS33+AS34+AS46+AS47+AS49+AS50+AS51+AS52+AS53+AS54+AS55+AS56+AS57+AS58+AS59+AS60+AS61+AS62+AS63</f>
        <v>0</v>
      </c>
      <c r="AT68" s="733">
        <f>AT8+AT26+AT27+AT28+AT29+AT30+AT31+AT32+AT33+AT34+AT46+AT47+AT48+AT50+AT51+AT52+AT53+AT54+AT55+AT56+AT57+AT58+AT59+AT60+AT61+AT62+AT63</f>
        <v>0</v>
      </c>
      <c r="AU68" s="729">
        <f>AU8+AU26+AU27+AU28+AU29+AU30+AU31+AU32+AU33+AU34+AU46+AU47+AU48+AU49+AU51+AU52+AU53+AU54+AU55+AU56+AU57+AU58+AU59+AU60+AU61+AU62+AU63</f>
        <v>18.939999999999998</v>
      </c>
      <c r="AV68" s="733">
        <f>AV8+AV26+AV27+AV28+AV29+AV30+AV31+AV32+AV33+AV34+AV46+AV47+AV48+AV49+AV50+AV52+AV53+AV54+AV55+AV56+AV57+AV58+AV59+AV60+AV61+AV62+AV63</f>
        <v>0</v>
      </c>
      <c r="AW68" s="733">
        <f>AW8+AW26+AW27+AW28+AW29+AW30+AW31+AW32+AW33+AW34+AW46+AW47+AW48+AW49+AW50+AW51+AW53+AW54+AW55+AW56+AW57+AW58+AW59+AW60+AW61+AW62+AW63</f>
        <v>0</v>
      </c>
      <c r="AX68" s="733">
        <f>AX8+AX26+AX27+AX28+AX29+AX30+AX31+AX32+AX33+AX34+AX46+AX47+AX48+AX49+AX50+AX51+AX52+AX54+AX55+AX56+AX57+AX58+AX59+AX60+AX61+AX62+AX63</f>
        <v>0</v>
      </c>
      <c r="AY68" s="729">
        <f>AY8+AY26+AY27+AY28+AY29+AY30+AY31+AY32+AY33+AY34+AY46+AY47+AY48+AY49+AY50+AY51+AY52+AY53+AY55+AY56+AY57+AY58+AY59+AY60+AY61+AY62+AY63</f>
        <v>1.35</v>
      </c>
      <c r="AZ68" s="733">
        <f>AZ8+AZ26+AZ27+AZ28+AZ29+AZ30+AZ31+AZ32+AZ33+AZ34+AZ46+AZ47+AZ48+AZ49+AZ50+AZ51+AZ52+AZ53+AZ54+AZ56+AZ57+AZ58+AZ59+AZ60+AZ61+AZ62+AZ63</f>
        <v>0</v>
      </c>
      <c r="BA68" s="729">
        <f>BA8+BA26+BA27+BA28+BA29+BA30+BA31+BA32+BA33+BA34+BA46+BA47+BA48+BA49+BA50+BA51+BA52+BA53+BA54+BA55+BA57+BA58+BA59+BA60+BA61+BA62+BA63</f>
        <v>14.360000000000001</v>
      </c>
      <c r="BB68" s="733">
        <f>BB8+BB26+BB27+BB28+BB29+BB30+BB31+BB32+BB33+BB34+BB46+BB47+BB48+BB49+BB50+BB51+BB52+BB53+BB54+BB55+BB56+BB58+BB59+BB60+BB61+BB62+BB63</f>
        <v>0</v>
      </c>
      <c r="BC68" s="729">
        <f>BC8+BC26+BC27+BC28+BC29+BC30+BC31+BC32+BC33+BC34+BC46+BC47+BC48+BC49+BC50+BC51+BC52+BC53+BC54+BC55+BC56+BC57+BC59+BC60+BC61+BC62+BC63</f>
        <v>5.17</v>
      </c>
      <c r="BD68" s="733">
        <f>BD8+BD26+BD27+BD28+BD29+BD30+BD31+BD32+BD33+BD34+BD46+BD47+BD48+BD49+BD50+BD51+BD52+BD53+BD54+BD55+BD56+BD57+BD58+BD60+BD61+BD62+BD63</f>
        <v>0</v>
      </c>
      <c r="BE68" s="733">
        <f>BE8+BE26+BE27+BE28+BE29+BE30+BE31+BE32+BE33+BE34+BE46+BE47+BE48+BE49+BE50+BE51+BE52+BE53+BE54+BE55+BE56+BE57+BE58+BE59+BE61+BE62+BE63</f>
        <v>0</v>
      </c>
      <c r="BF68" s="733">
        <f>BF8+BF26+BF27+BF28+BF29+BF30+BF31+BF32+BF33+BF34+BF46+BF47+BF48+BF49+BF50+BF51+BF52+BF53+BF54+BF55+BF56+BF57+BF58+BF59+BF60+BF62+BF63</f>
        <v>2.76</v>
      </c>
      <c r="BG68" s="399">
        <f>BG8+BG26+BG27+BG28+BG29+BG30+BG31+BG32+BG33+BG34+BG46+BG47+BG48+BG49+BG50+BG51+BG52+BG53+BG54+BG55+BG56+BG57+BG58+BG59+BG60+BG61+BG63</f>
        <v>0</v>
      </c>
      <c r="BH68" s="399">
        <f>BH8+BH25</f>
        <v>0</v>
      </c>
      <c r="BI68" s="399">
        <f>BI8+BI25+BI65+BI66</f>
        <v>0</v>
      </c>
      <c r="BJ68" s="399">
        <f>BJ8+BJ25+BJ64+BJ66</f>
        <v>0</v>
      </c>
      <c r="BK68" s="399">
        <f>BK8+BK25+BK64+BK65</f>
        <v>0</v>
      </c>
      <c r="BL68" s="399"/>
      <c r="BM68" s="399"/>
      <c r="BN68" s="399"/>
    </row>
    <row r="69" spans="1:68" s="117" customFormat="1" ht="31.5" customHeight="1">
      <c r="A69" s="18"/>
      <c r="B69" s="157" t="s">
        <v>695</v>
      </c>
      <c r="C69" s="157"/>
      <c r="D69" s="456">
        <f>BN7</f>
        <v>4577.7154</v>
      </c>
      <c r="E69" s="456">
        <f>BN8</f>
        <v>3513.0654</v>
      </c>
      <c r="F69" s="456">
        <f>BN9</f>
        <v>768.55540000000008</v>
      </c>
      <c r="G69" s="456">
        <f>BN10</f>
        <v>391.25580000000002</v>
      </c>
      <c r="H69" s="456">
        <f>BN11</f>
        <v>286.43510000000003</v>
      </c>
      <c r="I69" s="456">
        <f>BN12</f>
        <v>207.71510000000001</v>
      </c>
      <c r="J69" s="456">
        <f>BN13</f>
        <v>78.72</v>
      </c>
      <c r="K69" s="456">
        <f>BN14</f>
        <v>0</v>
      </c>
      <c r="L69" s="456">
        <f>BN15</f>
        <v>0</v>
      </c>
      <c r="M69" s="456">
        <f>BN16</f>
        <v>104.8207</v>
      </c>
      <c r="N69" s="456">
        <f>BN17</f>
        <v>377.2996</v>
      </c>
      <c r="O69" s="456">
        <f>BN18</f>
        <v>2429</v>
      </c>
      <c r="P69" s="456">
        <f>BN19</f>
        <v>870.28</v>
      </c>
      <c r="Q69" s="456">
        <f>BN20</f>
        <v>0</v>
      </c>
      <c r="R69" s="456">
        <f>BN21</f>
        <v>1558.72</v>
      </c>
      <c r="S69" s="456">
        <f>BN22</f>
        <v>277.87</v>
      </c>
      <c r="T69" s="456">
        <f>BN23</f>
        <v>0</v>
      </c>
      <c r="U69" s="456">
        <f>BN24</f>
        <v>37.64</v>
      </c>
      <c r="V69" s="456">
        <f>BN25</f>
        <v>897.35850000000005</v>
      </c>
      <c r="W69" s="456">
        <f>BN26</f>
        <v>18.489999999999998</v>
      </c>
      <c r="X69" s="456">
        <f>BN27</f>
        <v>0.61</v>
      </c>
      <c r="Y69" s="456">
        <f>BN28</f>
        <v>117.81</v>
      </c>
      <c r="Z69" s="456">
        <f>BN29</f>
        <v>0</v>
      </c>
      <c r="AA69" s="456">
        <f>BN30</f>
        <v>0</v>
      </c>
      <c r="AB69" s="456">
        <f>BN31</f>
        <v>173.71</v>
      </c>
      <c r="AC69" s="456">
        <f>BN32</f>
        <v>23.53</v>
      </c>
      <c r="AD69" s="456">
        <f>BN33</f>
        <v>0</v>
      </c>
      <c r="AE69" s="456">
        <f>BN34</f>
        <v>290.67519999999996</v>
      </c>
      <c r="AF69" s="456">
        <f>BN35</f>
        <v>1.3900000000000001</v>
      </c>
      <c r="AG69" s="456">
        <f>BN36</f>
        <v>0.18</v>
      </c>
      <c r="AH69" s="456">
        <f>BN37</f>
        <v>19.41</v>
      </c>
      <c r="AI69" s="456">
        <f>BN38</f>
        <v>0.54</v>
      </c>
      <c r="AJ69" s="456">
        <f>BN39</f>
        <v>0</v>
      </c>
      <c r="AK69" s="456">
        <f>BN40</f>
        <v>0</v>
      </c>
      <c r="AL69" s="456">
        <f>BN41</f>
        <v>199.79519999999999</v>
      </c>
      <c r="AM69" s="456">
        <f>BN42</f>
        <v>69.05</v>
      </c>
      <c r="AN69" s="456">
        <f>BN43</f>
        <v>0</v>
      </c>
      <c r="AO69" s="456">
        <f>BN44</f>
        <v>0.03</v>
      </c>
      <c r="AP69" s="456">
        <f>BN45</f>
        <v>0.28000000000000003</v>
      </c>
      <c r="AQ69" s="456">
        <f>BN46</f>
        <v>0</v>
      </c>
      <c r="AR69" s="456">
        <f>BN47</f>
        <v>0</v>
      </c>
      <c r="AS69" s="456">
        <f>BN48</f>
        <v>3.84</v>
      </c>
      <c r="AT69" s="456">
        <f>BN49</f>
        <v>0</v>
      </c>
      <c r="AU69" s="456">
        <f>BN50</f>
        <v>100.27369999999999</v>
      </c>
      <c r="AV69" s="456">
        <f>BN51</f>
        <v>0.71</v>
      </c>
      <c r="AW69" s="456">
        <f>BN52</f>
        <v>0</v>
      </c>
      <c r="AX69" s="456">
        <f>BN53</f>
        <v>0</v>
      </c>
      <c r="AY69" s="456">
        <f>BN54</f>
        <v>6.01</v>
      </c>
      <c r="AZ69" s="456">
        <f>BN55</f>
        <v>27.41</v>
      </c>
      <c r="BA69" s="456">
        <f>BN56</f>
        <v>22.65</v>
      </c>
      <c r="BB69" s="456">
        <f>BN57</f>
        <v>1.4596</v>
      </c>
      <c r="BC69" s="456">
        <f>BN58</f>
        <v>6.4399999999999995</v>
      </c>
      <c r="BD69" s="456">
        <f>BN59</f>
        <v>0.41</v>
      </c>
      <c r="BE69" s="456">
        <f>BN60</f>
        <v>37.520000000000003</v>
      </c>
      <c r="BF69" s="456">
        <f>BN61</f>
        <v>65.81</v>
      </c>
      <c r="BG69" s="456">
        <f>BN62</f>
        <v>0</v>
      </c>
      <c r="BH69" s="456">
        <f>BN63</f>
        <v>167.29149999999998</v>
      </c>
      <c r="BI69" s="456">
        <f>BN64</f>
        <v>32.351499999999994</v>
      </c>
      <c r="BJ69" s="456">
        <f>BN65</f>
        <v>134.94</v>
      </c>
      <c r="BK69" s="456">
        <f>BN66</f>
        <v>0</v>
      </c>
      <c r="BL69" s="456"/>
      <c r="BM69" s="456"/>
      <c r="BN69" s="456"/>
    </row>
    <row r="71" spans="1:68" ht="18" customHeight="1">
      <c r="A71" s="1300" t="s">
        <v>10</v>
      </c>
      <c r="B71" s="1300"/>
    </row>
    <row r="72" spans="1:68" ht="28.5" customHeight="1">
      <c r="A72" s="1300" t="s">
        <v>321</v>
      </c>
      <c r="B72" s="1300"/>
      <c r="C72" s="1300"/>
      <c r="D72" s="1300"/>
      <c r="E72" s="1300"/>
      <c r="F72" s="1300"/>
      <c r="G72" s="1300"/>
      <c r="H72" s="1300"/>
      <c r="I72" s="1300"/>
      <c r="J72" s="1300"/>
      <c r="K72" s="1300"/>
      <c r="L72" s="1300"/>
      <c r="M72" s="1300"/>
      <c r="N72" s="1300"/>
      <c r="O72" s="1300"/>
      <c r="P72" s="1300"/>
      <c r="Q72" s="1300"/>
      <c r="R72" s="1300"/>
      <c r="S72" s="1300"/>
      <c r="T72" s="1300"/>
      <c r="U72" s="1300"/>
      <c r="V72" s="1300"/>
      <c r="W72" s="1300"/>
      <c r="X72" s="1300"/>
      <c r="Y72" s="1300"/>
      <c r="Z72" s="1300"/>
      <c r="AA72" s="1300"/>
      <c r="AB72" s="1300"/>
      <c r="AC72" s="1300"/>
      <c r="AD72" s="1300"/>
      <c r="AE72" s="1300"/>
      <c r="AF72" s="1300"/>
      <c r="AG72" s="1300"/>
      <c r="AH72" s="1300"/>
      <c r="AI72" s="1300"/>
      <c r="AJ72" s="1300"/>
      <c r="AK72" s="1300"/>
      <c r="AL72" s="1300"/>
      <c r="AM72" s="1300"/>
      <c r="AN72" s="1300"/>
      <c r="AO72" s="1300"/>
      <c r="AP72" s="1300"/>
      <c r="AQ72" s="1300"/>
      <c r="AR72" s="1300"/>
      <c r="AS72" s="1300"/>
    </row>
    <row r="73" spans="1:68" ht="24.75" customHeight="1">
      <c r="A73" s="1300" t="s">
        <v>322</v>
      </c>
      <c r="B73" s="1300"/>
      <c r="C73" s="1300"/>
      <c r="D73" s="1300"/>
      <c r="E73" s="1300"/>
      <c r="F73" s="1300"/>
      <c r="G73" s="1300"/>
      <c r="H73" s="1300"/>
      <c r="I73" s="1300"/>
      <c r="J73" s="1300"/>
      <c r="K73" s="1300"/>
      <c r="L73" s="1300"/>
      <c r="M73" s="1300"/>
      <c r="N73" s="1300"/>
      <c r="O73" s="1300"/>
      <c r="P73" s="1300"/>
      <c r="Q73" s="1300"/>
      <c r="R73" s="1300"/>
      <c r="S73" s="1300"/>
      <c r="T73" s="1300"/>
      <c r="U73" s="1300"/>
      <c r="V73" s="1300"/>
      <c r="W73" s="1300"/>
      <c r="X73" s="1300"/>
      <c r="Y73" s="1300"/>
      <c r="Z73" s="1300"/>
      <c r="AA73" s="1300"/>
      <c r="AB73" s="1300"/>
      <c r="AC73" s="1300"/>
      <c r="AD73" s="1300"/>
      <c r="AE73" s="1300"/>
      <c r="AF73" s="1300"/>
      <c r="AG73" s="1300"/>
      <c r="AH73" s="1300"/>
      <c r="AI73" s="1300"/>
      <c r="AJ73" s="1300"/>
      <c r="AK73" s="1300"/>
      <c r="AL73" s="1300"/>
      <c r="AM73" s="1300"/>
      <c r="AN73" s="1300"/>
      <c r="AO73" s="1300"/>
      <c r="AP73" s="1300"/>
      <c r="AQ73" s="1300"/>
      <c r="AR73" s="1300"/>
      <c r="AS73" s="1300"/>
    </row>
    <row r="74" spans="1:68" ht="21.75" customHeight="1">
      <c r="AR74" s="1300" t="s">
        <v>138</v>
      </c>
      <c r="AS74" s="1300"/>
    </row>
    <row r="75" spans="1:68" ht="31.5" customHeight="1">
      <c r="A75" s="1300" t="s">
        <v>0</v>
      </c>
      <c r="B75" s="1300" t="s">
        <v>12</v>
      </c>
      <c r="C75" s="1300" t="s">
        <v>13</v>
      </c>
      <c r="D75" s="1300" t="s">
        <v>324</v>
      </c>
      <c r="E75" s="1300" t="s">
        <v>326</v>
      </c>
      <c r="F75" s="1300"/>
      <c r="G75" s="1300"/>
      <c r="H75" s="1300"/>
      <c r="I75" s="1300"/>
      <c r="J75" s="1300"/>
      <c r="K75" s="1300"/>
      <c r="L75" s="1300"/>
      <c r="M75" s="1300"/>
      <c r="N75" s="1300"/>
      <c r="O75" s="1300"/>
      <c r="P75" s="1300"/>
      <c r="Q75" s="1300"/>
      <c r="R75" s="1300"/>
      <c r="S75" s="1300"/>
      <c r="T75" s="1300"/>
      <c r="U75" s="1300"/>
      <c r="V75" s="1300"/>
      <c r="W75" s="1300"/>
      <c r="X75" s="1300"/>
      <c r="Y75" s="1300"/>
      <c r="Z75" s="1300"/>
      <c r="AA75" s="1300"/>
      <c r="AB75" s="1300"/>
      <c r="AC75" s="1300"/>
      <c r="AD75" s="1300"/>
      <c r="AE75" s="1300"/>
      <c r="AF75" s="1300"/>
      <c r="AG75" s="1300"/>
      <c r="AH75" s="1300"/>
      <c r="AI75" s="1300"/>
      <c r="AJ75" s="1300"/>
      <c r="AK75" s="1300"/>
      <c r="AL75" s="1300"/>
      <c r="AM75" s="1300"/>
      <c r="AN75" s="1300"/>
      <c r="AO75" s="1300"/>
      <c r="AP75" s="1300"/>
      <c r="AQ75" s="1300"/>
      <c r="AR75" s="1300" t="s">
        <v>191</v>
      </c>
      <c r="AS75" s="1300" t="s">
        <v>323</v>
      </c>
    </row>
    <row r="76" spans="1:68" ht="30" customHeight="1">
      <c r="A76" s="1300"/>
      <c r="B76" s="1300"/>
      <c r="C76" s="1300"/>
      <c r="D76" s="1300"/>
      <c r="E76" t="s">
        <v>15</v>
      </c>
      <c r="F76" t="s">
        <v>18</v>
      </c>
      <c r="G76" t="s">
        <v>20</v>
      </c>
      <c r="H76" t="s">
        <v>23</v>
      </c>
      <c r="I76" t="s">
        <v>26</v>
      </c>
      <c r="J76" t="s">
        <v>29</v>
      </c>
      <c r="K76" t="s">
        <v>32</v>
      </c>
      <c r="L76" t="s">
        <v>35</v>
      </c>
      <c r="M76" t="s">
        <v>38</v>
      </c>
      <c r="N76" t="s">
        <v>41</v>
      </c>
      <c r="O76" t="s">
        <v>44</v>
      </c>
      <c r="P76" t="s">
        <v>46</v>
      </c>
      <c r="Q76" t="s">
        <v>49</v>
      </c>
      <c r="R76" t="s">
        <v>52</v>
      </c>
      <c r="S76" t="s">
        <v>55</v>
      </c>
      <c r="T76" t="s">
        <v>58</v>
      </c>
      <c r="U76" t="s">
        <v>61</v>
      </c>
      <c r="V76" t="s">
        <v>64</v>
      </c>
      <c r="W76" t="s">
        <v>67</v>
      </c>
      <c r="X76" t="s">
        <v>70</v>
      </c>
      <c r="Y76" t="s">
        <v>72</v>
      </c>
      <c r="Z76" t="s">
        <v>75</v>
      </c>
      <c r="AA76" t="s">
        <v>78</v>
      </c>
      <c r="AB76" t="s">
        <v>81</v>
      </c>
      <c r="AC76" t="s">
        <v>84</v>
      </c>
      <c r="AD76" t="s">
        <v>87</v>
      </c>
      <c r="AE76" t="s">
        <v>90</v>
      </c>
      <c r="AF76" t="s">
        <v>93</v>
      </c>
      <c r="AG76" t="s">
        <v>96</v>
      </c>
      <c r="AH76" t="s">
        <v>99</v>
      </c>
      <c r="AI76" t="s">
        <v>101</v>
      </c>
      <c r="AJ76" t="s">
        <v>104</v>
      </c>
      <c r="AK76" t="s">
        <v>107</v>
      </c>
      <c r="AL76" t="s">
        <v>110</v>
      </c>
      <c r="AM76" t="s">
        <v>113</v>
      </c>
      <c r="AN76" t="s">
        <v>116</v>
      </c>
      <c r="AO76" t="s">
        <v>119</v>
      </c>
      <c r="AP76" t="s">
        <v>122</v>
      </c>
      <c r="AQ76" t="s">
        <v>124</v>
      </c>
      <c r="AR76" s="1300"/>
      <c r="AS76" s="1300"/>
    </row>
    <row r="77" spans="1:68" ht="27.75" customHeight="1">
      <c r="B77" t="s">
        <v>189</v>
      </c>
      <c r="D77">
        <f>D78+D89+D116</f>
        <v>4577.5753999999997</v>
      </c>
      <c r="E77">
        <f t="shared" ref="E77:AS77" si="33">E78+E89+E116</f>
        <v>3518.3953999999999</v>
      </c>
      <c r="F77">
        <f t="shared" si="33"/>
        <v>286.43510000000003</v>
      </c>
      <c r="G77">
        <f t="shared" si="33"/>
        <v>0</v>
      </c>
      <c r="H77">
        <f t="shared" si="33"/>
        <v>104.8207</v>
      </c>
      <c r="I77">
        <f t="shared" si="33"/>
        <v>377.2996</v>
      </c>
      <c r="J77">
        <f>J78+J89+J116</f>
        <v>880.47</v>
      </c>
      <c r="K77">
        <f t="shared" si="33"/>
        <v>-79.02000000000001</v>
      </c>
      <c r="L77">
        <f t="shared" si="33"/>
        <v>1632.8799999999999</v>
      </c>
      <c r="M77">
        <f t="shared" si="33"/>
        <v>277.87</v>
      </c>
      <c r="N77">
        <f t="shared" si="33"/>
        <v>0</v>
      </c>
      <c r="O77">
        <f t="shared" si="33"/>
        <v>37.64</v>
      </c>
      <c r="P77">
        <f t="shared" si="33"/>
        <v>891.88849999999979</v>
      </c>
      <c r="Q77">
        <f t="shared" si="33"/>
        <v>18.489999999999998</v>
      </c>
      <c r="R77">
        <f t="shared" si="33"/>
        <v>0.61</v>
      </c>
      <c r="S77">
        <f t="shared" si="33"/>
        <v>112.48</v>
      </c>
      <c r="T77">
        <f t="shared" si="33"/>
        <v>0</v>
      </c>
      <c r="U77">
        <f t="shared" si="33"/>
        <v>0</v>
      </c>
      <c r="V77">
        <f t="shared" si="33"/>
        <v>173.70999999999998</v>
      </c>
      <c r="W77">
        <f t="shared" si="33"/>
        <v>23.53</v>
      </c>
      <c r="X77">
        <f t="shared" si="33"/>
        <v>0</v>
      </c>
      <c r="Y77">
        <f t="shared" si="33"/>
        <v>290.53519999999992</v>
      </c>
      <c r="Z77">
        <f t="shared" si="33"/>
        <v>0</v>
      </c>
      <c r="AA77">
        <f t="shared" si="33"/>
        <v>0</v>
      </c>
      <c r="AB77">
        <f t="shared" si="33"/>
        <v>3.84</v>
      </c>
      <c r="AC77">
        <f t="shared" si="33"/>
        <v>0</v>
      </c>
      <c r="AD77">
        <f t="shared" si="33"/>
        <v>100.27369999999999</v>
      </c>
      <c r="AE77">
        <f t="shared" si="33"/>
        <v>0.71</v>
      </c>
      <c r="AF77">
        <f t="shared" si="33"/>
        <v>0</v>
      </c>
      <c r="AG77">
        <f t="shared" si="33"/>
        <v>0</v>
      </c>
      <c r="AH77">
        <f t="shared" si="33"/>
        <v>6.01</v>
      </c>
      <c r="AI77">
        <f t="shared" si="33"/>
        <v>27.41</v>
      </c>
      <c r="AJ77">
        <f t="shared" si="33"/>
        <v>22.65</v>
      </c>
      <c r="AK77">
        <f t="shared" si="33"/>
        <v>1.4596</v>
      </c>
      <c r="AL77">
        <f t="shared" si="33"/>
        <v>6.4399999999999995</v>
      </c>
      <c r="AM77">
        <f t="shared" si="33"/>
        <v>0.41</v>
      </c>
      <c r="AN77">
        <f t="shared" si="33"/>
        <v>37.520000000000003</v>
      </c>
      <c r="AO77">
        <f t="shared" si="33"/>
        <v>65.809999999999988</v>
      </c>
      <c r="AP77">
        <f t="shared" si="33"/>
        <v>0</v>
      </c>
      <c r="AQ77">
        <f t="shared" si="33"/>
        <v>35.339999999999996</v>
      </c>
      <c r="AS77">
        <f t="shared" si="33"/>
        <v>4577.5754000000006</v>
      </c>
    </row>
    <row r="78" spans="1:68" ht="20.25" customHeight="1">
      <c r="A78">
        <v>1</v>
      </c>
      <c r="B78" t="s">
        <v>14</v>
      </c>
      <c r="C78" t="s">
        <v>15</v>
      </c>
      <c r="D78">
        <f>D79+D81+D82+D83+D84+D85+D86+D87+D88</f>
        <v>3669.4753999999998</v>
      </c>
      <c r="E78">
        <f t="shared" ref="E78:AS78" si="34">E79+E81+E82+E83+E84+E85+E86+E87+E88</f>
        <v>3517.9153999999999</v>
      </c>
      <c r="F78">
        <f t="shared" si="34"/>
        <v>286.43510000000003</v>
      </c>
      <c r="G78">
        <f t="shared" si="34"/>
        <v>0</v>
      </c>
      <c r="H78">
        <f t="shared" si="34"/>
        <v>104.8207</v>
      </c>
      <c r="I78">
        <f t="shared" si="34"/>
        <v>377.2996</v>
      </c>
      <c r="J78">
        <f t="shared" si="34"/>
        <v>880.47</v>
      </c>
      <c r="K78">
        <f t="shared" si="34"/>
        <v>-79.02000000000001</v>
      </c>
      <c r="L78">
        <f t="shared" si="34"/>
        <v>1632.8799999999999</v>
      </c>
      <c r="M78">
        <f t="shared" si="34"/>
        <v>277.39</v>
      </c>
      <c r="N78">
        <f t="shared" si="34"/>
        <v>0</v>
      </c>
      <c r="O78">
        <f t="shared" si="34"/>
        <v>37.64</v>
      </c>
      <c r="P78">
        <f>P79+P81+P82+P83+P84+P85+P86+P87+P88</f>
        <v>151.56000000000003</v>
      </c>
      <c r="Q78">
        <f t="shared" si="34"/>
        <v>0.02</v>
      </c>
      <c r="R78">
        <f t="shared" si="34"/>
        <v>0</v>
      </c>
      <c r="S78">
        <f t="shared" si="34"/>
        <v>29.3</v>
      </c>
      <c r="T78">
        <f t="shared" si="34"/>
        <v>0</v>
      </c>
      <c r="U78">
        <f t="shared" si="34"/>
        <v>0</v>
      </c>
      <c r="V78">
        <f t="shared" si="34"/>
        <v>56.73</v>
      </c>
      <c r="W78">
        <f t="shared" si="34"/>
        <v>10.46</v>
      </c>
      <c r="X78">
        <f t="shared" si="34"/>
        <v>0</v>
      </c>
      <c r="Y78">
        <f t="shared" si="34"/>
        <v>30.14</v>
      </c>
      <c r="Z78">
        <f t="shared" si="34"/>
        <v>0</v>
      </c>
      <c r="AA78">
        <f t="shared" si="34"/>
        <v>0</v>
      </c>
      <c r="AB78">
        <f t="shared" si="34"/>
        <v>0</v>
      </c>
      <c r="AC78">
        <f t="shared" si="34"/>
        <v>0</v>
      </c>
      <c r="AD78">
        <f t="shared" si="34"/>
        <v>6.75</v>
      </c>
      <c r="AE78">
        <f t="shared" si="34"/>
        <v>0</v>
      </c>
      <c r="AF78">
        <f t="shared" si="34"/>
        <v>0</v>
      </c>
      <c r="AG78">
        <f t="shared" si="34"/>
        <v>0</v>
      </c>
      <c r="AH78">
        <f t="shared" si="34"/>
        <v>1.34</v>
      </c>
      <c r="AI78">
        <f t="shared" si="34"/>
        <v>0</v>
      </c>
      <c r="AJ78">
        <f t="shared" si="34"/>
        <v>14.3</v>
      </c>
      <c r="AK78">
        <f t="shared" si="34"/>
        <v>0</v>
      </c>
      <c r="AL78">
        <f t="shared" si="34"/>
        <v>2.2199999999999998</v>
      </c>
      <c r="AM78">
        <f t="shared" si="34"/>
        <v>0</v>
      </c>
      <c r="AN78">
        <f t="shared" si="34"/>
        <v>0</v>
      </c>
      <c r="AO78">
        <f t="shared" si="34"/>
        <v>0.3</v>
      </c>
      <c r="AP78">
        <f t="shared" si="34"/>
        <v>0</v>
      </c>
      <c r="AQ78">
        <f t="shared" si="34"/>
        <v>0</v>
      </c>
      <c r="AR78">
        <f>P78</f>
        <v>151.56000000000003</v>
      </c>
      <c r="AS78">
        <f t="shared" si="34"/>
        <v>3518.3953999999999</v>
      </c>
    </row>
    <row r="79" spans="1:68" ht="20.25" customHeight="1">
      <c r="A79" t="s">
        <v>16</v>
      </c>
      <c r="B79" t="s">
        <v>17</v>
      </c>
      <c r="C79" t="s">
        <v>18</v>
      </c>
      <c r="D79">
        <f>D11</f>
        <v>306.83510000000001</v>
      </c>
      <c r="E79">
        <f>F79+H79+I79+J79+K79+L79+M79+N79+O79</f>
        <v>286.60510000000005</v>
      </c>
      <c r="F79">
        <f>D79-AR79</f>
        <v>286.43510000000003</v>
      </c>
      <c r="G79">
        <f>I13</f>
        <v>0</v>
      </c>
      <c r="H79">
        <f>M11</f>
        <v>0</v>
      </c>
      <c r="I79">
        <f>N11</f>
        <v>0</v>
      </c>
      <c r="J79">
        <f t="shared" ref="J79:O80" si="35">P11</f>
        <v>0</v>
      </c>
      <c r="K79">
        <f t="shared" si="35"/>
        <v>0</v>
      </c>
      <c r="L79">
        <f t="shared" si="35"/>
        <v>0</v>
      </c>
      <c r="M79">
        <f t="shared" si="35"/>
        <v>0.17</v>
      </c>
      <c r="N79">
        <f t="shared" si="35"/>
        <v>0</v>
      </c>
      <c r="O79">
        <f t="shared" si="35"/>
        <v>0</v>
      </c>
      <c r="P79">
        <f>SUM(Q79:AP79)</f>
        <v>20.23</v>
      </c>
      <c r="Q79">
        <f t="shared" ref="Q79:Y80" si="36">W11</f>
        <v>0</v>
      </c>
      <c r="R79">
        <f t="shared" si="36"/>
        <v>0</v>
      </c>
      <c r="S79">
        <f t="shared" si="36"/>
        <v>11.71</v>
      </c>
      <c r="T79">
        <f t="shared" si="36"/>
        <v>0</v>
      </c>
      <c r="U79">
        <f t="shared" si="36"/>
        <v>0</v>
      </c>
      <c r="V79">
        <f t="shared" si="36"/>
        <v>2.11</v>
      </c>
      <c r="W79">
        <f t="shared" si="36"/>
        <v>0</v>
      </c>
      <c r="X79">
        <f t="shared" si="36"/>
        <v>0</v>
      </c>
      <c r="Y79">
        <f t="shared" si="36"/>
        <v>3.7399999999999998</v>
      </c>
      <c r="Z79">
        <f t="shared" ref="Z79:AI80" si="37">AQ11</f>
        <v>0</v>
      </c>
      <c r="AA79">
        <f t="shared" si="37"/>
        <v>0</v>
      </c>
      <c r="AB79">
        <f t="shared" si="37"/>
        <v>0</v>
      </c>
      <c r="AC79">
        <f t="shared" si="37"/>
        <v>0</v>
      </c>
      <c r="AD79">
        <f t="shared" si="37"/>
        <v>2.35</v>
      </c>
      <c r="AE79">
        <f t="shared" si="37"/>
        <v>0</v>
      </c>
      <c r="AF79">
        <f t="shared" si="37"/>
        <v>0</v>
      </c>
      <c r="AG79">
        <f t="shared" si="37"/>
        <v>0</v>
      </c>
      <c r="AH79">
        <f t="shared" si="37"/>
        <v>0</v>
      </c>
      <c r="AI79">
        <f t="shared" si="37"/>
        <v>0</v>
      </c>
      <c r="AJ79">
        <f t="shared" ref="AJ79:AQ80" si="38">BA11</f>
        <v>0</v>
      </c>
      <c r="AK79">
        <f t="shared" si="38"/>
        <v>0</v>
      </c>
      <c r="AL79">
        <f t="shared" si="38"/>
        <v>0.32</v>
      </c>
      <c r="AM79">
        <f t="shared" si="38"/>
        <v>0</v>
      </c>
      <c r="AN79">
        <f t="shared" si="38"/>
        <v>0</v>
      </c>
      <c r="AO79">
        <f t="shared" si="38"/>
        <v>0</v>
      </c>
      <c r="AP79">
        <f t="shared" si="38"/>
        <v>0</v>
      </c>
      <c r="AQ79">
        <f t="shared" si="38"/>
        <v>0</v>
      </c>
      <c r="AR79">
        <f>H79+I79+J79+K79+L79+M79+N79+O79+P79+AQ79</f>
        <v>20.400000000000002</v>
      </c>
      <c r="AS79">
        <f>D79+F117-AR79</f>
        <v>286.43510000000003</v>
      </c>
    </row>
    <row r="80" spans="1:68" ht="20.25" customHeight="1">
      <c r="B80" t="s">
        <v>19</v>
      </c>
      <c r="C80" t="s">
        <v>20</v>
      </c>
      <c r="D80">
        <f>D12</f>
        <v>215.92510000000001</v>
      </c>
      <c r="E80">
        <f t="shared" ref="E80:E115" si="39">F80+H80+I80+J80+K80+L80+M80+N80+O80</f>
        <v>0</v>
      </c>
      <c r="G80">
        <f>D80-AR80</f>
        <v>207.71510000000001</v>
      </c>
      <c r="H80">
        <f>M12</f>
        <v>0</v>
      </c>
      <c r="I80">
        <f>N12</f>
        <v>0</v>
      </c>
      <c r="J80">
        <f t="shared" si="35"/>
        <v>0</v>
      </c>
      <c r="K80">
        <f t="shared" si="35"/>
        <v>0</v>
      </c>
      <c r="L80">
        <f t="shared" si="35"/>
        <v>0</v>
      </c>
      <c r="M80">
        <f t="shared" si="35"/>
        <v>0</v>
      </c>
      <c r="N80">
        <f t="shared" si="35"/>
        <v>0</v>
      </c>
      <c r="O80">
        <f t="shared" si="35"/>
        <v>0</v>
      </c>
      <c r="P80">
        <f t="shared" ref="P80:P88" si="40">SUM(Q80:AP80)</f>
        <v>8.2099999999999991</v>
      </c>
      <c r="Q80">
        <f t="shared" si="36"/>
        <v>0</v>
      </c>
      <c r="R80">
        <f t="shared" si="36"/>
        <v>0</v>
      </c>
      <c r="S80">
        <f t="shared" si="36"/>
        <v>1.37</v>
      </c>
      <c r="T80">
        <f t="shared" si="36"/>
        <v>0</v>
      </c>
      <c r="U80">
        <f t="shared" si="36"/>
        <v>0</v>
      </c>
      <c r="V80">
        <f t="shared" si="36"/>
        <v>0.68</v>
      </c>
      <c r="W80">
        <f t="shared" si="36"/>
        <v>0</v>
      </c>
      <c r="X80">
        <f t="shared" si="36"/>
        <v>0</v>
      </c>
      <c r="Y80">
        <f t="shared" si="36"/>
        <v>3.5399999999999996</v>
      </c>
      <c r="Z80">
        <f t="shared" si="37"/>
        <v>0</v>
      </c>
      <c r="AA80">
        <f t="shared" si="37"/>
        <v>0</v>
      </c>
      <c r="AB80">
        <f t="shared" si="37"/>
        <v>0</v>
      </c>
      <c r="AC80">
        <f t="shared" si="37"/>
        <v>0</v>
      </c>
      <c r="AD80">
        <f t="shared" si="37"/>
        <v>2.35</v>
      </c>
      <c r="AE80">
        <f t="shared" si="37"/>
        <v>0</v>
      </c>
      <c r="AF80">
        <f t="shared" si="37"/>
        <v>0</v>
      </c>
      <c r="AG80">
        <f t="shared" si="37"/>
        <v>0</v>
      </c>
      <c r="AH80">
        <f t="shared" si="37"/>
        <v>0</v>
      </c>
      <c r="AI80">
        <f t="shared" si="37"/>
        <v>0</v>
      </c>
      <c r="AJ80">
        <f t="shared" si="38"/>
        <v>0</v>
      </c>
      <c r="AK80">
        <f t="shared" si="38"/>
        <v>0</v>
      </c>
      <c r="AL80">
        <f t="shared" si="38"/>
        <v>0.27</v>
      </c>
      <c r="AM80">
        <f t="shared" si="38"/>
        <v>0</v>
      </c>
      <c r="AN80">
        <f t="shared" si="38"/>
        <v>0</v>
      </c>
      <c r="AO80">
        <f t="shared" si="38"/>
        <v>0</v>
      </c>
      <c r="AP80">
        <f t="shared" si="38"/>
        <v>0</v>
      </c>
      <c r="AQ80">
        <f t="shared" si="38"/>
        <v>0</v>
      </c>
      <c r="AR80">
        <f>F80+H80+I80+J80+K80+L80+M80+N80+O80+P80</f>
        <v>8.2099999999999991</v>
      </c>
      <c r="AS80">
        <f>D80+G117-AR80</f>
        <v>207.71510000000001</v>
      </c>
    </row>
    <row r="81" spans="1:45" ht="20.25" customHeight="1">
      <c r="A81" t="s">
        <v>21</v>
      </c>
      <c r="B81" t="s">
        <v>22</v>
      </c>
      <c r="C81" t="s">
        <v>23</v>
      </c>
      <c r="D81">
        <f>D16</f>
        <v>120.8407</v>
      </c>
      <c r="E81">
        <f t="shared" si="39"/>
        <v>105.0707</v>
      </c>
      <c r="F81">
        <f>H16</f>
        <v>0</v>
      </c>
      <c r="G81">
        <f>I16</f>
        <v>0</v>
      </c>
      <c r="H81">
        <f>D81-AR81</f>
        <v>104.8207</v>
      </c>
      <c r="I81">
        <f>N16</f>
        <v>0</v>
      </c>
      <c r="J81">
        <f t="shared" ref="J81:O82" si="41">P16</f>
        <v>0</v>
      </c>
      <c r="K81">
        <f t="shared" si="41"/>
        <v>0</v>
      </c>
      <c r="L81">
        <f t="shared" si="41"/>
        <v>0</v>
      </c>
      <c r="M81">
        <f t="shared" si="41"/>
        <v>0.25</v>
      </c>
      <c r="N81">
        <f t="shared" si="41"/>
        <v>0</v>
      </c>
      <c r="O81">
        <f t="shared" si="41"/>
        <v>0</v>
      </c>
      <c r="P81">
        <f t="shared" si="40"/>
        <v>15.77</v>
      </c>
      <c r="Q81">
        <f t="shared" ref="Q81:Y82" si="42">W16</f>
        <v>0</v>
      </c>
      <c r="R81">
        <f t="shared" si="42"/>
        <v>0</v>
      </c>
      <c r="S81">
        <f t="shared" si="42"/>
        <v>10.54</v>
      </c>
      <c r="T81">
        <f t="shared" si="42"/>
        <v>0</v>
      </c>
      <c r="U81">
        <f t="shared" si="42"/>
        <v>0</v>
      </c>
      <c r="V81">
        <f t="shared" si="42"/>
        <v>0.31</v>
      </c>
      <c r="W81">
        <f t="shared" si="42"/>
        <v>0.06</v>
      </c>
      <c r="X81">
        <f t="shared" si="42"/>
        <v>0</v>
      </c>
      <c r="Y81">
        <f t="shared" si="42"/>
        <v>3.44</v>
      </c>
      <c r="Z81">
        <f t="shared" ref="Z81:AI82" si="43">AQ16</f>
        <v>0</v>
      </c>
      <c r="AA81">
        <f t="shared" si="43"/>
        <v>0</v>
      </c>
      <c r="AB81">
        <f t="shared" si="43"/>
        <v>0</v>
      </c>
      <c r="AC81">
        <f t="shared" si="43"/>
        <v>0</v>
      </c>
      <c r="AD81">
        <f t="shared" si="43"/>
        <v>1.07</v>
      </c>
      <c r="AE81">
        <f t="shared" si="43"/>
        <v>0</v>
      </c>
      <c r="AF81">
        <f t="shared" si="43"/>
        <v>0</v>
      </c>
      <c r="AG81">
        <f t="shared" si="43"/>
        <v>0</v>
      </c>
      <c r="AH81">
        <f t="shared" si="43"/>
        <v>0</v>
      </c>
      <c r="AI81">
        <f t="shared" si="43"/>
        <v>0</v>
      </c>
      <c r="AJ81">
        <f t="shared" ref="AJ81:AQ82" si="44">BA16</f>
        <v>0</v>
      </c>
      <c r="AK81">
        <f t="shared" si="44"/>
        <v>0</v>
      </c>
      <c r="AL81">
        <f t="shared" si="44"/>
        <v>0.35</v>
      </c>
      <c r="AM81">
        <f t="shared" si="44"/>
        <v>0</v>
      </c>
      <c r="AN81">
        <f t="shared" si="44"/>
        <v>0</v>
      </c>
      <c r="AO81">
        <f t="shared" si="44"/>
        <v>0</v>
      </c>
      <c r="AP81">
        <f t="shared" si="44"/>
        <v>0</v>
      </c>
      <c r="AQ81">
        <f t="shared" si="44"/>
        <v>0</v>
      </c>
      <c r="AR81">
        <f>F81+I81+J81+K81+L81+M81+N81+O81+P81</f>
        <v>16.02</v>
      </c>
      <c r="AS81">
        <f>D81+H117-AR81</f>
        <v>104.8207</v>
      </c>
    </row>
    <row r="82" spans="1:45" ht="20.25" customHeight="1">
      <c r="A82" t="s">
        <v>24</v>
      </c>
      <c r="B82" t="s">
        <v>25</v>
      </c>
      <c r="C82" t="s">
        <v>26</v>
      </c>
      <c r="D82">
        <f>D17</f>
        <v>393.78960000000001</v>
      </c>
      <c r="E82">
        <f t="shared" si="39"/>
        <v>377.36959999999999</v>
      </c>
      <c r="F82">
        <f>H17</f>
        <v>0</v>
      </c>
      <c r="G82">
        <f>I17</f>
        <v>0</v>
      </c>
      <c r="H82">
        <f>M17</f>
        <v>0</v>
      </c>
      <c r="I82">
        <f>D82-AR82</f>
        <v>377.2996</v>
      </c>
      <c r="J82">
        <f t="shared" si="41"/>
        <v>0</v>
      </c>
      <c r="K82">
        <f t="shared" si="41"/>
        <v>0</v>
      </c>
      <c r="L82">
        <f t="shared" si="41"/>
        <v>0</v>
      </c>
      <c r="M82">
        <f t="shared" si="41"/>
        <v>7.0000000000000007E-2</v>
      </c>
      <c r="N82">
        <f t="shared" si="41"/>
        <v>0</v>
      </c>
      <c r="O82">
        <f t="shared" si="41"/>
        <v>0</v>
      </c>
      <c r="P82">
        <f t="shared" si="40"/>
        <v>16.420000000000002</v>
      </c>
      <c r="Q82">
        <f t="shared" si="42"/>
        <v>0</v>
      </c>
      <c r="R82">
        <f t="shared" si="42"/>
        <v>0</v>
      </c>
      <c r="S82">
        <f t="shared" si="42"/>
        <v>3.5</v>
      </c>
      <c r="T82">
        <f t="shared" si="42"/>
        <v>0</v>
      </c>
      <c r="U82">
        <f t="shared" si="42"/>
        <v>0</v>
      </c>
      <c r="V82">
        <f t="shared" si="42"/>
        <v>3.03</v>
      </c>
      <c r="W82">
        <f t="shared" si="42"/>
        <v>0</v>
      </c>
      <c r="X82">
        <f t="shared" si="42"/>
        <v>0</v>
      </c>
      <c r="Y82">
        <f t="shared" si="42"/>
        <v>5.8100000000000005</v>
      </c>
      <c r="Z82">
        <f t="shared" si="43"/>
        <v>0</v>
      </c>
      <c r="AA82">
        <f t="shared" si="43"/>
        <v>0</v>
      </c>
      <c r="AB82">
        <f t="shared" si="43"/>
        <v>0</v>
      </c>
      <c r="AC82">
        <f t="shared" si="43"/>
        <v>0</v>
      </c>
      <c r="AD82">
        <f t="shared" si="43"/>
        <v>2.58</v>
      </c>
      <c r="AE82">
        <f t="shared" si="43"/>
        <v>0</v>
      </c>
      <c r="AF82">
        <f t="shared" si="43"/>
        <v>0</v>
      </c>
      <c r="AG82">
        <f t="shared" si="43"/>
        <v>0</v>
      </c>
      <c r="AH82">
        <f t="shared" si="43"/>
        <v>0.36</v>
      </c>
      <c r="AI82">
        <f t="shared" si="43"/>
        <v>0</v>
      </c>
      <c r="AJ82">
        <f t="shared" si="44"/>
        <v>0</v>
      </c>
      <c r="AK82">
        <f t="shared" si="44"/>
        <v>0</v>
      </c>
      <c r="AL82">
        <f t="shared" si="44"/>
        <v>1.02</v>
      </c>
      <c r="AM82">
        <f t="shared" si="44"/>
        <v>0</v>
      </c>
      <c r="AN82">
        <f t="shared" si="44"/>
        <v>0</v>
      </c>
      <c r="AO82">
        <f t="shared" si="44"/>
        <v>0.12</v>
      </c>
      <c r="AP82">
        <f t="shared" si="44"/>
        <v>0</v>
      </c>
      <c r="AQ82">
        <f t="shared" si="44"/>
        <v>0</v>
      </c>
      <c r="AR82">
        <f>F82+H82+J82+K82+L82+M82+N82+O82+P82</f>
        <v>16.490000000000002</v>
      </c>
      <c r="AS82">
        <f>D82+I117-AR82</f>
        <v>377.2996</v>
      </c>
    </row>
    <row r="83" spans="1:45" ht="20.25" customHeight="1">
      <c r="A83" t="s">
        <v>27</v>
      </c>
      <c r="B83" t="s">
        <v>28</v>
      </c>
      <c r="C83" t="s">
        <v>29</v>
      </c>
      <c r="D83">
        <f t="shared" ref="D83:D88" si="45">D19</f>
        <v>880.47</v>
      </c>
      <c r="E83">
        <f t="shared" si="39"/>
        <v>880.47</v>
      </c>
      <c r="F83">
        <f>H20</f>
        <v>0</v>
      </c>
      <c r="G83">
        <f>I20</f>
        <v>0</v>
      </c>
      <c r="H83">
        <f>M20</f>
        <v>0</v>
      </c>
      <c r="I83">
        <f>N20</f>
        <v>0</v>
      </c>
      <c r="J83">
        <f>D83-AR83</f>
        <v>880.47</v>
      </c>
      <c r="K83">
        <f>Q19</f>
        <v>0</v>
      </c>
      <c r="L83">
        <f>R19</f>
        <v>0</v>
      </c>
      <c r="M83">
        <f t="shared" ref="M83:O84" si="46">S20</f>
        <v>0</v>
      </c>
      <c r="N83">
        <f t="shared" si="46"/>
        <v>0</v>
      </c>
      <c r="O83">
        <f t="shared" si="46"/>
        <v>0</v>
      </c>
      <c r="P83">
        <f t="shared" si="40"/>
        <v>0</v>
      </c>
      <c r="Q83">
        <f>W20</f>
        <v>0</v>
      </c>
      <c r="R83">
        <f>X20</f>
        <v>0</v>
      </c>
      <c r="S83">
        <f>Z20</f>
        <v>0</v>
      </c>
      <c r="T83">
        <f t="shared" ref="T83:Y84" si="47">Z20</f>
        <v>0</v>
      </c>
      <c r="U83">
        <f t="shared" si="47"/>
        <v>0</v>
      </c>
      <c r="V83">
        <f t="shared" si="47"/>
        <v>0</v>
      </c>
      <c r="W83">
        <f t="shared" si="47"/>
        <v>0</v>
      </c>
      <c r="X83">
        <f t="shared" si="47"/>
        <v>0</v>
      </c>
      <c r="Y83">
        <f t="shared" si="47"/>
        <v>0</v>
      </c>
      <c r="Z83">
        <f t="shared" ref="Z83:AI84" si="48">AQ20</f>
        <v>0</v>
      </c>
      <c r="AA83">
        <f t="shared" si="48"/>
        <v>0</v>
      </c>
      <c r="AB83">
        <f t="shared" si="48"/>
        <v>0</v>
      </c>
      <c r="AC83">
        <f t="shared" si="48"/>
        <v>0</v>
      </c>
      <c r="AD83">
        <f t="shared" si="48"/>
        <v>0</v>
      </c>
      <c r="AE83">
        <f t="shared" si="48"/>
        <v>0</v>
      </c>
      <c r="AF83">
        <f t="shared" si="48"/>
        <v>0</v>
      </c>
      <c r="AG83">
        <f t="shared" si="48"/>
        <v>0</v>
      </c>
      <c r="AH83">
        <f t="shared" si="48"/>
        <v>0</v>
      </c>
      <c r="AI83">
        <f t="shared" si="48"/>
        <v>0</v>
      </c>
      <c r="AJ83">
        <f t="shared" ref="AJ83:AQ84" si="49">BA20</f>
        <v>0</v>
      </c>
      <c r="AK83">
        <f t="shared" si="49"/>
        <v>0</v>
      </c>
      <c r="AL83">
        <f t="shared" si="49"/>
        <v>0</v>
      </c>
      <c r="AM83">
        <f t="shared" si="49"/>
        <v>0</v>
      </c>
      <c r="AN83">
        <f t="shared" si="49"/>
        <v>0</v>
      </c>
      <c r="AO83">
        <f t="shared" si="49"/>
        <v>0</v>
      </c>
      <c r="AP83">
        <f t="shared" si="49"/>
        <v>0</v>
      </c>
      <c r="AQ83">
        <f t="shared" si="49"/>
        <v>0</v>
      </c>
      <c r="AR83">
        <f>F83+H83+I83+K83+L83+M83+N83+O83+P83</f>
        <v>0</v>
      </c>
      <c r="AS83">
        <f>D83+J117-AR83</f>
        <v>880.47</v>
      </c>
    </row>
    <row r="84" spans="1:45" ht="20.25" customHeight="1">
      <c r="A84" t="s">
        <v>30</v>
      </c>
      <c r="B84" t="s">
        <v>31</v>
      </c>
      <c r="C84" t="s">
        <v>32</v>
      </c>
      <c r="D84">
        <f t="shared" si="45"/>
        <v>0</v>
      </c>
      <c r="E84">
        <f t="shared" si="39"/>
        <v>-78.800000000000011</v>
      </c>
      <c r="F84">
        <f>H21</f>
        <v>0</v>
      </c>
      <c r="G84">
        <f>I21</f>
        <v>0</v>
      </c>
      <c r="H84">
        <f>M21</f>
        <v>0</v>
      </c>
      <c r="I84">
        <f>N21</f>
        <v>0</v>
      </c>
      <c r="J84">
        <f>P20</f>
        <v>0</v>
      </c>
      <c r="K84">
        <f>D84-AR84</f>
        <v>-79.02000000000001</v>
      </c>
      <c r="L84">
        <f>R20</f>
        <v>0</v>
      </c>
      <c r="M84">
        <f t="shared" si="46"/>
        <v>0.22</v>
      </c>
      <c r="N84">
        <f t="shared" si="46"/>
        <v>0</v>
      </c>
      <c r="O84">
        <f t="shared" si="46"/>
        <v>0</v>
      </c>
      <c r="P84">
        <f t="shared" si="40"/>
        <v>78.800000000000011</v>
      </c>
      <c r="Q84">
        <f>W21</f>
        <v>0.02</v>
      </c>
      <c r="R84">
        <f>X21</f>
        <v>0</v>
      </c>
      <c r="S84">
        <f>Z21</f>
        <v>0</v>
      </c>
      <c r="T84">
        <f t="shared" si="47"/>
        <v>0</v>
      </c>
      <c r="U84">
        <f t="shared" si="47"/>
        <v>0</v>
      </c>
      <c r="V84">
        <f t="shared" si="47"/>
        <v>51.07</v>
      </c>
      <c r="W84">
        <f t="shared" si="47"/>
        <v>8.94</v>
      </c>
      <c r="X84">
        <f t="shared" si="47"/>
        <v>0</v>
      </c>
      <c r="Y84">
        <f t="shared" si="47"/>
        <v>4.03</v>
      </c>
      <c r="Z84">
        <f t="shared" si="48"/>
        <v>0</v>
      </c>
      <c r="AA84">
        <f t="shared" si="48"/>
        <v>0</v>
      </c>
      <c r="AB84">
        <f t="shared" si="48"/>
        <v>0</v>
      </c>
      <c r="AC84">
        <f t="shared" si="48"/>
        <v>0</v>
      </c>
      <c r="AD84">
        <f t="shared" si="48"/>
        <v>0.1</v>
      </c>
      <c r="AE84">
        <f t="shared" si="48"/>
        <v>0</v>
      </c>
      <c r="AF84">
        <f t="shared" si="48"/>
        <v>0</v>
      </c>
      <c r="AG84">
        <f t="shared" si="48"/>
        <v>0</v>
      </c>
      <c r="AH84">
        <f t="shared" si="48"/>
        <v>0.95</v>
      </c>
      <c r="AI84">
        <f t="shared" si="48"/>
        <v>0</v>
      </c>
      <c r="AJ84">
        <f t="shared" si="49"/>
        <v>13.51</v>
      </c>
      <c r="AK84">
        <f t="shared" si="49"/>
        <v>0</v>
      </c>
      <c r="AL84">
        <f t="shared" si="49"/>
        <v>0.18</v>
      </c>
      <c r="AM84">
        <f t="shared" si="49"/>
        <v>0</v>
      </c>
      <c r="AN84">
        <f t="shared" si="49"/>
        <v>0</v>
      </c>
      <c r="AO84">
        <f t="shared" si="49"/>
        <v>0</v>
      </c>
      <c r="AP84">
        <f t="shared" si="49"/>
        <v>0</v>
      </c>
      <c r="AQ84">
        <f t="shared" si="49"/>
        <v>0</v>
      </c>
      <c r="AR84">
        <f>F84+H84+I84+J84+L84+M84+N84+O84+P84</f>
        <v>79.02000000000001</v>
      </c>
      <c r="AS84">
        <f>D84+K117-AR84</f>
        <v>-79.02000000000001</v>
      </c>
    </row>
    <row r="85" spans="1:45" ht="20.25" customHeight="1">
      <c r="A85" t="s">
        <v>33</v>
      </c>
      <c r="B85" t="s">
        <v>34</v>
      </c>
      <c r="C85" t="s">
        <v>35</v>
      </c>
      <c r="D85">
        <f t="shared" si="45"/>
        <v>1643.07</v>
      </c>
      <c r="E85">
        <f t="shared" si="39"/>
        <v>1632.8799999999999</v>
      </c>
      <c r="F85">
        <f>H19</f>
        <v>0</v>
      </c>
      <c r="G85">
        <f>I19</f>
        <v>0</v>
      </c>
      <c r="H85">
        <f>M19</f>
        <v>0</v>
      </c>
      <c r="I85">
        <f>N19</f>
        <v>0</v>
      </c>
      <c r="J85">
        <f>P21</f>
        <v>0</v>
      </c>
      <c r="K85">
        <f>Q21</f>
        <v>0</v>
      </c>
      <c r="L85">
        <f>D85-AR85</f>
        <v>1632.8799999999999</v>
      </c>
      <c r="M85">
        <f>S19</f>
        <v>0</v>
      </c>
      <c r="N85">
        <f>T19</f>
        <v>0</v>
      </c>
      <c r="O85">
        <f>U19</f>
        <v>0</v>
      </c>
      <c r="P85">
        <f t="shared" si="40"/>
        <v>10.19</v>
      </c>
      <c r="Q85">
        <f t="shared" ref="Q85:Y85" si="50">W19</f>
        <v>0</v>
      </c>
      <c r="R85">
        <f t="shared" si="50"/>
        <v>0</v>
      </c>
      <c r="S85">
        <f t="shared" si="50"/>
        <v>0</v>
      </c>
      <c r="T85">
        <f t="shared" si="50"/>
        <v>0</v>
      </c>
      <c r="U85">
        <f t="shared" si="50"/>
        <v>0</v>
      </c>
      <c r="V85">
        <f t="shared" si="50"/>
        <v>0</v>
      </c>
      <c r="W85">
        <f t="shared" si="50"/>
        <v>0</v>
      </c>
      <c r="X85">
        <f t="shared" si="50"/>
        <v>0</v>
      </c>
      <c r="Y85">
        <f t="shared" si="50"/>
        <v>10.19</v>
      </c>
      <c r="Z85">
        <f>AQ19</f>
        <v>0</v>
      </c>
      <c r="AA85">
        <f t="shared" ref="AA85:AQ85" si="51">AR19</f>
        <v>0</v>
      </c>
      <c r="AB85">
        <f t="shared" si="51"/>
        <v>0</v>
      </c>
      <c r="AC85">
        <f t="shared" si="51"/>
        <v>0</v>
      </c>
      <c r="AD85">
        <f t="shared" si="51"/>
        <v>0</v>
      </c>
      <c r="AE85">
        <f t="shared" si="51"/>
        <v>0</v>
      </c>
      <c r="AF85">
        <f t="shared" si="51"/>
        <v>0</v>
      </c>
      <c r="AG85">
        <f t="shared" si="51"/>
        <v>0</v>
      </c>
      <c r="AH85">
        <f t="shared" si="51"/>
        <v>0</v>
      </c>
      <c r="AI85">
        <f t="shared" si="51"/>
        <v>0</v>
      </c>
      <c r="AJ85">
        <f t="shared" si="51"/>
        <v>0</v>
      </c>
      <c r="AK85">
        <f t="shared" si="51"/>
        <v>0</v>
      </c>
      <c r="AL85">
        <f t="shared" si="51"/>
        <v>0</v>
      </c>
      <c r="AM85">
        <f t="shared" si="51"/>
        <v>0</v>
      </c>
      <c r="AN85">
        <f t="shared" si="51"/>
        <v>0</v>
      </c>
      <c r="AO85">
        <f t="shared" si="51"/>
        <v>0</v>
      </c>
      <c r="AP85">
        <f t="shared" si="51"/>
        <v>0</v>
      </c>
      <c r="AQ85">
        <f t="shared" si="51"/>
        <v>0</v>
      </c>
      <c r="AR85">
        <f>F85+H85+I85+J85+K85+M85+N85+O85+P85</f>
        <v>10.19</v>
      </c>
      <c r="AS85">
        <f>D85+L117-AR85</f>
        <v>1632.8799999999999</v>
      </c>
    </row>
    <row r="86" spans="1:45" ht="20.25" customHeight="1">
      <c r="A86" t="s">
        <v>36</v>
      </c>
      <c r="B86" t="s">
        <v>37</v>
      </c>
      <c r="C86" t="s">
        <v>38</v>
      </c>
      <c r="D86">
        <f t="shared" si="45"/>
        <v>286.83</v>
      </c>
      <c r="E86">
        <f t="shared" si="39"/>
        <v>276.68</v>
      </c>
      <c r="F86">
        <f t="shared" ref="F86:G88" si="52">H22</f>
        <v>0</v>
      </c>
      <c r="G86">
        <f t="shared" si="52"/>
        <v>0</v>
      </c>
      <c r="H86">
        <f t="shared" ref="H86:I88" si="53">M22</f>
        <v>0</v>
      </c>
      <c r="I86">
        <f t="shared" si="53"/>
        <v>0</v>
      </c>
      <c r="J86">
        <f>P22</f>
        <v>0</v>
      </c>
      <c r="K86">
        <f>Q22</f>
        <v>0</v>
      </c>
      <c r="L86">
        <f>R22</f>
        <v>0</v>
      </c>
      <c r="M86">
        <f>D86-AR86</f>
        <v>276.68</v>
      </c>
      <c r="N86">
        <f>T22</f>
        <v>0</v>
      </c>
      <c r="O86">
        <f>U22</f>
        <v>0</v>
      </c>
      <c r="P86">
        <f>SUM(Q86:AP86)</f>
        <v>10.149999999999997</v>
      </c>
      <c r="Q86">
        <f t="shared" ref="Q86:Y88" si="54">W22</f>
        <v>0</v>
      </c>
      <c r="R86">
        <f t="shared" si="54"/>
        <v>0</v>
      </c>
      <c r="S86">
        <f t="shared" si="54"/>
        <v>3.55</v>
      </c>
      <c r="T86">
        <f t="shared" si="54"/>
        <v>0</v>
      </c>
      <c r="U86">
        <f t="shared" si="54"/>
        <v>0</v>
      </c>
      <c r="V86">
        <f t="shared" si="54"/>
        <v>0.21</v>
      </c>
      <c r="W86">
        <f t="shared" si="54"/>
        <v>1.46</v>
      </c>
      <c r="X86">
        <f t="shared" si="54"/>
        <v>0</v>
      </c>
      <c r="Y86">
        <f t="shared" si="54"/>
        <v>2.9299999999999997</v>
      </c>
      <c r="Z86">
        <f t="shared" ref="Z86:AP86" si="55">AQ22</f>
        <v>0</v>
      </c>
      <c r="AA86">
        <f t="shared" si="55"/>
        <v>0</v>
      </c>
      <c r="AB86">
        <f t="shared" si="55"/>
        <v>0</v>
      </c>
      <c r="AC86">
        <f t="shared" si="55"/>
        <v>0</v>
      </c>
      <c r="AD86">
        <f t="shared" si="55"/>
        <v>0.65</v>
      </c>
      <c r="AE86">
        <f t="shared" si="55"/>
        <v>0</v>
      </c>
      <c r="AF86">
        <f t="shared" si="55"/>
        <v>0</v>
      </c>
      <c r="AG86">
        <f t="shared" si="55"/>
        <v>0</v>
      </c>
      <c r="AH86">
        <f t="shared" si="55"/>
        <v>0.03</v>
      </c>
      <c r="AI86">
        <f t="shared" si="55"/>
        <v>0</v>
      </c>
      <c r="AJ86">
        <f t="shared" si="55"/>
        <v>0.79</v>
      </c>
      <c r="AK86">
        <f t="shared" si="55"/>
        <v>0</v>
      </c>
      <c r="AL86">
        <f t="shared" si="55"/>
        <v>0.35</v>
      </c>
      <c r="AM86">
        <f t="shared" si="55"/>
        <v>0</v>
      </c>
      <c r="AN86">
        <f t="shared" si="55"/>
        <v>0</v>
      </c>
      <c r="AO86">
        <f t="shared" si="55"/>
        <v>0.18</v>
      </c>
      <c r="AP86">
        <f t="shared" si="55"/>
        <v>0</v>
      </c>
      <c r="AQ86">
        <f>BH22</f>
        <v>0</v>
      </c>
      <c r="AR86">
        <f>F86+H86+I86+J86+K86+L86+N86+O86+P86</f>
        <v>10.149999999999997</v>
      </c>
      <c r="AS86">
        <f>D86+M117-AR86</f>
        <v>277.87</v>
      </c>
    </row>
    <row r="87" spans="1:45" ht="20.25" customHeight="1">
      <c r="A87" t="s">
        <v>39</v>
      </c>
      <c r="B87" t="s">
        <v>40</v>
      </c>
      <c r="C87" t="s">
        <v>41</v>
      </c>
      <c r="D87">
        <f t="shared" si="45"/>
        <v>0</v>
      </c>
      <c r="E87">
        <f t="shared" si="39"/>
        <v>0</v>
      </c>
      <c r="F87">
        <f t="shared" si="52"/>
        <v>0</v>
      </c>
      <c r="G87">
        <f t="shared" si="52"/>
        <v>0</v>
      </c>
      <c r="H87">
        <f t="shared" si="53"/>
        <v>0</v>
      </c>
      <c r="I87">
        <f t="shared" si="53"/>
        <v>0</v>
      </c>
      <c r="J87">
        <f>P23</f>
        <v>0</v>
      </c>
      <c r="K87">
        <f>Q23</f>
        <v>0</v>
      </c>
      <c r="L87">
        <f>R23</f>
        <v>0</v>
      </c>
      <c r="M87">
        <f>S23</f>
        <v>0</v>
      </c>
      <c r="N87">
        <f>D87-AR87</f>
        <v>0</v>
      </c>
      <c r="O87">
        <f>U23</f>
        <v>0</v>
      </c>
      <c r="P87">
        <f t="shared" si="40"/>
        <v>0</v>
      </c>
      <c r="Q87">
        <f t="shared" si="54"/>
        <v>0</v>
      </c>
      <c r="R87">
        <f t="shared" si="54"/>
        <v>0</v>
      </c>
      <c r="S87">
        <f t="shared" si="54"/>
        <v>0</v>
      </c>
      <c r="T87">
        <f t="shared" si="54"/>
        <v>0</v>
      </c>
      <c r="U87">
        <f t="shared" si="54"/>
        <v>0</v>
      </c>
      <c r="V87">
        <f t="shared" si="54"/>
        <v>0</v>
      </c>
      <c r="W87">
        <f t="shared" si="54"/>
        <v>0</v>
      </c>
      <c r="X87">
        <f t="shared" si="54"/>
        <v>0</v>
      </c>
      <c r="Y87">
        <f t="shared" si="54"/>
        <v>0</v>
      </c>
      <c r="Z87">
        <f t="shared" ref="Z87:AI88" si="56">AQ23</f>
        <v>0</v>
      </c>
      <c r="AA87">
        <f t="shared" si="56"/>
        <v>0</v>
      </c>
      <c r="AB87">
        <f t="shared" si="56"/>
        <v>0</v>
      </c>
      <c r="AC87">
        <f t="shared" si="56"/>
        <v>0</v>
      </c>
      <c r="AD87">
        <f t="shared" si="56"/>
        <v>0</v>
      </c>
      <c r="AE87">
        <f t="shared" si="56"/>
        <v>0</v>
      </c>
      <c r="AF87">
        <f t="shared" si="56"/>
        <v>0</v>
      </c>
      <c r="AG87">
        <f t="shared" si="56"/>
        <v>0</v>
      </c>
      <c r="AH87">
        <f t="shared" si="56"/>
        <v>0</v>
      </c>
      <c r="AI87">
        <f t="shared" si="56"/>
        <v>0</v>
      </c>
      <c r="AJ87">
        <f t="shared" ref="AJ87:AP88" si="57">BA23</f>
        <v>0</v>
      </c>
      <c r="AK87">
        <f t="shared" si="57"/>
        <v>0</v>
      </c>
      <c r="AL87">
        <f t="shared" si="57"/>
        <v>0</v>
      </c>
      <c r="AM87">
        <f t="shared" si="57"/>
        <v>0</v>
      </c>
      <c r="AN87">
        <f t="shared" si="57"/>
        <v>0</v>
      </c>
      <c r="AO87">
        <f t="shared" si="57"/>
        <v>0</v>
      </c>
      <c r="AP87">
        <f t="shared" si="57"/>
        <v>0</v>
      </c>
      <c r="AQ87">
        <f>BH23</f>
        <v>0</v>
      </c>
      <c r="AR87">
        <f>F87+H87+I87+J87+K87+L87+M87+O87+P87</f>
        <v>0</v>
      </c>
      <c r="AS87">
        <f>D87+N117-AR87</f>
        <v>0</v>
      </c>
    </row>
    <row r="88" spans="1:45" ht="20.25" customHeight="1">
      <c r="A88">
        <v>2</v>
      </c>
      <c r="B88" t="s">
        <v>43</v>
      </c>
      <c r="C88" t="s">
        <v>44</v>
      </c>
      <c r="D88">
        <f t="shared" si="45"/>
        <v>37.64</v>
      </c>
      <c r="E88">
        <f t="shared" si="39"/>
        <v>37.64</v>
      </c>
      <c r="F88">
        <f t="shared" si="52"/>
        <v>0</v>
      </c>
      <c r="G88">
        <f t="shared" si="52"/>
        <v>0</v>
      </c>
      <c r="H88">
        <f t="shared" si="53"/>
        <v>0</v>
      </c>
      <c r="I88">
        <f t="shared" si="53"/>
        <v>0</v>
      </c>
      <c r="J88">
        <f>P24</f>
        <v>0</v>
      </c>
      <c r="K88">
        <f>Q24</f>
        <v>0</v>
      </c>
      <c r="L88">
        <f>R24</f>
        <v>0</v>
      </c>
      <c r="M88">
        <f>S24</f>
        <v>0</v>
      </c>
      <c r="N88">
        <f>T24</f>
        <v>0</v>
      </c>
      <c r="O88">
        <f>D88-AR88</f>
        <v>37.64</v>
      </c>
      <c r="P88">
        <f t="shared" si="40"/>
        <v>0</v>
      </c>
      <c r="Q88">
        <f t="shared" si="54"/>
        <v>0</v>
      </c>
      <c r="R88">
        <f t="shared" si="54"/>
        <v>0</v>
      </c>
      <c r="S88">
        <f t="shared" si="54"/>
        <v>0</v>
      </c>
      <c r="T88">
        <f t="shared" si="54"/>
        <v>0</v>
      </c>
      <c r="U88">
        <f t="shared" si="54"/>
        <v>0</v>
      </c>
      <c r="V88">
        <f t="shared" si="54"/>
        <v>0</v>
      </c>
      <c r="W88">
        <f t="shared" si="54"/>
        <v>0</v>
      </c>
      <c r="X88">
        <f t="shared" si="54"/>
        <v>0</v>
      </c>
      <c r="Y88">
        <f t="shared" si="54"/>
        <v>0</v>
      </c>
      <c r="Z88">
        <f t="shared" si="56"/>
        <v>0</v>
      </c>
      <c r="AA88">
        <f t="shared" si="56"/>
        <v>0</v>
      </c>
      <c r="AB88">
        <f t="shared" si="56"/>
        <v>0</v>
      </c>
      <c r="AC88">
        <f t="shared" si="56"/>
        <v>0</v>
      </c>
      <c r="AD88">
        <f t="shared" si="56"/>
        <v>0</v>
      </c>
      <c r="AE88">
        <f t="shared" si="56"/>
        <v>0</v>
      </c>
      <c r="AF88">
        <f t="shared" si="56"/>
        <v>0</v>
      </c>
      <c r="AG88">
        <f t="shared" si="56"/>
        <v>0</v>
      </c>
      <c r="AH88">
        <f t="shared" si="56"/>
        <v>0</v>
      </c>
      <c r="AI88">
        <f t="shared" si="56"/>
        <v>0</v>
      </c>
      <c r="AJ88">
        <f t="shared" si="57"/>
        <v>0</v>
      </c>
      <c r="AK88">
        <f t="shared" si="57"/>
        <v>0</v>
      </c>
      <c r="AL88">
        <f t="shared" si="57"/>
        <v>0</v>
      </c>
      <c r="AM88">
        <f t="shared" si="57"/>
        <v>0</v>
      </c>
      <c r="AN88">
        <f t="shared" si="57"/>
        <v>0</v>
      </c>
      <c r="AO88">
        <f t="shared" si="57"/>
        <v>0</v>
      </c>
      <c r="AP88">
        <f t="shared" si="57"/>
        <v>0</v>
      </c>
      <c r="AQ88">
        <f>BH24</f>
        <v>0</v>
      </c>
      <c r="AR88">
        <f>F88+H88+I88+J88+K88+L88+M88+N88+P88</f>
        <v>0</v>
      </c>
      <c r="AS88">
        <f>D88+O117-AR88</f>
        <v>37.64</v>
      </c>
    </row>
    <row r="89" spans="1:45" ht="20.25" customHeight="1">
      <c r="A89">
        <v>2</v>
      </c>
      <c r="B89" t="s">
        <v>45</v>
      </c>
      <c r="C89" t="s">
        <v>46</v>
      </c>
      <c r="D89">
        <f>SUM(D90:D115)</f>
        <v>705.46849999999984</v>
      </c>
      <c r="E89">
        <f t="shared" ref="E89:AS89" si="58">SUM(E90:E115)</f>
        <v>0.44</v>
      </c>
      <c r="F89">
        <f t="shared" si="58"/>
        <v>0</v>
      </c>
      <c r="G89">
        <f t="shared" si="58"/>
        <v>0</v>
      </c>
      <c r="H89">
        <f t="shared" si="58"/>
        <v>0</v>
      </c>
      <c r="I89">
        <f t="shared" si="58"/>
        <v>0</v>
      </c>
      <c r="J89">
        <f t="shared" si="58"/>
        <v>0</v>
      </c>
      <c r="K89">
        <f t="shared" si="58"/>
        <v>0</v>
      </c>
      <c r="L89">
        <f t="shared" si="58"/>
        <v>0</v>
      </c>
      <c r="M89">
        <f t="shared" si="58"/>
        <v>0.44</v>
      </c>
      <c r="N89">
        <f t="shared" si="58"/>
        <v>0</v>
      </c>
      <c r="O89">
        <f t="shared" si="58"/>
        <v>0</v>
      </c>
      <c r="P89">
        <f t="shared" si="58"/>
        <v>705.02849999999978</v>
      </c>
      <c r="Q89">
        <f t="shared" si="58"/>
        <v>18.47</v>
      </c>
      <c r="R89">
        <f t="shared" si="58"/>
        <v>0.61</v>
      </c>
      <c r="S89">
        <f t="shared" si="58"/>
        <v>82.7</v>
      </c>
      <c r="T89">
        <f t="shared" si="58"/>
        <v>0</v>
      </c>
      <c r="U89">
        <f t="shared" si="58"/>
        <v>0</v>
      </c>
      <c r="V89">
        <f t="shared" si="58"/>
        <v>114.94</v>
      </c>
      <c r="W89">
        <f t="shared" si="58"/>
        <v>13.07</v>
      </c>
      <c r="X89">
        <f t="shared" si="58"/>
        <v>0</v>
      </c>
      <c r="Y89">
        <f t="shared" si="58"/>
        <v>243.80519999999996</v>
      </c>
      <c r="Z89">
        <f t="shared" si="58"/>
        <v>0</v>
      </c>
      <c r="AA89">
        <f t="shared" si="58"/>
        <v>0</v>
      </c>
      <c r="AB89">
        <f t="shared" si="58"/>
        <v>3.84</v>
      </c>
      <c r="AC89">
        <f t="shared" si="58"/>
        <v>0</v>
      </c>
      <c r="AD89">
        <f t="shared" si="58"/>
        <v>82.253699999999995</v>
      </c>
      <c r="AE89">
        <f t="shared" si="58"/>
        <v>0.71</v>
      </c>
      <c r="AF89">
        <f t="shared" si="58"/>
        <v>0</v>
      </c>
      <c r="AG89">
        <f t="shared" si="58"/>
        <v>0</v>
      </c>
      <c r="AH89">
        <f t="shared" si="58"/>
        <v>4.67</v>
      </c>
      <c r="AI89">
        <f t="shared" si="58"/>
        <v>27.41</v>
      </c>
      <c r="AJ89">
        <f t="shared" si="58"/>
        <v>8.2899999999999991</v>
      </c>
      <c r="AK89">
        <f t="shared" si="58"/>
        <v>1.4596</v>
      </c>
      <c r="AL89">
        <f t="shared" si="58"/>
        <v>1.82</v>
      </c>
      <c r="AM89">
        <f t="shared" si="58"/>
        <v>0.41</v>
      </c>
      <c r="AN89">
        <f t="shared" si="58"/>
        <v>37.520000000000003</v>
      </c>
      <c r="AO89">
        <f t="shared" si="58"/>
        <v>63.05</v>
      </c>
      <c r="AP89">
        <f t="shared" si="58"/>
        <v>0</v>
      </c>
      <c r="AQ89">
        <f t="shared" si="58"/>
        <v>0</v>
      </c>
      <c r="AR89">
        <f>E89+AQ89</f>
        <v>0.44</v>
      </c>
      <c r="AS89">
        <f t="shared" si="58"/>
        <v>891.88850000000002</v>
      </c>
    </row>
    <row r="90" spans="1:45" ht="20.25" customHeight="1">
      <c r="A90" t="s">
        <v>47</v>
      </c>
      <c r="B90" t="s">
        <v>48</v>
      </c>
      <c r="C90" t="s">
        <v>49</v>
      </c>
      <c r="D90">
        <f t="shared" ref="D90:D98" si="59">D26</f>
        <v>18.47</v>
      </c>
      <c r="E90">
        <f t="shared" si="39"/>
        <v>0</v>
      </c>
      <c r="F90">
        <f t="shared" ref="F90:F98" si="60">H26</f>
        <v>0</v>
      </c>
      <c r="G90">
        <f t="shared" ref="G90:G98" si="61">I26</f>
        <v>0</v>
      </c>
      <c r="H90">
        <f t="shared" ref="H90:H98" si="62">M26</f>
        <v>0</v>
      </c>
      <c r="I90">
        <f t="shared" ref="I90:I98" si="63">N26</f>
        <v>0</v>
      </c>
      <c r="J90">
        <f t="shared" ref="J90:J98" si="64">P26</f>
        <v>0</v>
      </c>
      <c r="K90">
        <f t="shared" ref="K90:K98" si="65">Q26</f>
        <v>0</v>
      </c>
      <c r="L90">
        <f t="shared" ref="L90:L98" si="66">R26</f>
        <v>0</v>
      </c>
      <c r="M90">
        <f t="shared" ref="M90:M98" si="67">S26</f>
        <v>0</v>
      </c>
      <c r="N90">
        <f t="shared" ref="N90:N98" si="68">T26</f>
        <v>0</v>
      </c>
      <c r="O90">
        <f t="shared" ref="O90:O98" si="69">U26</f>
        <v>0</v>
      </c>
      <c r="P90">
        <f>SUM(Q90:AP90)</f>
        <v>18.47</v>
      </c>
      <c r="Q90">
        <f>D90-AR90</f>
        <v>18.47</v>
      </c>
      <c r="R90">
        <f t="shared" ref="R90:Y90" si="70">X26</f>
        <v>0</v>
      </c>
      <c r="S90">
        <f t="shared" si="70"/>
        <v>0</v>
      </c>
      <c r="T90">
        <f t="shared" si="70"/>
        <v>0</v>
      </c>
      <c r="U90">
        <f t="shared" si="70"/>
        <v>0</v>
      </c>
      <c r="V90">
        <f t="shared" si="70"/>
        <v>0</v>
      </c>
      <c r="W90">
        <f t="shared" si="70"/>
        <v>0</v>
      </c>
      <c r="X90">
        <f t="shared" si="70"/>
        <v>0</v>
      </c>
      <c r="Y90">
        <f t="shared" si="70"/>
        <v>0</v>
      </c>
      <c r="Z90">
        <f t="shared" ref="Z90:AP90" si="71">AQ26</f>
        <v>0</v>
      </c>
      <c r="AA90">
        <f t="shared" si="71"/>
        <v>0</v>
      </c>
      <c r="AB90">
        <f t="shared" si="71"/>
        <v>0</v>
      </c>
      <c r="AC90">
        <f t="shared" si="71"/>
        <v>0</v>
      </c>
      <c r="AD90">
        <f t="shared" si="71"/>
        <v>0</v>
      </c>
      <c r="AE90">
        <f t="shared" si="71"/>
        <v>0</v>
      </c>
      <c r="AF90">
        <f t="shared" si="71"/>
        <v>0</v>
      </c>
      <c r="AG90">
        <f t="shared" si="71"/>
        <v>0</v>
      </c>
      <c r="AH90">
        <f t="shared" si="71"/>
        <v>0</v>
      </c>
      <c r="AI90">
        <f t="shared" si="71"/>
        <v>0</v>
      </c>
      <c r="AJ90">
        <f t="shared" si="71"/>
        <v>0</v>
      </c>
      <c r="AK90">
        <f t="shared" si="71"/>
        <v>0</v>
      </c>
      <c r="AL90">
        <f t="shared" si="71"/>
        <v>0</v>
      </c>
      <c r="AM90">
        <f t="shared" si="71"/>
        <v>0</v>
      </c>
      <c r="AN90">
        <f t="shared" si="71"/>
        <v>0</v>
      </c>
      <c r="AO90">
        <f t="shared" si="71"/>
        <v>0</v>
      </c>
      <c r="AP90">
        <f t="shared" si="71"/>
        <v>0</v>
      </c>
      <c r="AQ90">
        <f t="shared" ref="AQ90:AQ98" si="72">BH26</f>
        <v>0</v>
      </c>
      <c r="AR90">
        <f>E90+R90+S90+T90+U90+V90+W90+X90+Y90+Z90+AA90+AB90+AC90+AD90+AE90+AF90+AG90+AH90+AI90+AJ90+AK90+AL90+AM90+AN90+AO90+AP90+AQ90</f>
        <v>0</v>
      </c>
      <c r="AS90">
        <f>D90+Q117-AR90</f>
        <v>18.489999999999998</v>
      </c>
    </row>
    <row r="91" spans="1:45" ht="20.25" customHeight="1">
      <c r="A91" t="s">
        <v>50</v>
      </c>
      <c r="B91" t="s">
        <v>51</v>
      </c>
      <c r="C91" t="s">
        <v>52</v>
      </c>
      <c r="D91">
        <f t="shared" si="59"/>
        <v>0.61</v>
      </c>
      <c r="E91">
        <f t="shared" si="39"/>
        <v>0</v>
      </c>
      <c r="F91">
        <f t="shared" si="60"/>
        <v>0</v>
      </c>
      <c r="G91">
        <f t="shared" si="61"/>
        <v>0</v>
      </c>
      <c r="H91">
        <f t="shared" si="62"/>
        <v>0</v>
      </c>
      <c r="I91">
        <f t="shared" si="63"/>
        <v>0</v>
      </c>
      <c r="J91">
        <f t="shared" si="64"/>
        <v>0</v>
      </c>
      <c r="K91">
        <f t="shared" si="65"/>
        <v>0</v>
      </c>
      <c r="L91">
        <f t="shared" si="66"/>
        <v>0</v>
      </c>
      <c r="M91">
        <f t="shared" si="67"/>
        <v>0</v>
      </c>
      <c r="N91">
        <f t="shared" si="68"/>
        <v>0</v>
      </c>
      <c r="O91">
        <f t="shared" si="69"/>
        <v>0</v>
      </c>
      <c r="P91">
        <f t="shared" ref="P91:P115" si="73">SUM(Q91:AP91)</f>
        <v>0.61</v>
      </c>
      <c r="Q91">
        <f>W27</f>
        <v>0</v>
      </c>
      <c r="R91">
        <f>D91-AR91</f>
        <v>0.61</v>
      </c>
      <c r="S91">
        <f t="shared" ref="S91:Y91" si="74">Y27</f>
        <v>0</v>
      </c>
      <c r="T91">
        <f t="shared" si="74"/>
        <v>0</v>
      </c>
      <c r="U91">
        <f t="shared" si="74"/>
        <v>0</v>
      </c>
      <c r="V91">
        <f t="shared" si="74"/>
        <v>0</v>
      </c>
      <c r="W91">
        <f t="shared" si="74"/>
        <v>0</v>
      </c>
      <c r="X91">
        <f t="shared" si="74"/>
        <v>0</v>
      </c>
      <c r="Y91">
        <f t="shared" si="74"/>
        <v>0</v>
      </c>
      <c r="Z91">
        <f t="shared" ref="Z91:Z98" si="75">AQ27</f>
        <v>0</v>
      </c>
      <c r="AA91">
        <f t="shared" ref="AA91:AP98" si="76">AR27</f>
        <v>0</v>
      </c>
      <c r="AB91">
        <f t="shared" si="76"/>
        <v>0</v>
      </c>
      <c r="AC91">
        <f t="shared" si="76"/>
        <v>0</v>
      </c>
      <c r="AD91">
        <f t="shared" si="76"/>
        <v>0</v>
      </c>
      <c r="AE91">
        <f t="shared" si="76"/>
        <v>0</v>
      </c>
      <c r="AF91">
        <f t="shared" si="76"/>
        <v>0</v>
      </c>
      <c r="AG91">
        <f t="shared" si="76"/>
        <v>0</v>
      </c>
      <c r="AH91">
        <f t="shared" si="76"/>
        <v>0</v>
      </c>
      <c r="AI91">
        <f t="shared" si="76"/>
        <v>0</v>
      </c>
      <c r="AJ91">
        <f t="shared" si="76"/>
        <v>0</v>
      </c>
      <c r="AK91">
        <f t="shared" si="76"/>
        <v>0</v>
      </c>
      <c r="AL91">
        <f t="shared" si="76"/>
        <v>0</v>
      </c>
      <c r="AM91">
        <f t="shared" si="76"/>
        <v>0</v>
      </c>
      <c r="AN91">
        <f t="shared" si="76"/>
        <v>0</v>
      </c>
      <c r="AO91">
        <f t="shared" si="76"/>
        <v>0</v>
      </c>
      <c r="AP91">
        <f t="shared" si="76"/>
        <v>0</v>
      </c>
      <c r="AQ91">
        <f t="shared" si="72"/>
        <v>0</v>
      </c>
      <c r="AR91">
        <f>E91+Q91+S91+T91+U91+V91+W91+X91+Y91+Z91+AA91+AB91+AC91+AD91+AE91+AF91+AG91+AH91+AI91+AJ91+AK91+AL91+AM91+AN91+AO91+AP91+AQ91</f>
        <v>0</v>
      </c>
      <c r="AS91">
        <f>D91+R117-AR91</f>
        <v>0.61</v>
      </c>
    </row>
    <row r="92" spans="1:45" ht="20.25" customHeight="1">
      <c r="A92" t="s">
        <v>53</v>
      </c>
      <c r="B92" t="s">
        <v>54</v>
      </c>
      <c r="C92" t="s">
        <v>55</v>
      </c>
      <c r="D92">
        <f t="shared" si="59"/>
        <v>79.59</v>
      </c>
      <c r="E92">
        <f t="shared" si="39"/>
        <v>0</v>
      </c>
      <c r="F92">
        <f t="shared" si="60"/>
        <v>0</v>
      </c>
      <c r="G92">
        <f t="shared" si="61"/>
        <v>0</v>
      </c>
      <c r="H92">
        <f t="shared" si="62"/>
        <v>0</v>
      </c>
      <c r="I92">
        <f t="shared" si="63"/>
        <v>0</v>
      </c>
      <c r="J92">
        <f t="shared" si="64"/>
        <v>0</v>
      </c>
      <c r="K92">
        <f t="shared" si="65"/>
        <v>0</v>
      </c>
      <c r="L92">
        <f t="shared" si="66"/>
        <v>0</v>
      </c>
      <c r="M92">
        <f t="shared" si="67"/>
        <v>0</v>
      </c>
      <c r="N92">
        <f t="shared" si="68"/>
        <v>0</v>
      </c>
      <c r="O92">
        <f t="shared" si="69"/>
        <v>0</v>
      </c>
      <c r="P92">
        <f t="shared" si="73"/>
        <v>79.59</v>
      </c>
      <c r="Q92">
        <f t="shared" ref="Q92:S98" si="77">W28</f>
        <v>0</v>
      </c>
      <c r="R92">
        <f>X28</f>
        <v>0</v>
      </c>
      <c r="S92">
        <f>D92-AR92</f>
        <v>79.59</v>
      </c>
      <c r="T92">
        <f t="shared" ref="T92:Y92" si="78">Z28</f>
        <v>0</v>
      </c>
      <c r="U92">
        <f t="shared" si="78"/>
        <v>0</v>
      </c>
      <c r="V92">
        <f t="shared" si="78"/>
        <v>0</v>
      </c>
      <c r="W92">
        <f t="shared" si="78"/>
        <v>0</v>
      </c>
      <c r="X92">
        <f t="shared" si="78"/>
        <v>0</v>
      </c>
      <c r="Y92">
        <f t="shared" si="78"/>
        <v>0</v>
      </c>
      <c r="Z92">
        <f t="shared" si="75"/>
        <v>0</v>
      </c>
      <c r="AA92">
        <f t="shared" si="76"/>
        <v>0</v>
      </c>
      <c r="AB92">
        <f t="shared" si="76"/>
        <v>0</v>
      </c>
      <c r="AC92">
        <f t="shared" si="76"/>
        <v>0</v>
      </c>
      <c r="AD92">
        <f t="shared" si="76"/>
        <v>0</v>
      </c>
      <c r="AE92">
        <f t="shared" si="76"/>
        <v>0</v>
      </c>
      <c r="AF92">
        <f t="shared" si="76"/>
        <v>0</v>
      </c>
      <c r="AG92">
        <f t="shared" si="76"/>
        <v>0</v>
      </c>
      <c r="AH92">
        <f t="shared" si="76"/>
        <v>0</v>
      </c>
      <c r="AI92">
        <f t="shared" si="76"/>
        <v>0</v>
      </c>
      <c r="AJ92">
        <f t="shared" si="76"/>
        <v>0</v>
      </c>
      <c r="AK92">
        <f t="shared" si="76"/>
        <v>0</v>
      </c>
      <c r="AL92">
        <f t="shared" si="76"/>
        <v>0</v>
      </c>
      <c r="AM92">
        <f t="shared" si="76"/>
        <v>0</v>
      </c>
      <c r="AN92">
        <f t="shared" si="76"/>
        <v>0</v>
      </c>
      <c r="AO92">
        <f t="shared" si="76"/>
        <v>0</v>
      </c>
      <c r="AP92">
        <f t="shared" si="76"/>
        <v>0</v>
      </c>
      <c r="AQ92">
        <f t="shared" si="72"/>
        <v>0</v>
      </c>
      <c r="AR92">
        <f>E92+Q92+R92+T92+U92+V92+W92+X92+Y92+Z92+AA92+AB92+AC92+AD92+AE92+AF92+AG92+AH92+AI92+AJ92+AK92+AL92+AM92+AN92+AO92+AP92+AQ92</f>
        <v>0</v>
      </c>
      <c r="AS92">
        <f>D92+S117-AR92</f>
        <v>112.47999999999999</v>
      </c>
    </row>
    <row r="93" spans="1:45" ht="20.25" customHeight="1">
      <c r="A93" t="s">
        <v>56</v>
      </c>
      <c r="B93" t="s">
        <v>57</v>
      </c>
      <c r="C93" t="s">
        <v>58</v>
      </c>
      <c r="D93">
        <f t="shared" si="59"/>
        <v>0</v>
      </c>
      <c r="E93">
        <f t="shared" si="39"/>
        <v>0</v>
      </c>
      <c r="F93">
        <f t="shared" si="60"/>
        <v>0</v>
      </c>
      <c r="G93">
        <f t="shared" si="61"/>
        <v>0</v>
      </c>
      <c r="H93">
        <f t="shared" si="62"/>
        <v>0</v>
      </c>
      <c r="I93">
        <f t="shared" si="63"/>
        <v>0</v>
      </c>
      <c r="J93">
        <f t="shared" si="64"/>
        <v>0</v>
      </c>
      <c r="K93">
        <f t="shared" si="65"/>
        <v>0</v>
      </c>
      <c r="L93">
        <f t="shared" si="66"/>
        <v>0</v>
      </c>
      <c r="M93">
        <f t="shared" si="67"/>
        <v>0</v>
      </c>
      <c r="N93">
        <f t="shared" si="68"/>
        <v>0</v>
      </c>
      <c r="O93">
        <f t="shared" si="69"/>
        <v>0</v>
      </c>
      <c r="P93">
        <f t="shared" si="73"/>
        <v>0</v>
      </c>
      <c r="Q93">
        <f t="shared" si="77"/>
        <v>0</v>
      </c>
      <c r="R93">
        <f t="shared" si="77"/>
        <v>0</v>
      </c>
      <c r="S93">
        <f t="shared" si="77"/>
        <v>0</v>
      </c>
      <c r="T93">
        <f>D93-AR93</f>
        <v>0</v>
      </c>
      <c r="U93">
        <f>AA29</f>
        <v>0</v>
      </c>
      <c r="V93">
        <f>AB29</f>
        <v>0</v>
      </c>
      <c r="W93">
        <f>AC29</f>
        <v>0</v>
      </c>
      <c r="X93">
        <f>AD29</f>
        <v>0</v>
      </c>
      <c r="Y93">
        <f>AE29</f>
        <v>0</v>
      </c>
      <c r="Z93">
        <f t="shared" si="75"/>
        <v>0</v>
      </c>
      <c r="AA93">
        <f t="shared" si="76"/>
        <v>0</v>
      </c>
      <c r="AB93">
        <f t="shared" si="76"/>
        <v>0</v>
      </c>
      <c r="AC93">
        <f t="shared" si="76"/>
        <v>0</v>
      </c>
      <c r="AD93">
        <f t="shared" si="76"/>
        <v>0</v>
      </c>
      <c r="AE93">
        <f t="shared" si="76"/>
        <v>0</v>
      </c>
      <c r="AF93">
        <f t="shared" si="76"/>
        <v>0</v>
      </c>
      <c r="AG93">
        <f t="shared" si="76"/>
        <v>0</v>
      </c>
      <c r="AH93">
        <f t="shared" si="76"/>
        <v>0</v>
      </c>
      <c r="AI93">
        <f t="shared" si="76"/>
        <v>0</v>
      </c>
      <c r="AJ93">
        <f t="shared" si="76"/>
        <v>0</v>
      </c>
      <c r="AK93">
        <f t="shared" si="76"/>
        <v>0</v>
      </c>
      <c r="AL93">
        <f t="shared" si="76"/>
        <v>0</v>
      </c>
      <c r="AM93">
        <f t="shared" si="76"/>
        <v>0</v>
      </c>
      <c r="AN93">
        <f t="shared" si="76"/>
        <v>0</v>
      </c>
      <c r="AO93">
        <f t="shared" si="76"/>
        <v>0</v>
      </c>
      <c r="AP93">
        <f t="shared" si="76"/>
        <v>0</v>
      </c>
      <c r="AQ93">
        <f t="shared" si="72"/>
        <v>0</v>
      </c>
      <c r="AR93">
        <f>E93+Q93+R93+S93+U93+V93+W93+X93+Y93+Z93+AA93+AB93+AC93+AD93+AE93+AF93+AG93+AH93+AI93+AJ93+AK93+AL93+AM93+AN93+AO93+AP93+AQ93</f>
        <v>0</v>
      </c>
      <c r="AS93">
        <f>D93+T117-AR93</f>
        <v>0</v>
      </c>
    </row>
    <row r="94" spans="1:45" ht="20.25" customHeight="1">
      <c r="A94" t="s">
        <v>59</v>
      </c>
      <c r="B94" t="s">
        <v>60</v>
      </c>
      <c r="C94" t="s">
        <v>61</v>
      </c>
      <c r="D94">
        <f t="shared" si="59"/>
        <v>0</v>
      </c>
      <c r="E94">
        <f t="shared" si="39"/>
        <v>0</v>
      </c>
      <c r="F94">
        <f t="shared" si="60"/>
        <v>0</v>
      </c>
      <c r="G94">
        <f t="shared" si="61"/>
        <v>0</v>
      </c>
      <c r="H94">
        <f t="shared" si="62"/>
        <v>0</v>
      </c>
      <c r="I94">
        <f t="shared" si="63"/>
        <v>0</v>
      </c>
      <c r="J94">
        <f t="shared" si="64"/>
        <v>0</v>
      </c>
      <c r="K94">
        <f t="shared" si="65"/>
        <v>0</v>
      </c>
      <c r="L94">
        <f t="shared" si="66"/>
        <v>0</v>
      </c>
      <c r="M94">
        <f t="shared" si="67"/>
        <v>0</v>
      </c>
      <c r="N94">
        <f t="shared" si="68"/>
        <v>0</v>
      </c>
      <c r="O94">
        <f t="shared" si="69"/>
        <v>0</v>
      </c>
      <c r="P94">
        <f t="shared" si="73"/>
        <v>0</v>
      </c>
      <c r="Q94">
        <f t="shared" si="77"/>
        <v>0</v>
      </c>
      <c r="R94">
        <f t="shared" si="77"/>
        <v>0</v>
      </c>
      <c r="S94">
        <f t="shared" si="77"/>
        <v>0</v>
      </c>
      <c r="T94">
        <f>Z30</f>
        <v>0</v>
      </c>
      <c r="U94">
        <f>D94-AR94</f>
        <v>0</v>
      </c>
      <c r="V94">
        <f>AB30</f>
        <v>0</v>
      </c>
      <c r="W94">
        <f>AC30</f>
        <v>0</v>
      </c>
      <c r="X94">
        <f>AD30</f>
        <v>0</v>
      </c>
      <c r="Y94">
        <f>AE30</f>
        <v>0</v>
      </c>
      <c r="Z94">
        <f t="shared" si="75"/>
        <v>0</v>
      </c>
      <c r="AA94">
        <f t="shared" si="76"/>
        <v>0</v>
      </c>
      <c r="AB94">
        <f t="shared" si="76"/>
        <v>0</v>
      </c>
      <c r="AC94">
        <f t="shared" si="76"/>
        <v>0</v>
      </c>
      <c r="AD94">
        <f t="shared" si="76"/>
        <v>0</v>
      </c>
      <c r="AE94">
        <f t="shared" si="76"/>
        <v>0</v>
      </c>
      <c r="AF94">
        <f t="shared" si="76"/>
        <v>0</v>
      </c>
      <c r="AG94">
        <f t="shared" si="76"/>
        <v>0</v>
      </c>
      <c r="AH94">
        <f t="shared" si="76"/>
        <v>0</v>
      </c>
      <c r="AI94">
        <f t="shared" si="76"/>
        <v>0</v>
      </c>
      <c r="AJ94">
        <f t="shared" si="76"/>
        <v>0</v>
      </c>
      <c r="AK94">
        <f t="shared" si="76"/>
        <v>0</v>
      </c>
      <c r="AL94">
        <f t="shared" si="76"/>
        <v>0</v>
      </c>
      <c r="AM94">
        <f t="shared" si="76"/>
        <v>0</v>
      </c>
      <c r="AN94">
        <f t="shared" si="76"/>
        <v>0</v>
      </c>
      <c r="AO94">
        <f t="shared" si="76"/>
        <v>0</v>
      </c>
      <c r="AP94">
        <f t="shared" si="76"/>
        <v>0</v>
      </c>
      <c r="AQ94">
        <f t="shared" si="72"/>
        <v>0</v>
      </c>
      <c r="AR94">
        <f>E94+Q94+R94+S94+T94+V94+W94+X94+Y94+Z94+AA94+AB94+AC94+AD94+AE94+AF94+AG94+AH94+AI94+AJ94+AK94+AL94+AM94+AN94+AO94+AP94+AQ94</f>
        <v>0</v>
      </c>
      <c r="AS94">
        <f>D94+U117-AR94</f>
        <v>0</v>
      </c>
    </row>
    <row r="95" spans="1:45" ht="20.25" customHeight="1">
      <c r="A95" t="s">
        <v>62</v>
      </c>
      <c r="B95" t="s">
        <v>63</v>
      </c>
      <c r="C95" t="s">
        <v>64</v>
      </c>
      <c r="D95">
        <f t="shared" si="59"/>
        <v>114.26</v>
      </c>
      <c r="E95">
        <f t="shared" si="39"/>
        <v>0</v>
      </c>
      <c r="F95">
        <f t="shared" si="60"/>
        <v>0</v>
      </c>
      <c r="G95">
        <f t="shared" si="61"/>
        <v>0</v>
      </c>
      <c r="H95">
        <f t="shared" si="62"/>
        <v>0</v>
      </c>
      <c r="I95">
        <f t="shared" si="63"/>
        <v>0</v>
      </c>
      <c r="J95">
        <f t="shared" si="64"/>
        <v>0</v>
      </c>
      <c r="K95">
        <f t="shared" si="65"/>
        <v>0</v>
      </c>
      <c r="L95">
        <f t="shared" si="66"/>
        <v>0</v>
      </c>
      <c r="M95">
        <f t="shared" si="67"/>
        <v>0</v>
      </c>
      <c r="N95">
        <f t="shared" si="68"/>
        <v>0</v>
      </c>
      <c r="O95">
        <f t="shared" si="69"/>
        <v>0</v>
      </c>
      <c r="P95">
        <f t="shared" si="73"/>
        <v>114.26</v>
      </c>
      <c r="Q95">
        <f t="shared" si="77"/>
        <v>0</v>
      </c>
      <c r="R95">
        <f t="shared" si="77"/>
        <v>0</v>
      </c>
      <c r="S95">
        <f t="shared" si="77"/>
        <v>0</v>
      </c>
      <c r="T95">
        <f>Z31</f>
        <v>0</v>
      </c>
      <c r="U95">
        <f>AA31</f>
        <v>0</v>
      </c>
      <c r="V95">
        <f>D95-AR95</f>
        <v>114.26</v>
      </c>
      <c r="W95">
        <f>AC31</f>
        <v>0</v>
      </c>
      <c r="X95">
        <f>AD31</f>
        <v>0</v>
      </c>
      <c r="Y95">
        <f>AE31</f>
        <v>0</v>
      </c>
      <c r="Z95">
        <f t="shared" si="75"/>
        <v>0</v>
      </c>
      <c r="AA95">
        <f t="shared" si="76"/>
        <v>0</v>
      </c>
      <c r="AB95">
        <f t="shared" si="76"/>
        <v>0</v>
      </c>
      <c r="AC95">
        <f t="shared" si="76"/>
        <v>0</v>
      </c>
      <c r="AD95">
        <f t="shared" si="76"/>
        <v>0</v>
      </c>
      <c r="AE95">
        <f t="shared" si="76"/>
        <v>0</v>
      </c>
      <c r="AF95">
        <f t="shared" si="76"/>
        <v>0</v>
      </c>
      <c r="AG95">
        <f t="shared" si="76"/>
        <v>0</v>
      </c>
      <c r="AH95">
        <f t="shared" si="76"/>
        <v>0</v>
      </c>
      <c r="AI95">
        <f t="shared" si="76"/>
        <v>0</v>
      </c>
      <c r="AJ95">
        <f t="shared" si="76"/>
        <v>0</v>
      </c>
      <c r="AK95">
        <f t="shared" si="76"/>
        <v>0</v>
      </c>
      <c r="AL95">
        <f t="shared" si="76"/>
        <v>0</v>
      </c>
      <c r="AM95">
        <f t="shared" si="76"/>
        <v>0</v>
      </c>
      <c r="AN95">
        <f t="shared" si="76"/>
        <v>0</v>
      </c>
      <c r="AO95">
        <f t="shared" si="76"/>
        <v>0</v>
      </c>
      <c r="AP95">
        <f t="shared" si="76"/>
        <v>0</v>
      </c>
      <c r="AQ95">
        <f t="shared" si="72"/>
        <v>0</v>
      </c>
      <c r="AR95">
        <f>E95+Q95+R95+S95+T95+U95+W95+X95+Y95+Z95+AA95+AB95+AC95+AD95+AE95+AF95+AG95+AH95+AI95+AJ95+AK95+AL95+AM95+AN95+AO95+AP95+AQ95</f>
        <v>0</v>
      </c>
      <c r="AS95">
        <f>D95+V117-AR95</f>
        <v>173.71</v>
      </c>
    </row>
    <row r="96" spans="1:45" ht="20.25" customHeight="1">
      <c r="A96" t="s">
        <v>65</v>
      </c>
      <c r="B96" t="s">
        <v>66</v>
      </c>
      <c r="C96" t="s">
        <v>67</v>
      </c>
      <c r="D96">
        <f t="shared" si="59"/>
        <v>13.05</v>
      </c>
      <c r="E96">
        <f t="shared" si="39"/>
        <v>0</v>
      </c>
      <c r="F96">
        <f t="shared" si="60"/>
        <v>0</v>
      </c>
      <c r="G96">
        <f t="shared" si="61"/>
        <v>0</v>
      </c>
      <c r="H96">
        <f t="shared" si="62"/>
        <v>0</v>
      </c>
      <c r="I96">
        <f t="shared" si="63"/>
        <v>0</v>
      </c>
      <c r="J96">
        <f t="shared" si="64"/>
        <v>0</v>
      </c>
      <c r="K96">
        <f t="shared" si="65"/>
        <v>0</v>
      </c>
      <c r="L96">
        <f t="shared" si="66"/>
        <v>0</v>
      </c>
      <c r="M96">
        <f t="shared" si="67"/>
        <v>0</v>
      </c>
      <c r="N96">
        <f t="shared" si="68"/>
        <v>0</v>
      </c>
      <c r="O96">
        <f t="shared" si="69"/>
        <v>0</v>
      </c>
      <c r="P96">
        <f t="shared" si="73"/>
        <v>13.05</v>
      </c>
      <c r="Q96">
        <f t="shared" si="77"/>
        <v>0</v>
      </c>
      <c r="R96">
        <f t="shared" si="77"/>
        <v>0</v>
      </c>
      <c r="S96">
        <f t="shared" si="77"/>
        <v>0.95</v>
      </c>
      <c r="T96">
        <f>Z32</f>
        <v>0</v>
      </c>
      <c r="U96">
        <f>AA32</f>
        <v>0</v>
      </c>
      <c r="V96">
        <f>AB32</f>
        <v>0</v>
      </c>
      <c r="W96">
        <f>D96-AR96</f>
        <v>12.100000000000001</v>
      </c>
      <c r="X96">
        <f>AD32</f>
        <v>0</v>
      </c>
      <c r="Y96">
        <f>AE32</f>
        <v>0</v>
      </c>
      <c r="Z96">
        <f t="shared" si="75"/>
        <v>0</v>
      </c>
      <c r="AA96">
        <f t="shared" si="76"/>
        <v>0</v>
      </c>
      <c r="AB96">
        <f t="shared" si="76"/>
        <v>0</v>
      </c>
      <c r="AC96">
        <f t="shared" si="76"/>
        <v>0</v>
      </c>
      <c r="AD96">
        <f t="shared" si="76"/>
        <v>0</v>
      </c>
      <c r="AE96">
        <f t="shared" si="76"/>
        <v>0</v>
      </c>
      <c r="AF96">
        <f t="shared" si="76"/>
        <v>0</v>
      </c>
      <c r="AG96">
        <f t="shared" si="76"/>
        <v>0</v>
      </c>
      <c r="AH96">
        <f t="shared" si="76"/>
        <v>0</v>
      </c>
      <c r="AI96">
        <f t="shared" si="76"/>
        <v>0</v>
      </c>
      <c r="AJ96">
        <f t="shared" si="76"/>
        <v>0</v>
      </c>
      <c r="AK96">
        <f t="shared" si="76"/>
        <v>0</v>
      </c>
      <c r="AL96">
        <f t="shared" si="76"/>
        <v>0</v>
      </c>
      <c r="AM96">
        <f t="shared" si="76"/>
        <v>0</v>
      </c>
      <c r="AN96">
        <f t="shared" si="76"/>
        <v>0</v>
      </c>
      <c r="AO96">
        <f t="shared" si="76"/>
        <v>0</v>
      </c>
      <c r="AP96">
        <f t="shared" si="76"/>
        <v>0</v>
      </c>
      <c r="AQ96">
        <f t="shared" si="72"/>
        <v>0</v>
      </c>
      <c r="AR96">
        <f>E96+Q96+R96+S96+T96+U96+V96+X96+Y96+Z96+AA96+AB96+AC96+AD96+AE96+AF96+AG96+AH96+AI96+AJ96+AK96+AL96+AM96+AN96+AO96+AP96+AQ96</f>
        <v>0.95</v>
      </c>
      <c r="AS96">
        <f>D96+W117-AR96</f>
        <v>23.53</v>
      </c>
    </row>
    <row r="97" spans="1:45" ht="20.25" customHeight="1">
      <c r="A97" t="s">
        <v>68</v>
      </c>
      <c r="B97" t="s">
        <v>69</v>
      </c>
      <c r="C97" t="s">
        <v>70</v>
      </c>
      <c r="D97">
        <f t="shared" si="59"/>
        <v>0</v>
      </c>
      <c r="E97">
        <f t="shared" si="39"/>
        <v>0</v>
      </c>
      <c r="F97">
        <f t="shared" si="60"/>
        <v>0</v>
      </c>
      <c r="G97">
        <f t="shared" si="61"/>
        <v>0</v>
      </c>
      <c r="H97">
        <f t="shared" si="62"/>
        <v>0</v>
      </c>
      <c r="I97">
        <f t="shared" si="63"/>
        <v>0</v>
      </c>
      <c r="J97">
        <f t="shared" si="64"/>
        <v>0</v>
      </c>
      <c r="K97">
        <f t="shared" si="65"/>
        <v>0</v>
      </c>
      <c r="L97">
        <f t="shared" si="66"/>
        <v>0</v>
      </c>
      <c r="M97">
        <f t="shared" si="67"/>
        <v>0</v>
      </c>
      <c r="N97">
        <f t="shared" si="68"/>
        <v>0</v>
      </c>
      <c r="O97">
        <f t="shared" si="69"/>
        <v>0</v>
      </c>
      <c r="P97">
        <f t="shared" si="73"/>
        <v>0</v>
      </c>
      <c r="Q97">
        <f t="shared" si="77"/>
        <v>0</v>
      </c>
      <c r="R97">
        <f t="shared" si="77"/>
        <v>0</v>
      </c>
      <c r="S97">
        <f t="shared" si="77"/>
        <v>0</v>
      </c>
      <c r="T97">
        <f>Z33</f>
        <v>0</v>
      </c>
      <c r="U97">
        <f>AA33</f>
        <v>0</v>
      </c>
      <c r="V97">
        <f>AB33</f>
        <v>0</v>
      </c>
      <c r="W97">
        <f>AC33</f>
        <v>0</v>
      </c>
      <c r="X97">
        <f>D97-AR97</f>
        <v>0</v>
      </c>
      <c r="Y97">
        <f>AE33</f>
        <v>0</v>
      </c>
      <c r="Z97">
        <f t="shared" si="75"/>
        <v>0</v>
      </c>
      <c r="AA97">
        <f t="shared" si="76"/>
        <v>0</v>
      </c>
      <c r="AB97">
        <f t="shared" si="76"/>
        <v>0</v>
      </c>
      <c r="AC97">
        <f t="shared" si="76"/>
        <v>0</v>
      </c>
      <c r="AD97">
        <f t="shared" si="76"/>
        <v>0</v>
      </c>
      <c r="AE97">
        <f t="shared" si="76"/>
        <v>0</v>
      </c>
      <c r="AF97">
        <f t="shared" si="76"/>
        <v>0</v>
      </c>
      <c r="AG97">
        <f t="shared" si="76"/>
        <v>0</v>
      </c>
      <c r="AH97">
        <f t="shared" si="76"/>
        <v>0</v>
      </c>
      <c r="AI97">
        <f t="shared" si="76"/>
        <v>0</v>
      </c>
      <c r="AJ97">
        <f t="shared" si="76"/>
        <v>0</v>
      </c>
      <c r="AK97">
        <f t="shared" si="76"/>
        <v>0</v>
      </c>
      <c r="AL97">
        <f t="shared" si="76"/>
        <v>0</v>
      </c>
      <c r="AM97">
        <f t="shared" si="76"/>
        <v>0</v>
      </c>
      <c r="AN97">
        <f t="shared" si="76"/>
        <v>0</v>
      </c>
      <c r="AO97">
        <f t="shared" si="76"/>
        <v>0</v>
      </c>
      <c r="AP97">
        <f t="shared" si="76"/>
        <v>0</v>
      </c>
      <c r="AQ97">
        <f t="shared" si="72"/>
        <v>0</v>
      </c>
      <c r="AR97">
        <f>E97+Q97+R97+S97+T97+U97+V97+W97+Y97+Z97+AA97+AB97+AC97+AD97+AE97+AF97+AG97+AH97+AI97+AJ97+AK97+AL97+AM97+AN97+AO97+AP97+AQ97</f>
        <v>0</v>
      </c>
      <c r="AS97">
        <f>D97+X117-AR97</f>
        <v>0</v>
      </c>
    </row>
    <row r="98" spans="1:45" ht="38.25" customHeight="1">
      <c r="A98" t="s">
        <v>71</v>
      </c>
      <c r="B98" t="s">
        <v>135</v>
      </c>
      <c r="C98" t="s">
        <v>72</v>
      </c>
      <c r="D98">
        <f t="shared" si="59"/>
        <v>245.72519999999997</v>
      </c>
      <c r="E98">
        <f t="shared" si="39"/>
        <v>0</v>
      </c>
      <c r="F98">
        <f t="shared" si="60"/>
        <v>0</v>
      </c>
      <c r="G98">
        <f t="shared" si="61"/>
        <v>0</v>
      </c>
      <c r="H98">
        <f t="shared" si="62"/>
        <v>0</v>
      </c>
      <c r="I98">
        <f t="shared" si="63"/>
        <v>0</v>
      </c>
      <c r="J98">
        <f t="shared" si="64"/>
        <v>0</v>
      </c>
      <c r="K98">
        <f t="shared" si="65"/>
        <v>0</v>
      </c>
      <c r="L98">
        <f t="shared" si="66"/>
        <v>0</v>
      </c>
      <c r="M98">
        <f t="shared" si="67"/>
        <v>0</v>
      </c>
      <c r="N98">
        <f t="shared" si="68"/>
        <v>0</v>
      </c>
      <c r="O98">
        <f t="shared" si="69"/>
        <v>0</v>
      </c>
      <c r="P98">
        <f t="shared" si="73"/>
        <v>245.72519999999997</v>
      </c>
      <c r="Q98">
        <f t="shared" si="77"/>
        <v>0</v>
      </c>
      <c r="R98">
        <f t="shared" si="77"/>
        <v>0</v>
      </c>
      <c r="S98">
        <f t="shared" si="77"/>
        <v>1.1600000000000001</v>
      </c>
      <c r="T98">
        <f>Z34</f>
        <v>0</v>
      </c>
      <c r="U98">
        <f>AA34</f>
        <v>0</v>
      </c>
      <c r="V98">
        <f>AB34</f>
        <v>0.13</v>
      </c>
      <c r="W98">
        <f>AC34</f>
        <v>0.95</v>
      </c>
      <c r="X98">
        <f>AD34</f>
        <v>0</v>
      </c>
      <c r="Y98">
        <f>D98-AR98</f>
        <v>242.20519999999996</v>
      </c>
      <c r="Z98">
        <f t="shared" si="75"/>
        <v>0</v>
      </c>
      <c r="AA98">
        <f t="shared" si="76"/>
        <v>0</v>
      </c>
      <c r="AB98">
        <f t="shared" si="76"/>
        <v>0</v>
      </c>
      <c r="AC98">
        <f t="shared" si="76"/>
        <v>0</v>
      </c>
      <c r="AD98">
        <f t="shared" si="76"/>
        <v>0.8600000000000001</v>
      </c>
      <c r="AE98">
        <f t="shared" si="76"/>
        <v>0</v>
      </c>
      <c r="AF98">
        <f t="shared" si="76"/>
        <v>0</v>
      </c>
      <c r="AG98">
        <f t="shared" si="76"/>
        <v>0</v>
      </c>
      <c r="AH98">
        <f t="shared" si="76"/>
        <v>0.01</v>
      </c>
      <c r="AI98">
        <f t="shared" si="76"/>
        <v>0</v>
      </c>
      <c r="AJ98">
        <f t="shared" si="76"/>
        <v>0</v>
      </c>
      <c r="AK98">
        <f t="shared" si="76"/>
        <v>0</v>
      </c>
      <c r="AL98">
        <f t="shared" si="76"/>
        <v>0.41</v>
      </c>
      <c r="AM98">
        <f t="shared" si="76"/>
        <v>0</v>
      </c>
      <c r="AN98">
        <f t="shared" si="76"/>
        <v>0</v>
      </c>
      <c r="AO98">
        <f t="shared" si="76"/>
        <v>0</v>
      </c>
      <c r="AP98">
        <f t="shared" si="76"/>
        <v>0</v>
      </c>
      <c r="AQ98">
        <f t="shared" si="72"/>
        <v>0</v>
      </c>
      <c r="AR98">
        <f>E98+Q98+R98+S98+T98+U98+V98+W98+X98+Z98+AA98+AB98+AC98+AD98+AE98+AF98+AG98+AH98+AI98+AJ98+AK98+AL98+AM98+AN98+AO98+AP98+AQ98</f>
        <v>3.5200000000000005</v>
      </c>
      <c r="AS98">
        <f>D98+Y117-AR98</f>
        <v>290.53519999999997</v>
      </c>
    </row>
    <row r="99" spans="1:45" ht="20.25" customHeight="1">
      <c r="A99" t="s">
        <v>73</v>
      </c>
      <c r="B99" t="s">
        <v>74</v>
      </c>
      <c r="C99" t="s">
        <v>75</v>
      </c>
      <c r="D99">
        <f>D46</f>
        <v>0</v>
      </c>
      <c r="E99">
        <f t="shared" si="39"/>
        <v>0</v>
      </c>
      <c r="F99">
        <f>H46</f>
        <v>0</v>
      </c>
      <c r="G99">
        <f>I46</f>
        <v>0</v>
      </c>
      <c r="H99">
        <f>M46</f>
        <v>0</v>
      </c>
      <c r="I99">
        <f>N46</f>
        <v>0</v>
      </c>
      <c r="J99">
        <f t="shared" ref="J99:O114" si="79">P46</f>
        <v>0</v>
      </c>
      <c r="K99">
        <f t="shared" si="79"/>
        <v>0</v>
      </c>
      <c r="L99">
        <f t="shared" si="79"/>
        <v>0</v>
      </c>
      <c r="M99">
        <f t="shared" si="79"/>
        <v>0</v>
      </c>
      <c r="N99">
        <f t="shared" si="79"/>
        <v>0</v>
      </c>
      <c r="O99">
        <f t="shared" si="79"/>
        <v>0</v>
      </c>
      <c r="P99">
        <f t="shared" si="73"/>
        <v>0</v>
      </c>
      <c r="Q99">
        <f t="shared" ref="Q99:Y114" si="80">W46</f>
        <v>0</v>
      </c>
      <c r="R99">
        <f t="shared" si="80"/>
        <v>0</v>
      </c>
      <c r="S99">
        <f t="shared" si="80"/>
        <v>0</v>
      </c>
      <c r="T99">
        <f t="shared" si="80"/>
        <v>0</v>
      </c>
      <c r="U99">
        <f t="shared" si="80"/>
        <v>0</v>
      </c>
      <c r="V99">
        <f t="shared" si="80"/>
        <v>0</v>
      </c>
      <c r="W99">
        <f t="shared" si="80"/>
        <v>0</v>
      </c>
      <c r="X99">
        <f t="shared" si="80"/>
        <v>0</v>
      </c>
      <c r="Y99">
        <f t="shared" si="80"/>
        <v>0</v>
      </c>
      <c r="Z99">
        <f>D99-AR99</f>
        <v>0</v>
      </c>
      <c r="AA99">
        <f>AR46</f>
        <v>0</v>
      </c>
      <c r="AB99">
        <f t="shared" ref="AB99:AQ110" si="81">AS46</f>
        <v>0</v>
      </c>
      <c r="AC99">
        <f t="shared" si="81"/>
        <v>0</v>
      </c>
      <c r="AD99">
        <f t="shared" si="81"/>
        <v>0</v>
      </c>
      <c r="AE99">
        <f t="shared" si="81"/>
        <v>0</v>
      </c>
      <c r="AF99">
        <f t="shared" si="81"/>
        <v>0</v>
      </c>
      <c r="AG99">
        <f t="shared" si="81"/>
        <v>0</v>
      </c>
      <c r="AH99">
        <f t="shared" si="81"/>
        <v>0</v>
      </c>
      <c r="AI99">
        <f t="shared" si="81"/>
        <v>0</v>
      </c>
      <c r="AJ99">
        <f t="shared" si="81"/>
        <v>0</v>
      </c>
      <c r="AK99">
        <f t="shared" si="81"/>
        <v>0</v>
      </c>
      <c r="AL99">
        <f t="shared" si="81"/>
        <v>0</v>
      </c>
      <c r="AM99">
        <f t="shared" si="81"/>
        <v>0</v>
      </c>
      <c r="AN99">
        <f t="shared" si="81"/>
        <v>0</v>
      </c>
      <c r="AO99">
        <f t="shared" si="81"/>
        <v>0</v>
      </c>
      <c r="AP99">
        <f t="shared" si="81"/>
        <v>0</v>
      </c>
      <c r="AQ99">
        <f t="shared" si="81"/>
        <v>0</v>
      </c>
      <c r="AR99">
        <f>E99+Q99+R99+S99+T99+U99+V99+W99+X99+Y99+AA99+AB99+AC99+AD99+AE99+AF99+AG99+AH99+AI99+AJ99+AK99+AL99+AM99+AN99+AO99+AP99+AQ99</f>
        <v>0</v>
      </c>
      <c r="AS99">
        <f>D99+Z117-AR99</f>
        <v>0</v>
      </c>
    </row>
    <row r="100" spans="1:45" ht="20.25" customHeight="1">
      <c r="A100" t="s">
        <v>76</v>
      </c>
      <c r="B100" t="s">
        <v>77</v>
      </c>
      <c r="C100" t="s">
        <v>78</v>
      </c>
      <c r="D100">
        <f t="shared" ref="D100:D115" si="82">D47</f>
        <v>0</v>
      </c>
      <c r="E100">
        <f t="shared" si="39"/>
        <v>0</v>
      </c>
      <c r="F100">
        <f t="shared" ref="F100:G116" si="83">H47</f>
        <v>0</v>
      </c>
      <c r="G100">
        <f t="shared" si="83"/>
        <v>0</v>
      </c>
      <c r="H100">
        <f t="shared" ref="H100:I116" si="84">M47</f>
        <v>0</v>
      </c>
      <c r="I100">
        <f t="shared" si="84"/>
        <v>0</v>
      </c>
      <c r="J100">
        <f t="shared" si="79"/>
        <v>0</v>
      </c>
      <c r="K100">
        <f t="shared" si="79"/>
        <v>0</v>
      </c>
      <c r="L100">
        <f t="shared" si="79"/>
        <v>0</v>
      </c>
      <c r="M100">
        <f t="shared" si="79"/>
        <v>0</v>
      </c>
      <c r="N100">
        <f t="shared" si="79"/>
        <v>0</v>
      </c>
      <c r="O100">
        <f t="shared" si="79"/>
        <v>0</v>
      </c>
      <c r="P100">
        <f t="shared" si="73"/>
        <v>0</v>
      </c>
      <c r="Q100">
        <f t="shared" si="80"/>
        <v>0</v>
      </c>
      <c r="R100">
        <f t="shared" si="80"/>
        <v>0</v>
      </c>
      <c r="S100">
        <f t="shared" si="80"/>
        <v>0</v>
      </c>
      <c r="T100">
        <f t="shared" si="80"/>
        <v>0</v>
      </c>
      <c r="U100">
        <f t="shared" si="80"/>
        <v>0</v>
      </c>
      <c r="V100">
        <f t="shared" si="80"/>
        <v>0</v>
      </c>
      <c r="W100">
        <f t="shared" si="80"/>
        <v>0</v>
      </c>
      <c r="X100">
        <f t="shared" si="80"/>
        <v>0</v>
      </c>
      <c r="Y100">
        <f t="shared" si="80"/>
        <v>0</v>
      </c>
      <c r="Z100">
        <f>AQ47</f>
        <v>0</v>
      </c>
      <c r="AA100">
        <f>D100-AR100</f>
        <v>0</v>
      </c>
      <c r="AB100">
        <f>AS47</f>
        <v>0</v>
      </c>
      <c r="AC100">
        <f t="shared" si="81"/>
        <v>0</v>
      </c>
      <c r="AD100">
        <f t="shared" si="81"/>
        <v>0</v>
      </c>
      <c r="AE100">
        <f t="shared" si="81"/>
        <v>0</v>
      </c>
      <c r="AF100">
        <f t="shared" si="81"/>
        <v>0</v>
      </c>
      <c r="AG100">
        <f t="shared" si="81"/>
        <v>0</v>
      </c>
      <c r="AH100">
        <f t="shared" si="81"/>
        <v>0</v>
      </c>
      <c r="AI100">
        <f t="shared" si="81"/>
        <v>0</v>
      </c>
      <c r="AJ100">
        <f t="shared" si="81"/>
        <v>0</v>
      </c>
      <c r="AK100">
        <f t="shared" si="81"/>
        <v>0</v>
      </c>
      <c r="AL100">
        <f t="shared" si="81"/>
        <v>0</v>
      </c>
      <c r="AM100">
        <f t="shared" si="81"/>
        <v>0</v>
      </c>
      <c r="AN100">
        <f t="shared" si="81"/>
        <v>0</v>
      </c>
      <c r="AO100">
        <f t="shared" si="81"/>
        <v>0</v>
      </c>
      <c r="AP100">
        <f t="shared" si="81"/>
        <v>0</v>
      </c>
      <c r="AQ100">
        <f t="shared" si="81"/>
        <v>0</v>
      </c>
      <c r="AR100">
        <f>E100+Q100+R100+S100+T100+U100+V100+W100+X100+Y100+Z100+AB100+AC100+AD100+AE100+AF100+AG100+AH100+AI100+AJ100+AK100+AL100+AM100+AN100+AO100+AP100+AQ100</f>
        <v>0</v>
      </c>
      <c r="AS100">
        <f>D100+AA117-AR100</f>
        <v>0</v>
      </c>
    </row>
    <row r="101" spans="1:45" ht="20.25" customHeight="1">
      <c r="A101" t="s">
        <v>79</v>
      </c>
      <c r="B101" t="s">
        <v>80</v>
      </c>
      <c r="C101" t="s">
        <v>81</v>
      </c>
      <c r="D101">
        <f t="shared" si="82"/>
        <v>3.84</v>
      </c>
      <c r="E101">
        <f t="shared" si="39"/>
        <v>0</v>
      </c>
      <c r="F101">
        <f t="shared" si="83"/>
        <v>0</v>
      </c>
      <c r="G101">
        <f t="shared" si="83"/>
        <v>0</v>
      </c>
      <c r="H101">
        <f t="shared" si="84"/>
        <v>0</v>
      </c>
      <c r="I101">
        <f t="shared" si="84"/>
        <v>0</v>
      </c>
      <c r="J101">
        <f t="shared" si="79"/>
        <v>0</v>
      </c>
      <c r="K101">
        <f t="shared" si="79"/>
        <v>0</v>
      </c>
      <c r="L101">
        <f t="shared" si="79"/>
        <v>0</v>
      </c>
      <c r="M101">
        <f t="shared" si="79"/>
        <v>0</v>
      </c>
      <c r="N101">
        <f t="shared" si="79"/>
        <v>0</v>
      </c>
      <c r="O101">
        <f t="shared" si="79"/>
        <v>0</v>
      </c>
      <c r="P101">
        <f t="shared" si="73"/>
        <v>3.84</v>
      </c>
      <c r="Q101">
        <f t="shared" si="80"/>
        <v>0</v>
      </c>
      <c r="R101">
        <f t="shared" si="80"/>
        <v>0</v>
      </c>
      <c r="S101">
        <f t="shared" si="80"/>
        <v>0</v>
      </c>
      <c r="T101">
        <f t="shared" si="80"/>
        <v>0</v>
      </c>
      <c r="U101">
        <f t="shared" si="80"/>
        <v>0</v>
      </c>
      <c r="V101">
        <f t="shared" si="80"/>
        <v>0</v>
      </c>
      <c r="W101">
        <f t="shared" si="80"/>
        <v>0</v>
      </c>
      <c r="X101">
        <f t="shared" si="80"/>
        <v>0</v>
      </c>
      <c r="Y101">
        <f t="shared" si="80"/>
        <v>0</v>
      </c>
      <c r="Z101">
        <f t="shared" ref="Z101:AK116" si="85">AQ48</f>
        <v>0</v>
      </c>
      <c r="AA101">
        <f t="shared" si="85"/>
        <v>0</v>
      </c>
      <c r="AB101">
        <f>D101-AR101</f>
        <v>3.84</v>
      </c>
      <c r="AC101">
        <f>AT48</f>
        <v>0</v>
      </c>
      <c r="AD101">
        <f t="shared" si="81"/>
        <v>0</v>
      </c>
      <c r="AE101">
        <f t="shared" si="81"/>
        <v>0</v>
      </c>
      <c r="AF101">
        <f t="shared" si="81"/>
        <v>0</v>
      </c>
      <c r="AG101">
        <f t="shared" si="81"/>
        <v>0</v>
      </c>
      <c r="AH101">
        <f t="shared" si="81"/>
        <v>0</v>
      </c>
      <c r="AI101">
        <f t="shared" si="81"/>
        <v>0</v>
      </c>
      <c r="AJ101">
        <f t="shared" si="81"/>
        <v>0</v>
      </c>
      <c r="AK101">
        <f t="shared" si="81"/>
        <v>0</v>
      </c>
      <c r="AL101">
        <f t="shared" si="81"/>
        <v>0</v>
      </c>
      <c r="AM101">
        <f t="shared" si="81"/>
        <v>0</v>
      </c>
      <c r="AN101">
        <f t="shared" si="81"/>
        <v>0</v>
      </c>
      <c r="AO101">
        <f t="shared" si="81"/>
        <v>0</v>
      </c>
      <c r="AP101">
        <f t="shared" si="81"/>
        <v>0</v>
      </c>
      <c r="AQ101">
        <f t="shared" si="81"/>
        <v>0</v>
      </c>
      <c r="AR101">
        <f>E101+Q101+R101+S101+T101+U101+V101+W101+X101+Y101+Z101+AA101+AC101+AD101+AE101+AF101+AG101+AH101+AI101+AJ101+AK101+AL101+AM101+AN101+AO101+AP101+AQ101</f>
        <v>0</v>
      </c>
      <c r="AS101">
        <f>D101+AB117-AR101</f>
        <v>3.84</v>
      </c>
    </row>
    <row r="102" spans="1:45" ht="20.25" customHeight="1">
      <c r="A102" t="s">
        <v>82</v>
      </c>
      <c r="B102" t="s">
        <v>83</v>
      </c>
      <c r="C102" t="s">
        <v>84</v>
      </c>
      <c r="D102">
        <f t="shared" si="82"/>
        <v>0</v>
      </c>
      <c r="E102">
        <f t="shared" si="39"/>
        <v>0</v>
      </c>
      <c r="F102">
        <f t="shared" si="83"/>
        <v>0</v>
      </c>
      <c r="G102">
        <f t="shared" si="83"/>
        <v>0</v>
      </c>
      <c r="H102">
        <f t="shared" si="84"/>
        <v>0</v>
      </c>
      <c r="I102">
        <f t="shared" si="84"/>
        <v>0</v>
      </c>
      <c r="J102">
        <f t="shared" si="79"/>
        <v>0</v>
      </c>
      <c r="K102">
        <f t="shared" si="79"/>
        <v>0</v>
      </c>
      <c r="L102">
        <f t="shared" si="79"/>
        <v>0</v>
      </c>
      <c r="M102">
        <f t="shared" si="79"/>
        <v>0</v>
      </c>
      <c r="N102">
        <f t="shared" si="79"/>
        <v>0</v>
      </c>
      <c r="O102">
        <f t="shared" si="79"/>
        <v>0</v>
      </c>
      <c r="P102">
        <f t="shared" si="73"/>
        <v>0</v>
      </c>
      <c r="Q102">
        <f t="shared" si="80"/>
        <v>0</v>
      </c>
      <c r="R102">
        <f t="shared" si="80"/>
        <v>0</v>
      </c>
      <c r="S102">
        <f t="shared" si="80"/>
        <v>0</v>
      </c>
      <c r="T102">
        <f t="shared" si="80"/>
        <v>0</v>
      </c>
      <c r="U102">
        <f t="shared" si="80"/>
        <v>0</v>
      </c>
      <c r="V102">
        <f t="shared" si="80"/>
        <v>0</v>
      </c>
      <c r="W102">
        <f t="shared" si="80"/>
        <v>0</v>
      </c>
      <c r="X102">
        <f t="shared" si="80"/>
        <v>0</v>
      </c>
      <c r="Y102">
        <f t="shared" si="80"/>
        <v>0</v>
      </c>
      <c r="Z102">
        <f t="shared" si="85"/>
        <v>0</v>
      </c>
      <c r="AA102">
        <f t="shared" si="85"/>
        <v>0</v>
      </c>
      <c r="AB102">
        <f t="shared" si="85"/>
        <v>0</v>
      </c>
      <c r="AC102">
        <f>D102-AR102</f>
        <v>0</v>
      </c>
      <c r="AD102">
        <f>AU49</f>
        <v>0</v>
      </c>
      <c r="AE102">
        <f t="shared" si="81"/>
        <v>0</v>
      </c>
      <c r="AF102">
        <f t="shared" si="81"/>
        <v>0</v>
      </c>
      <c r="AG102">
        <f t="shared" si="81"/>
        <v>0</v>
      </c>
      <c r="AH102">
        <f t="shared" si="81"/>
        <v>0</v>
      </c>
      <c r="AI102">
        <f t="shared" si="81"/>
        <v>0</v>
      </c>
      <c r="AJ102">
        <f t="shared" si="81"/>
        <v>0</v>
      </c>
      <c r="AK102">
        <f t="shared" si="81"/>
        <v>0</v>
      </c>
      <c r="AL102">
        <f t="shared" si="81"/>
        <v>0</v>
      </c>
      <c r="AM102">
        <f t="shared" si="81"/>
        <v>0</v>
      </c>
      <c r="AN102">
        <f t="shared" si="81"/>
        <v>0</v>
      </c>
      <c r="AO102">
        <f t="shared" si="81"/>
        <v>0</v>
      </c>
      <c r="AP102">
        <f t="shared" si="81"/>
        <v>0</v>
      </c>
      <c r="AQ102">
        <f t="shared" si="81"/>
        <v>0</v>
      </c>
      <c r="AR102">
        <f>E102+Q102+R102+S102+T102+U102+V102+W102+X102+Y102+Z102+AA102+AB102+AD102+AE102+AF102+AG102+AH102+AI102+AJ102+AK102+AL102+AM102+AN102+AO102+AP102+AQ102</f>
        <v>0</v>
      </c>
      <c r="AS102">
        <f>D102+AC117-AR102</f>
        <v>0</v>
      </c>
    </row>
    <row r="103" spans="1:45" ht="20.25" customHeight="1">
      <c r="A103" t="s">
        <v>85</v>
      </c>
      <c r="B103" t="s">
        <v>86</v>
      </c>
      <c r="C103" t="s">
        <v>87</v>
      </c>
      <c r="D103">
        <f t="shared" si="82"/>
        <v>84.563699999999997</v>
      </c>
      <c r="E103">
        <f t="shared" si="39"/>
        <v>0</v>
      </c>
      <c r="F103">
        <f t="shared" si="83"/>
        <v>0</v>
      </c>
      <c r="G103">
        <f t="shared" si="83"/>
        <v>0</v>
      </c>
      <c r="H103">
        <f t="shared" si="84"/>
        <v>0</v>
      </c>
      <c r="I103">
        <f t="shared" si="84"/>
        <v>0</v>
      </c>
      <c r="J103">
        <f t="shared" si="79"/>
        <v>0</v>
      </c>
      <c r="K103">
        <f t="shared" si="79"/>
        <v>0</v>
      </c>
      <c r="L103">
        <f t="shared" si="79"/>
        <v>0</v>
      </c>
      <c r="M103">
        <f t="shared" si="79"/>
        <v>0</v>
      </c>
      <c r="N103">
        <f t="shared" si="79"/>
        <v>0</v>
      </c>
      <c r="O103">
        <f t="shared" si="79"/>
        <v>0</v>
      </c>
      <c r="P103">
        <f t="shared" si="73"/>
        <v>84.563699999999997</v>
      </c>
      <c r="Q103">
        <f t="shared" si="80"/>
        <v>0</v>
      </c>
      <c r="R103">
        <f t="shared" si="80"/>
        <v>0</v>
      </c>
      <c r="S103">
        <f t="shared" si="80"/>
        <v>1</v>
      </c>
      <c r="T103">
        <f t="shared" si="80"/>
        <v>0</v>
      </c>
      <c r="U103">
        <f t="shared" si="80"/>
        <v>0</v>
      </c>
      <c r="V103">
        <f t="shared" si="80"/>
        <v>0.55000000000000004</v>
      </c>
      <c r="W103">
        <f t="shared" si="80"/>
        <v>0</v>
      </c>
      <c r="X103">
        <f t="shared" si="80"/>
        <v>0</v>
      </c>
      <c r="Y103">
        <f t="shared" si="80"/>
        <v>1.54</v>
      </c>
      <c r="Z103">
        <f t="shared" si="85"/>
        <v>0</v>
      </c>
      <c r="AA103">
        <f t="shared" si="85"/>
        <v>0</v>
      </c>
      <c r="AB103">
        <f t="shared" si="85"/>
        <v>0</v>
      </c>
      <c r="AC103">
        <f t="shared" si="85"/>
        <v>0</v>
      </c>
      <c r="AD103">
        <f>D103-AR103</f>
        <v>81.333699999999993</v>
      </c>
      <c r="AE103">
        <f>AV50</f>
        <v>0</v>
      </c>
      <c r="AF103">
        <f t="shared" si="81"/>
        <v>0</v>
      </c>
      <c r="AG103">
        <f t="shared" si="81"/>
        <v>0</v>
      </c>
      <c r="AH103">
        <f t="shared" si="81"/>
        <v>0</v>
      </c>
      <c r="AI103">
        <f t="shared" si="81"/>
        <v>0</v>
      </c>
      <c r="AJ103">
        <f t="shared" si="81"/>
        <v>0</v>
      </c>
      <c r="AK103">
        <f t="shared" si="81"/>
        <v>0</v>
      </c>
      <c r="AL103">
        <f t="shared" si="81"/>
        <v>0.14000000000000001</v>
      </c>
      <c r="AM103">
        <f t="shared" si="81"/>
        <v>0</v>
      </c>
      <c r="AN103">
        <f t="shared" si="81"/>
        <v>0</v>
      </c>
      <c r="AO103">
        <f t="shared" si="81"/>
        <v>0</v>
      </c>
      <c r="AP103">
        <f t="shared" si="81"/>
        <v>0</v>
      </c>
      <c r="AQ103">
        <f t="shared" si="81"/>
        <v>0</v>
      </c>
      <c r="AR103">
        <f>E103+Q103+R103+S103+T103+U103+V103+W103+X103+Y103+Z103+AA103+AB103+AC103+AE103+AF103+AG103+AH103+AI103+AJ103+AK103+AL103+AM103+AN103+AO103+AP103+AQ103</f>
        <v>3.23</v>
      </c>
      <c r="AS103">
        <f>D103+AD117-AR103</f>
        <v>100.27369999999999</v>
      </c>
    </row>
    <row r="104" spans="1:45" ht="20.25" customHeight="1">
      <c r="A104" t="s">
        <v>88</v>
      </c>
      <c r="B104" t="s">
        <v>89</v>
      </c>
      <c r="C104" t="s">
        <v>90</v>
      </c>
      <c r="D104">
        <f t="shared" si="82"/>
        <v>0.77</v>
      </c>
      <c r="E104">
        <f t="shared" si="39"/>
        <v>0</v>
      </c>
      <c r="F104">
        <f t="shared" si="83"/>
        <v>0</v>
      </c>
      <c r="G104">
        <f t="shared" si="83"/>
        <v>0</v>
      </c>
      <c r="H104">
        <f t="shared" si="84"/>
        <v>0</v>
      </c>
      <c r="I104">
        <f t="shared" si="84"/>
        <v>0</v>
      </c>
      <c r="J104">
        <f t="shared" si="79"/>
        <v>0</v>
      </c>
      <c r="K104">
        <f t="shared" si="79"/>
        <v>0</v>
      </c>
      <c r="L104">
        <f t="shared" si="79"/>
        <v>0</v>
      </c>
      <c r="M104">
        <f t="shared" si="79"/>
        <v>0</v>
      </c>
      <c r="N104">
        <f t="shared" si="79"/>
        <v>0</v>
      </c>
      <c r="O104">
        <f t="shared" si="79"/>
        <v>0</v>
      </c>
      <c r="P104">
        <f t="shared" si="73"/>
        <v>0.77</v>
      </c>
      <c r="Q104">
        <f t="shared" si="80"/>
        <v>0</v>
      </c>
      <c r="R104">
        <f t="shared" si="80"/>
        <v>0</v>
      </c>
      <c r="S104">
        <f t="shared" si="80"/>
        <v>0</v>
      </c>
      <c r="T104">
        <f t="shared" si="80"/>
        <v>0</v>
      </c>
      <c r="U104">
        <f t="shared" si="80"/>
        <v>0</v>
      </c>
      <c r="V104">
        <f t="shared" si="80"/>
        <v>0</v>
      </c>
      <c r="W104">
        <f t="shared" si="80"/>
        <v>0</v>
      </c>
      <c r="X104">
        <f t="shared" si="80"/>
        <v>0</v>
      </c>
      <c r="Y104">
        <f t="shared" si="80"/>
        <v>6.0000000000000005E-2</v>
      </c>
      <c r="Z104">
        <f t="shared" si="85"/>
        <v>0</v>
      </c>
      <c r="AA104">
        <f t="shared" si="85"/>
        <v>0</v>
      </c>
      <c r="AB104">
        <f t="shared" si="85"/>
        <v>0</v>
      </c>
      <c r="AC104">
        <f t="shared" si="85"/>
        <v>0</v>
      </c>
      <c r="AD104">
        <f t="shared" si="85"/>
        <v>0</v>
      </c>
      <c r="AE104">
        <f>D104-AR104</f>
        <v>0.71</v>
      </c>
      <c r="AF104">
        <f>AW51</f>
        <v>0</v>
      </c>
      <c r="AG104">
        <f t="shared" si="81"/>
        <v>0</v>
      </c>
      <c r="AH104">
        <f t="shared" si="81"/>
        <v>0</v>
      </c>
      <c r="AI104">
        <f t="shared" si="81"/>
        <v>0</v>
      </c>
      <c r="AJ104">
        <f t="shared" si="81"/>
        <v>0</v>
      </c>
      <c r="AK104">
        <f t="shared" si="81"/>
        <v>0</v>
      </c>
      <c r="AL104">
        <f t="shared" si="81"/>
        <v>0</v>
      </c>
      <c r="AM104">
        <f t="shared" si="81"/>
        <v>0</v>
      </c>
      <c r="AN104">
        <f t="shared" si="81"/>
        <v>0</v>
      </c>
      <c r="AO104">
        <f t="shared" si="81"/>
        <v>0</v>
      </c>
      <c r="AP104">
        <f t="shared" si="81"/>
        <v>0</v>
      </c>
      <c r="AQ104">
        <f t="shared" si="81"/>
        <v>0</v>
      </c>
      <c r="AR104">
        <f>E104+Q104+R104+S104+T104+U104+V104+W104+X104+Y104+Z104+AA104+AB104+AC104+AD104+AF104+AG104+AH104+AI104+AJ104+AK104+AL104+AM104+AN104+AO104+AP104+AQ104</f>
        <v>6.0000000000000005E-2</v>
      </c>
      <c r="AS104">
        <f>D104+AE117-AR104</f>
        <v>0.71</v>
      </c>
    </row>
    <row r="105" spans="1:45" ht="37.5" customHeight="1">
      <c r="A105" t="s">
        <v>91</v>
      </c>
      <c r="B105" t="s">
        <v>92</v>
      </c>
      <c r="C105" t="s">
        <v>93</v>
      </c>
      <c r="D105">
        <f t="shared" si="82"/>
        <v>0</v>
      </c>
      <c r="E105">
        <f t="shared" si="39"/>
        <v>0</v>
      </c>
      <c r="F105">
        <f t="shared" si="83"/>
        <v>0</v>
      </c>
      <c r="G105">
        <f t="shared" si="83"/>
        <v>0</v>
      </c>
      <c r="H105">
        <f t="shared" si="84"/>
        <v>0</v>
      </c>
      <c r="I105">
        <f t="shared" si="84"/>
        <v>0</v>
      </c>
      <c r="J105">
        <f t="shared" si="79"/>
        <v>0</v>
      </c>
      <c r="K105">
        <f t="shared" si="79"/>
        <v>0</v>
      </c>
      <c r="L105">
        <f t="shared" si="79"/>
        <v>0</v>
      </c>
      <c r="M105">
        <f t="shared" si="79"/>
        <v>0</v>
      </c>
      <c r="N105">
        <f t="shared" si="79"/>
        <v>0</v>
      </c>
      <c r="O105">
        <f t="shared" si="79"/>
        <v>0</v>
      </c>
      <c r="P105">
        <f t="shared" si="73"/>
        <v>0</v>
      </c>
      <c r="Q105">
        <f t="shared" si="80"/>
        <v>0</v>
      </c>
      <c r="R105">
        <f t="shared" si="80"/>
        <v>0</v>
      </c>
      <c r="S105">
        <f t="shared" si="80"/>
        <v>0</v>
      </c>
      <c r="T105">
        <f t="shared" si="80"/>
        <v>0</v>
      </c>
      <c r="U105">
        <f t="shared" si="80"/>
        <v>0</v>
      </c>
      <c r="V105">
        <f t="shared" si="80"/>
        <v>0</v>
      </c>
      <c r="W105">
        <f t="shared" si="80"/>
        <v>0</v>
      </c>
      <c r="X105">
        <f t="shared" si="80"/>
        <v>0</v>
      </c>
      <c r="Y105">
        <f t="shared" si="80"/>
        <v>0</v>
      </c>
      <c r="Z105">
        <f t="shared" si="85"/>
        <v>0</v>
      </c>
      <c r="AA105">
        <f t="shared" si="85"/>
        <v>0</v>
      </c>
      <c r="AB105">
        <f t="shared" si="85"/>
        <v>0</v>
      </c>
      <c r="AC105">
        <f t="shared" si="85"/>
        <v>0</v>
      </c>
      <c r="AD105">
        <f t="shared" si="85"/>
        <v>0</v>
      </c>
      <c r="AE105">
        <f t="shared" si="85"/>
        <v>0</v>
      </c>
      <c r="AF105">
        <f>D105-AR105</f>
        <v>0</v>
      </c>
      <c r="AG105">
        <f>AX52</f>
        <v>0</v>
      </c>
      <c r="AH105">
        <f t="shared" si="81"/>
        <v>0</v>
      </c>
      <c r="AI105">
        <f t="shared" si="81"/>
        <v>0</v>
      </c>
      <c r="AJ105">
        <f t="shared" si="81"/>
        <v>0</v>
      </c>
      <c r="AK105">
        <f t="shared" si="81"/>
        <v>0</v>
      </c>
      <c r="AL105">
        <f t="shared" si="81"/>
        <v>0</v>
      </c>
      <c r="AM105">
        <f t="shared" si="81"/>
        <v>0</v>
      </c>
      <c r="AN105">
        <f t="shared" si="81"/>
        <v>0</v>
      </c>
      <c r="AO105">
        <f t="shared" si="81"/>
        <v>0</v>
      </c>
      <c r="AP105">
        <f t="shared" si="81"/>
        <v>0</v>
      </c>
      <c r="AQ105">
        <f t="shared" si="81"/>
        <v>0</v>
      </c>
      <c r="AR105">
        <f>E105+Q105+R105+S105+T105+U105+V105+W105+X105+Y105+Z105+AA105+AB105+AC105+AD105+AE105+AG105+AH105+AI105+AJ105+AK105+AL105+AM105+AN105+AO105+AP105+AQ105</f>
        <v>0</v>
      </c>
      <c r="AS105">
        <f>D105+AF117-AR105</f>
        <v>0</v>
      </c>
    </row>
    <row r="106" spans="1:45" ht="20.25" customHeight="1">
      <c r="A106" t="s">
        <v>94</v>
      </c>
      <c r="B106" t="s">
        <v>95</v>
      </c>
      <c r="C106" t="s">
        <v>96</v>
      </c>
      <c r="D106">
        <f t="shared" si="82"/>
        <v>0</v>
      </c>
      <c r="E106">
        <f t="shared" si="39"/>
        <v>0</v>
      </c>
      <c r="F106">
        <f t="shared" si="83"/>
        <v>0</v>
      </c>
      <c r="G106">
        <f t="shared" si="83"/>
        <v>0</v>
      </c>
      <c r="H106">
        <f t="shared" si="84"/>
        <v>0</v>
      </c>
      <c r="I106">
        <f t="shared" si="84"/>
        <v>0</v>
      </c>
      <c r="J106">
        <f t="shared" si="79"/>
        <v>0</v>
      </c>
      <c r="K106">
        <f t="shared" si="79"/>
        <v>0</v>
      </c>
      <c r="L106">
        <f t="shared" si="79"/>
        <v>0</v>
      </c>
      <c r="M106">
        <f t="shared" si="79"/>
        <v>0</v>
      </c>
      <c r="N106">
        <f t="shared" si="79"/>
        <v>0</v>
      </c>
      <c r="O106">
        <f t="shared" si="79"/>
        <v>0</v>
      </c>
      <c r="P106">
        <f t="shared" si="73"/>
        <v>0</v>
      </c>
      <c r="Q106">
        <f t="shared" si="80"/>
        <v>0</v>
      </c>
      <c r="R106">
        <f t="shared" si="80"/>
        <v>0</v>
      </c>
      <c r="S106">
        <f t="shared" si="80"/>
        <v>0</v>
      </c>
      <c r="T106">
        <f t="shared" si="80"/>
        <v>0</v>
      </c>
      <c r="U106">
        <f t="shared" si="80"/>
        <v>0</v>
      </c>
      <c r="V106">
        <f t="shared" si="80"/>
        <v>0</v>
      </c>
      <c r="W106">
        <f t="shared" si="80"/>
        <v>0</v>
      </c>
      <c r="X106">
        <f t="shared" si="80"/>
        <v>0</v>
      </c>
      <c r="Y106">
        <f t="shared" si="80"/>
        <v>0</v>
      </c>
      <c r="Z106">
        <f t="shared" si="85"/>
        <v>0</v>
      </c>
      <c r="AA106">
        <f t="shared" si="85"/>
        <v>0</v>
      </c>
      <c r="AB106">
        <f t="shared" si="85"/>
        <v>0</v>
      </c>
      <c r="AC106">
        <f t="shared" si="85"/>
        <v>0</v>
      </c>
      <c r="AD106">
        <f t="shared" si="85"/>
        <v>0</v>
      </c>
      <c r="AE106">
        <f t="shared" si="85"/>
        <v>0</v>
      </c>
      <c r="AF106">
        <f t="shared" si="85"/>
        <v>0</v>
      </c>
      <c r="AG106">
        <f>D106-AR106</f>
        <v>0</v>
      </c>
      <c r="AH106">
        <f>AY53</f>
        <v>0</v>
      </c>
      <c r="AI106">
        <f t="shared" si="81"/>
        <v>0</v>
      </c>
      <c r="AJ106">
        <f t="shared" si="81"/>
        <v>0</v>
      </c>
      <c r="AK106">
        <f t="shared" si="81"/>
        <v>0</v>
      </c>
      <c r="AL106">
        <f t="shared" si="81"/>
        <v>0</v>
      </c>
      <c r="AM106">
        <f t="shared" si="81"/>
        <v>0</v>
      </c>
      <c r="AN106">
        <f t="shared" si="81"/>
        <v>0</v>
      </c>
      <c r="AO106">
        <f t="shared" si="81"/>
        <v>0</v>
      </c>
      <c r="AP106">
        <f t="shared" si="81"/>
        <v>0</v>
      </c>
      <c r="AQ106">
        <f t="shared" si="81"/>
        <v>0</v>
      </c>
      <c r="AR106">
        <f>E106+Q106+R106+S106+T106+U106+V106+W106+X106+Y106+Z106+AA106+AB106+AC106+AD106+AE106+AF106+AH106+AI106+AJ106+AK106+AL106+AM106+AN106+AO106+AP106+AQ106</f>
        <v>0</v>
      </c>
      <c r="AS106">
        <f>D106+AG117-AR106</f>
        <v>0</v>
      </c>
    </row>
    <row r="107" spans="1:45" ht="20.25" customHeight="1">
      <c r="A107" t="s">
        <v>97</v>
      </c>
      <c r="B107" t="s">
        <v>98</v>
      </c>
      <c r="C107" t="s">
        <v>99</v>
      </c>
      <c r="D107">
        <f t="shared" si="82"/>
        <v>4.66</v>
      </c>
      <c r="E107">
        <f t="shared" si="39"/>
        <v>0</v>
      </c>
      <c r="F107">
        <f t="shared" si="83"/>
        <v>0</v>
      </c>
      <c r="G107">
        <f t="shared" si="83"/>
        <v>0</v>
      </c>
      <c r="H107">
        <f t="shared" si="84"/>
        <v>0</v>
      </c>
      <c r="I107">
        <f t="shared" si="84"/>
        <v>0</v>
      </c>
      <c r="J107">
        <f t="shared" si="79"/>
        <v>0</v>
      </c>
      <c r="K107">
        <f t="shared" si="79"/>
        <v>0</v>
      </c>
      <c r="L107">
        <f t="shared" si="79"/>
        <v>0</v>
      </c>
      <c r="M107">
        <f t="shared" si="79"/>
        <v>0</v>
      </c>
      <c r="N107">
        <f t="shared" si="79"/>
        <v>0</v>
      </c>
      <c r="O107">
        <f t="shared" si="79"/>
        <v>0</v>
      </c>
      <c r="P107">
        <f t="shared" si="73"/>
        <v>4.66</v>
      </c>
      <c r="Q107">
        <f t="shared" si="80"/>
        <v>0</v>
      </c>
      <c r="R107">
        <f t="shared" si="80"/>
        <v>0</v>
      </c>
      <c r="S107">
        <f t="shared" si="80"/>
        <v>0</v>
      </c>
      <c r="T107">
        <f t="shared" si="80"/>
        <v>0</v>
      </c>
      <c r="U107">
        <f t="shared" si="80"/>
        <v>0</v>
      </c>
      <c r="V107">
        <f t="shared" si="80"/>
        <v>0</v>
      </c>
      <c r="W107">
        <f t="shared" si="80"/>
        <v>0</v>
      </c>
      <c r="X107">
        <f t="shared" si="80"/>
        <v>0</v>
      </c>
      <c r="Y107">
        <f t="shared" si="80"/>
        <v>0</v>
      </c>
      <c r="Z107">
        <f t="shared" si="85"/>
        <v>0</v>
      </c>
      <c r="AA107">
        <f t="shared" si="85"/>
        <v>0</v>
      </c>
      <c r="AB107">
        <f t="shared" si="85"/>
        <v>0</v>
      </c>
      <c r="AC107">
        <f t="shared" si="85"/>
        <v>0</v>
      </c>
      <c r="AD107">
        <f t="shared" si="85"/>
        <v>0</v>
      </c>
      <c r="AE107">
        <f t="shared" si="85"/>
        <v>0</v>
      </c>
      <c r="AF107">
        <f t="shared" si="85"/>
        <v>0</v>
      </c>
      <c r="AG107">
        <f t="shared" si="85"/>
        <v>0</v>
      </c>
      <c r="AH107">
        <f>D107-AR107</f>
        <v>4.66</v>
      </c>
      <c r="AI107">
        <f>AZ54</f>
        <v>0</v>
      </c>
      <c r="AJ107">
        <f t="shared" si="81"/>
        <v>0</v>
      </c>
      <c r="AK107">
        <f t="shared" si="81"/>
        <v>0</v>
      </c>
      <c r="AL107">
        <f t="shared" si="81"/>
        <v>0</v>
      </c>
      <c r="AM107">
        <f t="shared" si="81"/>
        <v>0</v>
      </c>
      <c r="AN107">
        <f t="shared" si="81"/>
        <v>0</v>
      </c>
      <c r="AO107">
        <f t="shared" si="81"/>
        <v>0</v>
      </c>
      <c r="AP107">
        <f t="shared" si="81"/>
        <v>0</v>
      </c>
      <c r="AQ107">
        <f t="shared" si="81"/>
        <v>0</v>
      </c>
      <c r="AR107">
        <f>E107+Q107+R107+S107+T107+U107+V107+W107+X107+Y107+Z107+AA107+AB107+AC107+AD107+AE107+AF107+AG107+AI107+AJ107+AK107+AL107+AM107+AN107+AO107+AP107+AQ107</f>
        <v>0</v>
      </c>
      <c r="AS107">
        <f>D107+AH117-AR107</f>
        <v>6.01</v>
      </c>
    </row>
    <row r="108" spans="1:45" ht="31.5" customHeight="1">
      <c r="A108" t="s">
        <v>100</v>
      </c>
      <c r="B108" t="s">
        <v>134</v>
      </c>
      <c r="C108" t="s">
        <v>101</v>
      </c>
      <c r="D108">
        <f t="shared" si="82"/>
        <v>27.41</v>
      </c>
      <c r="E108">
        <f t="shared" si="39"/>
        <v>0</v>
      </c>
      <c r="F108">
        <f t="shared" si="83"/>
        <v>0</v>
      </c>
      <c r="G108">
        <f t="shared" si="83"/>
        <v>0</v>
      </c>
      <c r="H108">
        <f t="shared" si="84"/>
        <v>0</v>
      </c>
      <c r="I108">
        <f t="shared" si="84"/>
        <v>0</v>
      </c>
      <c r="J108">
        <f t="shared" si="79"/>
        <v>0</v>
      </c>
      <c r="K108">
        <f t="shared" si="79"/>
        <v>0</v>
      </c>
      <c r="L108">
        <f t="shared" si="79"/>
        <v>0</v>
      </c>
      <c r="M108">
        <f t="shared" si="79"/>
        <v>0</v>
      </c>
      <c r="N108">
        <f t="shared" si="79"/>
        <v>0</v>
      </c>
      <c r="O108">
        <f t="shared" si="79"/>
        <v>0</v>
      </c>
      <c r="P108">
        <f t="shared" si="73"/>
        <v>27.41</v>
      </c>
      <c r="Q108">
        <f t="shared" si="80"/>
        <v>0</v>
      </c>
      <c r="R108">
        <f t="shared" si="80"/>
        <v>0</v>
      </c>
      <c r="S108">
        <f t="shared" si="80"/>
        <v>0</v>
      </c>
      <c r="T108">
        <f t="shared" si="80"/>
        <v>0</v>
      </c>
      <c r="U108">
        <f t="shared" si="80"/>
        <v>0</v>
      </c>
      <c r="V108">
        <f t="shared" si="80"/>
        <v>0</v>
      </c>
      <c r="W108">
        <f t="shared" si="80"/>
        <v>0</v>
      </c>
      <c r="X108">
        <f t="shared" si="80"/>
        <v>0</v>
      </c>
      <c r="Y108">
        <f t="shared" si="80"/>
        <v>0</v>
      </c>
      <c r="Z108">
        <f t="shared" si="85"/>
        <v>0</v>
      </c>
      <c r="AA108">
        <f t="shared" si="85"/>
        <v>0</v>
      </c>
      <c r="AB108">
        <f t="shared" si="85"/>
        <v>0</v>
      </c>
      <c r="AC108">
        <f t="shared" si="85"/>
        <v>0</v>
      </c>
      <c r="AD108">
        <f t="shared" si="85"/>
        <v>0</v>
      </c>
      <c r="AE108">
        <f t="shared" si="85"/>
        <v>0</v>
      </c>
      <c r="AF108">
        <f t="shared" si="85"/>
        <v>0</v>
      </c>
      <c r="AG108">
        <f t="shared" si="85"/>
        <v>0</v>
      </c>
      <c r="AH108">
        <f t="shared" si="85"/>
        <v>0</v>
      </c>
      <c r="AI108">
        <f>D108-AR108</f>
        <v>27.41</v>
      </c>
      <c r="AJ108">
        <f>BA55</f>
        <v>0</v>
      </c>
      <c r="AK108">
        <f t="shared" si="81"/>
        <v>0</v>
      </c>
      <c r="AL108">
        <f t="shared" si="81"/>
        <v>0</v>
      </c>
      <c r="AM108">
        <f t="shared" si="81"/>
        <v>0</v>
      </c>
      <c r="AN108">
        <f t="shared" si="81"/>
        <v>0</v>
      </c>
      <c r="AO108">
        <f t="shared" si="81"/>
        <v>0</v>
      </c>
      <c r="AP108">
        <f t="shared" si="81"/>
        <v>0</v>
      </c>
      <c r="AQ108">
        <f t="shared" si="81"/>
        <v>0</v>
      </c>
      <c r="AR108">
        <f>E108+Q108+R108+S108+T108+U108+V108+W108+X108+Y108+Z108+AA108+AB108+AC108+AD108+AE108+AF108+AG108+AH108+AJ108+AK108+AL108+AM108+AN108+AO108+AP108+AQ108</f>
        <v>0</v>
      </c>
      <c r="AS108">
        <f>D108+AI117-AR108</f>
        <v>27.41</v>
      </c>
    </row>
    <row r="109" spans="1:45" ht="20.25" customHeight="1">
      <c r="A109" t="s">
        <v>102</v>
      </c>
      <c r="B109" t="s">
        <v>103</v>
      </c>
      <c r="C109" t="s">
        <v>104</v>
      </c>
      <c r="D109">
        <f t="shared" si="82"/>
        <v>8.2899999999999991</v>
      </c>
      <c r="E109">
        <f t="shared" si="39"/>
        <v>0</v>
      </c>
      <c r="F109">
        <f t="shared" si="83"/>
        <v>0</v>
      </c>
      <c r="G109">
        <f t="shared" si="83"/>
        <v>0</v>
      </c>
      <c r="H109">
        <f t="shared" si="84"/>
        <v>0</v>
      </c>
      <c r="I109">
        <f t="shared" si="84"/>
        <v>0</v>
      </c>
      <c r="J109">
        <f t="shared" si="79"/>
        <v>0</v>
      </c>
      <c r="K109">
        <f t="shared" si="79"/>
        <v>0</v>
      </c>
      <c r="L109">
        <f t="shared" si="79"/>
        <v>0</v>
      </c>
      <c r="M109">
        <f t="shared" si="79"/>
        <v>0</v>
      </c>
      <c r="N109">
        <f t="shared" si="79"/>
        <v>0</v>
      </c>
      <c r="O109">
        <f t="shared" si="79"/>
        <v>0</v>
      </c>
      <c r="P109">
        <f t="shared" si="73"/>
        <v>8.2899999999999991</v>
      </c>
      <c r="Q109">
        <f t="shared" si="80"/>
        <v>0</v>
      </c>
      <c r="R109">
        <f t="shared" si="80"/>
        <v>0</v>
      </c>
      <c r="S109">
        <f t="shared" si="80"/>
        <v>0</v>
      </c>
      <c r="T109">
        <f t="shared" si="80"/>
        <v>0</v>
      </c>
      <c r="U109">
        <f t="shared" si="80"/>
        <v>0</v>
      </c>
      <c r="V109">
        <f t="shared" si="80"/>
        <v>0</v>
      </c>
      <c r="W109">
        <f t="shared" si="80"/>
        <v>0</v>
      </c>
      <c r="X109">
        <f t="shared" si="80"/>
        <v>0</v>
      </c>
      <c r="Y109">
        <f t="shared" si="80"/>
        <v>0</v>
      </c>
      <c r="Z109">
        <f t="shared" si="85"/>
        <v>0</v>
      </c>
      <c r="AA109">
        <f t="shared" si="85"/>
        <v>0</v>
      </c>
      <c r="AB109">
        <f t="shared" si="85"/>
        <v>0</v>
      </c>
      <c r="AC109">
        <f t="shared" si="85"/>
        <v>0</v>
      </c>
      <c r="AD109">
        <f t="shared" si="85"/>
        <v>0</v>
      </c>
      <c r="AE109">
        <f t="shared" si="85"/>
        <v>0</v>
      </c>
      <c r="AF109">
        <f t="shared" si="85"/>
        <v>0</v>
      </c>
      <c r="AG109">
        <f t="shared" si="85"/>
        <v>0</v>
      </c>
      <c r="AH109">
        <f t="shared" si="85"/>
        <v>0</v>
      </c>
      <c r="AI109">
        <f t="shared" si="85"/>
        <v>0</v>
      </c>
      <c r="AJ109">
        <f>D109-AR109</f>
        <v>8.2899999999999991</v>
      </c>
      <c r="AK109">
        <f>BB56</f>
        <v>0</v>
      </c>
      <c r="AL109">
        <f t="shared" si="81"/>
        <v>0</v>
      </c>
      <c r="AM109">
        <f t="shared" si="81"/>
        <v>0</v>
      </c>
      <c r="AN109">
        <f t="shared" si="81"/>
        <v>0</v>
      </c>
      <c r="AO109">
        <f t="shared" si="81"/>
        <v>0</v>
      </c>
      <c r="AP109">
        <f t="shared" si="81"/>
        <v>0</v>
      </c>
      <c r="AQ109">
        <f t="shared" si="81"/>
        <v>0</v>
      </c>
      <c r="AR109">
        <f>E109+Q109+R109+S109+T109+U109+V109+W109+X109+Y109+Z109+AA109+AB109+AC109+AD109+AE109+AF109+AG109+AH109+AI109+AK109+AL109+AM109+AN109+AO109+AP109+AQ109</f>
        <v>0</v>
      </c>
      <c r="AS109">
        <f>D109+AJ117-AR109</f>
        <v>22.65</v>
      </c>
    </row>
    <row r="110" spans="1:45" ht="20.25" customHeight="1">
      <c r="A110" t="s">
        <v>105</v>
      </c>
      <c r="B110" t="s">
        <v>106</v>
      </c>
      <c r="C110" t="s">
        <v>107</v>
      </c>
      <c r="D110">
        <f t="shared" si="82"/>
        <v>1.5196000000000001</v>
      </c>
      <c r="E110">
        <f t="shared" si="39"/>
        <v>0</v>
      </c>
      <c r="F110">
        <f t="shared" si="83"/>
        <v>0</v>
      </c>
      <c r="G110">
        <f t="shared" si="83"/>
        <v>0</v>
      </c>
      <c r="H110">
        <f t="shared" si="84"/>
        <v>0</v>
      </c>
      <c r="I110">
        <f t="shared" si="84"/>
        <v>0</v>
      </c>
      <c r="J110">
        <f t="shared" si="79"/>
        <v>0</v>
      </c>
      <c r="K110">
        <f t="shared" si="79"/>
        <v>0</v>
      </c>
      <c r="L110">
        <f t="shared" si="79"/>
        <v>0</v>
      </c>
      <c r="M110">
        <f t="shared" si="79"/>
        <v>0</v>
      </c>
      <c r="N110">
        <f t="shared" si="79"/>
        <v>0</v>
      </c>
      <c r="O110">
        <f t="shared" si="79"/>
        <v>0</v>
      </c>
      <c r="P110">
        <f t="shared" si="73"/>
        <v>1.5196000000000001</v>
      </c>
      <c r="Q110">
        <f t="shared" si="80"/>
        <v>0</v>
      </c>
      <c r="R110">
        <f t="shared" si="80"/>
        <v>0</v>
      </c>
      <c r="S110">
        <f t="shared" si="80"/>
        <v>0</v>
      </c>
      <c r="T110">
        <f t="shared" si="80"/>
        <v>0</v>
      </c>
      <c r="U110">
        <f t="shared" si="80"/>
        <v>0</v>
      </c>
      <c r="V110">
        <f t="shared" si="80"/>
        <v>0</v>
      </c>
      <c r="W110">
        <f t="shared" si="80"/>
        <v>0</v>
      </c>
      <c r="X110">
        <f t="shared" si="80"/>
        <v>0</v>
      </c>
      <c r="Y110">
        <f t="shared" si="80"/>
        <v>0</v>
      </c>
      <c r="Z110">
        <f t="shared" si="85"/>
        <v>0</v>
      </c>
      <c r="AA110">
        <f t="shared" si="85"/>
        <v>0</v>
      </c>
      <c r="AB110">
        <f t="shared" si="85"/>
        <v>0</v>
      </c>
      <c r="AC110">
        <f t="shared" si="85"/>
        <v>0</v>
      </c>
      <c r="AD110">
        <f t="shared" si="85"/>
        <v>0.06</v>
      </c>
      <c r="AE110">
        <f t="shared" si="85"/>
        <v>0</v>
      </c>
      <c r="AF110">
        <f t="shared" si="85"/>
        <v>0</v>
      </c>
      <c r="AG110">
        <f t="shared" si="85"/>
        <v>0</v>
      </c>
      <c r="AH110">
        <f t="shared" si="85"/>
        <v>0</v>
      </c>
      <c r="AI110">
        <f t="shared" si="85"/>
        <v>0</v>
      </c>
      <c r="AJ110">
        <f t="shared" si="85"/>
        <v>0</v>
      </c>
      <c r="AK110">
        <f>D110-AR110</f>
        <v>1.4596</v>
      </c>
      <c r="AL110">
        <f t="shared" si="81"/>
        <v>0</v>
      </c>
      <c r="AM110">
        <f t="shared" si="81"/>
        <v>0</v>
      </c>
      <c r="AN110">
        <f t="shared" si="81"/>
        <v>0</v>
      </c>
      <c r="AO110">
        <f t="shared" si="81"/>
        <v>0</v>
      </c>
      <c r="AP110">
        <f t="shared" si="81"/>
        <v>0</v>
      </c>
      <c r="AQ110">
        <f t="shared" si="81"/>
        <v>0</v>
      </c>
      <c r="AR110">
        <f>E110+Q110+R110+S110+T110+U110+V110+W110+X110+Y110+Z110+AA110+AB110+AC110+AD110+AE110+AF110+AG110+AH110+AI110+AJ110+AL110+AM110+AN110+AO110+AP110+AQ110</f>
        <v>0.06</v>
      </c>
      <c r="AS110">
        <f>D110+AK117-AR110</f>
        <v>1.4596</v>
      </c>
    </row>
    <row r="111" spans="1:45" ht="20.25" customHeight="1">
      <c r="A111" t="s">
        <v>108</v>
      </c>
      <c r="B111" t="s">
        <v>109</v>
      </c>
      <c r="C111" t="s">
        <v>110</v>
      </c>
      <c r="D111">
        <f t="shared" si="82"/>
        <v>1.27</v>
      </c>
      <c r="E111">
        <f t="shared" si="39"/>
        <v>0</v>
      </c>
      <c r="F111">
        <f t="shared" si="83"/>
        <v>0</v>
      </c>
      <c r="G111">
        <f t="shared" si="83"/>
        <v>0</v>
      </c>
      <c r="H111">
        <f t="shared" si="84"/>
        <v>0</v>
      </c>
      <c r="I111">
        <f t="shared" si="84"/>
        <v>0</v>
      </c>
      <c r="J111">
        <f t="shared" si="79"/>
        <v>0</v>
      </c>
      <c r="K111">
        <f t="shared" si="79"/>
        <v>0</v>
      </c>
      <c r="L111">
        <f t="shared" si="79"/>
        <v>0</v>
      </c>
      <c r="M111">
        <f t="shared" si="79"/>
        <v>0</v>
      </c>
      <c r="N111">
        <f t="shared" si="79"/>
        <v>0</v>
      </c>
      <c r="O111">
        <f t="shared" si="79"/>
        <v>0</v>
      </c>
      <c r="P111">
        <f t="shared" si="73"/>
        <v>1.27</v>
      </c>
      <c r="Q111">
        <f t="shared" si="80"/>
        <v>0</v>
      </c>
      <c r="R111">
        <f t="shared" si="80"/>
        <v>0</v>
      </c>
      <c r="S111">
        <f t="shared" si="80"/>
        <v>0</v>
      </c>
      <c r="T111">
        <f t="shared" si="80"/>
        <v>0</v>
      </c>
      <c r="U111">
        <f t="shared" si="80"/>
        <v>0</v>
      </c>
      <c r="V111">
        <f t="shared" si="80"/>
        <v>0</v>
      </c>
      <c r="W111">
        <f t="shared" si="80"/>
        <v>0</v>
      </c>
      <c r="X111">
        <f t="shared" si="80"/>
        <v>0</v>
      </c>
      <c r="Y111">
        <f t="shared" si="80"/>
        <v>0</v>
      </c>
      <c r="Z111">
        <f t="shared" si="85"/>
        <v>0</v>
      </c>
      <c r="AA111">
        <f t="shared" si="85"/>
        <v>0</v>
      </c>
      <c r="AB111">
        <f t="shared" si="85"/>
        <v>0</v>
      </c>
      <c r="AC111">
        <f t="shared" si="85"/>
        <v>0</v>
      </c>
      <c r="AD111">
        <f t="shared" si="85"/>
        <v>0</v>
      </c>
      <c r="AE111">
        <f t="shared" si="85"/>
        <v>0</v>
      </c>
      <c r="AF111">
        <f t="shared" si="85"/>
        <v>0</v>
      </c>
      <c r="AG111">
        <f t="shared" si="85"/>
        <v>0</v>
      </c>
      <c r="AH111">
        <f t="shared" si="85"/>
        <v>0</v>
      </c>
      <c r="AI111">
        <f t="shared" si="85"/>
        <v>0</v>
      </c>
      <c r="AJ111">
        <f t="shared" si="85"/>
        <v>0</v>
      </c>
      <c r="AK111">
        <f t="shared" si="85"/>
        <v>0</v>
      </c>
      <c r="AL111">
        <f>D111-AR111</f>
        <v>1.27</v>
      </c>
      <c r="AM111">
        <f>BD58</f>
        <v>0</v>
      </c>
      <c r="AN111">
        <f>BE58</f>
        <v>0</v>
      </c>
      <c r="AO111">
        <f>BF58</f>
        <v>0</v>
      </c>
      <c r="AP111">
        <f>BG58</f>
        <v>0</v>
      </c>
      <c r="AQ111">
        <f>BH58</f>
        <v>0</v>
      </c>
      <c r="AR111">
        <f>E111+Q111+R111+S111+T111+U111+V111+W111+X111+Y111+Z111+AA111+AB111+AC111+AD111+AE111+AF111+AG111+AH111+AI111+AJ111+AK111+AM111+AN111+AO111+AP111+AQ111</f>
        <v>0</v>
      </c>
      <c r="AS111">
        <f>D111+AL117-AR111</f>
        <v>6.4399999999999995</v>
      </c>
    </row>
    <row r="112" spans="1:45" ht="20.25" customHeight="1">
      <c r="A112" t="s">
        <v>111</v>
      </c>
      <c r="B112" t="s">
        <v>112</v>
      </c>
      <c r="C112" t="s">
        <v>113</v>
      </c>
      <c r="D112">
        <f t="shared" si="82"/>
        <v>0.41</v>
      </c>
      <c r="E112">
        <f t="shared" si="39"/>
        <v>0</v>
      </c>
      <c r="F112">
        <f t="shared" si="83"/>
        <v>0</v>
      </c>
      <c r="G112">
        <f t="shared" si="83"/>
        <v>0</v>
      </c>
      <c r="H112">
        <f t="shared" si="84"/>
        <v>0</v>
      </c>
      <c r="I112">
        <f t="shared" si="84"/>
        <v>0</v>
      </c>
      <c r="J112">
        <f t="shared" si="79"/>
        <v>0</v>
      </c>
      <c r="K112">
        <f t="shared" si="79"/>
        <v>0</v>
      </c>
      <c r="L112">
        <f t="shared" si="79"/>
        <v>0</v>
      </c>
      <c r="M112">
        <f t="shared" si="79"/>
        <v>0</v>
      </c>
      <c r="N112">
        <f t="shared" si="79"/>
        <v>0</v>
      </c>
      <c r="O112">
        <f t="shared" si="79"/>
        <v>0</v>
      </c>
      <c r="P112">
        <f t="shared" si="73"/>
        <v>0.41</v>
      </c>
      <c r="Q112">
        <f t="shared" si="80"/>
        <v>0</v>
      </c>
      <c r="R112">
        <f t="shared" si="80"/>
        <v>0</v>
      </c>
      <c r="S112">
        <f t="shared" si="80"/>
        <v>0</v>
      </c>
      <c r="T112">
        <f t="shared" si="80"/>
        <v>0</v>
      </c>
      <c r="U112">
        <f t="shared" si="80"/>
        <v>0</v>
      </c>
      <c r="V112">
        <f t="shared" si="80"/>
        <v>0</v>
      </c>
      <c r="W112">
        <f t="shared" si="80"/>
        <v>0</v>
      </c>
      <c r="X112">
        <f t="shared" si="80"/>
        <v>0</v>
      </c>
      <c r="Y112">
        <f t="shared" si="80"/>
        <v>0</v>
      </c>
      <c r="Z112">
        <f t="shared" si="85"/>
        <v>0</v>
      </c>
      <c r="AA112">
        <f t="shared" si="85"/>
        <v>0</v>
      </c>
      <c r="AB112">
        <f t="shared" si="85"/>
        <v>0</v>
      </c>
      <c r="AC112">
        <f t="shared" si="85"/>
        <v>0</v>
      </c>
      <c r="AD112">
        <f t="shared" si="85"/>
        <v>0</v>
      </c>
      <c r="AE112">
        <f t="shared" si="85"/>
        <v>0</v>
      </c>
      <c r="AF112">
        <f t="shared" si="85"/>
        <v>0</v>
      </c>
      <c r="AG112">
        <f t="shared" si="85"/>
        <v>0</v>
      </c>
      <c r="AH112">
        <f t="shared" si="85"/>
        <v>0</v>
      </c>
      <c r="AI112">
        <f t="shared" si="85"/>
        <v>0</v>
      </c>
      <c r="AJ112">
        <f t="shared" si="85"/>
        <v>0</v>
      </c>
      <c r="AK112">
        <f t="shared" si="85"/>
        <v>0</v>
      </c>
      <c r="AL112">
        <f>BC59</f>
        <v>0</v>
      </c>
      <c r="AM112">
        <f>D112-AR112</f>
        <v>0.41</v>
      </c>
      <c r="AN112">
        <f>BE59</f>
        <v>0</v>
      </c>
      <c r="AO112">
        <f>BF59</f>
        <v>0</v>
      </c>
      <c r="AP112">
        <f>BG59</f>
        <v>0</v>
      </c>
      <c r="AQ112">
        <f>BH59</f>
        <v>0</v>
      </c>
      <c r="AR112">
        <f>E112+Q112+R112+S112+T112+U112+V112+W112+X112+Y112+Z112+AA112+AB112+AC112+AD112+AE112+AF112+AG112+AH112+AI112+AJ112+AK112+AL112+AN112+AO112+AP112+AQ112</f>
        <v>0</v>
      </c>
      <c r="AS112">
        <f>D112+AM117-AR112</f>
        <v>0.41</v>
      </c>
    </row>
    <row r="113" spans="1:45" ht="20.25" customHeight="1">
      <c r="A113" t="s">
        <v>114</v>
      </c>
      <c r="B113" t="s">
        <v>115</v>
      </c>
      <c r="C113" t="s">
        <v>116</v>
      </c>
      <c r="D113">
        <f t="shared" si="82"/>
        <v>37.96</v>
      </c>
      <c r="E113">
        <f t="shared" si="39"/>
        <v>0.44</v>
      </c>
      <c r="F113">
        <f t="shared" si="83"/>
        <v>0</v>
      </c>
      <c r="G113">
        <f t="shared" si="83"/>
        <v>0</v>
      </c>
      <c r="H113">
        <f t="shared" si="84"/>
        <v>0</v>
      </c>
      <c r="I113">
        <f t="shared" si="84"/>
        <v>0</v>
      </c>
      <c r="J113">
        <f t="shared" si="79"/>
        <v>0</v>
      </c>
      <c r="K113">
        <f t="shared" si="79"/>
        <v>0</v>
      </c>
      <c r="L113">
        <f t="shared" si="79"/>
        <v>0</v>
      </c>
      <c r="M113">
        <f t="shared" si="79"/>
        <v>0.44</v>
      </c>
      <c r="N113">
        <f t="shared" si="79"/>
        <v>0</v>
      </c>
      <c r="O113">
        <f t="shared" si="79"/>
        <v>0</v>
      </c>
      <c r="P113">
        <f t="shared" si="73"/>
        <v>37.520000000000003</v>
      </c>
      <c r="Q113">
        <f t="shared" si="80"/>
        <v>0</v>
      </c>
      <c r="R113">
        <f t="shared" si="80"/>
        <v>0</v>
      </c>
      <c r="S113">
        <f t="shared" si="80"/>
        <v>0</v>
      </c>
      <c r="T113">
        <f t="shared" si="80"/>
        <v>0</v>
      </c>
      <c r="U113">
        <f t="shared" si="80"/>
        <v>0</v>
      </c>
      <c r="V113">
        <f t="shared" si="80"/>
        <v>0</v>
      </c>
      <c r="W113">
        <f t="shared" si="80"/>
        <v>0</v>
      </c>
      <c r="X113">
        <f t="shared" si="80"/>
        <v>0</v>
      </c>
      <c r="Y113">
        <f t="shared" si="80"/>
        <v>0</v>
      </c>
      <c r="Z113">
        <f t="shared" si="85"/>
        <v>0</v>
      </c>
      <c r="AA113">
        <f t="shared" si="85"/>
        <v>0</v>
      </c>
      <c r="AB113">
        <f t="shared" si="85"/>
        <v>0</v>
      </c>
      <c r="AC113">
        <f t="shared" si="85"/>
        <v>0</v>
      </c>
      <c r="AD113">
        <f t="shared" si="85"/>
        <v>0</v>
      </c>
      <c r="AE113">
        <f t="shared" si="85"/>
        <v>0</v>
      </c>
      <c r="AF113">
        <f t="shared" si="85"/>
        <v>0</v>
      </c>
      <c r="AG113">
        <f t="shared" si="85"/>
        <v>0</v>
      </c>
      <c r="AH113">
        <f t="shared" si="85"/>
        <v>0</v>
      </c>
      <c r="AI113">
        <f t="shared" si="85"/>
        <v>0</v>
      </c>
      <c r="AJ113">
        <f t="shared" si="85"/>
        <v>0</v>
      </c>
      <c r="AK113">
        <f t="shared" si="85"/>
        <v>0</v>
      </c>
      <c r="AL113">
        <f>BC60</f>
        <v>0</v>
      </c>
      <c r="AM113">
        <f>BD60</f>
        <v>0</v>
      </c>
      <c r="AN113">
        <f>D113-AR113</f>
        <v>37.520000000000003</v>
      </c>
      <c r="AO113">
        <f>BF60</f>
        <v>0</v>
      </c>
      <c r="AP113">
        <f>BG60</f>
        <v>0</v>
      </c>
      <c r="AQ113">
        <f>BH60</f>
        <v>0</v>
      </c>
      <c r="AR113">
        <f>E113+Q113+R113+S113+T113+U113+V113+W113+X113+Y113+Z113+AA113+AB113+AC113+AD113+AE113+AF113+AG113+AH113+AI113+AJ113+AK113+AL113+AM113+AO113+AP113+AQ113</f>
        <v>0.44</v>
      </c>
      <c r="AS113">
        <f>D113+AN117-AR113</f>
        <v>37.520000000000003</v>
      </c>
    </row>
    <row r="114" spans="1:45" ht="20.25" customHeight="1">
      <c r="A114" t="s">
        <v>117</v>
      </c>
      <c r="B114" t="s">
        <v>118</v>
      </c>
      <c r="C114" t="s">
        <v>119</v>
      </c>
      <c r="D114">
        <f t="shared" si="82"/>
        <v>63.07</v>
      </c>
      <c r="E114">
        <f t="shared" si="39"/>
        <v>0</v>
      </c>
      <c r="F114">
        <f t="shared" si="83"/>
        <v>0</v>
      </c>
      <c r="G114">
        <f t="shared" si="83"/>
        <v>0</v>
      </c>
      <c r="H114">
        <f t="shared" si="84"/>
        <v>0</v>
      </c>
      <c r="I114">
        <f t="shared" si="84"/>
        <v>0</v>
      </c>
      <c r="J114">
        <f t="shared" si="79"/>
        <v>0</v>
      </c>
      <c r="K114">
        <f t="shared" si="79"/>
        <v>0</v>
      </c>
      <c r="L114">
        <f t="shared" si="79"/>
        <v>0</v>
      </c>
      <c r="M114">
        <f t="shared" si="79"/>
        <v>0</v>
      </c>
      <c r="N114">
        <f t="shared" si="79"/>
        <v>0</v>
      </c>
      <c r="O114">
        <f t="shared" si="79"/>
        <v>0</v>
      </c>
      <c r="P114">
        <f t="shared" si="73"/>
        <v>63.07</v>
      </c>
      <c r="Q114">
        <f t="shared" si="80"/>
        <v>0</v>
      </c>
      <c r="R114">
        <f t="shared" si="80"/>
        <v>0</v>
      </c>
      <c r="S114">
        <f t="shared" si="80"/>
        <v>0</v>
      </c>
      <c r="T114">
        <f t="shared" si="80"/>
        <v>0</v>
      </c>
      <c r="U114">
        <f t="shared" si="80"/>
        <v>0</v>
      </c>
      <c r="V114">
        <f t="shared" si="80"/>
        <v>0</v>
      </c>
      <c r="W114">
        <f t="shared" si="80"/>
        <v>0.02</v>
      </c>
      <c r="X114">
        <f t="shared" si="80"/>
        <v>0</v>
      </c>
      <c r="Y114">
        <f t="shared" si="80"/>
        <v>0</v>
      </c>
      <c r="Z114">
        <f t="shared" si="85"/>
        <v>0</v>
      </c>
      <c r="AA114">
        <f t="shared" si="85"/>
        <v>0</v>
      </c>
      <c r="AB114">
        <f t="shared" si="85"/>
        <v>0</v>
      </c>
      <c r="AC114">
        <f t="shared" si="85"/>
        <v>0</v>
      </c>
      <c r="AD114">
        <f t="shared" si="85"/>
        <v>0</v>
      </c>
      <c r="AE114">
        <f t="shared" si="85"/>
        <v>0</v>
      </c>
      <c r="AF114">
        <f t="shared" si="85"/>
        <v>0</v>
      </c>
      <c r="AG114">
        <f t="shared" si="85"/>
        <v>0</v>
      </c>
      <c r="AH114">
        <f t="shared" si="85"/>
        <v>0</v>
      </c>
      <c r="AI114">
        <f t="shared" si="85"/>
        <v>0</v>
      </c>
      <c r="AJ114">
        <f t="shared" si="85"/>
        <v>0</v>
      </c>
      <c r="AK114">
        <f t="shared" si="85"/>
        <v>0</v>
      </c>
      <c r="AL114">
        <f>BC61</f>
        <v>0</v>
      </c>
      <c r="AM114">
        <f>BD61</f>
        <v>0</v>
      </c>
      <c r="AN114">
        <f>BE61</f>
        <v>0</v>
      </c>
      <c r="AO114">
        <f>D114-AR114</f>
        <v>63.05</v>
      </c>
      <c r="AP114">
        <f>BG61</f>
        <v>0</v>
      </c>
      <c r="AQ114">
        <f>BH61</f>
        <v>0</v>
      </c>
      <c r="AR114">
        <f>E114+Q114+R114+S114+T114+U114+V114+W114+X114+Y114+Z114+AA114+AB114+AC114+AD114+AE114+AF114+AG114+AH114+AI114+AJ114+AK114+AL114+AM114+AN114+AP114+AQ114</f>
        <v>0.02</v>
      </c>
      <c r="AS114">
        <f>D114+AO117-AR114</f>
        <v>65.81</v>
      </c>
    </row>
    <row r="115" spans="1:45" ht="20.25" customHeight="1">
      <c r="A115" t="s">
        <v>120</v>
      </c>
      <c r="B115" t="s">
        <v>121</v>
      </c>
      <c r="C115" t="s">
        <v>122</v>
      </c>
      <c r="D115">
        <f t="shared" si="82"/>
        <v>0</v>
      </c>
      <c r="E115">
        <f t="shared" si="39"/>
        <v>0</v>
      </c>
      <c r="F115">
        <f t="shared" si="83"/>
        <v>0</v>
      </c>
      <c r="G115">
        <f t="shared" si="83"/>
        <v>0</v>
      </c>
      <c r="H115">
        <f t="shared" si="84"/>
        <v>0</v>
      </c>
      <c r="I115">
        <f t="shared" si="84"/>
        <v>0</v>
      </c>
      <c r="J115">
        <f t="shared" ref="J115:O116" si="86">P62</f>
        <v>0</v>
      </c>
      <c r="K115">
        <f t="shared" si="86"/>
        <v>0</v>
      </c>
      <c r="L115">
        <f t="shared" si="86"/>
        <v>0</v>
      </c>
      <c r="M115">
        <f t="shared" si="86"/>
        <v>0</v>
      </c>
      <c r="N115">
        <f t="shared" si="86"/>
        <v>0</v>
      </c>
      <c r="O115">
        <f t="shared" si="86"/>
        <v>0</v>
      </c>
      <c r="P115">
        <f t="shared" si="73"/>
        <v>0</v>
      </c>
      <c r="Q115">
        <f t="shared" ref="Q115:Y116" si="87">W62</f>
        <v>0</v>
      </c>
      <c r="R115">
        <f t="shared" si="87"/>
        <v>0</v>
      </c>
      <c r="S115">
        <f t="shared" si="87"/>
        <v>0</v>
      </c>
      <c r="T115">
        <f t="shared" si="87"/>
        <v>0</v>
      </c>
      <c r="U115">
        <f t="shared" si="87"/>
        <v>0</v>
      </c>
      <c r="V115">
        <f t="shared" si="87"/>
        <v>0</v>
      </c>
      <c r="W115">
        <f t="shared" si="87"/>
        <v>0</v>
      </c>
      <c r="X115">
        <f t="shared" si="87"/>
        <v>0</v>
      </c>
      <c r="Y115">
        <f t="shared" si="87"/>
        <v>0</v>
      </c>
      <c r="Z115">
        <f t="shared" si="85"/>
        <v>0</v>
      </c>
      <c r="AA115">
        <f t="shared" si="85"/>
        <v>0</v>
      </c>
      <c r="AB115">
        <f t="shared" si="85"/>
        <v>0</v>
      </c>
      <c r="AC115">
        <f t="shared" si="85"/>
        <v>0</v>
      </c>
      <c r="AD115">
        <f t="shared" si="85"/>
        <v>0</v>
      </c>
      <c r="AE115">
        <f t="shared" si="85"/>
        <v>0</v>
      </c>
      <c r="AF115">
        <f t="shared" si="85"/>
        <v>0</v>
      </c>
      <c r="AG115">
        <f t="shared" si="85"/>
        <v>0</v>
      </c>
      <c r="AH115">
        <f t="shared" si="85"/>
        <v>0</v>
      </c>
      <c r="AI115">
        <f t="shared" si="85"/>
        <v>0</v>
      </c>
      <c r="AJ115">
        <f t="shared" si="85"/>
        <v>0</v>
      </c>
      <c r="AK115">
        <f t="shared" si="85"/>
        <v>0</v>
      </c>
      <c r="AL115">
        <f>BC62</f>
        <v>0</v>
      </c>
      <c r="AM115">
        <f>BD62</f>
        <v>0</v>
      </c>
      <c r="AN115">
        <f>BE62</f>
        <v>0</v>
      </c>
      <c r="AO115">
        <f>BF62</f>
        <v>0</v>
      </c>
      <c r="AP115">
        <f>D115-AR115</f>
        <v>0</v>
      </c>
      <c r="AQ115">
        <f>BH62</f>
        <v>0</v>
      </c>
      <c r="AR115">
        <f>E115+Q115+R115+S115+T115+U115+V115+W115+X115+Y115+Z115+AA115+AB115+AC115+AD115+AE115+AF115+AG115+AH115+AI115+AJ115+AK115+AL115+AM115+AN115+AO115+AQ115</f>
        <v>0</v>
      </c>
      <c r="AS115">
        <f>D115+AP117-AR115</f>
        <v>0</v>
      </c>
    </row>
    <row r="116" spans="1:45" ht="20.25" customHeight="1">
      <c r="A116">
        <v>3</v>
      </c>
      <c r="B116" t="s">
        <v>123</v>
      </c>
      <c r="C116" t="s">
        <v>124</v>
      </c>
      <c r="D116">
        <f>D63</f>
        <v>202.63149999999999</v>
      </c>
      <c r="E116">
        <f>F116+H116+I116+J116+K116+L116+M116+N116+O116</f>
        <v>0.04</v>
      </c>
      <c r="F116">
        <f t="shared" si="83"/>
        <v>0</v>
      </c>
      <c r="G116">
        <f t="shared" si="83"/>
        <v>0</v>
      </c>
      <c r="H116">
        <f t="shared" si="84"/>
        <v>0</v>
      </c>
      <c r="I116">
        <f t="shared" si="84"/>
        <v>0</v>
      </c>
      <c r="J116">
        <f t="shared" si="86"/>
        <v>0</v>
      </c>
      <c r="K116">
        <f t="shared" si="86"/>
        <v>0</v>
      </c>
      <c r="L116">
        <f t="shared" si="86"/>
        <v>0</v>
      </c>
      <c r="M116">
        <f t="shared" si="86"/>
        <v>0.04</v>
      </c>
      <c r="N116">
        <f t="shared" si="86"/>
        <v>0</v>
      </c>
      <c r="O116">
        <f t="shared" si="86"/>
        <v>0</v>
      </c>
      <c r="P116">
        <f>SUM(Q116:AP116)</f>
        <v>35.299999999999997</v>
      </c>
      <c r="Q116">
        <f t="shared" si="87"/>
        <v>0</v>
      </c>
      <c r="R116">
        <f t="shared" si="87"/>
        <v>0</v>
      </c>
      <c r="S116">
        <f t="shared" si="87"/>
        <v>0.48</v>
      </c>
      <c r="T116">
        <f t="shared" si="87"/>
        <v>0</v>
      </c>
      <c r="U116">
        <f t="shared" si="87"/>
        <v>0</v>
      </c>
      <c r="V116">
        <f t="shared" si="87"/>
        <v>2.04</v>
      </c>
      <c r="W116">
        <f t="shared" si="87"/>
        <v>0</v>
      </c>
      <c r="X116">
        <f t="shared" si="87"/>
        <v>0</v>
      </c>
      <c r="Y116">
        <f t="shared" si="87"/>
        <v>16.59</v>
      </c>
      <c r="Z116">
        <f t="shared" si="85"/>
        <v>0</v>
      </c>
      <c r="AA116">
        <f t="shared" si="85"/>
        <v>0</v>
      </c>
      <c r="AB116">
        <f t="shared" si="85"/>
        <v>0</v>
      </c>
      <c r="AC116">
        <f t="shared" si="85"/>
        <v>0</v>
      </c>
      <c r="AD116">
        <f t="shared" si="85"/>
        <v>11.27</v>
      </c>
      <c r="AE116">
        <f t="shared" si="85"/>
        <v>0</v>
      </c>
      <c r="AF116">
        <f t="shared" si="85"/>
        <v>0</v>
      </c>
      <c r="AG116">
        <f t="shared" si="85"/>
        <v>0</v>
      </c>
      <c r="AH116">
        <f t="shared" si="85"/>
        <v>0</v>
      </c>
      <c r="AI116">
        <f t="shared" si="85"/>
        <v>0</v>
      </c>
      <c r="AJ116">
        <f t="shared" si="85"/>
        <v>0.06</v>
      </c>
      <c r="AK116">
        <f t="shared" si="85"/>
        <v>0</v>
      </c>
      <c r="AL116">
        <f>BC63</f>
        <v>2.4</v>
      </c>
      <c r="AM116">
        <f>BD63</f>
        <v>0</v>
      </c>
      <c r="AN116">
        <f>BE63</f>
        <v>0</v>
      </c>
      <c r="AO116">
        <f>BF63</f>
        <v>2.46</v>
      </c>
      <c r="AP116">
        <f>BG63</f>
        <v>0</v>
      </c>
      <c r="AQ116">
        <f>AR116</f>
        <v>35.339999999999996</v>
      </c>
      <c r="AR116">
        <f>E116+Q116+R116+S116+T116+U116+V116+W116+X116+Y116+Z116+AA116+AB116+AC116+AD116+AE116+AF116+AG116+AH116+AI116+AJ116+AL116+AM116+AN116+AO116+AP116</f>
        <v>35.339999999999996</v>
      </c>
      <c r="AS116">
        <f>D116+AQ117-AR116</f>
        <v>167.29149999999998</v>
      </c>
    </row>
    <row r="117" spans="1:45" ht="20.25" customHeight="1">
      <c r="B117" t="s">
        <v>190</v>
      </c>
      <c r="E117">
        <f>E89+E116</f>
        <v>0.48</v>
      </c>
      <c r="F117">
        <f>F81+F82+F83+F84+F85+F86+F87+F88+F89+F116</f>
        <v>0</v>
      </c>
      <c r="G117">
        <f>G79+G81+G82+G83+G84+G85+G86+G87+G88+G89+G116</f>
        <v>0</v>
      </c>
      <c r="H117">
        <f>H79+H82+H83+H84+H85+H86+H87+H88+H89+H116</f>
        <v>0</v>
      </c>
      <c r="I117">
        <f>I79+I81+I83+I84+I85+I86+I87+I88+I89+I116</f>
        <v>0</v>
      </c>
      <c r="J117">
        <f>J79+J81+J82+J84+J85+J86+J87+J88+J89+J116</f>
        <v>0</v>
      </c>
      <c r="K117">
        <f>K79+K81+K82+K83+K85+K86+K87+K88+K89+K116</f>
        <v>0</v>
      </c>
      <c r="L117">
        <f>L79+L81+L82+L83+L84+L86+L87+L88+L89+L116</f>
        <v>0</v>
      </c>
      <c r="M117">
        <f>M79+M81+M82+M83+M84+M85+M87+M88+M89+M116</f>
        <v>1.1900000000000002</v>
      </c>
      <c r="N117">
        <f>N79+N81+N82+N83+N84+N85+N86+N88+N89+N116</f>
        <v>0</v>
      </c>
      <c r="O117">
        <f>O79+O81+O82+O83+O84+O85+O86+O87+O89+O116</f>
        <v>0</v>
      </c>
      <c r="P117">
        <f>P78+P116</f>
        <v>186.86</v>
      </c>
      <c r="Q117">
        <f>Q78+Q91+Q92+Q93+Q94+Q95+Q96+Q97+Q98+Q99+Q100+Q101+Q102+Q103+Q104+Q105+Q106+Q107+Q108+Q109+Q110+Q111+Q112+Q113+Q114+Q115+Q116</f>
        <v>0.02</v>
      </c>
      <c r="R117">
        <f>R78+R90+R92+R93+R94+R95+R96+R97+R98+R99+R100+R101+R102+R103+R104+R105+R106+R107+R108+R109+R110+R111+R112+R113+R114+R115+R116</f>
        <v>0</v>
      </c>
      <c r="S117">
        <f>S78+S90+S91+S93+S94+S95+S96+S97+S98+S99+S100+S101+S102+S103+S104+S105+S106+S107+S108+S109+S110+S111+S112+S113+S114+S115+S116</f>
        <v>32.889999999999993</v>
      </c>
      <c r="T117">
        <f>T78+T90+T91+T92+T94+T95+T96+T97+T98+T99+T100+T101+T102+T103+T104+T105+T106+T107+T108+T109+T110+T111+T112+T113+T114+T115+T116</f>
        <v>0</v>
      </c>
      <c r="U117">
        <f>U78+U90+U91+U92+U93+U95+U96+U97+U98+U99+U100+U101+U102+U103+U104+U105+U106+U107+U108+U109+U110+U111+U112+U113+U114+U115+U116</f>
        <v>0</v>
      </c>
      <c r="V117">
        <f>V78+V90+V91+V92+V93+V94+V96+V97+V98+V99+V100+V101+V102+V103+V104+V105+V106+V107+V108+V109+V110+V111+V112+V113+V114+V115+V116</f>
        <v>59.449999999999996</v>
      </c>
      <c r="W117">
        <f>W78+W90+W91+W92+W93+W94+W95+W97+W98+W99+W100+W101+W102+W103+W104+W105+W106+W107+W108+W109+W110+W111+W112+W113+W114+W115+W116</f>
        <v>11.43</v>
      </c>
      <c r="X117">
        <f>X78+X90+X91+X92+X93+X94+X95+X96+X98+X99+X100+X101+X102+X103+X104+X105+X106+X107+X108+X109+X110+X111+X112+X113+X114+X115+X116</f>
        <v>0</v>
      </c>
      <c r="Y117">
        <f>Y78+Y90+Y91+Y92+Y93+Y94+Y95+Y96+Y97+Y99+Y100+Y101+Y102+Y103+Y104+Y105+Y106+Y107+Y108+Y109+Y110+Y111+Y112+Y113+Y114+Y115+Y116</f>
        <v>48.33</v>
      </c>
      <c r="Z117">
        <f>Z78+Z90+Z91+Z92+Z93+Z94+Z95+Z96+Z97+Z98+Z100+Z101+Z102+Z103+Z104+Z105+Z106+Z107+Z108+Z109+Z110+Z111+Z112+Z113+Z114+Z115+Z116</f>
        <v>0</v>
      </c>
      <c r="AA117">
        <f>AA78+AA90+AA91+AA92+AA93+AA94+AA95+AA96+AA97+AA98+AA99+AA101+AA102+AA103+AA104+AA105+AA106+AA107+AA108+AA109+AA110+AA111+AA112+AA113+AA114+AA115+AA116</f>
        <v>0</v>
      </c>
      <c r="AB117">
        <f>AB78+AB90+AB91+AB92+AB93+AB94+AB95+AB96+AB97+AB98+AB99+AB100+AB102+AB103+AB104+AB105+AB106+AB107+AB108+AB109+AB110+AB111+AB112+AB113+AB114+AB115+AB116</f>
        <v>0</v>
      </c>
      <c r="AC117">
        <f>AC78+AC90+AC91+AC92+AC93+AC94+AC95+AC96+AC97+AC98+AC99+AC100+AC101+AC103+AC104+AC105+AC106+AC107+AC108+AC109+AC110+AC111+AC112+AC113+AC114+AC115+AC116</f>
        <v>0</v>
      </c>
      <c r="AD117">
        <f>AD78+AD90+AD91+AD92+AD93+AD94+AD95+AD96+AD97+AD98+AD99+AD100+AD101+AD102+AD104+AD105+AD106+AD107+AD108+AD109+AD110+AD111+AD112+AD113+AD114+AD115+AD116</f>
        <v>18.939999999999998</v>
      </c>
      <c r="AE117">
        <f>AE78+AE90+AE91+AE92+AE93+AE94+AE95+AE96+AE97+AE98+AE99+AE100+AE101+AE102+AE103+AE105+AE106+AE107+AE108+AE109+AE110+AE111+AE112+AE113+AE114+AE115+AE116</f>
        <v>0</v>
      </c>
      <c r="AF117">
        <f>AF78+AF90+AF91+AF92+AF93+AF94+AF95+AF96+AF97+AF98+AF99+AF100+AF101+AF102+AF103+AF104+AF106+AF107+AF108+AF109+AF110+AF111+AF112+AF113+AF114+AF115+AF116</f>
        <v>0</v>
      </c>
      <c r="AG117">
        <f>AG78+AG90+AG91+AG92+AG93+AG94+AG95+AG96+AG97+AG98+AG99+AG100+AG101+AG102+AG103+AG104+AG105+AG107+AG108+AG109+AG110+AG111+AG112+AG113+AG114+AG115+AG116</f>
        <v>0</v>
      </c>
      <c r="AH117">
        <f>AH78+AH90+AH91+AH92+AH93+AH94+AH95+AH96+AH97+AH98+AH99+AH100+AH101+AH102+AH103+AH104+AH105+AH106+AH108+AH109+AH110+AH111+AH112+AH113+AH114+AH115+AH116</f>
        <v>1.35</v>
      </c>
      <c r="AI117">
        <f>AI78+AI90+AI91+AI92+AI93+AI94+AI95+AI96+AI97+AI98+AI99+AI100+AI101+AI102+AI103+AI104+AI105+AI106+AI107+AI109+AI110+AI111+AI112+AI113+AI114+AI115+AI116</f>
        <v>0</v>
      </c>
      <c r="AJ117">
        <f>AJ78+AJ90+AJ91+AJ92+AJ93+AJ94+AJ95+AJ96+AJ97+AJ98+AJ99+AJ100+AJ101+AJ102+AJ103+AJ104+AJ105+AJ106+AJ107+AJ108+AJ110+AJ111+AJ112+AJ113+AJ114+AJ115+AJ116</f>
        <v>14.360000000000001</v>
      </c>
      <c r="AK117">
        <f>AK78+AK90+AK91+AK92+AK93+AK94+AK95+AK96+AK97+AK98+AK99+AK100+AK101+AK102+AK103+AK104+AK105+AK106+AK107+AK108+AK109+AK111+AK112+AK113+AK114+AK115+AK116</f>
        <v>0</v>
      </c>
      <c r="AL117">
        <f>AL78+AL90+AL91+AL92+AL93+AL94+AL95+AL96+AL97+AL98+AL99+AL100+AL101+AL102+AL103+AL104+AL105+AL106+AL107+AL108+AL109+AL110+AL112+AL113+AL114+AL115+AL116</f>
        <v>5.17</v>
      </c>
      <c r="AM117">
        <f>AM78+AM90+AM91+AM92+AM93+AM94+AM95+AM96+AM97+AM98+AM99+AM100+AM101+AM102+AM103+AM104+AM105+AM106+AM107+AM108+AM109+AM110+AM111+AM113+AM114+AM115+AM116</f>
        <v>0</v>
      </c>
      <c r="AN117">
        <f>AN78+AN90+AN91+AN92+AN93+AN94+AN95+AN96+AN97+AN98+AN99+AN100+AN101+AN102+AN103+AN104+AN105+AN106+AN107+AN108+AN109+AN110+AN111+AN112+AN114+AN115+AN116</f>
        <v>0</v>
      </c>
      <c r="AO117">
        <f>AO78+AO90+AO91+AO92+AO93+AO94+AO95+AO96+AO97+AO98+AO99+AO100+AO101+AO102+AO103+AO104+AO105+AO106+AO107+AO108+AO109+AO110+AO111+AO112+AO113+AO115+AO116</f>
        <v>2.76</v>
      </c>
      <c r="AP117">
        <f>AP78+AP90+AP91+AP92+AP93+AP94+AP95+AP96+AP97+AP98+AP99+AP100+AP101+AP102+AP103+AP104+AP105+AP106+AP107+AP108+AP109+AP110+AP111+AP112+AP113+AP114+AP116</f>
        <v>0</v>
      </c>
      <c r="AQ117">
        <f>AQ78+AQ89</f>
        <v>0</v>
      </c>
    </row>
    <row r="118" spans="1:45" ht="25.5" customHeight="1">
      <c r="B118" t="s">
        <v>325</v>
      </c>
      <c r="D118">
        <f>AS77</f>
        <v>4577.5754000000006</v>
      </c>
      <c r="E118">
        <f>AS78</f>
        <v>3518.3953999999999</v>
      </c>
      <c r="F118">
        <f>AS79</f>
        <v>286.43510000000003</v>
      </c>
      <c r="G118">
        <f>AS80</f>
        <v>207.71510000000001</v>
      </c>
      <c r="H118">
        <f>AS81</f>
        <v>104.8207</v>
      </c>
      <c r="I118">
        <f>AS82</f>
        <v>377.2996</v>
      </c>
      <c r="J118">
        <f>AS83</f>
        <v>880.47</v>
      </c>
      <c r="K118">
        <f>AS84</f>
        <v>-79.02000000000001</v>
      </c>
      <c r="L118">
        <f>AS85</f>
        <v>1632.8799999999999</v>
      </c>
      <c r="M118">
        <f>AS86</f>
        <v>277.87</v>
      </c>
      <c r="N118">
        <f>AS87</f>
        <v>0</v>
      </c>
      <c r="O118">
        <f>AS88</f>
        <v>37.64</v>
      </c>
      <c r="P118">
        <f>AS89</f>
        <v>891.88850000000002</v>
      </c>
      <c r="Q118">
        <f>AS90</f>
        <v>18.489999999999998</v>
      </c>
      <c r="R118">
        <f>AS91</f>
        <v>0.61</v>
      </c>
      <c r="S118">
        <f>AS92</f>
        <v>112.47999999999999</v>
      </c>
      <c r="T118">
        <f>AS93</f>
        <v>0</v>
      </c>
      <c r="U118">
        <f>AS94</f>
        <v>0</v>
      </c>
      <c r="V118">
        <f>AS95</f>
        <v>173.71</v>
      </c>
      <c r="W118">
        <f>AS96</f>
        <v>23.53</v>
      </c>
      <c r="X118">
        <f>AS97</f>
        <v>0</v>
      </c>
      <c r="Y118">
        <f>AS98</f>
        <v>290.53519999999997</v>
      </c>
      <c r="Z118">
        <f>AS99</f>
        <v>0</v>
      </c>
      <c r="AA118">
        <f>AS100</f>
        <v>0</v>
      </c>
      <c r="AB118">
        <f>AS101</f>
        <v>3.84</v>
      </c>
      <c r="AC118">
        <f>AS102</f>
        <v>0</v>
      </c>
      <c r="AD118">
        <f>AS103</f>
        <v>100.27369999999999</v>
      </c>
      <c r="AE118">
        <f>AS104</f>
        <v>0.71</v>
      </c>
      <c r="AF118">
        <f>AS105</f>
        <v>0</v>
      </c>
      <c r="AG118">
        <f>AS106</f>
        <v>0</v>
      </c>
      <c r="AH118">
        <f>AS107</f>
        <v>6.01</v>
      </c>
      <c r="AI118">
        <f>AS108</f>
        <v>27.41</v>
      </c>
      <c r="AJ118">
        <f>AS109</f>
        <v>22.65</v>
      </c>
      <c r="AK118">
        <f>AS110</f>
        <v>1.4596</v>
      </c>
      <c r="AL118">
        <f>AS111</f>
        <v>6.4399999999999995</v>
      </c>
      <c r="AM118">
        <f>AS112</f>
        <v>0.41</v>
      </c>
      <c r="AN118">
        <f>AS113</f>
        <v>37.520000000000003</v>
      </c>
      <c r="AO118">
        <f>AS114</f>
        <v>65.81</v>
      </c>
      <c r="AP118">
        <f>AS115</f>
        <v>0</v>
      </c>
      <c r="AQ118">
        <f>AS116</f>
        <v>167.29149999999998</v>
      </c>
    </row>
  </sheetData>
  <mergeCells count="21">
    <mergeCell ref="A1:B1"/>
    <mergeCell ref="A2:BN2"/>
    <mergeCell ref="A4:A5"/>
    <mergeCell ref="B4:B5"/>
    <mergeCell ref="C4:C5"/>
    <mergeCell ref="A75:A76"/>
    <mergeCell ref="BN4:BN5"/>
    <mergeCell ref="A71:B71"/>
    <mergeCell ref="BM4:BM5"/>
    <mergeCell ref="A73:AS73"/>
    <mergeCell ref="AS75:AS76"/>
    <mergeCell ref="D4:D5"/>
    <mergeCell ref="C75:C76"/>
    <mergeCell ref="A72:AS72"/>
    <mergeCell ref="E75:AQ75"/>
    <mergeCell ref="D75:D76"/>
    <mergeCell ref="E4:BK4"/>
    <mergeCell ref="AR74:AS74"/>
    <mergeCell ref="BL4:BL5"/>
    <mergeCell ref="B75:B76"/>
    <mergeCell ref="AR75:AR76"/>
  </mergeCells>
  <phoneticPr fontId="4" type="noConversion"/>
  <pageMargins left="0.75" right="0.75" top="1" bottom="1" header="0.5" footer="0.5"/>
  <pageSetup paperSize="9" scale="45" orientation="portrait" r:id="rId1"/>
  <headerFooter alignWithMargins="0"/>
  <legacyDrawing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1"/>
  <dimension ref="A1:BP117"/>
  <sheetViews>
    <sheetView showZeros="0" topLeftCell="B4" zoomScale="75" workbookViewId="0">
      <pane xSplit="3" ySplit="3" topLeftCell="E58" activePane="bottomRight" state="frozen"/>
      <selection activeCell="B4" sqref="B4"/>
      <selection pane="topRight" activeCell="E4" sqref="E4"/>
      <selection pane="bottomLeft" activeCell="B7" sqref="B7"/>
      <selection pane="bottomRight" activeCell="AU18" sqref="AU18"/>
    </sheetView>
  </sheetViews>
  <sheetFormatPr defaultRowHeight="24.95" customHeight="1"/>
  <cols>
    <col min="1" max="1" width="9.5703125" customWidth="1"/>
    <col min="2" max="2" width="47.140625" customWidth="1"/>
    <col min="3" max="3" width="8.28515625" customWidth="1"/>
    <col min="4" max="4" width="13.5703125" customWidth="1"/>
    <col min="5" max="6" width="11.85546875" customWidth="1"/>
    <col min="7" max="7" width="11.28515625" customWidth="1"/>
    <col min="8" max="8" width="10.85546875" customWidth="1"/>
    <col min="9" max="9" width="11.140625" customWidth="1"/>
    <col min="10" max="10" width="11" customWidth="1"/>
    <col min="11" max="11" width="10" customWidth="1"/>
    <col min="12" max="12" width="11.140625" customWidth="1"/>
    <col min="13" max="13" width="11.85546875" customWidth="1"/>
    <col min="14" max="15" width="11.28515625" customWidth="1"/>
    <col min="16" max="16" width="12.85546875" customWidth="1"/>
    <col min="17" max="17" width="12.28515625" customWidth="1"/>
    <col min="18" max="18" width="10.85546875" customWidth="1"/>
    <col min="20" max="20" width="10.140625" customWidth="1"/>
    <col min="21" max="21" width="9.85546875" customWidth="1"/>
    <col min="22" max="22" width="11.5703125" customWidth="1"/>
    <col min="23" max="23" width="11.140625" customWidth="1"/>
    <col min="24" max="24" width="10.7109375" customWidth="1"/>
    <col min="25" max="25" width="10.42578125" customWidth="1"/>
    <col min="26" max="26" width="11.140625" customWidth="1"/>
    <col min="27" max="27" width="9.85546875" customWidth="1"/>
    <col min="28" max="39" width="10.42578125" customWidth="1"/>
    <col min="40" max="40" width="11" customWidth="1"/>
    <col min="41" max="43" width="9.42578125" customWidth="1"/>
    <col min="44" max="44" width="10.85546875" customWidth="1"/>
    <col min="45" max="45" width="10.140625" customWidth="1"/>
    <col min="46" max="47" width="9.42578125" customWidth="1"/>
    <col min="48" max="48" width="11.5703125" customWidth="1"/>
    <col min="49" max="59" width="9" customWidth="1"/>
    <col min="60" max="60" width="10.140625" customWidth="1"/>
    <col min="61" max="62" width="9.85546875" customWidth="1"/>
    <col min="64" max="64" width="10.5703125" customWidth="1"/>
    <col min="65" max="65" width="12.140625" customWidth="1"/>
    <col min="66" max="66" width="13" customWidth="1"/>
  </cols>
  <sheetData>
    <row r="1" spans="1:68" ht="24.95" customHeight="1">
      <c r="A1" s="1300" t="s">
        <v>301</v>
      </c>
      <c r="B1" s="1300"/>
    </row>
    <row r="2" spans="1:68" ht="36.75" customHeight="1">
      <c r="A2" s="1282" t="s">
        <v>966</v>
      </c>
      <c r="B2" s="1282"/>
      <c r="C2" s="1282"/>
      <c r="D2" s="1282"/>
      <c r="E2" s="1282"/>
      <c r="F2" s="1282"/>
      <c r="G2" s="1282"/>
      <c r="H2" s="1282"/>
      <c r="I2" s="1282"/>
      <c r="J2" s="1282"/>
      <c r="K2" s="1282"/>
      <c r="L2" s="1282"/>
      <c r="M2" s="1282"/>
      <c r="N2" s="1282"/>
      <c r="O2" s="1282"/>
      <c r="P2" s="1282"/>
      <c r="Q2" s="1282"/>
      <c r="R2" s="1282"/>
      <c r="S2" s="1282"/>
      <c r="T2" s="1282"/>
      <c r="U2" s="1282"/>
      <c r="V2" s="1282"/>
      <c r="W2" s="1282"/>
      <c r="X2" s="1282"/>
      <c r="Y2" s="1282"/>
      <c r="Z2" s="1282"/>
      <c r="AA2" s="1282"/>
      <c r="AB2" s="1282"/>
      <c r="AC2" s="1282"/>
      <c r="AD2" s="1282"/>
      <c r="AE2" s="1282"/>
      <c r="AF2" s="1282"/>
      <c r="AG2" s="1282"/>
      <c r="AH2" s="1282"/>
      <c r="AI2" s="1282"/>
      <c r="AJ2" s="1282"/>
      <c r="AK2" s="1282"/>
      <c r="AL2" s="1282"/>
      <c r="AM2" s="1282"/>
      <c r="AN2" s="1282"/>
      <c r="AO2" s="1282"/>
      <c r="AP2" s="1282"/>
      <c r="AQ2" s="1282"/>
      <c r="AR2" s="1282"/>
      <c r="AS2" s="1282"/>
      <c r="AT2" s="1282"/>
      <c r="AU2" s="1282"/>
      <c r="AV2" s="1282"/>
      <c r="AW2" s="1282"/>
      <c r="AX2" s="1282"/>
      <c r="AY2" s="1282"/>
      <c r="AZ2" s="1282"/>
      <c r="BA2" s="1282"/>
      <c r="BB2" s="1282"/>
      <c r="BC2" s="1282"/>
      <c r="BD2" s="1282"/>
      <c r="BE2" s="1282"/>
      <c r="BF2" s="1282"/>
      <c r="BG2" s="1282"/>
      <c r="BH2" s="1282"/>
      <c r="BI2" s="1282"/>
      <c r="BJ2" s="1282"/>
      <c r="BK2" s="1282"/>
      <c r="BL2" s="1282"/>
      <c r="BM2" s="1282"/>
      <c r="BN2" s="1282"/>
    </row>
    <row r="4" spans="1:68" ht="33" customHeight="1">
      <c r="A4" s="1275" t="s">
        <v>136</v>
      </c>
      <c r="B4" s="1275" t="s">
        <v>469</v>
      </c>
      <c r="C4" s="1275" t="s">
        <v>13</v>
      </c>
      <c r="D4" s="1275" t="s">
        <v>693</v>
      </c>
      <c r="E4" s="1368" t="s">
        <v>694</v>
      </c>
      <c r="F4" s="1368"/>
      <c r="G4" s="1368"/>
      <c r="H4" s="1368"/>
      <c r="I4" s="1368"/>
      <c r="J4" s="1368"/>
      <c r="K4" s="1368"/>
      <c r="L4" s="1368"/>
      <c r="M4" s="1368"/>
      <c r="N4" s="1368"/>
      <c r="O4" s="1368"/>
      <c r="P4" s="1368"/>
      <c r="Q4" s="1368"/>
      <c r="R4" s="1368"/>
      <c r="S4" s="1368"/>
      <c r="T4" s="1368"/>
      <c r="U4" s="1368"/>
      <c r="V4" s="1368"/>
      <c r="W4" s="1368"/>
      <c r="X4" s="1368"/>
      <c r="Y4" s="1368"/>
      <c r="Z4" s="1368"/>
      <c r="AA4" s="1368"/>
      <c r="AB4" s="1368"/>
      <c r="AC4" s="1368"/>
      <c r="AD4" s="1368"/>
      <c r="AE4" s="1368"/>
      <c r="AF4" s="1368"/>
      <c r="AG4" s="1368"/>
      <c r="AH4" s="1368"/>
      <c r="AI4" s="1368"/>
      <c r="AJ4" s="1368"/>
      <c r="AK4" s="1368"/>
      <c r="AL4" s="1368"/>
      <c r="AM4" s="1368"/>
      <c r="AN4" s="1368"/>
      <c r="AO4" s="1368"/>
      <c r="AP4" s="1368"/>
      <c r="AQ4" s="1368"/>
      <c r="AR4" s="1368"/>
      <c r="AS4" s="1368"/>
      <c r="AT4" s="1368"/>
      <c r="AU4" s="1368"/>
      <c r="AV4" s="1368"/>
      <c r="AW4" s="1368"/>
      <c r="AX4" s="1368"/>
      <c r="AY4" s="1368"/>
      <c r="AZ4" s="1368"/>
      <c r="BA4" s="1368"/>
      <c r="BB4" s="1368"/>
      <c r="BC4" s="1368"/>
      <c r="BD4" s="1368"/>
      <c r="BE4" s="1368"/>
      <c r="BF4" s="1368"/>
      <c r="BG4" s="1368"/>
      <c r="BH4" s="1368"/>
      <c r="BI4" s="1368"/>
      <c r="BJ4" s="1368"/>
      <c r="BK4" s="1368"/>
      <c r="BL4" s="1365" t="s">
        <v>191</v>
      </c>
      <c r="BM4" s="1365" t="s">
        <v>493</v>
      </c>
      <c r="BN4" s="1365" t="s">
        <v>695</v>
      </c>
    </row>
    <row r="5" spans="1:68" ht="35.25" customHeight="1">
      <c r="A5" s="1275"/>
      <c r="B5" s="1275"/>
      <c r="C5" s="1275"/>
      <c r="D5" s="1275"/>
      <c r="E5" s="128" t="s">
        <v>15</v>
      </c>
      <c r="F5" s="128" t="s">
        <v>193</v>
      </c>
      <c r="G5" s="128" t="s">
        <v>194</v>
      </c>
      <c r="H5" s="128" t="s">
        <v>18</v>
      </c>
      <c r="I5" s="128" t="s">
        <v>20</v>
      </c>
      <c r="J5" s="128" t="s">
        <v>195</v>
      </c>
      <c r="K5" s="128" t="s">
        <v>196</v>
      </c>
      <c r="L5" s="128" t="s">
        <v>197</v>
      </c>
      <c r="M5" s="128" t="s">
        <v>23</v>
      </c>
      <c r="N5" s="128" t="s">
        <v>26</v>
      </c>
      <c r="O5" s="128" t="s">
        <v>198</v>
      </c>
      <c r="P5" s="128" t="s">
        <v>29</v>
      </c>
      <c r="Q5" s="128" t="s">
        <v>32</v>
      </c>
      <c r="R5" s="128" t="s">
        <v>35</v>
      </c>
      <c r="S5" s="128" t="s">
        <v>38</v>
      </c>
      <c r="T5" s="128" t="s">
        <v>41</v>
      </c>
      <c r="U5" s="128" t="s">
        <v>44</v>
      </c>
      <c r="V5" s="128" t="s">
        <v>46</v>
      </c>
      <c r="W5" s="128" t="s">
        <v>49</v>
      </c>
      <c r="X5" s="128" t="s">
        <v>52</v>
      </c>
      <c r="Y5" s="128" t="s">
        <v>55</v>
      </c>
      <c r="Z5" s="128" t="s">
        <v>58</v>
      </c>
      <c r="AA5" s="128" t="s">
        <v>61</v>
      </c>
      <c r="AB5" s="128" t="s">
        <v>64</v>
      </c>
      <c r="AC5" s="128" t="s">
        <v>67</v>
      </c>
      <c r="AD5" s="128" t="s">
        <v>70</v>
      </c>
      <c r="AE5" s="128" t="s">
        <v>72</v>
      </c>
      <c r="AF5" s="128" t="s">
        <v>202</v>
      </c>
      <c r="AG5" s="128" t="s">
        <v>203</v>
      </c>
      <c r="AH5" s="128" t="s">
        <v>204</v>
      </c>
      <c r="AI5" s="128" t="s">
        <v>205</v>
      </c>
      <c r="AJ5" s="128" t="s">
        <v>206</v>
      </c>
      <c r="AK5" s="128" t="s">
        <v>207</v>
      </c>
      <c r="AL5" s="128" t="s">
        <v>199</v>
      </c>
      <c r="AM5" s="128" t="s">
        <v>200</v>
      </c>
      <c r="AN5" s="128" t="s">
        <v>223</v>
      </c>
      <c r="AO5" s="128" t="s">
        <v>201</v>
      </c>
      <c r="AP5" s="128" t="s">
        <v>208</v>
      </c>
      <c r="AQ5" s="128" t="s">
        <v>75</v>
      </c>
      <c r="AR5" s="128" t="s">
        <v>78</v>
      </c>
      <c r="AS5" s="128" t="s">
        <v>81</v>
      </c>
      <c r="AT5" s="128" t="s">
        <v>84</v>
      </c>
      <c r="AU5" s="128" t="s">
        <v>87</v>
      </c>
      <c r="AV5" s="128" t="s">
        <v>90</v>
      </c>
      <c r="AW5" s="128" t="s">
        <v>93</v>
      </c>
      <c r="AX5" s="128" t="s">
        <v>96</v>
      </c>
      <c r="AY5" s="128" t="s">
        <v>99</v>
      </c>
      <c r="AZ5" s="128" t="s">
        <v>101</v>
      </c>
      <c r="BA5" s="128" t="s">
        <v>104</v>
      </c>
      <c r="BB5" s="128" t="s">
        <v>107</v>
      </c>
      <c r="BC5" s="128" t="s">
        <v>110</v>
      </c>
      <c r="BD5" s="128" t="s">
        <v>113</v>
      </c>
      <c r="BE5" s="128" t="s">
        <v>116</v>
      </c>
      <c r="BF5" s="128" t="s">
        <v>119</v>
      </c>
      <c r="BG5" s="128" t="s">
        <v>122</v>
      </c>
      <c r="BH5" s="128" t="s">
        <v>124</v>
      </c>
      <c r="BI5" s="128" t="s">
        <v>209</v>
      </c>
      <c r="BJ5" s="128" t="s">
        <v>210</v>
      </c>
      <c r="BK5" s="128" t="s">
        <v>211</v>
      </c>
      <c r="BL5" s="1366"/>
      <c r="BM5" s="1366"/>
      <c r="BN5" s="1366"/>
    </row>
    <row r="6" spans="1:68" ht="24.95" customHeight="1">
      <c r="A6" s="130" t="s">
        <v>235</v>
      </c>
      <c r="B6" s="130" t="s">
        <v>236</v>
      </c>
      <c r="C6" s="129" t="s">
        <v>237</v>
      </c>
      <c r="D6" s="129" t="s">
        <v>238</v>
      </c>
      <c r="E6" s="129" t="s">
        <v>239</v>
      </c>
      <c r="F6" s="129" t="s">
        <v>240</v>
      </c>
      <c r="G6" s="129" t="s">
        <v>241</v>
      </c>
      <c r="H6" s="129" t="s">
        <v>242</v>
      </c>
      <c r="I6" s="129" t="s">
        <v>243</v>
      </c>
      <c r="J6" s="129" t="s">
        <v>244</v>
      </c>
      <c r="K6" s="129" t="s">
        <v>245</v>
      </c>
      <c r="L6" s="129" t="s">
        <v>246</v>
      </c>
      <c r="M6" s="129" t="s">
        <v>247</v>
      </c>
      <c r="N6" s="129" t="s">
        <v>248</v>
      </c>
      <c r="O6" s="129" t="s">
        <v>249</v>
      </c>
      <c r="P6" s="129" t="s">
        <v>250</v>
      </c>
      <c r="Q6" s="129" t="s">
        <v>251</v>
      </c>
      <c r="R6" s="129" t="s">
        <v>252</v>
      </c>
      <c r="S6" s="129" t="s">
        <v>253</v>
      </c>
      <c r="T6" s="129" t="s">
        <v>254</v>
      </c>
      <c r="U6" s="129" t="s">
        <v>255</v>
      </c>
      <c r="V6" s="129" t="s">
        <v>256</v>
      </c>
      <c r="W6" s="129" t="s">
        <v>257</v>
      </c>
      <c r="X6" s="129" t="s">
        <v>258</v>
      </c>
      <c r="Y6" s="129" t="s">
        <v>259</v>
      </c>
      <c r="Z6" s="129" t="s">
        <v>260</v>
      </c>
      <c r="AA6" s="129" t="s">
        <v>261</v>
      </c>
      <c r="AB6" s="129" t="s">
        <v>262</v>
      </c>
      <c r="AC6" s="129" t="s">
        <v>263</v>
      </c>
      <c r="AD6" s="129" t="s">
        <v>264</v>
      </c>
      <c r="AE6" s="129" t="s">
        <v>265</v>
      </c>
      <c r="AF6" s="129" t="s">
        <v>266</v>
      </c>
      <c r="AG6" s="129" t="s">
        <v>267</v>
      </c>
      <c r="AH6" s="129" t="s">
        <v>268</v>
      </c>
      <c r="AI6" s="129" t="s">
        <v>269</v>
      </c>
      <c r="AJ6" s="129" t="s">
        <v>270</v>
      </c>
      <c r="AK6" s="129" t="s">
        <v>271</v>
      </c>
      <c r="AL6" s="129" t="s">
        <v>272</v>
      </c>
      <c r="AM6" s="129" t="s">
        <v>273</v>
      </c>
      <c r="AN6" s="129" t="s">
        <v>274</v>
      </c>
      <c r="AO6" s="129" t="s">
        <v>275</v>
      </c>
      <c r="AP6" s="129" t="s">
        <v>276</v>
      </c>
      <c r="AQ6" s="129" t="s">
        <v>277</v>
      </c>
      <c r="AR6" s="129" t="s">
        <v>278</v>
      </c>
      <c r="AS6" s="129" t="s">
        <v>279</v>
      </c>
      <c r="AT6" s="129" t="s">
        <v>280</v>
      </c>
      <c r="AU6" s="129" t="s">
        <v>281</v>
      </c>
      <c r="AV6" s="129" t="s">
        <v>282</v>
      </c>
      <c r="AW6" s="129" t="s">
        <v>283</v>
      </c>
      <c r="AX6" s="129" t="s">
        <v>284</v>
      </c>
      <c r="AY6" s="129" t="s">
        <v>285</v>
      </c>
      <c r="AZ6" s="129" t="s">
        <v>286</v>
      </c>
      <c r="BA6" s="129" t="s">
        <v>287</v>
      </c>
      <c r="BB6" s="129" t="s">
        <v>288</v>
      </c>
      <c r="BC6" s="129" t="s">
        <v>289</v>
      </c>
      <c r="BD6" s="129" t="s">
        <v>290</v>
      </c>
      <c r="BE6" s="129" t="s">
        <v>291</v>
      </c>
      <c r="BF6" s="129" t="s">
        <v>292</v>
      </c>
      <c r="BG6" s="129" t="s">
        <v>293</v>
      </c>
      <c r="BH6" s="129" t="s">
        <v>294</v>
      </c>
      <c r="BI6" s="129" t="s">
        <v>295</v>
      </c>
      <c r="BJ6" s="129" t="s">
        <v>296</v>
      </c>
      <c r="BK6" s="129" t="s">
        <v>297</v>
      </c>
      <c r="BL6" s="129" t="s">
        <v>298</v>
      </c>
      <c r="BM6" s="129" t="s">
        <v>299</v>
      </c>
      <c r="BN6" s="129" t="s">
        <v>300</v>
      </c>
    </row>
    <row r="7" spans="1:68" s="117" customFormat="1" ht="31.5" customHeight="1">
      <c r="A7" s="150"/>
      <c r="B7" s="150" t="s">
        <v>470</v>
      </c>
      <c r="C7" s="160"/>
      <c r="D7" s="466">
        <f>D8+D25+D63</f>
        <v>158.60500000000002</v>
      </c>
      <c r="E7" s="466">
        <f>E8+E25+E63</f>
        <v>3.9000000000000004</v>
      </c>
      <c r="F7" s="466">
        <f t="shared" ref="F7:BN7" si="0">F8+F25+F63</f>
        <v>3.58</v>
      </c>
      <c r="G7" s="466">
        <f t="shared" si="0"/>
        <v>0</v>
      </c>
      <c r="H7" s="466">
        <f t="shared" si="0"/>
        <v>0</v>
      </c>
      <c r="I7" s="466">
        <f t="shared" si="0"/>
        <v>0</v>
      </c>
      <c r="J7" s="466">
        <f t="shared" si="0"/>
        <v>0</v>
      </c>
      <c r="K7" s="466">
        <f t="shared" si="0"/>
        <v>0</v>
      </c>
      <c r="L7" s="466">
        <f t="shared" si="0"/>
        <v>0</v>
      </c>
      <c r="M7" s="466">
        <f t="shared" si="0"/>
        <v>0</v>
      </c>
      <c r="N7" s="466">
        <f t="shared" si="0"/>
        <v>3.58</v>
      </c>
      <c r="O7" s="466">
        <f t="shared" si="0"/>
        <v>0</v>
      </c>
      <c r="P7" s="466">
        <f t="shared" si="0"/>
        <v>0</v>
      </c>
      <c r="Q7" s="466">
        <f t="shared" si="0"/>
        <v>0</v>
      </c>
      <c r="R7" s="466">
        <f t="shared" si="0"/>
        <v>0</v>
      </c>
      <c r="S7" s="466">
        <f t="shared" si="0"/>
        <v>0.32</v>
      </c>
      <c r="T7" s="466">
        <f t="shared" si="0"/>
        <v>0</v>
      </c>
      <c r="U7" s="466">
        <f t="shared" si="0"/>
        <v>0</v>
      </c>
      <c r="V7" s="466">
        <f t="shared" si="0"/>
        <v>151.95500000000004</v>
      </c>
      <c r="W7" s="466">
        <f t="shared" si="0"/>
        <v>1.85</v>
      </c>
      <c r="X7" s="466">
        <f t="shared" si="0"/>
        <v>0.22</v>
      </c>
      <c r="Y7" s="466">
        <f t="shared" si="0"/>
        <v>0</v>
      </c>
      <c r="Z7" s="466">
        <f t="shared" si="0"/>
        <v>0</v>
      </c>
      <c r="AA7" s="466">
        <f t="shared" si="0"/>
        <v>0</v>
      </c>
      <c r="AB7" s="466">
        <f t="shared" si="0"/>
        <v>9.0378000000000007</v>
      </c>
      <c r="AC7" s="466">
        <f t="shared" si="0"/>
        <v>16.350000000000001</v>
      </c>
      <c r="AD7" s="466">
        <f t="shared" si="0"/>
        <v>0</v>
      </c>
      <c r="AE7" s="466">
        <f t="shared" si="0"/>
        <v>60.747900000000001</v>
      </c>
      <c r="AF7" s="466">
        <f t="shared" si="0"/>
        <v>0.39500000000000002</v>
      </c>
      <c r="AG7" s="466">
        <f t="shared" si="0"/>
        <v>0.03</v>
      </c>
      <c r="AH7" s="466">
        <f t="shared" si="0"/>
        <v>5.71</v>
      </c>
      <c r="AI7" s="466">
        <f t="shared" si="0"/>
        <v>0</v>
      </c>
      <c r="AJ7" s="466">
        <f t="shared" si="0"/>
        <v>0</v>
      </c>
      <c r="AK7" s="466">
        <f t="shared" si="0"/>
        <v>0</v>
      </c>
      <c r="AL7" s="466">
        <f t="shared" si="0"/>
        <v>52.232900000000001</v>
      </c>
      <c r="AM7" s="466">
        <f t="shared" si="0"/>
        <v>1.52</v>
      </c>
      <c r="AN7" s="466">
        <f t="shared" si="0"/>
        <v>0.01</v>
      </c>
      <c r="AO7" s="466">
        <f t="shared" si="0"/>
        <v>0</v>
      </c>
      <c r="AP7" s="466">
        <f t="shared" si="0"/>
        <v>0.85</v>
      </c>
      <c r="AQ7" s="466">
        <f t="shared" si="0"/>
        <v>0</v>
      </c>
      <c r="AR7" s="466">
        <f t="shared" si="0"/>
        <v>0</v>
      </c>
      <c r="AS7" s="466">
        <f t="shared" si="0"/>
        <v>0</v>
      </c>
      <c r="AT7" s="466">
        <f t="shared" si="0"/>
        <v>0</v>
      </c>
      <c r="AU7" s="466">
        <f t="shared" si="0"/>
        <v>36.759299999999996</v>
      </c>
      <c r="AV7" s="466">
        <f t="shared" si="0"/>
        <v>0.81</v>
      </c>
      <c r="AW7" s="466">
        <f t="shared" si="0"/>
        <v>0</v>
      </c>
      <c r="AX7" s="466">
        <f t="shared" si="0"/>
        <v>0</v>
      </c>
      <c r="AY7" s="466">
        <f t="shared" si="0"/>
        <v>0.4</v>
      </c>
      <c r="AZ7" s="466">
        <f t="shared" si="0"/>
        <v>0</v>
      </c>
      <c r="BA7" s="466">
        <f t="shared" si="0"/>
        <v>0</v>
      </c>
      <c r="BB7" s="466">
        <f t="shared" si="0"/>
        <v>0.62</v>
      </c>
      <c r="BC7" s="466">
        <f t="shared" si="0"/>
        <v>0.47</v>
      </c>
      <c r="BD7" s="466">
        <f t="shared" si="0"/>
        <v>1.23</v>
      </c>
      <c r="BE7" s="466">
        <f t="shared" si="0"/>
        <v>23.46</v>
      </c>
      <c r="BF7" s="466">
        <f t="shared" si="0"/>
        <v>0</v>
      </c>
      <c r="BG7" s="466">
        <f t="shared" si="0"/>
        <v>0</v>
      </c>
      <c r="BH7" s="466">
        <f t="shared" si="0"/>
        <v>2.75</v>
      </c>
      <c r="BI7" s="466">
        <f t="shared" si="0"/>
        <v>2.75</v>
      </c>
      <c r="BJ7" s="466">
        <f t="shared" si="0"/>
        <v>0</v>
      </c>
      <c r="BK7" s="466">
        <f t="shared" si="0"/>
        <v>0</v>
      </c>
      <c r="BL7" s="466"/>
      <c r="BM7" s="466">
        <f t="shared" si="0"/>
        <v>0</v>
      </c>
      <c r="BN7" s="466">
        <f t="shared" si="0"/>
        <v>158.60500000000002</v>
      </c>
    </row>
    <row r="8" spans="1:68" s="115" customFormat="1" ht="21.75" customHeight="1">
      <c r="A8" s="15">
        <v>1</v>
      </c>
      <c r="B8" s="15" t="s">
        <v>14</v>
      </c>
      <c r="C8" s="158" t="s">
        <v>15</v>
      </c>
      <c r="D8" s="420">
        <f>D9+D18+D22+D23+D24</f>
        <v>4.2</v>
      </c>
      <c r="E8" s="420">
        <f>D8-BL8</f>
        <v>3.9000000000000004</v>
      </c>
      <c r="F8" s="420">
        <f>G8+N8</f>
        <v>3.58</v>
      </c>
      <c r="G8" s="420">
        <f>H8+L8+M8</f>
        <v>0</v>
      </c>
      <c r="H8" s="420">
        <f>I8+J8+K8</f>
        <v>0</v>
      </c>
      <c r="I8" s="420">
        <f>I9+I18+I22+I23+I24</f>
        <v>0</v>
      </c>
      <c r="J8" s="420">
        <f t="shared" ref="J8:BG8" si="1">J9+J18+J22+J23+J24</f>
        <v>0</v>
      </c>
      <c r="K8" s="420">
        <f t="shared" si="1"/>
        <v>0</v>
      </c>
      <c r="L8" s="420">
        <f t="shared" si="1"/>
        <v>0</v>
      </c>
      <c r="M8" s="420">
        <f t="shared" si="1"/>
        <v>0</v>
      </c>
      <c r="N8" s="420">
        <f t="shared" si="1"/>
        <v>3.58</v>
      </c>
      <c r="O8" s="420">
        <f>P8+Q8+R8</f>
        <v>0</v>
      </c>
      <c r="P8" s="420">
        <f t="shared" si="1"/>
        <v>0</v>
      </c>
      <c r="Q8" s="420">
        <f t="shared" si="1"/>
        <v>0</v>
      </c>
      <c r="R8" s="420">
        <f t="shared" si="1"/>
        <v>0</v>
      </c>
      <c r="S8" s="420">
        <f t="shared" si="1"/>
        <v>0.32</v>
      </c>
      <c r="T8" s="420">
        <f t="shared" si="1"/>
        <v>0</v>
      </c>
      <c r="U8" s="420">
        <f t="shared" si="1"/>
        <v>0</v>
      </c>
      <c r="V8" s="420">
        <f t="shared" si="1"/>
        <v>0.3</v>
      </c>
      <c r="W8" s="420">
        <f t="shared" si="1"/>
        <v>0</v>
      </c>
      <c r="X8" s="420">
        <f t="shared" si="1"/>
        <v>0</v>
      </c>
      <c r="Y8" s="420">
        <f t="shared" si="1"/>
        <v>0</v>
      </c>
      <c r="Z8" s="420">
        <f t="shared" si="1"/>
        <v>0</v>
      </c>
      <c r="AA8" s="420">
        <f t="shared" si="1"/>
        <v>0</v>
      </c>
      <c r="AB8" s="420">
        <f t="shared" si="1"/>
        <v>0</v>
      </c>
      <c r="AC8" s="420">
        <f t="shared" si="1"/>
        <v>0</v>
      </c>
      <c r="AD8" s="420">
        <f t="shared" si="1"/>
        <v>0</v>
      </c>
      <c r="AE8" s="420">
        <f t="shared" si="1"/>
        <v>0</v>
      </c>
      <c r="AF8" s="420">
        <f t="shared" si="1"/>
        <v>0</v>
      </c>
      <c r="AG8" s="420">
        <f t="shared" si="1"/>
        <v>0</v>
      </c>
      <c r="AH8" s="420">
        <f t="shared" si="1"/>
        <v>0</v>
      </c>
      <c r="AI8" s="420">
        <f t="shared" si="1"/>
        <v>0</v>
      </c>
      <c r="AJ8" s="420">
        <f t="shared" si="1"/>
        <v>0</v>
      </c>
      <c r="AK8" s="420">
        <f t="shared" si="1"/>
        <v>0</v>
      </c>
      <c r="AL8" s="420">
        <f t="shared" si="1"/>
        <v>0</v>
      </c>
      <c r="AM8" s="420">
        <f t="shared" si="1"/>
        <v>0</v>
      </c>
      <c r="AN8" s="420">
        <f t="shared" si="1"/>
        <v>0</v>
      </c>
      <c r="AO8" s="420">
        <f t="shared" si="1"/>
        <v>0</v>
      </c>
      <c r="AP8" s="420">
        <f t="shared" si="1"/>
        <v>0</v>
      </c>
      <c r="AQ8" s="420">
        <f t="shared" si="1"/>
        <v>0</v>
      </c>
      <c r="AR8" s="420">
        <f t="shared" si="1"/>
        <v>0</v>
      </c>
      <c r="AS8" s="420">
        <f t="shared" si="1"/>
        <v>0</v>
      </c>
      <c r="AT8" s="420">
        <f t="shared" si="1"/>
        <v>0</v>
      </c>
      <c r="AU8" s="420">
        <f t="shared" si="1"/>
        <v>0.3</v>
      </c>
      <c r="AV8" s="420">
        <f t="shared" si="1"/>
        <v>0</v>
      </c>
      <c r="AW8" s="420">
        <f t="shared" si="1"/>
        <v>0</v>
      </c>
      <c r="AX8" s="420">
        <f t="shared" si="1"/>
        <v>0</v>
      </c>
      <c r="AY8" s="420">
        <f t="shared" si="1"/>
        <v>0</v>
      </c>
      <c r="AZ8" s="420">
        <f t="shared" si="1"/>
        <v>0</v>
      </c>
      <c r="BA8" s="420">
        <f t="shared" si="1"/>
        <v>0</v>
      </c>
      <c r="BB8" s="420">
        <f t="shared" si="1"/>
        <v>0</v>
      </c>
      <c r="BC8" s="420">
        <f t="shared" si="1"/>
        <v>0</v>
      </c>
      <c r="BD8" s="420">
        <f t="shared" si="1"/>
        <v>0</v>
      </c>
      <c r="BE8" s="420">
        <f t="shared" si="1"/>
        <v>0</v>
      </c>
      <c r="BF8" s="420">
        <f t="shared" si="1"/>
        <v>0</v>
      </c>
      <c r="BG8" s="420">
        <f t="shared" si="1"/>
        <v>0</v>
      </c>
      <c r="BH8" s="420">
        <f>BH9+BH18+BH22+BH23+BH24</f>
        <v>0</v>
      </c>
      <c r="BI8" s="420">
        <f>BI9+BI18+BI22+BI23+BI24</f>
        <v>0</v>
      </c>
      <c r="BJ8" s="420">
        <f>BJ9+BJ18+BJ22+BJ23+BJ24</f>
        <v>0</v>
      </c>
      <c r="BK8" s="420">
        <f>BK9+BK18+BK22+BK23+BK24</f>
        <v>0</v>
      </c>
      <c r="BL8" s="420">
        <f>V8+BH8</f>
        <v>0.3</v>
      </c>
      <c r="BM8" s="420">
        <f>BM9+BM18+BM22+BM23+BM24</f>
        <v>-0.3</v>
      </c>
      <c r="BN8" s="420">
        <f>BN9+BN18+BN22+BN23+BN24</f>
        <v>3.9</v>
      </c>
    </row>
    <row r="9" spans="1:68" ht="21.75" customHeight="1">
      <c r="A9" s="14" t="s">
        <v>16</v>
      </c>
      <c r="B9" s="14" t="s">
        <v>471</v>
      </c>
      <c r="C9" s="30" t="s">
        <v>193</v>
      </c>
      <c r="D9" s="185">
        <f>D10+D17</f>
        <v>3.88</v>
      </c>
      <c r="E9" s="185">
        <f>F9+O9+S9+T9+U9</f>
        <v>3.88</v>
      </c>
      <c r="F9" s="185">
        <f>D9-BK9</f>
        <v>3.88</v>
      </c>
      <c r="G9" s="185">
        <f>H9+L9+M9</f>
        <v>0</v>
      </c>
      <c r="H9" s="185">
        <f>I9+J9+K9</f>
        <v>0</v>
      </c>
      <c r="I9" s="185">
        <f>I10+I17</f>
        <v>0</v>
      </c>
      <c r="J9" s="185">
        <f t="shared" ref="J9:BG9" si="2">J10+J17</f>
        <v>0</v>
      </c>
      <c r="K9" s="185">
        <f t="shared" si="2"/>
        <v>0</v>
      </c>
      <c r="L9" s="185">
        <f t="shared" si="2"/>
        <v>0</v>
      </c>
      <c r="M9" s="185">
        <f t="shared" si="2"/>
        <v>0</v>
      </c>
      <c r="N9" s="185">
        <f t="shared" si="2"/>
        <v>3.58</v>
      </c>
      <c r="O9" s="185">
        <f t="shared" ref="O9:O17" si="3">P9+Q9+R9</f>
        <v>0</v>
      </c>
      <c r="P9" s="185">
        <f t="shared" si="2"/>
        <v>0</v>
      </c>
      <c r="Q9" s="185">
        <f t="shared" si="2"/>
        <v>0</v>
      </c>
      <c r="R9" s="185">
        <f t="shared" si="2"/>
        <v>0</v>
      </c>
      <c r="S9" s="185">
        <f t="shared" si="2"/>
        <v>0</v>
      </c>
      <c r="T9" s="185">
        <f t="shared" si="2"/>
        <v>0</v>
      </c>
      <c r="U9" s="185">
        <f t="shared" si="2"/>
        <v>0</v>
      </c>
      <c r="V9" s="185">
        <f t="shared" si="2"/>
        <v>0.3</v>
      </c>
      <c r="W9" s="185">
        <f t="shared" si="2"/>
        <v>0</v>
      </c>
      <c r="X9" s="185">
        <f t="shared" si="2"/>
        <v>0</v>
      </c>
      <c r="Y9" s="185">
        <f t="shared" si="2"/>
        <v>0</v>
      </c>
      <c r="Z9" s="185">
        <f t="shared" si="2"/>
        <v>0</v>
      </c>
      <c r="AA9" s="185">
        <f t="shared" si="2"/>
        <v>0</v>
      </c>
      <c r="AB9" s="185">
        <f t="shared" si="2"/>
        <v>0</v>
      </c>
      <c r="AC9" s="185">
        <f t="shared" si="2"/>
        <v>0</v>
      </c>
      <c r="AD9" s="185">
        <f t="shared" si="2"/>
        <v>0</v>
      </c>
      <c r="AE9" s="185">
        <f t="shared" si="2"/>
        <v>0</v>
      </c>
      <c r="AF9" s="185">
        <f t="shared" si="2"/>
        <v>0</v>
      </c>
      <c r="AG9" s="185">
        <f t="shared" si="2"/>
        <v>0</v>
      </c>
      <c r="AH9" s="185">
        <f t="shared" si="2"/>
        <v>0</v>
      </c>
      <c r="AI9" s="185">
        <f t="shared" si="2"/>
        <v>0</v>
      </c>
      <c r="AJ9" s="185">
        <f t="shared" si="2"/>
        <v>0</v>
      </c>
      <c r="AK9" s="185">
        <f t="shared" si="2"/>
        <v>0</v>
      </c>
      <c r="AL9" s="185">
        <f t="shared" si="2"/>
        <v>0</v>
      </c>
      <c r="AM9" s="185">
        <f t="shared" si="2"/>
        <v>0</v>
      </c>
      <c r="AN9" s="185">
        <f t="shared" si="2"/>
        <v>0</v>
      </c>
      <c r="AO9" s="185">
        <f t="shared" si="2"/>
        <v>0</v>
      </c>
      <c r="AP9" s="185">
        <f t="shared" si="2"/>
        <v>0</v>
      </c>
      <c r="AQ9" s="185">
        <f t="shared" si="2"/>
        <v>0</v>
      </c>
      <c r="AR9" s="185">
        <f t="shared" si="2"/>
        <v>0</v>
      </c>
      <c r="AS9" s="185">
        <f t="shared" si="2"/>
        <v>0</v>
      </c>
      <c r="AT9" s="185">
        <f t="shared" si="2"/>
        <v>0</v>
      </c>
      <c r="AU9" s="185">
        <f t="shared" si="2"/>
        <v>0.3</v>
      </c>
      <c r="AV9" s="185">
        <f t="shared" si="2"/>
        <v>0</v>
      </c>
      <c r="AW9" s="185">
        <f t="shared" si="2"/>
        <v>0</v>
      </c>
      <c r="AX9" s="185">
        <f t="shared" si="2"/>
        <v>0</v>
      </c>
      <c r="AY9" s="185">
        <f t="shared" si="2"/>
        <v>0</v>
      </c>
      <c r="AZ9" s="185">
        <f t="shared" si="2"/>
        <v>0</v>
      </c>
      <c r="BA9" s="185">
        <f t="shared" si="2"/>
        <v>0</v>
      </c>
      <c r="BB9" s="185">
        <f t="shared" si="2"/>
        <v>0</v>
      </c>
      <c r="BC9" s="185">
        <f t="shared" si="2"/>
        <v>0</v>
      </c>
      <c r="BD9" s="185">
        <f t="shared" si="2"/>
        <v>0</v>
      </c>
      <c r="BE9" s="185">
        <f t="shared" si="2"/>
        <v>0</v>
      </c>
      <c r="BF9" s="185">
        <f t="shared" si="2"/>
        <v>0</v>
      </c>
      <c r="BG9" s="185">
        <f t="shared" si="2"/>
        <v>0</v>
      </c>
      <c r="BH9" s="185">
        <f>BH10+BH17</f>
        <v>0</v>
      </c>
      <c r="BI9" s="185">
        <f>BI10+BI17</f>
        <v>0</v>
      </c>
      <c r="BJ9" s="185">
        <f>BJ10+BJ17</f>
        <v>0</v>
      </c>
      <c r="BK9" s="185">
        <f>BK10+BK17</f>
        <v>0</v>
      </c>
      <c r="BL9" s="185">
        <f>O9+S9+T9+U9+V9+BH9</f>
        <v>0.3</v>
      </c>
      <c r="BM9" s="185">
        <f>BM10+BM17</f>
        <v>-0.3</v>
      </c>
      <c r="BN9" s="185">
        <f>D9+BM9</f>
        <v>3.58</v>
      </c>
      <c r="BP9" s="123"/>
    </row>
    <row r="10" spans="1:68" ht="20.100000000000001" customHeight="1">
      <c r="A10" s="14" t="s">
        <v>212</v>
      </c>
      <c r="B10" s="14" t="s">
        <v>472</v>
      </c>
      <c r="C10" s="30" t="s">
        <v>194</v>
      </c>
      <c r="D10" s="185">
        <f>D11+D15+D16</f>
        <v>0</v>
      </c>
      <c r="E10" s="185">
        <f t="shared" ref="E10:E66" si="4">F10+O10+S10+T10+U10</f>
        <v>0</v>
      </c>
      <c r="F10" s="185">
        <f>G10+N10</f>
        <v>0</v>
      </c>
      <c r="G10" s="185">
        <f>D10-BL10</f>
        <v>0</v>
      </c>
      <c r="H10" s="185">
        <f>I10+J10+K10</f>
        <v>0</v>
      </c>
      <c r="I10" s="185">
        <f>I11+I15+I16</f>
        <v>0</v>
      </c>
      <c r="J10" s="185">
        <f t="shared" ref="J10:BG10" si="5">J11+J15+J16</f>
        <v>0</v>
      </c>
      <c r="K10" s="185">
        <f t="shared" si="5"/>
        <v>0</v>
      </c>
      <c r="L10" s="185">
        <f t="shared" si="5"/>
        <v>0</v>
      </c>
      <c r="M10" s="185">
        <f t="shared" si="5"/>
        <v>0</v>
      </c>
      <c r="N10" s="185">
        <f t="shared" si="5"/>
        <v>0</v>
      </c>
      <c r="O10" s="185">
        <f t="shared" si="3"/>
        <v>0</v>
      </c>
      <c r="P10" s="185">
        <f t="shared" si="5"/>
        <v>0</v>
      </c>
      <c r="Q10" s="185">
        <f t="shared" si="5"/>
        <v>0</v>
      </c>
      <c r="R10" s="185">
        <f t="shared" si="5"/>
        <v>0</v>
      </c>
      <c r="S10" s="185">
        <f t="shared" si="5"/>
        <v>0</v>
      </c>
      <c r="T10" s="185">
        <f t="shared" si="5"/>
        <v>0</v>
      </c>
      <c r="U10" s="185">
        <f t="shared" si="5"/>
        <v>0</v>
      </c>
      <c r="V10" s="185">
        <f t="shared" si="5"/>
        <v>0</v>
      </c>
      <c r="W10" s="185">
        <f t="shared" si="5"/>
        <v>0</v>
      </c>
      <c r="X10" s="185">
        <f t="shared" si="5"/>
        <v>0</v>
      </c>
      <c r="Y10" s="185">
        <f t="shared" si="5"/>
        <v>0</v>
      </c>
      <c r="Z10" s="185">
        <f t="shared" si="5"/>
        <v>0</v>
      </c>
      <c r="AA10" s="185">
        <f t="shared" si="5"/>
        <v>0</v>
      </c>
      <c r="AB10" s="185">
        <f t="shared" si="5"/>
        <v>0</v>
      </c>
      <c r="AC10" s="185">
        <f t="shared" si="5"/>
        <v>0</v>
      </c>
      <c r="AD10" s="185">
        <f t="shared" si="5"/>
        <v>0</v>
      </c>
      <c r="AE10" s="185">
        <f t="shared" si="5"/>
        <v>0</v>
      </c>
      <c r="AF10" s="185">
        <f t="shared" si="5"/>
        <v>0</v>
      </c>
      <c r="AG10" s="185">
        <f t="shared" si="5"/>
        <v>0</v>
      </c>
      <c r="AH10" s="185">
        <f t="shared" si="5"/>
        <v>0</v>
      </c>
      <c r="AI10" s="185">
        <f t="shared" si="5"/>
        <v>0</v>
      </c>
      <c r="AJ10" s="185">
        <f t="shared" si="5"/>
        <v>0</v>
      </c>
      <c r="AK10" s="185">
        <f t="shared" si="5"/>
        <v>0</v>
      </c>
      <c r="AL10" s="185">
        <f t="shared" si="5"/>
        <v>0</v>
      </c>
      <c r="AM10" s="185">
        <f t="shared" si="5"/>
        <v>0</v>
      </c>
      <c r="AN10" s="185">
        <f t="shared" si="5"/>
        <v>0</v>
      </c>
      <c r="AO10" s="185">
        <f t="shared" si="5"/>
        <v>0</v>
      </c>
      <c r="AP10" s="185">
        <f t="shared" si="5"/>
        <v>0</v>
      </c>
      <c r="AQ10" s="185">
        <f t="shared" si="5"/>
        <v>0</v>
      </c>
      <c r="AR10" s="185">
        <f t="shared" si="5"/>
        <v>0</v>
      </c>
      <c r="AS10" s="185">
        <f t="shared" si="5"/>
        <v>0</v>
      </c>
      <c r="AT10" s="185">
        <f t="shared" si="5"/>
        <v>0</v>
      </c>
      <c r="AU10" s="185">
        <f t="shared" si="5"/>
        <v>0</v>
      </c>
      <c r="AV10" s="185">
        <f t="shared" si="5"/>
        <v>0</v>
      </c>
      <c r="AW10" s="185">
        <f t="shared" si="5"/>
        <v>0</v>
      </c>
      <c r="AX10" s="185">
        <f t="shared" si="5"/>
        <v>0</v>
      </c>
      <c r="AY10" s="185">
        <f t="shared" si="5"/>
        <v>0</v>
      </c>
      <c r="AZ10" s="185">
        <f t="shared" si="5"/>
        <v>0</v>
      </c>
      <c r="BA10" s="185">
        <f t="shared" si="5"/>
        <v>0</v>
      </c>
      <c r="BB10" s="185">
        <f t="shared" si="5"/>
        <v>0</v>
      </c>
      <c r="BC10" s="185">
        <f t="shared" si="5"/>
        <v>0</v>
      </c>
      <c r="BD10" s="185">
        <f t="shared" si="5"/>
        <v>0</v>
      </c>
      <c r="BE10" s="185">
        <f t="shared" si="5"/>
        <v>0</v>
      </c>
      <c r="BF10" s="185">
        <f t="shared" si="5"/>
        <v>0</v>
      </c>
      <c r="BG10" s="185">
        <f t="shared" si="5"/>
        <v>0</v>
      </c>
      <c r="BH10" s="185">
        <f>BH11+BH15+BH16</f>
        <v>0</v>
      </c>
      <c r="BI10" s="185">
        <f>BI11+BI15+BI16</f>
        <v>0</v>
      </c>
      <c r="BJ10" s="185">
        <f>BJ11+BJ15+BJ16</f>
        <v>0</v>
      </c>
      <c r="BK10" s="185">
        <f>BK11+BK15+BK16</f>
        <v>0</v>
      </c>
      <c r="BL10" s="185">
        <f>N10+O10+S10+T10+U10+V10+BH10</f>
        <v>0</v>
      </c>
      <c r="BM10" s="185">
        <f>BM11+BM15+BM16</f>
        <v>0</v>
      </c>
      <c r="BN10" s="185">
        <f>BN11+BN15+BN16</f>
        <v>0</v>
      </c>
      <c r="BP10" s="123"/>
    </row>
    <row r="11" spans="1:68" ht="20.100000000000001" customHeight="1">
      <c r="A11" s="14" t="s">
        <v>213</v>
      </c>
      <c r="B11" s="14" t="s">
        <v>17</v>
      </c>
      <c r="C11" s="30" t="s">
        <v>18</v>
      </c>
      <c r="D11" s="185">
        <f>D12+D13+D14</f>
        <v>0</v>
      </c>
      <c r="E11" s="185">
        <f t="shared" si="4"/>
        <v>0</v>
      </c>
      <c r="F11" s="185">
        <f t="shared" ref="F11:F24" si="6">G11+N11</f>
        <v>0</v>
      </c>
      <c r="G11" s="185">
        <f>H11+L11+M11</f>
        <v>0</v>
      </c>
      <c r="H11" s="185">
        <f>D11-BL11</f>
        <v>0</v>
      </c>
      <c r="I11" s="185">
        <f>I12+I13+I14</f>
        <v>0</v>
      </c>
      <c r="J11" s="185">
        <f t="shared" ref="J11:BG11" si="7">J12+J13+J14</f>
        <v>0</v>
      </c>
      <c r="K11" s="185">
        <f t="shared" si="7"/>
        <v>0</v>
      </c>
      <c r="L11" s="185">
        <f t="shared" si="7"/>
        <v>0</v>
      </c>
      <c r="M11" s="185">
        <f t="shared" si="7"/>
        <v>0</v>
      </c>
      <c r="N11" s="185">
        <f t="shared" si="7"/>
        <v>0</v>
      </c>
      <c r="O11" s="185">
        <f t="shared" si="3"/>
        <v>0</v>
      </c>
      <c r="P11" s="185">
        <f t="shared" si="7"/>
        <v>0</v>
      </c>
      <c r="Q11" s="185">
        <f t="shared" si="7"/>
        <v>0</v>
      </c>
      <c r="R11" s="185">
        <f t="shared" si="7"/>
        <v>0</v>
      </c>
      <c r="S11" s="185">
        <f t="shared" si="7"/>
        <v>0</v>
      </c>
      <c r="T11" s="185">
        <f t="shared" si="7"/>
        <v>0</v>
      </c>
      <c r="U11" s="185">
        <f t="shared" si="7"/>
        <v>0</v>
      </c>
      <c r="V11" s="185">
        <f t="shared" si="7"/>
        <v>0</v>
      </c>
      <c r="W11" s="185">
        <f t="shared" si="7"/>
        <v>0</v>
      </c>
      <c r="X11" s="185">
        <f t="shared" si="7"/>
        <v>0</v>
      </c>
      <c r="Y11" s="185">
        <f t="shared" si="7"/>
        <v>0</v>
      </c>
      <c r="Z11" s="185">
        <f t="shared" si="7"/>
        <v>0</v>
      </c>
      <c r="AA11" s="185">
        <f t="shared" si="7"/>
        <v>0</v>
      </c>
      <c r="AB11" s="185">
        <f t="shared" si="7"/>
        <v>0</v>
      </c>
      <c r="AC11" s="185">
        <f t="shared" si="7"/>
        <v>0</v>
      </c>
      <c r="AD11" s="185">
        <f t="shared" si="7"/>
        <v>0</v>
      </c>
      <c r="AE11" s="185">
        <f t="shared" si="7"/>
        <v>0</v>
      </c>
      <c r="AF11" s="185">
        <f t="shared" si="7"/>
        <v>0</v>
      </c>
      <c r="AG11" s="185">
        <f t="shared" si="7"/>
        <v>0</v>
      </c>
      <c r="AH11" s="185">
        <f t="shared" si="7"/>
        <v>0</v>
      </c>
      <c r="AI11" s="185">
        <f t="shared" si="7"/>
        <v>0</v>
      </c>
      <c r="AJ11" s="185">
        <f t="shared" si="7"/>
        <v>0</v>
      </c>
      <c r="AK11" s="185">
        <f t="shared" si="7"/>
        <v>0</v>
      </c>
      <c r="AL11" s="185">
        <f t="shared" si="7"/>
        <v>0</v>
      </c>
      <c r="AM11" s="185">
        <f t="shared" si="7"/>
        <v>0</v>
      </c>
      <c r="AN11" s="185">
        <f t="shared" si="7"/>
        <v>0</v>
      </c>
      <c r="AO11" s="185">
        <f t="shared" si="7"/>
        <v>0</v>
      </c>
      <c r="AP11" s="185">
        <f t="shared" si="7"/>
        <v>0</v>
      </c>
      <c r="AQ11" s="185">
        <f t="shared" si="7"/>
        <v>0</v>
      </c>
      <c r="AR11" s="185">
        <f t="shared" si="7"/>
        <v>0</v>
      </c>
      <c r="AS11" s="185">
        <f t="shared" si="7"/>
        <v>0</v>
      </c>
      <c r="AT11" s="185">
        <f t="shared" si="7"/>
        <v>0</v>
      </c>
      <c r="AU11" s="185">
        <f t="shared" si="7"/>
        <v>0</v>
      </c>
      <c r="AV11" s="185">
        <f t="shared" si="7"/>
        <v>0</v>
      </c>
      <c r="AW11" s="185">
        <f t="shared" si="7"/>
        <v>0</v>
      </c>
      <c r="AX11" s="185">
        <f t="shared" si="7"/>
        <v>0</v>
      </c>
      <c r="AY11" s="185">
        <f t="shared" si="7"/>
        <v>0</v>
      </c>
      <c r="AZ11" s="185">
        <f t="shared" si="7"/>
        <v>0</v>
      </c>
      <c r="BA11" s="185">
        <f t="shared" si="7"/>
        <v>0</v>
      </c>
      <c r="BB11" s="185">
        <f t="shared" si="7"/>
        <v>0</v>
      </c>
      <c r="BC11" s="185">
        <f t="shared" si="7"/>
        <v>0</v>
      </c>
      <c r="BD11" s="185">
        <f t="shared" si="7"/>
        <v>0</v>
      </c>
      <c r="BE11" s="185">
        <f t="shared" si="7"/>
        <v>0</v>
      </c>
      <c r="BF11" s="185">
        <f t="shared" si="7"/>
        <v>0</v>
      </c>
      <c r="BG11" s="185">
        <f t="shared" si="7"/>
        <v>0</v>
      </c>
      <c r="BH11" s="185">
        <f>BH12+BH13+BH14</f>
        <v>0</v>
      </c>
      <c r="BI11" s="185">
        <f>BI12+BI13+BI14</f>
        <v>0</v>
      </c>
      <c r="BJ11" s="185">
        <f>BJ12+BJ13+BJ14</f>
        <v>0</v>
      </c>
      <c r="BK11" s="185">
        <f>BK12+BK13+BK14</f>
        <v>0</v>
      </c>
      <c r="BL11" s="185">
        <f>L11+M11+N11+S11+T11+U11+V11+BH11</f>
        <v>0</v>
      </c>
      <c r="BM11" s="185">
        <f>H67-BL11</f>
        <v>0</v>
      </c>
      <c r="BN11" s="185">
        <f>BN12+BN13+BN14</f>
        <v>0</v>
      </c>
      <c r="BP11" s="123"/>
    </row>
    <row r="12" spans="1:68" ht="20.100000000000001" customHeight="1">
      <c r="A12" s="14" t="s">
        <v>214</v>
      </c>
      <c r="B12" s="14" t="s">
        <v>473</v>
      </c>
      <c r="C12" s="30" t="s">
        <v>20</v>
      </c>
      <c r="D12" s="185"/>
      <c r="E12" s="185">
        <f t="shared" si="4"/>
        <v>0</v>
      </c>
      <c r="F12" s="185">
        <f t="shared" si="6"/>
        <v>0</v>
      </c>
      <c r="G12" s="185">
        <f t="shared" ref="G12:G66" si="8">H12+L12+M12</f>
        <v>0</v>
      </c>
      <c r="H12" s="185">
        <f>I12+J12+K12</f>
        <v>0</v>
      </c>
      <c r="I12" s="185">
        <f>D12-BL12</f>
        <v>0</v>
      </c>
      <c r="J12" s="185"/>
      <c r="K12" s="185"/>
      <c r="L12" s="185"/>
      <c r="M12" s="185"/>
      <c r="N12" s="185"/>
      <c r="O12" s="185">
        <f t="shared" si="3"/>
        <v>0</v>
      </c>
      <c r="P12" s="185"/>
      <c r="Q12" s="185"/>
      <c r="R12" s="185"/>
      <c r="S12" s="185"/>
      <c r="T12" s="185"/>
      <c r="U12" s="185"/>
      <c r="V12" s="185">
        <f>W12+X12+Y12+Z12+AA12+AB12+AC12+AD12+AE12+AQ12+AR12+AS12+AT12+AU12+AV12+AW12+AX12+AY12+AZ12+BA12+BB12+BC12+BD12+BE12+BF12+BG12</f>
        <v>0</v>
      </c>
      <c r="W12" s="185"/>
      <c r="X12" s="185"/>
      <c r="Y12" s="185"/>
      <c r="Z12" s="185"/>
      <c r="AA12" s="185"/>
      <c r="AB12" s="185"/>
      <c r="AC12" s="185"/>
      <c r="AD12" s="185"/>
      <c r="AE12" s="185">
        <f t="shared" ref="AE12:AE33" si="9">SUM(AF12:AP12)</f>
        <v>0</v>
      </c>
      <c r="AF12" s="185"/>
      <c r="AG12" s="185"/>
      <c r="AH12" s="185"/>
      <c r="AI12" s="185"/>
      <c r="AJ12" s="185"/>
      <c r="AK12" s="185"/>
      <c r="AL12" s="185"/>
      <c r="AM12" s="185"/>
      <c r="AN12" s="185"/>
      <c r="AO12" s="185"/>
      <c r="AP12" s="185"/>
      <c r="AQ12" s="185"/>
      <c r="AR12" s="185"/>
      <c r="AS12" s="185"/>
      <c r="AT12" s="185"/>
      <c r="AU12" s="185"/>
      <c r="AV12" s="185"/>
      <c r="AW12" s="185"/>
      <c r="AX12" s="185"/>
      <c r="AY12" s="185"/>
      <c r="AZ12" s="185"/>
      <c r="BA12" s="185"/>
      <c r="BB12" s="185"/>
      <c r="BC12" s="185"/>
      <c r="BD12" s="185"/>
      <c r="BE12" s="185"/>
      <c r="BF12" s="185"/>
      <c r="BG12" s="185"/>
      <c r="BH12" s="185">
        <f t="shared" ref="BH12:BH17" si="10">BI12+BJ12+BK12</f>
        <v>0</v>
      </c>
      <c r="BI12" s="185"/>
      <c r="BJ12" s="185"/>
      <c r="BK12" s="185"/>
      <c r="BL12" s="185">
        <f>J12+K12+L12+M12+N12+O12+S12+T12+U12+V12+BH12</f>
        <v>0</v>
      </c>
      <c r="BM12" s="185">
        <f>I67-BL12</f>
        <v>0</v>
      </c>
      <c r="BN12" s="185">
        <f t="shared" ref="BN12:BN17" si="11">D12+BM12</f>
        <v>0</v>
      </c>
      <c r="BP12" s="123"/>
    </row>
    <row r="13" spans="1:68" ht="20.100000000000001" customHeight="1">
      <c r="A13" s="14" t="s">
        <v>215</v>
      </c>
      <c r="B13" s="14" t="s">
        <v>474</v>
      </c>
      <c r="C13" s="30" t="s">
        <v>195</v>
      </c>
      <c r="D13" s="185"/>
      <c r="E13" s="185">
        <f t="shared" si="4"/>
        <v>0</v>
      </c>
      <c r="F13" s="185">
        <f t="shared" si="6"/>
        <v>0</v>
      </c>
      <c r="G13" s="185">
        <f t="shared" si="8"/>
        <v>0</v>
      </c>
      <c r="H13" s="185">
        <f t="shared" ref="H13:H66" si="12">I13+J13+K13</f>
        <v>0</v>
      </c>
      <c r="I13" s="185"/>
      <c r="J13" s="185">
        <f>D13-BL13</f>
        <v>0</v>
      </c>
      <c r="K13" s="185"/>
      <c r="L13" s="185"/>
      <c r="M13" s="185"/>
      <c r="N13" s="185"/>
      <c r="O13" s="185">
        <f t="shared" si="3"/>
        <v>0</v>
      </c>
      <c r="P13" s="185"/>
      <c r="Q13" s="185"/>
      <c r="R13" s="185"/>
      <c r="S13" s="185"/>
      <c r="T13" s="185"/>
      <c r="U13" s="185"/>
      <c r="V13" s="185">
        <f t="shared" ref="V13:V66" si="13">W13+X13+Y13+Z13+AA13+AB13+AC13+AD13+AE13+AQ13+AR13+AS13+AT13+AU13+AV13+AW13+AX13+AY13+AZ13+BA13+BB13+BC13+BD13+BE13+BF13+BG13</f>
        <v>0</v>
      </c>
      <c r="W13" s="185"/>
      <c r="X13" s="185"/>
      <c r="Y13" s="185"/>
      <c r="Z13" s="185"/>
      <c r="AA13" s="185"/>
      <c r="AB13" s="185"/>
      <c r="AC13" s="185"/>
      <c r="AD13" s="185"/>
      <c r="AE13" s="185">
        <f t="shared" si="9"/>
        <v>0</v>
      </c>
      <c r="AF13" s="185"/>
      <c r="AG13" s="185"/>
      <c r="AH13" s="185"/>
      <c r="AI13" s="185"/>
      <c r="AJ13" s="185"/>
      <c r="AK13" s="185"/>
      <c r="AL13" s="185"/>
      <c r="AM13" s="185"/>
      <c r="AN13" s="185"/>
      <c r="AO13" s="185"/>
      <c r="AP13" s="185"/>
      <c r="AQ13" s="185"/>
      <c r="AR13" s="185"/>
      <c r="AS13" s="185"/>
      <c r="AT13" s="185"/>
      <c r="AU13" s="185"/>
      <c r="AV13" s="185"/>
      <c r="AW13" s="185"/>
      <c r="AX13" s="185"/>
      <c r="AY13" s="185"/>
      <c r="AZ13" s="185"/>
      <c r="BA13" s="185"/>
      <c r="BB13" s="185"/>
      <c r="BC13" s="185"/>
      <c r="BD13" s="185"/>
      <c r="BE13" s="185"/>
      <c r="BF13" s="185"/>
      <c r="BG13" s="185"/>
      <c r="BH13" s="185">
        <f t="shared" si="10"/>
        <v>0</v>
      </c>
      <c r="BI13" s="185"/>
      <c r="BJ13" s="185"/>
      <c r="BK13" s="185"/>
      <c r="BL13" s="185">
        <f>I13+K13+L13+M13+N13+O13+S13+T13+U13+V13+BH13</f>
        <v>0</v>
      </c>
      <c r="BM13" s="185">
        <f>J67-BL13</f>
        <v>0</v>
      </c>
      <c r="BN13" s="185">
        <f t="shared" si="11"/>
        <v>0</v>
      </c>
      <c r="BP13" s="123"/>
    </row>
    <row r="14" spans="1:68" ht="20.100000000000001" customHeight="1">
      <c r="A14" s="14" t="s">
        <v>216</v>
      </c>
      <c r="B14" s="14" t="s">
        <v>475</v>
      </c>
      <c r="C14" s="30" t="s">
        <v>196</v>
      </c>
      <c r="D14" s="185"/>
      <c r="E14" s="185">
        <f t="shared" si="4"/>
        <v>0</v>
      </c>
      <c r="F14" s="185">
        <f t="shared" si="6"/>
        <v>0</v>
      </c>
      <c r="G14" s="185">
        <f t="shared" si="8"/>
        <v>0</v>
      </c>
      <c r="H14" s="185">
        <f t="shared" si="12"/>
        <v>0</v>
      </c>
      <c r="I14" s="185"/>
      <c r="J14" s="185"/>
      <c r="K14" s="185">
        <f>D14-BL14</f>
        <v>0</v>
      </c>
      <c r="L14" s="185"/>
      <c r="M14" s="185"/>
      <c r="N14" s="185"/>
      <c r="O14" s="185">
        <f t="shared" si="3"/>
        <v>0</v>
      </c>
      <c r="P14" s="185"/>
      <c r="Q14" s="185"/>
      <c r="R14" s="185"/>
      <c r="S14" s="185"/>
      <c r="T14" s="185"/>
      <c r="U14" s="185"/>
      <c r="V14" s="185">
        <f t="shared" si="13"/>
        <v>0</v>
      </c>
      <c r="W14" s="185"/>
      <c r="X14" s="185"/>
      <c r="Y14" s="185"/>
      <c r="Z14" s="185"/>
      <c r="AA14" s="185"/>
      <c r="AB14" s="185"/>
      <c r="AC14" s="185"/>
      <c r="AD14" s="185"/>
      <c r="AE14" s="185">
        <f t="shared" si="9"/>
        <v>0</v>
      </c>
      <c r="AF14" s="185"/>
      <c r="AG14" s="185"/>
      <c r="AH14" s="185"/>
      <c r="AI14" s="185"/>
      <c r="AJ14" s="185"/>
      <c r="AK14" s="185"/>
      <c r="AL14" s="185"/>
      <c r="AM14" s="185"/>
      <c r="AN14" s="185"/>
      <c r="AO14" s="185"/>
      <c r="AP14" s="185"/>
      <c r="AQ14" s="185"/>
      <c r="AR14" s="185"/>
      <c r="AS14" s="185"/>
      <c r="AT14" s="185"/>
      <c r="AU14" s="185"/>
      <c r="AV14" s="185"/>
      <c r="AW14" s="185"/>
      <c r="AX14" s="185"/>
      <c r="AY14" s="185"/>
      <c r="AZ14" s="185"/>
      <c r="BA14" s="185"/>
      <c r="BB14" s="185"/>
      <c r="BC14" s="185"/>
      <c r="BD14" s="185"/>
      <c r="BE14" s="185"/>
      <c r="BF14" s="185"/>
      <c r="BG14" s="185"/>
      <c r="BH14" s="185">
        <f t="shared" si="10"/>
        <v>0</v>
      </c>
      <c r="BI14" s="185"/>
      <c r="BJ14" s="185"/>
      <c r="BK14" s="185"/>
      <c r="BL14" s="185">
        <f>I14+J14+L14+M14+N14+O14+S14+T14+U14+V14+BH14</f>
        <v>0</v>
      </c>
      <c r="BM14" s="185">
        <f>K67-BL14</f>
        <v>0</v>
      </c>
      <c r="BN14" s="185">
        <f t="shared" si="11"/>
        <v>0</v>
      </c>
      <c r="BP14" s="123"/>
    </row>
    <row r="15" spans="1:68" ht="20.100000000000001" customHeight="1">
      <c r="A15" s="14" t="s">
        <v>217</v>
      </c>
      <c r="B15" s="14" t="s">
        <v>476</v>
      </c>
      <c r="C15" s="30" t="s">
        <v>197</v>
      </c>
      <c r="D15" s="185"/>
      <c r="E15" s="185">
        <f t="shared" si="4"/>
        <v>0</v>
      </c>
      <c r="F15" s="185">
        <f t="shared" si="6"/>
        <v>0</v>
      </c>
      <c r="G15" s="185">
        <f t="shared" si="8"/>
        <v>0</v>
      </c>
      <c r="H15" s="185">
        <f t="shared" si="12"/>
        <v>0</v>
      </c>
      <c r="I15" s="185"/>
      <c r="J15" s="185"/>
      <c r="K15" s="185"/>
      <c r="L15" s="185">
        <f>D15-BL15</f>
        <v>0</v>
      </c>
      <c r="M15" s="185"/>
      <c r="N15" s="185"/>
      <c r="O15" s="185">
        <f t="shared" si="3"/>
        <v>0</v>
      </c>
      <c r="P15" s="185"/>
      <c r="Q15" s="185"/>
      <c r="R15" s="185"/>
      <c r="S15" s="185"/>
      <c r="T15" s="185"/>
      <c r="U15" s="185"/>
      <c r="V15" s="185">
        <f t="shared" si="13"/>
        <v>0</v>
      </c>
      <c r="W15" s="185"/>
      <c r="X15" s="185"/>
      <c r="Y15" s="185"/>
      <c r="Z15" s="185"/>
      <c r="AA15" s="185"/>
      <c r="AB15" s="185"/>
      <c r="AC15" s="185"/>
      <c r="AD15" s="185"/>
      <c r="AE15" s="185">
        <f t="shared" si="9"/>
        <v>0</v>
      </c>
      <c r="AF15" s="185"/>
      <c r="AG15" s="185"/>
      <c r="AH15" s="185"/>
      <c r="AI15" s="185"/>
      <c r="AJ15" s="185"/>
      <c r="AK15" s="185"/>
      <c r="AL15" s="185"/>
      <c r="AM15" s="185"/>
      <c r="AN15" s="185"/>
      <c r="AO15" s="185"/>
      <c r="AP15" s="185"/>
      <c r="AQ15" s="185"/>
      <c r="AR15" s="185"/>
      <c r="AS15" s="185"/>
      <c r="AT15" s="185"/>
      <c r="AU15" s="185"/>
      <c r="AV15" s="185"/>
      <c r="AW15" s="185"/>
      <c r="AX15" s="185"/>
      <c r="AY15" s="185"/>
      <c r="AZ15" s="185"/>
      <c r="BA15" s="185"/>
      <c r="BB15" s="185"/>
      <c r="BC15" s="185"/>
      <c r="BD15" s="185"/>
      <c r="BE15" s="185"/>
      <c r="BF15" s="185"/>
      <c r="BG15" s="185"/>
      <c r="BH15" s="185">
        <f t="shared" si="10"/>
        <v>0</v>
      </c>
      <c r="BI15" s="185"/>
      <c r="BJ15" s="185"/>
      <c r="BK15" s="185"/>
      <c r="BL15" s="185">
        <f>H15+M15+N15+O15+S15+T15+U15+V15+BH15</f>
        <v>0</v>
      </c>
      <c r="BM15" s="185">
        <f>L67-BL15</f>
        <v>0</v>
      </c>
      <c r="BN15" s="185">
        <f t="shared" si="11"/>
        <v>0</v>
      </c>
      <c r="BP15" s="123"/>
    </row>
    <row r="16" spans="1:68" ht="20.100000000000001" customHeight="1">
      <c r="A16" s="14" t="s">
        <v>218</v>
      </c>
      <c r="B16" s="14" t="s">
        <v>22</v>
      </c>
      <c r="C16" s="30" t="s">
        <v>23</v>
      </c>
      <c r="D16" s="185"/>
      <c r="E16" s="185">
        <f t="shared" si="4"/>
        <v>0</v>
      </c>
      <c r="F16" s="185">
        <f t="shared" si="6"/>
        <v>0</v>
      </c>
      <c r="G16" s="185">
        <f t="shared" si="8"/>
        <v>0</v>
      </c>
      <c r="H16" s="185">
        <f t="shared" si="12"/>
        <v>0</v>
      </c>
      <c r="I16" s="185"/>
      <c r="J16" s="185"/>
      <c r="K16" s="185"/>
      <c r="L16" s="185"/>
      <c r="M16" s="185">
        <f>D16-BL16</f>
        <v>0</v>
      </c>
      <c r="N16" s="185"/>
      <c r="O16" s="185">
        <f t="shared" si="3"/>
        <v>0</v>
      </c>
      <c r="P16" s="185"/>
      <c r="Q16" s="185"/>
      <c r="R16" s="185"/>
      <c r="S16" s="185"/>
      <c r="T16" s="185"/>
      <c r="U16" s="185"/>
      <c r="V16" s="185">
        <f t="shared" si="13"/>
        <v>0</v>
      </c>
      <c r="W16" s="185"/>
      <c r="X16" s="185"/>
      <c r="Y16" s="185"/>
      <c r="Z16" s="185"/>
      <c r="AA16" s="185"/>
      <c r="AB16" s="185"/>
      <c r="AC16" s="185"/>
      <c r="AD16" s="185"/>
      <c r="AE16" s="185">
        <f t="shared" si="9"/>
        <v>0</v>
      </c>
      <c r="AF16" s="185"/>
      <c r="AG16" s="185"/>
      <c r="AH16" s="185"/>
      <c r="AI16" s="185"/>
      <c r="AJ16" s="185"/>
      <c r="AK16" s="185"/>
      <c r="AL16" s="185"/>
      <c r="AM16" s="185"/>
      <c r="AN16" s="185"/>
      <c r="AO16" s="185"/>
      <c r="AP16" s="185"/>
      <c r="AQ16" s="185"/>
      <c r="AR16" s="185"/>
      <c r="AS16" s="185"/>
      <c r="AT16" s="185"/>
      <c r="AU16" s="185"/>
      <c r="AV16" s="185"/>
      <c r="AW16" s="185"/>
      <c r="AX16" s="185"/>
      <c r="AY16" s="185"/>
      <c r="AZ16" s="185"/>
      <c r="BA16" s="185"/>
      <c r="BB16" s="185"/>
      <c r="BC16" s="185"/>
      <c r="BD16" s="185"/>
      <c r="BE16" s="185"/>
      <c r="BF16" s="185"/>
      <c r="BG16" s="185"/>
      <c r="BH16" s="185">
        <f t="shared" si="10"/>
        <v>0</v>
      </c>
      <c r="BI16" s="185"/>
      <c r="BJ16" s="185"/>
      <c r="BK16" s="185"/>
      <c r="BL16" s="185">
        <f>H16+L16+N16+S16+T16+U16+V16+BH16</f>
        <v>0</v>
      </c>
      <c r="BM16" s="185">
        <f>M67-BL16</f>
        <v>0</v>
      </c>
      <c r="BN16" s="185">
        <f t="shared" si="11"/>
        <v>0</v>
      </c>
      <c r="BP16" s="123"/>
    </row>
    <row r="17" spans="1:68" ht="20.100000000000001" customHeight="1">
      <c r="A17" s="14" t="s">
        <v>219</v>
      </c>
      <c r="B17" s="14" t="s">
        <v>25</v>
      </c>
      <c r="C17" s="30" t="s">
        <v>26</v>
      </c>
      <c r="D17" s="185">
        <f>#REF!</f>
        <v>3.88</v>
      </c>
      <c r="E17" s="185">
        <f t="shared" si="4"/>
        <v>3.58</v>
      </c>
      <c r="F17" s="185">
        <f t="shared" si="6"/>
        <v>3.58</v>
      </c>
      <c r="G17" s="185">
        <f t="shared" si="8"/>
        <v>0</v>
      </c>
      <c r="H17" s="185">
        <f t="shared" si="12"/>
        <v>0</v>
      </c>
      <c r="I17" s="185"/>
      <c r="J17" s="185"/>
      <c r="K17" s="185"/>
      <c r="L17" s="185"/>
      <c r="M17" s="185"/>
      <c r="N17" s="185">
        <f>D17-BL17</f>
        <v>3.58</v>
      </c>
      <c r="O17" s="185">
        <f t="shared" si="3"/>
        <v>0</v>
      </c>
      <c r="P17" s="185"/>
      <c r="Q17" s="185"/>
      <c r="R17" s="185"/>
      <c r="S17" s="185"/>
      <c r="T17" s="185"/>
      <c r="U17" s="185"/>
      <c r="V17" s="185">
        <f t="shared" si="13"/>
        <v>0.3</v>
      </c>
      <c r="W17" s="185"/>
      <c r="X17" s="185"/>
      <c r="Y17" s="185"/>
      <c r="Z17" s="185"/>
      <c r="AA17" s="185"/>
      <c r="AB17" s="185"/>
      <c r="AC17" s="185"/>
      <c r="AD17" s="185"/>
      <c r="AE17" s="185">
        <f t="shared" si="9"/>
        <v>0</v>
      </c>
      <c r="AF17" s="185"/>
      <c r="AG17" s="185"/>
      <c r="AH17" s="185"/>
      <c r="AI17" s="185"/>
      <c r="AJ17" s="185"/>
      <c r="AK17" s="185"/>
      <c r="AL17" s="185"/>
      <c r="AM17" s="185"/>
      <c r="AN17" s="185"/>
      <c r="AO17" s="185"/>
      <c r="AP17" s="185"/>
      <c r="AQ17" s="185"/>
      <c r="AR17" s="185"/>
      <c r="AS17" s="185"/>
      <c r="AT17" s="185"/>
      <c r="AU17" s="185">
        <v>0.3</v>
      </c>
      <c r="AV17" s="185"/>
      <c r="AW17" s="185"/>
      <c r="AX17" s="185"/>
      <c r="AY17" s="185"/>
      <c r="AZ17" s="185"/>
      <c r="BA17" s="185"/>
      <c r="BB17" s="185"/>
      <c r="BC17" s="185"/>
      <c r="BD17" s="185"/>
      <c r="BE17" s="185"/>
      <c r="BF17" s="185"/>
      <c r="BG17" s="185"/>
      <c r="BH17" s="185">
        <f t="shared" si="10"/>
        <v>0</v>
      </c>
      <c r="BI17" s="185"/>
      <c r="BJ17" s="185"/>
      <c r="BK17" s="185"/>
      <c r="BL17" s="185">
        <f>H17+L17+M17+O17+S17+T17+U17+V17+BH17</f>
        <v>0.3</v>
      </c>
      <c r="BM17" s="185">
        <f>N67-BL17</f>
        <v>-0.3</v>
      </c>
      <c r="BN17" s="185">
        <f t="shared" si="11"/>
        <v>3.58</v>
      </c>
      <c r="BP17" s="123"/>
    </row>
    <row r="18" spans="1:68" ht="20.100000000000001" customHeight="1">
      <c r="A18" s="14" t="s">
        <v>21</v>
      </c>
      <c r="B18" s="14" t="s">
        <v>477</v>
      </c>
      <c r="C18" s="30" t="s">
        <v>198</v>
      </c>
      <c r="D18" s="185">
        <f>D19+D20+D21</f>
        <v>0</v>
      </c>
      <c r="E18" s="185">
        <f t="shared" si="4"/>
        <v>0</v>
      </c>
      <c r="F18" s="185">
        <f t="shared" si="6"/>
        <v>0</v>
      </c>
      <c r="G18" s="185">
        <f t="shared" si="8"/>
        <v>0</v>
      </c>
      <c r="H18" s="185">
        <f t="shared" si="12"/>
        <v>0</v>
      </c>
      <c r="I18" s="185">
        <f t="shared" ref="I18:N18" si="14">I19+I20+I21</f>
        <v>0</v>
      </c>
      <c r="J18" s="185">
        <f t="shared" si="14"/>
        <v>0</v>
      </c>
      <c r="K18" s="185">
        <f t="shared" si="14"/>
        <v>0</v>
      </c>
      <c r="L18" s="185">
        <f t="shared" si="14"/>
        <v>0</v>
      </c>
      <c r="M18" s="185">
        <f t="shared" si="14"/>
        <v>0</v>
      </c>
      <c r="N18" s="185">
        <f t="shared" si="14"/>
        <v>0</v>
      </c>
      <c r="O18" s="185">
        <f>D18-BL18</f>
        <v>0</v>
      </c>
      <c r="P18" s="185">
        <f t="shared" ref="P18:BG18" si="15">P19+P20+P21</f>
        <v>0</v>
      </c>
      <c r="Q18" s="185">
        <f t="shared" si="15"/>
        <v>0</v>
      </c>
      <c r="R18" s="185">
        <f t="shared" si="15"/>
        <v>0</v>
      </c>
      <c r="S18" s="185">
        <f t="shared" si="15"/>
        <v>0</v>
      </c>
      <c r="T18" s="185">
        <f t="shared" si="15"/>
        <v>0</v>
      </c>
      <c r="U18" s="185">
        <f t="shared" si="15"/>
        <v>0</v>
      </c>
      <c r="V18" s="185">
        <f t="shared" si="15"/>
        <v>0</v>
      </c>
      <c r="W18" s="185">
        <f t="shared" si="15"/>
        <v>0</v>
      </c>
      <c r="X18" s="185">
        <f t="shared" si="15"/>
        <v>0</v>
      </c>
      <c r="Y18" s="185">
        <f t="shared" si="15"/>
        <v>0</v>
      </c>
      <c r="Z18" s="185">
        <f t="shared" si="15"/>
        <v>0</v>
      </c>
      <c r="AA18" s="185">
        <f t="shared" si="15"/>
        <v>0</v>
      </c>
      <c r="AB18" s="185">
        <f t="shared" si="15"/>
        <v>0</v>
      </c>
      <c r="AC18" s="185">
        <f t="shared" si="15"/>
        <v>0</v>
      </c>
      <c r="AD18" s="185">
        <f t="shared" si="15"/>
        <v>0</v>
      </c>
      <c r="AE18" s="185">
        <f t="shared" si="15"/>
        <v>0</v>
      </c>
      <c r="AF18" s="185">
        <f t="shared" si="15"/>
        <v>0</v>
      </c>
      <c r="AG18" s="185">
        <f t="shared" si="15"/>
        <v>0</v>
      </c>
      <c r="AH18" s="185">
        <f t="shared" si="15"/>
        <v>0</v>
      </c>
      <c r="AI18" s="185">
        <f t="shared" si="15"/>
        <v>0</v>
      </c>
      <c r="AJ18" s="185">
        <f t="shared" si="15"/>
        <v>0</v>
      </c>
      <c r="AK18" s="185">
        <f t="shared" si="15"/>
        <v>0</v>
      </c>
      <c r="AL18" s="185">
        <f t="shared" si="15"/>
        <v>0</v>
      </c>
      <c r="AM18" s="185">
        <f t="shared" si="15"/>
        <v>0</v>
      </c>
      <c r="AN18" s="185">
        <f t="shared" si="15"/>
        <v>0</v>
      </c>
      <c r="AO18" s="185">
        <f t="shared" si="15"/>
        <v>0</v>
      </c>
      <c r="AP18" s="185">
        <f t="shared" si="15"/>
        <v>0</v>
      </c>
      <c r="AQ18" s="185">
        <f t="shared" si="15"/>
        <v>0</v>
      </c>
      <c r="AR18" s="185">
        <f t="shared" si="15"/>
        <v>0</v>
      </c>
      <c r="AS18" s="185">
        <f t="shared" si="15"/>
        <v>0</v>
      </c>
      <c r="AT18" s="185">
        <f t="shared" si="15"/>
        <v>0</v>
      </c>
      <c r="AU18" s="185">
        <f t="shared" si="15"/>
        <v>0</v>
      </c>
      <c r="AV18" s="185">
        <f t="shared" si="15"/>
        <v>0</v>
      </c>
      <c r="AW18" s="185">
        <f t="shared" si="15"/>
        <v>0</v>
      </c>
      <c r="AX18" s="185">
        <f t="shared" si="15"/>
        <v>0</v>
      </c>
      <c r="AY18" s="185">
        <f t="shared" si="15"/>
        <v>0</v>
      </c>
      <c r="AZ18" s="185">
        <f t="shared" si="15"/>
        <v>0</v>
      </c>
      <c r="BA18" s="185">
        <f t="shared" si="15"/>
        <v>0</v>
      </c>
      <c r="BB18" s="185">
        <f t="shared" si="15"/>
        <v>0</v>
      </c>
      <c r="BC18" s="185">
        <f t="shared" si="15"/>
        <v>0</v>
      </c>
      <c r="BD18" s="185">
        <f t="shared" si="15"/>
        <v>0</v>
      </c>
      <c r="BE18" s="185">
        <f t="shared" si="15"/>
        <v>0</v>
      </c>
      <c r="BF18" s="185">
        <f t="shared" si="15"/>
        <v>0</v>
      </c>
      <c r="BG18" s="185">
        <f t="shared" si="15"/>
        <v>0</v>
      </c>
      <c r="BH18" s="185">
        <f>BH19+BH20+BH21</f>
        <v>0</v>
      </c>
      <c r="BI18" s="185">
        <f>BI19+BI20+BI21</f>
        <v>0</v>
      </c>
      <c r="BJ18" s="185">
        <f>BJ19+BJ20+BJ21</f>
        <v>0</v>
      </c>
      <c r="BK18" s="185">
        <f>BK19+BK20+BK21</f>
        <v>0</v>
      </c>
      <c r="BL18" s="185">
        <f>F18+S18+T18+U18+BH18+V18</f>
        <v>0</v>
      </c>
      <c r="BM18" s="185">
        <f>O67-BL18</f>
        <v>0</v>
      </c>
      <c r="BN18" s="185">
        <f>BN19+BN20+BN21</f>
        <v>0</v>
      </c>
      <c r="BP18" s="123"/>
    </row>
    <row r="19" spans="1:68" ht="20.100000000000001" customHeight="1">
      <c r="A19" s="14" t="s">
        <v>182</v>
      </c>
      <c r="B19" s="14" t="s">
        <v>28</v>
      </c>
      <c r="C19" s="30" t="s">
        <v>29</v>
      </c>
      <c r="D19" s="185"/>
      <c r="E19" s="185">
        <f>F19+O19+S19+T19+U19</f>
        <v>0</v>
      </c>
      <c r="F19" s="185">
        <f>G19+N19</f>
        <v>0</v>
      </c>
      <c r="G19" s="185">
        <f>H19+L19+M19</f>
        <v>0</v>
      </c>
      <c r="H19" s="185">
        <f t="shared" si="12"/>
        <v>0</v>
      </c>
      <c r="I19" s="185"/>
      <c r="J19" s="185"/>
      <c r="K19" s="185"/>
      <c r="L19" s="185"/>
      <c r="M19" s="185"/>
      <c r="N19" s="185"/>
      <c r="O19" s="185">
        <f t="shared" ref="O19:O24" si="16">P19+Q19+R19</f>
        <v>0</v>
      </c>
      <c r="P19" s="185">
        <f>D19-BL19</f>
        <v>0</v>
      </c>
      <c r="Q19" s="185"/>
      <c r="R19" s="185"/>
      <c r="S19" s="185"/>
      <c r="T19" s="185"/>
      <c r="U19" s="185"/>
      <c r="V19" s="185">
        <f t="shared" si="13"/>
        <v>0</v>
      </c>
      <c r="W19" s="185"/>
      <c r="X19" s="185"/>
      <c r="Y19" s="185"/>
      <c r="Z19" s="185"/>
      <c r="AA19" s="185"/>
      <c r="AB19" s="185"/>
      <c r="AC19" s="185"/>
      <c r="AD19" s="185"/>
      <c r="AE19" s="185">
        <f t="shared" si="9"/>
        <v>0</v>
      </c>
      <c r="AF19" s="185"/>
      <c r="AG19" s="185"/>
      <c r="AH19" s="185"/>
      <c r="AI19" s="185"/>
      <c r="AJ19" s="185"/>
      <c r="AK19" s="185"/>
      <c r="AL19" s="185"/>
      <c r="AM19" s="185"/>
      <c r="AN19" s="185"/>
      <c r="AO19" s="185"/>
      <c r="AP19" s="185"/>
      <c r="AQ19" s="185"/>
      <c r="AR19" s="185"/>
      <c r="AS19" s="185"/>
      <c r="AT19" s="185"/>
      <c r="AU19" s="185"/>
      <c r="AV19" s="185"/>
      <c r="AW19" s="185"/>
      <c r="AX19" s="185"/>
      <c r="AY19" s="185"/>
      <c r="AZ19" s="185"/>
      <c r="BA19" s="185"/>
      <c r="BB19" s="185"/>
      <c r="BC19" s="185"/>
      <c r="BD19" s="185"/>
      <c r="BE19" s="185"/>
      <c r="BF19" s="185"/>
      <c r="BG19" s="185"/>
      <c r="BH19" s="185">
        <f t="shared" ref="BH19:BH24" si="17">BI19+BJ19+BK19</f>
        <v>0</v>
      </c>
      <c r="BI19" s="185"/>
      <c r="BJ19" s="185"/>
      <c r="BK19" s="185"/>
      <c r="BL19" s="185">
        <f>F19+Q19+R19+S19+T19+U19+V19+BH19</f>
        <v>0</v>
      </c>
      <c r="BM19" s="185">
        <f>P67-BL19</f>
        <v>0</v>
      </c>
      <c r="BN19" s="185">
        <f t="shared" ref="BN19:BN24" si="18">D19+BM19</f>
        <v>0</v>
      </c>
      <c r="BP19" s="123"/>
    </row>
    <row r="20" spans="1:68" ht="20.100000000000001" customHeight="1">
      <c r="A20" s="14" t="s">
        <v>183</v>
      </c>
      <c r="B20" s="14" t="s">
        <v>31</v>
      </c>
      <c r="C20" s="30" t="s">
        <v>32</v>
      </c>
      <c r="D20" s="185"/>
      <c r="E20" s="185">
        <f t="shared" si="4"/>
        <v>0</v>
      </c>
      <c r="F20" s="185">
        <f t="shared" si="6"/>
        <v>0</v>
      </c>
      <c r="G20" s="185">
        <f t="shared" si="8"/>
        <v>0</v>
      </c>
      <c r="H20" s="185">
        <f t="shared" si="12"/>
        <v>0</v>
      </c>
      <c r="I20" s="185"/>
      <c r="J20" s="185"/>
      <c r="K20" s="185"/>
      <c r="L20" s="185"/>
      <c r="M20" s="185"/>
      <c r="N20" s="185"/>
      <c r="O20" s="185">
        <f t="shared" si="16"/>
        <v>0</v>
      </c>
      <c r="P20" s="185"/>
      <c r="Q20" s="185">
        <f>D20-BL20</f>
        <v>0</v>
      </c>
      <c r="R20" s="185"/>
      <c r="S20" s="185"/>
      <c r="T20" s="185"/>
      <c r="U20" s="185"/>
      <c r="V20" s="185">
        <f t="shared" si="13"/>
        <v>0</v>
      </c>
      <c r="W20" s="185"/>
      <c r="X20" s="185"/>
      <c r="Y20" s="185"/>
      <c r="Z20" s="185"/>
      <c r="AA20" s="185"/>
      <c r="AB20" s="185"/>
      <c r="AC20" s="185"/>
      <c r="AD20" s="185"/>
      <c r="AE20" s="185">
        <f t="shared" si="9"/>
        <v>0</v>
      </c>
      <c r="AF20" s="185"/>
      <c r="AG20" s="185"/>
      <c r="AH20" s="185"/>
      <c r="AI20" s="185"/>
      <c r="AJ20" s="185"/>
      <c r="AK20" s="185"/>
      <c r="AL20" s="185"/>
      <c r="AM20" s="185"/>
      <c r="AN20" s="185"/>
      <c r="AO20" s="185"/>
      <c r="AP20" s="185"/>
      <c r="AQ20" s="185"/>
      <c r="AR20" s="185"/>
      <c r="AS20" s="185"/>
      <c r="AT20" s="185"/>
      <c r="AU20" s="185"/>
      <c r="AV20" s="185"/>
      <c r="AW20" s="185"/>
      <c r="AX20" s="185"/>
      <c r="AY20" s="185"/>
      <c r="AZ20" s="185"/>
      <c r="BA20" s="185"/>
      <c r="BB20" s="185"/>
      <c r="BC20" s="185"/>
      <c r="BD20" s="185"/>
      <c r="BE20" s="185"/>
      <c r="BF20" s="185"/>
      <c r="BG20" s="185"/>
      <c r="BH20" s="185">
        <f t="shared" si="17"/>
        <v>0</v>
      </c>
      <c r="BI20" s="185"/>
      <c r="BJ20" s="185"/>
      <c r="BK20" s="185"/>
      <c r="BL20" s="185">
        <f>F20+P20+R20+S20+T20+U20+V20+BH20</f>
        <v>0</v>
      </c>
      <c r="BM20" s="185">
        <f>Q67-BL20</f>
        <v>0</v>
      </c>
      <c r="BN20" s="185">
        <f t="shared" si="18"/>
        <v>0</v>
      </c>
      <c r="BP20" s="123"/>
    </row>
    <row r="21" spans="1:68" ht="20.100000000000001" customHeight="1">
      <c r="A21" s="14" t="s">
        <v>184</v>
      </c>
      <c r="B21" s="14" t="s">
        <v>34</v>
      </c>
      <c r="C21" s="30" t="s">
        <v>35</v>
      </c>
      <c r="D21" s="185"/>
      <c r="E21" s="185">
        <f t="shared" si="4"/>
        <v>0</v>
      </c>
      <c r="F21" s="185">
        <f>G21+N21</f>
        <v>0</v>
      </c>
      <c r="G21" s="185">
        <f t="shared" si="8"/>
        <v>0</v>
      </c>
      <c r="H21" s="185">
        <f t="shared" si="12"/>
        <v>0</v>
      </c>
      <c r="I21" s="185"/>
      <c r="J21" s="185"/>
      <c r="K21" s="185"/>
      <c r="L21" s="185"/>
      <c r="M21" s="185"/>
      <c r="N21" s="185"/>
      <c r="O21" s="185">
        <f t="shared" si="16"/>
        <v>0</v>
      </c>
      <c r="P21" s="185"/>
      <c r="Q21" s="185"/>
      <c r="R21" s="185">
        <f>D21-BL21</f>
        <v>0</v>
      </c>
      <c r="S21" s="185"/>
      <c r="T21" s="185"/>
      <c r="U21" s="185"/>
      <c r="V21" s="185">
        <f t="shared" si="13"/>
        <v>0</v>
      </c>
      <c r="W21" s="185"/>
      <c r="X21" s="185"/>
      <c r="Y21" s="185"/>
      <c r="Z21" s="185"/>
      <c r="AA21" s="185"/>
      <c r="AB21" s="185"/>
      <c r="AC21" s="185"/>
      <c r="AD21" s="185"/>
      <c r="AE21" s="185">
        <f t="shared" si="9"/>
        <v>0</v>
      </c>
      <c r="AF21" s="185"/>
      <c r="AG21" s="185"/>
      <c r="AH21" s="185"/>
      <c r="AI21" s="185"/>
      <c r="AJ21" s="185"/>
      <c r="AK21" s="185"/>
      <c r="AL21" s="185"/>
      <c r="AM21" s="185"/>
      <c r="AN21" s="185"/>
      <c r="AO21" s="185"/>
      <c r="AP21" s="185"/>
      <c r="AQ21" s="185"/>
      <c r="AR21" s="185"/>
      <c r="AS21" s="185"/>
      <c r="AT21" s="185"/>
      <c r="AU21" s="185"/>
      <c r="AV21" s="185"/>
      <c r="AW21" s="185"/>
      <c r="AX21" s="185"/>
      <c r="AY21" s="185"/>
      <c r="AZ21" s="185"/>
      <c r="BA21" s="185"/>
      <c r="BB21" s="185"/>
      <c r="BC21" s="185"/>
      <c r="BD21" s="185"/>
      <c r="BE21" s="185"/>
      <c r="BF21" s="185"/>
      <c r="BG21" s="185"/>
      <c r="BH21" s="185">
        <f t="shared" si="17"/>
        <v>0</v>
      </c>
      <c r="BI21" s="185"/>
      <c r="BJ21" s="185"/>
      <c r="BK21" s="185"/>
      <c r="BL21" s="185">
        <f>F21+P21+Q21+S21+T21+U21+V21+BH21</f>
        <v>0</v>
      </c>
      <c r="BM21" s="185">
        <f>R67-BL21</f>
        <v>0</v>
      </c>
      <c r="BN21" s="185">
        <f t="shared" si="18"/>
        <v>0</v>
      </c>
      <c r="BP21" s="123"/>
    </row>
    <row r="22" spans="1:68" ht="20.100000000000001" customHeight="1">
      <c r="A22" s="14" t="s">
        <v>24</v>
      </c>
      <c r="B22" s="14" t="s">
        <v>37</v>
      </c>
      <c r="C22" s="30" t="s">
        <v>38</v>
      </c>
      <c r="D22" s="185">
        <f>#REF!</f>
        <v>0.32</v>
      </c>
      <c r="E22" s="185">
        <f>F22+O22+S22+T22+U22</f>
        <v>0.32</v>
      </c>
      <c r="F22" s="185">
        <f t="shared" si="6"/>
        <v>0</v>
      </c>
      <c r="G22" s="185">
        <f t="shared" si="8"/>
        <v>0</v>
      </c>
      <c r="H22" s="185">
        <f t="shared" si="12"/>
        <v>0</v>
      </c>
      <c r="I22" s="185"/>
      <c r="J22" s="185"/>
      <c r="K22" s="185"/>
      <c r="L22" s="185"/>
      <c r="M22" s="185"/>
      <c r="N22" s="185"/>
      <c r="O22" s="185">
        <f t="shared" si="16"/>
        <v>0</v>
      </c>
      <c r="P22" s="185"/>
      <c r="Q22" s="185"/>
      <c r="R22" s="185"/>
      <c r="S22" s="185">
        <f>D22-BL22</f>
        <v>0.32</v>
      </c>
      <c r="T22" s="185"/>
      <c r="U22" s="185"/>
      <c r="V22" s="185">
        <f t="shared" si="13"/>
        <v>0</v>
      </c>
      <c r="W22" s="185"/>
      <c r="X22" s="185"/>
      <c r="Y22" s="185"/>
      <c r="Z22" s="185"/>
      <c r="AA22" s="185"/>
      <c r="AB22" s="185"/>
      <c r="AC22" s="185"/>
      <c r="AD22" s="185"/>
      <c r="AE22" s="185">
        <f t="shared" si="9"/>
        <v>0</v>
      </c>
      <c r="AF22" s="185"/>
      <c r="AG22" s="185"/>
      <c r="AH22" s="185"/>
      <c r="AI22" s="185"/>
      <c r="AJ22" s="185"/>
      <c r="AK22" s="185"/>
      <c r="AL22" s="185"/>
      <c r="AM22" s="185"/>
      <c r="AN22" s="185"/>
      <c r="AO22" s="185"/>
      <c r="AP22" s="185"/>
      <c r="AQ22" s="185"/>
      <c r="AR22" s="185"/>
      <c r="AS22" s="185"/>
      <c r="AT22" s="185"/>
      <c r="AU22" s="185"/>
      <c r="AV22" s="185"/>
      <c r="AW22" s="185"/>
      <c r="AX22" s="185"/>
      <c r="AY22" s="185"/>
      <c r="AZ22" s="185"/>
      <c r="BA22" s="185"/>
      <c r="BB22" s="185"/>
      <c r="BC22" s="185"/>
      <c r="BD22" s="185"/>
      <c r="BE22" s="185"/>
      <c r="BF22" s="185"/>
      <c r="BG22" s="185"/>
      <c r="BH22" s="185">
        <f t="shared" si="17"/>
        <v>0</v>
      </c>
      <c r="BI22" s="185"/>
      <c r="BJ22" s="185"/>
      <c r="BK22" s="185"/>
      <c r="BL22" s="185">
        <f>G22+O22+T22+U22+V22+BH22</f>
        <v>0</v>
      </c>
      <c r="BM22" s="185">
        <f>S67-BL22</f>
        <v>0</v>
      </c>
      <c r="BN22" s="185">
        <f t="shared" si="18"/>
        <v>0.32</v>
      </c>
      <c r="BP22" s="123"/>
    </row>
    <row r="23" spans="1:68" ht="20.100000000000001" customHeight="1">
      <c r="A23" s="14" t="s">
        <v>27</v>
      </c>
      <c r="B23" s="14" t="s">
        <v>40</v>
      </c>
      <c r="C23" s="30" t="s">
        <v>41</v>
      </c>
      <c r="D23" s="185"/>
      <c r="E23" s="185">
        <f t="shared" si="4"/>
        <v>0</v>
      </c>
      <c r="F23" s="185">
        <f t="shared" si="6"/>
        <v>0</v>
      </c>
      <c r="G23" s="185">
        <f t="shared" si="8"/>
        <v>0</v>
      </c>
      <c r="H23" s="185">
        <f t="shared" si="12"/>
        <v>0</v>
      </c>
      <c r="I23" s="185"/>
      <c r="J23" s="185"/>
      <c r="K23" s="185"/>
      <c r="L23" s="185"/>
      <c r="M23" s="185"/>
      <c r="N23" s="185"/>
      <c r="O23" s="185">
        <f t="shared" si="16"/>
        <v>0</v>
      </c>
      <c r="P23" s="185"/>
      <c r="Q23" s="185"/>
      <c r="R23" s="185"/>
      <c r="S23" s="185"/>
      <c r="T23" s="185">
        <f>D23-BL23</f>
        <v>0</v>
      </c>
      <c r="U23" s="185"/>
      <c r="V23" s="185">
        <f t="shared" si="13"/>
        <v>0</v>
      </c>
      <c r="W23" s="185"/>
      <c r="X23" s="185"/>
      <c r="Y23" s="185"/>
      <c r="Z23" s="185"/>
      <c r="AA23" s="185"/>
      <c r="AB23" s="185"/>
      <c r="AC23" s="185"/>
      <c r="AD23" s="185"/>
      <c r="AE23" s="185">
        <f t="shared" si="9"/>
        <v>0</v>
      </c>
      <c r="AF23" s="185"/>
      <c r="AG23" s="185"/>
      <c r="AH23" s="185"/>
      <c r="AI23" s="185"/>
      <c r="AJ23" s="185"/>
      <c r="AK23" s="185"/>
      <c r="AL23" s="185"/>
      <c r="AM23" s="185"/>
      <c r="AN23" s="185"/>
      <c r="AO23" s="185"/>
      <c r="AP23" s="185"/>
      <c r="AQ23" s="185"/>
      <c r="AR23" s="185"/>
      <c r="AS23" s="185"/>
      <c r="AT23" s="185"/>
      <c r="AU23" s="185"/>
      <c r="AV23" s="185"/>
      <c r="AW23" s="185"/>
      <c r="AX23" s="185"/>
      <c r="AY23" s="185"/>
      <c r="AZ23" s="185"/>
      <c r="BA23" s="185"/>
      <c r="BB23" s="185"/>
      <c r="BC23" s="185"/>
      <c r="BD23" s="185"/>
      <c r="BE23" s="185"/>
      <c r="BF23" s="185"/>
      <c r="BG23" s="185"/>
      <c r="BH23" s="185">
        <f t="shared" si="17"/>
        <v>0</v>
      </c>
      <c r="BI23" s="185"/>
      <c r="BJ23" s="185"/>
      <c r="BK23" s="185"/>
      <c r="BL23" s="185">
        <f>F23+O23+S23+U23+V23+BH23</f>
        <v>0</v>
      </c>
      <c r="BM23" s="185">
        <f>T67-BL23</f>
        <v>0</v>
      </c>
      <c r="BN23" s="185">
        <f t="shared" si="18"/>
        <v>0</v>
      </c>
      <c r="BP23" s="123"/>
    </row>
    <row r="24" spans="1:68" ht="20.100000000000001" customHeight="1">
      <c r="A24" s="14" t="s">
        <v>30</v>
      </c>
      <c r="B24" s="14" t="s">
        <v>43</v>
      </c>
      <c r="C24" s="30" t="s">
        <v>44</v>
      </c>
      <c r="D24" s="185"/>
      <c r="E24" s="185">
        <f t="shared" si="4"/>
        <v>0</v>
      </c>
      <c r="F24" s="185">
        <f t="shared" si="6"/>
        <v>0</v>
      </c>
      <c r="G24" s="185">
        <f t="shared" si="8"/>
        <v>0</v>
      </c>
      <c r="H24" s="185">
        <f t="shared" si="12"/>
        <v>0</v>
      </c>
      <c r="I24" s="185"/>
      <c r="J24" s="185"/>
      <c r="K24" s="185"/>
      <c r="L24" s="185"/>
      <c r="M24" s="185"/>
      <c r="N24" s="185"/>
      <c r="O24" s="185">
        <f t="shared" si="16"/>
        <v>0</v>
      </c>
      <c r="P24" s="185"/>
      <c r="Q24" s="185"/>
      <c r="R24" s="185"/>
      <c r="S24" s="185"/>
      <c r="T24" s="185"/>
      <c r="U24" s="185">
        <f>D24-BL24</f>
        <v>0</v>
      </c>
      <c r="V24" s="185">
        <f t="shared" si="13"/>
        <v>0</v>
      </c>
      <c r="W24" s="185"/>
      <c r="X24" s="185"/>
      <c r="Y24" s="185"/>
      <c r="Z24" s="185"/>
      <c r="AA24" s="185"/>
      <c r="AB24" s="185"/>
      <c r="AC24" s="185"/>
      <c r="AD24" s="185"/>
      <c r="AE24" s="185">
        <f t="shared" si="9"/>
        <v>0</v>
      </c>
      <c r="AF24" s="185"/>
      <c r="AG24" s="185"/>
      <c r="AH24" s="185"/>
      <c r="AI24" s="185"/>
      <c r="AJ24" s="185"/>
      <c r="AK24" s="185"/>
      <c r="AL24" s="185"/>
      <c r="AM24" s="185"/>
      <c r="AN24" s="185"/>
      <c r="AO24" s="185"/>
      <c r="AP24" s="185"/>
      <c r="AQ24" s="185"/>
      <c r="AR24" s="185"/>
      <c r="AS24" s="185"/>
      <c r="AT24" s="185"/>
      <c r="AU24" s="185"/>
      <c r="AV24" s="185"/>
      <c r="AW24" s="185"/>
      <c r="AX24" s="185"/>
      <c r="AY24" s="185"/>
      <c r="AZ24" s="185"/>
      <c r="BA24" s="185"/>
      <c r="BB24" s="185"/>
      <c r="BC24" s="185"/>
      <c r="BD24" s="185"/>
      <c r="BE24" s="185"/>
      <c r="BF24" s="185"/>
      <c r="BG24" s="185"/>
      <c r="BH24" s="185">
        <f t="shared" si="17"/>
        <v>0</v>
      </c>
      <c r="BI24" s="185"/>
      <c r="BJ24" s="185"/>
      <c r="BK24" s="185"/>
      <c r="BL24" s="185">
        <f>F24+O24+S24+T24+BH24</f>
        <v>0</v>
      </c>
      <c r="BM24" s="185">
        <f>U67-BL24</f>
        <v>0</v>
      </c>
      <c r="BN24" s="185">
        <f t="shared" si="18"/>
        <v>0</v>
      </c>
      <c r="BP24" s="123"/>
    </row>
    <row r="25" spans="1:68" s="115" customFormat="1" ht="25.5" customHeight="1">
      <c r="A25" s="15">
        <v>2</v>
      </c>
      <c r="B25" s="15" t="s">
        <v>45</v>
      </c>
      <c r="C25" s="158" t="s">
        <v>46</v>
      </c>
      <c r="D25" s="420">
        <f>D26+D27+D28+D29+D30+D31+D32+D33+D34+D46+D47+D48+D49+D50+D51+D52+D53+D54+D55+D56+D57+D58+D59+D60+D61+D62</f>
        <v>151.65500000000003</v>
      </c>
      <c r="E25" s="420">
        <f>E26+E27+E28+E29+E30+E31+E32+E33+E34+E46+E47+E48+E49+E50+E51+E52+E53+E54+E55+E56+E57+E58+E59+E60+E61+E62</f>
        <v>0</v>
      </c>
      <c r="F25" s="420">
        <f t="shared" ref="F25:U25" si="19">F26+F27+F28+F29+F30+F31+F32+F33+F34+F46+F47+F48+F49+F50+F51+F52+F53+F54+F55+F56+F57+F58+F59+F60+F61+F62</f>
        <v>0</v>
      </c>
      <c r="G25" s="420">
        <f t="shared" si="19"/>
        <v>0</v>
      </c>
      <c r="H25" s="420">
        <f t="shared" si="19"/>
        <v>0</v>
      </c>
      <c r="I25" s="420">
        <f t="shared" si="19"/>
        <v>0</v>
      </c>
      <c r="J25" s="420">
        <f t="shared" si="19"/>
        <v>0</v>
      </c>
      <c r="K25" s="420">
        <f t="shared" si="19"/>
        <v>0</v>
      </c>
      <c r="L25" s="420">
        <f t="shared" si="19"/>
        <v>0</v>
      </c>
      <c r="M25" s="420">
        <f t="shared" si="19"/>
        <v>0</v>
      </c>
      <c r="N25" s="420">
        <f t="shared" si="19"/>
        <v>0</v>
      </c>
      <c r="O25" s="420">
        <f t="shared" si="19"/>
        <v>0</v>
      </c>
      <c r="P25" s="420">
        <f t="shared" si="19"/>
        <v>0</v>
      </c>
      <c r="Q25" s="420">
        <f t="shared" si="19"/>
        <v>0</v>
      </c>
      <c r="R25" s="420">
        <f t="shared" si="19"/>
        <v>0</v>
      </c>
      <c r="S25" s="420">
        <f t="shared" si="19"/>
        <v>0</v>
      </c>
      <c r="T25" s="420">
        <f t="shared" si="19"/>
        <v>0</v>
      </c>
      <c r="U25" s="420">
        <f t="shared" si="19"/>
        <v>0</v>
      </c>
      <c r="V25" s="420">
        <f>D25-BL25</f>
        <v>151.65500000000003</v>
      </c>
      <c r="W25" s="420">
        <f>W26+W27+W28+W29+W30+W31+W32+W33+W34+W46+W47+W48+W49+W50+W51+W52+W53+W54+W55+W56+W57+W58+W59+W60+W61+W62</f>
        <v>1.85</v>
      </c>
      <c r="X25" s="420">
        <f t="shared" ref="X25:BK25" si="20">X26+X27+X28+X29+X30+X31+X32+X33+X34+X46+X47+X48+X49+X50+X51+X52+X53+X54+X55+X56+X57+X58+X59+X60+X61+X62</f>
        <v>0.22</v>
      </c>
      <c r="Y25" s="420">
        <f t="shared" si="20"/>
        <v>0</v>
      </c>
      <c r="Z25" s="420">
        <f t="shared" si="20"/>
        <v>0</v>
      </c>
      <c r="AA25" s="420">
        <f t="shared" si="20"/>
        <v>0</v>
      </c>
      <c r="AB25" s="420">
        <f t="shared" si="20"/>
        <v>9.0378000000000007</v>
      </c>
      <c r="AC25" s="420">
        <f t="shared" si="20"/>
        <v>16.350000000000001</v>
      </c>
      <c r="AD25" s="420">
        <f t="shared" si="20"/>
        <v>0</v>
      </c>
      <c r="AE25" s="420">
        <f t="shared" si="20"/>
        <v>60.747900000000001</v>
      </c>
      <c r="AF25" s="420">
        <f t="shared" si="20"/>
        <v>0.39500000000000002</v>
      </c>
      <c r="AG25" s="420">
        <f t="shared" si="20"/>
        <v>0.03</v>
      </c>
      <c r="AH25" s="420">
        <f t="shared" si="20"/>
        <v>5.71</v>
      </c>
      <c r="AI25" s="420">
        <f t="shared" si="20"/>
        <v>0</v>
      </c>
      <c r="AJ25" s="420">
        <f t="shared" si="20"/>
        <v>0</v>
      </c>
      <c r="AK25" s="420">
        <f t="shared" si="20"/>
        <v>0</v>
      </c>
      <c r="AL25" s="420">
        <f t="shared" si="20"/>
        <v>52.232900000000001</v>
      </c>
      <c r="AM25" s="420">
        <f t="shared" si="20"/>
        <v>1.52</v>
      </c>
      <c r="AN25" s="420">
        <f t="shared" si="20"/>
        <v>0.01</v>
      </c>
      <c r="AO25" s="420">
        <f t="shared" si="20"/>
        <v>0</v>
      </c>
      <c r="AP25" s="420">
        <f t="shared" si="20"/>
        <v>0.85</v>
      </c>
      <c r="AQ25" s="420">
        <f t="shared" si="20"/>
        <v>0</v>
      </c>
      <c r="AR25" s="420">
        <f t="shared" si="20"/>
        <v>0</v>
      </c>
      <c r="AS25" s="420">
        <f t="shared" si="20"/>
        <v>0</v>
      </c>
      <c r="AT25" s="420">
        <f t="shared" si="20"/>
        <v>0</v>
      </c>
      <c r="AU25" s="420">
        <f t="shared" si="20"/>
        <v>36.459299999999999</v>
      </c>
      <c r="AV25" s="420">
        <f t="shared" si="20"/>
        <v>0.81</v>
      </c>
      <c r="AW25" s="420">
        <f t="shared" si="20"/>
        <v>0</v>
      </c>
      <c r="AX25" s="420">
        <f t="shared" si="20"/>
        <v>0</v>
      </c>
      <c r="AY25" s="420">
        <f t="shared" si="20"/>
        <v>0.4</v>
      </c>
      <c r="AZ25" s="420">
        <f t="shared" si="20"/>
        <v>0</v>
      </c>
      <c r="BA25" s="420">
        <f t="shared" si="20"/>
        <v>0</v>
      </c>
      <c r="BB25" s="420">
        <f t="shared" si="20"/>
        <v>0.62</v>
      </c>
      <c r="BC25" s="420">
        <f t="shared" si="20"/>
        <v>0.47</v>
      </c>
      <c r="BD25" s="420">
        <f t="shared" si="20"/>
        <v>1.23</v>
      </c>
      <c r="BE25" s="420">
        <f t="shared" si="20"/>
        <v>23.46</v>
      </c>
      <c r="BF25" s="420">
        <f t="shared" si="20"/>
        <v>0</v>
      </c>
      <c r="BG25" s="420">
        <f t="shared" si="20"/>
        <v>0</v>
      </c>
      <c r="BH25" s="420">
        <f t="shared" si="20"/>
        <v>0</v>
      </c>
      <c r="BI25" s="420">
        <f t="shared" si="20"/>
        <v>0</v>
      </c>
      <c r="BJ25" s="420">
        <f t="shared" si="20"/>
        <v>0</v>
      </c>
      <c r="BK25" s="420">
        <f t="shared" si="20"/>
        <v>0</v>
      </c>
      <c r="BL25" s="420">
        <f>E25+BH25</f>
        <v>0</v>
      </c>
      <c r="BM25" s="420">
        <f>BM26+BM27+BM28+BM29+BM30+BM31+BM32+BM33+BM34+BM46+BM47+BM48+BM49+BM50+BM51+BM52+BM53+BM54+BM55+BM56+BM57+BM58+BM59+BM60+BM61+BM62</f>
        <v>0.3</v>
      </c>
      <c r="BN25" s="420">
        <f>BN26+BN27+BN28+BN29+BN30+BN31+BN32+BN33+BN34+BN46+BN47+BN48+BN49+BN50+BN51+BN52+BN53+BN54+BN55+BN56+BN57+BN58+BN59+BN60+BN61+BN62</f>
        <v>151.95500000000001</v>
      </c>
    </row>
    <row r="26" spans="1:68" ht="20.100000000000001" customHeight="1">
      <c r="A26" s="19" t="s">
        <v>47</v>
      </c>
      <c r="B26" s="19" t="s">
        <v>48</v>
      </c>
      <c r="C26" s="30" t="s">
        <v>49</v>
      </c>
      <c r="D26" s="185">
        <f>#REF!</f>
        <v>1.85</v>
      </c>
      <c r="E26" s="185">
        <f t="shared" si="4"/>
        <v>0</v>
      </c>
      <c r="F26" s="185">
        <f>G26+N26</f>
        <v>0</v>
      </c>
      <c r="G26" s="185">
        <f t="shared" si="8"/>
        <v>0</v>
      </c>
      <c r="H26" s="185">
        <f t="shared" si="12"/>
        <v>0</v>
      </c>
      <c r="I26" s="185"/>
      <c r="J26" s="185"/>
      <c r="K26" s="185"/>
      <c r="L26" s="185"/>
      <c r="M26" s="185"/>
      <c r="N26" s="185"/>
      <c r="O26" s="185"/>
      <c r="P26" s="185"/>
      <c r="Q26" s="185"/>
      <c r="R26" s="185"/>
      <c r="S26" s="185"/>
      <c r="T26" s="185"/>
      <c r="U26" s="185"/>
      <c r="V26" s="185">
        <f t="shared" si="13"/>
        <v>1.85</v>
      </c>
      <c r="W26" s="185">
        <f>D26-BL26</f>
        <v>1.85</v>
      </c>
      <c r="X26" s="185"/>
      <c r="Y26" s="185"/>
      <c r="Z26" s="185"/>
      <c r="AA26" s="185"/>
      <c r="AB26" s="185"/>
      <c r="AC26" s="185"/>
      <c r="AD26" s="185"/>
      <c r="AE26" s="185">
        <f t="shared" si="9"/>
        <v>0</v>
      </c>
      <c r="AF26" s="185"/>
      <c r="AG26" s="185"/>
      <c r="AH26" s="185"/>
      <c r="AI26" s="185"/>
      <c r="AJ26" s="185"/>
      <c r="AK26" s="185"/>
      <c r="AL26" s="185"/>
      <c r="AM26" s="185"/>
      <c r="AN26" s="185"/>
      <c r="AO26" s="185"/>
      <c r="AP26" s="185"/>
      <c r="AQ26" s="185"/>
      <c r="AR26" s="185"/>
      <c r="AS26" s="185"/>
      <c r="AT26" s="185"/>
      <c r="AU26" s="185"/>
      <c r="AV26" s="185"/>
      <c r="AW26" s="185"/>
      <c r="AX26" s="185"/>
      <c r="AY26" s="185"/>
      <c r="AZ26" s="185"/>
      <c r="BA26" s="185"/>
      <c r="BB26" s="185"/>
      <c r="BC26" s="185"/>
      <c r="BD26" s="185"/>
      <c r="BE26" s="185"/>
      <c r="BF26" s="185"/>
      <c r="BG26" s="185"/>
      <c r="BH26" s="185">
        <f>BI26+BJ26+BK26</f>
        <v>0</v>
      </c>
      <c r="BI26" s="185"/>
      <c r="BJ26" s="185"/>
      <c r="BK26" s="185"/>
      <c r="BL26" s="185">
        <f>X26+Y26+Z26+AA26+AB26+AC26+AD26+AE26+AQ26+AR26+AS26+AT26+AU26+AV26+AW26+AX26+AY26+AZ26+BA26+BB26+BC26+BD26+BE26+BF26+BG26+BH26</f>
        <v>0</v>
      </c>
      <c r="BM26" s="185">
        <f>W67-BL26</f>
        <v>0</v>
      </c>
      <c r="BN26" s="185">
        <f>D26+BM26</f>
        <v>1.85</v>
      </c>
      <c r="BP26" s="123"/>
    </row>
    <row r="27" spans="1:68" ht="20.100000000000001" customHeight="1">
      <c r="A27" s="19" t="s">
        <v>50</v>
      </c>
      <c r="B27" s="19" t="s">
        <v>51</v>
      </c>
      <c r="C27" s="30" t="s">
        <v>52</v>
      </c>
      <c r="D27" s="185">
        <f>#REF!</f>
        <v>0.22</v>
      </c>
      <c r="E27" s="185">
        <f t="shared" si="4"/>
        <v>0</v>
      </c>
      <c r="F27" s="185">
        <f t="shared" ref="F27:F66" si="21">G27+N27</f>
        <v>0</v>
      </c>
      <c r="G27" s="185">
        <f t="shared" si="8"/>
        <v>0</v>
      </c>
      <c r="H27" s="185">
        <f t="shared" si="12"/>
        <v>0</v>
      </c>
      <c r="I27" s="185"/>
      <c r="J27" s="185"/>
      <c r="K27" s="185"/>
      <c r="L27" s="185"/>
      <c r="M27" s="185"/>
      <c r="N27" s="185"/>
      <c r="O27" s="185"/>
      <c r="P27" s="185"/>
      <c r="Q27" s="185"/>
      <c r="R27" s="185"/>
      <c r="S27" s="185"/>
      <c r="T27" s="185"/>
      <c r="U27" s="185"/>
      <c r="V27" s="185">
        <f t="shared" si="13"/>
        <v>0.22</v>
      </c>
      <c r="W27" s="185"/>
      <c r="X27" s="185">
        <f>D27-BL27</f>
        <v>0.22</v>
      </c>
      <c r="Y27" s="185"/>
      <c r="Z27" s="185"/>
      <c r="AA27" s="185"/>
      <c r="AB27" s="185"/>
      <c r="AC27" s="185"/>
      <c r="AD27" s="185"/>
      <c r="AE27" s="185">
        <f t="shared" si="9"/>
        <v>0</v>
      </c>
      <c r="AF27" s="185"/>
      <c r="AG27" s="185"/>
      <c r="AH27" s="185"/>
      <c r="AI27" s="185"/>
      <c r="AJ27" s="185"/>
      <c r="AK27" s="185"/>
      <c r="AL27" s="185"/>
      <c r="AM27" s="185"/>
      <c r="AN27" s="185"/>
      <c r="AO27" s="185"/>
      <c r="AP27" s="185"/>
      <c r="AQ27" s="185"/>
      <c r="AR27" s="185"/>
      <c r="AS27" s="185"/>
      <c r="AT27" s="185"/>
      <c r="AU27" s="185"/>
      <c r="AV27" s="185"/>
      <c r="AW27" s="185"/>
      <c r="AX27" s="185"/>
      <c r="AY27" s="185"/>
      <c r="AZ27" s="185"/>
      <c r="BA27" s="185"/>
      <c r="BB27" s="185"/>
      <c r="BC27" s="185"/>
      <c r="BD27" s="185"/>
      <c r="BE27" s="185"/>
      <c r="BF27" s="185"/>
      <c r="BG27" s="185"/>
      <c r="BH27" s="185">
        <f t="shared" ref="BH27:BH62" si="22">BI27+BJ27+BK27</f>
        <v>0</v>
      </c>
      <c r="BI27" s="185"/>
      <c r="BJ27" s="185"/>
      <c r="BK27" s="185"/>
      <c r="BL27" s="185">
        <f>F27+W27+Y27+Z27+AA27+AB27+AC27+AD27+AE27+AQ27+AR27+AS27+AT27+AU27+AV27+AW27+AX27+AY27+AZ27+BA27+BB27+BC27+BD27+BE27+BF27+BG27+BH27</f>
        <v>0</v>
      </c>
      <c r="BM27" s="185">
        <f>X67-BL27</f>
        <v>0</v>
      </c>
      <c r="BN27" s="185">
        <f t="shared" ref="BN27:BN33" si="23">D27+BM27</f>
        <v>0.22</v>
      </c>
      <c r="BP27" s="123"/>
    </row>
    <row r="28" spans="1:68" ht="20.100000000000001" customHeight="1">
      <c r="A28" s="19" t="s">
        <v>53</v>
      </c>
      <c r="B28" s="19" t="s">
        <v>54</v>
      </c>
      <c r="C28" s="30" t="s">
        <v>55</v>
      </c>
      <c r="D28" s="185"/>
      <c r="E28" s="185">
        <f t="shared" si="4"/>
        <v>0</v>
      </c>
      <c r="F28" s="185">
        <f t="shared" si="21"/>
        <v>0</v>
      </c>
      <c r="G28" s="185">
        <f t="shared" si="8"/>
        <v>0</v>
      </c>
      <c r="H28" s="185">
        <f t="shared" si="12"/>
        <v>0</v>
      </c>
      <c r="I28" s="185"/>
      <c r="J28" s="185"/>
      <c r="K28" s="185"/>
      <c r="L28" s="185"/>
      <c r="M28" s="185"/>
      <c r="N28" s="185"/>
      <c r="O28" s="185"/>
      <c r="P28" s="185"/>
      <c r="Q28" s="185"/>
      <c r="R28" s="185"/>
      <c r="S28" s="185"/>
      <c r="T28" s="185"/>
      <c r="U28" s="185"/>
      <c r="V28" s="185">
        <f t="shared" si="13"/>
        <v>0</v>
      </c>
      <c r="W28" s="185"/>
      <c r="X28" s="185"/>
      <c r="Y28" s="185">
        <f>D28-BL28</f>
        <v>0</v>
      </c>
      <c r="Z28" s="185"/>
      <c r="AA28" s="185"/>
      <c r="AB28" s="185"/>
      <c r="AC28" s="185"/>
      <c r="AD28" s="185"/>
      <c r="AE28" s="185">
        <f t="shared" si="9"/>
        <v>0</v>
      </c>
      <c r="AF28" s="185"/>
      <c r="AG28" s="185"/>
      <c r="AH28" s="185"/>
      <c r="AI28" s="185"/>
      <c r="AJ28" s="185"/>
      <c r="AK28" s="185"/>
      <c r="AL28" s="185"/>
      <c r="AM28" s="185"/>
      <c r="AN28" s="185"/>
      <c r="AO28" s="185"/>
      <c r="AP28" s="185"/>
      <c r="AQ28" s="185"/>
      <c r="AR28" s="185"/>
      <c r="AS28" s="185"/>
      <c r="AT28" s="185"/>
      <c r="AU28" s="185"/>
      <c r="AV28" s="185"/>
      <c r="AW28" s="185"/>
      <c r="AX28" s="185"/>
      <c r="AY28" s="185"/>
      <c r="AZ28" s="185"/>
      <c r="BA28" s="185"/>
      <c r="BB28" s="185"/>
      <c r="BC28" s="185"/>
      <c r="BD28" s="185"/>
      <c r="BE28" s="185"/>
      <c r="BF28" s="185"/>
      <c r="BG28" s="185"/>
      <c r="BH28" s="185">
        <f t="shared" si="22"/>
        <v>0</v>
      </c>
      <c r="BI28" s="185"/>
      <c r="BJ28" s="185"/>
      <c r="BK28" s="185"/>
      <c r="BL28" s="185">
        <f>E28+W28+X28+Z28+AA28+AB28+AC28+AD28+AE28+AQ28+AR28+AS28+AT28+AU28+AV28+AW28+AX28+AY28+AZ28+BA28+BB28+BC28+BD28+BE28+BF28+BG28+BH28</f>
        <v>0</v>
      </c>
      <c r="BM28" s="185">
        <f>Y67-BL28</f>
        <v>0</v>
      </c>
      <c r="BN28" s="185">
        <f t="shared" si="23"/>
        <v>0</v>
      </c>
      <c r="BP28" s="123"/>
    </row>
    <row r="29" spans="1:68" ht="20.100000000000001" customHeight="1">
      <c r="A29" s="19" t="s">
        <v>56</v>
      </c>
      <c r="B29" s="19" t="s">
        <v>57</v>
      </c>
      <c r="C29" s="30" t="s">
        <v>58</v>
      </c>
      <c r="D29" s="185"/>
      <c r="E29" s="185">
        <f t="shared" si="4"/>
        <v>0</v>
      </c>
      <c r="F29" s="185">
        <f t="shared" si="21"/>
        <v>0</v>
      </c>
      <c r="G29" s="185">
        <f t="shared" si="8"/>
        <v>0</v>
      </c>
      <c r="H29" s="185">
        <f t="shared" si="12"/>
        <v>0</v>
      </c>
      <c r="I29" s="185"/>
      <c r="J29" s="185"/>
      <c r="K29" s="185"/>
      <c r="L29" s="185"/>
      <c r="M29" s="185"/>
      <c r="N29" s="185"/>
      <c r="O29" s="185"/>
      <c r="P29" s="185"/>
      <c r="Q29" s="185"/>
      <c r="R29" s="185"/>
      <c r="S29" s="185"/>
      <c r="T29" s="185"/>
      <c r="U29" s="185"/>
      <c r="V29" s="185">
        <f>W29+X29+Y29+Z29+AA29+AB29+AC29+AD29+AE29+AQ29+AR29+AS29+AT29+AU29+AV29+AW29+AX29+AY29+AZ29+BA29+BB29+BC29+BD29+BE29+BF29+BG29</f>
        <v>0</v>
      </c>
      <c r="W29" s="185"/>
      <c r="X29" s="185"/>
      <c r="Y29" s="185"/>
      <c r="Z29" s="185">
        <f>D29-BL29</f>
        <v>0</v>
      </c>
      <c r="AA29" s="185"/>
      <c r="AB29" s="185"/>
      <c r="AC29" s="185"/>
      <c r="AD29" s="185"/>
      <c r="AE29" s="185">
        <f t="shared" si="9"/>
        <v>0</v>
      </c>
      <c r="AF29" s="185"/>
      <c r="AG29" s="185"/>
      <c r="AH29" s="185"/>
      <c r="AI29" s="185"/>
      <c r="AJ29" s="185"/>
      <c r="AK29" s="185"/>
      <c r="AL29" s="185"/>
      <c r="AM29" s="185"/>
      <c r="AN29" s="185"/>
      <c r="AO29" s="185"/>
      <c r="AP29" s="185"/>
      <c r="AQ29" s="185"/>
      <c r="AR29" s="185"/>
      <c r="AS29" s="185"/>
      <c r="AT29" s="185"/>
      <c r="AU29" s="185"/>
      <c r="AV29" s="185"/>
      <c r="AW29" s="185"/>
      <c r="AX29" s="185"/>
      <c r="AY29" s="185"/>
      <c r="AZ29" s="185"/>
      <c r="BA29" s="185"/>
      <c r="BB29" s="185"/>
      <c r="BC29" s="185"/>
      <c r="BD29" s="185"/>
      <c r="BE29" s="185"/>
      <c r="BF29" s="185"/>
      <c r="BG29" s="185"/>
      <c r="BH29" s="185">
        <f t="shared" si="22"/>
        <v>0</v>
      </c>
      <c r="BI29" s="185"/>
      <c r="BJ29" s="185"/>
      <c r="BK29" s="185"/>
      <c r="BL29" s="185">
        <f>E29+W29+X29+Y29+AA29+AB29+AC29+AD29+AE29+AQ29+AR29+AS29+AT29+AU29+AV29+AW29+AX29+AY29+AZ29+BA29+BB29+BC29+BD29+BE29+BF29+BG29+BH29</f>
        <v>0</v>
      </c>
      <c r="BM29" s="185">
        <f>Z67-BL29</f>
        <v>0</v>
      </c>
      <c r="BN29" s="185">
        <f t="shared" si="23"/>
        <v>0</v>
      </c>
      <c r="BP29" s="123"/>
    </row>
    <row r="30" spans="1:68" ht="20.100000000000001" customHeight="1">
      <c r="A30" s="19" t="s">
        <v>59</v>
      </c>
      <c r="B30" s="19" t="s">
        <v>60</v>
      </c>
      <c r="C30" s="30" t="s">
        <v>61</v>
      </c>
      <c r="D30" s="185"/>
      <c r="E30" s="185">
        <f t="shared" si="4"/>
        <v>0</v>
      </c>
      <c r="F30" s="185">
        <f t="shared" si="21"/>
        <v>0</v>
      </c>
      <c r="G30" s="185">
        <f t="shared" si="8"/>
        <v>0</v>
      </c>
      <c r="H30" s="185">
        <f t="shared" si="12"/>
        <v>0</v>
      </c>
      <c r="I30" s="185"/>
      <c r="J30" s="185"/>
      <c r="K30" s="185"/>
      <c r="L30" s="185"/>
      <c r="M30" s="185"/>
      <c r="N30" s="185"/>
      <c r="O30" s="185"/>
      <c r="P30" s="185"/>
      <c r="Q30" s="185"/>
      <c r="R30" s="185"/>
      <c r="S30" s="185"/>
      <c r="T30" s="185"/>
      <c r="U30" s="185"/>
      <c r="V30" s="185">
        <f t="shared" si="13"/>
        <v>0</v>
      </c>
      <c r="W30" s="185"/>
      <c r="X30" s="185"/>
      <c r="Y30" s="185"/>
      <c r="Z30" s="185"/>
      <c r="AA30" s="185">
        <f>D30-BL30</f>
        <v>0</v>
      </c>
      <c r="AB30" s="185"/>
      <c r="AC30" s="185"/>
      <c r="AD30" s="185"/>
      <c r="AE30" s="185">
        <f t="shared" si="9"/>
        <v>0</v>
      </c>
      <c r="AF30" s="185"/>
      <c r="AG30" s="185"/>
      <c r="AH30" s="185"/>
      <c r="AI30" s="185"/>
      <c r="AJ30" s="185"/>
      <c r="AK30" s="185"/>
      <c r="AL30" s="185"/>
      <c r="AM30" s="185"/>
      <c r="AN30" s="185"/>
      <c r="AO30" s="185"/>
      <c r="AP30" s="185"/>
      <c r="AQ30" s="185"/>
      <c r="AR30" s="185"/>
      <c r="AS30" s="185"/>
      <c r="AT30" s="185"/>
      <c r="AU30" s="185"/>
      <c r="AV30" s="185"/>
      <c r="AW30" s="185"/>
      <c r="AX30" s="185"/>
      <c r="AY30" s="185"/>
      <c r="AZ30" s="185"/>
      <c r="BA30" s="185"/>
      <c r="BB30" s="185"/>
      <c r="BC30" s="185"/>
      <c r="BD30" s="185"/>
      <c r="BE30" s="185"/>
      <c r="BF30" s="185"/>
      <c r="BG30" s="185"/>
      <c r="BH30" s="185">
        <f t="shared" si="22"/>
        <v>0</v>
      </c>
      <c r="BI30" s="185"/>
      <c r="BJ30" s="185"/>
      <c r="BK30" s="185"/>
      <c r="BL30" s="185">
        <f>E30+W30+X30+Y30+Z30+AB30+AC30+AD30+AE30+AQ30+AR30+AS30+AT30+AU30+AV30+AW30+AX30+AY30+AZ30+BA30+BB30+BC30+BD30+BE30+BF30+BG30+BH30</f>
        <v>0</v>
      </c>
      <c r="BM30" s="185">
        <f>AA67-BL30</f>
        <v>0</v>
      </c>
      <c r="BN30" s="185">
        <f t="shared" si="23"/>
        <v>0</v>
      </c>
      <c r="BP30" s="123"/>
    </row>
    <row r="31" spans="1:68" ht="20.100000000000001" customHeight="1">
      <c r="A31" s="19" t="s">
        <v>62</v>
      </c>
      <c r="B31" s="19" t="s">
        <v>63</v>
      </c>
      <c r="C31" s="30" t="s">
        <v>64</v>
      </c>
      <c r="D31" s="185">
        <f>#REF!</f>
        <v>9.0378000000000007</v>
      </c>
      <c r="E31" s="185">
        <f t="shared" si="4"/>
        <v>0</v>
      </c>
      <c r="F31" s="185">
        <f t="shared" si="21"/>
        <v>0</v>
      </c>
      <c r="G31" s="185">
        <f t="shared" si="8"/>
        <v>0</v>
      </c>
      <c r="H31" s="185">
        <f t="shared" si="12"/>
        <v>0</v>
      </c>
      <c r="I31" s="185"/>
      <c r="J31" s="185"/>
      <c r="K31" s="185"/>
      <c r="L31" s="185"/>
      <c r="M31" s="185"/>
      <c r="N31" s="185"/>
      <c r="O31" s="185"/>
      <c r="P31" s="185"/>
      <c r="Q31" s="185"/>
      <c r="R31" s="185"/>
      <c r="S31" s="185"/>
      <c r="T31" s="185"/>
      <c r="U31" s="185"/>
      <c r="V31" s="185">
        <f>W31+X31+Y31+Z31+AA31+AB31+AC31+AD31+AE31+AQ31+AR31+AS31+AT31+AU31+AV31+AW31+AX31+AY31+AZ31+BA31+BB31+BC31+BD31+BE31+BF31+BG31</f>
        <v>9.0378000000000007</v>
      </c>
      <c r="W31" s="185"/>
      <c r="X31" s="185"/>
      <c r="Y31" s="185"/>
      <c r="Z31" s="185"/>
      <c r="AA31" s="185"/>
      <c r="AB31" s="185">
        <f>D31-BL31</f>
        <v>9.0378000000000007</v>
      </c>
      <c r="AC31" s="185"/>
      <c r="AD31" s="185"/>
      <c r="AE31" s="185">
        <f t="shared" si="9"/>
        <v>0</v>
      </c>
      <c r="AF31" s="185"/>
      <c r="AG31" s="185"/>
      <c r="AH31" s="185"/>
      <c r="AI31" s="185"/>
      <c r="AJ31" s="185"/>
      <c r="AK31" s="185"/>
      <c r="AL31" s="185"/>
      <c r="AM31" s="185"/>
      <c r="AN31" s="185"/>
      <c r="AO31" s="185"/>
      <c r="AP31" s="185"/>
      <c r="AQ31" s="185"/>
      <c r="AR31" s="185"/>
      <c r="AS31" s="185"/>
      <c r="AT31" s="185"/>
      <c r="AU31" s="185"/>
      <c r="AV31" s="185"/>
      <c r="AW31" s="185"/>
      <c r="AX31" s="185"/>
      <c r="AY31" s="185"/>
      <c r="AZ31" s="185"/>
      <c r="BA31" s="185"/>
      <c r="BB31" s="185"/>
      <c r="BC31" s="185"/>
      <c r="BD31" s="185"/>
      <c r="BE31" s="185"/>
      <c r="BF31" s="185"/>
      <c r="BG31" s="185"/>
      <c r="BH31" s="185">
        <f>BI31+BJ31+BK31</f>
        <v>0</v>
      </c>
      <c r="BI31" s="185"/>
      <c r="BJ31" s="185"/>
      <c r="BK31" s="185"/>
      <c r="BL31" s="185">
        <f>E31+W31+X31+Y31+Z31+AA31+AC31+AD31+AE31+AQ31+AR31+AS31+AT31+AU31+AV31+AW31+AX31+AY31+AZ31+BA31+BB31+BC31+BD31+BE31+BF31+BG31+BH31</f>
        <v>0</v>
      </c>
      <c r="BM31" s="185">
        <f>AB67-BL31</f>
        <v>0</v>
      </c>
      <c r="BN31" s="185">
        <f t="shared" si="23"/>
        <v>9.0378000000000007</v>
      </c>
      <c r="BP31" s="123"/>
    </row>
    <row r="32" spans="1:68" ht="20.100000000000001" customHeight="1">
      <c r="A32" s="19" t="s">
        <v>65</v>
      </c>
      <c r="B32" s="19" t="s">
        <v>66</v>
      </c>
      <c r="C32" s="30" t="s">
        <v>67</v>
      </c>
      <c r="D32" s="185">
        <f>#REF!</f>
        <v>16.350000000000001</v>
      </c>
      <c r="E32" s="185">
        <f t="shared" si="4"/>
        <v>0</v>
      </c>
      <c r="F32" s="185">
        <f t="shared" si="21"/>
        <v>0</v>
      </c>
      <c r="G32" s="185">
        <f t="shared" si="8"/>
        <v>0</v>
      </c>
      <c r="H32" s="185">
        <f t="shared" si="12"/>
        <v>0</v>
      </c>
      <c r="I32" s="185"/>
      <c r="J32" s="185"/>
      <c r="K32" s="185"/>
      <c r="L32" s="185"/>
      <c r="M32" s="185"/>
      <c r="N32" s="185"/>
      <c r="O32" s="185"/>
      <c r="P32" s="185"/>
      <c r="Q32" s="185"/>
      <c r="R32" s="185"/>
      <c r="S32" s="185"/>
      <c r="T32" s="185"/>
      <c r="U32" s="185"/>
      <c r="V32" s="185">
        <f t="shared" si="13"/>
        <v>16.350000000000001</v>
      </c>
      <c r="W32" s="185"/>
      <c r="X32" s="185"/>
      <c r="Y32" s="185"/>
      <c r="Z32" s="185"/>
      <c r="AA32" s="185"/>
      <c r="AB32" s="185"/>
      <c r="AC32" s="185">
        <f>D32-BL32</f>
        <v>16.350000000000001</v>
      </c>
      <c r="AD32" s="185"/>
      <c r="AE32" s="185">
        <f t="shared" si="9"/>
        <v>0</v>
      </c>
      <c r="AF32" s="185"/>
      <c r="AG32" s="185"/>
      <c r="AH32" s="185"/>
      <c r="AI32" s="185"/>
      <c r="AJ32" s="185"/>
      <c r="AK32" s="185"/>
      <c r="AL32" s="185"/>
      <c r="AM32" s="185"/>
      <c r="AN32" s="185"/>
      <c r="AO32" s="185"/>
      <c r="AP32" s="185"/>
      <c r="AQ32" s="185"/>
      <c r="AR32" s="185"/>
      <c r="AS32" s="185"/>
      <c r="AT32" s="185"/>
      <c r="AU32" s="185"/>
      <c r="AV32" s="185"/>
      <c r="AW32" s="185"/>
      <c r="AX32" s="185"/>
      <c r="AY32" s="185"/>
      <c r="AZ32" s="185"/>
      <c r="BA32" s="185"/>
      <c r="BB32" s="185"/>
      <c r="BC32" s="185"/>
      <c r="BD32" s="185"/>
      <c r="BE32" s="185"/>
      <c r="BF32" s="185"/>
      <c r="BG32" s="185"/>
      <c r="BH32" s="185">
        <f t="shared" si="22"/>
        <v>0</v>
      </c>
      <c r="BI32" s="185"/>
      <c r="BJ32" s="185"/>
      <c r="BK32" s="185"/>
      <c r="BL32" s="185">
        <f>E32+W32+X32+Y32+Z32+AA32+AB32+AD32+AE32+AQ32+AR32+AS32+AT32+AU32+AV32+AW32+AX32+AY32+AZ32+BA32+BB32+BC32+BD32+BE32+BF32+BG32+BH32</f>
        <v>0</v>
      </c>
      <c r="BM32" s="185">
        <f>AC67-BL32</f>
        <v>0</v>
      </c>
      <c r="BN32" s="185">
        <f t="shared" si="23"/>
        <v>16.350000000000001</v>
      </c>
      <c r="BP32" s="123"/>
    </row>
    <row r="33" spans="1:68" ht="20.100000000000001" customHeight="1">
      <c r="A33" s="19" t="s">
        <v>68</v>
      </c>
      <c r="B33" s="19" t="s">
        <v>69</v>
      </c>
      <c r="C33" s="30" t="s">
        <v>70</v>
      </c>
      <c r="D33" s="185"/>
      <c r="E33" s="185">
        <f t="shared" si="4"/>
        <v>0</v>
      </c>
      <c r="F33" s="185">
        <f t="shared" si="21"/>
        <v>0</v>
      </c>
      <c r="G33" s="185">
        <f t="shared" si="8"/>
        <v>0</v>
      </c>
      <c r="H33" s="185">
        <f t="shared" si="12"/>
        <v>0</v>
      </c>
      <c r="I33" s="185"/>
      <c r="J33" s="185"/>
      <c r="K33" s="185"/>
      <c r="L33" s="185"/>
      <c r="M33" s="185"/>
      <c r="N33" s="185"/>
      <c r="O33" s="185"/>
      <c r="P33" s="185"/>
      <c r="Q33" s="185"/>
      <c r="R33" s="185"/>
      <c r="S33" s="185"/>
      <c r="T33" s="185"/>
      <c r="U33" s="185"/>
      <c r="V33" s="185">
        <f t="shared" si="13"/>
        <v>0</v>
      </c>
      <c r="W33" s="185"/>
      <c r="X33" s="185"/>
      <c r="Y33" s="185"/>
      <c r="Z33" s="185"/>
      <c r="AA33" s="185"/>
      <c r="AB33" s="185"/>
      <c r="AC33" s="185"/>
      <c r="AD33" s="185">
        <f>D33-BL33</f>
        <v>0</v>
      </c>
      <c r="AE33" s="185">
        <f t="shared" si="9"/>
        <v>0</v>
      </c>
      <c r="AF33" s="185"/>
      <c r="AG33" s="185"/>
      <c r="AH33" s="185"/>
      <c r="AI33" s="185"/>
      <c r="AJ33" s="185"/>
      <c r="AK33" s="185"/>
      <c r="AL33" s="185"/>
      <c r="AM33" s="185"/>
      <c r="AN33" s="185"/>
      <c r="AO33" s="185"/>
      <c r="AP33" s="185"/>
      <c r="AQ33" s="185"/>
      <c r="AR33" s="185"/>
      <c r="AS33" s="185"/>
      <c r="AT33" s="185"/>
      <c r="AU33" s="185"/>
      <c r="AV33" s="185"/>
      <c r="AW33" s="185"/>
      <c r="AX33" s="185"/>
      <c r="AY33" s="185"/>
      <c r="AZ33" s="185"/>
      <c r="BA33" s="185"/>
      <c r="BB33" s="185"/>
      <c r="BC33" s="185"/>
      <c r="BD33" s="185"/>
      <c r="BE33" s="185"/>
      <c r="BF33" s="185"/>
      <c r="BG33" s="185"/>
      <c r="BH33" s="185">
        <f t="shared" si="22"/>
        <v>0</v>
      </c>
      <c r="BI33" s="185"/>
      <c r="BJ33" s="185"/>
      <c r="BK33" s="185"/>
      <c r="BL33" s="185">
        <f>E33+W33+X33+Y33+Z33+AA33+AB33+AC33+AE33+AQ33+AR33+AS33+AT33+AU33+AV33+AW33+AX33+AY33+AZ33+BA33+BB33+BC33+BD33+BE33+BF33+BG33+BH33</f>
        <v>0</v>
      </c>
      <c r="BM33" s="185">
        <f>AD67-BL33</f>
        <v>0</v>
      </c>
      <c r="BN33" s="185">
        <f t="shared" si="23"/>
        <v>0</v>
      </c>
      <c r="BP33" s="123"/>
    </row>
    <row r="34" spans="1:68" ht="40.5" customHeight="1">
      <c r="A34" s="19" t="s">
        <v>71</v>
      </c>
      <c r="B34" s="19" t="s">
        <v>135</v>
      </c>
      <c r="C34" s="30" t="s">
        <v>72</v>
      </c>
      <c r="D34" s="185">
        <f>SUM(D35:D45)</f>
        <v>60.747900000000001</v>
      </c>
      <c r="E34" s="185">
        <f>SUM(E35:E45)</f>
        <v>0</v>
      </c>
      <c r="F34" s="185">
        <f t="shared" ref="F34:U34" si="24">SUM(F35:F45)</f>
        <v>0</v>
      </c>
      <c r="G34" s="185">
        <f t="shared" si="24"/>
        <v>0</v>
      </c>
      <c r="H34" s="185">
        <f t="shared" si="24"/>
        <v>0</v>
      </c>
      <c r="I34" s="185">
        <f t="shared" si="24"/>
        <v>0</v>
      </c>
      <c r="J34" s="185">
        <f t="shared" si="24"/>
        <v>0</v>
      </c>
      <c r="K34" s="185">
        <f t="shared" si="24"/>
        <v>0</v>
      </c>
      <c r="L34" s="185">
        <f t="shared" si="24"/>
        <v>0</v>
      </c>
      <c r="M34" s="185">
        <f t="shared" si="24"/>
        <v>0</v>
      </c>
      <c r="N34" s="185">
        <f t="shared" si="24"/>
        <v>0</v>
      </c>
      <c r="O34" s="185">
        <f t="shared" si="24"/>
        <v>0</v>
      </c>
      <c r="P34" s="185">
        <f t="shared" si="24"/>
        <v>0</v>
      </c>
      <c r="Q34" s="185">
        <f t="shared" si="24"/>
        <v>0</v>
      </c>
      <c r="R34" s="185">
        <f t="shared" si="24"/>
        <v>0</v>
      </c>
      <c r="S34" s="185">
        <f t="shared" si="24"/>
        <v>0</v>
      </c>
      <c r="T34" s="185">
        <f t="shared" si="24"/>
        <v>0</v>
      </c>
      <c r="U34" s="185">
        <f t="shared" si="24"/>
        <v>0</v>
      </c>
      <c r="V34" s="185">
        <f>SUM(V35:V45)</f>
        <v>60.747900000000001</v>
      </c>
      <c r="W34" s="185">
        <f t="shared" ref="W34:AD34" si="25">SUM(W35:W45)</f>
        <v>0</v>
      </c>
      <c r="X34" s="185">
        <f t="shared" si="25"/>
        <v>0</v>
      </c>
      <c r="Y34" s="185">
        <f t="shared" si="25"/>
        <v>0</v>
      </c>
      <c r="Z34" s="185">
        <f t="shared" si="25"/>
        <v>0</v>
      </c>
      <c r="AA34" s="185">
        <f t="shared" si="25"/>
        <v>0</v>
      </c>
      <c r="AB34" s="185">
        <f t="shared" si="25"/>
        <v>0</v>
      </c>
      <c r="AC34" s="185">
        <f t="shared" si="25"/>
        <v>0</v>
      </c>
      <c r="AD34" s="185">
        <f t="shared" si="25"/>
        <v>0</v>
      </c>
      <c r="AE34" s="185">
        <f>D34-BL34</f>
        <v>60.747900000000001</v>
      </c>
      <c r="AF34" s="185">
        <f>SUM(AF35:AF45)</f>
        <v>0.39500000000000002</v>
      </c>
      <c r="AG34" s="185">
        <f t="shared" ref="AG34:BE34" si="26">SUM(AG35:AG45)</f>
        <v>0.03</v>
      </c>
      <c r="AH34" s="185">
        <f t="shared" si="26"/>
        <v>5.71</v>
      </c>
      <c r="AI34" s="185">
        <f t="shared" si="26"/>
        <v>0</v>
      </c>
      <c r="AJ34" s="185">
        <f t="shared" si="26"/>
        <v>0</v>
      </c>
      <c r="AK34" s="185">
        <f t="shared" si="26"/>
        <v>0</v>
      </c>
      <c r="AL34" s="185">
        <f t="shared" si="26"/>
        <v>52.232900000000001</v>
      </c>
      <c r="AM34" s="185">
        <f t="shared" si="26"/>
        <v>1.52</v>
      </c>
      <c r="AN34" s="185">
        <f t="shared" si="26"/>
        <v>0.01</v>
      </c>
      <c r="AO34" s="185">
        <f t="shared" si="26"/>
        <v>0</v>
      </c>
      <c r="AP34" s="185">
        <f t="shared" si="26"/>
        <v>0.85</v>
      </c>
      <c r="AQ34" s="185">
        <f t="shared" si="26"/>
        <v>0</v>
      </c>
      <c r="AR34" s="185">
        <f t="shared" si="26"/>
        <v>0</v>
      </c>
      <c r="AS34" s="185">
        <f t="shared" si="26"/>
        <v>0</v>
      </c>
      <c r="AT34" s="185">
        <f t="shared" si="26"/>
        <v>0</v>
      </c>
      <c r="AU34" s="185">
        <f t="shared" si="26"/>
        <v>0</v>
      </c>
      <c r="AV34" s="185">
        <f t="shared" si="26"/>
        <v>0</v>
      </c>
      <c r="AW34" s="185">
        <f t="shared" si="26"/>
        <v>0</v>
      </c>
      <c r="AX34" s="185">
        <f t="shared" si="26"/>
        <v>0</v>
      </c>
      <c r="AY34" s="185">
        <f t="shared" si="26"/>
        <v>0</v>
      </c>
      <c r="AZ34" s="185">
        <f t="shared" si="26"/>
        <v>0</v>
      </c>
      <c r="BA34" s="185">
        <f t="shared" si="26"/>
        <v>0</v>
      </c>
      <c r="BB34" s="185">
        <f t="shared" si="26"/>
        <v>0</v>
      </c>
      <c r="BC34" s="185">
        <f t="shared" si="26"/>
        <v>0</v>
      </c>
      <c r="BD34" s="185">
        <f t="shared" si="26"/>
        <v>0</v>
      </c>
      <c r="BE34" s="185">
        <f t="shared" si="26"/>
        <v>0</v>
      </c>
      <c r="BF34" s="185">
        <f>SUM(BF35:BF45)</f>
        <v>0</v>
      </c>
      <c r="BG34" s="185">
        <f>SUM(BG35:BG45)</f>
        <v>0</v>
      </c>
      <c r="BH34" s="185">
        <f>BI34+BJ34+BK34</f>
        <v>0</v>
      </c>
      <c r="BI34" s="185">
        <f>SUM(BI35:BI45)</f>
        <v>0</v>
      </c>
      <c r="BJ34" s="185">
        <f>SUM(BJ35:BJ45)</f>
        <v>0</v>
      </c>
      <c r="BK34" s="185">
        <f>SUM(BK35:BK45)</f>
        <v>0</v>
      </c>
      <c r="BL34" s="185">
        <f>E34+W34+X34+Y34+Z34+AA34+AB34+AC34+AQ34+AR34+AS34+AT34+AU34+AV34+AW34+AX34+AY34+AZ34+BA34+BB34+BC34+BD34+BE34+BF34+BG34+BH34</f>
        <v>0</v>
      </c>
      <c r="BM34" s="185">
        <f>AE67-BL34</f>
        <v>0</v>
      </c>
      <c r="BN34" s="185">
        <f>SUM(BN35:BN45)</f>
        <v>60.747900000000001</v>
      </c>
      <c r="BP34" s="123"/>
    </row>
    <row r="35" spans="1:68" ht="20.100000000000001" customHeight="1">
      <c r="A35" s="14" t="s">
        <v>224</v>
      </c>
      <c r="B35" s="14" t="s">
        <v>478</v>
      </c>
      <c r="C35" s="30" t="s">
        <v>202</v>
      </c>
      <c r="D35" s="185">
        <f>#REF!</f>
        <v>0.39500000000000002</v>
      </c>
      <c r="E35" s="185">
        <f t="shared" si="4"/>
        <v>0</v>
      </c>
      <c r="F35" s="185">
        <f t="shared" si="21"/>
        <v>0</v>
      </c>
      <c r="G35" s="185">
        <f t="shared" si="8"/>
        <v>0</v>
      </c>
      <c r="H35" s="185">
        <f t="shared" si="12"/>
        <v>0</v>
      </c>
      <c r="I35" s="185"/>
      <c r="J35" s="185"/>
      <c r="K35" s="185"/>
      <c r="L35" s="185"/>
      <c r="M35" s="185"/>
      <c r="N35" s="185"/>
      <c r="O35" s="185"/>
      <c r="P35" s="185"/>
      <c r="Q35" s="185"/>
      <c r="R35" s="185"/>
      <c r="S35" s="185"/>
      <c r="T35" s="185"/>
      <c r="U35" s="185"/>
      <c r="V35" s="185">
        <f t="shared" si="13"/>
        <v>0.39500000000000002</v>
      </c>
      <c r="W35" s="185"/>
      <c r="X35" s="185"/>
      <c r="Y35" s="185"/>
      <c r="Z35" s="185"/>
      <c r="AA35" s="185"/>
      <c r="AB35" s="185"/>
      <c r="AC35" s="185"/>
      <c r="AD35" s="185"/>
      <c r="AE35" s="185">
        <f>SUM(AF35:AP35)</f>
        <v>0.39500000000000002</v>
      </c>
      <c r="AF35" s="185">
        <f>D35-BL35</f>
        <v>0.39500000000000002</v>
      </c>
      <c r="AG35" s="185"/>
      <c r="AH35" s="185"/>
      <c r="AI35" s="185"/>
      <c r="AJ35" s="185"/>
      <c r="AK35" s="185"/>
      <c r="AL35" s="185"/>
      <c r="AM35" s="185"/>
      <c r="AN35" s="185"/>
      <c r="AO35" s="185"/>
      <c r="AP35" s="185"/>
      <c r="AQ35" s="185"/>
      <c r="AR35" s="185"/>
      <c r="AS35" s="185"/>
      <c r="AT35" s="185"/>
      <c r="AU35" s="185"/>
      <c r="AV35" s="185"/>
      <c r="AW35" s="185"/>
      <c r="AX35" s="185"/>
      <c r="AY35" s="185"/>
      <c r="AZ35" s="185"/>
      <c r="BA35" s="185"/>
      <c r="BB35" s="185"/>
      <c r="BC35" s="185"/>
      <c r="BD35" s="185"/>
      <c r="BE35" s="185"/>
      <c r="BF35" s="185"/>
      <c r="BG35" s="185"/>
      <c r="BH35" s="185">
        <f t="shared" si="22"/>
        <v>0</v>
      </c>
      <c r="BI35" s="185"/>
      <c r="BJ35" s="185"/>
      <c r="BK35" s="185"/>
      <c r="BL35" s="185">
        <f>E35+W35+X35+Y35+Z35+AA35+AB35+AC35+AD35+AG35+AH35+AI35+AJ35+AK35+AL35+AM35+AN35+AO35+AP35+AQ35+AR35+AS35+AT35+AU35+AV35+AW35+AX35+AY35+AZ35+BA35+BB35+BC35+BD35</f>
        <v>0</v>
      </c>
      <c r="BM35" s="185">
        <f>AF67-BL35</f>
        <v>0</v>
      </c>
      <c r="BN35" s="185">
        <f>D35+BM35</f>
        <v>0.39500000000000002</v>
      </c>
      <c r="BP35" s="123"/>
    </row>
    <row r="36" spans="1:68" ht="20.100000000000001" customHeight="1">
      <c r="A36" s="14" t="s">
        <v>225</v>
      </c>
      <c r="B36" s="14" t="s">
        <v>479</v>
      </c>
      <c r="C36" s="30" t="s">
        <v>203</v>
      </c>
      <c r="D36" s="185">
        <f>#REF!</f>
        <v>0.03</v>
      </c>
      <c r="E36" s="185">
        <f t="shared" si="4"/>
        <v>0</v>
      </c>
      <c r="F36" s="185">
        <f t="shared" si="21"/>
        <v>0</v>
      </c>
      <c r="G36" s="185">
        <f t="shared" si="8"/>
        <v>0</v>
      </c>
      <c r="H36" s="185">
        <f t="shared" si="12"/>
        <v>0</v>
      </c>
      <c r="I36" s="185"/>
      <c r="J36" s="185"/>
      <c r="K36" s="185"/>
      <c r="L36" s="185"/>
      <c r="M36" s="185"/>
      <c r="N36" s="185"/>
      <c r="O36" s="185"/>
      <c r="P36" s="185"/>
      <c r="Q36" s="185"/>
      <c r="R36" s="185"/>
      <c r="S36" s="185"/>
      <c r="T36" s="185"/>
      <c r="U36" s="185"/>
      <c r="V36" s="185">
        <f t="shared" si="13"/>
        <v>0.03</v>
      </c>
      <c r="W36" s="185"/>
      <c r="X36" s="185"/>
      <c r="Y36" s="185"/>
      <c r="Z36" s="185"/>
      <c r="AA36" s="185"/>
      <c r="AB36" s="185"/>
      <c r="AC36" s="185"/>
      <c r="AD36" s="185"/>
      <c r="AE36" s="185">
        <f t="shared" ref="AE36:AE66" si="27">SUM(AF36:AP36)</f>
        <v>0.03</v>
      </c>
      <c r="AF36" s="185"/>
      <c r="AG36" s="185">
        <f>D36-BL36</f>
        <v>0.03</v>
      </c>
      <c r="AH36" s="185"/>
      <c r="AI36" s="185"/>
      <c r="AJ36" s="185"/>
      <c r="AK36" s="185"/>
      <c r="AL36" s="185"/>
      <c r="AM36" s="185"/>
      <c r="AN36" s="185"/>
      <c r="AO36" s="185"/>
      <c r="AP36" s="185"/>
      <c r="AQ36" s="185"/>
      <c r="AR36" s="185"/>
      <c r="AS36" s="185"/>
      <c r="AT36" s="185"/>
      <c r="AU36" s="185"/>
      <c r="AV36" s="185"/>
      <c r="AW36" s="185"/>
      <c r="AX36" s="185"/>
      <c r="AY36" s="185"/>
      <c r="AZ36" s="185"/>
      <c r="BA36" s="185"/>
      <c r="BB36" s="185"/>
      <c r="BC36" s="185"/>
      <c r="BD36" s="185"/>
      <c r="BE36" s="185"/>
      <c r="BF36" s="185"/>
      <c r="BG36" s="185"/>
      <c r="BH36" s="185">
        <f t="shared" si="22"/>
        <v>0</v>
      </c>
      <c r="BI36" s="185"/>
      <c r="BJ36" s="185"/>
      <c r="BK36" s="185"/>
      <c r="BL36" s="185">
        <f>E36+W36+X36+Y36+Z36+AA36+AB36+AC36+AD36+AF36+AH36+AI36+AJ36+AK36+AL36+AM36+AN36+AO36+AP36+AQ36+AR36+AS36+AT36+AU36+AV36+AW36+AX36+AY36+AZ36+BA36+BB36+BC36+BD36+BE36+BF36+BG36+BH36</f>
        <v>0</v>
      </c>
      <c r="BM36" s="185">
        <f>AG67-BL36</f>
        <v>0</v>
      </c>
      <c r="BN36" s="185">
        <f t="shared" ref="BN36:BN45" si="28">D36+BM36</f>
        <v>0.03</v>
      </c>
      <c r="BP36" s="123"/>
    </row>
    <row r="37" spans="1:68" ht="20.100000000000001" customHeight="1">
      <c r="A37" s="14" t="s">
        <v>226</v>
      </c>
      <c r="B37" s="14" t="s">
        <v>480</v>
      </c>
      <c r="C37" s="30" t="s">
        <v>204</v>
      </c>
      <c r="D37" s="185">
        <f>#REF!</f>
        <v>5.71</v>
      </c>
      <c r="E37" s="185">
        <f t="shared" si="4"/>
        <v>0</v>
      </c>
      <c r="F37" s="185">
        <f t="shared" si="21"/>
        <v>0</v>
      </c>
      <c r="G37" s="185">
        <f t="shared" si="8"/>
        <v>0</v>
      </c>
      <c r="H37" s="185">
        <f t="shared" si="12"/>
        <v>0</v>
      </c>
      <c r="I37" s="185"/>
      <c r="J37" s="185"/>
      <c r="K37" s="185"/>
      <c r="L37" s="185"/>
      <c r="M37" s="185"/>
      <c r="N37" s="185"/>
      <c r="O37" s="185"/>
      <c r="P37" s="185"/>
      <c r="Q37" s="185"/>
      <c r="R37" s="185"/>
      <c r="S37" s="185"/>
      <c r="T37" s="185"/>
      <c r="U37" s="185"/>
      <c r="V37" s="185">
        <f t="shared" si="13"/>
        <v>5.71</v>
      </c>
      <c r="W37" s="185"/>
      <c r="X37" s="185"/>
      <c r="Y37" s="185"/>
      <c r="Z37" s="185"/>
      <c r="AA37" s="185"/>
      <c r="AB37" s="185"/>
      <c r="AC37" s="185"/>
      <c r="AD37" s="185"/>
      <c r="AE37" s="185">
        <f t="shared" si="27"/>
        <v>5.71</v>
      </c>
      <c r="AF37" s="185"/>
      <c r="AG37" s="185"/>
      <c r="AH37" s="185">
        <f>D37-BL37</f>
        <v>5.71</v>
      </c>
      <c r="AI37" s="185"/>
      <c r="AJ37" s="185"/>
      <c r="AK37" s="185"/>
      <c r="AL37" s="185"/>
      <c r="AM37" s="185"/>
      <c r="AN37" s="185"/>
      <c r="AO37" s="185"/>
      <c r="AP37" s="185"/>
      <c r="AQ37" s="185"/>
      <c r="AR37" s="185"/>
      <c r="AS37" s="185"/>
      <c r="AT37" s="185"/>
      <c r="AU37" s="185"/>
      <c r="AV37" s="185"/>
      <c r="AW37" s="185"/>
      <c r="AX37" s="185"/>
      <c r="AY37" s="185"/>
      <c r="AZ37" s="185"/>
      <c r="BA37" s="185"/>
      <c r="BB37" s="185"/>
      <c r="BC37" s="185"/>
      <c r="BD37" s="185"/>
      <c r="BE37" s="185"/>
      <c r="BF37" s="185"/>
      <c r="BG37" s="185"/>
      <c r="BH37" s="185">
        <f t="shared" si="22"/>
        <v>0</v>
      </c>
      <c r="BI37" s="185"/>
      <c r="BJ37" s="185"/>
      <c r="BK37" s="185"/>
      <c r="BL37" s="185">
        <f>E37+W37+X37+Y37+Z37+AA37+AB37+AC37+AD37+AF37+AG37+AI37+AJ37+AK37+AL37+AM37+AN37+AO37+AP37+AQ37+AR37+AS37+AT37+AU37+AV37+AW37+AX37+AY37+AZ37+BA37+BB37+BC37+BD37+BE37+BF37+BG37+BH37</f>
        <v>0</v>
      </c>
      <c r="BM37" s="185">
        <f>AH67-BL37</f>
        <v>0</v>
      </c>
      <c r="BN37" s="185">
        <f t="shared" si="28"/>
        <v>5.71</v>
      </c>
      <c r="BP37" s="123"/>
    </row>
    <row r="38" spans="1:68" ht="20.100000000000001" customHeight="1">
      <c r="A38" s="14" t="s">
        <v>227</v>
      </c>
      <c r="B38" s="14" t="s">
        <v>481</v>
      </c>
      <c r="C38" s="30" t="s">
        <v>205</v>
      </c>
      <c r="D38" s="185"/>
      <c r="E38" s="185">
        <f t="shared" si="4"/>
        <v>0</v>
      </c>
      <c r="F38" s="185">
        <f t="shared" si="21"/>
        <v>0</v>
      </c>
      <c r="G38" s="185">
        <f t="shared" si="8"/>
        <v>0</v>
      </c>
      <c r="H38" s="185">
        <f t="shared" si="12"/>
        <v>0</v>
      </c>
      <c r="I38" s="185"/>
      <c r="J38" s="185"/>
      <c r="K38" s="185"/>
      <c r="L38" s="185"/>
      <c r="M38" s="185"/>
      <c r="N38" s="185"/>
      <c r="O38" s="185"/>
      <c r="P38" s="185"/>
      <c r="Q38" s="185"/>
      <c r="R38" s="185"/>
      <c r="S38" s="185"/>
      <c r="T38" s="185"/>
      <c r="U38" s="185"/>
      <c r="V38" s="185">
        <f t="shared" si="13"/>
        <v>0</v>
      </c>
      <c r="W38" s="185"/>
      <c r="X38" s="185"/>
      <c r="Y38" s="185"/>
      <c r="Z38" s="185"/>
      <c r="AA38" s="185"/>
      <c r="AB38" s="185"/>
      <c r="AC38" s="185"/>
      <c r="AD38" s="185"/>
      <c r="AE38" s="185">
        <f t="shared" si="27"/>
        <v>0</v>
      </c>
      <c r="AF38" s="185"/>
      <c r="AG38" s="185"/>
      <c r="AH38" s="185"/>
      <c r="AI38" s="185">
        <f>D38-BL38</f>
        <v>0</v>
      </c>
      <c r="AJ38" s="185"/>
      <c r="AK38" s="185"/>
      <c r="AL38" s="185"/>
      <c r="AM38" s="185"/>
      <c r="AN38" s="185"/>
      <c r="AO38" s="185"/>
      <c r="AP38" s="185"/>
      <c r="AQ38" s="185"/>
      <c r="AR38" s="185"/>
      <c r="AS38" s="185"/>
      <c r="AT38" s="185"/>
      <c r="AU38" s="185"/>
      <c r="AV38" s="185"/>
      <c r="AW38" s="185"/>
      <c r="AX38" s="185"/>
      <c r="AY38" s="185"/>
      <c r="AZ38" s="185"/>
      <c r="BA38" s="185"/>
      <c r="BB38" s="185"/>
      <c r="BC38" s="185"/>
      <c r="BD38" s="185"/>
      <c r="BE38" s="185"/>
      <c r="BF38" s="185"/>
      <c r="BG38" s="185"/>
      <c r="BH38" s="185">
        <f t="shared" si="22"/>
        <v>0</v>
      </c>
      <c r="BI38" s="185"/>
      <c r="BJ38" s="185"/>
      <c r="BK38" s="185"/>
      <c r="BL38" s="185">
        <f>E38+W38+X38+Y38+Z38+AA38+AB38+AC38+AD38+AF38+AG38+AH38+AJ38+AK38+AL38+AM38+AN38+AO38+AP38+AQ38+AR38+AS38+AT38+AU38+AV38+AW38+AX38+AY38+AZ38+BA38+BB38+BC38+BD38+BE38+BF38+BG38+BH38</f>
        <v>0</v>
      </c>
      <c r="BM38" s="185">
        <f>AI67-BL38</f>
        <v>0</v>
      </c>
      <c r="BN38" s="185">
        <f t="shared" si="28"/>
        <v>0</v>
      </c>
      <c r="BP38" s="123"/>
    </row>
    <row r="39" spans="1:68" ht="20.100000000000001" customHeight="1">
      <c r="A39" s="14" t="s">
        <v>228</v>
      </c>
      <c r="B39" s="14" t="s">
        <v>482</v>
      </c>
      <c r="C39" s="30" t="s">
        <v>206</v>
      </c>
      <c r="D39" s="185"/>
      <c r="E39" s="185">
        <f t="shared" si="4"/>
        <v>0</v>
      </c>
      <c r="F39" s="185">
        <f t="shared" si="21"/>
        <v>0</v>
      </c>
      <c r="G39" s="185">
        <f t="shared" si="8"/>
        <v>0</v>
      </c>
      <c r="H39" s="185">
        <f t="shared" si="12"/>
        <v>0</v>
      </c>
      <c r="I39" s="185"/>
      <c r="J39" s="185"/>
      <c r="K39" s="185"/>
      <c r="L39" s="185"/>
      <c r="M39" s="185"/>
      <c r="N39" s="185"/>
      <c r="O39" s="185"/>
      <c r="P39" s="185"/>
      <c r="Q39" s="185"/>
      <c r="R39" s="185"/>
      <c r="S39" s="185"/>
      <c r="T39" s="185"/>
      <c r="U39" s="185"/>
      <c r="V39" s="185">
        <f t="shared" si="13"/>
        <v>0</v>
      </c>
      <c r="W39" s="185"/>
      <c r="X39" s="185"/>
      <c r="Y39" s="185"/>
      <c r="Z39" s="185"/>
      <c r="AA39" s="185"/>
      <c r="AB39" s="185"/>
      <c r="AC39" s="185"/>
      <c r="AD39" s="185"/>
      <c r="AE39" s="185">
        <f t="shared" si="27"/>
        <v>0</v>
      </c>
      <c r="AF39" s="185"/>
      <c r="AG39" s="185"/>
      <c r="AH39" s="185"/>
      <c r="AI39" s="185"/>
      <c r="AJ39" s="185">
        <f>D39-BL39</f>
        <v>0</v>
      </c>
      <c r="AK39" s="185"/>
      <c r="AL39" s="185"/>
      <c r="AM39" s="185"/>
      <c r="AN39" s="185"/>
      <c r="AO39" s="185"/>
      <c r="AP39" s="185"/>
      <c r="AQ39" s="185"/>
      <c r="AR39" s="185"/>
      <c r="AS39" s="185"/>
      <c r="AT39" s="185"/>
      <c r="AU39" s="185"/>
      <c r="AV39" s="185"/>
      <c r="AW39" s="185"/>
      <c r="AX39" s="185"/>
      <c r="AY39" s="185"/>
      <c r="AZ39" s="185"/>
      <c r="BA39" s="185"/>
      <c r="BB39" s="185"/>
      <c r="BC39" s="185"/>
      <c r="BD39" s="185"/>
      <c r="BE39" s="185"/>
      <c r="BF39" s="185"/>
      <c r="BG39" s="185"/>
      <c r="BH39" s="185">
        <f t="shared" si="22"/>
        <v>0</v>
      </c>
      <c r="BI39" s="185"/>
      <c r="BJ39" s="185"/>
      <c r="BK39" s="185"/>
      <c r="BL39" s="185">
        <f>E39+W39+X39+Y39+Z39+AA39+AB39+AC39+AD39+AQ39+AR39+AS39+AT39+AU39+AV39+AW39+AX39+AY39+AZ39+BA39+BB39+BC39+BD39+BE39+BF39+BG39+BH39+AF39+AG39+AH39+AI39+AK39+AL39+AM39+AN39+AO39+AP39</f>
        <v>0</v>
      </c>
      <c r="BM39" s="185">
        <f>AJ67-BL39</f>
        <v>0</v>
      </c>
      <c r="BN39" s="185">
        <f t="shared" si="28"/>
        <v>0</v>
      </c>
      <c r="BP39" s="123"/>
    </row>
    <row r="40" spans="1:68" ht="20.100000000000001" customHeight="1">
      <c r="A40" s="14" t="s">
        <v>229</v>
      </c>
      <c r="B40" s="14" t="s">
        <v>483</v>
      </c>
      <c r="C40" s="30" t="s">
        <v>207</v>
      </c>
      <c r="D40" s="185"/>
      <c r="E40" s="185">
        <f t="shared" si="4"/>
        <v>0</v>
      </c>
      <c r="F40" s="185">
        <f t="shared" si="21"/>
        <v>0</v>
      </c>
      <c r="G40" s="185">
        <f t="shared" si="8"/>
        <v>0</v>
      </c>
      <c r="H40" s="185">
        <f t="shared" si="12"/>
        <v>0</v>
      </c>
      <c r="I40" s="185"/>
      <c r="J40" s="185"/>
      <c r="K40" s="185"/>
      <c r="L40" s="185"/>
      <c r="M40" s="185"/>
      <c r="N40" s="185"/>
      <c r="O40" s="185"/>
      <c r="P40" s="185"/>
      <c r="Q40" s="185"/>
      <c r="R40" s="185"/>
      <c r="S40" s="185"/>
      <c r="T40" s="185"/>
      <c r="U40" s="185"/>
      <c r="V40" s="185">
        <f t="shared" si="13"/>
        <v>0</v>
      </c>
      <c r="W40" s="185"/>
      <c r="X40" s="185"/>
      <c r="Y40" s="185"/>
      <c r="Z40" s="185"/>
      <c r="AA40" s="185"/>
      <c r="AB40" s="185"/>
      <c r="AC40" s="185"/>
      <c r="AD40" s="185"/>
      <c r="AE40" s="185">
        <f t="shared" si="27"/>
        <v>0</v>
      </c>
      <c r="AF40" s="185"/>
      <c r="AG40" s="185"/>
      <c r="AH40" s="185"/>
      <c r="AI40" s="185"/>
      <c r="AJ40" s="185"/>
      <c r="AK40" s="185">
        <f>D40-BL40</f>
        <v>0</v>
      </c>
      <c r="AL40" s="185"/>
      <c r="AM40" s="185"/>
      <c r="AN40" s="185"/>
      <c r="AO40" s="185"/>
      <c r="AP40" s="185"/>
      <c r="AQ40" s="185"/>
      <c r="AR40" s="185"/>
      <c r="AS40" s="185"/>
      <c r="AT40" s="185"/>
      <c r="AU40" s="185"/>
      <c r="AV40" s="185"/>
      <c r="AW40" s="185"/>
      <c r="AX40" s="185"/>
      <c r="AY40" s="185"/>
      <c r="AZ40" s="185"/>
      <c r="BA40" s="185"/>
      <c r="BB40" s="185"/>
      <c r="BC40" s="185"/>
      <c r="BD40" s="185"/>
      <c r="BE40" s="185"/>
      <c r="BF40" s="185"/>
      <c r="BG40" s="185"/>
      <c r="BH40" s="185">
        <f t="shared" si="22"/>
        <v>0</v>
      </c>
      <c r="BI40" s="185"/>
      <c r="BJ40" s="185"/>
      <c r="BK40" s="185"/>
      <c r="BL40" s="185">
        <f>E40+W40+X40+Y40+Z40+AA40+AB40+AC40+AD40+AF40+AG40+AH40+AI40+AJ40+AL40+AM40+AN40+AO40+AP40+AQ40+AR40+AS40+AT40+AU40+AV40+AW40+AX40+AY40+AZ40+BA40+BB40+BC40+BD40+BE40+BF40+BG40+BH40</f>
        <v>0</v>
      </c>
      <c r="BM40" s="185">
        <f>AK67-BL40</f>
        <v>0</v>
      </c>
      <c r="BN40" s="185">
        <f t="shared" si="28"/>
        <v>0</v>
      </c>
      <c r="BP40" s="123"/>
    </row>
    <row r="41" spans="1:68" ht="20.100000000000001" customHeight="1">
      <c r="A41" s="14" t="s">
        <v>230</v>
      </c>
      <c r="B41" s="14" t="s">
        <v>484</v>
      </c>
      <c r="C41" s="30" t="s">
        <v>199</v>
      </c>
      <c r="D41" s="185">
        <f>#REF!</f>
        <v>52.232900000000001</v>
      </c>
      <c r="E41" s="185">
        <f t="shared" si="4"/>
        <v>0</v>
      </c>
      <c r="F41" s="185">
        <f t="shared" si="21"/>
        <v>0</v>
      </c>
      <c r="G41" s="185">
        <f t="shared" si="8"/>
        <v>0</v>
      </c>
      <c r="H41" s="185">
        <f t="shared" si="12"/>
        <v>0</v>
      </c>
      <c r="I41" s="185"/>
      <c r="J41" s="185"/>
      <c r="K41" s="185"/>
      <c r="L41" s="185"/>
      <c r="M41" s="185"/>
      <c r="N41" s="185"/>
      <c r="O41" s="185"/>
      <c r="P41" s="185"/>
      <c r="Q41" s="185"/>
      <c r="R41" s="185"/>
      <c r="S41" s="185"/>
      <c r="T41" s="185"/>
      <c r="U41" s="185"/>
      <c r="V41" s="185">
        <f t="shared" si="13"/>
        <v>52.232900000000001</v>
      </c>
      <c r="W41" s="185"/>
      <c r="X41" s="185"/>
      <c r="Y41" s="185"/>
      <c r="Z41" s="185"/>
      <c r="AA41" s="185"/>
      <c r="AB41" s="185"/>
      <c r="AC41" s="185"/>
      <c r="AD41" s="185"/>
      <c r="AE41" s="185">
        <f t="shared" si="27"/>
        <v>52.232900000000001</v>
      </c>
      <c r="AF41" s="185"/>
      <c r="AG41" s="185"/>
      <c r="AH41" s="185"/>
      <c r="AI41" s="185"/>
      <c r="AJ41" s="185"/>
      <c r="AK41" s="185"/>
      <c r="AL41" s="185">
        <f>D41-BL41</f>
        <v>52.232900000000001</v>
      </c>
      <c r="AM41" s="185"/>
      <c r="AN41" s="185"/>
      <c r="AO41" s="185"/>
      <c r="AP41" s="185"/>
      <c r="AQ41" s="185"/>
      <c r="AR41" s="185"/>
      <c r="AS41" s="185"/>
      <c r="AT41" s="185"/>
      <c r="AU41" s="185"/>
      <c r="AV41" s="185"/>
      <c r="AW41" s="185"/>
      <c r="AX41" s="185"/>
      <c r="AY41" s="185"/>
      <c r="AZ41" s="185"/>
      <c r="BA41" s="185"/>
      <c r="BB41" s="185"/>
      <c r="BC41" s="185"/>
      <c r="BD41" s="185"/>
      <c r="BE41" s="185"/>
      <c r="BF41" s="185"/>
      <c r="BG41" s="185"/>
      <c r="BH41" s="185">
        <f t="shared" si="22"/>
        <v>0</v>
      </c>
      <c r="BI41" s="185"/>
      <c r="BJ41" s="185"/>
      <c r="BK41" s="185"/>
      <c r="BL41" s="185">
        <f>E41+W41+X41+Y41+Z41+AA41+AB41+AC41+AD41+AF41+AG41+AH41+AI41+AJ41+AK41+AM41+AN41+AO41+AP41+AQ41+AR41+AS41+AT41+AU41+AV41+AW41+AX41+AY41+AZ41+BA41+BB41+BC41+BD41+BE41+BF41+BG41+BH41</f>
        <v>0</v>
      </c>
      <c r="BM41" s="185">
        <f>AL67-BL41</f>
        <v>0</v>
      </c>
      <c r="BN41" s="185">
        <f t="shared" si="28"/>
        <v>52.232900000000001</v>
      </c>
      <c r="BP41" s="123"/>
    </row>
    <row r="42" spans="1:68" ht="20.100000000000001" customHeight="1">
      <c r="A42" s="14" t="s">
        <v>231</v>
      </c>
      <c r="B42" s="14" t="s">
        <v>485</v>
      </c>
      <c r="C42" s="30" t="s">
        <v>200</v>
      </c>
      <c r="D42" s="185">
        <f>#REF!</f>
        <v>1.52</v>
      </c>
      <c r="E42" s="185">
        <f t="shared" si="4"/>
        <v>0</v>
      </c>
      <c r="F42" s="185">
        <f t="shared" si="21"/>
        <v>0</v>
      </c>
      <c r="G42" s="185">
        <f t="shared" si="8"/>
        <v>0</v>
      </c>
      <c r="H42" s="185">
        <f t="shared" si="12"/>
        <v>0</v>
      </c>
      <c r="I42" s="185"/>
      <c r="J42" s="185"/>
      <c r="K42" s="185"/>
      <c r="L42" s="185"/>
      <c r="M42" s="185"/>
      <c r="N42" s="185"/>
      <c r="O42" s="185"/>
      <c r="P42" s="185"/>
      <c r="Q42" s="185"/>
      <c r="R42" s="185"/>
      <c r="S42" s="185"/>
      <c r="T42" s="185"/>
      <c r="U42" s="185"/>
      <c r="V42" s="185">
        <f t="shared" si="13"/>
        <v>1.52</v>
      </c>
      <c r="W42" s="185"/>
      <c r="X42" s="185"/>
      <c r="Y42" s="185"/>
      <c r="Z42" s="185"/>
      <c r="AA42" s="185"/>
      <c r="AB42" s="185"/>
      <c r="AC42" s="185"/>
      <c r="AD42" s="185"/>
      <c r="AE42" s="185">
        <f t="shared" si="27"/>
        <v>1.52</v>
      </c>
      <c r="AF42" s="185"/>
      <c r="AG42" s="185"/>
      <c r="AH42" s="185"/>
      <c r="AI42" s="185"/>
      <c r="AJ42" s="185"/>
      <c r="AK42" s="185"/>
      <c r="AL42" s="185"/>
      <c r="AM42" s="185">
        <f>D42-BL42</f>
        <v>1.52</v>
      </c>
      <c r="AN42" s="185"/>
      <c r="AO42" s="185"/>
      <c r="AP42" s="185"/>
      <c r="AQ42" s="185"/>
      <c r="AR42" s="185"/>
      <c r="AS42" s="185"/>
      <c r="AT42" s="185"/>
      <c r="AU42" s="185"/>
      <c r="AV42" s="185"/>
      <c r="AW42" s="185"/>
      <c r="AX42" s="185"/>
      <c r="AY42" s="185"/>
      <c r="AZ42" s="185"/>
      <c r="BA42" s="185"/>
      <c r="BB42" s="185"/>
      <c r="BC42" s="185"/>
      <c r="BD42" s="185"/>
      <c r="BE42" s="185"/>
      <c r="BF42" s="185"/>
      <c r="BG42" s="185"/>
      <c r="BH42" s="185">
        <f t="shared" si="22"/>
        <v>0</v>
      </c>
      <c r="BI42" s="185"/>
      <c r="BJ42" s="185"/>
      <c r="BK42" s="185"/>
      <c r="BL42" s="185">
        <f>E42+W42+X42+Y42+Z42+AA42+AB42+AC42+AD42+AF42+AG42+AH42+AI42+AJ42+AK42+AL42+AN42+AO42+AP42+AQ42+AR42+AS42+AT42+AU42+AV42+AW42+AX42+AY42+AZ42+BA42+BB42+BC42+BD42+BE42+BF42+BG42+BH42</f>
        <v>0</v>
      </c>
      <c r="BM42" s="185">
        <f>AM67-BL42</f>
        <v>0</v>
      </c>
      <c r="BN42" s="185">
        <f t="shared" si="28"/>
        <v>1.52</v>
      </c>
      <c r="BP42" s="123"/>
    </row>
    <row r="43" spans="1:68" ht="20.100000000000001" customHeight="1">
      <c r="A43" s="14" t="s">
        <v>232</v>
      </c>
      <c r="B43" s="14" t="s">
        <v>486</v>
      </c>
      <c r="C43" s="30" t="s">
        <v>223</v>
      </c>
      <c r="D43" s="185">
        <f>#REF!</f>
        <v>0.01</v>
      </c>
      <c r="E43" s="185">
        <f t="shared" si="4"/>
        <v>0</v>
      </c>
      <c r="F43" s="185">
        <f t="shared" si="21"/>
        <v>0</v>
      </c>
      <c r="G43" s="185">
        <f t="shared" si="8"/>
        <v>0</v>
      </c>
      <c r="H43" s="185">
        <f t="shared" si="12"/>
        <v>0</v>
      </c>
      <c r="I43" s="185"/>
      <c r="J43" s="185"/>
      <c r="K43" s="185"/>
      <c r="L43" s="185"/>
      <c r="M43" s="185"/>
      <c r="N43" s="185"/>
      <c r="O43" s="185"/>
      <c r="P43" s="185"/>
      <c r="Q43" s="185"/>
      <c r="R43" s="185"/>
      <c r="S43" s="185"/>
      <c r="T43" s="185"/>
      <c r="U43" s="185"/>
      <c r="V43" s="185">
        <f t="shared" si="13"/>
        <v>0.01</v>
      </c>
      <c r="W43" s="185"/>
      <c r="X43" s="185"/>
      <c r="Y43" s="185"/>
      <c r="Z43" s="185"/>
      <c r="AA43" s="185"/>
      <c r="AB43" s="185"/>
      <c r="AC43" s="185"/>
      <c r="AD43" s="185"/>
      <c r="AE43" s="185">
        <f t="shared" si="27"/>
        <v>0.01</v>
      </c>
      <c r="AF43" s="185"/>
      <c r="AG43" s="185"/>
      <c r="AH43" s="185"/>
      <c r="AI43" s="185"/>
      <c r="AJ43" s="185"/>
      <c r="AK43" s="185"/>
      <c r="AL43" s="185"/>
      <c r="AM43" s="185"/>
      <c r="AN43" s="185">
        <f>D43-BL43</f>
        <v>0.01</v>
      </c>
      <c r="AO43" s="185"/>
      <c r="AP43" s="185"/>
      <c r="AQ43" s="185"/>
      <c r="AR43" s="185"/>
      <c r="AS43" s="185"/>
      <c r="AT43" s="185"/>
      <c r="AU43" s="185"/>
      <c r="AV43" s="185"/>
      <c r="AW43" s="185"/>
      <c r="AX43" s="185"/>
      <c r="AY43" s="185"/>
      <c r="AZ43" s="185"/>
      <c r="BA43" s="185"/>
      <c r="BB43" s="185"/>
      <c r="BC43" s="185"/>
      <c r="BD43" s="185"/>
      <c r="BE43" s="185"/>
      <c r="BF43" s="185"/>
      <c r="BG43" s="185"/>
      <c r="BH43" s="185">
        <f t="shared" si="22"/>
        <v>0</v>
      </c>
      <c r="BI43" s="185"/>
      <c r="BJ43" s="185"/>
      <c r="BK43" s="185"/>
      <c r="BL43" s="185">
        <f>E43+W43+X43+Y43+Z43+AA43+AB43+AC43+AD43+AF43+AG43+AH43+AI43+AJ43+AK43+AL43+AM43+AO43+AP43+AQ43+AR43+AS43+AT43+AU43+AV43+AW43+AX43+AY43+AZ43+BA43+BB43+BC43+BD43+BE43+BF43+BG43+BH43</f>
        <v>0</v>
      </c>
      <c r="BM43" s="185">
        <f>AN67-BL43</f>
        <v>0</v>
      </c>
      <c r="BN43" s="185">
        <f t="shared" si="28"/>
        <v>0.01</v>
      </c>
      <c r="BP43" s="123"/>
    </row>
    <row r="44" spans="1:68" ht="20.100000000000001" customHeight="1">
      <c r="A44" s="14" t="s">
        <v>233</v>
      </c>
      <c r="B44" s="14" t="s">
        <v>487</v>
      </c>
      <c r="C44" s="30" t="s">
        <v>201</v>
      </c>
      <c r="D44" s="185"/>
      <c r="E44" s="185">
        <f t="shared" si="4"/>
        <v>0</v>
      </c>
      <c r="F44" s="185">
        <f t="shared" si="21"/>
        <v>0</v>
      </c>
      <c r="G44" s="185">
        <f t="shared" si="8"/>
        <v>0</v>
      </c>
      <c r="H44" s="185">
        <f t="shared" si="12"/>
        <v>0</v>
      </c>
      <c r="I44" s="185"/>
      <c r="J44" s="185"/>
      <c r="K44" s="185"/>
      <c r="L44" s="185"/>
      <c r="M44" s="185"/>
      <c r="N44" s="185"/>
      <c r="O44" s="185"/>
      <c r="P44" s="185"/>
      <c r="Q44" s="185"/>
      <c r="R44" s="185"/>
      <c r="S44" s="185"/>
      <c r="T44" s="185"/>
      <c r="U44" s="185"/>
      <c r="V44" s="185">
        <f t="shared" si="13"/>
        <v>0</v>
      </c>
      <c r="W44" s="185"/>
      <c r="X44" s="185"/>
      <c r="Y44" s="185"/>
      <c r="Z44" s="185"/>
      <c r="AA44" s="185"/>
      <c r="AB44" s="185"/>
      <c r="AC44" s="185"/>
      <c r="AD44" s="185"/>
      <c r="AE44" s="185">
        <f t="shared" si="27"/>
        <v>0</v>
      </c>
      <c r="AF44" s="185"/>
      <c r="AG44" s="185"/>
      <c r="AH44" s="185"/>
      <c r="AI44" s="185"/>
      <c r="AJ44" s="185"/>
      <c r="AK44" s="185"/>
      <c r="AL44" s="185"/>
      <c r="AM44" s="185"/>
      <c r="AN44" s="185"/>
      <c r="AO44" s="185">
        <f>D44-BL44</f>
        <v>0</v>
      </c>
      <c r="AP44" s="185"/>
      <c r="AQ44" s="185"/>
      <c r="AR44" s="185"/>
      <c r="AS44" s="185"/>
      <c r="AT44" s="185"/>
      <c r="AU44" s="185"/>
      <c r="AV44" s="185"/>
      <c r="AW44" s="185"/>
      <c r="AX44" s="185"/>
      <c r="AY44" s="185"/>
      <c r="AZ44" s="185"/>
      <c r="BA44" s="185"/>
      <c r="BB44" s="185"/>
      <c r="BC44" s="185"/>
      <c r="BD44" s="185"/>
      <c r="BE44" s="185"/>
      <c r="BF44" s="185"/>
      <c r="BG44" s="185"/>
      <c r="BH44" s="185">
        <f t="shared" si="22"/>
        <v>0</v>
      </c>
      <c r="BI44" s="185"/>
      <c r="BJ44" s="185"/>
      <c r="BK44" s="185"/>
      <c r="BL44" s="185">
        <f>E44+W44+X44+Y44+Z44+AA44+AB44+AC44+AD44+AF44+AG44+AH44+AI44+AJ44+AK44+AL44+AM44+AN44+AP44+AQ44+AR44+AS44+AT44+AU44+AV44+AW44+AX44+AY44+AZ44+BA44+BB44+BC44+BD44+BE44+BF44+BG44+BH44</f>
        <v>0</v>
      </c>
      <c r="BM44" s="185">
        <f>AO67-BL44</f>
        <v>0</v>
      </c>
      <c r="BN44" s="185">
        <f t="shared" si="28"/>
        <v>0</v>
      </c>
      <c r="BP44" s="123"/>
    </row>
    <row r="45" spans="1:68" ht="20.100000000000001" customHeight="1">
      <c r="A45" s="14" t="s">
        <v>234</v>
      </c>
      <c r="B45" s="14" t="s">
        <v>488</v>
      </c>
      <c r="C45" s="30" t="s">
        <v>208</v>
      </c>
      <c r="D45" s="185">
        <f>#REF!</f>
        <v>0.85</v>
      </c>
      <c r="E45" s="185">
        <f t="shared" si="4"/>
        <v>0</v>
      </c>
      <c r="F45" s="185">
        <f t="shared" si="21"/>
        <v>0</v>
      </c>
      <c r="G45" s="185">
        <f t="shared" si="8"/>
        <v>0</v>
      </c>
      <c r="H45" s="185">
        <f t="shared" si="12"/>
        <v>0</v>
      </c>
      <c r="I45" s="185"/>
      <c r="J45" s="185"/>
      <c r="K45" s="185"/>
      <c r="L45" s="185"/>
      <c r="M45" s="185"/>
      <c r="N45" s="185"/>
      <c r="O45" s="185"/>
      <c r="P45" s="185"/>
      <c r="Q45" s="185"/>
      <c r="R45" s="185"/>
      <c r="S45" s="185"/>
      <c r="T45" s="185"/>
      <c r="U45" s="185"/>
      <c r="V45" s="185">
        <f t="shared" si="13"/>
        <v>0.85</v>
      </c>
      <c r="W45" s="185"/>
      <c r="X45" s="185"/>
      <c r="Y45" s="185"/>
      <c r="Z45" s="185"/>
      <c r="AA45" s="185"/>
      <c r="AB45" s="185"/>
      <c r="AC45" s="185"/>
      <c r="AD45" s="185"/>
      <c r="AE45" s="185">
        <f t="shared" si="27"/>
        <v>0.85</v>
      </c>
      <c r="AF45" s="185"/>
      <c r="AG45" s="185"/>
      <c r="AH45" s="185"/>
      <c r="AI45" s="185"/>
      <c r="AJ45" s="185"/>
      <c r="AK45" s="185"/>
      <c r="AL45" s="185"/>
      <c r="AM45" s="185"/>
      <c r="AN45" s="185"/>
      <c r="AO45" s="185"/>
      <c r="AP45" s="185">
        <f>D45-BL45</f>
        <v>0.85</v>
      </c>
      <c r="AQ45" s="185"/>
      <c r="AR45" s="185"/>
      <c r="AS45" s="185"/>
      <c r="AT45" s="185"/>
      <c r="AU45" s="185"/>
      <c r="AV45" s="185"/>
      <c r="AW45" s="185"/>
      <c r="AX45" s="185"/>
      <c r="AY45" s="185"/>
      <c r="AZ45" s="185"/>
      <c r="BA45" s="185"/>
      <c r="BB45" s="185"/>
      <c r="BC45" s="185"/>
      <c r="BD45" s="185"/>
      <c r="BE45" s="185"/>
      <c r="BF45" s="185"/>
      <c r="BG45" s="185"/>
      <c r="BH45" s="185">
        <f t="shared" si="22"/>
        <v>0</v>
      </c>
      <c r="BI45" s="185"/>
      <c r="BJ45" s="185"/>
      <c r="BK45" s="185"/>
      <c r="BL45" s="185">
        <f>E45+W45+X45+Y45+Z45+AA45+AB45+AC45+AD45+AF45+AG45+AH45+AI45+AJ45+AK45+AL45+AM45+AN45+AO45+AQ45+AR45+AS45+AT45+AU45+AV45+AW45+AX45+AY45+AZ45+BA45+BB45+BC45+BD45+BE45+BF45+BG45+BH45</f>
        <v>0</v>
      </c>
      <c r="BM45" s="185">
        <f>AP67-BL45</f>
        <v>0</v>
      </c>
      <c r="BN45" s="185">
        <f t="shared" si="28"/>
        <v>0.85</v>
      </c>
      <c r="BP45" s="123"/>
    </row>
    <row r="46" spans="1:68" ht="20.100000000000001" customHeight="1">
      <c r="A46" s="19" t="s">
        <v>73</v>
      </c>
      <c r="B46" s="19" t="s">
        <v>74</v>
      </c>
      <c r="C46" s="30" t="s">
        <v>75</v>
      </c>
      <c r="D46" s="185"/>
      <c r="E46" s="185">
        <f t="shared" si="4"/>
        <v>0</v>
      </c>
      <c r="F46" s="185">
        <f t="shared" si="21"/>
        <v>0</v>
      </c>
      <c r="G46" s="185">
        <f t="shared" si="8"/>
        <v>0</v>
      </c>
      <c r="H46" s="185">
        <f t="shared" si="12"/>
        <v>0</v>
      </c>
      <c r="I46" s="185"/>
      <c r="J46" s="185"/>
      <c r="K46" s="185"/>
      <c r="L46" s="185"/>
      <c r="M46" s="185"/>
      <c r="N46" s="185"/>
      <c r="O46" s="185"/>
      <c r="P46" s="185"/>
      <c r="Q46" s="185"/>
      <c r="R46" s="185"/>
      <c r="S46" s="185"/>
      <c r="T46" s="185"/>
      <c r="U46" s="185"/>
      <c r="V46" s="185">
        <f t="shared" si="13"/>
        <v>0</v>
      </c>
      <c r="W46" s="185"/>
      <c r="X46" s="185"/>
      <c r="Y46" s="185"/>
      <c r="Z46" s="185"/>
      <c r="AA46" s="185"/>
      <c r="AB46" s="185"/>
      <c r="AC46" s="185"/>
      <c r="AD46" s="185"/>
      <c r="AE46" s="185">
        <f t="shared" si="27"/>
        <v>0</v>
      </c>
      <c r="AF46" s="185"/>
      <c r="AG46" s="185"/>
      <c r="AH46" s="185"/>
      <c r="AI46" s="185"/>
      <c r="AJ46" s="185"/>
      <c r="AK46" s="185"/>
      <c r="AL46" s="185"/>
      <c r="AM46" s="185"/>
      <c r="AN46" s="185"/>
      <c r="AO46" s="185"/>
      <c r="AP46" s="185"/>
      <c r="AQ46" s="185">
        <f>D46-BL46</f>
        <v>0</v>
      </c>
      <c r="AR46" s="185"/>
      <c r="AS46" s="185"/>
      <c r="AT46" s="185"/>
      <c r="AU46" s="185"/>
      <c r="AV46" s="185"/>
      <c r="AW46" s="185"/>
      <c r="AX46" s="185"/>
      <c r="AY46" s="185"/>
      <c r="AZ46" s="185"/>
      <c r="BA46" s="185"/>
      <c r="BB46" s="185"/>
      <c r="BC46" s="185"/>
      <c r="BD46" s="185"/>
      <c r="BE46" s="185"/>
      <c r="BF46" s="185"/>
      <c r="BG46" s="185"/>
      <c r="BH46" s="185">
        <f t="shared" si="22"/>
        <v>0</v>
      </c>
      <c r="BI46" s="185"/>
      <c r="BJ46" s="185"/>
      <c r="BK46" s="185"/>
      <c r="BL46" s="185">
        <f>E46+W46+X46+Y46+Z46+AA46+AB46+AC46+AD46+AE46+AR46+AS46+AT46+AU46+AV46+AW46+AX46+AY46+AZ46+BA46+BB46+BC46+BD46+BE46+BF46+BG46+BH46</f>
        <v>0</v>
      </c>
      <c r="BM46" s="185">
        <f>AQ67-BL46</f>
        <v>0</v>
      </c>
      <c r="BN46" s="185">
        <f>D46+BM46</f>
        <v>0</v>
      </c>
      <c r="BP46" s="123"/>
    </row>
    <row r="47" spans="1:68" ht="20.100000000000001" customHeight="1">
      <c r="A47" s="19" t="s">
        <v>76</v>
      </c>
      <c r="B47" s="19" t="s">
        <v>77</v>
      </c>
      <c r="C47" s="30" t="s">
        <v>78</v>
      </c>
      <c r="D47" s="185"/>
      <c r="E47" s="185">
        <f t="shared" si="4"/>
        <v>0</v>
      </c>
      <c r="F47" s="185">
        <f t="shared" si="21"/>
        <v>0</v>
      </c>
      <c r="G47" s="185">
        <f t="shared" si="8"/>
        <v>0</v>
      </c>
      <c r="H47" s="185">
        <f t="shared" si="12"/>
        <v>0</v>
      </c>
      <c r="I47" s="185"/>
      <c r="J47" s="185"/>
      <c r="K47" s="185"/>
      <c r="L47" s="185"/>
      <c r="M47" s="185"/>
      <c r="N47" s="185"/>
      <c r="O47" s="185"/>
      <c r="P47" s="185"/>
      <c r="Q47" s="185"/>
      <c r="R47" s="185"/>
      <c r="S47" s="185"/>
      <c r="T47" s="185"/>
      <c r="U47" s="185"/>
      <c r="V47" s="185">
        <f t="shared" si="13"/>
        <v>0</v>
      </c>
      <c r="W47" s="185"/>
      <c r="X47" s="185"/>
      <c r="Y47" s="185"/>
      <c r="Z47" s="185"/>
      <c r="AA47" s="185"/>
      <c r="AB47" s="185"/>
      <c r="AC47" s="185"/>
      <c r="AD47" s="185"/>
      <c r="AE47" s="185">
        <f t="shared" si="27"/>
        <v>0</v>
      </c>
      <c r="AF47" s="185"/>
      <c r="AG47" s="185"/>
      <c r="AH47" s="185"/>
      <c r="AI47" s="185"/>
      <c r="AJ47" s="185"/>
      <c r="AK47" s="185"/>
      <c r="AL47" s="185"/>
      <c r="AM47" s="185"/>
      <c r="AN47" s="185"/>
      <c r="AO47" s="185"/>
      <c r="AP47" s="185"/>
      <c r="AQ47" s="185"/>
      <c r="AR47" s="185">
        <f>D47-BL47</f>
        <v>0</v>
      </c>
      <c r="AS47" s="185"/>
      <c r="AT47" s="185"/>
      <c r="AU47" s="185"/>
      <c r="AV47" s="185"/>
      <c r="AW47" s="185"/>
      <c r="AX47" s="185"/>
      <c r="AY47" s="185"/>
      <c r="AZ47" s="185"/>
      <c r="BA47" s="185"/>
      <c r="BB47" s="185"/>
      <c r="BC47" s="185"/>
      <c r="BD47" s="185"/>
      <c r="BE47" s="185"/>
      <c r="BF47" s="185"/>
      <c r="BG47" s="185"/>
      <c r="BH47" s="185">
        <f t="shared" si="22"/>
        <v>0</v>
      </c>
      <c r="BI47" s="185"/>
      <c r="BJ47" s="185"/>
      <c r="BK47" s="185"/>
      <c r="BL47" s="185">
        <f>E47+W47+X47+Y47+Z47+AA47+AB47+AC47+AD47+AE47+AQ47+AS47+AT47+AU47+AV47+AW47+AX47+AY47+AZ47+BA47+BB47+BC47+BD47+BE47+BF47+BG47+BH47</f>
        <v>0</v>
      </c>
      <c r="BM47" s="185">
        <f>AR67-BL47</f>
        <v>0</v>
      </c>
      <c r="BN47" s="185">
        <f t="shared" ref="BN47:BN62" si="29">D47+BM47</f>
        <v>0</v>
      </c>
      <c r="BP47" s="123"/>
    </row>
    <row r="48" spans="1:68" ht="20.100000000000001" customHeight="1">
      <c r="A48" s="19" t="s">
        <v>79</v>
      </c>
      <c r="B48" s="19" t="s">
        <v>80</v>
      </c>
      <c r="C48" s="30" t="s">
        <v>81</v>
      </c>
      <c r="D48" s="185"/>
      <c r="E48" s="185">
        <f t="shared" si="4"/>
        <v>0</v>
      </c>
      <c r="F48" s="185">
        <f t="shared" si="21"/>
        <v>0</v>
      </c>
      <c r="G48" s="185">
        <f t="shared" si="8"/>
        <v>0</v>
      </c>
      <c r="H48" s="185">
        <f t="shared" si="12"/>
        <v>0</v>
      </c>
      <c r="I48" s="185"/>
      <c r="J48" s="185"/>
      <c r="K48" s="185"/>
      <c r="L48" s="185"/>
      <c r="M48" s="185"/>
      <c r="N48" s="185"/>
      <c r="O48" s="185"/>
      <c r="P48" s="185"/>
      <c r="Q48" s="185"/>
      <c r="R48" s="185"/>
      <c r="S48" s="185"/>
      <c r="T48" s="185"/>
      <c r="U48" s="185"/>
      <c r="V48" s="185">
        <f t="shared" si="13"/>
        <v>0</v>
      </c>
      <c r="W48" s="185"/>
      <c r="X48" s="185"/>
      <c r="Y48" s="185"/>
      <c r="Z48" s="185"/>
      <c r="AA48" s="185"/>
      <c r="AB48" s="185"/>
      <c r="AC48" s="185"/>
      <c r="AD48" s="185"/>
      <c r="AE48" s="185">
        <f t="shared" si="27"/>
        <v>0</v>
      </c>
      <c r="AF48" s="185"/>
      <c r="AG48" s="185"/>
      <c r="AH48" s="185"/>
      <c r="AI48" s="185"/>
      <c r="AJ48" s="185"/>
      <c r="AK48" s="185"/>
      <c r="AL48" s="185"/>
      <c r="AM48" s="185"/>
      <c r="AN48" s="185"/>
      <c r="AO48" s="185"/>
      <c r="AP48" s="185"/>
      <c r="AQ48" s="185"/>
      <c r="AR48" s="185"/>
      <c r="AS48" s="185">
        <f>D48-BL48</f>
        <v>0</v>
      </c>
      <c r="AT48" s="185"/>
      <c r="AU48" s="185"/>
      <c r="AV48" s="185"/>
      <c r="AW48" s="185"/>
      <c r="AX48" s="185"/>
      <c r="AY48" s="185"/>
      <c r="AZ48" s="185"/>
      <c r="BA48" s="185"/>
      <c r="BB48" s="185"/>
      <c r="BC48" s="185"/>
      <c r="BD48" s="185"/>
      <c r="BE48" s="185"/>
      <c r="BF48" s="185"/>
      <c r="BG48" s="185"/>
      <c r="BH48" s="185">
        <f t="shared" si="22"/>
        <v>0</v>
      </c>
      <c r="BI48" s="185"/>
      <c r="BJ48" s="185"/>
      <c r="BK48" s="185"/>
      <c r="BL48" s="185">
        <f>E48+W48+X48+Y48+Z48+AA48+AB48+AC48+AD48+AQ48+AR48+AT48+AU48+AV48+AW48+AX48+AY48+AZ48+BA48+BB48+BC48+BD48+BE48+BF48+BG48+BH48</f>
        <v>0</v>
      </c>
      <c r="BM48" s="185">
        <f>AS67-BL48</f>
        <v>0</v>
      </c>
      <c r="BN48" s="185">
        <f t="shared" si="29"/>
        <v>0</v>
      </c>
      <c r="BP48" s="123"/>
    </row>
    <row r="49" spans="1:68" ht="20.100000000000001" customHeight="1">
      <c r="A49" s="19" t="s">
        <v>82</v>
      </c>
      <c r="B49" s="19" t="s">
        <v>83</v>
      </c>
      <c r="C49" s="30" t="s">
        <v>84</v>
      </c>
      <c r="D49" s="185"/>
      <c r="E49" s="185">
        <f t="shared" si="4"/>
        <v>0</v>
      </c>
      <c r="F49" s="185">
        <f t="shared" si="21"/>
        <v>0</v>
      </c>
      <c r="G49" s="185">
        <f t="shared" si="8"/>
        <v>0</v>
      </c>
      <c r="H49" s="185">
        <f t="shared" si="12"/>
        <v>0</v>
      </c>
      <c r="I49" s="185"/>
      <c r="J49" s="185"/>
      <c r="K49" s="185"/>
      <c r="L49" s="185"/>
      <c r="M49" s="185"/>
      <c r="N49" s="185"/>
      <c r="O49" s="185"/>
      <c r="P49" s="185"/>
      <c r="Q49" s="185"/>
      <c r="R49" s="185"/>
      <c r="S49" s="185"/>
      <c r="T49" s="185"/>
      <c r="U49" s="185"/>
      <c r="V49" s="185">
        <f t="shared" si="13"/>
        <v>0</v>
      </c>
      <c r="W49" s="185"/>
      <c r="X49" s="185"/>
      <c r="Y49" s="185"/>
      <c r="Z49" s="185"/>
      <c r="AA49" s="185"/>
      <c r="AB49" s="185"/>
      <c r="AC49" s="185"/>
      <c r="AD49" s="185"/>
      <c r="AE49" s="185">
        <f t="shared" si="27"/>
        <v>0</v>
      </c>
      <c r="AF49" s="185"/>
      <c r="AG49" s="185"/>
      <c r="AH49" s="185"/>
      <c r="AI49" s="185"/>
      <c r="AJ49" s="185"/>
      <c r="AK49" s="185"/>
      <c r="AL49" s="185"/>
      <c r="AM49" s="185"/>
      <c r="AN49" s="185"/>
      <c r="AO49" s="185"/>
      <c r="AP49" s="185"/>
      <c r="AQ49" s="185"/>
      <c r="AR49" s="185"/>
      <c r="AS49" s="185"/>
      <c r="AT49" s="185">
        <f>D49-BL49</f>
        <v>0</v>
      </c>
      <c r="AU49" s="185"/>
      <c r="AV49" s="185"/>
      <c r="AW49" s="185"/>
      <c r="AX49" s="185"/>
      <c r="AY49" s="185"/>
      <c r="AZ49" s="185"/>
      <c r="BA49" s="185"/>
      <c r="BB49" s="185"/>
      <c r="BC49" s="185"/>
      <c r="BD49" s="185"/>
      <c r="BE49" s="185"/>
      <c r="BF49" s="185"/>
      <c r="BG49" s="185"/>
      <c r="BH49" s="185">
        <f t="shared" si="22"/>
        <v>0</v>
      </c>
      <c r="BI49" s="185"/>
      <c r="BJ49" s="185"/>
      <c r="BK49" s="185"/>
      <c r="BL49" s="185">
        <f>E49+W49+X49+Y49+Z49+AA49+AB49+AC49+AD49+AE49+AQ49+AR49+AS49+AU49+AV49+AW49+AX49+AY49+AZ49+BA49+BB49+BC49+BD49+BE49+BF49+BG49+BH49</f>
        <v>0</v>
      </c>
      <c r="BM49" s="185">
        <f>AT67-BL49</f>
        <v>0</v>
      </c>
      <c r="BN49" s="185">
        <f t="shared" si="29"/>
        <v>0</v>
      </c>
      <c r="BP49" s="123"/>
    </row>
    <row r="50" spans="1:68" ht="20.100000000000001" customHeight="1">
      <c r="A50" s="19" t="s">
        <v>85</v>
      </c>
      <c r="B50" s="19" t="s">
        <v>86</v>
      </c>
      <c r="C50" s="30" t="s">
        <v>87</v>
      </c>
      <c r="D50" s="185">
        <f>#REF!</f>
        <v>36.459299999999999</v>
      </c>
      <c r="E50" s="185">
        <f t="shared" si="4"/>
        <v>0</v>
      </c>
      <c r="F50" s="185">
        <f t="shared" si="21"/>
        <v>0</v>
      </c>
      <c r="G50" s="185">
        <f t="shared" si="8"/>
        <v>0</v>
      </c>
      <c r="H50" s="185">
        <f t="shared" si="12"/>
        <v>0</v>
      </c>
      <c r="I50" s="185"/>
      <c r="J50" s="185"/>
      <c r="K50" s="185"/>
      <c r="L50" s="185"/>
      <c r="M50" s="185"/>
      <c r="N50" s="185"/>
      <c r="O50" s="185"/>
      <c r="P50" s="185"/>
      <c r="Q50" s="185"/>
      <c r="R50" s="185"/>
      <c r="S50" s="185"/>
      <c r="T50" s="185"/>
      <c r="U50" s="185"/>
      <c r="V50" s="185">
        <f t="shared" si="13"/>
        <v>36.459299999999999</v>
      </c>
      <c r="W50" s="185"/>
      <c r="X50" s="185"/>
      <c r="Y50" s="185"/>
      <c r="Z50" s="185"/>
      <c r="AA50" s="185"/>
      <c r="AB50" s="185"/>
      <c r="AC50" s="185"/>
      <c r="AD50" s="185"/>
      <c r="AE50" s="185">
        <f t="shared" si="27"/>
        <v>0</v>
      </c>
      <c r="AF50" s="185"/>
      <c r="AG50" s="185"/>
      <c r="AH50" s="185"/>
      <c r="AI50" s="185"/>
      <c r="AJ50" s="185"/>
      <c r="AK50" s="185"/>
      <c r="AL50" s="185"/>
      <c r="AM50" s="185"/>
      <c r="AN50" s="185"/>
      <c r="AO50" s="185"/>
      <c r="AP50" s="185"/>
      <c r="AQ50" s="185"/>
      <c r="AR50" s="185"/>
      <c r="AS50" s="185"/>
      <c r="AT50" s="185"/>
      <c r="AU50" s="185">
        <f>D50-BL50</f>
        <v>36.459299999999999</v>
      </c>
      <c r="AV50" s="185"/>
      <c r="AW50" s="185"/>
      <c r="AX50" s="185"/>
      <c r="AY50" s="185"/>
      <c r="AZ50" s="185"/>
      <c r="BA50" s="185"/>
      <c r="BB50" s="185"/>
      <c r="BC50" s="185"/>
      <c r="BD50" s="185"/>
      <c r="BE50" s="185"/>
      <c r="BF50" s="185"/>
      <c r="BG50" s="185"/>
      <c r="BH50" s="185">
        <f t="shared" si="22"/>
        <v>0</v>
      </c>
      <c r="BI50" s="185"/>
      <c r="BJ50" s="185"/>
      <c r="BK50" s="185"/>
      <c r="BL50" s="185">
        <f>E50+W50+X50+Y50+Z50+AA50+AB50+AC50+AD50+AE50+AQ50+AR50+AS50+AT50+AV50+AW50+AX50+AY50+AZ50+BA50+BB50+BC50+BD50+BE50+BF50+BG50+BH50</f>
        <v>0</v>
      </c>
      <c r="BM50" s="185">
        <f>AU67-BL50</f>
        <v>0.3</v>
      </c>
      <c r="BN50" s="185">
        <f t="shared" si="29"/>
        <v>36.759299999999996</v>
      </c>
      <c r="BP50" s="123"/>
    </row>
    <row r="51" spans="1:68" ht="20.100000000000001" customHeight="1">
      <c r="A51" s="19" t="s">
        <v>88</v>
      </c>
      <c r="B51" s="19" t="s">
        <v>89</v>
      </c>
      <c r="C51" s="30" t="s">
        <v>90</v>
      </c>
      <c r="D51" s="185">
        <f>#REF!</f>
        <v>0.81</v>
      </c>
      <c r="E51" s="185">
        <f t="shared" si="4"/>
        <v>0</v>
      </c>
      <c r="F51" s="185">
        <f t="shared" si="21"/>
        <v>0</v>
      </c>
      <c r="G51" s="185">
        <f t="shared" si="8"/>
        <v>0</v>
      </c>
      <c r="H51" s="185">
        <f t="shared" si="12"/>
        <v>0</v>
      </c>
      <c r="I51" s="185"/>
      <c r="J51" s="185"/>
      <c r="K51" s="185"/>
      <c r="L51" s="185"/>
      <c r="M51" s="185"/>
      <c r="N51" s="185"/>
      <c r="O51" s="185"/>
      <c r="P51" s="185"/>
      <c r="Q51" s="185"/>
      <c r="R51" s="185"/>
      <c r="S51" s="185"/>
      <c r="T51" s="185"/>
      <c r="U51" s="185"/>
      <c r="V51" s="185">
        <f t="shared" si="13"/>
        <v>0.81</v>
      </c>
      <c r="W51" s="185"/>
      <c r="X51" s="185"/>
      <c r="Y51" s="185"/>
      <c r="Z51" s="185"/>
      <c r="AA51" s="185"/>
      <c r="AB51" s="185"/>
      <c r="AC51" s="185"/>
      <c r="AD51" s="185"/>
      <c r="AE51" s="185">
        <f t="shared" si="27"/>
        <v>0</v>
      </c>
      <c r="AF51" s="185"/>
      <c r="AG51" s="185"/>
      <c r="AH51" s="185"/>
      <c r="AI51" s="185"/>
      <c r="AJ51" s="185"/>
      <c r="AK51" s="185"/>
      <c r="AL51" s="185"/>
      <c r="AM51" s="185"/>
      <c r="AN51" s="185"/>
      <c r="AO51" s="185"/>
      <c r="AP51" s="185"/>
      <c r="AQ51" s="185"/>
      <c r="AR51" s="185"/>
      <c r="AS51" s="185"/>
      <c r="AT51" s="185"/>
      <c r="AU51" s="185"/>
      <c r="AV51" s="185">
        <f>D51-BL51</f>
        <v>0.81</v>
      </c>
      <c r="AW51" s="185"/>
      <c r="AX51" s="185"/>
      <c r="AY51" s="185"/>
      <c r="AZ51" s="185"/>
      <c r="BA51" s="185"/>
      <c r="BB51" s="185"/>
      <c r="BC51" s="185"/>
      <c r="BD51" s="185"/>
      <c r="BE51" s="185"/>
      <c r="BF51" s="185"/>
      <c r="BG51" s="185"/>
      <c r="BH51" s="185">
        <f t="shared" si="22"/>
        <v>0</v>
      </c>
      <c r="BI51" s="185"/>
      <c r="BJ51" s="185"/>
      <c r="BK51" s="185"/>
      <c r="BL51" s="185">
        <f>E51+W51+X51+Y51+Z51+AA51+AB51+AC51+AD51+AE51+AQ51+AR51+AS51+AT51+AU51+AW51+AX51+AY51+AZ51+BA51+BB51+BC51+BD51+BE51+BF51+BG51+BH51</f>
        <v>0</v>
      </c>
      <c r="BM51" s="185">
        <f>AV67-BL51</f>
        <v>0</v>
      </c>
      <c r="BN51" s="185">
        <f t="shared" si="29"/>
        <v>0.81</v>
      </c>
      <c r="BP51" s="123"/>
    </row>
    <row r="52" spans="1:68" ht="20.100000000000001" customHeight="1">
      <c r="A52" s="19" t="s">
        <v>91</v>
      </c>
      <c r="B52" s="19" t="s">
        <v>489</v>
      </c>
      <c r="C52" s="30" t="s">
        <v>93</v>
      </c>
      <c r="D52" s="185"/>
      <c r="E52" s="185">
        <f t="shared" si="4"/>
        <v>0</v>
      </c>
      <c r="F52" s="185">
        <f t="shared" si="21"/>
        <v>0</v>
      </c>
      <c r="G52" s="185">
        <f t="shared" si="8"/>
        <v>0</v>
      </c>
      <c r="H52" s="185">
        <f t="shared" si="12"/>
        <v>0</v>
      </c>
      <c r="I52" s="185"/>
      <c r="J52" s="185"/>
      <c r="K52" s="185"/>
      <c r="L52" s="185"/>
      <c r="M52" s="185"/>
      <c r="N52" s="185"/>
      <c r="O52" s="185"/>
      <c r="P52" s="185"/>
      <c r="Q52" s="185"/>
      <c r="R52" s="185"/>
      <c r="S52" s="185"/>
      <c r="T52" s="185"/>
      <c r="U52" s="185"/>
      <c r="V52" s="185">
        <f t="shared" si="13"/>
        <v>0</v>
      </c>
      <c r="W52" s="185"/>
      <c r="X52" s="185"/>
      <c r="Y52" s="185"/>
      <c r="Z52" s="185"/>
      <c r="AA52" s="185"/>
      <c r="AB52" s="185"/>
      <c r="AC52" s="185"/>
      <c r="AD52" s="185"/>
      <c r="AE52" s="185">
        <f t="shared" si="27"/>
        <v>0</v>
      </c>
      <c r="AF52" s="185"/>
      <c r="AG52" s="185"/>
      <c r="AH52" s="185"/>
      <c r="AI52" s="185"/>
      <c r="AJ52" s="185"/>
      <c r="AK52" s="185"/>
      <c r="AL52" s="185"/>
      <c r="AM52" s="185"/>
      <c r="AN52" s="185"/>
      <c r="AO52" s="185"/>
      <c r="AP52" s="185"/>
      <c r="AQ52" s="185"/>
      <c r="AR52" s="185"/>
      <c r="AS52" s="185"/>
      <c r="AT52" s="185"/>
      <c r="AU52" s="185"/>
      <c r="AV52" s="185"/>
      <c r="AW52" s="185">
        <f>D52-BL52</f>
        <v>0</v>
      </c>
      <c r="AX52" s="185"/>
      <c r="AY52" s="185"/>
      <c r="AZ52" s="185"/>
      <c r="BA52" s="185"/>
      <c r="BB52" s="185"/>
      <c r="BC52" s="185"/>
      <c r="BD52" s="185"/>
      <c r="BE52" s="185"/>
      <c r="BF52" s="185"/>
      <c r="BG52" s="185"/>
      <c r="BH52" s="185">
        <f t="shared" si="22"/>
        <v>0</v>
      </c>
      <c r="BI52" s="185"/>
      <c r="BJ52" s="185"/>
      <c r="BK52" s="185"/>
      <c r="BL52" s="185">
        <f>E52+W52+X52+Y52+Z52+AA52+AB52+AC52+AD52+AE52+AQ52+AR52+AS52+AT52+AU52+AV52+AX52+AY52+AZ52+BA52+BB52+BC52+BD52+BE52+BF52+BG52+BH52</f>
        <v>0</v>
      </c>
      <c r="BM52" s="185">
        <f>AW67-BL52</f>
        <v>0</v>
      </c>
      <c r="BN52" s="185">
        <f t="shared" si="29"/>
        <v>0</v>
      </c>
      <c r="BP52" s="123"/>
    </row>
    <row r="53" spans="1:68" ht="20.100000000000001" customHeight="1">
      <c r="A53" s="19" t="s">
        <v>94</v>
      </c>
      <c r="B53" s="19" t="s">
        <v>95</v>
      </c>
      <c r="C53" s="30" t="s">
        <v>96</v>
      </c>
      <c r="D53" s="185"/>
      <c r="E53" s="185">
        <f t="shared" si="4"/>
        <v>0</v>
      </c>
      <c r="F53" s="185">
        <f t="shared" si="21"/>
        <v>0</v>
      </c>
      <c r="G53" s="185">
        <f t="shared" si="8"/>
        <v>0</v>
      </c>
      <c r="H53" s="185">
        <f t="shared" si="12"/>
        <v>0</v>
      </c>
      <c r="I53" s="185"/>
      <c r="J53" s="185"/>
      <c r="K53" s="185"/>
      <c r="L53" s="185"/>
      <c r="M53" s="185"/>
      <c r="N53" s="185"/>
      <c r="O53" s="185"/>
      <c r="P53" s="185"/>
      <c r="Q53" s="185"/>
      <c r="R53" s="185"/>
      <c r="S53" s="185"/>
      <c r="T53" s="185"/>
      <c r="U53" s="185"/>
      <c r="V53" s="185">
        <f t="shared" si="13"/>
        <v>0</v>
      </c>
      <c r="W53" s="185"/>
      <c r="X53" s="185"/>
      <c r="Y53" s="185"/>
      <c r="Z53" s="185"/>
      <c r="AA53" s="185"/>
      <c r="AB53" s="185"/>
      <c r="AC53" s="185"/>
      <c r="AD53" s="185"/>
      <c r="AE53" s="185">
        <f t="shared" si="27"/>
        <v>0</v>
      </c>
      <c r="AF53" s="185"/>
      <c r="AG53" s="185"/>
      <c r="AH53" s="185"/>
      <c r="AI53" s="185"/>
      <c r="AJ53" s="185"/>
      <c r="AK53" s="185"/>
      <c r="AL53" s="185"/>
      <c r="AM53" s="185"/>
      <c r="AN53" s="185"/>
      <c r="AO53" s="185"/>
      <c r="AP53" s="185"/>
      <c r="AQ53" s="185"/>
      <c r="AR53" s="185"/>
      <c r="AS53" s="185"/>
      <c r="AT53" s="185"/>
      <c r="AU53" s="185"/>
      <c r="AV53" s="185"/>
      <c r="AW53" s="185"/>
      <c r="AX53" s="185">
        <f>D53-BL53</f>
        <v>0</v>
      </c>
      <c r="AY53" s="185"/>
      <c r="AZ53" s="185"/>
      <c r="BA53" s="185"/>
      <c r="BB53" s="185"/>
      <c r="BC53" s="185"/>
      <c r="BD53" s="185"/>
      <c r="BE53" s="185"/>
      <c r="BF53" s="185"/>
      <c r="BG53" s="185"/>
      <c r="BH53" s="185">
        <f t="shared" si="22"/>
        <v>0</v>
      </c>
      <c r="BI53" s="185"/>
      <c r="BJ53" s="185"/>
      <c r="BK53" s="185"/>
      <c r="BL53" s="185">
        <f>E53+W53+X53+Y53+Z53+AA53+AB53+AC53+AD53+AE53+AQ53+AR53+AS53+AT53+AU53+AV53+AW53+AY53+AZ53+BA53+BB53+BC53+BD53+BE53+BF53+BG53+BH53</f>
        <v>0</v>
      </c>
      <c r="BM53" s="185">
        <f>AX67-BL53</f>
        <v>0</v>
      </c>
      <c r="BN53" s="185">
        <f t="shared" si="29"/>
        <v>0</v>
      </c>
      <c r="BP53" s="123"/>
    </row>
    <row r="54" spans="1:68" ht="20.100000000000001" customHeight="1">
      <c r="A54" s="19" t="s">
        <v>97</v>
      </c>
      <c r="B54" s="19" t="s">
        <v>98</v>
      </c>
      <c r="C54" s="30" t="s">
        <v>99</v>
      </c>
      <c r="D54" s="185">
        <f>#REF!</f>
        <v>0.4</v>
      </c>
      <c r="E54" s="185">
        <f t="shared" si="4"/>
        <v>0</v>
      </c>
      <c r="F54" s="185">
        <f t="shared" si="21"/>
        <v>0</v>
      </c>
      <c r="G54" s="185">
        <f t="shared" si="8"/>
        <v>0</v>
      </c>
      <c r="H54" s="185">
        <f t="shared" si="12"/>
        <v>0</v>
      </c>
      <c r="I54" s="185"/>
      <c r="J54" s="185"/>
      <c r="K54" s="185"/>
      <c r="L54" s="185"/>
      <c r="M54" s="185"/>
      <c r="N54" s="185"/>
      <c r="O54" s="185"/>
      <c r="P54" s="185"/>
      <c r="Q54" s="185"/>
      <c r="R54" s="185"/>
      <c r="S54" s="185"/>
      <c r="T54" s="185"/>
      <c r="U54" s="185"/>
      <c r="V54" s="185">
        <f t="shared" si="13"/>
        <v>0.4</v>
      </c>
      <c r="W54" s="185"/>
      <c r="X54" s="185"/>
      <c r="Y54" s="185"/>
      <c r="Z54" s="185"/>
      <c r="AA54" s="185"/>
      <c r="AB54" s="185"/>
      <c r="AC54" s="185"/>
      <c r="AD54" s="185"/>
      <c r="AE54" s="185">
        <f t="shared" si="27"/>
        <v>0</v>
      </c>
      <c r="AF54" s="185"/>
      <c r="AG54" s="185"/>
      <c r="AH54" s="185"/>
      <c r="AI54" s="185"/>
      <c r="AJ54" s="185"/>
      <c r="AK54" s="185"/>
      <c r="AL54" s="185"/>
      <c r="AM54" s="185"/>
      <c r="AN54" s="185"/>
      <c r="AO54" s="185"/>
      <c r="AP54" s="185"/>
      <c r="AQ54" s="185"/>
      <c r="AR54" s="185"/>
      <c r="AS54" s="185"/>
      <c r="AT54" s="185"/>
      <c r="AU54" s="185"/>
      <c r="AV54" s="185"/>
      <c r="AW54" s="185"/>
      <c r="AX54" s="185"/>
      <c r="AY54" s="185">
        <f>D54-BL54</f>
        <v>0.4</v>
      </c>
      <c r="AZ54" s="185"/>
      <c r="BA54" s="185"/>
      <c r="BB54" s="185"/>
      <c r="BC54" s="185"/>
      <c r="BD54" s="185"/>
      <c r="BE54" s="185"/>
      <c r="BF54" s="185"/>
      <c r="BG54" s="185"/>
      <c r="BH54" s="185">
        <f t="shared" si="22"/>
        <v>0</v>
      </c>
      <c r="BI54" s="185"/>
      <c r="BJ54" s="185"/>
      <c r="BK54" s="185"/>
      <c r="BL54" s="185">
        <f>E54+W54+X54+Y54+Z54+AA54+AB54+AC54+AD54+AE54+AQ54+AR54+AS54+AT54+AU54+AV54+AW54+AX54+AZ54+BA54+BB54+BC54+BD54+BE54+BF54+BG54+BH54</f>
        <v>0</v>
      </c>
      <c r="BM54" s="185">
        <f>AY67-BL54</f>
        <v>0</v>
      </c>
      <c r="BN54" s="185">
        <f t="shared" si="29"/>
        <v>0.4</v>
      </c>
      <c r="BP54" s="123"/>
    </row>
    <row r="55" spans="1:68" ht="33.75" customHeight="1">
      <c r="A55" s="19" t="s">
        <v>100</v>
      </c>
      <c r="B55" s="19" t="s">
        <v>490</v>
      </c>
      <c r="C55" s="30" t="s">
        <v>101</v>
      </c>
      <c r="D55" s="185"/>
      <c r="E55" s="185">
        <f t="shared" si="4"/>
        <v>0</v>
      </c>
      <c r="F55" s="185">
        <f t="shared" si="21"/>
        <v>0</v>
      </c>
      <c r="G55" s="185">
        <f t="shared" si="8"/>
        <v>0</v>
      </c>
      <c r="H55" s="185">
        <f t="shared" si="12"/>
        <v>0</v>
      </c>
      <c r="I55" s="185"/>
      <c r="J55" s="185"/>
      <c r="K55" s="185"/>
      <c r="L55" s="185"/>
      <c r="M55" s="185"/>
      <c r="N55" s="185"/>
      <c r="O55" s="185"/>
      <c r="P55" s="185"/>
      <c r="Q55" s="185"/>
      <c r="R55" s="185"/>
      <c r="S55" s="185"/>
      <c r="T55" s="185"/>
      <c r="U55" s="185"/>
      <c r="V55" s="185">
        <f t="shared" si="13"/>
        <v>0</v>
      </c>
      <c r="W55" s="185"/>
      <c r="X55" s="185"/>
      <c r="Y55" s="185"/>
      <c r="Z55" s="185"/>
      <c r="AA55" s="185"/>
      <c r="AB55" s="185"/>
      <c r="AC55" s="185"/>
      <c r="AD55" s="185"/>
      <c r="AE55" s="185">
        <f t="shared" si="27"/>
        <v>0</v>
      </c>
      <c r="AF55" s="185"/>
      <c r="AG55" s="185"/>
      <c r="AH55" s="185"/>
      <c r="AI55" s="185"/>
      <c r="AJ55" s="185"/>
      <c r="AK55" s="185"/>
      <c r="AL55" s="185"/>
      <c r="AM55" s="185"/>
      <c r="AN55" s="185"/>
      <c r="AO55" s="185"/>
      <c r="AP55" s="185"/>
      <c r="AQ55" s="185"/>
      <c r="AR55" s="185"/>
      <c r="AS55" s="185"/>
      <c r="AT55" s="185"/>
      <c r="AU55" s="185"/>
      <c r="AV55" s="185"/>
      <c r="AW55" s="185"/>
      <c r="AX55" s="185"/>
      <c r="AY55" s="185"/>
      <c r="AZ55" s="185">
        <f>D55-BL55</f>
        <v>0</v>
      </c>
      <c r="BA55" s="185"/>
      <c r="BB55" s="185"/>
      <c r="BC55" s="185"/>
      <c r="BD55" s="185"/>
      <c r="BE55" s="185"/>
      <c r="BF55" s="185"/>
      <c r="BG55" s="185"/>
      <c r="BH55" s="185">
        <f t="shared" si="22"/>
        <v>0</v>
      </c>
      <c r="BI55" s="185"/>
      <c r="BJ55" s="185"/>
      <c r="BK55" s="185"/>
      <c r="BL55" s="185">
        <f>E55+W55+X55+Y55+Z55+AA55+AB55+AC55+AD55+AE55+AQ55+AR55+AS55+AT55+AU55+AV55+AW55+AX55+AY55+BA55+BB55+BC55+BD55+BE55+BF55+BG55+BH55</f>
        <v>0</v>
      </c>
      <c r="BM55" s="185">
        <f>AZ67-BL55</f>
        <v>0</v>
      </c>
      <c r="BN55" s="185">
        <f t="shared" si="29"/>
        <v>0</v>
      </c>
      <c r="BP55" s="123"/>
    </row>
    <row r="56" spans="1:68" ht="20.100000000000001" customHeight="1">
      <c r="A56" s="19" t="s">
        <v>102</v>
      </c>
      <c r="B56" s="19" t="s">
        <v>103</v>
      </c>
      <c r="C56" s="30" t="s">
        <v>104</v>
      </c>
      <c r="D56" s="185"/>
      <c r="E56" s="185">
        <f t="shared" si="4"/>
        <v>0</v>
      </c>
      <c r="F56" s="185">
        <f t="shared" si="21"/>
        <v>0</v>
      </c>
      <c r="G56" s="185">
        <f t="shared" si="8"/>
        <v>0</v>
      </c>
      <c r="H56" s="185">
        <f t="shared" si="12"/>
        <v>0</v>
      </c>
      <c r="I56" s="185"/>
      <c r="J56" s="185"/>
      <c r="K56" s="185"/>
      <c r="L56" s="185"/>
      <c r="M56" s="185"/>
      <c r="N56" s="185"/>
      <c r="O56" s="185"/>
      <c r="P56" s="185"/>
      <c r="Q56" s="185"/>
      <c r="R56" s="185"/>
      <c r="S56" s="185"/>
      <c r="T56" s="185"/>
      <c r="U56" s="185"/>
      <c r="V56" s="185">
        <f t="shared" si="13"/>
        <v>0</v>
      </c>
      <c r="W56" s="185"/>
      <c r="X56" s="185"/>
      <c r="Y56" s="185"/>
      <c r="Z56" s="185"/>
      <c r="AA56" s="185"/>
      <c r="AB56" s="185"/>
      <c r="AC56" s="185"/>
      <c r="AD56" s="185"/>
      <c r="AE56" s="185">
        <f t="shared" si="27"/>
        <v>0</v>
      </c>
      <c r="AF56" s="185"/>
      <c r="AG56" s="185"/>
      <c r="AH56" s="185"/>
      <c r="AI56" s="185"/>
      <c r="AJ56" s="185"/>
      <c r="AK56" s="185"/>
      <c r="AL56" s="185"/>
      <c r="AM56" s="185"/>
      <c r="AN56" s="185"/>
      <c r="AO56" s="185"/>
      <c r="AP56" s="185"/>
      <c r="AQ56" s="185"/>
      <c r="AR56" s="185"/>
      <c r="AS56" s="185"/>
      <c r="AT56" s="185"/>
      <c r="AU56" s="185"/>
      <c r="AV56" s="185"/>
      <c r="AW56" s="185"/>
      <c r="AX56" s="185"/>
      <c r="AY56" s="185"/>
      <c r="AZ56" s="185"/>
      <c r="BA56" s="185">
        <f>D56-BL56</f>
        <v>0</v>
      </c>
      <c r="BB56" s="185"/>
      <c r="BC56" s="185"/>
      <c r="BD56" s="185"/>
      <c r="BE56" s="185"/>
      <c r="BF56" s="185"/>
      <c r="BG56" s="185"/>
      <c r="BH56" s="185">
        <f t="shared" si="22"/>
        <v>0</v>
      </c>
      <c r="BI56" s="185"/>
      <c r="BJ56" s="185"/>
      <c r="BK56" s="185"/>
      <c r="BL56" s="185">
        <f>E56+W56+X56+Y56+Z56+AA56+AB56+AC56+AD56+AE56+AQ56+AR56+AS56+AT56+AU56+AV56+AW56+AX56+AY56+AZ56+BB56+BC56+BD56+BE56+BF56+BG56+BH56</f>
        <v>0</v>
      </c>
      <c r="BM56" s="185">
        <f>BA67-BL56</f>
        <v>0</v>
      </c>
      <c r="BN56" s="185">
        <f t="shared" si="29"/>
        <v>0</v>
      </c>
      <c r="BP56" s="123"/>
    </row>
    <row r="57" spans="1:68" ht="20.100000000000001" customHeight="1">
      <c r="A57" s="19" t="s">
        <v>105</v>
      </c>
      <c r="B57" s="19" t="s">
        <v>106</v>
      </c>
      <c r="C57" s="30" t="s">
        <v>107</v>
      </c>
      <c r="D57" s="185">
        <f>#REF!</f>
        <v>0.62</v>
      </c>
      <c r="E57" s="185">
        <f t="shared" si="4"/>
        <v>0</v>
      </c>
      <c r="F57" s="185">
        <f t="shared" si="21"/>
        <v>0</v>
      </c>
      <c r="G57" s="185">
        <f t="shared" si="8"/>
        <v>0</v>
      </c>
      <c r="H57" s="185">
        <f t="shared" si="12"/>
        <v>0</v>
      </c>
      <c r="I57" s="185"/>
      <c r="J57" s="185"/>
      <c r="K57" s="185"/>
      <c r="L57" s="185"/>
      <c r="M57" s="185"/>
      <c r="N57" s="185"/>
      <c r="O57" s="185"/>
      <c r="P57" s="185"/>
      <c r="Q57" s="185"/>
      <c r="R57" s="185"/>
      <c r="S57" s="185"/>
      <c r="T57" s="185"/>
      <c r="U57" s="185"/>
      <c r="V57" s="185">
        <f t="shared" si="13"/>
        <v>0.62</v>
      </c>
      <c r="W57" s="185"/>
      <c r="X57" s="185"/>
      <c r="Y57" s="185"/>
      <c r="Z57" s="185"/>
      <c r="AA57" s="185"/>
      <c r="AB57" s="185"/>
      <c r="AC57" s="185"/>
      <c r="AD57" s="185"/>
      <c r="AE57" s="185">
        <f>SUM(AF57:AP57)</f>
        <v>0</v>
      </c>
      <c r="AF57" s="185"/>
      <c r="AG57" s="185"/>
      <c r="AH57" s="185"/>
      <c r="AI57" s="185"/>
      <c r="AJ57" s="185"/>
      <c r="AK57" s="185"/>
      <c r="AL57" s="185"/>
      <c r="AM57" s="185"/>
      <c r="AN57" s="185"/>
      <c r="AO57" s="185"/>
      <c r="AP57" s="185"/>
      <c r="AQ57" s="185"/>
      <c r="AR57" s="185"/>
      <c r="AS57" s="185"/>
      <c r="AT57" s="185"/>
      <c r="AU57" s="185"/>
      <c r="AV57" s="185"/>
      <c r="AW57" s="185"/>
      <c r="AX57" s="185"/>
      <c r="AY57" s="185"/>
      <c r="AZ57" s="185"/>
      <c r="BA57" s="185"/>
      <c r="BB57" s="185">
        <f>D57-BL57</f>
        <v>0.62</v>
      </c>
      <c r="BC57" s="185"/>
      <c r="BD57" s="185"/>
      <c r="BE57" s="185"/>
      <c r="BF57" s="185"/>
      <c r="BG57" s="185"/>
      <c r="BH57" s="185">
        <f t="shared" si="22"/>
        <v>0</v>
      </c>
      <c r="BI57" s="185"/>
      <c r="BJ57" s="185"/>
      <c r="BK57" s="185"/>
      <c r="BL57" s="185">
        <f>E57+W57+X57+Y57+Z57+AA57+AB57+AC57+AD57+AE57+AQ57+AR57+AS57+AT57+AU57+AV57+AW57+AX57+AY57+AZ57+BA57+BC57+BD57+BE57+BF57+BG57+BH57</f>
        <v>0</v>
      </c>
      <c r="BM57" s="185">
        <f>BB67-BL57</f>
        <v>0</v>
      </c>
      <c r="BN57" s="185">
        <f t="shared" si="29"/>
        <v>0.62</v>
      </c>
      <c r="BP57" s="123"/>
    </row>
    <row r="58" spans="1:68" ht="20.100000000000001" customHeight="1">
      <c r="A58" s="19" t="s">
        <v>108</v>
      </c>
      <c r="B58" s="19" t="s">
        <v>491</v>
      </c>
      <c r="C58" s="30" t="s">
        <v>110</v>
      </c>
      <c r="D58" s="185">
        <f>#REF!</f>
        <v>0.47</v>
      </c>
      <c r="E58" s="185">
        <f t="shared" si="4"/>
        <v>0</v>
      </c>
      <c r="F58" s="185">
        <f t="shared" si="21"/>
        <v>0</v>
      </c>
      <c r="G58" s="185">
        <f t="shared" si="8"/>
        <v>0</v>
      </c>
      <c r="H58" s="185">
        <f t="shared" si="12"/>
        <v>0</v>
      </c>
      <c r="I58" s="185"/>
      <c r="J58" s="185"/>
      <c r="K58" s="185"/>
      <c r="L58" s="185"/>
      <c r="M58" s="185"/>
      <c r="N58" s="185"/>
      <c r="O58" s="185"/>
      <c r="P58" s="185"/>
      <c r="Q58" s="185"/>
      <c r="R58" s="185"/>
      <c r="S58" s="185"/>
      <c r="T58" s="185"/>
      <c r="U58" s="185"/>
      <c r="V58" s="185">
        <f t="shared" si="13"/>
        <v>0.47</v>
      </c>
      <c r="W58" s="185"/>
      <c r="X58" s="185"/>
      <c r="Y58" s="185"/>
      <c r="Z58" s="185"/>
      <c r="AA58" s="185"/>
      <c r="AB58" s="185"/>
      <c r="AC58" s="185"/>
      <c r="AD58" s="185"/>
      <c r="AE58" s="185">
        <f t="shared" si="27"/>
        <v>0</v>
      </c>
      <c r="AF58" s="185"/>
      <c r="AG58" s="185"/>
      <c r="AH58" s="185"/>
      <c r="AI58" s="185"/>
      <c r="AJ58" s="185"/>
      <c r="AK58" s="185"/>
      <c r="AL58" s="185"/>
      <c r="AM58" s="185"/>
      <c r="AN58" s="185"/>
      <c r="AO58" s="185"/>
      <c r="AP58" s="185"/>
      <c r="AQ58" s="185"/>
      <c r="AR58" s="185"/>
      <c r="AS58" s="185"/>
      <c r="AT58" s="185"/>
      <c r="AU58" s="185"/>
      <c r="AV58" s="185"/>
      <c r="AW58" s="185"/>
      <c r="AX58" s="185"/>
      <c r="AY58" s="185"/>
      <c r="AZ58" s="185"/>
      <c r="BA58" s="185"/>
      <c r="BB58" s="185"/>
      <c r="BC58" s="185">
        <f>D58-BL58</f>
        <v>0.47</v>
      </c>
      <c r="BD58" s="185"/>
      <c r="BE58" s="185"/>
      <c r="BF58" s="185"/>
      <c r="BG58" s="185"/>
      <c r="BH58" s="185">
        <f t="shared" si="22"/>
        <v>0</v>
      </c>
      <c r="BI58" s="185"/>
      <c r="BJ58" s="185"/>
      <c r="BK58" s="185"/>
      <c r="BL58" s="185">
        <f>E58+W58+X58+Y58+Z58+AA58+AB58+AC58+AD58+AE58+AQ58+AR58+AS58+AT58+AU58+AV58+AW58+AX58+AY58+AZ58+BA58+BB58+BD58+BE58+BF58+BG58+BH58</f>
        <v>0</v>
      </c>
      <c r="BM58" s="185">
        <f>BC67-BL58</f>
        <v>0</v>
      </c>
      <c r="BN58" s="185">
        <f t="shared" si="29"/>
        <v>0.47</v>
      </c>
      <c r="BP58" s="123"/>
    </row>
    <row r="59" spans="1:68" ht="20.100000000000001" customHeight="1">
      <c r="A59" s="19" t="s">
        <v>111</v>
      </c>
      <c r="B59" s="19" t="s">
        <v>112</v>
      </c>
      <c r="C59" s="30" t="s">
        <v>113</v>
      </c>
      <c r="D59" s="185">
        <f>#REF!</f>
        <v>1.23</v>
      </c>
      <c r="E59" s="185">
        <f t="shared" si="4"/>
        <v>0</v>
      </c>
      <c r="F59" s="185">
        <f t="shared" si="21"/>
        <v>0</v>
      </c>
      <c r="G59" s="185">
        <f t="shared" si="8"/>
        <v>0</v>
      </c>
      <c r="H59" s="185">
        <f t="shared" si="12"/>
        <v>0</v>
      </c>
      <c r="I59" s="185"/>
      <c r="J59" s="185"/>
      <c r="K59" s="185"/>
      <c r="L59" s="185"/>
      <c r="M59" s="185"/>
      <c r="N59" s="185"/>
      <c r="O59" s="185"/>
      <c r="P59" s="185"/>
      <c r="Q59" s="185"/>
      <c r="R59" s="185"/>
      <c r="S59" s="185"/>
      <c r="T59" s="185"/>
      <c r="U59" s="185"/>
      <c r="V59" s="185">
        <f t="shared" si="13"/>
        <v>1.23</v>
      </c>
      <c r="W59" s="185"/>
      <c r="X59" s="185"/>
      <c r="Y59" s="185"/>
      <c r="Z59" s="185"/>
      <c r="AA59" s="185"/>
      <c r="AB59" s="185"/>
      <c r="AC59" s="185"/>
      <c r="AD59" s="185"/>
      <c r="AE59" s="185">
        <f t="shared" si="27"/>
        <v>0</v>
      </c>
      <c r="AF59" s="185"/>
      <c r="AG59" s="185"/>
      <c r="AH59" s="185"/>
      <c r="AI59" s="185"/>
      <c r="AJ59" s="185"/>
      <c r="AK59" s="185"/>
      <c r="AL59" s="185"/>
      <c r="AM59" s="185"/>
      <c r="AN59" s="185"/>
      <c r="AO59" s="185"/>
      <c r="AP59" s="185"/>
      <c r="AQ59" s="185"/>
      <c r="AR59" s="185"/>
      <c r="AS59" s="185"/>
      <c r="AT59" s="185"/>
      <c r="AU59" s="185"/>
      <c r="AV59" s="185"/>
      <c r="AW59" s="185"/>
      <c r="AX59" s="185"/>
      <c r="AY59" s="185"/>
      <c r="AZ59" s="185"/>
      <c r="BA59" s="185"/>
      <c r="BB59" s="185"/>
      <c r="BC59" s="185"/>
      <c r="BD59" s="185">
        <f>D59-BL59</f>
        <v>1.23</v>
      </c>
      <c r="BE59" s="185"/>
      <c r="BF59" s="185"/>
      <c r="BG59" s="185"/>
      <c r="BH59" s="185">
        <f t="shared" si="22"/>
        <v>0</v>
      </c>
      <c r="BI59" s="185"/>
      <c r="BJ59" s="185"/>
      <c r="BK59" s="185"/>
      <c r="BL59" s="185">
        <f>E59+W59+X59+Y59+Z59+AA59+AB59+AC59+AD59+AE59+AQ59+AR59+AS59+AT59+AU59+AV59+AW59+AX59+AY59+AZ59+BA59+BB59+BC59+BE59+BF59+BG59+BH59</f>
        <v>0</v>
      </c>
      <c r="BM59" s="185">
        <f>BD67-BL59</f>
        <v>0</v>
      </c>
      <c r="BN59" s="185">
        <f t="shared" si="29"/>
        <v>1.23</v>
      </c>
      <c r="BP59" s="123"/>
    </row>
    <row r="60" spans="1:68" ht="20.100000000000001" customHeight="1">
      <c r="A60" s="19" t="s">
        <v>114</v>
      </c>
      <c r="B60" s="19" t="s">
        <v>115</v>
      </c>
      <c r="C60" s="30" t="s">
        <v>116</v>
      </c>
      <c r="D60" s="185">
        <f>#REF!</f>
        <v>23.46</v>
      </c>
      <c r="E60" s="185">
        <f t="shared" si="4"/>
        <v>0</v>
      </c>
      <c r="F60" s="185">
        <f t="shared" si="21"/>
        <v>0</v>
      </c>
      <c r="G60" s="185">
        <f t="shared" si="8"/>
        <v>0</v>
      </c>
      <c r="H60" s="185">
        <f t="shared" si="12"/>
        <v>0</v>
      </c>
      <c r="I60" s="185"/>
      <c r="J60" s="185"/>
      <c r="K60" s="185"/>
      <c r="L60" s="185"/>
      <c r="M60" s="185"/>
      <c r="N60" s="185"/>
      <c r="O60" s="185"/>
      <c r="P60" s="185"/>
      <c r="Q60" s="185"/>
      <c r="R60" s="185"/>
      <c r="S60" s="185"/>
      <c r="T60" s="185"/>
      <c r="U60" s="185"/>
      <c r="V60" s="185">
        <f t="shared" si="13"/>
        <v>23.46</v>
      </c>
      <c r="W60" s="185"/>
      <c r="X60" s="185"/>
      <c r="Y60" s="185"/>
      <c r="Z60" s="185"/>
      <c r="AA60" s="185"/>
      <c r="AB60" s="185"/>
      <c r="AC60" s="185"/>
      <c r="AD60" s="185"/>
      <c r="AE60" s="185">
        <f t="shared" si="27"/>
        <v>0</v>
      </c>
      <c r="AF60" s="185"/>
      <c r="AG60" s="185"/>
      <c r="AH60" s="185"/>
      <c r="AI60" s="185"/>
      <c r="AJ60" s="185"/>
      <c r="AK60" s="185"/>
      <c r="AL60" s="185"/>
      <c r="AM60" s="185"/>
      <c r="AN60" s="185"/>
      <c r="AO60" s="185"/>
      <c r="AP60" s="185"/>
      <c r="AQ60" s="185"/>
      <c r="AR60" s="185"/>
      <c r="AS60" s="185"/>
      <c r="AT60" s="185"/>
      <c r="AU60" s="185"/>
      <c r="AV60" s="185"/>
      <c r="AW60" s="185"/>
      <c r="AX60" s="185"/>
      <c r="AY60" s="185"/>
      <c r="AZ60" s="185"/>
      <c r="BA60" s="185"/>
      <c r="BB60" s="185"/>
      <c r="BC60" s="185"/>
      <c r="BD60" s="185"/>
      <c r="BE60" s="185">
        <f>D60-BL60</f>
        <v>23.46</v>
      </c>
      <c r="BF60" s="185"/>
      <c r="BG60" s="185"/>
      <c r="BH60" s="185">
        <f t="shared" si="22"/>
        <v>0</v>
      </c>
      <c r="BI60" s="185"/>
      <c r="BJ60" s="185"/>
      <c r="BK60" s="185"/>
      <c r="BL60" s="185">
        <f>E60+W60+X60+Y60+Z60+AA60+AB60+AC60+AD60+AE60+AQ60+AR60+AS60+AT60+AU60+AV60+AW60+AX60+AY60+AZ60+BA60+BB60+BC60+BD60+BF60+BG60+BH60</f>
        <v>0</v>
      </c>
      <c r="BM60" s="185">
        <f>BE67-BL60</f>
        <v>0</v>
      </c>
      <c r="BN60" s="185">
        <f t="shared" si="29"/>
        <v>23.46</v>
      </c>
      <c r="BP60" s="123"/>
    </row>
    <row r="61" spans="1:68" ht="20.100000000000001" customHeight="1">
      <c r="A61" s="19" t="s">
        <v>117</v>
      </c>
      <c r="B61" s="19" t="s">
        <v>118</v>
      </c>
      <c r="C61" s="30" t="s">
        <v>119</v>
      </c>
      <c r="D61" s="185"/>
      <c r="E61" s="185">
        <f t="shared" si="4"/>
        <v>0</v>
      </c>
      <c r="F61" s="185">
        <f t="shared" si="21"/>
        <v>0</v>
      </c>
      <c r="G61" s="185">
        <f t="shared" si="8"/>
        <v>0</v>
      </c>
      <c r="H61" s="185">
        <f t="shared" si="12"/>
        <v>0</v>
      </c>
      <c r="I61" s="185"/>
      <c r="J61" s="185"/>
      <c r="K61" s="185"/>
      <c r="L61" s="185"/>
      <c r="M61" s="185"/>
      <c r="N61" s="185"/>
      <c r="O61" s="185"/>
      <c r="P61" s="185"/>
      <c r="Q61" s="185"/>
      <c r="R61" s="185"/>
      <c r="S61" s="185"/>
      <c r="T61" s="185"/>
      <c r="U61" s="185"/>
      <c r="V61" s="185">
        <f t="shared" si="13"/>
        <v>0</v>
      </c>
      <c r="W61" s="185"/>
      <c r="X61" s="185"/>
      <c r="Y61" s="185"/>
      <c r="Z61" s="185"/>
      <c r="AA61" s="185"/>
      <c r="AB61" s="185"/>
      <c r="AC61" s="185"/>
      <c r="AD61" s="185"/>
      <c r="AE61" s="185">
        <f t="shared" si="27"/>
        <v>0</v>
      </c>
      <c r="AF61" s="185"/>
      <c r="AG61" s="185"/>
      <c r="AH61" s="185"/>
      <c r="AI61" s="185"/>
      <c r="AJ61" s="185"/>
      <c r="AK61" s="185"/>
      <c r="AL61" s="185"/>
      <c r="AM61" s="185"/>
      <c r="AN61" s="185"/>
      <c r="AO61" s="185"/>
      <c r="AP61" s="185"/>
      <c r="AQ61" s="185"/>
      <c r="AR61" s="185"/>
      <c r="AS61" s="185"/>
      <c r="AT61" s="185"/>
      <c r="AU61" s="185"/>
      <c r="AV61" s="185"/>
      <c r="AW61" s="185"/>
      <c r="AX61" s="185"/>
      <c r="AY61" s="185"/>
      <c r="AZ61" s="185"/>
      <c r="BA61" s="185"/>
      <c r="BB61" s="185"/>
      <c r="BC61" s="185"/>
      <c r="BD61" s="185"/>
      <c r="BE61" s="185"/>
      <c r="BF61" s="185">
        <f>D61-BL61</f>
        <v>0</v>
      </c>
      <c r="BG61" s="185"/>
      <c r="BH61" s="185">
        <f t="shared" si="22"/>
        <v>0</v>
      </c>
      <c r="BI61" s="185"/>
      <c r="BJ61" s="185"/>
      <c r="BK61" s="185"/>
      <c r="BL61" s="185">
        <f>E61+W61+X61+Y61+Z61+AA61+AB61+AC61+AD61+AE61+AQ61+AR61+AS61+AT61+AU61+AV61+AW61+AX61+AY61+AZ61+BA61+BB61+BC61+BD61+BE61+BG61+BH61</f>
        <v>0</v>
      </c>
      <c r="BM61" s="185">
        <f>BF67-BL61</f>
        <v>0</v>
      </c>
      <c r="BN61" s="185">
        <f t="shared" si="29"/>
        <v>0</v>
      </c>
      <c r="BP61" s="123"/>
    </row>
    <row r="62" spans="1:68" ht="20.100000000000001" customHeight="1">
      <c r="A62" s="19" t="s">
        <v>120</v>
      </c>
      <c r="B62" s="19" t="s">
        <v>121</v>
      </c>
      <c r="C62" s="30" t="s">
        <v>122</v>
      </c>
      <c r="D62" s="185"/>
      <c r="E62" s="185">
        <f t="shared" si="4"/>
        <v>0</v>
      </c>
      <c r="F62" s="185">
        <f t="shared" si="21"/>
        <v>0</v>
      </c>
      <c r="G62" s="185">
        <f t="shared" si="8"/>
        <v>0</v>
      </c>
      <c r="H62" s="185">
        <f t="shared" si="12"/>
        <v>0</v>
      </c>
      <c r="I62" s="185"/>
      <c r="J62" s="185"/>
      <c r="K62" s="185"/>
      <c r="L62" s="185"/>
      <c r="M62" s="185"/>
      <c r="N62" s="185"/>
      <c r="O62" s="185"/>
      <c r="P62" s="185"/>
      <c r="Q62" s="185"/>
      <c r="R62" s="185"/>
      <c r="S62" s="185"/>
      <c r="T62" s="185"/>
      <c r="U62" s="185"/>
      <c r="V62" s="185">
        <f t="shared" si="13"/>
        <v>0</v>
      </c>
      <c r="W62" s="185"/>
      <c r="X62" s="185"/>
      <c r="Y62" s="185"/>
      <c r="Z62" s="185"/>
      <c r="AA62" s="185"/>
      <c r="AB62" s="185"/>
      <c r="AC62" s="185"/>
      <c r="AD62" s="185"/>
      <c r="AE62" s="185">
        <f t="shared" si="27"/>
        <v>0</v>
      </c>
      <c r="AF62" s="185"/>
      <c r="AG62" s="185"/>
      <c r="AH62" s="185"/>
      <c r="AI62" s="185"/>
      <c r="AJ62" s="185"/>
      <c r="AK62" s="185"/>
      <c r="AL62" s="185"/>
      <c r="AM62" s="185"/>
      <c r="AN62" s="185"/>
      <c r="AO62" s="185"/>
      <c r="AP62" s="185"/>
      <c r="AQ62" s="185"/>
      <c r="AR62" s="185"/>
      <c r="AS62" s="185"/>
      <c r="AT62" s="185"/>
      <c r="AU62" s="185"/>
      <c r="AV62" s="185"/>
      <c r="AW62" s="185"/>
      <c r="AX62" s="185"/>
      <c r="AY62" s="185"/>
      <c r="AZ62" s="185"/>
      <c r="BA62" s="185"/>
      <c r="BB62" s="185"/>
      <c r="BC62" s="185"/>
      <c r="BD62" s="185"/>
      <c r="BE62" s="185"/>
      <c r="BF62" s="185"/>
      <c r="BG62" s="185">
        <f>D62-BL62</f>
        <v>0</v>
      </c>
      <c r="BH62" s="185">
        <f t="shared" si="22"/>
        <v>0</v>
      </c>
      <c r="BI62" s="185"/>
      <c r="BJ62" s="185"/>
      <c r="BK62" s="185"/>
      <c r="BL62" s="185">
        <f>E62+W62+X62+Y62+Z62+AA62+AB62+AC62+AD62+AE62+AQ62+AR62+AS62+AT62+AU62+AV62+AW62+AX62+AY62+AZ62+BA62+BB62+BC62+BD62+BE62+BF62+BH62</f>
        <v>0</v>
      </c>
      <c r="BM62" s="185">
        <f>BG67-BL62</f>
        <v>0</v>
      </c>
      <c r="BN62" s="185">
        <f t="shared" si="29"/>
        <v>0</v>
      </c>
      <c r="BP62" s="123"/>
    </row>
    <row r="63" spans="1:68" s="115" customFormat="1" ht="21.75" customHeight="1">
      <c r="A63" s="15">
        <v>3</v>
      </c>
      <c r="B63" s="15" t="s">
        <v>123</v>
      </c>
      <c r="C63" s="158" t="s">
        <v>124</v>
      </c>
      <c r="D63" s="420">
        <f>D64+D65+D66</f>
        <v>2.75</v>
      </c>
      <c r="E63" s="420">
        <f>E64+E65+E66</f>
        <v>0</v>
      </c>
      <c r="F63" s="420">
        <f t="shared" ref="F63:U63" si="30">F64+F65+F66</f>
        <v>0</v>
      </c>
      <c r="G63" s="420">
        <f t="shared" si="30"/>
        <v>0</v>
      </c>
      <c r="H63" s="420">
        <f t="shared" si="30"/>
        <v>0</v>
      </c>
      <c r="I63" s="420">
        <f t="shared" si="30"/>
        <v>0</v>
      </c>
      <c r="J63" s="420">
        <f t="shared" si="30"/>
        <v>0</v>
      </c>
      <c r="K63" s="420">
        <f t="shared" si="30"/>
        <v>0</v>
      </c>
      <c r="L63" s="420">
        <f t="shared" si="30"/>
        <v>0</v>
      </c>
      <c r="M63" s="420">
        <f t="shared" si="30"/>
        <v>0</v>
      </c>
      <c r="N63" s="420">
        <f t="shared" si="30"/>
        <v>0</v>
      </c>
      <c r="O63" s="420">
        <f t="shared" si="30"/>
        <v>0</v>
      </c>
      <c r="P63" s="420">
        <f t="shared" si="30"/>
        <v>0</v>
      </c>
      <c r="Q63" s="420">
        <f t="shared" si="30"/>
        <v>0</v>
      </c>
      <c r="R63" s="420">
        <f t="shared" si="30"/>
        <v>0</v>
      </c>
      <c r="S63" s="420">
        <f t="shared" si="30"/>
        <v>0</v>
      </c>
      <c r="T63" s="420">
        <f t="shared" si="30"/>
        <v>0</v>
      </c>
      <c r="U63" s="420">
        <f t="shared" si="30"/>
        <v>0</v>
      </c>
      <c r="V63" s="420">
        <f>V64+V65+V66</f>
        <v>0</v>
      </c>
      <c r="W63" s="420">
        <f t="shared" ref="W63:BG63" si="31">W64+W65+W66</f>
        <v>0</v>
      </c>
      <c r="X63" s="420">
        <f t="shared" si="31"/>
        <v>0</v>
      </c>
      <c r="Y63" s="420">
        <f t="shared" si="31"/>
        <v>0</v>
      </c>
      <c r="Z63" s="420">
        <f t="shared" si="31"/>
        <v>0</v>
      </c>
      <c r="AA63" s="420">
        <f t="shared" si="31"/>
        <v>0</v>
      </c>
      <c r="AB63" s="420">
        <f t="shared" si="31"/>
        <v>0</v>
      </c>
      <c r="AC63" s="420">
        <f t="shared" si="31"/>
        <v>0</v>
      </c>
      <c r="AD63" s="420">
        <f t="shared" si="31"/>
        <v>0</v>
      </c>
      <c r="AE63" s="420">
        <f t="shared" si="31"/>
        <v>0</v>
      </c>
      <c r="AF63" s="420">
        <f t="shared" si="31"/>
        <v>0</v>
      </c>
      <c r="AG63" s="420">
        <f t="shared" si="31"/>
        <v>0</v>
      </c>
      <c r="AH63" s="420">
        <f t="shared" si="31"/>
        <v>0</v>
      </c>
      <c r="AI63" s="420">
        <f t="shared" si="31"/>
        <v>0</v>
      </c>
      <c r="AJ63" s="420">
        <f t="shared" si="31"/>
        <v>0</v>
      </c>
      <c r="AK63" s="420">
        <f t="shared" si="31"/>
        <v>0</v>
      </c>
      <c r="AL63" s="420">
        <f t="shared" si="31"/>
        <v>0</v>
      </c>
      <c r="AM63" s="420">
        <f t="shared" si="31"/>
        <v>0</v>
      </c>
      <c r="AN63" s="420">
        <f t="shared" si="31"/>
        <v>0</v>
      </c>
      <c r="AO63" s="420">
        <f t="shared" si="31"/>
        <v>0</v>
      </c>
      <c r="AP63" s="420">
        <f t="shared" si="31"/>
        <v>0</v>
      </c>
      <c r="AQ63" s="420">
        <f t="shared" si="31"/>
        <v>0</v>
      </c>
      <c r="AR63" s="420">
        <f t="shared" si="31"/>
        <v>0</v>
      </c>
      <c r="AS63" s="420">
        <f t="shared" si="31"/>
        <v>0</v>
      </c>
      <c r="AT63" s="420">
        <f t="shared" si="31"/>
        <v>0</v>
      </c>
      <c r="AU63" s="420">
        <f t="shared" si="31"/>
        <v>0</v>
      </c>
      <c r="AV63" s="420">
        <f t="shared" si="31"/>
        <v>0</v>
      </c>
      <c r="AW63" s="420">
        <f t="shared" si="31"/>
        <v>0</v>
      </c>
      <c r="AX63" s="420">
        <f t="shared" si="31"/>
        <v>0</v>
      </c>
      <c r="AY63" s="420">
        <f t="shared" si="31"/>
        <v>0</v>
      </c>
      <c r="AZ63" s="420">
        <f t="shared" si="31"/>
        <v>0</v>
      </c>
      <c r="BA63" s="420">
        <f t="shared" si="31"/>
        <v>0</v>
      </c>
      <c r="BB63" s="420">
        <f t="shared" si="31"/>
        <v>0</v>
      </c>
      <c r="BC63" s="420">
        <f t="shared" si="31"/>
        <v>0</v>
      </c>
      <c r="BD63" s="420">
        <f t="shared" si="31"/>
        <v>0</v>
      </c>
      <c r="BE63" s="420">
        <f t="shared" si="31"/>
        <v>0</v>
      </c>
      <c r="BF63" s="420">
        <f t="shared" si="31"/>
        <v>0</v>
      </c>
      <c r="BG63" s="420">
        <f t="shared" si="31"/>
        <v>0</v>
      </c>
      <c r="BH63" s="420">
        <f>D63-BL63</f>
        <v>2.75</v>
      </c>
      <c r="BI63" s="420">
        <f t="shared" ref="BI63:BN63" si="32">BI64+BI65+BI66</f>
        <v>2.75</v>
      </c>
      <c r="BJ63" s="420">
        <f t="shared" si="32"/>
        <v>0</v>
      </c>
      <c r="BK63" s="420">
        <f t="shared" si="32"/>
        <v>0</v>
      </c>
      <c r="BL63" s="420">
        <f t="shared" si="32"/>
        <v>0</v>
      </c>
      <c r="BM63" s="420">
        <f t="shared" si="32"/>
        <v>0</v>
      </c>
      <c r="BN63" s="420">
        <f t="shared" si="32"/>
        <v>2.75</v>
      </c>
    </row>
    <row r="64" spans="1:68" ht="21.75" customHeight="1">
      <c r="A64" s="14" t="s">
        <v>220</v>
      </c>
      <c r="B64" s="14" t="s">
        <v>461</v>
      </c>
      <c r="C64" s="30" t="s">
        <v>209</v>
      </c>
      <c r="D64" s="185">
        <f>#REF!</f>
        <v>2.75</v>
      </c>
      <c r="E64" s="185">
        <f t="shared" si="4"/>
        <v>0</v>
      </c>
      <c r="F64" s="185">
        <f t="shared" si="21"/>
        <v>0</v>
      </c>
      <c r="G64" s="185">
        <f t="shared" si="8"/>
        <v>0</v>
      </c>
      <c r="H64" s="185">
        <f t="shared" si="12"/>
        <v>0</v>
      </c>
      <c r="I64" s="185"/>
      <c r="J64" s="185"/>
      <c r="K64" s="185"/>
      <c r="L64" s="185"/>
      <c r="M64" s="185"/>
      <c r="N64" s="185"/>
      <c r="O64" s="185"/>
      <c r="P64" s="185"/>
      <c r="Q64" s="185"/>
      <c r="R64" s="185"/>
      <c r="S64" s="185"/>
      <c r="T64" s="185"/>
      <c r="U64" s="185"/>
      <c r="V64" s="185">
        <f t="shared" si="13"/>
        <v>0</v>
      </c>
      <c r="W64" s="185"/>
      <c r="X64" s="185"/>
      <c r="Y64" s="185"/>
      <c r="Z64" s="185"/>
      <c r="AA64" s="185"/>
      <c r="AB64" s="185"/>
      <c r="AC64" s="185"/>
      <c r="AD64" s="185"/>
      <c r="AE64" s="185">
        <f t="shared" si="27"/>
        <v>0</v>
      </c>
      <c r="AF64" s="185"/>
      <c r="AG64" s="185"/>
      <c r="AH64" s="185"/>
      <c r="AI64" s="185"/>
      <c r="AJ64" s="185"/>
      <c r="AK64" s="185"/>
      <c r="AL64" s="185"/>
      <c r="AM64" s="185"/>
      <c r="AN64" s="185"/>
      <c r="AO64" s="185"/>
      <c r="AP64" s="185"/>
      <c r="AQ64" s="185"/>
      <c r="AR64" s="185"/>
      <c r="AS64" s="185"/>
      <c r="AT64" s="185"/>
      <c r="AU64" s="185"/>
      <c r="AV64" s="185"/>
      <c r="AW64" s="185"/>
      <c r="AX64" s="185"/>
      <c r="AY64" s="185"/>
      <c r="AZ64" s="185"/>
      <c r="BA64" s="185"/>
      <c r="BB64" s="185"/>
      <c r="BC64" s="185"/>
      <c r="BD64" s="185"/>
      <c r="BE64" s="185"/>
      <c r="BF64" s="185"/>
      <c r="BG64" s="185"/>
      <c r="BH64" s="185">
        <f>BI64+BJ64+BK64</f>
        <v>2.75</v>
      </c>
      <c r="BI64" s="185">
        <f>D64-BL64</f>
        <v>2.75</v>
      </c>
      <c r="BJ64" s="185"/>
      <c r="BK64" s="185"/>
      <c r="BL64" s="185">
        <f>E64+V64</f>
        <v>0</v>
      </c>
      <c r="BM64" s="185">
        <f>BI67-BL64</f>
        <v>0</v>
      </c>
      <c r="BN64" s="185">
        <f>D64+BM64</f>
        <v>2.75</v>
      </c>
      <c r="BP64" s="123"/>
    </row>
    <row r="65" spans="1:68" ht="21.75" customHeight="1">
      <c r="A65" s="14" t="s">
        <v>221</v>
      </c>
      <c r="B65" s="14" t="s">
        <v>462</v>
      </c>
      <c r="C65" s="30" t="s">
        <v>210</v>
      </c>
      <c r="D65" s="185"/>
      <c r="E65" s="185">
        <f t="shared" si="4"/>
        <v>0</v>
      </c>
      <c r="F65" s="185">
        <f t="shared" si="21"/>
        <v>0</v>
      </c>
      <c r="G65" s="185">
        <f t="shared" si="8"/>
        <v>0</v>
      </c>
      <c r="H65" s="185">
        <f t="shared" si="12"/>
        <v>0</v>
      </c>
      <c r="I65" s="185"/>
      <c r="J65" s="185"/>
      <c r="K65" s="185"/>
      <c r="L65" s="185"/>
      <c r="M65" s="185"/>
      <c r="N65" s="185"/>
      <c r="O65" s="185"/>
      <c r="P65" s="185"/>
      <c r="Q65" s="185"/>
      <c r="R65" s="185"/>
      <c r="S65" s="185"/>
      <c r="T65" s="185"/>
      <c r="U65" s="185"/>
      <c r="V65" s="185">
        <f t="shared" si="13"/>
        <v>0</v>
      </c>
      <c r="W65" s="185"/>
      <c r="X65" s="185"/>
      <c r="Y65" s="185"/>
      <c r="Z65" s="185"/>
      <c r="AA65" s="185"/>
      <c r="AB65" s="185"/>
      <c r="AC65" s="185"/>
      <c r="AD65" s="185"/>
      <c r="AE65" s="185">
        <f t="shared" si="27"/>
        <v>0</v>
      </c>
      <c r="AF65" s="185"/>
      <c r="AG65" s="185"/>
      <c r="AH65" s="185"/>
      <c r="AI65" s="185"/>
      <c r="AJ65" s="185"/>
      <c r="AK65" s="185"/>
      <c r="AL65" s="185"/>
      <c r="AM65" s="185"/>
      <c r="AN65" s="185"/>
      <c r="AO65" s="185"/>
      <c r="AP65" s="185"/>
      <c r="AQ65" s="185"/>
      <c r="AR65" s="185"/>
      <c r="AS65" s="185"/>
      <c r="AT65" s="185"/>
      <c r="AU65" s="185"/>
      <c r="AV65" s="185"/>
      <c r="AW65" s="185"/>
      <c r="AX65" s="185"/>
      <c r="AY65" s="185"/>
      <c r="AZ65" s="185"/>
      <c r="BA65" s="185"/>
      <c r="BB65" s="185"/>
      <c r="BC65" s="185"/>
      <c r="BD65" s="185"/>
      <c r="BE65" s="185"/>
      <c r="BF65" s="185"/>
      <c r="BG65" s="185"/>
      <c r="BH65" s="185">
        <f>BI65+BJ65+BK65</f>
        <v>0</v>
      </c>
      <c r="BI65" s="185"/>
      <c r="BJ65" s="185">
        <f>D65-BL65</f>
        <v>0</v>
      </c>
      <c r="BK65" s="185"/>
      <c r="BL65" s="185">
        <f>E65+V65</f>
        <v>0</v>
      </c>
      <c r="BM65" s="185">
        <f>BJ67-BL65</f>
        <v>0</v>
      </c>
      <c r="BN65" s="185">
        <f>D65+BM65</f>
        <v>0</v>
      </c>
      <c r="BP65" s="123"/>
    </row>
    <row r="66" spans="1:68" ht="21.75" customHeight="1">
      <c r="A66" s="16" t="s">
        <v>222</v>
      </c>
      <c r="B66" s="16" t="s">
        <v>492</v>
      </c>
      <c r="C66" s="156" t="s">
        <v>211</v>
      </c>
      <c r="D66" s="455"/>
      <c r="E66" s="455">
        <f t="shared" si="4"/>
        <v>0</v>
      </c>
      <c r="F66" s="455">
        <f t="shared" si="21"/>
        <v>0</v>
      </c>
      <c r="G66" s="455">
        <f t="shared" si="8"/>
        <v>0</v>
      </c>
      <c r="H66" s="455">
        <f t="shared" si="12"/>
        <v>0</v>
      </c>
      <c r="I66" s="455"/>
      <c r="J66" s="455"/>
      <c r="K66" s="455"/>
      <c r="L66" s="455"/>
      <c r="M66" s="455"/>
      <c r="N66" s="455"/>
      <c r="O66" s="455"/>
      <c r="P66" s="455"/>
      <c r="Q66" s="455"/>
      <c r="R66" s="455"/>
      <c r="S66" s="455"/>
      <c r="T66" s="455"/>
      <c r="U66" s="455"/>
      <c r="V66" s="455">
        <f t="shared" si="13"/>
        <v>0</v>
      </c>
      <c r="W66" s="455"/>
      <c r="X66" s="455"/>
      <c r="Y66" s="455"/>
      <c r="Z66" s="455"/>
      <c r="AA66" s="455"/>
      <c r="AB66" s="455"/>
      <c r="AC66" s="455"/>
      <c r="AD66" s="455"/>
      <c r="AE66" s="455">
        <f t="shared" si="27"/>
        <v>0</v>
      </c>
      <c r="AF66" s="455"/>
      <c r="AG66" s="455"/>
      <c r="AH66" s="455"/>
      <c r="AI66" s="455"/>
      <c r="AJ66" s="455"/>
      <c r="AK66" s="455"/>
      <c r="AL66" s="455"/>
      <c r="AM66" s="455"/>
      <c r="AN66" s="455"/>
      <c r="AO66" s="455"/>
      <c r="AP66" s="455"/>
      <c r="AQ66" s="455"/>
      <c r="AR66" s="455"/>
      <c r="AS66" s="455"/>
      <c r="AT66" s="455"/>
      <c r="AU66" s="455"/>
      <c r="AV66" s="455"/>
      <c r="AW66" s="455"/>
      <c r="AX66" s="455"/>
      <c r="AY66" s="455"/>
      <c r="AZ66" s="455"/>
      <c r="BA66" s="455"/>
      <c r="BB66" s="455"/>
      <c r="BC66" s="455"/>
      <c r="BD66" s="455"/>
      <c r="BE66" s="455"/>
      <c r="BF66" s="455"/>
      <c r="BG66" s="455"/>
      <c r="BH66" s="455">
        <f>BI66+BJ66+BK66</f>
        <v>0</v>
      </c>
      <c r="BI66" s="455"/>
      <c r="BJ66" s="455"/>
      <c r="BK66" s="455">
        <f>D66-BL66</f>
        <v>0</v>
      </c>
      <c r="BL66" s="455">
        <f>E66+V66</f>
        <v>0</v>
      </c>
      <c r="BM66" s="455">
        <f>D66-BL66</f>
        <v>0</v>
      </c>
      <c r="BN66" s="455">
        <f>D66+BM66</f>
        <v>0</v>
      </c>
      <c r="BP66" s="123"/>
    </row>
    <row r="67" spans="1:68" s="113" customFormat="1" ht="24.75" customHeight="1">
      <c r="A67" s="17"/>
      <c r="B67" s="17" t="s">
        <v>190</v>
      </c>
      <c r="C67" s="17"/>
      <c r="D67" s="399"/>
      <c r="E67" s="399">
        <f>E25+E63</f>
        <v>0</v>
      </c>
      <c r="F67" s="399">
        <f>F18+F22+F23+F24+F25+F63</f>
        <v>0</v>
      </c>
      <c r="G67" s="399">
        <f>G17+G18+G22+G23+G24+G25+G63</f>
        <v>0</v>
      </c>
      <c r="H67" s="399">
        <f>H15+H16+H17+H18+H22+H23+H24+H25+H63</f>
        <v>0</v>
      </c>
      <c r="I67" s="399">
        <f>I13+I14+I15+I16+I17+I18+I22+I23+I24+I25+I63</f>
        <v>0</v>
      </c>
      <c r="J67" s="399">
        <f>J12+J14+J15+J16+J17+J18+J22+J23+J24+J25+J63</f>
        <v>0</v>
      </c>
      <c r="K67" s="399">
        <f>K12+K13+K15+K16+K17+K18+K22+K23+K24+K25+K63</f>
        <v>0</v>
      </c>
      <c r="L67" s="399">
        <f>L12+L13+L14+L16+L17+L18+L22+L23+L24+L25+L63</f>
        <v>0</v>
      </c>
      <c r="M67" s="399">
        <f>M12+M13+M14+M15+M17+M18+M22+M23+M24+M25+M63</f>
        <v>0</v>
      </c>
      <c r="N67" s="399">
        <f>N12+N13+N14+N15+N16+N18+N22+N23+N24+N25+N63</f>
        <v>0</v>
      </c>
      <c r="O67" s="399">
        <f>O9+O22+O23+O24+O25+O63</f>
        <v>0</v>
      </c>
      <c r="P67" s="399">
        <f>P10+P17+P20+P21+P22+P23+P24+P25+P63</f>
        <v>0</v>
      </c>
      <c r="Q67" s="399">
        <f>Q12+Q13+Q14+Q15+Q16+Q17+Q19+Q21+Q22+Q23+Q24+Q25+Q63</f>
        <v>0</v>
      </c>
      <c r="R67" s="399">
        <f>R12+R13+R14+R15+R16+R17+R19+R20+R22+R23+R24+R25+R63</f>
        <v>0</v>
      </c>
      <c r="S67" s="399">
        <f>S9+S18+S23+S24+S25+S63</f>
        <v>0</v>
      </c>
      <c r="T67" s="399">
        <f>T9+T18+T22+T24+T25+T63</f>
        <v>0</v>
      </c>
      <c r="U67" s="399">
        <f>U9+U18+U22+U23+U25+U63</f>
        <v>0</v>
      </c>
      <c r="V67" s="399">
        <f>V8+V63</f>
        <v>0.3</v>
      </c>
      <c r="W67" s="733">
        <f>W8+W27+W28+W29+W30+W31+W32+W33+W34+W46+W47+W48+W49+W50+W51+W52+W53+W54+W55+W56+W57+W58+W59+W60+W61+W62+W63</f>
        <v>0</v>
      </c>
      <c r="X67" s="729">
        <f>X8+X26+X28+X29+X30+X31+X32+X33+X34+X46+X47+X48+X49+X50+X51+X52+X53+X54+X55+X56+X57+X58+X59+X60+X61+X62+X63</f>
        <v>0</v>
      </c>
      <c r="Y67" s="733">
        <f>Y8+Y26+Y27+Y29+Y30+Y31+Y32+Y33+Y34+Y46+Y47+Y48+Y49+Y50+Y51+Y52+Y53+Y54+Y55+Y56+Y57+Y58+Y59+Y60+Y61+Y62+Y63</f>
        <v>0</v>
      </c>
      <c r="Z67" s="733">
        <f>Z8+Z26+Z27+Z28+Z30+Z31+Z32+Z33+Z34+Z46+Z47+Z48+Z49+Z50+Z51+Z52+Z53+Z54+Z55+Z56+Z57+Z58+Z59+Z60+Z61+Z62+Z63</f>
        <v>0</v>
      </c>
      <c r="AA67" s="733">
        <f>AA8+AA26+AA27+AA28+AA29+AA31+AA32+AA33+AA34+AA46+AA47+AA48+AA49+AA50+AA51+AA52+AA53+AA54+AA55+AA56+AA57+AA58+AA59+AA60+AA61+AA62+AA63</f>
        <v>0</v>
      </c>
      <c r="AB67" s="733">
        <f>AB8+AB26+AB27+AB28+AB29+AB30+AB32+AB33+AB34+AB46+AB47+AB48+AB49+AB50+AB51+AB52+AB53+AB54+AB55+AB56+AB57+AB58+AB59+AB60+AB61+AB62+AB63</f>
        <v>0</v>
      </c>
      <c r="AC67" s="733">
        <f>AC8+AC26+AC27+AC28+AC29+AC30+AC31+AC33+AC34+AC46+AC47+AC48+AC49+AC50+AC51+AC52+AC53+AC54+AC55+AC56+AC57+AC58+AC59+AC60+AC61+AC62+AC63</f>
        <v>0</v>
      </c>
      <c r="AD67" s="733">
        <f>AD8+AD26+AD27+AD28+AD29+AD30+AD31+AD32+AD34+AD46+AD47+AD48+AD49+AD50+AD51+AD52+AD53+AD54+AD55+AD56+AD57+AD58+AD59+AD60+AD61+AD62+AD63</f>
        <v>0</v>
      </c>
      <c r="AE67" s="733">
        <f>AE8+AE26+AE27+AE28+AE29+AE30+AE31+AE32+AE33+AE46+AE47+AE48+AE49+AE50+AE51+AE52+AE53+AE54+AE55+AE56+AE57+AE58+AE59+AE60+AE61+AE62+AE63</f>
        <v>0</v>
      </c>
      <c r="AF67" s="733">
        <f>AF8+AF26+AF27+AF28+AF29+AF30+AF31+AF32+AF33+AF3+AF36+AF37+AF38+AF39+AF40+AF41+AF42+AF43+AF44+AF45+AF46+AF47+AF48+AF49+AF50+AF51+AF52+AF53+AF54+AF55+AF56+AF57+AF58+AF59+AF60+AF61+AF62+AF63</f>
        <v>0</v>
      </c>
      <c r="AG67" s="733">
        <f>AG8+AG26+AG27+AG28+AG29+AG30+AG31+AG32+AG33+AG35+AG37+AG38+AG39+AG40+AG41+AG42+AG43+AG44+AG45+AG46+AG47+AG48+AG49+AG50+AG51+AG52+AG53+AG54+AG55+AG56+AG57+AG58+AG59+AG60+AG61+AG62+AG63</f>
        <v>0</v>
      </c>
      <c r="AH67" s="733">
        <f>AH8+AH26+AH27+AH28+AH29+AH30+AH31+AH32+AH33+AH35+AH36+AH38+AH39+AH40+AH41+AH42+AH43+AH44+AH45+AH46+AH47+AH48+AH49+AH50+AH51+AH52+AH53+AH54+AH55+AH56+AH57+AH58+AH59+AH60+AH61+AH62+AH63</f>
        <v>0</v>
      </c>
      <c r="AI67" s="733">
        <f>AI8+AI26+AI27+AI28+AI29+AI30+AI31+AI32+AI33+AI35+AI36+AI37+AI39+AI40+AI41+AI42+AI43+AI44+AI45+AI46+AI47+AI48+AI49+AI50+AI51+AI52+AI53+AI54+AI55+AI56+AI57+AI58+AI59+AI60+AI61+AI62+AI63</f>
        <v>0</v>
      </c>
      <c r="AJ67" s="733">
        <f>AJ8+AJ26+AJ27+AJ28+AJ29+AJ30+AJ31+AJ32+AJ33+AJ35+AJ36+AJ37+AJ38+AJ40+AJ41+AJ42+AJ43+AJ44+AJ45+AJ46+AJ47+AJ48+AJ49+AJ50+AJ51+AJ52+AJ53+AJ54+AJ55+AJ56+AJ57+AJ58+AJ59+AJ60+AJ61+AJ62+AJ63</f>
        <v>0</v>
      </c>
      <c r="AK67" s="733">
        <f>AK8+AK26+AK27+AK28+AK29+AK30+AK31+AK32+AK33+AK35+AK36+AK37+AK38+AK39+AK41+AK42+AK43+AK44+AK45+AK46+AK47+AK48+AK49+AK50+AK51+AK52+AK53+AK54+AK55+AK56+AK57+AK58+AK59+AK60+AK61+AK62+AK63</f>
        <v>0</v>
      </c>
      <c r="AL67" s="729">
        <f>AL8+AL26+AL27+AL28+AL29+AL30+AL31+AL32+AL33+AL35+AL36+AL37+AL38+AL39+AL40+AL42+AL43+AL44+AL45+AL46+AL47+AL48+AL49+AL50+AL51+AL52+AL53+AL54+AL55+AL56+AL57+AL58+AL59+AL60+AL61+AL62+AL63</f>
        <v>0</v>
      </c>
      <c r="AM67" s="729">
        <f>AM8+AM26+AM27+AM28+AM29+AM30+AM31+AM32+AM33+AM35+AM36+AM37+AM38+AM39+AM40+AM41+AM43+AM44+AM45+AM46+AM47+AM48+AM49+AM50+AM51+AM52+AM53+AM54+AM55+AM56+AM57+AM58+AM59+AM60+AM61+AM62+AM63</f>
        <v>0</v>
      </c>
      <c r="AN67" s="733">
        <f>AN8+AN26+AN27+AN28+AN29+AN30+AN31+AN32+AN33+AN35+AN36+AN37+AN38+AN39+AN40+AN41+AN42+AN44+AN45+AN46+AN47+AN48+AN49+AN50+AN51+AN52+AN53+AN54+AN55+AN56+AN57+AN58+AN59+AN60+AN61+AN62+AN63</f>
        <v>0</v>
      </c>
      <c r="AO67" s="733">
        <f>AO8+AO26+AO27+AO28+AO29+AO30+AO31+AO32+AO33+AO35+AO36+AO37+AO38+AO39+AO40+AO41+AO42+AO43+AO45+AO46+AO47+AO48+AO49+AO50+AO51+AO52+AO53+AO54+AO55+AO56+AO57+AO58+AO59+AO60+AO61+AO62+AO63</f>
        <v>0</v>
      </c>
      <c r="AP67" s="733">
        <f>AP8+AP26+AP27+AP28+AP29+AP30+AP31+AP32+AP33+AP35+AP36+AP37+AP38+AP39+AP40+AP41+AP42+AP43+AP44+AP46+AP47+AP48+AP49+AP50+AP51+AP52+AP53+AP54+AP55+AP56+AP57+AP58+AP59+AP60+AP61+AP62+AP63</f>
        <v>0</v>
      </c>
      <c r="AQ67" s="733">
        <f>AQ8+AQ26+AQ27+AQ28+AQ29+AQ30+AQ31+AQ32+AQ33+AQ34+AQ47+AQ48+AQ49+AQ50+AQ51+AQ52+AQ53+AQ54+AQ55+AQ56+AQ57+AQ58+AQ59+AQ60+AQ61+AQ62+AQ63</f>
        <v>0</v>
      </c>
      <c r="AR67" s="733">
        <f>AR8+AR26+AR27+AR28+AR29+AR30+AR31+AR32+AR33+AR34+AR46+AR48+AR49+AR50+AR51+AR52+AR53+AR54+AR55+AR56+AR57+AR58+AR59+AR60+AR61+AR62+AR63</f>
        <v>0</v>
      </c>
      <c r="AS67" s="733">
        <f>AS8+AS26+AS27+AS28+AS29+AS30+AS31+AS32+AS33+AS34+AS46+AS47+AS49+AS50+AS51+AS52+AS53+AS54+AS55+AS56+AS57+AS58+AS59+AS60+AS61+AS62+AS63</f>
        <v>0</v>
      </c>
      <c r="AT67" s="733">
        <f>AT8+AT26+AT27+AT28+AT29+AT30+AT31+AT32+AT33+AT34+AT46+AT47+AT48+AT50+AT51+AT52+AT53+AT54+AT55+AT56+AT57+AT58+AT59+AT60+AT61+AT62+AT63</f>
        <v>0</v>
      </c>
      <c r="AU67" s="729">
        <f>AU8+AU26+AU27+AU28+AU29+AU30+AU31+AU32+AU33+AU34+AU46+AU47+AU48+AU49+AU51+AU52+AU53+AU54+AU55+AU56+AU57+AU58+AU59+AU60+AU61+AU62+AU63</f>
        <v>0.3</v>
      </c>
      <c r="AV67" s="733">
        <f>AV8+AV26+AV27+AV28+AV29+AV30+AV31+AV32+AV33+AV34+AV46+AV47+AV48+AV49+AV50+AV52+AV53+AV54+AV55+AV56+AV57+AV58+AV59+AV60+AV61+AV62+AV63</f>
        <v>0</v>
      </c>
      <c r="AW67" s="733">
        <f>AW8+AW26+AW27+AW28+AW29+AW30+AW31+AW32+AW33+AW34+AW46+AW47+AW48+AW49+AW50+AW51+AW53+AW54+AW55+AW56+AW57+AW58+AW59+AW60+AW61+AW62+AW63</f>
        <v>0</v>
      </c>
      <c r="AX67" s="733">
        <f>AX8+AX26+AX27+AX28+AX29+AX30+AX31+AX32+AX33+AX34+AX46+AX47+AX48+AX49+AX50+AX51+AX52+AX54+AX55+AX56+AX57+AX58+AX59+AX60+AX61+AX62+AX63</f>
        <v>0</v>
      </c>
      <c r="AY67" s="733">
        <f>AY8+AY26+AY27+AY28+AY29+AY30+AY31+AY32+AY33+AY34+AY46+AY47+AY48+AY49+AY50+AY51+AY52+AY53+AY55+AY56+AY57+AY58+AY59+AY60+AY61+AY62+AY63</f>
        <v>0</v>
      </c>
      <c r="AZ67" s="733">
        <f>AZ8+AZ26+AZ27+AZ28+AZ29+AZ30+AZ31+AZ32+AZ33+AZ34+AZ46+AZ47+AZ48+AZ49+AZ50+AZ51+AZ52+AZ53+AZ54+AZ56+AZ57+AZ58+AZ59+AZ60+AZ61+AZ62+AZ63</f>
        <v>0</v>
      </c>
      <c r="BA67" s="733">
        <f>BA8+BA26+BA27+BA28+BA29+BA30+BA31+BA32+BA33+BA34+BA46+BA47+BA48+BA49+BA50+BA51+BA52+BA53+BA54+BA55+BA57+BA58+BA59+BA60+BA61+BA62+BA63</f>
        <v>0</v>
      </c>
      <c r="BB67" s="733">
        <f>BB8+BB26+BB27+BB28+BB29+BB30+BB31+BB32+BB33+BB34+BB46+BB47+BB48+BB49+BB50+BB51+BB52+BB53+BB54+BB55+BB56+BB58+BB59+BB60+BB61+BB62+BB63</f>
        <v>0</v>
      </c>
      <c r="BC67" s="399">
        <f>BC8+BC26+BC27+BC28+BC29+BC30+BC31+BC32+BC33+BC34+BC46+BC47+BC48+BC49+BC50+BC51+BC52+BC53+BC54+BC55+BC56+BC57+BC59+BC60+BC61+BC62+BC63</f>
        <v>0</v>
      </c>
      <c r="BD67" s="399">
        <f>BD8+BD26+BD27+BD28+BD29+BD30+BD31+BD32+BD33+BD34+BD46+BD47+BD48+BD49+BD50+BD51+BD52+BD53+BD54+BD55+BD56+BD57+BD58+BD60+BD61+BD62+BD63</f>
        <v>0</v>
      </c>
      <c r="BE67" s="399">
        <f>BE8+BE26+BE27+BE28+BE29+BE30+BE31+BE32+BE33+BE34+BE46+BE47+BE48+BE49+BE50+BE51+BE52+BE53+BE54+BE55+BE56+BE57+BE58+BE59+BE61+BE62+BE63</f>
        <v>0</v>
      </c>
      <c r="BF67" s="399">
        <f>BF8+BF26+BF27+BF28+BF29+BF30+BF31+BF32+BF33+BF34+BF46+BF47+BF48+BF49+BF50+BF51+BF52+BF53+BF54+BF55+BF56+BF57+BF58+BF59+BF60+BF62+BF63</f>
        <v>0</v>
      </c>
      <c r="BG67" s="399">
        <f>BG8+BG26+BG27+BG28+BG29+BG30+BG31+BG32+BG33+BG34+BG46+BG47+BG48+BG49+BG50+BG51+BG52+BG53+BG54+BG55+BG56+BG57+BG58+BG59+BG60+BG61+BG63</f>
        <v>0</v>
      </c>
      <c r="BH67" s="399">
        <f>BH8+BH25</f>
        <v>0</v>
      </c>
      <c r="BI67" s="399">
        <f>BI8+BI25+BI65+BI66</f>
        <v>0</v>
      </c>
      <c r="BJ67" s="399">
        <f>BJ8+BJ25+BJ64+BJ66</f>
        <v>0</v>
      </c>
      <c r="BK67" s="399">
        <f>BK8+BK25+BK64+BK65</f>
        <v>0</v>
      </c>
      <c r="BL67" s="399"/>
      <c r="BM67" s="399"/>
      <c r="BN67" s="399"/>
    </row>
    <row r="68" spans="1:68" s="103" customFormat="1" ht="31.5" customHeight="1">
      <c r="A68" s="18"/>
      <c r="B68" s="157" t="s">
        <v>695</v>
      </c>
      <c r="C68" s="157"/>
      <c r="D68" s="456">
        <f>BN7</f>
        <v>158.60500000000002</v>
      </c>
      <c r="E68" s="456">
        <f>BN8</f>
        <v>3.9</v>
      </c>
      <c r="F68" s="456">
        <f>BN9</f>
        <v>3.58</v>
      </c>
      <c r="G68" s="456">
        <f>BN10</f>
        <v>0</v>
      </c>
      <c r="H68" s="456">
        <f>BN11</f>
        <v>0</v>
      </c>
      <c r="I68" s="456">
        <f>BN12</f>
        <v>0</v>
      </c>
      <c r="J68" s="456">
        <f>BN13</f>
        <v>0</v>
      </c>
      <c r="K68" s="456">
        <f>BN14</f>
        <v>0</v>
      </c>
      <c r="L68" s="456">
        <f>BN15</f>
        <v>0</v>
      </c>
      <c r="M68" s="456">
        <f>BN16</f>
        <v>0</v>
      </c>
      <c r="N68" s="456">
        <f>BN17</f>
        <v>3.58</v>
      </c>
      <c r="O68" s="456">
        <f>BN18</f>
        <v>0</v>
      </c>
      <c r="P68" s="456">
        <f>BN19</f>
        <v>0</v>
      </c>
      <c r="Q68" s="456">
        <f>BN20</f>
        <v>0</v>
      </c>
      <c r="R68" s="456">
        <f>BN21</f>
        <v>0</v>
      </c>
      <c r="S68" s="456">
        <f>BN22</f>
        <v>0.32</v>
      </c>
      <c r="T68" s="456">
        <f>BN23</f>
        <v>0</v>
      </c>
      <c r="U68" s="456">
        <f>BN24</f>
        <v>0</v>
      </c>
      <c r="V68" s="456">
        <f>BN25</f>
        <v>151.95500000000001</v>
      </c>
      <c r="W68" s="456">
        <f>BN26</f>
        <v>1.85</v>
      </c>
      <c r="X68" s="456">
        <f>BN27</f>
        <v>0.22</v>
      </c>
      <c r="Y68" s="456">
        <f>BN28</f>
        <v>0</v>
      </c>
      <c r="Z68" s="456">
        <f>BN29</f>
        <v>0</v>
      </c>
      <c r="AA68" s="456">
        <f>BN30</f>
        <v>0</v>
      </c>
      <c r="AB68" s="456">
        <f>BN31</f>
        <v>9.0378000000000007</v>
      </c>
      <c r="AC68" s="456">
        <f>BN32</f>
        <v>16.350000000000001</v>
      </c>
      <c r="AD68" s="456">
        <f>BN33</f>
        <v>0</v>
      </c>
      <c r="AE68" s="456">
        <f>BN34</f>
        <v>60.747900000000001</v>
      </c>
      <c r="AF68" s="456">
        <f>BN35</f>
        <v>0.39500000000000002</v>
      </c>
      <c r="AG68" s="456">
        <f>BN36</f>
        <v>0.03</v>
      </c>
      <c r="AH68" s="456">
        <f>BN37</f>
        <v>5.71</v>
      </c>
      <c r="AI68" s="456">
        <f>BN38</f>
        <v>0</v>
      </c>
      <c r="AJ68" s="456">
        <f>BN39</f>
        <v>0</v>
      </c>
      <c r="AK68" s="456">
        <f>BN40</f>
        <v>0</v>
      </c>
      <c r="AL68" s="456">
        <f>BN41</f>
        <v>52.232900000000001</v>
      </c>
      <c r="AM68" s="456">
        <f>BN42</f>
        <v>1.52</v>
      </c>
      <c r="AN68" s="456">
        <f>BN43</f>
        <v>0.01</v>
      </c>
      <c r="AO68" s="456">
        <f>BN44</f>
        <v>0</v>
      </c>
      <c r="AP68" s="456">
        <f>BN45</f>
        <v>0.85</v>
      </c>
      <c r="AQ68" s="456">
        <f>BN46</f>
        <v>0</v>
      </c>
      <c r="AR68" s="456">
        <f>BN47</f>
        <v>0</v>
      </c>
      <c r="AS68" s="456">
        <f>BN48</f>
        <v>0</v>
      </c>
      <c r="AT68" s="456">
        <f>BN49</f>
        <v>0</v>
      </c>
      <c r="AU68" s="456">
        <f>BN50</f>
        <v>36.759299999999996</v>
      </c>
      <c r="AV68" s="456">
        <f>BN51</f>
        <v>0.81</v>
      </c>
      <c r="AW68" s="456">
        <f>BN52</f>
        <v>0</v>
      </c>
      <c r="AX68" s="456">
        <f>BN53</f>
        <v>0</v>
      </c>
      <c r="AY68" s="456">
        <f>BN54</f>
        <v>0.4</v>
      </c>
      <c r="AZ68" s="456">
        <f>BN55</f>
        <v>0</v>
      </c>
      <c r="BA68" s="456">
        <f>BN56</f>
        <v>0</v>
      </c>
      <c r="BB68" s="456">
        <f>BN57</f>
        <v>0.62</v>
      </c>
      <c r="BC68" s="456">
        <f>BN58</f>
        <v>0.47</v>
      </c>
      <c r="BD68" s="456">
        <f>BN59</f>
        <v>1.23</v>
      </c>
      <c r="BE68" s="456">
        <f>BN60</f>
        <v>23.46</v>
      </c>
      <c r="BF68" s="456">
        <f>BN61</f>
        <v>0</v>
      </c>
      <c r="BG68" s="456">
        <f>BN62</f>
        <v>0</v>
      </c>
      <c r="BH68" s="456">
        <f>BN63</f>
        <v>2.75</v>
      </c>
      <c r="BI68" s="456">
        <f>BN64</f>
        <v>2.75</v>
      </c>
      <c r="BJ68" s="456">
        <f>BN65</f>
        <v>0</v>
      </c>
      <c r="BK68" s="456">
        <f>BN66</f>
        <v>0</v>
      </c>
      <c r="BL68" s="456"/>
      <c r="BM68" s="456"/>
      <c r="BN68" s="456"/>
    </row>
    <row r="70" spans="1:68" ht="18" customHeight="1">
      <c r="A70" s="1300" t="s">
        <v>10</v>
      </c>
      <c r="B70" s="1300"/>
    </row>
    <row r="71" spans="1:68" ht="28.5" customHeight="1">
      <c r="A71" s="1300" t="s">
        <v>321</v>
      </c>
      <c r="B71" s="1300"/>
      <c r="C71" s="1300"/>
      <c r="D71" s="1300"/>
      <c r="E71" s="1300"/>
      <c r="F71" s="1300"/>
      <c r="G71" s="1300"/>
      <c r="H71" s="1300"/>
      <c r="I71" s="1300"/>
      <c r="J71" s="1300"/>
      <c r="K71" s="1300"/>
      <c r="L71" s="1300"/>
      <c r="M71" s="1300"/>
      <c r="N71" s="1300"/>
      <c r="O71" s="1300"/>
      <c r="P71" s="1300"/>
      <c r="Q71" s="1300"/>
      <c r="R71" s="1300"/>
      <c r="S71" s="1300"/>
      <c r="T71" s="1300"/>
      <c r="U71" s="1300"/>
      <c r="V71" s="1300"/>
      <c r="W71" s="1300"/>
      <c r="X71" s="1300"/>
      <c r="Y71" s="1300"/>
      <c r="Z71" s="1300"/>
      <c r="AA71" s="1300"/>
      <c r="AB71" s="1300"/>
      <c r="AC71" s="1300"/>
      <c r="AD71" s="1300"/>
      <c r="AE71" s="1300"/>
      <c r="AF71" s="1300"/>
      <c r="AG71" s="1300"/>
      <c r="AH71" s="1300"/>
      <c r="AI71" s="1300"/>
      <c r="AJ71" s="1300"/>
      <c r="AK71" s="1300"/>
      <c r="AL71" s="1300"/>
      <c r="AM71" s="1300"/>
      <c r="AN71" s="1300"/>
      <c r="AO71" s="1300"/>
      <c r="AP71" s="1300"/>
      <c r="AQ71" s="1300"/>
      <c r="AR71" s="1300"/>
      <c r="AS71" s="1300"/>
    </row>
    <row r="72" spans="1:68" ht="24.75" customHeight="1">
      <c r="A72" s="1300" t="s">
        <v>322</v>
      </c>
      <c r="B72" s="1300"/>
      <c r="C72" s="1300"/>
      <c r="D72" s="1300"/>
      <c r="E72" s="1300"/>
      <c r="F72" s="1300"/>
      <c r="G72" s="1300"/>
      <c r="H72" s="1300"/>
      <c r="I72" s="1300"/>
      <c r="J72" s="1300"/>
      <c r="K72" s="1300"/>
      <c r="L72" s="1300"/>
      <c r="M72" s="1300"/>
      <c r="N72" s="1300"/>
      <c r="O72" s="1300"/>
      <c r="P72" s="1300"/>
      <c r="Q72" s="1300"/>
      <c r="R72" s="1300"/>
      <c r="S72" s="1300"/>
      <c r="T72" s="1300"/>
      <c r="U72" s="1300"/>
      <c r="V72" s="1300"/>
      <c r="W72" s="1300"/>
      <c r="X72" s="1300"/>
      <c r="Y72" s="1300"/>
      <c r="Z72" s="1300"/>
      <c r="AA72" s="1300"/>
      <c r="AB72" s="1300"/>
      <c r="AC72" s="1300"/>
      <c r="AD72" s="1300"/>
      <c r="AE72" s="1300"/>
      <c r="AF72" s="1300"/>
      <c r="AG72" s="1300"/>
      <c r="AH72" s="1300"/>
      <c r="AI72" s="1300"/>
      <c r="AJ72" s="1300"/>
      <c r="AK72" s="1300"/>
      <c r="AL72" s="1300"/>
      <c r="AM72" s="1300"/>
      <c r="AN72" s="1300"/>
      <c r="AO72" s="1300"/>
      <c r="AP72" s="1300"/>
      <c r="AQ72" s="1300"/>
      <c r="AR72" s="1300"/>
      <c r="AS72" s="1300"/>
    </row>
    <row r="73" spans="1:68" ht="21.75" customHeight="1">
      <c r="AR73" s="1300" t="s">
        <v>138</v>
      </c>
      <c r="AS73" s="1300"/>
    </row>
    <row r="74" spans="1:68" ht="31.5" customHeight="1">
      <c r="A74" s="1300" t="s">
        <v>0</v>
      </c>
      <c r="B74" s="1300" t="s">
        <v>12</v>
      </c>
      <c r="C74" s="1300" t="s">
        <v>13</v>
      </c>
      <c r="D74" s="1300" t="s">
        <v>324</v>
      </c>
      <c r="E74" s="1300" t="s">
        <v>326</v>
      </c>
      <c r="F74" s="1300"/>
      <c r="G74" s="1300"/>
      <c r="H74" s="1300"/>
      <c r="I74" s="1300"/>
      <c r="J74" s="1300"/>
      <c r="K74" s="1300"/>
      <c r="L74" s="1300"/>
      <c r="M74" s="1300"/>
      <c r="N74" s="1300"/>
      <c r="O74" s="1300"/>
      <c r="P74" s="1300"/>
      <c r="Q74" s="1300"/>
      <c r="R74" s="1300"/>
      <c r="S74" s="1300"/>
      <c r="T74" s="1300"/>
      <c r="U74" s="1300"/>
      <c r="V74" s="1300"/>
      <c r="W74" s="1300"/>
      <c r="X74" s="1300"/>
      <c r="Y74" s="1300"/>
      <c r="Z74" s="1300"/>
      <c r="AA74" s="1300"/>
      <c r="AB74" s="1300"/>
      <c r="AC74" s="1300"/>
      <c r="AD74" s="1300"/>
      <c r="AE74" s="1300"/>
      <c r="AF74" s="1300"/>
      <c r="AG74" s="1300"/>
      <c r="AH74" s="1300"/>
      <c r="AI74" s="1300"/>
      <c r="AJ74" s="1300"/>
      <c r="AK74" s="1300"/>
      <c r="AL74" s="1300"/>
      <c r="AM74" s="1300"/>
      <c r="AN74" s="1300"/>
      <c r="AO74" s="1300"/>
      <c r="AP74" s="1300"/>
      <c r="AQ74" s="1300"/>
      <c r="AR74" s="1300" t="s">
        <v>191</v>
      </c>
      <c r="AS74" s="1300" t="s">
        <v>323</v>
      </c>
    </row>
    <row r="75" spans="1:68" ht="30" customHeight="1">
      <c r="A75" s="1300"/>
      <c r="B75" s="1300"/>
      <c r="C75" s="1300"/>
      <c r="D75" s="1300"/>
      <c r="E75" t="s">
        <v>15</v>
      </c>
      <c r="F75" t="s">
        <v>18</v>
      </c>
      <c r="G75" t="s">
        <v>20</v>
      </c>
      <c r="H75" t="s">
        <v>23</v>
      </c>
      <c r="I75" t="s">
        <v>26</v>
      </c>
      <c r="J75" t="s">
        <v>29</v>
      </c>
      <c r="K75" t="s">
        <v>32</v>
      </c>
      <c r="L75" t="s">
        <v>35</v>
      </c>
      <c r="M75" t="s">
        <v>38</v>
      </c>
      <c r="N75" t="s">
        <v>41</v>
      </c>
      <c r="O75" t="s">
        <v>44</v>
      </c>
      <c r="P75" t="s">
        <v>46</v>
      </c>
      <c r="Q75" t="s">
        <v>49</v>
      </c>
      <c r="R75" t="s">
        <v>52</v>
      </c>
      <c r="S75" t="s">
        <v>55</v>
      </c>
      <c r="T75" t="s">
        <v>58</v>
      </c>
      <c r="U75" t="s">
        <v>61</v>
      </c>
      <c r="V75" t="s">
        <v>64</v>
      </c>
      <c r="W75" t="s">
        <v>67</v>
      </c>
      <c r="X75" t="s">
        <v>70</v>
      </c>
      <c r="Y75" t="s">
        <v>72</v>
      </c>
      <c r="Z75" t="s">
        <v>75</v>
      </c>
      <c r="AA75" t="s">
        <v>78</v>
      </c>
      <c r="AB75" t="s">
        <v>81</v>
      </c>
      <c r="AC75" t="s">
        <v>84</v>
      </c>
      <c r="AD75" t="s">
        <v>87</v>
      </c>
      <c r="AE75" t="s">
        <v>90</v>
      </c>
      <c r="AF75" t="s">
        <v>93</v>
      </c>
      <c r="AG75" t="s">
        <v>96</v>
      </c>
      <c r="AH75" t="s">
        <v>99</v>
      </c>
      <c r="AI75" t="s">
        <v>101</v>
      </c>
      <c r="AJ75" t="s">
        <v>104</v>
      </c>
      <c r="AK75" t="s">
        <v>107</v>
      </c>
      <c r="AL75" t="s">
        <v>110</v>
      </c>
      <c r="AM75" t="s">
        <v>113</v>
      </c>
      <c r="AN75" t="s">
        <v>116</v>
      </c>
      <c r="AO75" t="s">
        <v>119</v>
      </c>
      <c r="AP75" t="s">
        <v>122</v>
      </c>
      <c r="AQ75" t="s">
        <v>124</v>
      </c>
      <c r="AR75" s="1300"/>
      <c r="AS75" s="1300"/>
    </row>
    <row r="76" spans="1:68" ht="27.75" customHeight="1">
      <c r="B76" t="s">
        <v>189</v>
      </c>
      <c r="D76">
        <f>D77+D88+D115</f>
        <v>158.60500000000002</v>
      </c>
      <c r="E76">
        <f t="shared" ref="E76:AS76" si="33">E77+E88+E115</f>
        <v>3.9</v>
      </c>
      <c r="F76">
        <f t="shared" si="33"/>
        <v>0</v>
      </c>
      <c r="G76">
        <f t="shared" si="33"/>
        <v>0</v>
      </c>
      <c r="H76">
        <f t="shared" si="33"/>
        <v>0</v>
      </c>
      <c r="I76">
        <f t="shared" si="33"/>
        <v>3.58</v>
      </c>
      <c r="J76">
        <f>J77+J88+J115</f>
        <v>0</v>
      </c>
      <c r="K76">
        <f t="shared" si="33"/>
        <v>0</v>
      </c>
      <c r="L76">
        <f t="shared" si="33"/>
        <v>0</v>
      </c>
      <c r="M76">
        <f t="shared" si="33"/>
        <v>0.32</v>
      </c>
      <c r="N76">
        <f t="shared" si="33"/>
        <v>0</v>
      </c>
      <c r="O76">
        <f t="shared" si="33"/>
        <v>0</v>
      </c>
      <c r="P76">
        <f t="shared" si="33"/>
        <v>151.95500000000004</v>
      </c>
      <c r="Q76">
        <f t="shared" si="33"/>
        <v>1.85</v>
      </c>
      <c r="R76">
        <f t="shared" si="33"/>
        <v>0.22</v>
      </c>
      <c r="S76">
        <f t="shared" si="33"/>
        <v>0</v>
      </c>
      <c r="T76">
        <f t="shared" si="33"/>
        <v>0</v>
      </c>
      <c r="U76">
        <f t="shared" si="33"/>
        <v>0</v>
      </c>
      <c r="V76">
        <f t="shared" si="33"/>
        <v>9.0378000000000007</v>
      </c>
      <c r="W76">
        <f t="shared" si="33"/>
        <v>16.350000000000001</v>
      </c>
      <c r="X76">
        <f t="shared" si="33"/>
        <v>0</v>
      </c>
      <c r="Y76">
        <f t="shared" si="33"/>
        <v>60.747900000000001</v>
      </c>
      <c r="Z76">
        <f t="shared" si="33"/>
        <v>0</v>
      </c>
      <c r="AA76">
        <f t="shared" si="33"/>
        <v>0</v>
      </c>
      <c r="AB76">
        <f t="shared" si="33"/>
        <v>0</v>
      </c>
      <c r="AC76">
        <f t="shared" si="33"/>
        <v>0</v>
      </c>
      <c r="AD76">
        <f t="shared" si="33"/>
        <v>36.759299999999996</v>
      </c>
      <c r="AE76">
        <f t="shared" si="33"/>
        <v>0.81</v>
      </c>
      <c r="AF76">
        <f t="shared" si="33"/>
        <v>0</v>
      </c>
      <c r="AG76">
        <f t="shared" si="33"/>
        <v>0</v>
      </c>
      <c r="AH76">
        <f t="shared" si="33"/>
        <v>0.4</v>
      </c>
      <c r="AI76">
        <f t="shared" si="33"/>
        <v>0</v>
      </c>
      <c r="AJ76">
        <f t="shared" si="33"/>
        <v>0</v>
      </c>
      <c r="AK76">
        <f t="shared" si="33"/>
        <v>0.62</v>
      </c>
      <c r="AL76">
        <f t="shared" si="33"/>
        <v>0.47</v>
      </c>
      <c r="AM76">
        <f t="shared" si="33"/>
        <v>1.23</v>
      </c>
      <c r="AN76">
        <f t="shared" si="33"/>
        <v>23.46</v>
      </c>
      <c r="AO76">
        <f t="shared" si="33"/>
        <v>0</v>
      </c>
      <c r="AP76">
        <f t="shared" si="33"/>
        <v>0</v>
      </c>
      <c r="AQ76">
        <f t="shared" si="33"/>
        <v>0</v>
      </c>
      <c r="AS76">
        <f t="shared" si="33"/>
        <v>158.60500000000002</v>
      </c>
    </row>
    <row r="77" spans="1:68" ht="20.25" customHeight="1">
      <c r="A77">
        <v>1</v>
      </c>
      <c r="B77" t="s">
        <v>14</v>
      </c>
      <c r="C77" t="s">
        <v>15</v>
      </c>
      <c r="D77">
        <f>D78+D80+D81+D82+D83+D84+D85+D86+D87</f>
        <v>4.2</v>
      </c>
      <c r="E77">
        <f t="shared" ref="E77:AS77" si="34">E78+E80+E81+E82+E83+E84+E85+E86+E87</f>
        <v>3.9</v>
      </c>
      <c r="F77">
        <f t="shared" si="34"/>
        <v>0</v>
      </c>
      <c r="G77">
        <f t="shared" si="34"/>
        <v>0</v>
      </c>
      <c r="H77">
        <f t="shared" si="34"/>
        <v>0</v>
      </c>
      <c r="I77">
        <f t="shared" si="34"/>
        <v>3.58</v>
      </c>
      <c r="J77">
        <f t="shared" si="34"/>
        <v>0</v>
      </c>
      <c r="K77">
        <f t="shared" si="34"/>
        <v>0</v>
      </c>
      <c r="L77">
        <f t="shared" si="34"/>
        <v>0</v>
      </c>
      <c r="M77">
        <f t="shared" si="34"/>
        <v>0.32</v>
      </c>
      <c r="N77">
        <f t="shared" si="34"/>
        <v>0</v>
      </c>
      <c r="O77">
        <f t="shared" si="34"/>
        <v>0</v>
      </c>
      <c r="P77">
        <f>P78+P80+P81+P82+P83+P84+P85+P86+P87</f>
        <v>0.3</v>
      </c>
      <c r="Q77">
        <f t="shared" si="34"/>
        <v>0</v>
      </c>
      <c r="R77">
        <f t="shared" si="34"/>
        <v>0</v>
      </c>
      <c r="S77">
        <f t="shared" si="34"/>
        <v>0</v>
      </c>
      <c r="T77">
        <f t="shared" si="34"/>
        <v>0</v>
      </c>
      <c r="U77">
        <f t="shared" si="34"/>
        <v>0</v>
      </c>
      <c r="V77">
        <f t="shared" si="34"/>
        <v>0</v>
      </c>
      <c r="W77">
        <f t="shared" si="34"/>
        <v>0</v>
      </c>
      <c r="X77">
        <f t="shared" si="34"/>
        <v>0</v>
      </c>
      <c r="Y77">
        <f t="shared" si="34"/>
        <v>0</v>
      </c>
      <c r="Z77">
        <f t="shared" si="34"/>
        <v>0</v>
      </c>
      <c r="AA77">
        <f t="shared" si="34"/>
        <v>0</v>
      </c>
      <c r="AB77">
        <f t="shared" si="34"/>
        <v>0</v>
      </c>
      <c r="AC77">
        <f t="shared" si="34"/>
        <v>0</v>
      </c>
      <c r="AD77">
        <f t="shared" si="34"/>
        <v>0.3</v>
      </c>
      <c r="AE77">
        <f t="shared" si="34"/>
        <v>0</v>
      </c>
      <c r="AF77">
        <f t="shared" si="34"/>
        <v>0</v>
      </c>
      <c r="AG77">
        <f t="shared" si="34"/>
        <v>0</v>
      </c>
      <c r="AH77">
        <f t="shared" si="34"/>
        <v>0</v>
      </c>
      <c r="AI77">
        <f t="shared" si="34"/>
        <v>0</v>
      </c>
      <c r="AJ77">
        <f t="shared" si="34"/>
        <v>0</v>
      </c>
      <c r="AK77">
        <f t="shared" si="34"/>
        <v>0</v>
      </c>
      <c r="AL77">
        <f t="shared" si="34"/>
        <v>0</v>
      </c>
      <c r="AM77">
        <f t="shared" si="34"/>
        <v>0</v>
      </c>
      <c r="AN77">
        <f t="shared" si="34"/>
        <v>0</v>
      </c>
      <c r="AO77">
        <f t="shared" si="34"/>
        <v>0</v>
      </c>
      <c r="AP77">
        <f t="shared" si="34"/>
        <v>0</v>
      </c>
      <c r="AQ77">
        <f t="shared" si="34"/>
        <v>0</v>
      </c>
      <c r="AR77">
        <f>P77</f>
        <v>0.3</v>
      </c>
      <c r="AS77">
        <f t="shared" si="34"/>
        <v>3.9</v>
      </c>
    </row>
    <row r="78" spans="1:68" ht="20.25" customHeight="1">
      <c r="A78" t="s">
        <v>16</v>
      </c>
      <c r="B78" t="s">
        <v>17</v>
      </c>
      <c r="C78" t="s">
        <v>18</v>
      </c>
      <c r="D78">
        <f>D11</f>
        <v>0</v>
      </c>
      <c r="E78">
        <f>F78+H78+I78+J78+K78+L78+M78+N78+O78</f>
        <v>0</v>
      </c>
      <c r="F78">
        <f>D78-AR78</f>
        <v>0</v>
      </c>
      <c r="G78">
        <f>I13</f>
        <v>0</v>
      </c>
      <c r="H78">
        <f>M11</f>
        <v>0</v>
      </c>
      <c r="I78">
        <f>N11</f>
        <v>0</v>
      </c>
      <c r="J78">
        <f t="shared" ref="J78:O79" si="35">P11</f>
        <v>0</v>
      </c>
      <c r="K78">
        <f t="shared" si="35"/>
        <v>0</v>
      </c>
      <c r="L78">
        <f t="shared" si="35"/>
        <v>0</v>
      </c>
      <c r="M78">
        <f t="shared" si="35"/>
        <v>0</v>
      </c>
      <c r="N78">
        <f t="shared" si="35"/>
        <v>0</v>
      </c>
      <c r="O78">
        <f t="shared" si="35"/>
        <v>0</v>
      </c>
      <c r="P78">
        <f>SUM(Q78:AP78)</f>
        <v>0</v>
      </c>
      <c r="Q78">
        <f t="shared" ref="Q78:Y79" si="36">W11</f>
        <v>0</v>
      </c>
      <c r="R78">
        <f t="shared" si="36"/>
        <v>0</v>
      </c>
      <c r="S78">
        <f t="shared" si="36"/>
        <v>0</v>
      </c>
      <c r="T78">
        <f t="shared" si="36"/>
        <v>0</v>
      </c>
      <c r="U78">
        <f t="shared" si="36"/>
        <v>0</v>
      </c>
      <c r="V78">
        <f t="shared" si="36"/>
        <v>0</v>
      </c>
      <c r="W78">
        <f t="shared" si="36"/>
        <v>0</v>
      </c>
      <c r="X78">
        <f t="shared" si="36"/>
        <v>0</v>
      </c>
      <c r="Y78">
        <f t="shared" si="36"/>
        <v>0</v>
      </c>
      <c r="Z78">
        <f>AQ11</f>
        <v>0</v>
      </c>
      <c r="AA78">
        <f t="shared" ref="AA78:AQ79" si="37">AR11</f>
        <v>0</v>
      </c>
      <c r="AB78">
        <f t="shared" si="37"/>
        <v>0</v>
      </c>
      <c r="AC78">
        <f t="shared" si="37"/>
        <v>0</v>
      </c>
      <c r="AD78">
        <f t="shared" si="37"/>
        <v>0</v>
      </c>
      <c r="AE78">
        <f t="shared" si="37"/>
        <v>0</v>
      </c>
      <c r="AF78">
        <f t="shared" si="37"/>
        <v>0</v>
      </c>
      <c r="AG78">
        <f t="shared" si="37"/>
        <v>0</v>
      </c>
      <c r="AH78">
        <f t="shared" si="37"/>
        <v>0</v>
      </c>
      <c r="AI78">
        <f t="shared" si="37"/>
        <v>0</v>
      </c>
      <c r="AJ78">
        <f t="shared" si="37"/>
        <v>0</v>
      </c>
      <c r="AK78">
        <f t="shared" si="37"/>
        <v>0</v>
      </c>
      <c r="AL78">
        <f t="shared" si="37"/>
        <v>0</v>
      </c>
      <c r="AM78">
        <f t="shared" si="37"/>
        <v>0</v>
      </c>
      <c r="AN78">
        <f t="shared" si="37"/>
        <v>0</v>
      </c>
      <c r="AO78">
        <f t="shared" si="37"/>
        <v>0</v>
      </c>
      <c r="AP78">
        <f t="shared" si="37"/>
        <v>0</v>
      </c>
      <c r="AQ78">
        <f t="shared" si="37"/>
        <v>0</v>
      </c>
      <c r="AR78">
        <f>H78+I78+J78+K78+L78+M78+N78+O78+P78+AQ78</f>
        <v>0</v>
      </c>
      <c r="AS78">
        <f>D78+F116-AR78</f>
        <v>0</v>
      </c>
    </row>
    <row r="79" spans="1:68" ht="20.25" customHeight="1">
      <c r="B79" t="s">
        <v>19</v>
      </c>
      <c r="C79" t="s">
        <v>20</v>
      </c>
      <c r="D79">
        <f>D12</f>
        <v>0</v>
      </c>
      <c r="E79">
        <f t="shared" ref="E79:E114" si="38">F79+H79+I79+J79+K79+L79+M79+N79+O79</f>
        <v>0</v>
      </c>
      <c r="G79">
        <f>D79-AR79</f>
        <v>0</v>
      </c>
      <c r="H79">
        <f>M12</f>
        <v>0</v>
      </c>
      <c r="I79">
        <f>N12</f>
        <v>0</v>
      </c>
      <c r="J79">
        <f t="shared" si="35"/>
        <v>0</v>
      </c>
      <c r="K79">
        <f t="shared" si="35"/>
        <v>0</v>
      </c>
      <c r="L79">
        <f t="shared" si="35"/>
        <v>0</v>
      </c>
      <c r="M79">
        <f t="shared" si="35"/>
        <v>0</v>
      </c>
      <c r="N79">
        <f t="shared" si="35"/>
        <v>0</v>
      </c>
      <c r="O79">
        <f t="shared" si="35"/>
        <v>0</v>
      </c>
      <c r="P79">
        <f t="shared" ref="P79:P87" si="39">SUM(Q79:AP79)</f>
        <v>0</v>
      </c>
      <c r="Q79">
        <f t="shared" si="36"/>
        <v>0</v>
      </c>
      <c r="R79">
        <f t="shared" si="36"/>
        <v>0</v>
      </c>
      <c r="S79">
        <f t="shared" si="36"/>
        <v>0</v>
      </c>
      <c r="T79">
        <f t="shared" si="36"/>
        <v>0</v>
      </c>
      <c r="U79">
        <f t="shared" si="36"/>
        <v>0</v>
      </c>
      <c r="V79">
        <f t="shared" si="36"/>
        <v>0</v>
      </c>
      <c r="W79">
        <f t="shared" si="36"/>
        <v>0</v>
      </c>
      <c r="X79">
        <f t="shared" si="36"/>
        <v>0</v>
      </c>
      <c r="Y79">
        <f t="shared" si="36"/>
        <v>0</v>
      </c>
      <c r="Z79">
        <f>AQ12</f>
        <v>0</v>
      </c>
      <c r="AA79">
        <f t="shared" si="37"/>
        <v>0</v>
      </c>
      <c r="AB79">
        <f t="shared" si="37"/>
        <v>0</v>
      </c>
      <c r="AC79">
        <f t="shared" si="37"/>
        <v>0</v>
      </c>
      <c r="AD79">
        <f t="shared" si="37"/>
        <v>0</v>
      </c>
      <c r="AE79">
        <f t="shared" si="37"/>
        <v>0</v>
      </c>
      <c r="AF79">
        <f t="shared" si="37"/>
        <v>0</v>
      </c>
      <c r="AG79">
        <f t="shared" si="37"/>
        <v>0</v>
      </c>
      <c r="AH79">
        <f t="shared" si="37"/>
        <v>0</v>
      </c>
      <c r="AI79">
        <f t="shared" si="37"/>
        <v>0</v>
      </c>
      <c r="AJ79">
        <f t="shared" si="37"/>
        <v>0</v>
      </c>
      <c r="AK79">
        <f t="shared" si="37"/>
        <v>0</v>
      </c>
      <c r="AL79">
        <f t="shared" si="37"/>
        <v>0</v>
      </c>
      <c r="AM79">
        <f t="shared" si="37"/>
        <v>0</v>
      </c>
      <c r="AN79">
        <f t="shared" si="37"/>
        <v>0</v>
      </c>
      <c r="AO79">
        <f t="shared" si="37"/>
        <v>0</v>
      </c>
      <c r="AP79">
        <f t="shared" si="37"/>
        <v>0</v>
      </c>
      <c r="AQ79">
        <f t="shared" si="37"/>
        <v>0</v>
      </c>
      <c r="AR79">
        <f>F79+H79+I79+J79+K79+L79+M79+N79+O79+P79</f>
        <v>0</v>
      </c>
      <c r="AS79">
        <f>D79+G116-AR79</f>
        <v>0</v>
      </c>
    </row>
    <row r="80" spans="1:68" ht="20.25" customHeight="1">
      <c r="A80" t="s">
        <v>21</v>
      </c>
      <c r="B80" t="s">
        <v>22</v>
      </c>
      <c r="C80" t="s">
        <v>23</v>
      </c>
      <c r="D80">
        <f>D16</f>
        <v>0</v>
      </c>
      <c r="E80">
        <f t="shared" si="38"/>
        <v>0</v>
      </c>
      <c r="F80">
        <f>H16</f>
        <v>0</v>
      </c>
      <c r="G80">
        <f>I16</f>
        <v>0</v>
      </c>
      <c r="H80">
        <f>D80-AR80</f>
        <v>0</v>
      </c>
      <c r="I80">
        <f>N16</f>
        <v>0</v>
      </c>
      <c r="J80">
        <f t="shared" ref="J80:O81" si="40">P16</f>
        <v>0</v>
      </c>
      <c r="K80">
        <f t="shared" si="40"/>
        <v>0</v>
      </c>
      <c r="L80">
        <f t="shared" si="40"/>
        <v>0</v>
      </c>
      <c r="M80">
        <f t="shared" si="40"/>
        <v>0</v>
      </c>
      <c r="N80">
        <f t="shared" si="40"/>
        <v>0</v>
      </c>
      <c r="O80">
        <f t="shared" si="40"/>
        <v>0</v>
      </c>
      <c r="P80">
        <f t="shared" si="39"/>
        <v>0</v>
      </c>
      <c r="Q80">
        <f t="shared" ref="Q80:Y81" si="41">W16</f>
        <v>0</v>
      </c>
      <c r="R80">
        <f t="shared" si="41"/>
        <v>0</v>
      </c>
      <c r="S80">
        <f t="shared" si="41"/>
        <v>0</v>
      </c>
      <c r="T80">
        <f t="shared" si="41"/>
        <v>0</v>
      </c>
      <c r="U80">
        <f t="shared" si="41"/>
        <v>0</v>
      </c>
      <c r="V80">
        <f t="shared" si="41"/>
        <v>0</v>
      </c>
      <c r="W80">
        <f t="shared" si="41"/>
        <v>0</v>
      </c>
      <c r="X80">
        <f t="shared" si="41"/>
        <v>0</v>
      </c>
      <c r="Y80">
        <f t="shared" si="41"/>
        <v>0</v>
      </c>
      <c r="Z80">
        <f>AQ16</f>
        <v>0</v>
      </c>
      <c r="AA80">
        <f t="shared" ref="AA80:AQ81" si="42">AR16</f>
        <v>0</v>
      </c>
      <c r="AB80">
        <f t="shared" si="42"/>
        <v>0</v>
      </c>
      <c r="AC80">
        <f t="shared" si="42"/>
        <v>0</v>
      </c>
      <c r="AD80">
        <f t="shared" si="42"/>
        <v>0</v>
      </c>
      <c r="AE80">
        <f t="shared" si="42"/>
        <v>0</v>
      </c>
      <c r="AF80">
        <f t="shared" si="42"/>
        <v>0</v>
      </c>
      <c r="AG80">
        <f t="shared" si="42"/>
        <v>0</v>
      </c>
      <c r="AH80">
        <f t="shared" si="42"/>
        <v>0</v>
      </c>
      <c r="AI80">
        <f t="shared" si="42"/>
        <v>0</v>
      </c>
      <c r="AJ80">
        <f t="shared" si="42"/>
        <v>0</v>
      </c>
      <c r="AK80">
        <f t="shared" si="42"/>
        <v>0</v>
      </c>
      <c r="AL80">
        <f t="shared" si="42"/>
        <v>0</v>
      </c>
      <c r="AM80">
        <f t="shared" si="42"/>
        <v>0</v>
      </c>
      <c r="AN80">
        <f t="shared" si="42"/>
        <v>0</v>
      </c>
      <c r="AO80">
        <f t="shared" si="42"/>
        <v>0</v>
      </c>
      <c r="AP80">
        <f t="shared" si="42"/>
        <v>0</v>
      </c>
      <c r="AQ80">
        <f t="shared" si="42"/>
        <v>0</v>
      </c>
      <c r="AR80">
        <f>F80+I80+J80+K80+L80+M80+N80+O80+P80</f>
        <v>0</v>
      </c>
      <c r="AS80">
        <f>D80+H116-AR80</f>
        <v>0</v>
      </c>
    </row>
    <row r="81" spans="1:45" ht="20.25" customHeight="1">
      <c r="A81" t="s">
        <v>24</v>
      </c>
      <c r="B81" t="s">
        <v>25</v>
      </c>
      <c r="C81" t="s">
        <v>26</v>
      </c>
      <c r="D81">
        <f>D17</f>
        <v>3.88</v>
      </c>
      <c r="E81">
        <f t="shared" si="38"/>
        <v>3.58</v>
      </c>
      <c r="F81">
        <f>H17</f>
        <v>0</v>
      </c>
      <c r="G81">
        <f>I17</f>
        <v>0</v>
      </c>
      <c r="H81">
        <f>M17</f>
        <v>0</v>
      </c>
      <c r="I81">
        <f>D81-AR81</f>
        <v>3.58</v>
      </c>
      <c r="J81">
        <f t="shared" si="40"/>
        <v>0</v>
      </c>
      <c r="K81">
        <f t="shared" si="40"/>
        <v>0</v>
      </c>
      <c r="L81">
        <f t="shared" si="40"/>
        <v>0</v>
      </c>
      <c r="M81">
        <f t="shared" si="40"/>
        <v>0</v>
      </c>
      <c r="N81">
        <f t="shared" si="40"/>
        <v>0</v>
      </c>
      <c r="O81">
        <f t="shared" si="40"/>
        <v>0</v>
      </c>
      <c r="P81">
        <f t="shared" si="39"/>
        <v>0.3</v>
      </c>
      <c r="Q81">
        <f t="shared" si="41"/>
        <v>0</v>
      </c>
      <c r="R81">
        <f t="shared" si="41"/>
        <v>0</v>
      </c>
      <c r="S81">
        <f t="shared" si="41"/>
        <v>0</v>
      </c>
      <c r="T81">
        <f t="shared" si="41"/>
        <v>0</v>
      </c>
      <c r="U81">
        <f t="shared" si="41"/>
        <v>0</v>
      </c>
      <c r="V81">
        <f t="shared" si="41"/>
        <v>0</v>
      </c>
      <c r="W81">
        <f t="shared" si="41"/>
        <v>0</v>
      </c>
      <c r="X81">
        <f t="shared" si="41"/>
        <v>0</v>
      </c>
      <c r="Y81">
        <f t="shared" si="41"/>
        <v>0</v>
      </c>
      <c r="Z81">
        <f>AQ17</f>
        <v>0</v>
      </c>
      <c r="AA81">
        <f t="shared" si="42"/>
        <v>0</v>
      </c>
      <c r="AB81">
        <f t="shared" si="42"/>
        <v>0</v>
      </c>
      <c r="AC81">
        <f t="shared" si="42"/>
        <v>0</v>
      </c>
      <c r="AD81">
        <f t="shared" si="42"/>
        <v>0.3</v>
      </c>
      <c r="AE81">
        <f t="shared" si="42"/>
        <v>0</v>
      </c>
      <c r="AF81">
        <f t="shared" si="42"/>
        <v>0</v>
      </c>
      <c r="AG81">
        <f t="shared" si="42"/>
        <v>0</v>
      </c>
      <c r="AH81">
        <f t="shared" si="42"/>
        <v>0</v>
      </c>
      <c r="AI81">
        <f t="shared" si="42"/>
        <v>0</v>
      </c>
      <c r="AJ81">
        <f t="shared" si="42"/>
        <v>0</v>
      </c>
      <c r="AK81">
        <f t="shared" si="42"/>
        <v>0</v>
      </c>
      <c r="AL81">
        <f t="shared" si="42"/>
        <v>0</v>
      </c>
      <c r="AM81">
        <f t="shared" si="42"/>
        <v>0</v>
      </c>
      <c r="AN81">
        <f t="shared" si="42"/>
        <v>0</v>
      </c>
      <c r="AO81">
        <f t="shared" si="42"/>
        <v>0</v>
      </c>
      <c r="AP81">
        <f t="shared" si="42"/>
        <v>0</v>
      </c>
      <c r="AQ81">
        <f t="shared" si="42"/>
        <v>0</v>
      </c>
      <c r="AR81">
        <f>F81+H81+J81+K81+L81+M81+N81+O81+P81</f>
        <v>0.3</v>
      </c>
      <c r="AS81">
        <f>D81+I116-AR81</f>
        <v>3.58</v>
      </c>
    </row>
    <row r="82" spans="1:45" ht="20.25" customHeight="1">
      <c r="A82" t="s">
        <v>27</v>
      </c>
      <c r="B82" t="s">
        <v>28</v>
      </c>
      <c r="C82" t="s">
        <v>29</v>
      </c>
      <c r="D82">
        <f t="shared" ref="D82:D87" si="43">D19</f>
        <v>0</v>
      </c>
      <c r="E82">
        <f t="shared" si="38"/>
        <v>0</v>
      </c>
      <c r="F82">
        <f>H20</f>
        <v>0</v>
      </c>
      <c r="G82">
        <f>I20</f>
        <v>0</v>
      </c>
      <c r="H82">
        <f>M20</f>
        <v>0</v>
      </c>
      <c r="I82">
        <f>N20</f>
        <v>0</v>
      </c>
      <c r="J82">
        <f>D82-AR82</f>
        <v>0</v>
      </c>
      <c r="K82">
        <f>Q19</f>
        <v>0</v>
      </c>
      <c r="L82">
        <f>R19</f>
        <v>0</v>
      </c>
      <c r="M82">
        <f t="shared" ref="M82:O83" si="44">S20</f>
        <v>0</v>
      </c>
      <c r="N82">
        <f t="shared" si="44"/>
        <v>0</v>
      </c>
      <c r="O82">
        <f t="shared" si="44"/>
        <v>0</v>
      </c>
      <c r="P82">
        <f t="shared" si="39"/>
        <v>0</v>
      </c>
      <c r="Q82">
        <f>W20</f>
        <v>0</v>
      </c>
      <c r="R82">
        <f>X20</f>
        <v>0</v>
      </c>
      <c r="S82">
        <f>Z20</f>
        <v>0</v>
      </c>
      <c r="T82">
        <f t="shared" ref="T82:Y83" si="45">Z20</f>
        <v>0</v>
      </c>
      <c r="U82">
        <f t="shared" si="45"/>
        <v>0</v>
      </c>
      <c r="V82">
        <f t="shared" si="45"/>
        <v>0</v>
      </c>
      <c r="W82">
        <f t="shared" si="45"/>
        <v>0</v>
      </c>
      <c r="X82">
        <f t="shared" si="45"/>
        <v>0</v>
      </c>
      <c r="Y82">
        <f t="shared" si="45"/>
        <v>0</v>
      </c>
      <c r="Z82">
        <f>AQ20</f>
        <v>0</v>
      </c>
      <c r="AA82">
        <f t="shared" ref="AA82:AQ83" si="46">AR20</f>
        <v>0</v>
      </c>
      <c r="AB82">
        <f t="shared" si="46"/>
        <v>0</v>
      </c>
      <c r="AC82">
        <f t="shared" si="46"/>
        <v>0</v>
      </c>
      <c r="AD82">
        <f t="shared" si="46"/>
        <v>0</v>
      </c>
      <c r="AE82">
        <f t="shared" si="46"/>
        <v>0</v>
      </c>
      <c r="AF82">
        <f t="shared" si="46"/>
        <v>0</v>
      </c>
      <c r="AG82">
        <f t="shared" si="46"/>
        <v>0</v>
      </c>
      <c r="AH82">
        <f t="shared" si="46"/>
        <v>0</v>
      </c>
      <c r="AI82">
        <f t="shared" si="46"/>
        <v>0</v>
      </c>
      <c r="AJ82">
        <f t="shared" si="46"/>
        <v>0</v>
      </c>
      <c r="AK82">
        <f t="shared" si="46"/>
        <v>0</v>
      </c>
      <c r="AL82">
        <f t="shared" si="46"/>
        <v>0</v>
      </c>
      <c r="AM82">
        <f t="shared" si="46"/>
        <v>0</v>
      </c>
      <c r="AN82">
        <f t="shared" si="46"/>
        <v>0</v>
      </c>
      <c r="AO82">
        <f t="shared" si="46"/>
        <v>0</v>
      </c>
      <c r="AP82">
        <f t="shared" si="46"/>
        <v>0</v>
      </c>
      <c r="AQ82">
        <f t="shared" si="46"/>
        <v>0</v>
      </c>
      <c r="AR82">
        <f>F82+H82+I82+K82+L82+M82+N82+O82+P82</f>
        <v>0</v>
      </c>
      <c r="AS82">
        <f>D82+J116-AR82</f>
        <v>0</v>
      </c>
    </row>
    <row r="83" spans="1:45" ht="20.25" customHeight="1">
      <c r="A83" t="s">
        <v>30</v>
      </c>
      <c r="B83" t="s">
        <v>31</v>
      </c>
      <c r="C83" t="s">
        <v>32</v>
      </c>
      <c r="D83">
        <f t="shared" si="43"/>
        <v>0</v>
      </c>
      <c r="E83">
        <f t="shared" si="38"/>
        <v>0</v>
      </c>
      <c r="F83">
        <f>H21</f>
        <v>0</v>
      </c>
      <c r="G83">
        <f>I21</f>
        <v>0</v>
      </c>
      <c r="H83">
        <f>M21</f>
        <v>0</v>
      </c>
      <c r="I83">
        <f>N21</f>
        <v>0</v>
      </c>
      <c r="J83">
        <f>P20</f>
        <v>0</v>
      </c>
      <c r="K83">
        <f>D83-AR83</f>
        <v>0</v>
      </c>
      <c r="L83">
        <f>R20</f>
        <v>0</v>
      </c>
      <c r="M83">
        <f t="shared" si="44"/>
        <v>0</v>
      </c>
      <c r="N83">
        <f t="shared" si="44"/>
        <v>0</v>
      </c>
      <c r="O83">
        <f t="shared" si="44"/>
        <v>0</v>
      </c>
      <c r="P83">
        <f t="shared" si="39"/>
        <v>0</v>
      </c>
      <c r="Q83">
        <f>W21</f>
        <v>0</v>
      </c>
      <c r="R83">
        <f>X21</f>
        <v>0</v>
      </c>
      <c r="S83">
        <f>Z21</f>
        <v>0</v>
      </c>
      <c r="T83">
        <f t="shared" si="45"/>
        <v>0</v>
      </c>
      <c r="U83">
        <f t="shared" si="45"/>
        <v>0</v>
      </c>
      <c r="V83">
        <f t="shared" si="45"/>
        <v>0</v>
      </c>
      <c r="W83">
        <f t="shared" si="45"/>
        <v>0</v>
      </c>
      <c r="X83">
        <f t="shared" si="45"/>
        <v>0</v>
      </c>
      <c r="Y83">
        <f t="shared" si="45"/>
        <v>0</v>
      </c>
      <c r="Z83">
        <f>AQ21</f>
        <v>0</v>
      </c>
      <c r="AA83">
        <f t="shared" si="46"/>
        <v>0</v>
      </c>
      <c r="AB83">
        <f t="shared" si="46"/>
        <v>0</v>
      </c>
      <c r="AC83">
        <f t="shared" si="46"/>
        <v>0</v>
      </c>
      <c r="AD83">
        <f t="shared" si="46"/>
        <v>0</v>
      </c>
      <c r="AE83">
        <f t="shared" si="46"/>
        <v>0</v>
      </c>
      <c r="AF83">
        <f t="shared" si="46"/>
        <v>0</v>
      </c>
      <c r="AG83">
        <f t="shared" si="46"/>
        <v>0</v>
      </c>
      <c r="AH83">
        <f t="shared" si="46"/>
        <v>0</v>
      </c>
      <c r="AI83">
        <f t="shared" si="46"/>
        <v>0</v>
      </c>
      <c r="AJ83">
        <f t="shared" si="46"/>
        <v>0</v>
      </c>
      <c r="AK83">
        <f t="shared" si="46"/>
        <v>0</v>
      </c>
      <c r="AL83">
        <f t="shared" si="46"/>
        <v>0</v>
      </c>
      <c r="AM83">
        <f t="shared" si="46"/>
        <v>0</v>
      </c>
      <c r="AN83">
        <f t="shared" si="46"/>
        <v>0</v>
      </c>
      <c r="AO83">
        <f t="shared" si="46"/>
        <v>0</v>
      </c>
      <c r="AP83">
        <f t="shared" si="46"/>
        <v>0</v>
      </c>
      <c r="AQ83">
        <f t="shared" si="46"/>
        <v>0</v>
      </c>
      <c r="AR83">
        <f>F83+H83+I83+J83+L83+M83+N83+O83+P83</f>
        <v>0</v>
      </c>
      <c r="AS83">
        <f>D83+K116-AR83</f>
        <v>0</v>
      </c>
    </row>
    <row r="84" spans="1:45" ht="20.25" customHeight="1">
      <c r="A84" t="s">
        <v>33</v>
      </c>
      <c r="B84" t="s">
        <v>34</v>
      </c>
      <c r="C84" t="s">
        <v>35</v>
      </c>
      <c r="D84">
        <f t="shared" si="43"/>
        <v>0</v>
      </c>
      <c r="E84">
        <f t="shared" si="38"/>
        <v>0</v>
      </c>
      <c r="F84">
        <f>H19</f>
        <v>0</v>
      </c>
      <c r="G84">
        <f>I19</f>
        <v>0</v>
      </c>
      <c r="H84">
        <f>M19</f>
        <v>0</v>
      </c>
      <c r="I84">
        <f>N19</f>
        <v>0</v>
      </c>
      <c r="J84">
        <f>P21</f>
        <v>0</v>
      </c>
      <c r="K84">
        <f>Q21</f>
        <v>0</v>
      </c>
      <c r="L84">
        <f>D84-AR84</f>
        <v>0</v>
      </c>
      <c r="M84">
        <f>S19</f>
        <v>0</v>
      </c>
      <c r="N84">
        <f>T19</f>
        <v>0</v>
      </c>
      <c r="O84">
        <f>U19</f>
        <v>0</v>
      </c>
      <c r="P84">
        <f t="shared" si="39"/>
        <v>0</v>
      </c>
      <c r="Q84">
        <f t="shared" ref="Q84:Y84" si="47">W19</f>
        <v>0</v>
      </c>
      <c r="R84">
        <f t="shared" si="47"/>
        <v>0</v>
      </c>
      <c r="S84">
        <f t="shared" si="47"/>
        <v>0</v>
      </c>
      <c r="T84">
        <f t="shared" si="47"/>
        <v>0</v>
      </c>
      <c r="U84">
        <f t="shared" si="47"/>
        <v>0</v>
      </c>
      <c r="V84">
        <f t="shared" si="47"/>
        <v>0</v>
      </c>
      <c r="W84">
        <f t="shared" si="47"/>
        <v>0</v>
      </c>
      <c r="X84">
        <f t="shared" si="47"/>
        <v>0</v>
      </c>
      <c r="Y84">
        <f t="shared" si="47"/>
        <v>0</v>
      </c>
      <c r="Z84">
        <f>AQ19</f>
        <v>0</v>
      </c>
      <c r="AA84">
        <f t="shared" ref="AA84:AQ84" si="48">AR19</f>
        <v>0</v>
      </c>
      <c r="AB84">
        <f t="shared" si="48"/>
        <v>0</v>
      </c>
      <c r="AC84">
        <f t="shared" si="48"/>
        <v>0</v>
      </c>
      <c r="AD84">
        <f t="shared" si="48"/>
        <v>0</v>
      </c>
      <c r="AE84">
        <f t="shared" si="48"/>
        <v>0</v>
      </c>
      <c r="AF84">
        <f t="shared" si="48"/>
        <v>0</v>
      </c>
      <c r="AG84">
        <f t="shared" si="48"/>
        <v>0</v>
      </c>
      <c r="AH84">
        <f t="shared" si="48"/>
        <v>0</v>
      </c>
      <c r="AI84">
        <f t="shared" si="48"/>
        <v>0</v>
      </c>
      <c r="AJ84">
        <f t="shared" si="48"/>
        <v>0</v>
      </c>
      <c r="AK84">
        <f t="shared" si="48"/>
        <v>0</v>
      </c>
      <c r="AL84">
        <f t="shared" si="48"/>
        <v>0</v>
      </c>
      <c r="AM84">
        <f t="shared" si="48"/>
        <v>0</v>
      </c>
      <c r="AN84">
        <f t="shared" si="48"/>
        <v>0</v>
      </c>
      <c r="AO84">
        <f t="shared" si="48"/>
        <v>0</v>
      </c>
      <c r="AP84">
        <f t="shared" si="48"/>
        <v>0</v>
      </c>
      <c r="AQ84">
        <f t="shared" si="48"/>
        <v>0</v>
      </c>
      <c r="AR84">
        <f>F84+H84+I84+J84+K84+M84+N84+O84+P84</f>
        <v>0</v>
      </c>
      <c r="AS84">
        <f>D84+L116-AR84</f>
        <v>0</v>
      </c>
    </row>
    <row r="85" spans="1:45" ht="20.25" customHeight="1">
      <c r="A85" t="s">
        <v>36</v>
      </c>
      <c r="B85" t="s">
        <v>37</v>
      </c>
      <c r="C85" t="s">
        <v>38</v>
      </c>
      <c r="D85">
        <f t="shared" si="43"/>
        <v>0.32</v>
      </c>
      <c r="E85">
        <f t="shared" si="38"/>
        <v>0.32</v>
      </c>
      <c r="F85">
        <f t="shared" ref="F85:G87" si="49">H22</f>
        <v>0</v>
      </c>
      <c r="G85">
        <f t="shared" si="49"/>
        <v>0</v>
      </c>
      <c r="H85">
        <f t="shared" ref="H85:I87" si="50">M22</f>
        <v>0</v>
      </c>
      <c r="I85">
        <f t="shared" si="50"/>
        <v>0</v>
      </c>
      <c r="J85">
        <f>P22</f>
        <v>0</v>
      </c>
      <c r="K85">
        <f>Q22</f>
        <v>0</v>
      </c>
      <c r="L85">
        <f>R22</f>
        <v>0</v>
      </c>
      <c r="M85">
        <f>D85-AR85</f>
        <v>0.32</v>
      </c>
      <c r="N85">
        <f>T22</f>
        <v>0</v>
      </c>
      <c r="O85">
        <f>U22</f>
        <v>0</v>
      </c>
      <c r="P85">
        <f>SUM(Q85:AP85)</f>
        <v>0</v>
      </c>
      <c r="Q85">
        <f t="shared" ref="Q85:Y87" si="51">W22</f>
        <v>0</v>
      </c>
      <c r="R85">
        <f t="shared" si="51"/>
        <v>0</v>
      </c>
      <c r="S85">
        <f t="shared" si="51"/>
        <v>0</v>
      </c>
      <c r="T85">
        <f t="shared" si="51"/>
        <v>0</v>
      </c>
      <c r="U85">
        <f t="shared" si="51"/>
        <v>0</v>
      </c>
      <c r="V85">
        <f t="shared" si="51"/>
        <v>0</v>
      </c>
      <c r="W85">
        <f t="shared" si="51"/>
        <v>0</v>
      </c>
      <c r="X85">
        <f t="shared" si="51"/>
        <v>0</v>
      </c>
      <c r="Y85">
        <f t="shared" si="51"/>
        <v>0</v>
      </c>
      <c r="Z85">
        <f t="shared" ref="Z85:AP85" si="52">AQ22</f>
        <v>0</v>
      </c>
      <c r="AA85">
        <f t="shared" si="52"/>
        <v>0</v>
      </c>
      <c r="AB85">
        <f t="shared" si="52"/>
        <v>0</v>
      </c>
      <c r="AC85">
        <f t="shared" si="52"/>
        <v>0</v>
      </c>
      <c r="AD85">
        <f t="shared" si="52"/>
        <v>0</v>
      </c>
      <c r="AE85">
        <f t="shared" si="52"/>
        <v>0</v>
      </c>
      <c r="AF85">
        <f t="shared" si="52"/>
        <v>0</v>
      </c>
      <c r="AG85">
        <f t="shared" si="52"/>
        <v>0</v>
      </c>
      <c r="AH85">
        <f t="shared" si="52"/>
        <v>0</v>
      </c>
      <c r="AI85">
        <f t="shared" si="52"/>
        <v>0</v>
      </c>
      <c r="AJ85">
        <f t="shared" si="52"/>
        <v>0</v>
      </c>
      <c r="AK85">
        <f t="shared" si="52"/>
        <v>0</v>
      </c>
      <c r="AL85">
        <f t="shared" si="52"/>
        <v>0</v>
      </c>
      <c r="AM85">
        <f t="shared" si="52"/>
        <v>0</v>
      </c>
      <c r="AN85">
        <f t="shared" si="52"/>
        <v>0</v>
      </c>
      <c r="AO85">
        <f t="shared" si="52"/>
        <v>0</v>
      </c>
      <c r="AP85">
        <f t="shared" si="52"/>
        <v>0</v>
      </c>
      <c r="AQ85">
        <f t="shared" ref="AA85:AQ87" si="53">BH22</f>
        <v>0</v>
      </c>
      <c r="AR85">
        <f>F85+H85+I85+J85+K85+L85+N85+O85+P85</f>
        <v>0</v>
      </c>
      <c r="AS85">
        <f>D85+M116-AR85</f>
        <v>0.32</v>
      </c>
    </row>
    <row r="86" spans="1:45" ht="20.25" customHeight="1">
      <c r="A86" t="s">
        <v>39</v>
      </c>
      <c r="B86" t="s">
        <v>40</v>
      </c>
      <c r="C86" t="s">
        <v>41</v>
      </c>
      <c r="D86">
        <f t="shared" si="43"/>
        <v>0</v>
      </c>
      <c r="E86">
        <f t="shared" si="38"/>
        <v>0</v>
      </c>
      <c r="F86">
        <f t="shared" si="49"/>
        <v>0</v>
      </c>
      <c r="G86">
        <f t="shared" si="49"/>
        <v>0</v>
      </c>
      <c r="H86">
        <f t="shared" si="50"/>
        <v>0</v>
      </c>
      <c r="I86">
        <f t="shared" si="50"/>
        <v>0</v>
      </c>
      <c r="J86">
        <f>P23</f>
        <v>0</v>
      </c>
      <c r="K86">
        <f>Q23</f>
        <v>0</v>
      </c>
      <c r="L86">
        <f>R23</f>
        <v>0</v>
      </c>
      <c r="M86">
        <f>S23</f>
        <v>0</v>
      </c>
      <c r="N86">
        <f>D86-AR86</f>
        <v>0</v>
      </c>
      <c r="O86">
        <f>U23</f>
        <v>0</v>
      </c>
      <c r="P86">
        <f t="shared" si="39"/>
        <v>0</v>
      </c>
      <c r="Q86">
        <f t="shared" si="51"/>
        <v>0</v>
      </c>
      <c r="R86">
        <f t="shared" si="51"/>
        <v>0</v>
      </c>
      <c r="S86">
        <f t="shared" si="51"/>
        <v>0</v>
      </c>
      <c r="T86">
        <f t="shared" si="51"/>
        <v>0</v>
      </c>
      <c r="U86">
        <f t="shared" si="51"/>
        <v>0</v>
      </c>
      <c r="V86">
        <f t="shared" si="51"/>
        <v>0</v>
      </c>
      <c r="W86">
        <f t="shared" si="51"/>
        <v>0</v>
      </c>
      <c r="X86">
        <f t="shared" si="51"/>
        <v>0</v>
      </c>
      <c r="Y86">
        <f t="shared" si="51"/>
        <v>0</v>
      </c>
      <c r="Z86">
        <f>AQ23</f>
        <v>0</v>
      </c>
      <c r="AA86">
        <f t="shared" si="53"/>
        <v>0</v>
      </c>
      <c r="AB86">
        <f t="shared" si="53"/>
        <v>0</v>
      </c>
      <c r="AC86">
        <f t="shared" si="53"/>
        <v>0</v>
      </c>
      <c r="AD86">
        <f t="shared" si="53"/>
        <v>0</v>
      </c>
      <c r="AE86">
        <f t="shared" si="53"/>
        <v>0</v>
      </c>
      <c r="AF86">
        <f t="shared" si="53"/>
        <v>0</v>
      </c>
      <c r="AG86">
        <f t="shared" si="53"/>
        <v>0</v>
      </c>
      <c r="AH86">
        <f t="shared" si="53"/>
        <v>0</v>
      </c>
      <c r="AI86">
        <f t="shared" si="53"/>
        <v>0</v>
      </c>
      <c r="AJ86">
        <f t="shared" si="53"/>
        <v>0</v>
      </c>
      <c r="AK86">
        <f t="shared" si="53"/>
        <v>0</v>
      </c>
      <c r="AL86">
        <f t="shared" si="53"/>
        <v>0</v>
      </c>
      <c r="AM86">
        <f t="shared" si="53"/>
        <v>0</v>
      </c>
      <c r="AN86">
        <f t="shared" si="53"/>
        <v>0</v>
      </c>
      <c r="AO86">
        <f t="shared" si="53"/>
        <v>0</v>
      </c>
      <c r="AP86">
        <f t="shared" si="53"/>
        <v>0</v>
      </c>
      <c r="AQ86">
        <f t="shared" si="53"/>
        <v>0</v>
      </c>
      <c r="AR86">
        <f>F86+H86+I86+J86+K86+L86+M86+O86+P86</f>
        <v>0</v>
      </c>
      <c r="AS86">
        <f>D86+N116-AR86</f>
        <v>0</v>
      </c>
    </row>
    <row r="87" spans="1:45" ht="20.25" customHeight="1">
      <c r="A87">
        <v>2</v>
      </c>
      <c r="B87" t="s">
        <v>43</v>
      </c>
      <c r="C87" t="s">
        <v>44</v>
      </c>
      <c r="D87">
        <f t="shared" si="43"/>
        <v>0</v>
      </c>
      <c r="E87">
        <f t="shared" si="38"/>
        <v>0</v>
      </c>
      <c r="F87">
        <f t="shared" si="49"/>
        <v>0</v>
      </c>
      <c r="G87">
        <f t="shared" si="49"/>
        <v>0</v>
      </c>
      <c r="H87">
        <f t="shared" si="50"/>
        <v>0</v>
      </c>
      <c r="I87">
        <f t="shared" si="50"/>
        <v>0</v>
      </c>
      <c r="J87">
        <f>P24</f>
        <v>0</v>
      </c>
      <c r="K87">
        <f>Q24</f>
        <v>0</v>
      </c>
      <c r="L87">
        <f>R24</f>
        <v>0</v>
      </c>
      <c r="M87">
        <f>S24</f>
        <v>0</v>
      </c>
      <c r="N87">
        <f>T24</f>
        <v>0</v>
      </c>
      <c r="O87">
        <f>D87-AR87</f>
        <v>0</v>
      </c>
      <c r="P87">
        <f t="shared" si="39"/>
        <v>0</v>
      </c>
      <c r="Q87">
        <f t="shared" si="51"/>
        <v>0</v>
      </c>
      <c r="R87">
        <f t="shared" si="51"/>
        <v>0</v>
      </c>
      <c r="S87">
        <f t="shared" si="51"/>
        <v>0</v>
      </c>
      <c r="T87">
        <f t="shared" si="51"/>
        <v>0</v>
      </c>
      <c r="U87">
        <f t="shared" si="51"/>
        <v>0</v>
      </c>
      <c r="V87">
        <f t="shared" si="51"/>
        <v>0</v>
      </c>
      <c r="W87">
        <f t="shared" si="51"/>
        <v>0</v>
      </c>
      <c r="X87">
        <f t="shared" si="51"/>
        <v>0</v>
      </c>
      <c r="Y87">
        <f t="shared" si="51"/>
        <v>0</v>
      </c>
      <c r="Z87">
        <f>AQ24</f>
        <v>0</v>
      </c>
      <c r="AA87">
        <f t="shared" si="53"/>
        <v>0</v>
      </c>
      <c r="AB87">
        <f t="shared" si="53"/>
        <v>0</v>
      </c>
      <c r="AC87">
        <f t="shared" si="53"/>
        <v>0</v>
      </c>
      <c r="AD87">
        <f t="shared" si="53"/>
        <v>0</v>
      </c>
      <c r="AE87">
        <f t="shared" si="53"/>
        <v>0</v>
      </c>
      <c r="AF87">
        <f t="shared" si="53"/>
        <v>0</v>
      </c>
      <c r="AG87">
        <f t="shared" si="53"/>
        <v>0</v>
      </c>
      <c r="AH87">
        <f t="shared" si="53"/>
        <v>0</v>
      </c>
      <c r="AI87">
        <f t="shared" si="53"/>
        <v>0</v>
      </c>
      <c r="AJ87">
        <f t="shared" si="53"/>
        <v>0</v>
      </c>
      <c r="AK87">
        <f t="shared" si="53"/>
        <v>0</v>
      </c>
      <c r="AL87">
        <f t="shared" si="53"/>
        <v>0</v>
      </c>
      <c r="AM87">
        <f t="shared" si="53"/>
        <v>0</v>
      </c>
      <c r="AN87">
        <f t="shared" si="53"/>
        <v>0</v>
      </c>
      <c r="AO87">
        <f t="shared" si="53"/>
        <v>0</v>
      </c>
      <c r="AP87">
        <f t="shared" si="53"/>
        <v>0</v>
      </c>
      <c r="AQ87">
        <f t="shared" si="53"/>
        <v>0</v>
      </c>
      <c r="AR87">
        <f>F87+H87+I87+J87+K87+L87+M87+N87+P87</f>
        <v>0</v>
      </c>
      <c r="AS87">
        <f>D87+O116-AR87</f>
        <v>0</v>
      </c>
    </row>
    <row r="88" spans="1:45" ht="20.25" customHeight="1">
      <c r="A88">
        <v>2</v>
      </c>
      <c r="B88" t="s">
        <v>45</v>
      </c>
      <c r="C88" t="s">
        <v>46</v>
      </c>
      <c r="D88">
        <f>SUM(D89:D114)</f>
        <v>151.65500000000003</v>
      </c>
      <c r="E88">
        <f t="shared" ref="E88:AS88" si="54">SUM(E89:E114)</f>
        <v>0</v>
      </c>
      <c r="F88">
        <f t="shared" si="54"/>
        <v>0</v>
      </c>
      <c r="G88">
        <f t="shared" si="54"/>
        <v>0</v>
      </c>
      <c r="H88">
        <f t="shared" si="54"/>
        <v>0</v>
      </c>
      <c r="I88">
        <f t="shared" si="54"/>
        <v>0</v>
      </c>
      <c r="J88">
        <f t="shared" si="54"/>
        <v>0</v>
      </c>
      <c r="K88">
        <f t="shared" si="54"/>
        <v>0</v>
      </c>
      <c r="L88">
        <f t="shared" si="54"/>
        <v>0</v>
      </c>
      <c r="M88">
        <f t="shared" si="54"/>
        <v>0</v>
      </c>
      <c r="N88">
        <f t="shared" si="54"/>
        <v>0</v>
      </c>
      <c r="O88">
        <f t="shared" si="54"/>
        <v>0</v>
      </c>
      <c r="P88">
        <f t="shared" si="54"/>
        <v>151.65500000000003</v>
      </c>
      <c r="Q88">
        <f t="shared" si="54"/>
        <v>1.85</v>
      </c>
      <c r="R88">
        <f t="shared" si="54"/>
        <v>0.22</v>
      </c>
      <c r="S88">
        <f t="shared" si="54"/>
        <v>0</v>
      </c>
      <c r="T88">
        <f t="shared" si="54"/>
        <v>0</v>
      </c>
      <c r="U88">
        <f t="shared" si="54"/>
        <v>0</v>
      </c>
      <c r="V88">
        <f t="shared" si="54"/>
        <v>9.0378000000000007</v>
      </c>
      <c r="W88">
        <f t="shared" si="54"/>
        <v>16.350000000000001</v>
      </c>
      <c r="X88">
        <f t="shared" si="54"/>
        <v>0</v>
      </c>
      <c r="Y88">
        <f t="shared" si="54"/>
        <v>60.747900000000001</v>
      </c>
      <c r="Z88">
        <f t="shared" si="54"/>
        <v>0</v>
      </c>
      <c r="AA88">
        <f t="shared" si="54"/>
        <v>0</v>
      </c>
      <c r="AB88">
        <f t="shared" si="54"/>
        <v>0</v>
      </c>
      <c r="AC88">
        <f t="shared" si="54"/>
        <v>0</v>
      </c>
      <c r="AD88">
        <f t="shared" si="54"/>
        <v>36.459299999999999</v>
      </c>
      <c r="AE88">
        <f t="shared" si="54"/>
        <v>0.81</v>
      </c>
      <c r="AF88">
        <f t="shared" si="54"/>
        <v>0</v>
      </c>
      <c r="AG88">
        <f t="shared" si="54"/>
        <v>0</v>
      </c>
      <c r="AH88">
        <f t="shared" si="54"/>
        <v>0.4</v>
      </c>
      <c r="AI88">
        <f t="shared" si="54"/>
        <v>0</v>
      </c>
      <c r="AJ88">
        <f t="shared" si="54"/>
        <v>0</v>
      </c>
      <c r="AK88">
        <f t="shared" si="54"/>
        <v>0.62</v>
      </c>
      <c r="AL88">
        <f t="shared" si="54"/>
        <v>0.47</v>
      </c>
      <c r="AM88">
        <f t="shared" si="54"/>
        <v>1.23</v>
      </c>
      <c r="AN88">
        <f t="shared" si="54"/>
        <v>23.46</v>
      </c>
      <c r="AO88">
        <f t="shared" si="54"/>
        <v>0</v>
      </c>
      <c r="AP88">
        <f t="shared" si="54"/>
        <v>0</v>
      </c>
      <c r="AQ88">
        <f t="shared" si="54"/>
        <v>0</v>
      </c>
      <c r="AR88">
        <f>E88+AQ88</f>
        <v>0</v>
      </c>
      <c r="AS88">
        <f t="shared" si="54"/>
        <v>151.95500000000001</v>
      </c>
    </row>
    <row r="89" spans="1:45" ht="20.25" customHeight="1">
      <c r="A89" t="s">
        <v>47</v>
      </c>
      <c r="B89" t="s">
        <v>48</v>
      </c>
      <c r="C89" t="s">
        <v>49</v>
      </c>
      <c r="D89">
        <f>D26</f>
        <v>1.85</v>
      </c>
      <c r="E89">
        <f t="shared" si="38"/>
        <v>0</v>
      </c>
      <c r="F89">
        <f>H26</f>
        <v>0</v>
      </c>
      <c r="G89">
        <f>I26</f>
        <v>0</v>
      </c>
      <c r="H89">
        <f>M26</f>
        <v>0</v>
      </c>
      <c r="I89">
        <f>N26</f>
        <v>0</v>
      </c>
      <c r="J89">
        <f t="shared" ref="J89:O97" si="55">P26</f>
        <v>0</v>
      </c>
      <c r="K89">
        <f t="shared" si="55"/>
        <v>0</v>
      </c>
      <c r="L89">
        <f t="shared" si="55"/>
        <v>0</v>
      </c>
      <c r="M89">
        <f t="shared" si="55"/>
        <v>0</v>
      </c>
      <c r="N89">
        <f t="shared" si="55"/>
        <v>0</v>
      </c>
      <c r="O89">
        <f t="shared" si="55"/>
        <v>0</v>
      </c>
      <c r="P89">
        <f>SUM(Q89:AP89)</f>
        <v>1.85</v>
      </c>
      <c r="Q89">
        <f>D89-AR89</f>
        <v>1.85</v>
      </c>
      <c r="R89">
        <f t="shared" ref="R89:Y89" si="56">X26</f>
        <v>0</v>
      </c>
      <c r="S89">
        <f t="shared" si="56"/>
        <v>0</v>
      </c>
      <c r="T89">
        <f t="shared" si="56"/>
        <v>0</v>
      </c>
      <c r="U89">
        <f t="shared" si="56"/>
        <v>0</v>
      </c>
      <c r="V89">
        <f t="shared" si="56"/>
        <v>0</v>
      </c>
      <c r="W89">
        <f t="shared" si="56"/>
        <v>0</v>
      </c>
      <c r="X89">
        <f t="shared" si="56"/>
        <v>0</v>
      </c>
      <c r="Y89">
        <f t="shared" si="56"/>
        <v>0</v>
      </c>
      <c r="Z89">
        <f t="shared" ref="Z89:AP89" si="57">AQ26</f>
        <v>0</v>
      </c>
      <c r="AA89">
        <f t="shared" si="57"/>
        <v>0</v>
      </c>
      <c r="AB89">
        <f t="shared" si="57"/>
        <v>0</v>
      </c>
      <c r="AC89">
        <f t="shared" si="57"/>
        <v>0</v>
      </c>
      <c r="AD89">
        <f t="shared" si="57"/>
        <v>0</v>
      </c>
      <c r="AE89">
        <f t="shared" si="57"/>
        <v>0</v>
      </c>
      <c r="AF89">
        <f t="shared" si="57"/>
        <v>0</v>
      </c>
      <c r="AG89">
        <f t="shared" si="57"/>
        <v>0</v>
      </c>
      <c r="AH89">
        <f t="shared" si="57"/>
        <v>0</v>
      </c>
      <c r="AI89">
        <f t="shared" si="57"/>
        <v>0</v>
      </c>
      <c r="AJ89">
        <f t="shared" si="57"/>
        <v>0</v>
      </c>
      <c r="AK89">
        <f t="shared" si="57"/>
        <v>0</v>
      </c>
      <c r="AL89">
        <f t="shared" si="57"/>
        <v>0</v>
      </c>
      <c r="AM89">
        <f t="shared" si="57"/>
        <v>0</v>
      </c>
      <c r="AN89">
        <f t="shared" si="57"/>
        <v>0</v>
      </c>
      <c r="AO89">
        <f t="shared" si="57"/>
        <v>0</v>
      </c>
      <c r="AP89">
        <f t="shared" si="57"/>
        <v>0</v>
      </c>
      <c r="AQ89">
        <f t="shared" ref="AA89:AQ97" si="58">BH26</f>
        <v>0</v>
      </c>
      <c r="AR89">
        <f>E89+R89+S89+T89+U89+V89+W89+X89+Y89+Z89+AA89+AB89+AC89+AD89+AE89+AF89+AG89+AH89+AI89+AJ89+AK89+AL89+AM89+AN89+AO89+AP89+AQ89</f>
        <v>0</v>
      </c>
      <c r="AS89">
        <f>D89+Q116-AR89</f>
        <v>1.85</v>
      </c>
    </row>
    <row r="90" spans="1:45" ht="20.25" customHeight="1">
      <c r="A90" t="s">
        <v>50</v>
      </c>
      <c r="B90" t="s">
        <v>51</v>
      </c>
      <c r="C90" t="s">
        <v>52</v>
      </c>
      <c r="D90">
        <f t="shared" ref="D90:D97" si="59">D27</f>
        <v>0.22</v>
      </c>
      <c r="E90">
        <f t="shared" si="38"/>
        <v>0</v>
      </c>
      <c r="F90">
        <f t="shared" ref="F90:G97" si="60">H27</f>
        <v>0</v>
      </c>
      <c r="G90">
        <f t="shared" si="60"/>
        <v>0</v>
      </c>
      <c r="H90">
        <f t="shared" ref="H90:I97" si="61">M27</f>
        <v>0</v>
      </c>
      <c r="I90">
        <f t="shared" si="61"/>
        <v>0</v>
      </c>
      <c r="J90">
        <f t="shared" si="55"/>
        <v>0</v>
      </c>
      <c r="K90">
        <f t="shared" si="55"/>
        <v>0</v>
      </c>
      <c r="L90">
        <f t="shared" si="55"/>
        <v>0</v>
      </c>
      <c r="M90">
        <f t="shared" si="55"/>
        <v>0</v>
      </c>
      <c r="N90">
        <f t="shared" si="55"/>
        <v>0</v>
      </c>
      <c r="O90">
        <f t="shared" si="55"/>
        <v>0</v>
      </c>
      <c r="P90">
        <f t="shared" ref="P90:P114" si="62">SUM(Q90:AP90)</f>
        <v>0.22</v>
      </c>
      <c r="Q90">
        <f>W27</f>
        <v>0</v>
      </c>
      <c r="R90">
        <f>D90-AR90</f>
        <v>0.22</v>
      </c>
      <c r="S90">
        <f t="shared" ref="S90:Y90" si="63">Y27</f>
        <v>0</v>
      </c>
      <c r="T90">
        <f t="shared" si="63"/>
        <v>0</v>
      </c>
      <c r="U90">
        <f t="shared" si="63"/>
        <v>0</v>
      </c>
      <c r="V90">
        <f t="shared" si="63"/>
        <v>0</v>
      </c>
      <c r="W90">
        <f t="shared" si="63"/>
        <v>0</v>
      </c>
      <c r="X90">
        <f t="shared" si="63"/>
        <v>0</v>
      </c>
      <c r="Y90">
        <f t="shared" si="63"/>
        <v>0</v>
      </c>
      <c r="Z90">
        <f t="shared" ref="Z90:Z97" si="64">AQ27</f>
        <v>0</v>
      </c>
      <c r="AA90">
        <f t="shared" si="58"/>
        <v>0</v>
      </c>
      <c r="AB90">
        <f t="shared" si="58"/>
        <v>0</v>
      </c>
      <c r="AC90">
        <f t="shared" si="58"/>
        <v>0</v>
      </c>
      <c r="AD90">
        <f t="shared" si="58"/>
        <v>0</v>
      </c>
      <c r="AE90">
        <f t="shared" si="58"/>
        <v>0</v>
      </c>
      <c r="AF90">
        <f t="shared" si="58"/>
        <v>0</v>
      </c>
      <c r="AG90">
        <f t="shared" si="58"/>
        <v>0</v>
      </c>
      <c r="AH90">
        <f t="shared" si="58"/>
        <v>0</v>
      </c>
      <c r="AI90">
        <f t="shared" si="58"/>
        <v>0</v>
      </c>
      <c r="AJ90">
        <f t="shared" si="58"/>
        <v>0</v>
      </c>
      <c r="AK90">
        <f t="shared" si="58"/>
        <v>0</v>
      </c>
      <c r="AL90">
        <f t="shared" si="58"/>
        <v>0</v>
      </c>
      <c r="AM90">
        <f t="shared" si="58"/>
        <v>0</v>
      </c>
      <c r="AN90">
        <f t="shared" si="58"/>
        <v>0</v>
      </c>
      <c r="AO90">
        <f t="shared" si="58"/>
        <v>0</v>
      </c>
      <c r="AP90">
        <f t="shared" si="58"/>
        <v>0</v>
      </c>
      <c r="AQ90">
        <f t="shared" si="58"/>
        <v>0</v>
      </c>
      <c r="AR90">
        <f>E90+Q90+S90+T90+U90+V90+W90+X90+Y90+Z90+AA90+AB90+AC90+AD90+AE90+AF90+AG90+AH90+AI90+AJ90+AK90+AL90+AM90+AN90+AO90+AP90+AQ90</f>
        <v>0</v>
      </c>
      <c r="AS90">
        <f>D90+R116-AR90</f>
        <v>0.22</v>
      </c>
    </row>
    <row r="91" spans="1:45" ht="20.25" customHeight="1">
      <c r="A91" t="s">
        <v>53</v>
      </c>
      <c r="B91" t="s">
        <v>54</v>
      </c>
      <c r="C91" t="s">
        <v>55</v>
      </c>
      <c r="D91">
        <f t="shared" si="59"/>
        <v>0</v>
      </c>
      <c r="E91">
        <f t="shared" si="38"/>
        <v>0</v>
      </c>
      <c r="F91">
        <f t="shared" si="60"/>
        <v>0</v>
      </c>
      <c r="G91">
        <f t="shared" si="60"/>
        <v>0</v>
      </c>
      <c r="H91">
        <f t="shared" si="61"/>
        <v>0</v>
      </c>
      <c r="I91">
        <f t="shared" si="61"/>
        <v>0</v>
      </c>
      <c r="J91">
        <f t="shared" si="55"/>
        <v>0</v>
      </c>
      <c r="K91">
        <f t="shared" si="55"/>
        <v>0</v>
      </c>
      <c r="L91">
        <f t="shared" si="55"/>
        <v>0</v>
      </c>
      <c r="M91">
        <f t="shared" si="55"/>
        <v>0</v>
      </c>
      <c r="N91">
        <f t="shared" si="55"/>
        <v>0</v>
      </c>
      <c r="O91">
        <f t="shared" si="55"/>
        <v>0</v>
      </c>
      <c r="P91">
        <f t="shared" si="62"/>
        <v>0</v>
      </c>
      <c r="Q91">
        <f t="shared" ref="Q91:S97" si="65">W28</f>
        <v>0</v>
      </c>
      <c r="R91">
        <f>X28</f>
        <v>0</v>
      </c>
      <c r="S91">
        <f>D91-AR91</f>
        <v>0</v>
      </c>
      <c r="T91">
        <f t="shared" ref="T91:Y91" si="66">Z28</f>
        <v>0</v>
      </c>
      <c r="U91">
        <f t="shared" si="66"/>
        <v>0</v>
      </c>
      <c r="V91">
        <f t="shared" si="66"/>
        <v>0</v>
      </c>
      <c r="W91">
        <f t="shared" si="66"/>
        <v>0</v>
      </c>
      <c r="X91">
        <f t="shared" si="66"/>
        <v>0</v>
      </c>
      <c r="Y91">
        <f t="shared" si="66"/>
        <v>0</v>
      </c>
      <c r="Z91">
        <f t="shared" si="64"/>
        <v>0</v>
      </c>
      <c r="AA91">
        <f t="shared" si="58"/>
        <v>0</v>
      </c>
      <c r="AB91">
        <f t="shared" si="58"/>
        <v>0</v>
      </c>
      <c r="AC91">
        <f t="shared" si="58"/>
        <v>0</v>
      </c>
      <c r="AD91">
        <f t="shared" si="58"/>
        <v>0</v>
      </c>
      <c r="AE91">
        <f t="shared" si="58"/>
        <v>0</v>
      </c>
      <c r="AF91">
        <f t="shared" si="58"/>
        <v>0</v>
      </c>
      <c r="AG91">
        <f t="shared" si="58"/>
        <v>0</v>
      </c>
      <c r="AH91">
        <f t="shared" si="58"/>
        <v>0</v>
      </c>
      <c r="AI91">
        <f t="shared" si="58"/>
        <v>0</v>
      </c>
      <c r="AJ91">
        <f t="shared" si="58"/>
        <v>0</v>
      </c>
      <c r="AK91">
        <f t="shared" si="58"/>
        <v>0</v>
      </c>
      <c r="AL91">
        <f t="shared" si="58"/>
        <v>0</v>
      </c>
      <c r="AM91">
        <f t="shared" si="58"/>
        <v>0</v>
      </c>
      <c r="AN91">
        <f t="shared" si="58"/>
        <v>0</v>
      </c>
      <c r="AO91">
        <f t="shared" si="58"/>
        <v>0</v>
      </c>
      <c r="AP91">
        <f t="shared" si="58"/>
        <v>0</v>
      </c>
      <c r="AQ91">
        <f t="shared" si="58"/>
        <v>0</v>
      </c>
      <c r="AR91">
        <f>E91+Q91+R91+T91+U91+V91+W91+X91+Y91+Z91+AA91+AB91+AC91+AD91+AE91+AF91+AG91+AH91+AI91+AJ91+AK91+AL91+AM91+AN91+AO91+AP91+AQ91</f>
        <v>0</v>
      </c>
      <c r="AS91">
        <f>D91+S116-AR91</f>
        <v>0</v>
      </c>
    </row>
    <row r="92" spans="1:45" ht="20.25" customHeight="1">
      <c r="A92" t="s">
        <v>56</v>
      </c>
      <c r="B92" t="s">
        <v>57</v>
      </c>
      <c r="C92" t="s">
        <v>58</v>
      </c>
      <c r="D92">
        <f t="shared" si="59"/>
        <v>0</v>
      </c>
      <c r="E92">
        <f t="shared" si="38"/>
        <v>0</v>
      </c>
      <c r="F92">
        <f t="shared" si="60"/>
        <v>0</v>
      </c>
      <c r="G92">
        <f t="shared" si="60"/>
        <v>0</v>
      </c>
      <c r="H92">
        <f t="shared" si="61"/>
        <v>0</v>
      </c>
      <c r="I92">
        <f t="shared" si="61"/>
        <v>0</v>
      </c>
      <c r="J92">
        <f t="shared" si="55"/>
        <v>0</v>
      </c>
      <c r="K92">
        <f t="shared" si="55"/>
        <v>0</v>
      </c>
      <c r="L92">
        <f t="shared" si="55"/>
        <v>0</v>
      </c>
      <c r="M92">
        <f t="shared" si="55"/>
        <v>0</v>
      </c>
      <c r="N92">
        <f t="shared" si="55"/>
        <v>0</v>
      </c>
      <c r="O92">
        <f t="shared" si="55"/>
        <v>0</v>
      </c>
      <c r="P92">
        <f t="shared" si="62"/>
        <v>0</v>
      </c>
      <c r="Q92">
        <f t="shared" si="65"/>
        <v>0</v>
      </c>
      <c r="R92">
        <f t="shared" si="65"/>
        <v>0</v>
      </c>
      <c r="S92">
        <f t="shared" si="65"/>
        <v>0</v>
      </c>
      <c r="T92">
        <f>D92-AR92</f>
        <v>0</v>
      </c>
      <c r="U92">
        <f>AA29</f>
        <v>0</v>
      </c>
      <c r="V92">
        <f>AB29</f>
        <v>0</v>
      </c>
      <c r="W92">
        <f>AC29</f>
        <v>0</v>
      </c>
      <c r="X92">
        <f>AD29</f>
        <v>0</v>
      </c>
      <c r="Y92">
        <f>AE29</f>
        <v>0</v>
      </c>
      <c r="Z92">
        <f t="shared" si="64"/>
        <v>0</v>
      </c>
      <c r="AA92">
        <f t="shared" si="58"/>
        <v>0</v>
      </c>
      <c r="AB92">
        <f t="shared" si="58"/>
        <v>0</v>
      </c>
      <c r="AC92">
        <f t="shared" si="58"/>
        <v>0</v>
      </c>
      <c r="AD92">
        <f t="shared" si="58"/>
        <v>0</v>
      </c>
      <c r="AE92">
        <f t="shared" si="58"/>
        <v>0</v>
      </c>
      <c r="AF92">
        <f t="shared" si="58"/>
        <v>0</v>
      </c>
      <c r="AG92">
        <f t="shared" si="58"/>
        <v>0</v>
      </c>
      <c r="AH92">
        <f t="shared" si="58"/>
        <v>0</v>
      </c>
      <c r="AI92">
        <f t="shared" si="58"/>
        <v>0</v>
      </c>
      <c r="AJ92">
        <f t="shared" si="58"/>
        <v>0</v>
      </c>
      <c r="AK92">
        <f t="shared" si="58"/>
        <v>0</v>
      </c>
      <c r="AL92">
        <f t="shared" si="58"/>
        <v>0</v>
      </c>
      <c r="AM92">
        <f t="shared" si="58"/>
        <v>0</v>
      </c>
      <c r="AN92">
        <f t="shared" si="58"/>
        <v>0</v>
      </c>
      <c r="AO92">
        <f t="shared" si="58"/>
        <v>0</v>
      </c>
      <c r="AP92">
        <f t="shared" si="58"/>
        <v>0</v>
      </c>
      <c r="AQ92">
        <f t="shared" si="58"/>
        <v>0</v>
      </c>
      <c r="AR92">
        <f>E92+Q92+R92+S92+U92+V92+W92+X92+Y92+Z92+AA92+AB92+AC92+AD92+AE92+AF92+AG92+AH92+AI92+AJ92+AK92+AL92+AM92+AN92+AO92+AP92+AQ92</f>
        <v>0</v>
      </c>
      <c r="AS92">
        <f>D92+T116-AR92</f>
        <v>0</v>
      </c>
    </row>
    <row r="93" spans="1:45" ht="20.25" customHeight="1">
      <c r="A93" t="s">
        <v>59</v>
      </c>
      <c r="B93" t="s">
        <v>60</v>
      </c>
      <c r="C93" t="s">
        <v>61</v>
      </c>
      <c r="D93">
        <f t="shared" si="59"/>
        <v>0</v>
      </c>
      <c r="E93">
        <f t="shared" si="38"/>
        <v>0</v>
      </c>
      <c r="F93">
        <f t="shared" si="60"/>
        <v>0</v>
      </c>
      <c r="G93">
        <f t="shared" si="60"/>
        <v>0</v>
      </c>
      <c r="H93">
        <f t="shared" si="61"/>
        <v>0</v>
      </c>
      <c r="I93">
        <f t="shared" si="61"/>
        <v>0</v>
      </c>
      <c r="J93">
        <f t="shared" si="55"/>
        <v>0</v>
      </c>
      <c r="K93">
        <f t="shared" si="55"/>
        <v>0</v>
      </c>
      <c r="L93">
        <f t="shared" si="55"/>
        <v>0</v>
      </c>
      <c r="M93">
        <f t="shared" si="55"/>
        <v>0</v>
      </c>
      <c r="N93">
        <f t="shared" si="55"/>
        <v>0</v>
      </c>
      <c r="O93">
        <f t="shared" si="55"/>
        <v>0</v>
      </c>
      <c r="P93">
        <f t="shared" si="62"/>
        <v>0</v>
      </c>
      <c r="Q93">
        <f t="shared" si="65"/>
        <v>0</v>
      </c>
      <c r="R93">
        <f t="shared" si="65"/>
        <v>0</v>
      </c>
      <c r="S93">
        <f t="shared" si="65"/>
        <v>0</v>
      </c>
      <c r="T93">
        <f>Z30</f>
        <v>0</v>
      </c>
      <c r="U93">
        <f>D93-AR93</f>
        <v>0</v>
      </c>
      <c r="V93">
        <f>AB30</f>
        <v>0</v>
      </c>
      <c r="W93">
        <f>AC30</f>
        <v>0</v>
      </c>
      <c r="X93">
        <f>AD30</f>
        <v>0</v>
      </c>
      <c r="Y93">
        <f>AE30</f>
        <v>0</v>
      </c>
      <c r="Z93">
        <f t="shared" si="64"/>
        <v>0</v>
      </c>
      <c r="AA93">
        <f t="shared" si="58"/>
        <v>0</v>
      </c>
      <c r="AB93">
        <f t="shared" si="58"/>
        <v>0</v>
      </c>
      <c r="AC93">
        <f t="shared" si="58"/>
        <v>0</v>
      </c>
      <c r="AD93">
        <f t="shared" si="58"/>
        <v>0</v>
      </c>
      <c r="AE93">
        <f t="shared" si="58"/>
        <v>0</v>
      </c>
      <c r="AF93">
        <f t="shared" si="58"/>
        <v>0</v>
      </c>
      <c r="AG93">
        <f t="shared" si="58"/>
        <v>0</v>
      </c>
      <c r="AH93">
        <f t="shared" si="58"/>
        <v>0</v>
      </c>
      <c r="AI93">
        <f t="shared" si="58"/>
        <v>0</v>
      </c>
      <c r="AJ93">
        <f t="shared" si="58"/>
        <v>0</v>
      </c>
      <c r="AK93">
        <f t="shared" si="58"/>
        <v>0</v>
      </c>
      <c r="AL93">
        <f t="shared" si="58"/>
        <v>0</v>
      </c>
      <c r="AM93">
        <f t="shared" si="58"/>
        <v>0</v>
      </c>
      <c r="AN93">
        <f t="shared" si="58"/>
        <v>0</v>
      </c>
      <c r="AO93">
        <f t="shared" si="58"/>
        <v>0</v>
      </c>
      <c r="AP93">
        <f t="shared" si="58"/>
        <v>0</v>
      </c>
      <c r="AQ93">
        <f t="shared" si="58"/>
        <v>0</v>
      </c>
      <c r="AR93">
        <f>E93+Q93+R93+S93+T93+V93+W93+X93+Y93+Z93+AA93+AB93+AC93+AD93+AE93+AF93+AG93+AH93+AI93+AJ93+AK93+AL93+AM93+AN93+AO93+AP93+AQ93</f>
        <v>0</v>
      </c>
      <c r="AS93">
        <f>D93+U116-AR93</f>
        <v>0</v>
      </c>
    </row>
    <row r="94" spans="1:45" ht="20.25" customHeight="1">
      <c r="A94" t="s">
        <v>62</v>
      </c>
      <c r="B94" t="s">
        <v>63</v>
      </c>
      <c r="C94" t="s">
        <v>64</v>
      </c>
      <c r="D94">
        <f t="shared" si="59"/>
        <v>9.0378000000000007</v>
      </c>
      <c r="E94">
        <f t="shared" si="38"/>
        <v>0</v>
      </c>
      <c r="F94">
        <f t="shared" si="60"/>
        <v>0</v>
      </c>
      <c r="G94">
        <f t="shared" si="60"/>
        <v>0</v>
      </c>
      <c r="H94">
        <f t="shared" si="61"/>
        <v>0</v>
      </c>
      <c r="I94">
        <f t="shared" si="61"/>
        <v>0</v>
      </c>
      <c r="J94">
        <f t="shared" si="55"/>
        <v>0</v>
      </c>
      <c r="K94">
        <f t="shared" si="55"/>
        <v>0</v>
      </c>
      <c r="L94">
        <f t="shared" si="55"/>
        <v>0</v>
      </c>
      <c r="M94">
        <f t="shared" si="55"/>
        <v>0</v>
      </c>
      <c r="N94">
        <f t="shared" si="55"/>
        <v>0</v>
      </c>
      <c r="O94">
        <f t="shared" si="55"/>
        <v>0</v>
      </c>
      <c r="P94">
        <f t="shared" si="62"/>
        <v>9.0378000000000007</v>
      </c>
      <c r="Q94">
        <f t="shared" si="65"/>
        <v>0</v>
      </c>
      <c r="R94">
        <f t="shared" si="65"/>
        <v>0</v>
      </c>
      <c r="S94">
        <f t="shared" si="65"/>
        <v>0</v>
      </c>
      <c r="T94">
        <f>Z31</f>
        <v>0</v>
      </c>
      <c r="U94">
        <f>AA31</f>
        <v>0</v>
      </c>
      <c r="V94">
        <f>D94-AR94</f>
        <v>9.0378000000000007</v>
      </c>
      <c r="W94">
        <f>AC31</f>
        <v>0</v>
      </c>
      <c r="X94">
        <f>AD31</f>
        <v>0</v>
      </c>
      <c r="Y94">
        <f>AE31</f>
        <v>0</v>
      </c>
      <c r="Z94">
        <f t="shared" si="64"/>
        <v>0</v>
      </c>
      <c r="AA94">
        <f t="shared" si="58"/>
        <v>0</v>
      </c>
      <c r="AB94">
        <f t="shared" si="58"/>
        <v>0</v>
      </c>
      <c r="AC94">
        <f t="shared" si="58"/>
        <v>0</v>
      </c>
      <c r="AD94">
        <f t="shared" si="58"/>
        <v>0</v>
      </c>
      <c r="AE94">
        <f t="shared" si="58"/>
        <v>0</v>
      </c>
      <c r="AF94">
        <f t="shared" si="58"/>
        <v>0</v>
      </c>
      <c r="AG94">
        <f t="shared" si="58"/>
        <v>0</v>
      </c>
      <c r="AH94">
        <f t="shared" si="58"/>
        <v>0</v>
      </c>
      <c r="AI94">
        <f t="shared" si="58"/>
        <v>0</v>
      </c>
      <c r="AJ94">
        <f t="shared" si="58"/>
        <v>0</v>
      </c>
      <c r="AK94">
        <f t="shared" si="58"/>
        <v>0</v>
      </c>
      <c r="AL94">
        <f t="shared" si="58"/>
        <v>0</v>
      </c>
      <c r="AM94">
        <f t="shared" si="58"/>
        <v>0</v>
      </c>
      <c r="AN94">
        <f t="shared" si="58"/>
        <v>0</v>
      </c>
      <c r="AO94">
        <f t="shared" si="58"/>
        <v>0</v>
      </c>
      <c r="AP94">
        <f t="shared" si="58"/>
        <v>0</v>
      </c>
      <c r="AQ94">
        <f t="shared" si="58"/>
        <v>0</v>
      </c>
      <c r="AR94">
        <f>E94+Q94+R94+S94+T94+U94+W94+X94+Y94+Z94+AA94+AB94+AC94+AD94+AE94+AF94+AG94+AH94+AI94+AJ94+AK94+AL94+AM94+AN94+AO94+AP94+AQ94</f>
        <v>0</v>
      </c>
      <c r="AS94">
        <f>D94+V116-AR94</f>
        <v>9.0378000000000007</v>
      </c>
    </row>
    <row r="95" spans="1:45" ht="20.25" customHeight="1">
      <c r="A95" t="s">
        <v>65</v>
      </c>
      <c r="B95" t="s">
        <v>66</v>
      </c>
      <c r="C95" t="s">
        <v>67</v>
      </c>
      <c r="D95">
        <f t="shared" si="59"/>
        <v>16.350000000000001</v>
      </c>
      <c r="E95">
        <f t="shared" si="38"/>
        <v>0</v>
      </c>
      <c r="F95">
        <f t="shared" si="60"/>
        <v>0</v>
      </c>
      <c r="G95">
        <f t="shared" si="60"/>
        <v>0</v>
      </c>
      <c r="H95">
        <f t="shared" si="61"/>
        <v>0</v>
      </c>
      <c r="I95">
        <f t="shared" si="61"/>
        <v>0</v>
      </c>
      <c r="J95">
        <f t="shared" si="55"/>
        <v>0</v>
      </c>
      <c r="K95">
        <f t="shared" si="55"/>
        <v>0</v>
      </c>
      <c r="L95">
        <f t="shared" si="55"/>
        <v>0</v>
      </c>
      <c r="M95">
        <f t="shared" si="55"/>
        <v>0</v>
      </c>
      <c r="N95">
        <f t="shared" si="55"/>
        <v>0</v>
      </c>
      <c r="O95">
        <f t="shared" si="55"/>
        <v>0</v>
      </c>
      <c r="P95">
        <f t="shared" si="62"/>
        <v>16.350000000000001</v>
      </c>
      <c r="Q95">
        <f t="shared" si="65"/>
        <v>0</v>
      </c>
      <c r="R95">
        <f t="shared" si="65"/>
        <v>0</v>
      </c>
      <c r="S95">
        <f t="shared" si="65"/>
        <v>0</v>
      </c>
      <c r="T95">
        <f>Z32</f>
        <v>0</v>
      </c>
      <c r="U95">
        <f>AA32</f>
        <v>0</v>
      </c>
      <c r="V95">
        <f>AB32</f>
        <v>0</v>
      </c>
      <c r="W95">
        <f>D95-AR95</f>
        <v>16.350000000000001</v>
      </c>
      <c r="X95">
        <f>AD32</f>
        <v>0</v>
      </c>
      <c r="Y95">
        <f>AE32</f>
        <v>0</v>
      </c>
      <c r="Z95">
        <f t="shared" si="64"/>
        <v>0</v>
      </c>
      <c r="AA95">
        <f t="shared" si="58"/>
        <v>0</v>
      </c>
      <c r="AB95">
        <f t="shared" si="58"/>
        <v>0</v>
      </c>
      <c r="AC95">
        <f t="shared" si="58"/>
        <v>0</v>
      </c>
      <c r="AD95">
        <f t="shared" si="58"/>
        <v>0</v>
      </c>
      <c r="AE95">
        <f t="shared" si="58"/>
        <v>0</v>
      </c>
      <c r="AF95">
        <f t="shared" si="58"/>
        <v>0</v>
      </c>
      <c r="AG95">
        <f t="shared" si="58"/>
        <v>0</v>
      </c>
      <c r="AH95">
        <f t="shared" si="58"/>
        <v>0</v>
      </c>
      <c r="AI95">
        <f t="shared" si="58"/>
        <v>0</v>
      </c>
      <c r="AJ95">
        <f t="shared" si="58"/>
        <v>0</v>
      </c>
      <c r="AK95">
        <f t="shared" si="58"/>
        <v>0</v>
      </c>
      <c r="AL95">
        <f t="shared" si="58"/>
        <v>0</v>
      </c>
      <c r="AM95">
        <f t="shared" si="58"/>
        <v>0</v>
      </c>
      <c r="AN95">
        <f t="shared" si="58"/>
        <v>0</v>
      </c>
      <c r="AO95">
        <f t="shared" si="58"/>
        <v>0</v>
      </c>
      <c r="AP95">
        <f t="shared" si="58"/>
        <v>0</v>
      </c>
      <c r="AQ95">
        <f t="shared" si="58"/>
        <v>0</v>
      </c>
      <c r="AR95">
        <f>E95+Q95+R95+S95+T95+U95+V95+X95+Y95+Z95+AA95+AB95+AC95+AD95+AE95+AF95+AG95+AH95+AI95+AJ95+AK95+AL95+AM95+AN95+AO95+AP95+AQ95</f>
        <v>0</v>
      </c>
      <c r="AS95">
        <f>D95+W116-AR95</f>
        <v>16.350000000000001</v>
      </c>
    </row>
    <row r="96" spans="1:45" ht="20.25" customHeight="1">
      <c r="A96" t="s">
        <v>68</v>
      </c>
      <c r="B96" t="s">
        <v>69</v>
      </c>
      <c r="C96" t="s">
        <v>70</v>
      </c>
      <c r="D96">
        <f t="shared" si="59"/>
        <v>0</v>
      </c>
      <c r="E96">
        <f t="shared" si="38"/>
        <v>0</v>
      </c>
      <c r="F96">
        <f t="shared" si="60"/>
        <v>0</v>
      </c>
      <c r="G96">
        <f t="shared" si="60"/>
        <v>0</v>
      </c>
      <c r="H96">
        <f t="shared" si="61"/>
        <v>0</v>
      </c>
      <c r="I96">
        <f t="shared" si="61"/>
        <v>0</v>
      </c>
      <c r="J96">
        <f t="shared" si="55"/>
        <v>0</v>
      </c>
      <c r="K96">
        <f t="shared" si="55"/>
        <v>0</v>
      </c>
      <c r="L96">
        <f t="shared" si="55"/>
        <v>0</v>
      </c>
      <c r="M96">
        <f t="shared" si="55"/>
        <v>0</v>
      </c>
      <c r="N96">
        <f t="shared" si="55"/>
        <v>0</v>
      </c>
      <c r="O96">
        <f t="shared" si="55"/>
        <v>0</v>
      </c>
      <c r="P96">
        <f t="shared" si="62"/>
        <v>0</v>
      </c>
      <c r="Q96">
        <f t="shared" si="65"/>
        <v>0</v>
      </c>
      <c r="R96">
        <f t="shared" si="65"/>
        <v>0</v>
      </c>
      <c r="S96">
        <f t="shared" si="65"/>
        <v>0</v>
      </c>
      <c r="T96">
        <f>Z33</f>
        <v>0</v>
      </c>
      <c r="U96">
        <f>AA33</f>
        <v>0</v>
      </c>
      <c r="V96">
        <f>AB33</f>
        <v>0</v>
      </c>
      <c r="W96">
        <f>AC33</f>
        <v>0</v>
      </c>
      <c r="X96">
        <f>D96-AR96</f>
        <v>0</v>
      </c>
      <c r="Y96">
        <f>AE33</f>
        <v>0</v>
      </c>
      <c r="Z96">
        <f t="shared" si="64"/>
        <v>0</v>
      </c>
      <c r="AA96">
        <f t="shared" si="58"/>
        <v>0</v>
      </c>
      <c r="AB96">
        <f t="shared" si="58"/>
        <v>0</v>
      </c>
      <c r="AC96">
        <f t="shared" si="58"/>
        <v>0</v>
      </c>
      <c r="AD96">
        <f t="shared" si="58"/>
        <v>0</v>
      </c>
      <c r="AE96">
        <f t="shared" si="58"/>
        <v>0</v>
      </c>
      <c r="AF96">
        <f t="shared" si="58"/>
        <v>0</v>
      </c>
      <c r="AG96">
        <f t="shared" si="58"/>
        <v>0</v>
      </c>
      <c r="AH96">
        <f t="shared" si="58"/>
        <v>0</v>
      </c>
      <c r="AI96">
        <f t="shared" si="58"/>
        <v>0</v>
      </c>
      <c r="AJ96">
        <f t="shared" si="58"/>
        <v>0</v>
      </c>
      <c r="AK96">
        <f t="shared" si="58"/>
        <v>0</v>
      </c>
      <c r="AL96">
        <f t="shared" si="58"/>
        <v>0</v>
      </c>
      <c r="AM96">
        <f t="shared" si="58"/>
        <v>0</v>
      </c>
      <c r="AN96">
        <f t="shared" si="58"/>
        <v>0</v>
      </c>
      <c r="AO96">
        <f t="shared" si="58"/>
        <v>0</v>
      </c>
      <c r="AP96">
        <f t="shared" si="58"/>
        <v>0</v>
      </c>
      <c r="AQ96">
        <f t="shared" si="58"/>
        <v>0</v>
      </c>
      <c r="AR96">
        <f>E96+Q96+R96+S96+T96+U96+V96+W96+Y96+Z96+AA96+AB96+AC96+AD96+AE96+AF96+AG96+AH96+AI96+AJ96+AK96+AL96+AM96+AN96+AO96+AP96+AQ96</f>
        <v>0</v>
      </c>
      <c r="AS96">
        <f>D96+X116-AR96</f>
        <v>0</v>
      </c>
    </row>
    <row r="97" spans="1:45" ht="38.25" customHeight="1">
      <c r="A97" t="s">
        <v>71</v>
      </c>
      <c r="B97" t="s">
        <v>135</v>
      </c>
      <c r="C97" t="s">
        <v>72</v>
      </c>
      <c r="D97">
        <f t="shared" si="59"/>
        <v>60.747900000000001</v>
      </c>
      <c r="E97">
        <f t="shared" si="38"/>
        <v>0</v>
      </c>
      <c r="F97">
        <f t="shared" si="60"/>
        <v>0</v>
      </c>
      <c r="G97">
        <f t="shared" si="60"/>
        <v>0</v>
      </c>
      <c r="H97">
        <f t="shared" si="61"/>
        <v>0</v>
      </c>
      <c r="I97">
        <f t="shared" si="61"/>
        <v>0</v>
      </c>
      <c r="J97">
        <f>P34</f>
        <v>0</v>
      </c>
      <c r="K97">
        <f t="shared" si="55"/>
        <v>0</v>
      </c>
      <c r="L97">
        <f t="shared" si="55"/>
        <v>0</v>
      </c>
      <c r="M97">
        <f t="shared" si="55"/>
        <v>0</v>
      </c>
      <c r="N97">
        <f t="shared" si="55"/>
        <v>0</v>
      </c>
      <c r="O97">
        <f t="shared" si="55"/>
        <v>0</v>
      </c>
      <c r="P97">
        <f t="shared" si="62"/>
        <v>60.747900000000001</v>
      </c>
      <c r="Q97">
        <f t="shared" si="65"/>
        <v>0</v>
      </c>
      <c r="R97">
        <f t="shared" si="65"/>
        <v>0</v>
      </c>
      <c r="S97">
        <f t="shared" si="65"/>
        <v>0</v>
      </c>
      <c r="T97">
        <f>Z34</f>
        <v>0</v>
      </c>
      <c r="U97">
        <f>AA34</f>
        <v>0</v>
      </c>
      <c r="V97">
        <f>AB34</f>
        <v>0</v>
      </c>
      <c r="W97">
        <f>AC34</f>
        <v>0</v>
      </c>
      <c r="X97">
        <f>AD34</f>
        <v>0</v>
      </c>
      <c r="Y97">
        <f>D97-AR97</f>
        <v>60.747900000000001</v>
      </c>
      <c r="Z97">
        <f t="shared" si="64"/>
        <v>0</v>
      </c>
      <c r="AA97">
        <f t="shared" si="58"/>
        <v>0</v>
      </c>
      <c r="AB97">
        <f t="shared" si="58"/>
        <v>0</v>
      </c>
      <c r="AC97">
        <f t="shared" si="58"/>
        <v>0</v>
      </c>
      <c r="AD97">
        <f t="shared" si="58"/>
        <v>0</v>
      </c>
      <c r="AE97">
        <f t="shared" si="58"/>
        <v>0</v>
      </c>
      <c r="AF97">
        <f t="shared" si="58"/>
        <v>0</v>
      </c>
      <c r="AG97">
        <f t="shared" si="58"/>
        <v>0</v>
      </c>
      <c r="AH97">
        <f t="shared" si="58"/>
        <v>0</v>
      </c>
      <c r="AI97">
        <f t="shared" si="58"/>
        <v>0</v>
      </c>
      <c r="AJ97">
        <f t="shared" si="58"/>
        <v>0</v>
      </c>
      <c r="AK97">
        <f t="shared" si="58"/>
        <v>0</v>
      </c>
      <c r="AL97">
        <f t="shared" si="58"/>
        <v>0</v>
      </c>
      <c r="AM97">
        <f t="shared" si="58"/>
        <v>0</v>
      </c>
      <c r="AN97">
        <f t="shared" si="58"/>
        <v>0</v>
      </c>
      <c r="AO97">
        <f t="shared" si="58"/>
        <v>0</v>
      </c>
      <c r="AP97">
        <f t="shared" si="58"/>
        <v>0</v>
      </c>
      <c r="AQ97">
        <f t="shared" si="58"/>
        <v>0</v>
      </c>
      <c r="AR97">
        <f>E97+Q97+R97+S97+T97+U97+V97+W97+X97+Z97+AA97+AB97+AC97+AD97+AE97+AF97+AG97+AH97+AI97+AJ97+AK97+AL97+AM97+AN97+AO97+AP97+AQ97</f>
        <v>0</v>
      </c>
      <c r="AS97">
        <f>D97+Y116-AR97</f>
        <v>60.747900000000001</v>
      </c>
    </row>
    <row r="98" spans="1:45" ht="20.25" customHeight="1">
      <c r="A98" t="s">
        <v>73</v>
      </c>
      <c r="B98" t="s">
        <v>74</v>
      </c>
      <c r="C98" t="s">
        <v>75</v>
      </c>
      <c r="D98">
        <f>D46</f>
        <v>0</v>
      </c>
      <c r="E98">
        <f t="shared" si="38"/>
        <v>0</v>
      </c>
      <c r="F98">
        <f>H46</f>
        <v>0</v>
      </c>
      <c r="G98">
        <f>I46</f>
        <v>0</v>
      </c>
      <c r="H98">
        <f>M46</f>
        <v>0</v>
      </c>
      <c r="I98">
        <f>N46</f>
        <v>0</v>
      </c>
      <c r="J98">
        <f t="shared" ref="J98:O113" si="67">P46</f>
        <v>0</v>
      </c>
      <c r="K98">
        <f t="shared" si="67"/>
        <v>0</v>
      </c>
      <c r="L98">
        <f t="shared" si="67"/>
        <v>0</v>
      </c>
      <c r="M98">
        <f t="shared" si="67"/>
        <v>0</v>
      </c>
      <c r="N98">
        <f t="shared" si="67"/>
        <v>0</v>
      </c>
      <c r="O98">
        <f t="shared" si="67"/>
        <v>0</v>
      </c>
      <c r="P98">
        <f t="shared" si="62"/>
        <v>0</v>
      </c>
      <c r="Q98">
        <f t="shared" ref="Q98:Y113" si="68">W46</f>
        <v>0</v>
      </c>
      <c r="R98">
        <f t="shared" si="68"/>
        <v>0</v>
      </c>
      <c r="S98">
        <f t="shared" si="68"/>
        <v>0</v>
      </c>
      <c r="T98">
        <f t="shared" si="68"/>
        <v>0</v>
      </c>
      <c r="U98">
        <f t="shared" si="68"/>
        <v>0</v>
      </c>
      <c r="V98">
        <f t="shared" si="68"/>
        <v>0</v>
      </c>
      <c r="W98">
        <f t="shared" si="68"/>
        <v>0</v>
      </c>
      <c r="X98">
        <f t="shared" si="68"/>
        <v>0</v>
      </c>
      <c r="Y98">
        <f t="shared" si="68"/>
        <v>0</v>
      </c>
      <c r="Z98">
        <f>D98-AR98</f>
        <v>0</v>
      </c>
      <c r="AA98">
        <f>AR46</f>
        <v>0</v>
      </c>
      <c r="AB98">
        <f t="shared" ref="AB98:AQ109" si="69">AS46</f>
        <v>0</v>
      </c>
      <c r="AC98">
        <f t="shared" si="69"/>
        <v>0</v>
      </c>
      <c r="AD98">
        <f t="shared" si="69"/>
        <v>0</v>
      </c>
      <c r="AE98">
        <f t="shared" si="69"/>
        <v>0</v>
      </c>
      <c r="AF98">
        <f t="shared" si="69"/>
        <v>0</v>
      </c>
      <c r="AG98">
        <f t="shared" si="69"/>
        <v>0</v>
      </c>
      <c r="AH98">
        <f t="shared" si="69"/>
        <v>0</v>
      </c>
      <c r="AI98">
        <f t="shared" si="69"/>
        <v>0</v>
      </c>
      <c r="AJ98">
        <f t="shared" si="69"/>
        <v>0</v>
      </c>
      <c r="AK98">
        <f t="shared" si="69"/>
        <v>0</v>
      </c>
      <c r="AL98">
        <f t="shared" si="69"/>
        <v>0</v>
      </c>
      <c r="AM98">
        <f t="shared" si="69"/>
        <v>0</v>
      </c>
      <c r="AN98">
        <f t="shared" si="69"/>
        <v>0</v>
      </c>
      <c r="AO98">
        <f t="shared" si="69"/>
        <v>0</v>
      </c>
      <c r="AP98">
        <f t="shared" si="69"/>
        <v>0</v>
      </c>
      <c r="AQ98">
        <f t="shared" si="69"/>
        <v>0</v>
      </c>
      <c r="AR98">
        <f>E98+Q98+R98+S98+T98+U98+V98+W98+X98+Y98+AA98+AB98+AC98+AD98+AE98+AF98+AG98+AH98+AI98+AJ98+AK98+AL98+AM98+AN98+AO98+AP98+AQ98</f>
        <v>0</v>
      </c>
      <c r="AS98">
        <f>D98+Z116-AR98</f>
        <v>0</v>
      </c>
    </row>
    <row r="99" spans="1:45" ht="20.25" customHeight="1">
      <c r="A99" t="s">
        <v>76</v>
      </c>
      <c r="B99" t="s">
        <v>77</v>
      </c>
      <c r="C99" t="s">
        <v>78</v>
      </c>
      <c r="D99">
        <f t="shared" ref="D99:D114" si="70">D47</f>
        <v>0</v>
      </c>
      <c r="E99">
        <f t="shared" si="38"/>
        <v>0</v>
      </c>
      <c r="F99">
        <f t="shared" ref="F99:G115" si="71">H47</f>
        <v>0</v>
      </c>
      <c r="G99">
        <f t="shared" si="71"/>
        <v>0</v>
      </c>
      <c r="H99">
        <f t="shared" ref="H99:I115" si="72">M47</f>
        <v>0</v>
      </c>
      <c r="I99">
        <f t="shared" si="72"/>
        <v>0</v>
      </c>
      <c r="J99">
        <f t="shared" si="67"/>
        <v>0</v>
      </c>
      <c r="K99">
        <f t="shared" si="67"/>
        <v>0</v>
      </c>
      <c r="L99">
        <f t="shared" si="67"/>
        <v>0</v>
      </c>
      <c r="M99">
        <f t="shared" si="67"/>
        <v>0</v>
      </c>
      <c r="N99">
        <f t="shared" si="67"/>
        <v>0</v>
      </c>
      <c r="O99">
        <f t="shared" si="67"/>
        <v>0</v>
      </c>
      <c r="P99">
        <f t="shared" si="62"/>
        <v>0</v>
      </c>
      <c r="Q99">
        <f t="shared" si="68"/>
        <v>0</v>
      </c>
      <c r="R99">
        <f t="shared" si="68"/>
        <v>0</v>
      </c>
      <c r="S99">
        <f t="shared" si="68"/>
        <v>0</v>
      </c>
      <c r="T99">
        <f t="shared" si="68"/>
        <v>0</v>
      </c>
      <c r="U99">
        <f t="shared" si="68"/>
        <v>0</v>
      </c>
      <c r="V99">
        <f t="shared" si="68"/>
        <v>0</v>
      </c>
      <c r="W99">
        <f t="shared" si="68"/>
        <v>0</v>
      </c>
      <c r="X99">
        <f t="shared" si="68"/>
        <v>0</v>
      </c>
      <c r="Y99">
        <f t="shared" si="68"/>
        <v>0</v>
      </c>
      <c r="Z99">
        <f>AQ47</f>
        <v>0</v>
      </c>
      <c r="AA99">
        <f>D99-AR99</f>
        <v>0</v>
      </c>
      <c r="AB99">
        <f>AS47</f>
        <v>0</v>
      </c>
      <c r="AC99">
        <f t="shared" si="69"/>
        <v>0</v>
      </c>
      <c r="AD99">
        <f t="shared" si="69"/>
        <v>0</v>
      </c>
      <c r="AE99">
        <f t="shared" si="69"/>
        <v>0</v>
      </c>
      <c r="AF99">
        <f t="shared" si="69"/>
        <v>0</v>
      </c>
      <c r="AG99">
        <f t="shared" si="69"/>
        <v>0</v>
      </c>
      <c r="AH99">
        <f t="shared" si="69"/>
        <v>0</v>
      </c>
      <c r="AI99">
        <f t="shared" si="69"/>
        <v>0</v>
      </c>
      <c r="AJ99">
        <f t="shared" si="69"/>
        <v>0</v>
      </c>
      <c r="AK99">
        <f t="shared" si="69"/>
        <v>0</v>
      </c>
      <c r="AL99">
        <f t="shared" si="69"/>
        <v>0</v>
      </c>
      <c r="AM99">
        <f t="shared" si="69"/>
        <v>0</v>
      </c>
      <c r="AN99">
        <f t="shared" si="69"/>
        <v>0</v>
      </c>
      <c r="AO99">
        <f t="shared" si="69"/>
        <v>0</v>
      </c>
      <c r="AP99">
        <f t="shared" si="69"/>
        <v>0</v>
      </c>
      <c r="AQ99">
        <f t="shared" si="69"/>
        <v>0</v>
      </c>
      <c r="AR99">
        <f>E99+Q99+R99+S99+T99+U99+V99+W99+X99+Y99+Z99+AB99+AC99+AD99+AE99+AF99+AG99+AH99+AI99+AJ99+AK99+AL99+AM99+AN99+AO99+AP99+AQ99</f>
        <v>0</v>
      </c>
      <c r="AS99">
        <f>D99+AA116-AR99</f>
        <v>0</v>
      </c>
    </row>
    <row r="100" spans="1:45" ht="20.25" customHeight="1">
      <c r="A100" t="s">
        <v>79</v>
      </c>
      <c r="B100" t="s">
        <v>80</v>
      </c>
      <c r="C100" t="s">
        <v>81</v>
      </c>
      <c r="D100">
        <f t="shared" si="70"/>
        <v>0</v>
      </c>
      <c r="E100">
        <f t="shared" si="38"/>
        <v>0</v>
      </c>
      <c r="F100">
        <f t="shared" si="71"/>
        <v>0</v>
      </c>
      <c r="G100">
        <f t="shared" si="71"/>
        <v>0</v>
      </c>
      <c r="H100">
        <f t="shared" si="72"/>
        <v>0</v>
      </c>
      <c r="I100">
        <f t="shared" si="72"/>
        <v>0</v>
      </c>
      <c r="J100">
        <f t="shared" si="67"/>
        <v>0</v>
      </c>
      <c r="K100">
        <f t="shared" si="67"/>
        <v>0</v>
      </c>
      <c r="L100">
        <f t="shared" si="67"/>
        <v>0</v>
      </c>
      <c r="M100">
        <f t="shared" si="67"/>
        <v>0</v>
      </c>
      <c r="N100">
        <f t="shared" si="67"/>
        <v>0</v>
      </c>
      <c r="O100">
        <f t="shared" si="67"/>
        <v>0</v>
      </c>
      <c r="P100">
        <f t="shared" si="62"/>
        <v>0</v>
      </c>
      <c r="Q100">
        <f t="shared" si="68"/>
        <v>0</v>
      </c>
      <c r="R100">
        <f t="shared" si="68"/>
        <v>0</v>
      </c>
      <c r="S100">
        <f t="shared" si="68"/>
        <v>0</v>
      </c>
      <c r="T100">
        <f t="shared" si="68"/>
        <v>0</v>
      </c>
      <c r="U100">
        <f t="shared" si="68"/>
        <v>0</v>
      </c>
      <c r="V100">
        <f t="shared" si="68"/>
        <v>0</v>
      </c>
      <c r="W100">
        <f t="shared" si="68"/>
        <v>0</v>
      </c>
      <c r="X100">
        <f t="shared" si="68"/>
        <v>0</v>
      </c>
      <c r="Y100">
        <f t="shared" si="68"/>
        <v>0</v>
      </c>
      <c r="Z100">
        <f t="shared" ref="Z100:AK115" si="73">AQ48</f>
        <v>0</v>
      </c>
      <c r="AA100">
        <f t="shared" si="73"/>
        <v>0</v>
      </c>
      <c r="AB100">
        <f>D100-AR100</f>
        <v>0</v>
      </c>
      <c r="AC100">
        <f>AT48</f>
        <v>0</v>
      </c>
      <c r="AD100">
        <f t="shared" si="69"/>
        <v>0</v>
      </c>
      <c r="AE100">
        <f t="shared" si="69"/>
        <v>0</v>
      </c>
      <c r="AF100">
        <f t="shared" si="69"/>
        <v>0</v>
      </c>
      <c r="AG100">
        <f t="shared" si="69"/>
        <v>0</v>
      </c>
      <c r="AH100">
        <f t="shared" si="69"/>
        <v>0</v>
      </c>
      <c r="AI100">
        <f t="shared" si="69"/>
        <v>0</v>
      </c>
      <c r="AJ100">
        <f t="shared" si="69"/>
        <v>0</v>
      </c>
      <c r="AK100">
        <f t="shared" si="69"/>
        <v>0</v>
      </c>
      <c r="AL100">
        <f t="shared" si="69"/>
        <v>0</v>
      </c>
      <c r="AM100">
        <f t="shared" si="69"/>
        <v>0</v>
      </c>
      <c r="AN100">
        <f t="shared" si="69"/>
        <v>0</v>
      </c>
      <c r="AO100">
        <f t="shared" si="69"/>
        <v>0</v>
      </c>
      <c r="AP100">
        <f t="shared" si="69"/>
        <v>0</v>
      </c>
      <c r="AQ100">
        <f t="shared" si="69"/>
        <v>0</v>
      </c>
      <c r="AR100">
        <f>E100+Q100+R100+S100+T100+U100+V100+W100+X100+Y100+Z100+AA100+AC100+AD100+AE100+AF100+AG100+AH100+AI100+AJ100+AK100+AL100+AM100+AN100+AO100+AP100+AQ100</f>
        <v>0</v>
      </c>
      <c r="AS100">
        <f>D100+AB116-AR100</f>
        <v>0</v>
      </c>
    </row>
    <row r="101" spans="1:45" ht="20.25" customHeight="1">
      <c r="A101" t="s">
        <v>82</v>
      </c>
      <c r="B101" t="s">
        <v>83</v>
      </c>
      <c r="C101" t="s">
        <v>84</v>
      </c>
      <c r="D101">
        <f t="shared" si="70"/>
        <v>0</v>
      </c>
      <c r="E101">
        <f t="shared" si="38"/>
        <v>0</v>
      </c>
      <c r="F101">
        <f t="shared" si="71"/>
        <v>0</v>
      </c>
      <c r="G101">
        <f t="shared" si="71"/>
        <v>0</v>
      </c>
      <c r="H101">
        <f t="shared" si="72"/>
        <v>0</v>
      </c>
      <c r="I101">
        <f t="shared" si="72"/>
        <v>0</v>
      </c>
      <c r="J101">
        <f t="shared" si="67"/>
        <v>0</v>
      </c>
      <c r="K101">
        <f t="shared" si="67"/>
        <v>0</v>
      </c>
      <c r="L101">
        <f t="shared" si="67"/>
        <v>0</v>
      </c>
      <c r="M101">
        <f t="shared" si="67"/>
        <v>0</v>
      </c>
      <c r="N101">
        <f t="shared" si="67"/>
        <v>0</v>
      </c>
      <c r="O101">
        <f t="shared" si="67"/>
        <v>0</v>
      </c>
      <c r="P101">
        <f t="shared" si="62"/>
        <v>0</v>
      </c>
      <c r="Q101">
        <f t="shared" si="68"/>
        <v>0</v>
      </c>
      <c r="R101">
        <f t="shared" si="68"/>
        <v>0</v>
      </c>
      <c r="S101">
        <f t="shared" si="68"/>
        <v>0</v>
      </c>
      <c r="T101">
        <f t="shared" si="68"/>
        <v>0</v>
      </c>
      <c r="U101">
        <f t="shared" si="68"/>
        <v>0</v>
      </c>
      <c r="V101">
        <f t="shared" si="68"/>
        <v>0</v>
      </c>
      <c r="W101">
        <f t="shared" si="68"/>
        <v>0</v>
      </c>
      <c r="X101">
        <f t="shared" si="68"/>
        <v>0</v>
      </c>
      <c r="Y101">
        <f t="shared" si="68"/>
        <v>0</v>
      </c>
      <c r="Z101">
        <f t="shared" si="73"/>
        <v>0</v>
      </c>
      <c r="AA101">
        <f t="shared" si="73"/>
        <v>0</v>
      </c>
      <c r="AB101">
        <f t="shared" si="73"/>
        <v>0</v>
      </c>
      <c r="AC101">
        <f>D101-AR101</f>
        <v>0</v>
      </c>
      <c r="AD101">
        <f>AU49</f>
        <v>0</v>
      </c>
      <c r="AE101">
        <f t="shared" si="69"/>
        <v>0</v>
      </c>
      <c r="AF101">
        <f t="shared" si="69"/>
        <v>0</v>
      </c>
      <c r="AG101">
        <f t="shared" si="69"/>
        <v>0</v>
      </c>
      <c r="AH101">
        <f t="shared" si="69"/>
        <v>0</v>
      </c>
      <c r="AI101">
        <f t="shared" si="69"/>
        <v>0</v>
      </c>
      <c r="AJ101">
        <f t="shared" si="69"/>
        <v>0</v>
      </c>
      <c r="AK101">
        <f t="shared" si="69"/>
        <v>0</v>
      </c>
      <c r="AL101">
        <f t="shared" si="69"/>
        <v>0</v>
      </c>
      <c r="AM101">
        <f t="shared" si="69"/>
        <v>0</v>
      </c>
      <c r="AN101">
        <f t="shared" si="69"/>
        <v>0</v>
      </c>
      <c r="AO101">
        <f t="shared" si="69"/>
        <v>0</v>
      </c>
      <c r="AP101">
        <f t="shared" si="69"/>
        <v>0</v>
      </c>
      <c r="AQ101">
        <f t="shared" si="69"/>
        <v>0</v>
      </c>
      <c r="AR101">
        <f>E101+Q101+R101+S101+T101+U101+V101+W101+X101+Y101+Z101+AA101+AB101+AD101+AE101+AF101+AG101+AH101+AI101+AJ101+AK101+AL101+AM101+AN101+AO101+AP101+AQ101</f>
        <v>0</v>
      </c>
      <c r="AS101">
        <f>D101+AC116-AR101</f>
        <v>0</v>
      </c>
    </row>
    <row r="102" spans="1:45" ht="20.25" customHeight="1">
      <c r="A102" t="s">
        <v>85</v>
      </c>
      <c r="B102" t="s">
        <v>86</v>
      </c>
      <c r="C102" t="s">
        <v>87</v>
      </c>
      <c r="D102">
        <f t="shared" si="70"/>
        <v>36.459299999999999</v>
      </c>
      <c r="E102">
        <f t="shared" si="38"/>
        <v>0</v>
      </c>
      <c r="F102">
        <f t="shared" si="71"/>
        <v>0</v>
      </c>
      <c r="G102">
        <f t="shared" si="71"/>
        <v>0</v>
      </c>
      <c r="H102">
        <f t="shared" si="72"/>
        <v>0</v>
      </c>
      <c r="I102">
        <f t="shared" si="72"/>
        <v>0</v>
      </c>
      <c r="J102">
        <f t="shared" si="67"/>
        <v>0</v>
      </c>
      <c r="K102">
        <f t="shared" si="67"/>
        <v>0</v>
      </c>
      <c r="L102">
        <f t="shared" si="67"/>
        <v>0</v>
      </c>
      <c r="M102">
        <f t="shared" si="67"/>
        <v>0</v>
      </c>
      <c r="N102">
        <f t="shared" si="67"/>
        <v>0</v>
      </c>
      <c r="O102">
        <f t="shared" si="67"/>
        <v>0</v>
      </c>
      <c r="P102">
        <f t="shared" si="62"/>
        <v>36.459299999999999</v>
      </c>
      <c r="Q102">
        <f t="shared" si="68"/>
        <v>0</v>
      </c>
      <c r="R102">
        <f t="shared" si="68"/>
        <v>0</v>
      </c>
      <c r="S102">
        <f t="shared" si="68"/>
        <v>0</v>
      </c>
      <c r="T102">
        <f t="shared" si="68"/>
        <v>0</v>
      </c>
      <c r="U102">
        <f t="shared" si="68"/>
        <v>0</v>
      </c>
      <c r="V102">
        <f t="shared" si="68"/>
        <v>0</v>
      </c>
      <c r="W102">
        <f t="shared" si="68"/>
        <v>0</v>
      </c>
      <c r="X102">
        <f t="shared" si="68"/>
        <v>0</v>
      </c>
      <c r="Y102">
        <f t="shared" si="68"/>
        <v>0</v>
      </c>
      <c r="Z102">
        <f t="shared" si="73"/>
        <v>0</v>
      </c>
      <c r="AA102">
        <f t="shared" si="73"/>
        <v>0</v>
      </c>
      <c r="AB102">
        <f t="shared" si="73"/>
        <v>0</v>
      </c>
      <c r="AC102">
        <f t="shared" si="73"/>
        <v>0</v>
      </c>
      <c r="AD102">
        <f>D102-AR102</f>
        <v>36.459299999999999</v>
      </c>
      <c r="AE102">
        <f>AV50</f>
        <v>0</v>
      </c>
      <c r="AF102">
        <f t="shared" si="69"/>
        <v>0</v>
      </c>
      <c r="AG102">
        <f t="shared" si="69"/>
        <v>0</v>
      </c>
      <c r="AH102">
        <f t="shared" si="69"/>
        <v>0</v>
      </c>
      <c r="AI102">
        <f t="shared" si="69"/>
        <v>0</v>
      </c>
      <c r="AJ102">
        <f t="shared" si="69"/>
        <v>0</v>
      </c>
      <c r="AK102">
        <f t="shared" si="69"/>
        <v>0</v>
      </c>
      <c r="AL102">
        <f t="shared" si="69"/>
        <v>0</v>
      </c>
      <c r="AM102">
        <f t="shared" si="69"/>
        <v>0</v>
      </c>
      <c r="AN102">
        <f t="shared" si="69"/>
        <v>0</v>
      </c>
      <c r="AO102">
        <f t="shared" si="69"/>
        <v>0</v>
      </c>
      <c r="AP102">
        <f t="shared" si="69"/>
        <v>0</v>
      </c>
      <c r="AQ102">
        <f t="shared" si="69"/>
        <v>0</v>
      </c>
      <c r="AR102">
        <f>E102+Q102+R102+S102+T102+U102+V102+W102+X102+Y102+Z102+AA102+AB102+AC102+AE102+AF102+AG102+AH102+AI102+AJ102+AK102+AL102+AM102+AN102+AO102+AP102+AQ102</f>
        <v>0</v>
      </c>
      <c r="AS102">
        <f>D102+AD116-AR102</f>
        <v>36.759299999999996</v>
      </c>
    </row>
    <row r="103" spans="1:45" ht="20.25" customHeight="1">
      <c r="A103" t="s">
        <v>88</v>
      </c>
      <c r="B103" t="s">
        <v>89</v>
      </c>
      <c r="C103" t="s">
        <v>90</v>
      </c>
      <c r="D103">
        <f t="shared" si="70"/>
        <v>0.81</v>
      </c>
      <c r="E103">
        <f t="shared" si="38"/>
        <v>0</v>
      </c>
      <c r="F103">
        <f t="shared" si="71"/>
        <v>0</v>
      </c>
      <c r="G103">
        <f t="shared" si="71"/>
        <v>0</v>
      </c>
      <c r="H103">
        <f t="shared" si="72"/>
        <v>0</v>
      </c>
      <c r="I103">
        <f t="shared" si="72"/>
        <v>0</v>
      </c>
      <c r="J103">
        <f t="shared" si="67"/>
        <v>0</v>
      </c>
      <c r="K103">
        <f t="shared" si="67"/>
        <v>0</v>
      </c>
      <c r="L103">
        <f t="shared" si="67"/>
        <v>0</v>
      </c>
      <c r="M103">
        <f t="shared" si="67"/>
        <v>0</v>
      </c>
      <c r="N103">
        <f t="shared" si="67"/>
        <v>0</v>
      </c>
      <c r="O103">
        <f t="shared" si="67"/>
        <v>0</v>
      </c>
      <c r="P103">
        <f t="shared" si="62"/>
        <v>0.81</v>
      </c>
      <c r="Q103">
        <f t="shared" si="68"/>
        <v>0</v>
      </c>
      <c r="R103">
        <f t="shared" si="68"/>
        <v>0</v>
      </c>
      <c r="S103">
        <f t="shared" si="68"/>
        <v>0</v>
      </c>
      <c r="T103">
        <f t="shared" si="68"/>
        <v>0</v>
      </c>
      <c r="U103">
        <f t="shared" si="68"/>
        <v>0</v>
      </c>
      <c r="V103">
        <f t="shared" si="68"/>
        <v>0</v>
      </c>
      <c r="W103">
        <f t="shared" si="68"/>
        <v>0</v>
      </c>
      <c r="X103">
        <f t="shared" si="68"/>
        <v>0</v>
      </c>
      <c r="Y103">
        <f t="shared" si="68"/>
        <v>0</v>
      </c>
      <c r="Z103">
        <f t="shared" si="73"/>
        <v>0</v>
      </c>
      <c r="AA103">
        <f t="shared" si="73"/>
        <v>0</v>
      </c>
      <c r="AB103">
        <f t="shared" si="73"/>
        <v>0</v>
      </c>
      <c r="AC103">
        <f t="shared" si="73"/>
        <v>0</v>
      </c>
      <c r="AD103">
        <f t="shared" si="73"/>
        <v>0</v>
      </c>
      <c r="AE103">
        <f>D103-AR103</f>
        <v>0.81</v>
      </c>
      <c r="AF103">
        <f>AW51</f>
        <v>0</v>
      </c>
      <c r="AG103">
        <f t="shared" si="69"/>
        <v>0</v>
      </c>
      <c r="AH103">
        <f t="shared" si="69"/>
        <v>0</v>
      </c>
      <c r="AI103">
        <f t="shared" si="69"/>
        <v>0</v>
      </c>
      <c r="AJ103">
        <f t="shared" si="69"/>
        <v>0</v>
      </c>
      <c r="AK103">
        <f t="shared" si="69"/>
        <v>0</v>
      </c>
      <c r="AL103">
        <f t="shared" si="69"/>
        <v>0</v>
      </c>
      <c r="AM103">
        <f t="shared" si="69"/>
        <v>0</v>
      </c>
      <c r="AN103">
        <f t="shared" si="69"/>
        <v>0</v>
      </c>
      <c r="AO103">
        <f t="shared" si="69"/>
        <v>0</v>
      </c>
      <c r="AP103">
        <f t="shared" si="69"/>
        <v>0</v>
      </c>
      <c r="AQ103">
        <f t="shared" si="69"/>
        <v>0</v>
      </c>
      <c r="AR103">
        <f>E103+Q103+R103+S103+T103+U103+V103+W103+X103+Y103+Z103+AA103+AB103+AC103+AD103+AF103+AG103+AH103+AI103+AJ103+AK103+AL103+AM103+AN103+AO103+AP103+AQ103</f>
        <v>0</v>
      </c>
      <c r="AS103">
        <f>D103+AE116-AR103</f>
        <v>0.81</v>
      </c>
    </row>
    <row r="104" spans="1:45" ht="37.5" customHeight="1">
      <c r="A104" t="s">
        <v>91</v>
      </c>
      <c r="B104" t="s">
        <v>92</v>
      </c>
      <c r="C104" t="s">
        <v>93</v>
      </c>
      <c r="D104">
        <f t="shared" si="70"/>
        <v>0</v>
      </c>
      <c r="E104">
        <f t="shared" si="38"/>
        <v>0</v>
      </c>
      <c r="F104">
        <f t="shared" si="71"/>
        <v>0</v>
      </c>
      <c r="G104">
        <f t="shared" si="71"/>
        <v>0</v>
      </c>
      <c r="H104">
        <f t="shared" si="72"/>
        <v>0</v>
      </c>
      <c r="I104">
        <f t="shared" si="72"/>
        <v>0</v>
      </c>
      <c r="J104">
        <f t="shared" si="67"/>
        <v>0</v>
      </c>
      <c r="K104">
        <f t="shared" si="67"/>
        <v>0</v>
      </c>
      <c r="L104">
        <f t="shared" si="67"/>
        <v>0</v>
      </c>
      <c r="M104">
        <f t="shared" si="67"/>
        <v>0</v>
      </c>
      <c r="N104">
        <f t="shared" si="67"/>
        <v>0</v>
      </c>
      <c r="O104">
        <f t="shared" si="67"/>
        <v>0</v>
      </c>
      <c r="P104">
        <f t="shared" si="62"/>
        <v>0</v>
      </c>
      <c r="Q104">
        <f t="shared" si="68"/>
        <v>0</v>
      </c>
      <c r="R104">
        <f t="shared" si="68"/>
        <v>0</v>
      </c>
      <c r="S104">
        <f t="shared" si="68"/>
        <v>0</v>
      </c>
      <c r="T104">
        <f t="shared" si="68"/>
        <v>0</v>
      </c>
      <c r="U104">
        <f t="shared" si="68"/>
        <v>0</v>
      </c>
      <c r="V104">
        <f t="shared" si="68"/>
        <v>0</v>
      </c>
      <c r="W104">
        <f t="shared" si="68"/>
        <v>0</v>
      </c>
      <c r="X104">
        <f t="shared" si="68"/>
        <v>0</v>
      </c>
      <c r="Y104">
        <f t="shared" si="68"/>
        <v>0</v>
      </c>
      <c r="Z104">
        <f t="shared" si="73"/>
        <v>0</v>
      </c>
      <c r="AA104">
        <f t="shared" si="73"/>
        <v>0</v>
      </c>
      <c r="AB104">
        <f t="shared" si="73"/>
        <v>0</v>
      </c>
      <c r="AC104">
        <f t="shared" si="73"/>
        <v>0</v>
      </c>
      <c r="AD104">
        <f t="shared" si="73"/>
        <v>0</v>
      </c>
      <c r="AE104">
        <f t="shared" si="73"/>
        <v>0</v>
      </c>
      <c r="AF104">
        <f>D104-AR104</f>
        <v>0</v>
      </c>
      <c r="AG104">
        <f>AX52</f>
        <v>0</v>
      </c>
      <c r="AH104">
        <f t="shared" si="69"/>
        <v>0</v>
      </c>
      <c r="AI104">
        <f t="shared" si="69"/>
        <v>0</v>
      </c>
      <c r="AJ104">
        <f t="shared" si="69"/>
        <v>0</v>
      </c>
      <c r="AK104">
        <f t="shared" si="69"/>
        <v>0</v>
      </c>
      <c r="AL104">
        <f t="shared" si="69"/>
        <v>0</v>
      </c>
      <c r="AM104">
        <f t="shared" si="69"/>
        <v>0</v>
      </c>
      <c r="AN104">
        <f t="shared" si="69"/>
        <v>0</v>
      </c>
      <c r="AO104">
        <f t="shared" si="69"/>
        <v>0</v>
      </c>
      <c r="AP104">
        <f t="shared" si="69"/>
        <v>0</v>
      </c>
      <c r="AQ104">
        <f t="shared" si="69"/>
        <v>0</v>
      </c>
      <c r="AR104">
        <f>E104+Q104+R104+S104+T104+U104+V104+W104+X104+Y104+Z104+AA104+AB104+AC104+AD104+AE104+AG104+AH104+AI104+AJ104+AK104+AL104+AM104+AN104+AO104+AP104+AQ104</f>
        <v>0</v>
      </c>
      <c r="AS104">
        <f>D104+AF116-AR104</f>
        <v>0</v>
      </c>
    </row>
    <row r="105" spans="1:45" ht="20.25" customHeight="1">
      <c r="A105" t="s">
        <v>94</v>
      </c>
      <c r="B105" t="s">
        <v>95</v>
      </c>
      <c r="C105" t="s">
        <v>96</v>
      </c>
      <c r="D105">
        <f t="shared" si="70"/>
        <v>0</v>
      </c>
      <c r="E105">
        <f t="shared" si="38"/>
        <v>0</v>
      </c>
      <c r="F105">
        <f t="shared" si="71"/>
        <v>0</v>
      </c>
      <c r="G105">
        <f t="shared" si="71"/>
        <v>0</v>
      </c>
      <c r="H105">
        <f t="shared" si="72"/>
        <v>0</v>
      </c>
      <c r="I105">
        <f t="shared" si="72"/>
        <v>0</v>
      </c>
      <c r="J105">
        <f t="shared" si="67"/>
        <v>0</v>
      </c>
      <c r="K105">
        <f t="shared" si="67"/>
        <v>0</v>
      </c>
      <c r="L105">
        <f t="shared" si="67"/>
        <v>0</v>
      </c>
      <c r="M105">
        <f t="shared" si="67"/>
        <v>0</v>
      </c>
      <c r="N105">
        <f t="shared" si="67"/>
        <v>0</v>
      </c>
      <c r="O105">
        <f t="shared" si="67"/>
        <v>0</v>
      </c>
      <c r="P105">
        <f t="shared" si="62"/>
        <v>0</v>
      </c>
      <c r="Q105">
        <f t="shared" si="68"/>
        <v>0</v>
      </c>
      <c r="R105">
        <f t="shared" si="68"/>
        <v>0</v>
      </c>
      <c r="S105">
        <f t="shared" si="68"/>
        <v>0</v>
      </c>
      <c r="T105">
        <f t="shared" si="68"/>
        <v>0</v>
      </c>
      <c r="U105">
        <f t="shared" si="68"/>
        <v>0</v>
      </c>
      <c r="V105">
        <f t="shared" si="68"/>
        <v>0</v>
      </c>
      <c r="W105">
        <f t="shared" si="68"/>
        <v>0</v>
      </c>
      <c r="X105">
        <f t="shared" si="68"/>
        <v>0</v>
      </c>
      <c r="Y105">
        <f t="shared" si="68"/>
        <v>0</v>
      </c>
      <c r="Z105">
        <f t="shared" si="73"/>
        <v>0</v>
      </c>
      <c r="AA105">
        <f t="shared" si="73"/>
        <v>0</v>
      </c>
      <c r="AB105">
        <f t="shared" si="73"/>
        <v>0</v>
      </c>
      <c r="AC105">
        <f t="shared" si="73"/>
        <v>0</v>
      </c>
      <c r="AD105">
        <f t="shared" si="73"/>
        <v>0</v>
      </c>
      <c r="AE105">
        <f t="shared" si="73"/>
        <v>0</v>
      </c>
      <c r="AF105">
        <f t="shared" si="73"/>
        <v>0</v>
      </c>
      <c r="AG105">
        <f>D105-AR105</f>
        <v>0</v>
      </c>
      <c r="AH105">
        <f>AY53</f>
        <v>0</v>
      </c>
      <c r="AI105">
        <f t="shared" si="69"/>
        <v>0</v>
      </c>
      <c r="AJ105">
        <f t="shared" si="69"/>
        <v>0</v>
      </c>
      <c r="AK105">
        <f t="shared" si="69"/>
        <v>0</v>
      </c>
      <c r="AL105">
        <f t="shared" si="69"/>
        <v>0</v>
      </c>
      <c r="AM105">
        <f t="shared" si="69"/>
        <v>0</v>
      </c>
      <c r="AN105">
        <f t="shared" si="69"/>
        <v>0</v>
      </c>
      <c r="AO105">
        <f t="shared" si="69"/>
        <v>0</v>
      </c>
      <c r="AP105">
        <f t="shared" si="69"/>
        <v>0</v>
      </c>
      <c r="AQ105">
        <f t="shared" si="69"/>
        <v>0</v>
      </c>
      <c r="AR105">
        <f>E105+Q105+R105+S105+T105+U105+V105+W105+X105+Y105+Z105+AA105+AB105+AC105+AD105+AE105+AF105+AH105+AI105+AJ105+AK105+AL105+AM105+AN105+AO105+AP105+AQ105</f>
        <v>0</v>
      </c>
      <c r="AS105">
        <f>D105+AG116-AR105</f>
        <v>0</v>
      </c>
    </row>
    <row r="106" spans="1:45" ht="20.25" customHeight="1">
      <c r="A106" t="s">
        <v>97</v>
      </c>
      <c r="B106" t="s">
        <v>98</v>
      </c>
      <c r="C106" t="s">
        <v>99</v>
      </c>
      <c r="D106">
        <f t="shared" si="70"/>
        <v>0.4</v>
      </c>
      <c r="E106">
        <f t="shared" si="38"/>
        <v>0</v>
      </c>
      <c r="F106">
        <f t="shared" si="71"/>
        <v>0</v>
      </c>
      <c r="G106">
        <f t="shared" si="71"/>
        <v>0</v>
      </c>
      <c r="H106">
        <f t="shared" si="72"/>
        <v>0</v>
      </c>
      <c r="I106">
        <f t="shared" si="72"/>
        <v>0</v>
      </c>
      <c r="J106">
        <f t="shared" si="67"/>
        <v>0</v>
      </c>
      <c r="K106">
        <f t="shared" si="67"/>
        <v>0</v>
      </c>
      <c r="L106">
        <f t="shared" si="67"/>
        <v>0</v>
      </c>
      <c r="M106">
        <f t="shared" si="67"/>
        <v>0</v>
      </c>
      <c r="N106">
        <f t="shared" si="67"/>
        <v>0</v>
      </c>
      <c r="O106">
        <f t="shared" si="67"/>
        <v>0</v>
      </c>
      <c r="P106">
        <f t="shared" si="62"/>
        <v>0.4</v>
      </c>
      <c r="Q106">
        <f t="shared" si="68"/>
        <v>0</v>
      </c>
      <c r="R106">
        <f t="shared" si="68"/>
        <v>0</v>
      </c>
      <c r="S106">
        <f t="shared" si="68"/>
        <v>0</v>
      </c>
      <c r="T106">
        <f t="shared" si="68"/>
        <v>0</v>
      </c>
      <c r="U106">
        <f t="shared" si="68"/>
        <v>0</v>
      </c>
      <c r="V106">
        <f t="shared" si="68"/>
        <v>0</v>
      </c>
      <c r="W106">
        <f t="shared" si="68"/>
        <v>0</v>
      </c>
      <c r="X106">
        <f t="shared" si="68"/>
        <v>0</v>
      </c>
      <c r="Y106">
        <f t="shared" si="68"/>
        <v>0</v>
      </c>
      <c r="Z106">
        <f t="shared" si="73"/>
        <v>0</v>
      </c>
      <c r="AA106">
        <f t="shared" si="73"/>
        <v>0</v>
      </c>
      <c r="AB106">
        <f t="shared" si="73"/>
        <v>0</v>
      </c>
      <c r="AC106">
        <f t="shared" si="73"/>
        <v>0</v>
      </c>
      <c r="AD106">
        <f t="shared" si="73"/>
        <v>0</v>
      </c>
      <c r="AE106">
        <f t="shared" si="73"/>
        <v>0</v>
      </c>
      <c r="AF106">
        <f t="shared" si="73"/>
        <v>0</v>
      </c>
      <c r="AG106">
        <f t="shared" si="73"/>
        <v>0</v>
      </c>
      <c r="AH106">
        <f>D106-AR106</f>
        <v>0.4</v>
      </c>
      <c r="AI106">
        <f>AZ54</f>
        <v>0</v>
      </c>
      <c r="AJ106">
        <f t="shared" si="69"/>
        <v>0</v>
      </c>
      <c r="AK106">
        <f t="shared" si="69"/>
        <v>0</v>
      </c>
      <c r="AL106">
        <f t="shared" si="69"/>
        <v>0</v>
      </c>
      <c r="AM106">
        <f t="shared" si="69"/>
        <v>0</v>
      </c>
      <c r="AN106">
        <f t="shared" si="69"/>
        <v>0</v>
      </c>
      <c r="AO106">
        <f t="shared" si="69"/>
        <v>0</v>
      </c>
      <c r="AP106">
        <f t="shared" si="69"/>
        <v>0</v>
      </c>
      <c r="AQ106">
        <f t="shared" si="69"/>
        <v>0</v>
      </c>
      <c r="AR106">
        <f>E106+Q106+R106+S106+T106+U106+V106+W106+X106+Y106+Z106+AA106+AB106+AC106+AD106+AE106+AF106+AG106+AI106+AJ106+AK106+AL106+AM106+AN106+AO106+AP106+AQ106</f>
        <v>0</v>
      </c>
      <c r="AS106">
        <f>D106+AH116-AR106</f>
        <v>0.4</v>
      </c>
    </row>
    <row r="107" spans="1:45" ht="31.5" customHeight="1">
      <c r="A107" t="s">
        <v>100</v>
      </c>
      <c r="B107" t="s">
        <v>134</v>
      </c>
      <c r="C107" t="s">
        <v>101</v>
      </c>
      <c r="D107">
        <f t="shared" si="70"/>
        <v>0</v>
      </c>
      <c r="E107">
        <f t="shared" si="38"/>
        <v>0</v>
      </c>
      <c r="F107">
        <f t="shared" si="71"/>
        <v>0</v>
      </c>
      <c r="G107">
        <f t="shared" si="71"/>
        <v>0</v>
      </c>
      <c r="H107">
        <f t="shared" si="72"/>
        <v>0</v>
      </c>
      <c r="I107">
        <f t="shared" si="72"/>
        <v>0</v>
      </c>
      <c r="J107">
        <f t="shared" si="67"/>
        <v>0</v>
      </c>
      <c r="K107">
        <f t="shared" si="67"/>
        <v>0</v>
      </c>
      <c r="L107">
        <f t="shared" si="67"/>
        <v>0</v>
      </c>
      <c r="M107">
        <f t="shared" si="67"/>
        <v>0</v>
      </c>
      <c r="N107">
        <f t="shared" si="67"/>
        <v>0</v>
      </c>
      <c r="O107">
        <f t="shared" si="67"/>
        <v>0</v>
      </c>
      <c r="P107">
        <f t="shared" si="62"/>
        <v>0</v>
      </c>
      <c r="Q107">
        <f t="shared" si="68"/>
        <v>0</v>
      </c>
      <c r="R107">
        <f t="shared" si="68"/>
        <v>0</v>
      </c>
      <c r="S107">
        <f t="shared" si="68"/>
        <v>0</v>
      </c>
      <c r="T107">
        <f t="shared" si="68"/>
        <v>0</v>
      </c>
      <c r="U107">
        <f t="shared" si="68"/>
        <v>0</v>
      </c>
      <c r="V107">
        <f t="shared" si="68"/>
        <v>0</v>
      </c>
      <c r="W107">
        <f t="shared" si="68"/>
        <v>0</v>
      </c>
      <c r="X107">
        <f t="shared" si="68"/>
        <v>0</v>
      </c>
      <c r="Y107">
        <f t="shared" si="68"/>
        <v>0</v>
      </c>
      <c r="Z107">
        <f t="shared" si="73"/>
        <v>0</v>
      </c>
      <c r="AA107">
        <f t="shared" si="73"/>
        <v>0</v>
      </c>
      <c r="AB107">
        <f t="shared" si="73"/>
        <v>0</v>
      </c>
      <c r="AC107">
        <f t="shared" si="73"/>
        <v>0</v>
      </c>
      <c r="AD107">
        <f t="shared" si="73"/>
        <v>0</v>
      </c>
      <c r="AE107">
        <f t="shared" si="73"/>
        <v>0</v>
      </c>
      <c r="AF107">
        <f t="shared" si="73"/>
        <v>0</v>
      </c>
      <c r="AG107">
        <f t="shared" si="73"/>
        <v>0</v>
      </c>
      <c r="AH107">
        <f t="shared" si="73"/>
        <v>0</v>
      </c>
      <c r="AI107">
        <f>D107-AR107</f>
        <v>0</v>
      </c>
      <c r="AJ107">
        <f>BA55</f>
        <v>0</v>
      </c>
      <c r="AK107">
        <f t="shared" si="69"/>
        <v>0</v>
      </c>
      <c r="AL107">
        <f t="shared" si="69"/>
        <v>0</v>
      </c>
      <c r="AM107">
        <f t="shared" si="69"/>
        <v>0</v>
      </c>
      <c r="AN107">
        <f t="shared" si="69"/>
        <v>0</v>
      </c>
      <c r="AO107">
        <f t="shared" si="69"/>
        <v>0</v>
      </c>
      <c r="AP107">
        <f t="shared" si="69"/>
        <v>0</v>
      </c>
      <c r="AQ107">
        <f t="shared" si="69"/>
        <v>0</v>
      </c>
      <c r="AR107">
        <f>E107+Q107+R107+S107+T107+U107+V107+W107+X107+Y107+Z107+AA107+AB107+AC107+AD107+AE107+AF107+AG107+AH107+AJ107+AK107+AL107+AM107+AN107+AO107+AP107+AQ107</f>
        <v>0</v>
      </c>
      <c r="AS107">
        <f>D107+AI116-AR107</f>
        <v>0</v>
      </c>
    </row>
    <row r="108" spans="1:45" ht="20.25" customHeight="1">
      <c r="A108" t="s">
        <v>102</v>
      </c>
      <c r="B108" t="s">
        <v>103</v>
      </c>
      <c r="C108" t="s">
        <v>104</v>
      </c>
      <c r="D108">
        <f t="shared" si="70"/>
        <v>0</v>
      </c>
      <c r="E108">
        <f t="shared" si="38"/>
        <v>0</v>
      </c>
      <c r="F108">
        <f t="shared" si="71"/>
        <v>0</v>
      </c>
      <c r="G108">
        <f t="shared" si="71"/>
        <v>0</v>
      </c>
      <c r="H108">
        <f t="shared" si="72"/>
        <v>0</v>
      </c>
      <c r="I108">
        <f t="shared" si="72"/>
        <v>0</v>
      </c>
      <c r="J108">
        <f t="shared" si="67"/>
        <v>0</v>
      </c>
      <c r="K108">
        <f t="shared" si="67"/>
        <v>0</v>
      </c>
      <c r="L108">
        <f t="shared" si="67"/>
        <v>0</v>
      </c>
      <c r="M108">
        <f t="shared" si="67"/>
        <v>0</v>
      </c>
      <c r="N108">
        <f t="shared" si="67"/>
        <v>0</v>
      </c>
      <c r="O108">
        <f t="shared" si="67"/>
        <v>0</v>
      </c>
      <c r="P108">
        <f t="shared" si="62"/>
        <v>0</v>
      </c>
      <c r="Q108">
        <f t="shared" si="68"/>
        <v>0</v>
      </c>
      <c r="R108">
        <f t="shared" si="68"/>
        <v>0</v>
      </c>
      <c r="S108">
        <f t="shared" si="68"/>
        <v>0</v>
      </c>
      <c r="T108">
        <f t="shared" si="68"/>
        <v>0</v>
      </c>
      <c r="U108">
        <f t="shared" si="68"/>
        <v>0</v>
      </c>
      <c r="V108">
        <f t="shared" si="68"/>
        <v>0</v>
      </c>
      <c r="W108">
        <f t="shared" si="68"/>
        <v>0</v>
      </c>
      <c r="X108">
        <f t="shared" si="68"/>
        <v>0</v>
      </c>
      <c r="Y108">
        <f t="shared" si="68"/>
        <v>0</v>
      </c>
      <c r="Z108">
        <f t="shared" si="73"/>
        <v>0</v>
      </c>
      <c r="AA108">
        <f t="shared" si="73"/>
        <v>0</v>
      </c>
      <c r="AB108">
        <f t="shared" si="73"/>
        <v>0</v>
      </c>
      <c r="AC108">
        <f t="shared" si="73"/>
        <v>0</v>
      </c>
      <c r="AD108">
        <f t="shared" si="73"/>
        <v>0</v>
      </c>
      <c r="AE108">
        <f t="shared" si="73"/>
        <v>0</v>
      </c>
      <c r="AF108">
        <f t="shared" si="73"/>
        <v>0</v>
      </c>
      <c r="AG108">
        <f t="shared" si="73"/>
        <v>0</v>
      </c>
      <c r="AH108">
        <f t="shared" si="73"/>
        <v>0</v>
      </c>
      <c r="AI108">
        <f t="shared" si="73"/>
        <v>0</v>
      </c>
      <c r="AJ108">
        <f>D108-AR108</f>
        <v>0</v>
      </c>
      <c r="AK108">
        <f>BB56</f>
        <v>0</v>
      </c>
      <c r="AL108">
        <f t="shared" si="69"/>
        <v>0</v>
      </c>
      <c r="AM108">
        <f t="shared" si="69"/>
        <v>0</v>
      </c>
      <c r="AN108">
        <f t="shared" si="69"/>
        <v>0</v>
      </c>
      <c r="AO108">
        <f t="shared" si="69"/>
        <v>0</v>
      </c>
      <c r="AP108">
        <f t="shared" si="69"/>
        <v>0</v>
      </c>
      <c r="AQ108">
        <f t="shared" si="69"/>
        <v>0</v>
      </c>
      <c r="AR108">
        <f>E108+Q108+R108+S108+T108+U108+V108+W108+X108+Y108+Z108+AA108+AB108+AC108+AD108+AE108+AF108+AG108+AH108+AI108+AK108+AL108+AM108+AN108+AO108+AP108+AQ108</f>
        <v>0</v>
      </c>
      <c r="AS108">
        <f>D108+AJ116-AR108</f>
        <v>0</v>
      </c>
    </row>
    <row r="109" spans="1:45" ht="20.25" customHeight="1">
      <c r="A109" t="s">
        <v>105</v>
      </c>
      <c r="B109" t="s">
        <v>106</v>
      </c>
      <c r="C109" t="s">
        <v>107</v>
      </c>
      <c r="D109">
        <f t="shared" si="70"/>
        <v>0.62</v>
      </c>
      <c r="E109">
        <f t="shared" si="38"/>
        <v>0</v>
      </c>
      <c r="F109">
        <f t="shared" si="71"/>
        <v>0</v>
      </c>
      <c r="G109">
        <f t="shared" si="71"/>
        <v>0</v>
      </c>
      <c r="H109">
        <f t="shared" si="72"/>
        <v>0</v>
      </c>
      <c r="I109">
        <f t="shared" si="72"/>
        <v>0</v>
      </c>
      <c r="J109">
        <f t="shared" si="67"/>
        <v>0</v>
      </c>
      <c r="K109">
        <f t="shared" si="67"/>
        <v>0</v>
      </c>
      <c r="L109">
        <f t="shared" si="67"/>
        <v>0</v>
      </c>
      <c r="M109">
        <f t="shared" si="67"/>
        <v>0</v>
      </c>
      <c r="N109">
        <f t="shared" si="67"/>
        <v>0</v>
      </c>
      <c r="O109">
        <f t="shared" si="67"/>
        <v>0</v>
      </c>
      <c r="P109">
        <f t="shared" si="62"/>
        <v>0.62</v>
      </c>
      <c r="Q109">
        <f t="shared" si="68"/>
        <v>0</v>
      </c>
      <c r="R109">
        <f t="shared" si="68"/>
        <v>0</v>
      </c>
      <c r="S109">
        <f t="shared" si="68"/>
        <v>0</v>
      </c>
      <c r="T109">
        <f t="shared" si="68"/>
        <v>0</v>
      </c>
      <c r="U109">
        <f t="shared" si="68"/>
        <v>0</v>
      </c>
      <c r="V109">
        <f t="shared" si="68"/>
        <v>0</v>
      </c>
      <c r="W109">
        <f t="shared" si="68"/>
        <v>0</v>
      </c>
      <c r="X109">
        <f t="shared" si="68"/>
        <v>0</v>
      </c>
      <c r="Y109">
        <f t="shared" si="68"/>
        <v>0</v>
      </c>
      <c r="Z109">
        <f t="shared" si="73"/>
        <v>0</v>
      </c>
      <c r="AA109">
        <f t="shared" si="73"/>
        <v>0</v>
      </c>
      <c r="AB109">
        <f t="shared" si="73"/>
        <v>0</v>
      </c>
      <c r="AC109">
        <f t="shared" si="73"/>
        <v>0</v>
      </c>
      <c r="AD109">
        <f t="shared" si="73"/>
        <v>0</v>
      </c>
      <c r="AE109">
        <f t="shared" si="73"/>
        <v>0</v>
      </c>
      <c r="AF109">
        <f t="shared" si="73"/>
        <v>0</v>
      </c>
      <c r="AG109">
        <f t="shared" si="73"/>
        <v>0</v>
      </c>
      <c r="AH109">
        <f t="shared" si="73"/>
        <v>0</v>
      </c>
      <c r="AI109">
        <f t="shared" si="73"/>
        <v>0</v>
      </c>
      <c r="AJ109">
        <f t="shared" si="73"/>
        <v>0</v>
      </c>
      <c r="AK109">
        <f>D109-AR109</f>
        <v>0.62</v>
      </c>
      <c r="AL109">
        <f t="shared" si="69"/>
        <v>0</v>
      </c>
      <c r="AM109">
        <f t="shared" si="69"/>
        <v>0</v>
      </c>
      <c r="AN109">
        <f t="shared" si="69"/>
        <v>0</v>
      </c>
      <c r="AO109">
        <f t="shared" si="69"/>
        <v>0</v>
      </c>
      <c r="AP109">
        <f t="shared" si="69"/>
        <v>0</v>
      </c>
      <c r="AQ109">
        <f t="shared" si="69"/>
        <v>0</v>
      </c>
      <c r="AR109">
        <f>E109+Q109+R109+S109+T109+U109+V109+W109+X109+Y109+Z109+AA109+AB109+AC109+AD109+AE109+AF109+AG109+AH109+AI109+AJ109+AL109+AM109+AN109+AO109+AP109+AQ109</f>
        <v>0</v>
      </c>
      <c r="AS109">
        <f>D109+AK116-AR109</f>
        <v>0.62</v>
      </c>
    </row>
    <row r="110" spans="1:45" ht="20.25" customHeight="1">
      <c r="A110" t="s">
        <v>108</v>
      </c>
      <c r="B110" t="s">
        <v>109</v>
      </c>
      <c r="C110" t="s">
        <v>110</v>
      </c>
      <c r="D110">
        <f t="shared" si="70"/>
        <v>0.47</v>
      </c>
      <c r="E110">
        <f t="shared" si="38"/>
        <v>0</v>
      </c>
      <c r="F110">
        <f t="shared" si="71"/>
        <v>0</v>
      </c>
      <c r="G110">
        <f t="shared" si="71"/>
        <v>0</v>
      </c>
      <c r="H110">
        <f t="shared" si="72"/>
        <v>0</v>
      </c>
      <c r="I110">
        <f t="shared" si="72"/>
        <v>0</v>
      </c>
      <c r="J110">
        <f t="shared" si="67"/>
        <v>0</v>
      </c>
      <c r="K110">
        <f t="shared" si="67"/>
        <v>0</v>
      </c>
      <c r="L110">
        <f t="shared" si="67"/>
        <v>0</v>
      </c>
      <c r="M110">
        <f t="shared" si="67"/>
        <v>0</v>
      </c>
      <c r="N110">
        <f t="shared" si="67"/>
        <v>0</v>
      </c>
      <c r="O110">
        <f t="shared" si="67"/>
        <v>0</v>
      </c>
      <c r="P110">
        <f t="shared" si="62"/>
        <v>0.47</v>
      </c>
      <c r="Q110">
        <f t="shared" si="68"/>
        <v>0</v>
      </c>
      <c r="R110">
        <f t="shared" si="68"/>
        <v>0</v>
      </c>
      <c r="S110">
        <f t="shared" si="68"/>
        <v>0</v>
      </c>
      <c r="T110">
        <f t="shared" si="68"/>
        <v>0</v>
      </c>
      <c r="U110">
        <f t="shared" si="68"/>
        <v>0</v>
      </c>
      <c r="V110">
        <f t="shared" si="68"/>
        <v>0</v>
      </c>
      <c r="W110">
        <f t="shared" si="68"/>
        <v>0</v>
      </c>
      <c r="X110">
        <f t="shared" si="68"/>
        <v>0</v>
      </c>
      <c r="Y110">
        <f t="shared" si="68"/>
        <v>0</v>
      </c>
      <c r="Z110">
        <f t="shared" si="73"/>
        <v>0</v>
      </c>
      <c r="AA110">
        <f t="shared" si="73"/>
        <v>0</v>
      </c>
      <c r="AB110">
        <f t="shared" si="73"/>
        <v>0</v>
      </c>
      <c r="AC110">
        <f t="shared" si="73"/>
        <v>0</v>
      </c>
      <c r="AD110">
        <f t="shared" si="73"/>
        <v>0</v>
      </c>
      <c r="AE110">
        <f t="shared" si="73"/>
        <v>0</v>
      </c>
      <c r="AF110">
        <f t="shared" si="73"/>
        <v>0</v>
      </c>
      <c r="AG110">
        <f t="shared" si="73"/>
        <v>0</v>
      </c>
      <c r="AH110">
        <f t="shared" si="73"/>
        <v>0</v>
      </c>
      <c r="AI110">
        <f t="shared" si="73"/>
        <v>0</v>
      </c>
      <c r="AJ110">
        <f t="shared" si="73"/>
        <v>0</v>
      </c>
      <c r="AK110">
        <f t="shared" si="73"/>
        <v>0</v>
      </c>
      <c r="AL110">
        <f>D110-AR110</f>
        <v>0.47</v>
      </c>
      <c r="AM110">
        <f>BD58</f>
        <v>0</v>
      </c>
      <c r="AN110">
        <f>BE58</f>
        <v>0</v>
      </c>
      <c r="AO110">
        <f>BF58</f>
        <v>0</v>
      </c>
      <c r="AP110">
        <f>BG58</f>
        <v>0</v>
      </c>
      <c r="AQ110">
        <f>BH58</f>
        <v>0</v>
      </c>
      <c r="AR110">
        <f>E110+Q110+R110+S110+T110+U110+V110+W110+X110+Y110+Z110+AA110+AB110+AC110+AD110+AE110+AF110+AG110+AH110+AI110+AJ110+AK110+AM110+AN110+AO110+AP110+AQ110</f>
        <v>0</v>
      </c>
      <c r="AS110">
        <f>D110+AL116-AR110</f>
        <v>0.47</v>
      </c>
    </row>
    <row r="111" spans="1:45" ht="20.25" customHeight="1">
      <c r="A111" t="s">
        <v>111</v>
      </c>
      <c r="B111" t="s">
        <v>112</v>
      </c>
      <c r="C111" t="s">
        <v>113</v>
      </c>
      <c r="D111">
        <f t="shared" si="70"/>
        <v>1.23</v>
      </c>
      <c r="E111">
        <f t="shared" si="38"/>
        <v>0</v>
      </c>
      <c r="F111">
        <f t="shared" si="71"/>
        <v>0</v>
      </c>
      <c r="G111">
        <f t="shared" si="71"/>
        <v>0</v>
      </c>
      <c r="H111">
        <f t="shared" si="72"/>
        <v>0</v>
      </c>
      <c r="I111">
        <f t="shared" si="72"/>
        <v>0</v>
      </c>
      <c r="J111">
        <f t="shared" si="67"/>
        <v>0</v>
      </c>
      <c r="K111">
        <f t="shared" si="67"/>
        <v>0</v>
      </c>
      <c r="L111">
        <f t="shared" si="67"/>
        <v>0</v>
      </c>
      <c r="M111">
        <f t="shared" si="67"/>
        <v>0</v>
      </c>
      <c r="N111">
        <f t="shared" si="67"/>
        <v>0</v>
      </c>
      <c r="O111">
        <f t="shared" si="67"/>
        <v>0</v>
      </c>
      <c r="P111">
        <f t="shared" si="62"/>
        <v>1.23</v>
      </c>
      <c r="Q111">
        <f t="shared" si="68"/>
        <v>0</v>
      </c>
      <c r="R111">
        <f t="shared" si="68"/>
        <v>0</v>
      </c>
      <c r="S111">
        <f t="shared" si="68"/>
        <v>0</v>
      </c>
      <c r="T111">
        <f t="shared" si="68"/>
        <v>0</v>
      </c>
      <c r="U111">
        <f t="shared" si="68"/>
        <v>0</v>
      </c>
      <c r="V111">
        <f t="shared" si="68"/>
        <v>0</v>
      </c>
      <c r="W111">
        <f t="shared" si="68"/>
        <v>0</v>
      </c>
      <c r="X111">
        <f t="shared" si="68"/>
        <v>0</v>
      </c>
      <c r="Y111">
        <f t="shared" si="68"/>
        <v>0</v>
      </c>
      <c r="Z111">
        <f t="shared" si="73"/>
        <v>0</v>
      </c>
      <c r="AA111">
        <f t="shared" si="73"/>
        <v>0</v>
      </c>
      <c r="AB111">
        <f t="shared" si="73"/>
        <v>0</v>
      </c>
      <c r="AC111">
        <f t="shared" si="73"/>
        <v>0</v>
      </c>
      <c r="AD111">
        <f t="shared" si="73"/>
        <v>0</v>
      </c>
      <c r="AE111">
        <f t="shared" si="73"/>
        <v>0</v>
      </c>
      <c r="AF111">
        <f t="shared" si="73"/>
        <v>0</v>
      </c>
      <c r="AG111">
        <f t="shared" si="73"/>
        <v>0</v>
      </c>
      <c r="AH111">
        <f t="shared" si="73"/>
        <v>0</v>
      </c>
      <c r="AI111">
        <f t="shared" si="73"/>
        <v>0</v>
      </c>
      <c r="AJ111">
        <f t="shared" si="73"/>
        <v>0</v>
      </c>
      <c r="AK111">
        <f t="shared" si="73"/>
        <v>0</v>
      </c>
      <c r="AL111">
        <f>BC59</f>
        <v>0</v>
      </c>
      <c r="AM111">
        <f>D111-AR111</f>
        <v>1.23</v>
      </c>
      <c r="AN111">
        <f>BE59</f>
        <v>0</v>
      </c>
      <c r="AO111">
        <f>BF59</f>
        <v>0</v>
      </c>
      <c r="AP111">
        <f>BG59</f>
        <v>0</v>
      </c>
      <c r="AQ111">
        <f>BH59</f>
        <v>0</v>
      </c>
      <c r="AR111">
        <f>E111+Q111+R111+S111+T111+U111+V111+W111+X111+Y111+Z111+AA111+AB111+AC111+AD111+AE111+AF111+AG111+AH111+AI111+AJ111+AK111+AL111+AN111+AO111+AP111+AQ111</f>
        <v>0</v>
      </c>
      <c r="AS111">
        <f>D111+AM116-AR111</f>
        <v>1.23</v>
      </c>
    </row>
    <row r="112" spans="1:45" ht="20.25" customHeight="1">
      <c r="A112" t="s">
        <v>114</v>
      </c>
      <c r="B112" t="s">
        <v>115</v>
      </c>
      <c r="C112" t="s">
        <v>116</v>
      </c>
      <c r="D112">
        <f t="shared" si="70"/>
        <v>23.46</v>
      </c>
      <c r="E112">
        <f t="shared" si="38"/>
        <v>0</v>
      </c>
      <c r="F112">
        <f t="shared" si="71"/>
        <v>0</v>
      </c>
      <c r="G112">
        <f t="shared" si="71"/>
        <v>0</v>
      </c>
      <c r="H112">
        <f t="shared" si="72"/>
        <v>0</v>
      </c>
      <c r="I112">
        <f t="shared" si="72"/>
        <v>0</v>
      </c>
      <c r="J112">
        <f t="shared" si="67"/>
        <v>0</v>
      </c>
      <c r="K112">
        <f t="shared" si="67"/>
        <v>0</v>
      </c>
      <c r="L112">
        <f t="shared" si="67"/>
        <v>0</v>
      </c>
      <c r="M112">
        <f t="shared" si="67"/>
        <v>0</v>
      </c>
      <c r="N112">
        <f t="shared" si="67"/>
        <v>0</v>
      </c>
      <c r="O112">
        <f t="shared" si="67"/>
        <v>0</v>
      </c>
      <c r="P112">
        <f t="shared" si="62"/>
        <v>23.46</v>
      </c>
      <c r="Q112">
        <f t="shared" si="68"/>
        <v>0</v>
      </c>
      <c r="R112">
        <f t="shared" si="68"/>
        <v>0</v>
      </c>
      <c r="S112">
        <f t="shared" si="68"/>
        <v>0</v>
      </c>
      <c r="T112">
        <f t="shared" si="68"/>
        <v>0</v>
      </c>
      <c r="U112">
        <f t="shared" si="68"/>
        <v>0</v>
      </c>
      <c r="V112">
        <f t="shared" si="68"/>
        <v>0</v>
      </c>
      <c r="W112">
        <f t="shared" si="68"/>
        <v>0</v>
      </c>
      <c r="X112">
        <f t="shared" si="68"/>
        <v>0</v>
      </c>
      <c r="Y112">
        <f t="shared" si="68"/>
        <v>0</v>
      </c>
      <c r="Z112">
        <f t="shared" si="73"/>
        <v>0</v>
      </c>
      <c r="AA112">
        <f t="shared" si="73"/>
        <v>0</v>
      </c>
      <c r="AB112">
        <f t="shared" si="73"/>
        <v>0</v>
      </c>
      <c r="AC112">
        <f t="shared" si="73"/>
        <v>0</v>
      </c>
      <c r="AD112">
        <f t="shared" si="73"/>
        <v>0</v>
      </c>
      <c r="AE112">
        <f t="shared" si="73"/>
        <v>0</v>
      </c>
      <c r="AF112">
        <f t="shared" si="73"/>
        <v>0</v>
      </c>
      <c r="AG112">
        <f t="shared" si="73"/>
        <v>0</v>
      </c>
      <c r="AH112">
        <f t="shared" si="73"/>
        <v>0</v>
      </c>
      <c r="AI112">
        <f t="shared" si="73"/>
        <v>0</v>
      </c>
      <c r="AJ112">
        <f t="shared" si="73"/>
        <v>0</v>
      </c>
      <c r="AK112">
        <f t="shared" si="73"/>
        <v>0</v>
      </c>
      <c r="AL112">
        <f>BC60</f>
        <v>0</v>
      </c>
      <c r="AM112">
        <f>BD60</f>
        <v>0</v>
      </c>
      <c r="AN112">
        <f>D112-AR112</f>
        <v>23.46</v>
      </c>
      <c r="AO112">
        <f>BF60</f>
        <v>0</v>
      </c>
      <c r="AP112">
        <f>BG60</f>
        <v>0</v>
      </c>
      <c r="AQ112">
        <f>BH60</f>
        <v>0</v>
      </c>
      <c r="AR112">
        <f>E112+Q112+R112+S112+T112+U112+V112+W112+X112+Y112+Z112+AA112+AB112+AC112+AD112+AE112+AF112+AG112+AH112+AI112+AJ112+AK112+AL112+AM112+AO112+AP112+AQ112</f>
        <v>0</v>
      </c>
      <c r="AS112">
        <f>D112+AN116-AR112</f>
        <v>23.46</v>
      </c>
    </row>
    <row r="113" spans="1:45" ht="20.25" customHeight="1">
      <c r="A113" t="s">
        <v>117</v>
      </c>
      <c r="B113" t="s">
        <v>118</v>
      </c>
      <c r="C113" t="s">
        <v>119</v>
      </c>
      <c r="D113">
        <f t="shared" si="70"/>
        <v>0</v>
      </c>
      <c r="E113">
        <f t="shared" si="38"/>
        <v>0</v>
      </c>
      <c r="F113">
        <f t="shared" si="71"/>
        <v>0</v>
      </c>
      <c r="G113">
        <f t="shared" si="71"/>
        <v>0</v>
      </c>
      <c r="H113">
        <f t="shared" si="72"/>
        <v>0</v>
      </c>
      <c r="I113">
        <f t="shared" si="72"/>
        <v>0</v>
      </c>
      <c r="J113">
        <f t="shared" si="67"/>
        <v>0</v>
      </c>
      <c r="K113">
        <f t="shared" si="67"/>
        <v>0</v>
      </c>
      <c r="L113">
        <f t="shared" si="67"/>
        <v>0</v>
      </c>
      <c r="M113">
        <f t="shared" si="67"/>
        <v>0</v>
      </c>
      <c r="N113">
        <f t="shared" si="67"/>
        <v>0</v>
      </c>
      <c r="O113">
        <f t="shared" si="67"/>
        <v>0</v>
      </c>
      <c r="P113">
        <f t="shared" si="62"/>
        <v>0</v>
      </c>
      <c r="Q113">
        <f t="shared" si="68"/>
        <v>0</v>
      </c>
      <c r="R113">
        <f t="shared" si="68"/>
        <v>0</v>
      </c>
      <c r="S113">
        <f t="shared" si="68"/>
        <v>0</v>
      </c>
      <c r="T113">
        <f t="shared" si="68"/>
        <v>0</v>
      </c>
      <c r="U113">
        <f t="shared" si="68"/>
        <v>0</v>
      </c>
      <c r="V113">
        <f t="shared" si="68"/>
        <v>0</v>
      </c>
      <c r="W113">
        <f t="shared" si="68"/>
        <v>0</v>
      </c>
      <c r="X113">
        <f t="shared" si="68"/>
        <v>0</v>
      </c>
      <c r="Y113">
        <f t="shared" si="68"/>
        <v>0</v>
      </c>
      <c r="Z113">
        <f t="shared" si="73"/>
        <v>0</v>
      </c>
      <c r="AA113">
        <f t="shared" si="73"/>
        <v>0</v>
      </c>
      <c r="AB113">
        <f t="shared" si="73"/>
        <v>0</v>
      </c>
      <c r="AC113">
        <f t="shared" si="73"/>
        <v>0</v>
      </c>
      <c r="AD113">
        <f t="shared" si="73"/>
        <v>0</v>
      </c>
      <c r="AE113">
        <f t="shared" si="73"/>
        <v>0</v>
      </c>
      <c r="AF113">
        <f t="shared" si="73"/>
        <v>0</v>
      </c>
      <c r="AG113">
        <f t="shared" si="73"/>
        <v>0</v>
      </c>
      <c r="AH113">
        <f t="shared" si="73"/>
        <v>0</v>
      </c>
      <c r="AI113">
        <f t="shared" si="73"/>
        <v>0</v>
      </c>
      <c r="AJ113">
        <f t="shared" si="73"/>
        <v>0</v>
      </c>
      <c r="AK113">
        <f t="shared" si="73"/>
        <v>0</v>
      </c>
      <c r="AL113">
        <f>BC61</f>
        <v>0</v>
      </c>
      <c r="AM113">
        <f>BD61</f>
        <v>0</v>
      </c>
      <c r="AN113">
        <f>BE61</f>
        <v>0</v>
      </c>
      <c r="AO113">
        <f>D113-AR113</f>
        <v>0</v>
      </c>
      <c r="AP113">
        <f>BG61</f>
        <v>0</v>
      </c>
      <c r="AQ113">
        <f>BH61</f>
        <v>0</v>
      </c>
      <c r="AR113">
        <f>E113+Q113+R113+S113+T113+U113+V113+W113+X113+Y113+Z113+AA113+AB113+AC113+AD113+AE113+AF113+AG113+AH113+AI113+AJ113+AK113+AL113+AM113+AN113+AP113+AQ113</f>
        <v>0</v>
      </c>
      <c r="AS113">
        <f>D113+AO116-AR113</f>
        <v>0</v>
      </c>
    </row>
    <row r="114" spans="1:45" ht="20.25" customHeight="1">
      <c r="A114" t="s">
        <v>120</v>
      </c>
      <c r="B114" t="s">
        <v>121</v>
      </c>
      <c r="C114" t="s">
        <v>122</v>
      </c>
      <c r="D114">
        <f t="shared" si="70"/>
        <v>0</v>
      </c>
      <c r="E114">
        <f t="shared" si="38"/>
        <v>0</v>
      </c>
      <c r="F114">
        <f t="shared" si="71"/>
        <v>0</v>
      </c>
      <c r="G114">
        <f t="shared" si="71"/>
        <v>0</v>
      </c>
      <c r="H114">
        <f t="shared" si="72"/>
        <v>0</v>
      </c>
      <c r="I114">
        <f t="shared" si="72"/>
        <v>0</v>
      </c>
      <c r="J114">
        <f t="shared" ref="J114:O115" si="74">P62</f>
        <v>0</v>
      </c>
      <c r="K114">
        <f t="shared" si="74"/>
        <v>0</v>
      </c>
      <c r="L114">
        <f t="shared" si="74"/>
        <v>0</v>
      </c>
      <c r="M114">
        <f t="shared" si="74"/>
        <v>0</v>
      </c>
      <c r="N114">
        <f t="shared" si="74"/>
        <v>0</v>
      </c>
      <c r="O114">
        <f t="shared" si="74"/>
        <v>0</v>
      </c>
      <c r="P114">
        <f t="shared" si="62"/>
        <v>0</v>
      </c>
      <c r="Q114">
        <f t="shared" ref="Q114:Y115" si="75">W62</f>
        <v>0</v>
      </c>
      <c r="R114">
        <f t="shared" si="75"/>
        <v>0</v>
      </c>
      <c r="S114">
        <f t="shared" si="75"/>
        <v>0</v>
      </c>
      <c r="T114">
        <f t="shared" si="75"/>
        <v>0</v>
      </c>
      <c r="U114">
        <f t="shared" si="75"/>
        <v>0</v>
      </c>
      <c r="V114">
        <f t="shared" si="75"/>
        <v>0</v>
      </c>
      <c r="W114">
        <f t="shared" si="75"/>
        <v>0</v>
      </c>
      <c r="X114">
        <f t="shared" si="75"/>
        <v>0</v>
      </c>
      <c r="Y114">
        <f t="shared" si="75"/>
        <v>0</v>
      </c>
      <c r="Z114">
        <f t="shared" si="73"/>
        <v>0</v>
      </c>
      <c r="AA114">
        <f t="shared" si="73"/>
        <v>0</v>
      </c>
      <c r="AB114">
        <f t="shared" si="73"/>
        <v>0</v>
      </c>
      <c r="AC114">
        <f t="shared" si="73"/>
        <v>0</v>
      </c>
      <c r="AD114">
        <f t="shared" si="73"/>
        <v>0</v>
      </c>
      <c r="AE114">
        <f t="shared" si="73"/>
        <v>0</v>
      </c>
      <c r="AF114">
        <f t="shared" si="73"/>
        <v>0</v>
      </c>
      <c r="AG114">
        <f t="shared" si="73"/>
        <v>0</v>
      </c>
      <c r="AH114">
        <f t="shared" si="73"/>
        <v>0</v>
      </c>
      <c r="AI114">
        <f t="shared" si="73"/>
        <v>0</v>
      </c>
      <c r="AJ114">
        <f t="shared" si="73"/>
        <v>0</v>
      </c>
      <c r="AK114">
        <f t="shared" si="73"/>
        <v>0</v>
      </c>
      <c r="AL114">
        <f>BC62</f>
        <v>0</v>
      </c>
      <c r="AM114">
        <f>BD62</f>
        <v>0</v>
      </c>
      <c r="AN114">
        <f>BE62</f>
        <v>0</v>
      </c>
      <c r="AO114">
        <f>BF62</f>
        <v>0</v>
      </c>
      <c r="AP114">
        <f>D114-AR114</f>
        <v>0</v>
      </c>
      <c r="AQ114">
        <f>BH62</f>
        <v>0</v>
      </c>
      <c r="AR114">
        <f>E114+Q114+R114+S114+T114+U114+V114+W114+X114+Y114+Z114+AA114+AB114+AC114+AD114+AE114+AF114+AG114+AH114+AI114+AJ114+AK114+AL114+AM114+AN114+AO114+AQ114</f>
        <v>0</v>
      </c>
      <c r="AS114">
        <f>D114+AP116-AR114</f>
        <v>0</v>
      </c>
    </row>
    <row r="115" spans="1:45" ht="20.25" customHeight="1">
      <c r="A115">
        <v>3</v>
      </c>
      <c r="B115" t="s">
        <v>123</v>
      </c>
      <c r="C115" t="s">
        <v>124</v>
      </c>
      <c r="D115">
        <f>D63</f>
        <v>2.75</v>
      </c>
      <c r="E115">
        <f>F115+H115+I115+J115+K115+L115+M115+N115+O115</f>
        <v>0</v>
      </c>
      <c r="F115">
        <f t="shared" si="71"/>
        <v>0</v>
      </c>
      <c r="G115">
        <f t="shared" si="71"/>
        <v>0</v>
      </c>
      <c r="H115">
        <f t="shared" si="72"/>
        <v>0</v>
      </c>
      <c r="I115">
        <f t="shared" si="72"/>
        <v>0</v>
      </c>
      <c r="J115">
        <f t="shared" si="74"/>
        <v>0</v>
      </c>
      <c r="K115">
        <f t="shared" si="74"/>
        <v>0</v>
      </c>
      <c r="L115">
        <f t="shared" si="74"/>
        <v>0</v>
      </c>
      <c r="M115">
        <f t="shared" si="74"/>
        <v>0</v>
      </c>
      <c r="N115">
        <f t="shared" si="74"/>
        <v>0</v>
      </c>
      <c r="O115">
        <f t="shared" si="74"/>
        <v>0</v>
      </c>
      <c r="P115">
        <f>SUM(Q115:AP115)</f>
        <v>0</v>
      </c>
      <c r="Q115">
        <f t="shared" si="75"/>
        <v>0</v>
      </c>
      <c r="R115">
        <f t="shared" si="75"/>
        <v>0</v>
      </c>
      <c r="S115">
        <f t="shared" si="75"/>
        <v>0</v>
      </c>
      <c r="T115">
        <f t="shared" si="75"/>
        <v>0</v>
      </c>
      <c r="U115">
        <f t="shared" si="75"/>
        <v>0</v>
      </c>
      <c r="V115">
        <f t="shared" si="75"/>
        <v>0</v>
      </c>
      <c r="W115">
        <f t="shared" si="75"/>
        <v>0</v>
      </c>
      <c r="X115">
        <f t="shared" si="75"/>
        <v>0</v>
      </c>
      <c r="Y115">
        <f t="shared" si="75"/>
        <v>0</v>
      </c>
      <c r="Z115">
        <f t="shared" si="73"/>
        <v>0</v>
      </c>
      <c r="AA115">
        <f t="shared" si="73"/>
        <v>0</v>
      </c>
      <c r="AB115">
        <f t="shared" si="73"/>
        <v>0</v>
      </c>
      <c r="AC115">
        <f t="shared" si="73"/>
        <v>0</v>
      </c>
      <c r="AD115">
        <f t="shared" si="73"/>
        <v>0</v>
      </c>
      <c r="AE115">
        <f t="shared" si="73"/>
        <v>0</v>
      </c>
      <c r="AF115">
        <f t="shared" si="73"/>
        <v>0</v>
      </c>
      <c r="AG115">
        <f t="shared" si="73"/>
        <v>0</v>
      </c>
      <c r="AH115">
        <f t="shared" si="73"/>
        <v>0</v>
      </c>
      <c r="AI115">
        <f t="shared" si="73"/>
        <v>0</v>
      </c>
      <c r="AJ115">
        <f t="shared" si="73"/>
        <v>0</v>
      </c>
      <c r="AK115">
        <f t="shared" si="73"/>
        <v>0</v>
      </c>
      <c r="AL115">
        <f>BC63</f>
        <v>0</v>
      </c>
      <c r="AM115">
        <f>BD63</f>
        <v>0</v>
      </c>
      <c r="AN115">
        <f>BE63</f>
        <v>0</v>
      </c>
      <c r="AO115">
        <f>BF63</f>
        <v>0</v>
      </c>
      <c r="AP115">
        <f>BG63</f>
        <v>0</v>
      </c>
      <c r="AQ115">
        <f>AR115</f>
        <v>0</v>
      </c>
      <c r="AR115">
        <f>E115+Q115+R115+S115+T115+U115+V115+W115+X115+Y115+Z115+AA115+AB115+AC115+AD115+AE115+AF115+AG115+AH115+AI115+AJ115+AL115+AM115+AN115+AO115+AP115</f>
        <v>0</v>
      </c>
      <c r="AS115">
        <f>D115+AQ116-AR115</f>
        <v>2.75</v>
      </c>
    </row>
    <row r="116" spans="1:45" ht="20.25" customHeight="1">
      <c r="B116" t="s">
        <v>190</v>
      </c>
      <c r="E116">
        <f>E88+E115</f>
        <v>0</v>
      </c>
      <c r="F116">
        <f>F80+F81+F82+F83+F84+F85+F86+F87+F88+F115</f>
        <v>0</v>
      </c>
      <c r="G116">
        <f>G78+G80+G81+G82+G83+G84+G85+G86+G87+G88+G115</f>
        <v>0</v>
      </c>
      <c r="H116">
        <f>H78+H81+H82+H83+H84+H85+H86+H87+H88+H115</f>
        <v>0</v>
      </c>
      <c r="I116">
        <f>I78+I80+I82+I83+I84+I85+I86+I87+I88+I115</f>
        <v>0</v>
      </c>
      <c r="J116">
        <f>J78+J80+J81+J83+J84+J85+J86+J87+J88+J115</f>
        <v>0</v>
      </c>
      <c r="K116">
        <f>K78+K80+K81+K82+K84+K85+K86+K87+K88+K115</f>
        <v>0</v>
      </c>
      <c r="L116">
        <f>L78+L80+L81+L82+L83+L85+L86+L87+L88+L115</f>
        <v>0</v>
      </c>
      <c r="M116">
        <f>M78+M80+M81+M82+M83+M84+M86+M87+M88+M115</f>
        <v>0</v>
      </c>
      <c r="N116">
        <f>N78+N80+N81+N82+N83+N84+N85+N87+N88+N115</f>
        <v>0</v>
      </c>
      <c r="O116">
        <f>O78+O80+O81+O82+O83+O84+O85+O86+O88+O115</f>
        <v>0</v>
      </c>
      <c r="P116">
        <f>P77+P115</f>
        <v>0.3</v>
      </c>
      <c r="Q116">
        <f>Q77+Q90+Q91+Q92+Q93+Q94+Q95+Q96+Q97+Q98+Q99+Q100+Q101+Q102+Q103+Q104+Q105+Q106+Q107+Q108+Q109+Q110+Q111+Q112+Q113+Q114+Q115</f>
        <v>0</v>
      </c>
      <c r="R116">
        <f>R77+R89+R91+R92+R93+R94+R95+R96+R97+R98+R99+R100+R101+R102+R103+R104+R105+R106+R107+R108+R109+R110+R111+R112+R113+R114+R115</f>
        <v>0</v>
      </c>
      <c r="S116">
        <f>S77+S89+S90+S92+S93+S94+S95+S96+S97+S98+S99+S100+S101+S102+S103+S104+S105+S106+S107+S108+S109+S110+S111+S112+S113+S114+S115</f>
        <v>0</v>
      </c>
      <c r="T116">
        <f>T77+T89+T90+T91+T93+T94+T95+T96+T97+T98+T99+T100+T101+T102+T103+T104+T105+T106+T107+T108+T109+T110+T111+T112+T113+T114+T115</f>
        <v>0</v>
      </c>
      <c r="U116">
        <f>U77+U89+U90+U91+U92+U94+U95+U96+U97+U98+U99+U100+U101+U102+U103+U104+U105+U106+U107+U108+U109+U110+U111+U112+U113+U114+U115</f>
        <v>0</v>
      </c>
      <c r="V116">
        <f>V77+V89+V90+V91+V92+V93+V95+V96+V97+V98+V99+V100+V101+V102+V103+V104+V105+V106+V107+V108+V109+V110+V111+V112+V113+V114+V115</f>
        <v>0</v>
      </c>
      <c r="W116">
        <f>W77+W89+W90+W91+W92+W93+W94+W96+W97+W98+W99+W100+W101+W102+W103+W104+W105+W106+W107+W108+W109+W110+W111+W112+W113+W114+W115</f>
        <v>0</v>
      </c>
      <c r="X116">
        <f>X77+X89+X90+X91+X92+X93+X94+X95+X97+X98+X99+X100+X101+X102+X103+X104+X105+X106+X107+X108+X109+X110+X111+X112+X113+X114+X115</f>
        <v>0</v>
      </c>
      <c r="Y116">
        <f>Y77+Y89+Y90+Y91+Y92+Y93+Y94+Y95+Y96+Y98+Y99+Y100+Y101+Y102+Y103+Y104+Y105+Y106+Y107+Y108+Y109+Y110+Y111+Y112+Y113+Y114+Y115</f>
        <v>0</v>
      </c>
      <c r="Z116">
        <f>Z77+Z89+Z90+Z91+Z92+Z93+Z94+Z95+Z96+Z97+Z99+Z100+Z101+Z102+Z103+Z104+Z105+Z106+Z107+Z108+Z109+Z110+Z111+Z112+Z113+Z114+Z115</f>
        <v>0</v>
      </c>
      <c r="AA116">
        <f>AA77+AA89+AA90+AA91+AA92+AA93+AA94+AA95+AA96+AA97+AA98+AA100+AA101+AA102+AA103+AA104+AA105+AA106+AA107+AA108+AA109+AA110+AA111+AA112+AA113+AA114+AA115</f>
        <v>0</v>
      </c>
      <c r="AB116">
        <f>AB77+AB89+AB90+AB91+AB92+AB93+AB94+AB95+AB96+AB97+AB98+AB99+AB101+AB102+AB103+AB104+AB105+AB106+AB107+AB108+AB109+AB110+AB111+AB112+AB113+AB114+AB115</f>
        <v>0</v>
      </c>
      <c r="AC116">
        <f>AC77+AC89+AC90+AC91+AC92+AC93+AC94+AC95+AC96+AC97+AC98+AC99+AC100+AC102+AC103+AC104+AC105+AC106+AC107+AC108+AC109+AC110+AC111+AC112+AC113+AC114+AC115</f>
        <v>0</v>
      </c>
      <c r="AD116">
        <f>AD77+AD89+AD90+AD91+AD92+AD93+AD94+AD95+AD96+AD97+AD98+AD99+AD100+AD101+AD103+AD104+AD105+AD106+AD107+AD108+AD109+AD110+AD111+AD112+AD113+AD114+AD115</f>
        <v>0.3</v>
      </c>
      <c r="AE116">
        <f>AE77+AE89+AE90+AE91+AE92+AE93+AE94+AE95+AE96+AE97+AE98+AE99+AE100+AE101+AE102+AE104+AE105+AE106+AE107+AE108+AE109+AE110+AE111+AE112+AE113+AE114+AE115</f>
        <v>0</v>
      </c>
      <c r="AF116">
        <f>AF77+AF89+AF90+AF91+AF92+AF93+AF94+AF95+AF96+AF97+AF98+AF99+AF100+AF101+AF102+AF103+AF105+AF106+AF107+AF108+AF109+AF110+AF111+AF112+AF113+AF114+AF115</f>
        <v>0</v>
      </c>
      <c r="AG116">
        <f>AG77+AG89+AG90+AG91+AG92+AG93+AG94+AG95+AG96+AG97+AG98+AG99+AG100+AG101+AG102+AG103+AG104+AG106+AG107+AG108+AG109+AG110+AG111+AG112+AG113+AG114+AG115</f>
        <v>0</v>
      </c>
      <c r="AH116">
        <f>AH77+AH89+AH90+AH91+AH92+AH93+AH94+AH95+AH96+AH97+AH98+AH99+AH100+AH101+AH102+AH103+AH104+AH105+AH107+AH108+AH109+AH110+AH111+AH112+AH113+AH114+AH115</f>
        <v>0</v>
      </c>
      <c r="AI116">
        <f>AI77+AI89+AI90+AI91+AI92+AI93+AI94+AI95+AI96+AI97+AI98+AI99+AI100+AI101+AI102+AI103+AI104+AI105+AI106+AI108+AI109+AI110+AI111+AI112+AI113+AI114+AI115</f>
        <v>0</v>
      </c>
      <c r="AJ116">
        <f>AJ77+AJ89+AJ90+AJ91+AJ92+AJ93+AJ94+AJ95+AJ96+AJ97+AJ98+AJ99+AJ100+AJ101+AJ102+AJ103+AJ104+AJ105+AJ106+AJ107+AJ109+AJ110+AJ111+AJ112+AJ113+AJ114+AJ115</f>
        <v>0</v>
      </c>
      <c r="AK116">
        <f>AK77+AK89+AK90+AK91+AK92+AK93+AK94+AK95+AK96+AK97+AK98+AK99+AK100+AK101+AK102+AK103+AK104+AK105+AK106+AK107+AK108+AK110+AK111+AK112+AK113+AK114+AK115</f>
        <v>0</v>
      </c>
      <c r="AL116">
        <f>AL77+AL89+AL90+AL91+AL92+AL93+AL94+AL95+AL96+AL97+AL98+AL99+AL100+AL101+AL102+AL103+AL104+AL105+AL106+AL107+AL108+AL109+AL111+AL112+AL113+AL114+AL115</f>
        <v>0</v>
      </c>
      <c r="AM116">
        <f>AM77+AM89+AM90+AM91+AM92+AM93+AM94+AM95+AM96+AM97+AM98+AM99+AM100+AM101+AM102+AM103+AM104+AM105+AM106+AM107+AM108+AM109+AM110+AM112+AM113+AM114+AM115</f>
        <v>0</v>
      </c>
      <c r="AN116">
        <f>AN77+AN89+AN90+AN91+AN92+AN93+AN94+AN95+AN96+AN97+AN98+AN99+AN100+AN101+AN102+AN103+AN104+AN105+AN106+AN107+AN108+AN109+AN110+AN111+AN113+AN114+AN115</f>
        <v>0</v>
      </c>
      <c r="AO116">
        <f>AO77+AO89+AO90+AO91+AO92+AO93+AO94+AO95+AO96+AO97+AO98+AO99+AO100+AO101+AO102+AO103+AO104+AO105+AO106+AO107+AO108+AO109+AO110+AO111+AO112+AO114+AO115</f>
        <v>0</v>
      </c>
      <c r="AP116">
        <f>AP77+AP89+AP90+AP91+AP92+AP93+AP94+AP95+AP96+AP97+AP98+AP99+AP100+AP101+AP102+AP103+AP104+AP105+AP106+AP107+AP108+AP109+AP110+AP111+AP112+AP113+AP115</f>
        <v>0</v>
      </c>
      <c r="AQ116">
        <f>AQ77+AQ88</f>
        <v>0</v>
      </c>
    </row>
    <row r="117" spans="1:45" ht="25.5" customHeight="1">
      <c r="B117" t="s">
        <v>325</v>
      </c>
      <c r="D117">
        <f>AS76</f>
        <v>158.60500000000002</v>
      </c>
      <c r="E117">
        <f>AS77</f>
        <v>3.9</v>
      </c>
      <c r="F117">
        <f>AS78</f>
        <v>0</v>
      </c>
      <c r="G117">
        <f>AS79</f>
        <v>0</v>
      </c>
      <c r="H117">
        <f>AS80</f>
        <v>0</v>
      </c>
      <c r="I117">
        <f>AS81</f>
        <v>3.58</v>
      </c>
      <c r="J117">
        <f>AS82</f>
        <v>0</v>
      </c>
      <c r="K117">
        <f>AS83</f>
        <v>0</v>
      </c>
      <c r="L117">
        <f>AS84</f>
        <v>0</v>
      </c>
      <c r="M117">
        <f>AS85</f>
        <v>0.32</v>
      </c>
      <c r="N117">
        <f>AS86</f>
        <v>0</v>
      </c>
      <c r="O117">
        <f>AS87</f>
        <v>0</v>
      </c>
      <c r="P117">
        <f>AS88</f>
        <v>151.95500000000001</v>
      </c>
      <c r="Q117">
        <f>AS89</f>
        <v>1.85</v>
      </c>
      <c r="R117">
        <f>AS90</f>
        <v>0.22</v>
      </c>
      <c r="S117">
        <f>AS91</f>
        <v>0</v>
      </c>
      <c r="T117">
        <f>AS92</f>
        <v>0</v>
      </c>
      <c r="U117">
        <f>AS93</f>
        <v>0</v>
      </c>
      <c r="V117">
        <f>AS94</f>
        <v>9.0378000000000007</v>
      </c>
      <c r="W117">
        <f>AS95</f>
        <v>16.350000000000001</v>
      </c>
      <c r="X117">
        <f>AS96</f>
        <v>0</v>
      </c>
      <c r="Y117">
        <f>AS97</f>
        <v>60.747900000000001</v>
      </c>
      <c r="Z117">
        <f>AS98</f>
        <v>0</v>
      </c>
      <c r="AA117">
        <f>AS99</f>
        <v>0</v>
      </c>
      <c r="AB117">
        <f>AS100</f>
        <v>0</v>
      </c>
      <c r="AC117">
        <f>AS101</f>
        <v>0</v>
      </c>
      <c r="AD117">
        <f>AS102</f>
        <v>36.759299999999996</v>
      </c>
      <c r="AE117">
        <f>AS103</f>
        <v>0.81</v>
      </c>
      <c r="AF117">
        <f>AS104</f>
        <v>0</v>
      </c>
      <c r="AG117">
        <f>AS105</f>
        <v>0</v>
      </c>
      <c r="AH117">
        <f>AS106</f>
        <v>0.4</v>
      </c>
      <c r="AI117">
        <f>AS107</f>
        <v>0</v>
      </c>
      <c r="AJ117">
        <f>AS108</f>
        <v>0</v>
      </c>
      <c r="AK117">
        <f>AS109</f>
        <v>0.62</v>
      </c>
      <c r="AL117">
        <f>AS110</f>
        <v>0.47</v>
      </c>
      <c r="AM117">
        <f>AS111</f>
        <v>1.23</v>
      </c>
      <c r="AN117">
        <f>AS112</f>
        <v>23.46</v>
      </c>
      <c r="AO117">
        <f>AS113</f>
        <v>0</v>
      </c>
      <c r="AP117">
        <f>AS114</f>
        <v>0</v>
      </c>
      <c r="AQ117">
        <f>AS115</f>
        <v>2.75</v>
      </c>
    </row>
  </sheetData>
  <mergeCells count="21">
    <mergeCell ref="A1:B1"/>
    <mergeCell ref="A2:BN2"/>
    <mergeCell ref="A4:A5"/>
    <mergeCell ref="B4:B5"/>
    <mergeCell ref="C4:C5"/>
    <mergeCell ref="A74:A75"/>
    <mergeCell ref="BN4:BN5"/>
    <mergeCell ref="A70:B70"/>
    <mergeCell ref="BM4:BM5"/>
    <mergeCell ref="A72:AS72"/>
    <mergeCell ref="AS74:AS75"/>
    <mergeCell ref="D4:D5"/>
    <mergeCell ref="C74:C75"/>
    <mergeCell ref="A71:AS71"/>
    <mergeCell ref="E74:AQ74"/>
    <mergeCell ref="D74:D75"/>
    <mergeCell ref="E4:BK4"/>
    <mergeCell ref="AR73:AS73"/>
    <mergeCell ref="BL4:BL5"/>
    <mergeCell ref="B74:B75"/>
    <mergeCell ref="AR74:AR75"/>
  </mergeCells>
  <phoneticPr fontId="4" type="noConversion"/>
  <pageMargins left="0.75" right="0.75" top="1" bottom="1" header="0.5" footer="0.5"/>
  <pageSetup paperSize="9" scale="45"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64"/>
  <sheetViews>
    <sheetView tabSelected="1" topLeftCell="A63" zoomScale="75" zoomScaleNormal="75" workbookViewId="0">
      <selection activeCell="K65" sqref="K65"/>
    </sheetView>
  </sheetViews>
  <sheetFormatPr defaultColWidth="9.140625" defaultRowHeight="16.5"/>
  <cols>
    <col min="1" max="1" width="6.7109375" style="1248" customWidth="1"/>
    <col min="2" max="2" width="49.7109375" style="985" customWidth="1"/>
    <col min="3" max="3" width="8.42578125" style="1249" customWidth="1"/>
    <col min="4" max="4" width="8.42578125" style="1250" customWidth="1"/>
    <col min="5" max="5" width="8.5703125" style="1248" customWidth="1"/>
    <col min="6" max="6" width="8.140625" style="985" customWidth="1"/>
    <col min="7" max="7" width="16.7109375" style="1248" customWidth="1"/>
    <col min="8" max="8" width="18.28515625" style="1251" customWidth="1"/>
    <col min="9" max="9" width="67.5703125" style="1139" customWidth="1"/>
    <col min="10" max="10" width="17.42578125" style="983" customWidth="1"/>
    <col min="11" max="11" width="27.42578125" style="986" customWidth="1"/>
    <col min="12" max="12" width="21.7109375" style="985" customWidth="1"/>
    <col min="13" max="16384" width="9.140625" style="985"/>
  </cols>
  <sheetData>
    <row r="1" spans="1:11" ht="19.5" customHeight="1">
      <c r="A1" s="974" t="s">
        <v>1081</v>
      </c>
      <c r="B1" s="974"/>
      <c r="C1" s="975"/>
      <c r="D1" s="976"/>
      <c r="E1" s="977"/>
      <c r="F1" s="978"/>
      <c r="G1" s="977"/>
      <c r="H1" s="980"/>
      <c r="I1" s="982"/>
      <c r="K1" s="984"/>
    </row>
    <row r="2" spans="1:11" ht="24" customHeight="1">
      <c r="A2" s="1253" t="s">
        <v>1011</v>
      </c>
      <c r="B2" s="1253"/>
      <c r="C2" s="1253"/>
      <c r="D2" s="1253"/>
      <c r="E2" s="1253"/>
      <c r="F2" s="1253"/>
      <c r="G2" s="1253"/>
      <c r="H2" s="1253"/>
      <c r="I2" s="1253"/>
      <c r="J2" s="1253"/>
    </row>
    <row r="3" spans="1:11" ht="21.75" customHeight="1">
      <c r="A3" s="1253" t="s">
        <v>761</v>
      </c>
      <c r="B3" s="1253"/>
      <c r="C3" s="1253"/>
      <c r="D3" s="1253"/>
      <c r="E3" s="1253"/>
      <c r="F3" s="1253"/>
      <c r="G3" s="1253"/>
      <c r="H3" s="1253"/>
      <c r="I3" s="1253"/>
      <c r="J3" s="1253"/>
    </row>
    <row r="4" spans="1:11" ht="22.5" customHeight="1">
      <c r="A4" s="987"/>
      <c r="B4" s="981"/>
      <c r="C4" s="988"/>
      <c r="D4" s="979"/>
      <c r="E4" s="989"/>
      <c r="F4" s="990"/>
      <c r="G4" s="989"/>
      <c r="H4" s="980"/>
      <c r="I4" s="982"/>
      <c r="K4" s="984"/>
    </row>
    <row r="5" spans="1:11" ht="30.75" customHeight="1">
      <c r="A5" s="1254" t="s">
        <v>0</v>
      </c>
      <c r="B5" s="1257" t="s">
        <v>678</v>
      </c>
      <c r="C5" s="1254" t="s">
        <v>1082</v>
      </c>
      <c r="D5" s="1260" t="s">
        <v>679</v>
      </c>
      <c r="E5" s="1260" t="s">
        <v>680</v>
      </c>
      <c r="F5" s="1263" t="s">
        <v>681</v>
      </c>
      <c r="G5" s="1263" t="s">
        <v>682</v>
      </c>
      <c r="H5" s="1266" t="s">
        <v>683</v>
      </c>
      <c r="I5" s="1269" t="s">
        <v>684</v>
      </c>
      <c r="J5" s="1272" t="s">
        <v>1083</v>
      </c>
      <c r="K5" s="991"/>
    </row>
    <row r="6" spans="1:11" ht="26.25" customHeight="1">
      <c r="A6" s="1255"/>
      <c r="B6" s="1258"/>
      <c r="C6" s="1255"/>
      <c r="D6" s="1261"/>
      <c r="E6" s="1261"/>
      <c r="F6" s="1264"/>
      <c r="G6" s="1264"/>
      <c r="H6" s="1267"/>
      <c r="I6" s="1270"/>
      <c r="J6" s="1273"/>
      <c r="K6" s="991"/>
    </row>
    <row r="7" spans="1:11" ht="30.75" customHeight="1">
      <c r="A7" s="1256"/>
      <c r="B7" s="1259"/>
      <c r="C7" s="1256"/>
      <c r="D7" s="1262"/>
      <c r="E7" s="1262"/>
      <c r="F7" s="1265"/>
      <c r="G7" s="1265"/>
      <c r="H7" s="1268"/>
      <c r="I7" s="1271"/>
      <c r="J7" s="1274"/>
      <c r="K7" s="991"/>
    </row>
    <row r="8" spans="1:11" ht="43.5" customHeight="1">
      <c r="A8" s="993" t="s">
        <v>327</v>
      </c>
      <c r="B8" s="994" t="s">
        <v>1084</v>
      </c>
      <c r="C8" s="993"/>
      <c r="D8" s="995"/>
      <c r="E8" s="995"/>
      <c r="F8" s="996"/>
      <c r="G8" s="996"/>
      <c r="H8" s="997"/>
      <c r="I8" s="999"/>
      <c r="J8" s="1000"/>
      <c r="K8" s="1001"/>
    </row>
    <row r="9" spans="1:11" s="1010" customFormat="1" ht="24.75" customHeight="1">
      <c r="A9" s="1002" t="s">
        <v>16</v>
      </c>
      <c r="B9" s="1003" t="s">
        <v>783</v>
      </c>
      <c r="C9" s="1004"/>
      <c r="D9" s="1005"/>
      <c r="E9" s="1005"/>
      <c r="F9" s="1005"/>
      <c r="G9" s="1005"/>
      <c r="H9" s="1006"/>
      <c r="I9" s="1007"/>
      <c r="J9" s="1008"/>
      <c r="K9" s="1009"/>
    </row>
    <row r="10" spans="1:11" ht="206.25" customHeight="1">
      <c r="A10" s="1011">
        <v>1</v>
      </c>
      <c r="B10" s="489" t="s">
        <v>778</v>
      </c>
      <c r="C10" s="1012" t="s">
        <v>49</v>
      </c>
      <c r="D10" s="486">
        <v>4.8479999999999999</v>
      </c>
      <c r="E10" s="486"/>
      <c r="F10" s="486">
        <v>4.8479999999999999</v>
      </c>
      <c r="G10" s="486" t="s">
        <v>35</v>
      </c>
      <c r="H10" s="486" t="s">
        <v>1085</v>
      </c>
      <c r="I10" s="489" t="s">
        <v>1086</v>
      </c>
      <c r="J10" s="1013" t="s">
        <v>887</v>
      </c>
      <c r="K10" s="984" t="s">
        <v>1085</v>
      </c>
    </row>
    <row r="11" spans="1:11" ht="257.25" customHeight="1">
      <c r="A11" s="498">
        <v>2</v>
      </c>
      <c r="B11" s="1014" t="s">
        <v>779</v>
      </c>
      <c r="C11" s="1015" t="s">
        <v>49</v>
      </c>
      <c r="D11" s="492">
        <v>6.1728800000000001</v>
      </c>
      <c r="E11" s="492">
        <v>1.37279</v>
      </c>
      <c r="F11" s="492">
        <v>4.80009</v>
      </c>
      <c r="G11" s="492" t="s">
        <v>1087</v>
      </c>
      <c r="H11" s="492" t="s">
        <v>758</v>
      </c>
      <c r="I11" s="506" t="s">
        <v>780</v>
      </c>
      <c r="J11" s="499" t="s">
        <v>887</v>
      </c>
      <c r="K11" s="984" t="s">
        <v>758</v>
      </c>
    </row>
    <row r="12" spans="1:11" s="1019" customFormat="1" ht="66">
      <c r="A12" s="498">
        <v>3</v>
      </c>
      <c r="B12" s="1016" t="s">
        <v>861</v>
      </c>
      <c r="C12" s="1015" t="s">
        <v>49</v>
      </c>
      <c r="D12" s="492">
        <v>2.2028070000000004</v>
      </c>
      <c r="E12" s="492">
        <v>5.254E-3</v>
      </c>
      <c r="F12" s="492">
        <v>2.1975530000000005</v>
      </c>
      <c r="G12" s="492" t="s">
        <v>1088</v>
      </c>
      <c r="H12" s="1017" t="s">
        <v>759</v>
      </c>
      <c r="I12" s="506" t="s">
        <v>862</v>
      </c>
      <c r="J12" s="499" t="s">
        <v>887</v>
      </c>
      <c r="K12" s="1018" t="s">
        <v>759</v>
      </c>
    </row>
    <row r="13" spans="1:11" s="1025" customFormat="1">
      <c r="A13" s="1020" t="s">
        <v>21</v>
      </c>
      <c r="B13" s="1021" t="s">
        <v>784</v>
      </c>
      <c r="C13" s="1022"/>
      <c r="D13" s="1023"/>
      <c r="E13" s="1023"/>
      <c r="F13" s="1023">
        <v>0</v>
      </c>
      <c r="G13" s="1023"/>
      <c r="H13" s="1023"/>
      <c r="I13" s="1021"/>
      <c r="J13" s="1000"/>
      <c r="K13" s="1024"/>
    </row>
    <row r="14" spans="1:11" ht="141" customHeight="1">
      <c r="A14" s="491">
        <v>4</v>
      </c>
      <c r="B14" s="503" t="s">
        <v>781</v>
      </c>
      <c r="C14" s="1026" t="s">
        <v>52</v>
      </c>
      <c r="D14" s="487">
        <v>0.09</v>
      </c>
      <c r="E14" s="487">
        <v>0.09</v>
      </c>
      <c r="F14" s="487">
        <v>0</v>
      </c>
      <c r="G14" s="1027"/>
      <c r="H14" s="487" t="s">
        <v>754</v>
      </c>
      <c r="I14" s="503" t="s">
        <v>782</v>
      </c>
      <c r="J14" s="992" t="s">
        <v>887</v>
      </c>
      <c r="K14" s="984" t="s">
        <v>754</v>
      </c>
    </row>
    <row r="15" spans="1:11" s="1031" customFormat="1">
      <c r="A15" s="1020" t="s">
        <v>24</v>
      </c>
      <c r="B15" s="1028" t="s">
        <v>785</v>
      </c>
      <c r="C15" s="1029"/>
      <c r="D15" s="1023"/>
      <c r="E15" s="1023"/>
      <c r="F15" s="1023"/>
      <c r="G15" s="1023"/>
      <c r="H15" s="1023"/>
      <c r="I15" s="1021"/>
      <c r="J15" s="1000"/>
      <c r="K15" s="1030"/>
    </row>
    <row r="16" spans="1:11" ht="123.75" customHeight="1">
      <c r="A16" s="491">
        <v>5</v>
      </c>
      <c r="B16" s="1032" t="s">
        <v>1089</v>
      </c>
      <c r="C16" s="1033" t="s">
        <v>55</v>
      </c>
      <c r="D16" s="487">
        <v>38.224585999999995</v>
      </c>
      <c r="E16" s="1034"/>
      <c r="F16" s="487">
        <v>38.224585999999995</v>
      </c>
      <c r="G16" s="1035" t="s">
        <v>1090</v>
      </c>
      <c r="H16" s="487" t="s">
        <v>753</v>
      </c>
      <c r="I16" s="503" t="s">
        <v>1091</v>
      </c>
      <c r="J16" s="992" t="s">
        <v>887</v>
      </c>
      <c r="K16" s="984" t="s">
        <v>753</v>
      </c>
    </row>
    <row r="17" spans="1:11" s="1031" customFormat="1">
      <c r="A17" s="1020" t="s">
        <v>27</v>
      </c>
      <c r="B17" s="1021" t="s">
        <v>786</v>
      </c>
      <c r="C17" s="1036"/>
      <c r="D17" s="1023"/>
      <c r="E17" s="1023">
        <v>0</v>
      </c>
      <c r="F17" s="1023"/>
      <c r="G17" s="1037"/>
      <c r="H17" s="1023"/>
      <c r="I17" s="1021"/>
      <c r="J17" s="1000"/>
      <c r="K17" s="1038"/>
    </row>
    <row r="18" spans="1:11" ht="99">
      <c r="A18" s="491">
        <v>6</v>
      </c>
      <c r="B18" s="1032" t="s">
        <v>1092</v>
      </c>
      <c r="C18" s="1033" t="s">
        <v>61</v>
      </c>
      <c r="D18" s="487">
        <v>199.790987</v>
      </c>
      <c r="E18" s="1034"/>
      <c r="F18" s="487">
        <v>199.790987</v>
      </c>
      <c r="G18" s="1035" t="s">
        <v>1093</v>
      </c>
      <c r="H18" s="487" t="s">
        <v>758</v>
      </c>
      <c r="I18" s="503"/>
      <c r="J18" s="992" t="s">
        <v>1094</v>
      </c>
      <c r="K18" s="984" t="s">
        <v>758</v>
      </c>
    </row>
    <row r="19" spans="1:11" s="1031" customFormat="1" ht="33">
      <c r="A19" s="1020" t="s">
        <v>1095</v>
      </c>
      <c r="B19" s="1021" t="s">
        <v>1096</v>
      </c>
      <c r="C19" s="1022"/>
      <c r="D19" s="1023"/>
      <c r="E19" s="1023"/>
      <c r="F19" s="1023"/>
      <c r="G19" s="1023"/>
      <c r="H19" s="1023"/>
      <c r="I19" s="1021"/>
      <c r="J19" s="1000"/>
      <c r="K19" s="1030"/>
    </row>
    <row r="20" spans="1:11" s="1031" customFormat="1">
      <c r="A20" s="1020" t="s">
        <v>47</v>
      </c>
      <c r="B20" s="1021" t="s">
        <v>787</v>
      </c>
      <c r="C20" s="1022"/>
      <c r="D20" s="1023"/>
      <c r="E20" s="1023"/>
      <c r="F20" s="1023"/>
      <c r="G20" s="1023"/>
      <c r="H20" s="1023"/>
      <c r="I20" s="1021"/>
      <c r="J20" s="1000"/>
      <c r="K20" s="1030"/>
    </row>
    <row r="21" spans="1:11" ht="75" customHeight="1">
      <c r="A21" s="1011">
        <v>7</v>
      </c>
      <c r="B21" s="1040" t="s">
        <v>789</v>
      </c>
      <c r="C21" s="1041" t="s">
        <v>64</v>
      </c>
      <c r="D21" s="486">
        <v>5.2766529999999987</v>
      </c>
      <c r="E21" s="1042"/>
      <c r="F21" s="486">
        <v>5.2766529999999987</v>
      </c>
      <c r="G21" s="1042" t="s">
        <v>1097</v>
      </c>
      <c r="H21" s="486" t="s">
        <v>750</v>
      </c>
      <c r="I21" s="1043" t="s">
        <v>1098</v>
      </c>
      <c r="J21" s="1013" t="s">
        <v>1094</v>
      </c>
      <c r="K21" s="984" t="s">
        <v>750</v>
      </c>
    </row>
    <row r="22" spans="1:11" ht="75" customHeight="1">
      <c r="A22" s="498">
        <v>8</v>
      </c>
      <c r="B22" s="1044" t="s">
        <v>940</v>
      </c>
      <c r="C22" s="1045" t="s">
        <v>64</v>
      </c>
      <c r="D22" s="486">
        <v>0.150001</v>
      </c>
      <c r="E22" s="1046"/>
      <c r="F22" s="486">
        <v>0.150001</v>
      </c>
      <c r="G22" s="1046" t="s">
        <v>941</v>
      </c>
      <c r="H22" s="492" t="s">
        <v>749</v>
      </c>
      <c r="I22" s="507" t="s">
        <v>942</v>
      </c>
      <c r="J22" s="1013" t="s">
        <v>1094</v>
      </c>
      <c r="K22" s="984" t="s">
        <v>749</v>
      </c>
    </row>
    <row r="23" spans="1:11" ht="306.75" customHeight="1">
      <c r="A23" s="494">
        <v>9</v>
      </c>
      <c r="B23" s="1047" t="s">
        <v>888</v>
      </c>
      <c r="C23" s="1045" t="s">
        <v>64</v>
      </c>
      <c r="D23" s="486">
        <v>10.281262</v>
      </c>
      <c r="E23" s="1046">
        <v>0.97179199999999999</v>
      </c>
      <c r="F23" s="486">
        <v>9.3094699999999992</v>
      </c>
      <c r="G23" s="1046" t="s">
        <v>1099</v>
      </c>
      <c r="H23" s="493" t="s">
        <v>753</v>
      </c>
      <c r="I23" s="1048" t="s">
        <v>907</v>
      </c>
      <c r="J23" s="992" t="s">
        <v>887</v>
      </c>
      <c r="K23" s="984" t="s">
        <v>753</v>
      </c>
    </row>
    <row r="24" spans="1:11" s="1059" customFormat="1" hidden="1">
      <c r="A24" s="1049"/>
      <c r="B24" s="1050" t="s">
        <v>1100</v>
      </c>
      <c r="C24" s="1051" t="s">
        <v>87</v>
      </c>
      <c r="D24" s="1052">
        <v>1.2661769999999999</v>
      </c>
      <c r="E24" s="1053">
        <v>0.69179199999999996</v>
      </c>
      <c r="F24" s="1052">
        <v>0.57438499999999992</v>
      </c>
      <c r="G24" s="1053"/>
      <c r="H24" s="1055"/>
      <c r="I24" s="1056"/>
      <c r="J24" s="1057"/>
      <c r="K24" s="1058"/>
    </row>
    <row r="25" spans="1:11" s="1059" customFormat="1" hidden="1">
      <c r="A25" s="1049"/>
      <c r="B25" s="1050" t="s">
        <v>1101</v>
      </c>
      <c r="C25" s="1051" t="s">
        <v>64</v>
      </c>
      <c r="D25" s="1052">
        <v>6.2271429999999999</v>
      </c>
      <c r="E25" s="1053"/>
      <c r="F25" s="1052">
        <v>6.2271429999999999</v>
      </c>
      <c r="G25" s="1053"/>
      <c r="H25" s="1055"/>
      <c r="I25" s="1056"/>
      <c r="J25" s="1057"/>
      <c r="K25" s="1058"/>
    </row>
    <row r="26" spans="1:11" s="1059" customFormat="1" hidden="1">
      <c r="A26" s="1049"/>
      <c r="B26" s="1050" t="s">
        <v>118</v>
      </c>
      <c r="C26" s="1051" t="s">
        <v>119</v>
      </c>
      <c r="D26" s="1052">
        <v>8.8316000000000006E-2</v>
      </c>
      <c r="E26" s="1053"/>
      <c r="F26" s="1052">
        <v>8.8316000000000006E-2</v>
      </c>
      <c r="G26" s="1053"/>
      <c r="H26" s="1055"/>
      <c r="I26" s="1056"/>
      <c r="J26" s="1057"/>
      <c r="K26" s="1058"/>
    </row>
    <row r="27" spans="1:11" s="1059" customFormat="1" hidden="1">
      <c r="A27" s="1049"/>
      <c r="B27" s="1050" t="s">
        <v>1102</v>
      </c>
      <c r="C27" s="1051" t="s">
        <v>110</v>
      </c>
      <c r="D27" s="1052">
        <v>0.79966099999999996</v>
      </c>
      <c r="E27" s="1053"/>
      <c r="F27" s="1052">
        <v>0.79966099999999996</v>
      </c>
      <c r="G27" s="1053"/>
      <c r="H27" s="1055"/>
      <c r="I27" s="1056"/>
      <c r="J27" s="1057"/>
      <c r="K27" s="1058"/>
    </row>
    <row r="28" spans="1:11" s="1059" customFormat="1" hidden="1">
      <c r="A28" s="1049"/>
      <c r="B28" s="1050" t="s">
        <v>484</v>
      </c>
      <c r="C28" s="1051" t="s">
        <v>199</v>
      </c>
      <c r="D28" s="1052">
        <v>1.8999649999999999</v>
      </c>
      <c r="E28" s="1053">
        <v>0.28000000000000003</v>
      </c>
      <c r="F28" s="1052">
        <v>1.6199649999999999</v>
      </c>
      <c r="G28" s="1053"/>
      <c r="H28" s="1055"/>
      <c r="I28" s="1056"/>
      <c r="J28" s="1057"/>
      <c r="K28" s="1058"/>
    </row>
    <row r="29" spans="1:11" s="1061" customFormat="1" ht="292.5" customHeight="1">
      <c r="A29" s="494">
        <v>10</v>
      </c>
      <c r="B29" s="1048" t="s">
        <v>1103</v>
      </c>
      <c r="C29" s="1045" t="s">
        <v>64</v>
      </c>
      <c r="D29" s="486">
        <v>175.07199999999995</v>
      </c>
      <c r="E29" s="493"/>
      <c r="F29" s="486">
        <v>175.07199999999995</v>
      </c>
      <c r="G29" s="493" t="s">
        <v>1104</v>
      </c>
      <c r="H29" s="494" t="s">
        <v>758</v>
      </c>
      <c r="I29" s="1048" t="s">
        <v>1105</v>
      </c>
      <c r="J29" s="496" t="s">
        <v>887</v>
      </c>
      <c r="K29" s="1060" t="s">
        <v>758</v>
      </c>
    </row>
    <row r="30" spans="1:11" s="1068" customFormat="1" ht="94.5" hidden="1" customHeight="1">
      <c r="A30" s="1062" t="s">
        <v>1297</v>
      </c>
      <c r="B30" s="1063"/>
      <c r="C30" s="1064" t="s">
        <v>64</v>
      </c>
      <c r="D30" s="1065">
        <v>22.988292999999999</v>
      </c>
      <c r="E30" s="1065"/>
      <c r="F30" s="1065">
        <v>22.988292999999999</v>
      </c>
      <c r="G30" s="1065" t="s">
        <v>1106</v>
      </c>
      <c r="H30" s="1062" t="s">
        <v>758</v>
      </c>
      <c r="I30" s="1063"/>
      <c r="J30" s="1066"/>
      <c r="K30" s="1067"/>
    </row>
    <row r="31" spans="1:11" s="1068" customFormat="1" ht="96" hidden="1" customHeight="1">
      <c r="A31" s="1062" t="s">
        <v>1297</v>
      </c>
      <c r="B31" s="1069"/>
      <c r="C31" s="1070" t="s">
        <v>67</v>
      </c>
      <c r="D31" s="1065">
        <v>91.740138999999999</v>
      </c>
      <c r="E31" s="1065">
        <v>0.13037499999999999</v>
      </c>
      <c r="F31" s="1065">
        <v>91.609763999999998</v>
      </c>
      <c r="G31" s="1071" t="s">
        <v>1107</v>
      </c>
      <c r="H31" s="1062" t="s">
        <v>758</v>
      </c>
      <c r="I31" s="1063"/>
      <c r="J31" s="1066"/>
      <c r="K31" s="1067"/>
    </row>
    <row r="32" spans="1:11" s="1068" customFormat="1" ht="73.5" hidden="1" customHeight="1">
      <c r="A32" s="1072" t="s">
        <v>1297</v>
      </c>
      <c r="B32" s="1073"/>
      <c r="C32" s="1074" t="s">
        <v>110</v>
      </c>
      <c r="D32" s="1075">
        <v>4.7257279999999993</v>
      </c>
      <c r="E32" s="1075"/>
      <c r="F32" s="1075">
        <v>4.7257279999999993</v>
      </c>
      <c r="G32" s="1075" t="s">
        <v>1108</v>
      </c>
      <c r="H32" s="1072" t="s">
        <v>758</v>
      </c>
      <c r="I32" s="1073"/>
      <c r="J32" s="1076"/>
      <c r="K32" s="1067"/>
    </row>
    <row r="33" spans="1:11" s="1068" customFormat="1" ht="100.5" hidden="1" customHeight="1">
      <c r="A33" s="1072" t="s">
        <v>1297</v>
      </c>
      <c r="B33" s="1077"/>
      <c r="C33" s="1074" t="s">
        <v>199</v>
      </c>
      <c r="D33" s="1075">
        <v>61.90550799999999</v>
      </c>
      <c r="E33" s="1075">
        <v>4.05</v>
      </c>
      <c r="F33" s="1075">
        <v>57.855507999999993</v>
      </c>
      <c r="G33" s="1075" t="s">
        <v>1109</v>
      </c>
      <c r="H33" s="1072" t="s">
        <v>758</v>
      </c>
      <c r="I33" s="1077"/>
      <c r="J33" s="1076"/>
      <c r="K33" s="1067"/>
    </row>
    <row r="34" spans="1:11" s="1031" customFormat="1" ht="33">
      <c r="A34" s="1020" t="s">
        <v>50</v>
      </c>
      <c r="B34" s="1021" t="s">
        <v>788</v>
      </c>
      <c r="C34" s="1022"/>
      <c r="D34" s="1023"/>
      <c r="E34" s="1023"/>
      <c r="F34" s="1023"/>
      <c r="G34" s="1023"/>
      <c r="H34" s="1023"/>
      <c r="I34" s="1021"/>
      <c r="J34" s="1000"/>
      <c r="K34" s="1038"/>
    </row>
    <row r="35" spans="1:11" ht="148.5">
      <c r="A35" s="1011">
        <v>11</v>
      </c>
      <c r="B35" s="488" t="s">
        <v>1110</v>
      </c>
      <c r="C35" s="1078" t="s">
        <v>67</v>
      </c>
      <c r="D35" s="486">
        <v>6.8203209999999999</v>
      </c>
      <c r="E35" s="486"/>
      <c r="F35" s="486">
        <v>6.8203209999999999</v>
      </c>
      <c r="G35" s="486" t="s">
        <v>931</v>
      </c>
      <c r="H35" s="486" t="s">
        <v>746</v>
      </c>
      <c r="I35" s="489" t="s">
        <v>886</v>
      </c>
      <c r="J35" s="1013" t="s">
        <v>887</v>
      </c>
      <c r="K35" s="984" t="s">
        <v>746</v>
      </c>
    </row>
    <row r="36" spans="1:11" s="1083" customFormat="1" ht="66">
      <c r="A36" s="1079">
        <v>12</v>
      </c>
      <c r="B36" s="1080" t="s">
        <v>791</v>
      </c>
      <c r="C36" s="1081" t="s">
        <v>67</v>
      </c>
      <c r="D36" s="485">
        <v>1.9263190000000001</v>
      </c>
      <c r="E36" s="485">
        <v>1.07</v>
      </c>
      <c r="F36" s="485">
        <v>0.85631900000000005</v>
      </c>
      <c r="G36" s="485" t="s">
        <v>1012</v>
      </c>
      <c r="H36" s="501" t="s">
        <v>755</v>
      </c>
      <c r="I36" s="1082" t="s">
        <v>792</v>
      </c>
      <c r="J36" s="1013" t="s">
        <v>887</v>
      </c>
      <c r="K36" s="984" t="s">
        <v>755</v>
      </c>
    </row>
    <row r="37" spans="1:11" s="1083" customFormat="1" ht="85.5" customHeight="1">
      <c r="A37" s="1079">
        <v>13</v>
      </c>
      <c r="B37" s="1080" t="s">
        <v>1013</v>
      </c>
      <c r="C37" s="1081" t="s">
        <v>67</v>
      </c>
      <c r="D37" s="485">
        <v>6.054011</v>
      </c>
      <c r="E37" s="485">
        <v>5.895391</v>
      </c>
      <c r="F37" s="485">
        <v>0.15862000000000001</v>
      </c>
      <c r="G37" s="485" t="s">
        <v>932</v>
      </c>
      <c r="H37" s="501" t="s">
        <v>755</v>
      </c>
      <c r="I37" s="1082" t="s">
        <v>897</v>
      </c>
      <c r="J37" s="1013" t="s">
        <v>887</v>
      </c>
      <c r="K37" s="984" t="s">
        <v>755</v>
      </c>
    </row>
    <row r="38" spans="1:11" ht="87.75" customHeight="1">
      <c r="A38" s="498">
        <v>14</v>
      </c>
      <c r="B38" s="1044" t="s">
        <v>864</v>
      </c>
      <c r="C38" s="1084" t="s">
        <v>67</v>
      </c>
      <c r="D38" s="492">
        <v>0.95</v>
      </c>
      <c r="E38" s="1046"/>
      <c r="F38" s="492">
        <v>0.95</v>
      </c>
      <c r="G38" s="492" t="s">
        <v>200</v>
      </c>
      <c r="H38" s="492" t="s">
        <v>753</v>
      </c>
      <c r="I38" s="506" t="s">
        <v>867</v>
      </c>
      <c r="J38" s="499" t="s">
        <v>887</v>
      </c>
      <c r="K38" s="984" t="s">
        <v>753</v>
      </c>
    </row>
    <row r="39" spans="1:11" s="1031" customFormat="1">
      <c r="A39" s="1020" t="s">
        <v>53</v>
      </c>
      <c r="B39" s="1085" t="s">
        <v>797</v>
      </c>
      <c r="C39" s="1086"/>
      <c r="D39" s="1023"/>
      <c r="E39" s="1023"/>
      <c r="F39" s="1023"/>
      <c r="G39" s="1023"/>
      <c r="H39" s="1039"/>
      <c r="I39" s="1087"/>
      <c r="J39" s="1000"/>
      <c r="K39" s="984"/>
    </row>
    <row r="40" spans="1:11" ht="71.25" customHeight="1">
      <c r="A40" s="491">
        <v>15</v>
      </c>
      <c r="B40" s="1088" t="s">
        <v>798</v>
      </c>
      <c r="C40" s="1089" t="s">
        <v>84</v>
      </c>
      <c r="D40" s="487">
        <v>0.58655999999999997</v>
      </c>
      <c r="E40" s="487">
        <v>0.47039999999999998</v>
      </c>
      <c r="F40" s="487">
        <v>0.11616000000000001</v>
      </c>
      <c r="G40" s="487" t="s">
        <v>1111</v>
      </c>
      <c r="H40" s="487" t="s">
        <v>745</v>
      </c>
      <c r="I40" s="508" t="s">
        <v>1112</v>
      </c>
      <c r="J40" s="992" t="s">
        <v>887</v>
      </c>
      <c r="K40" s="984" t="s">
        <v>745</v>
      </c>
    </row>
    <row r="41" spans="1:11" ht="87.75" customHeight="1">
      <c r="A41" s="498">
        <v>16</v>
      </c>
      <c r="B41" s="1090" t="s">
        <v>1113</v>
      </c>
      <c r="C41" s="1091" t="s">
        <v>84</v>
      </c>
      <c r="D41" s="492">
        <v>0.20118999999999998</v>
      </c>
      <c r="E41" s="492"/>
      <c r="F41" s="492">
        <v>0.20118999999999998</v>
      </c>
      <c r="G41" s="492" t="s">
        <v>1114</v>
      </c>
      <c r="H41" s="492" t="s">
        <v>746</v>
      </c>
      <c r="I41" s="507" t="s">
        <v>1115</v>
      </c>
      <c r="J41" s="499" t="s">
        <v>887</v>
      </c>
      <c r="K41" s="984" t="s">
        <v>746</v>
      </c>
    </row>
    <row r="42" spans="1:11" ht="72" customHeight="1">
      <c r="A42" s="1011">
        <v>17</v>
      </c>
      <c r="B42" s="489" t="s">
        <v>922</v>
      </c>
      <c r="C42" s="1012" t="s">
        <v>84</v>
      </c>
      <c r="D42" s="486">
        <v>0.17491999999999999</v>
      </c>
      <c r="E42" s="486">
        <v>0.14534</v>
      </c>
      <c r="F42" s="486">
        <v>2.9579999999999999E-2</v>
      </c>
      <c r="G42" s="486" t="s">
        <v>1116</v>
      </c>
      <c r="H42" s="486" t="s">
        <v>747</v>
      </c>
      <c r="I42" s="489" t="s">
        <v>1117</v>
      </c>
      <c r="J42" s="1013" t="s">
        <v>887</v>
      </c>
      <c r="K42" s="984" t="s">
        <v>747</v>
      </c>
    </row>
    <row r="43" spans="1:11" ht="90.75" customHeight="1">
      <c r="A43" s="498">
        <v>18</v>
      </c>
      <c r="B43" s="506" t="s">
        <v>1118</v>
      </c>
      <c r="C43" s="1015" t="s">
        <v>84</v>
      </c>
      <c r="D43" s="492">
        <v>0.41352999999999995</v>
      </c>
      <c r="E43" s="492">
        <v>0.33979999999999999</v>
      </c>
      <c r="F43" s="492">
        <v>7.372999999999999E-2</v>
      </c>
      <c r="G43" s="492" t="s">
        <v>1119</v>
      </c>
      <c r="H43" s="492" t="s">
        <v>747</v>
      </c>
      <c r="I43" s="506" t="s">
        <v>1120</v>
      </c>
      <c r="J43" s="499" t="s">
        <v>887</v>
      </c>
      <c r="K43" s="984" t="s">
        <v>747</v>
      </c>
    </row>
    <row r="44" spans="1:11" ht="121.5" customHeight="1">
      <c r="A44" s="498">
        <v>19</v>
      </c>
      <c r="B44" s="506" t="s">
        <v>923</v>
      </c>
      <c r="C44" s="1015" t="s">
        <v>84</v>
      </c>
      <c r="D44" s="492">
        <v>0.50087000000000004</v>
      </c>
      <c r="E44" s="492">
        <v>0.44478000000000001</v>
      </c>
      <c r="F44" s="492">
        <v>5.6090000000000001E-2</v>
      </c>
      <c r="G44" s="492" t="s">
        <v>943</v>
      </c>
      <c r="H44" s="492" t="s">
        <v>747</v>
      </c>
      <c r="I44" s="506" t="s">
        <v>1121</v>
      </c>
      <c r="J44" s="499" t="s">
        <v>887</v>
      </c>
      <c r="K44" s="984" t="s">
        <v>747</v>
      </c>
    </row>
    <row r="45" spans="1:11" ht="82.5">
      <c r="A45" s="498">
        <v>20</v>
      </c>
      <c r="B45" s="506" t="s">
        <v>924</v>
      </c>
      <c r="C45" s="1015" t="s">
        <v>84</v>
      </c>
      <c r="D45" s="492">
        <v>0.35800000000000004</v>
      </c>
      <c r="E45" s="492"/>
      <c r="F45" s="492">
        <v>0.35800000000000004</v>
      </c>
      <c r="G45" s="492" t="s">
        <v>952</v>
      </c>
      <c r="H45" s="492" t="s">
        <v>747</v>
      </c>
      <c r="I45" s="506" t="s">
        <v>1120</v>
      </c>
      <c r="J45" s="499" t="s">
        <v>887</v>
      </c>
      <c r="K45" s="984" t="s">
        <v>747</v>
      </c>
    </row>
    <row r="46" spans="1:11" s="1061" customFormat="1" ht="66">
      <c r="A46" s="498">
        <v>21</v>
      </c>
      <c r="B46" s="505" t="s">
        <v>800</v>
      </c>
      <c r="C46" s="1015" t="s">
        <v>84</v>
      </c>
      <c r="D46" s="492">
        <v>2.4522000000000004</v>
      </c>
      <c r="E46" s="492"/>
      <c r="F46" s="492">
        <v>2.4522000000000004</v>
      </c>
      <c r="G46" s="1092" t="s">
        <v>1122</v>
      </c>
      <c r="H46" s="498" t="s">
        <v>748</v>
      </c>
      <c r="I46" s="1094" t="s">
        <v>802</v>
      </c>
      <c r="J46" s="499" t="s">
        <v>887</v>
      </c>
      <c r="K46" s="1060" t="s">
        <v>748</v>
      </c>
    </row>
    <row r="47" spans="1:11" s="1061" customFormat="1" ht="66">
      <c r="A47" s="498">
        <v>22</v>
      </c>
      <c r="B47" s="505" t="s">
        <v>801</v>
      </c>
      <c r="C47" s="1015" t="s">
        <v>84</v>
      </c>
      <c r="D47" s="492">
        <v>0.76</v>
      </c>
      <c r="E47" s="492"/>
      <c r="F47" s="492">
        <v>0.76</v>
      </c>
      <c r="G47" s="1092" t="s">
        <v>1123</v>
      </c>
      <c r="H47" s="498" t="s">
        <v>748</v>
      </c>
      <c r="I47" s="1094" t="s">
        <v>802</v>
      </c>
      <c r="J47" s="499" t="s">
        <v>887</v>
      </c>
      <c r="K47" s="1060" t="s">
        <v>748</v>
      </c>
    </row>
    <row r="48" spans="1:11" s="1061" customFormat="1" ht="123.75" customHeight="1">
      <c r="A48" s="498">
        <v>23</v>
      </c>
      <c r="B48" s="505" t="s">
        <v>1124</v>
      </c>
      <c r="C48" s="1015" t="s">
        <v>84</v>
      </c>
      <c r="D48" s="492">
        <v>0.21573999999999999</v>
      </c>
      <c r="E48" s="492"/>
      <c r="F48" s="492">
        <v>0.21573999999999999</v>
      </c>
      <c r="G48" s="1092" t="s">
        <v>926</v>
      </c>
      <c r="H48" s="498" t="s">
        <v>748</v>
      </c>
      <c r="I48" s="1094" t="s">
        <v>1125</v>
      </c>
      <c r="J48" s="499" t="s">
        <v>887</v>
      </c>
      <c r="K48" s="1060" t="s">
        <v>748</v>
      </c>
    </row>
    <row r="49" spans="1:11" s="1061" customFormat="1" ht="123.75" customHeight="1">
      <c r="A49" s="498">
        <v>24</v>
      </c>
      <c r="B49" s="505" t="s">
        <v>1126</v>
      </c>
      <c r="C49" s="1015" t="s">
        <v>84</v>
      </c>
      <c r="D49" s="492">
        <v>0.13867000000000002</v>
      </c>
      <c r="E49" s="492">
        <v>0.11533</v>
      </c>
      <c r="F49" s="492">
        <v>2.334E-2</v>
      </c>
      <c r="G49" s="1092" t="s">
        <v>943</v>
      </c>
      <c r="H49" s="498" t="s">
        <v>748</v>
      </c>
      <c r="I49" s="1094" t="s">
        <v>1125</v>
      </c>
      <c r="J49" s="499" t="s">
        <v>887</v>
      </c>
      <c r="K49" s="1060" t="s">
        <v>748</v>
      </c>
    </row>
    <row r="50" spans="1:11" s="1061" customFormat="1" ht="122.25" customHeight="1">
      <c r="A50" s="498">
        <v>25</v>
      </c>
      <c r="B50" s="505" t="s">
        <v>1127</v>
      </c>
      <c r="C50" s="1015" t="s">
        <v>84</v>
      </c>
      <c r="D50" s="492">
        <v>0.21034</v>
      </c>
      <c r="E50" s="492">
        <v>0.18081</v>
      </c>
      <c r="F50" s="492">
        <v>2.9530000000000001E-2</v>
      </c>
      <c r="G50" s="1092" t="s">
        <v>1128</v>
      </c>
      <c r="H50" s="498" t="s">
        <v>748</v>
      </c>
      <c r="I50" s="1094" t="s">
        <v>1129</v>
      </c>
      <c r="J50" s="499" t="s">
        <v>887</v>
      </c>
      <c r="K50" s="1060" t="s">
        <v>748</v>
      </c>
    </row>
    <row r="51" spans="1:11" s="1061" customFormat="1" ht="115.5">
      <c r="A51" s="498">
        <v>26</v>
      </c>
      <c r="B51" s="505" t="s">
        <v>1130</v>
      </c>
      <c r="C51" s="1015" t="s">
        <v>84</v>
      </c>
      <c r="D51" s="492">
        <v>0.19692999999999999</v>
      </c>
      <c r="E51" s="492">
        <v>0.16696</v>
      </c>
      <c r="F51" s="492">
        <v>2.9969999999999997E-2</v>
      </c>
      <c r="G51" s="1092" t="s">
        <v>927</v>
      </c>
      <c r="H51" s="498" t="s">
        <v>748</v>
      </c>
      <c r="I51" s="1094" t="s">
        <v>1129</v>
      </c>
      <c r="J51" s="499" t="s">
        <v>887</v>
      </c>
      <c r="K51" s="1060" t="s">
        <v>748</v>
      </c>
    </row>
    <row r="52" spans="1:11" s="1061" customFormat="1" ht="82.5">
      <c r="A52" s="498">
        <v>27</v>
      </c>
      <c r="B52" s="505" t="s">
        <v>803</v>
      </c>
      <c r="C52" s="1015" t="s">
        <v>84</v>
      </c>
      <c r="D52" s="492">
        <v>4.6611659999999997</v>
      </c>
      <c r="E52" s="492">
        <v>2.2446709999999999</v>
      </c>
      <c r="F52" s="492">
        <v>2.4164949999999998</v>
      </c>
      <c r="G52" s="1092" t="s">
        <v>943</v>
      </c>
      <c r="H52" s="498" t="s">
        <v>749</v>
      </c>
      <c r="I52" s="1094" t="s">
        <v>1131</v>
      </c>
      <c r="J52" s="499" t="s">
        <v>887</v>
      </c>
      <c r="K52" s="1060" t="s">
        <v>749</v>
      </c>
    </row>
    <row r="53" spans="1:11" s="1102" customFormat="1" ht="18.75" hidden="1">
      <c r="A53" s="1095"/>
      <c r="B53" s="1096"/>
      <c r="C53" s="1097" t="s">
        <v>199</v>
      </c>
      <c r="D53" s="1098">
        <v>2.4869729999999999</v>
      </c>
      <c r="E53" s="1098">
        <v>0.15575</v>
      </c>
      <c r="F53" s="1098">
        <v>2.331223</v>
      </c>
      <c r="G53" s="1099"/>
      <c r="H53" s="1095"/>
      <c r="I53" s="1100"/>
      <c r="J53" s="1101"/>
      <c r="K53" s="1067"/>
    </row>
    <row r="54" spans="1:11" s="1102" customFormat="1" ht="18.75" hidden="1">
      <c r="A54" s="1095"/>
      <c r="B54" s="1096"/>
      <c r="C54" s="1097" t="s">
        <v>110</v>
      </c>
      <c r="D54" s="1098">
        <v>6.6636000000000001E-2</v>
      </c>
      <c r="E54" s="1098"/>
      <c r="F54" s="1098">
        <v>6.6636000000000001E-2</v>
      </c>
      <c r="G54" s="1099"/>
      <c r="H54" s="1095"/>
      <c r="I54" s="1100"/>
      <c r="J54" s="1101"/>
      <c r="K54" s="1067"/>
    </row>
    <row r="55" spans="1:11" s="1102" customFormat="1" ht="18.75" hidden="1">
      <c r="A55" s="1095"/>
      <c r="B55" s="1096"/>
      <c r="C55" s="1097" t="s">
        <v>84</v>
      </c>
      <c r="D55" s="1098">
        <v>2.088921</v>
      </c>
      <c r="E55" s="1098">
        <v>2.088921</v>
      </c>
      <c r="F55" s="1098">
        <v>0</v>
      </c>
      <c r="G55" s="1099"/>
      <c r="H55" s="1095"/>
      <c r="I55" s="1100"/>
      <c r="J55" s="1101"/>
      <c r="K55" s="1067"/>
    </row>
    <row r="56" spans="1:11" s="1102" customFormat="1" ht="18.75" hidden="1">
      <c r="A56" s="1095"/>
      <c r="B56" s="1096"/>
      <c r="C56" s="1097" t="s">
        <v>1132</v>
      </c>
      <c r="D56" s="1098">
        <v>1.8636E-2</v>
      </c>
      <c r="E56" s="1098"/>
      <c r="F56" s="1098">
        <v>1.8636E-2</v>
      </c>
      <c r="G56" s="1099"/>
      <c r="H56" s="1095"/>
      <c r="I56" s="1100"/>
      <c r="J56" s="1101"/>
      <c r="K56" s="1067"/>
    </row>
    <row r="57" spans="1:11" s="1061" customFormat="1" ht="66">
      <c r="A57" s="498">
        <v>28</v>
      </c>
      <c r="B57" s="505" t="s">
        <v>804</v>
      </c>
      <c r="C57" s="1015" t="s">
        <v>84</v>
      </c>
      <c r="D57" s="492">
        <v>1.2</v>
      </c>
      <c r="E57" s="492"/>
      <c r="F57" s="492">
        <v>1.2</v>
      </c>
      <c r="G57" s="1092" t="s">
        <v>20</v>
      </c>
      <c r="H57" s="498" t="s">
        <v>749</v>
      </c>
      <c r="I57" s="1094" t="s">
        <v>808</v>
      </c>
      <c r="J57" s="499" t="s">
        <v>887</v>
      </c>
      <c r="K57" s="1060" t="s">
        <v>749</v>
      </c>
    </row>
    <row r="58" spans="1:11" s="1061" customFormat="1" ht="71.25" customHeight="1">
      <c r="A58" s="498">
        <v>29</v>
      </c>
      <c r="B58" s="505" t="s">
        <v>806</v>
      </c>
      <c r="C58" s="1015" t="s">
        <v>84</v>
      </c>
      <c r="D58" s="492">
        <v>0.89999999999999991</v>
      </c>
      <c r="E58" s="492"/>
      <c r="F58" s="492">
        <v>0.89999999999999991</v>
      </c>
      <c r="G58" s="1092" t="s">
        <v>1133</v>
      </c>
      <c r="H58" s="498" t="s">
        <v>749</v>
      </c>
      <c r="I58" s="1094" t="s">
        <v>809</v>
      </c>
      <c r="J58" s="499" t="s">
        <v>887</v>
      </c>
      <c r="K58" s="1060" t="s">
        <v>749</v>
      </c>
    </row>
    <row r="59" spans="1:11" s="1061" customFormat="1" ht="86.25" customHeight="1">
      <c r="A59" s="498">
        <v>30</v>
      </c>
      <c r="B59" s="505" t="s">
        <v>805</v>
      </c>
      <c r="C59" s="1015" t="s">
        <v>84</v>
      </c>
      <c r="D59" s="492">
        <v>0.47</v>
      </c>
      <c r="E59" s="492"/>
      <c r="F59" s="492">
        <v>0.47</v>
      </c>
      <c r="G59" s="1092" t="s">
        <v>1134</v>
      </c>
      <c r="H59" s="498" t="s">
        <v>749</v>
      </c>
      <c r="I59" s="1094" t="s">
        <v>807</v>
      </c>
      <c r="J59" s="499" t="s">
        <v>887</v>
      </c>
      <c r="K59" s="1060" t="s">
        <v>749</v>
      </c>
    </row>
    <row r="60" spans="1:11" s="1061" customFormat="1" ht="86.25" customHeight="1">
      <c r="A60" s="498" t="s">
        <v>1135</v>
      </c>
      <c r="B60" s="505" t="s">
        <v>1136</v>
      </c>
      <c r="C60" s="1015" t="s">
        <v>84</v>
      </c>
      <c r="D60" s="492">
        <v>0.43</v>
      </c>
      <c r="E60" s="492"/>
      <c r="F60" s="492">
        <v>0.43</v>
      </c>
      <c r="G60" s="1092" t="s">
        <v>23</v>
      </c>
      <c r="H60" s="498" t="s">
        <v>751</v>
      </c>
      <c r="I60" s="1094" t="s">
        <v>1137</v>
      </c>
      <c r="J60" s="499" t="s">
        <v>887</v>
      </c>
      <c r="K60" s="1103" t="s">
        <v>751</v>
      </c>
    </row>
    <row r="61" spans="1:11" s="1061" customFormat="1" ht="87.75" customHeight="1">
      <c r="A61" s="498">
        <v>32</v>
      </c>
      <c r="B61" s="505" t="s">
        <v>1138</v>
      </c>
      <c r="C61" s="1015" t="s">
        <v>84</v>
      </c>
      <c r="D61" s="492">
        <v>0.26268000000000002</v>
      </c>
      <c r="E61" s="492">
        <v>0.19066</v>
      </c>
      <c r="F61" s="492">
        <v>7.2020000000000001E-2</v>
      </c>
      <c r="G61" s="1092" t="s">
        <v>1139</v>
      </c>
      <c r="H61" s="498" t="s">
        <v>751</v>
      </c>
      <c r="I61" s="1094" t="s">
        <v>1140</v>
      </c>
      <c r="J61" s="499" t="s">
        <v>887</v>
      </c>
      <c r="K61" s="1060" t="s">
        <v>751</v>
      </c>
    </row>
    <row r="62" spans="1:11" s="1105" customFormat="1" ht="148.5">
      <c r="A62" s="498">
        <v>33</v>
      </c>
      <c r="B62" s="505" t="s">
        <v>810</v>
      </c>
      <c r="C62" s="1015" t="s">
        <v>84</v>
      </c>
      <c r="D62" s="492">
        <v>0.66702000000000006</v>
      </c>
      <c r="E62" s="492">
        <v>1.529E-2</v>
      </c>
      <c r="F62" s="492">
        <v>0.65173000000000003</v>
      </c>
      <c r="G62" s="1104" t="s">
        <v>1141</v>
      </c>
      <c r="H62" s="1104" t="s">
        <v>752</v>
      </c>
      <c r="I62" s="507" t="s">
        <v>811</v>
      </c>
      <c r="J62" s="499" t="s">
        <v>887</v>
      </c>
      <c r="K62" s="986" t="s">
        <v>752</v>
      </c>
    </row>
    <row r="63" spans="1:11" s="1106" customFormat="1" ht="82.5">
      <c r="A63" s="498">
        <v>34</v>
      </c>
      <c r="B63" s="507" t="s">
        <v>1142</v>
      </c>
      <c r="C63" s="1015" t="s">
        <v>84</v>
      </c>
      <c r="D63" s="492">
        <v>6.0420000000000001E-2</v>
      </c>
      <c r="E63" s="492"/>
      <c r="F63" s="492">
        <v>6.0420000000000001E-2</v>
      </c>
      <c r="G63" s="492" t="s">
        <v>926</v>
      </c>
      <c r="H63" s="1104" t="s">
        <v>752</v>
      </c>
      <c r="I63" s="497" t="s">
        <v>1143</v>
      </c>
      <c r="J63" s="499" t="s">
        <v>887</v>
      </c>
      <c r="K63" s="986" t="s">
        <v>752</v>
      </c>
    </row>
    <row r="64" spans="1:11" s="1061" customFormat="1" ht="87.75" customHeight="1">
      <c r="A64" s="498">
        <v>35</v>
      </c>
      <c r="B64" s="505" t="s">
        <v>1144</v>
      </c>
      <c r="C64" s="1015" t="s">
        <v>84</v>
      </c>
      <c r="D64" s="492">
        <v>0.17560000000000001</v>
      </c>
      <c r="E64" s="492"/>
      <c r="F64" s="492">
        <v>0.17560000000000001</v>
      </c>
      <c r="G64" s="492" t="s">
        <v>928</v>
      </c>
      <c r="H64" s="1104" t="s">
        <v>752</v>
      </c>
      <c r="I64" s="1094" t="s">
        <v>1145</v>
      </c>
      <c r="J64" s="499" t="s">
        <v>887</v>
      </c>
      <c r="K64" s="986" t="s">
        <v>752</v>
      </c>
    </row>
    <row r="65" spans="1:11" s="1061" customFormat="1" ht="156.75" customHeight="1">
      <c r="A65" s="498">
        <v>36</v>
      </c>
      <c r="B65" s="505" t="s">
        <v>1146</v>
      </c>
      <c r="C65" s="1015" t="s">
        <v>84</v>
      </c>
      <c r="D65" s="492">
        <v>0.47196999999999995</v>
      </c>
      <c r="E65" s="492">
        <v>8.0250000000000002E-2</v>
      </c>
      <c r="F65" s="492">
        <v>0.39171999999999996</v>
      </c>
      <c r="G65" s="492" t="s">
        <v>906</v>
      </c>
      <c r="H65" s="1104" t="s">
        <v>752</v>
      </c>
      <c r="I65" s="1094" t="s">
        <v>1147</v>
      </c>
      <c r="J65" s="499" t="s">
        <v>887</v>
      </c>
      <c r="K65" s="986" t="s">
        <v>752</v>
      </c>
    </row>
    <row r="66" spans="1:11" s="1106" customFormat="1" ht="87.75" customHeight="1">
      <c r="A66" s="498">
        <v>37</v>
      </c>
      <c r="B66" s="505" t="s">
        <v>1148</v>
      </c>
      <c r="C66" s="1015" t="s">
        <v>84</v>
      </c>
      <c r="D66" s="492">
        <v>0.45442000000000005</v>
      </c>
      <c r="E66" s="492">
        <v>5.756E-2</v>
      </c>
      <c r="F66" s="492">
        <v>0.39686000000000005</v>
      </c>
      <c r="G66" s="492" t="s">
        <v>925</v>
      </c>
      <c r="H66" s="1104" t="s">
        <v>752</v>
      </c>
      <c r="I66" s="497" t="s">
        <v>1149</v>
      </c>
      <c r="J66" s="499" t="s">
        <v>887</v>
      </c>
      <c r="K66" s="986" t="s">
        <v>752</v>
      </c>
    </row>
    <row r="67" spans="1:11" s="1061" customFormat="1" ht="82.5">
      <c r="A67" s="498">
        <v>38</v>
      </c>
      <c r="B67" s="507" t="s">
        <v>1150</v>
      </c>
      <c r="C67" s="1015" t="s">
        <v>84</v>
      </c>
      <c r="D67" s="492">
        <v>0.54130999999999996</v>
      </c>
      <c r="E67" s="492">
        <v>3.4520000000000002E-2</v>
      </c>
      <c r="F67" s="492">
        <v>0.50678999999999996</v>
      </c>
      <c r="G67" s="492" t="s">
        <v>1151</v>
      </c>
      <c r="H67" s="1104" t="s">
        <v>752</v>
      </c>
      <c r="I67" s="1094" t="s">
        <v>1149</v>
      </c>
      <c r="J67" s="499" t="s">
        <v>887</v>
      </c>
      <c r="K67" s="986" t="s">
        <v>752</v>
      </c>
    </row>
    <row r="68" spans="1:11" s="1108" customFormat="1">
      <c r="A68" s="1020" t="s">
        <v>56</v>
      </c>
      <c r="B68" s="1003" t="s">
        <v>796</v>
      </c>
      <c r="C68" s="1004"/>
      <c r="D68" s="1023"/>
      <c r="E68" s="1023"/>
      <c r="F68" s="1023"/>
      <c r="G68" s="1005"/>
      <c r="H68" s="1005"/>
      <c r="I68" s="1003"/>
      <c r="J68" s="1000"/>
      <c r="K68" s="1107"/>
    </row>
    <row r="69" spans="1:11" s="1105" customFormat="1" ht="122.25" customHeight="1">
      <c r="A69" s="498">
        <v>39</v>
      </c>
      <c r="B69" s="505" t="s">
        <v>1014</v>
      </c>
      <c r="C69" s="1015" t="s">
        <v>87</v>
      </c>
      <c r="D69" s="492">
        <v>8.823440999999999</v>
      </c>
      <c r="E69" s="492">
        <v>0.17</v>
      </c>
      <c r="F69" s="492">
        <v>8.6534409999999991</v>
      </c>
      <c r="G69" s="1092" t="s">
        <v>1152</v>
      </c>
      <c r="H69" s="1104" t="s">
        <v>753</v>
      </c>
      <c r="I69" s="505" t="s">
        <v>817</v>
      </c>
      <c r="J69" s="499" t="s">
        <v>887</v>
      </c>
      <c r="K69" s="986" t="s">
        <v>753</v>
      </c>
    </row>
    <row r="70" spans="1:11" s="1112" customFormat="1" ht="37.5" hidden="1">
      <c r="A70" s="498" t="s">
        <v>1297</v>
      </c>
      <c r="B70" s="1073" t="s">
        <v>1100</v>
      </c>
      <c r="C70" s="1109" t="s">
        <v>87</v>
      </c>
      <c r="D70" s="1075">
        <v>3.8835070000000003</v>
      </c>
      <c r="E70" s="1075">
        <v>0.16</v>
      </c>
      <c r="F70" s="1075">
        <v>3.7235070000000001</v>
      </c>
      <c r="G70" s="1110" t="s">
        <v>1153</v>
      </c>
      <c r="H70" s="1111" t="s">
        <v>753</v>
      </c>
      <c r="I70" s="1073"/>
      <c r="J70" s="1076"/>
      <c r="K70" s="986"/>
    </row>
    <row r="71" spans="1:11" s="1114" customFormat="1" ht="33" hidden="1">
      <c r="A71" s="498" t="s">
        <v>1297</v>
      </c>
      <c r="B71" s="1077" t="s">
        <v>63</v>
      </c>
      <c r="C71" s="1109" t="s">
        <v>64</v>
      </c>
      <c r="D71" s="1075">
        <v>0.66763699999999992</v>
      </c>
      <c r="E71" s="1075"/>
      <c r="F71" s="1075">
        <v>0.66763699999999992</v>
      </c>
      <c r="G71" s="1075" t="s">
        <v>1154</v>
      </c>
      <c r="H71" s="1076" t="s">
        <v>753</v>
      </c>
      <c r="I71" s="1113"/>
      <c r="J71" s="1076"/>
      <c r="K71" s="1060"/>
    </row>
    <row r="72" spans="1:11" s="1114" customFormat="1" ht="33" hidden="1">
      <c r="A72" s="498" t="s">
        <v>1297</v>
      </c>
      <c r="B72" s="1077" t="s">
        <v>109</v>
      </c>
      <c r="C72" s="1074" t="s">
        <v>110</v>
      </c>
      <c r="D72" s="1075">
        <v>0.42885099999999998</v>
      </c>
      <c r="E72" s="1075"/>
      <c r="F72" s="1075">
        <v>0.42885099999999998</v>
      </c>
      <c r="G72" s="1075" t="s">
        <v>209</v>
      </c>
      <c r="H72" s="1076" t="s">
        <v>753</v>
      </c>
      <c r="I72" s="1077"/>
      <c r="J72" s="1076"/>
      <c r="K72" s="1060"/>
    </row>
    <row r="73" spans="1:11" s="1114" customFormat="1" ht="49.5" hidden="1">
      <c r="A73" s="498" t="s">
        <v>1297</v>
      </c>
      <c r="B73" s="1077" t="s">
        <v>484</v>
      </c>
      <c r="C73" s="1074" t="s">
        <v>199</v>
      </c>
      <c r="D73" s="1075">
        <v>3.8434459999999997</v>
      </c>
      <c r="E73" s="1075">
        <v>0.01</v>
      </c>
      <c r="F73" s="1075">
        <v>3.8334459999999999</v>
      </c>
      <c r="G73" s="1075" t="s">
        <v>1152</v>
      </c>
      <c r="H73" s="1076" t="s">
        <v>753</v>
      </c>
      <c r="I73" s="1115"/>
      <c r="J73" s="1076"/>
      <c r="K73" s="1060"/>
    </row>
    <row r="74" spans="1:11" s="1105" customFormat="1" ht="66">
      <c r="A74" s="498">
        <v>40</v>
      </c>
      <c r="B74" s="505" t="s">
        <v>812</v>
      </c>
      <c r="C74" s="1015" t="s">
        <v>87</v>
      </c>
      <c r="D74" s="492">
        <v>33.036896900000002</v>
      </c>
      <c r="E74" s="492">
        <v>0.31</v>
      </c>
      <c r="F74" s="492">
        <v>32.7268969</v>
      </c>
      <c r="G74" s="1104" t="s">
        <v>1155</v>
      </c>
      <c r="H74" s="1104" t="s">
        <v>753</v>
      </c>
      <c r="I74" s="505" t="s">
        <v>818</v>
      </c>
      <c r="J74" s="499" t="s">
        <v>887</v>
      </c>
      <c r="K74" s="986" t="s">
        <v>753</v>
      </c>
    </row>
    <row r="75" spans="1:11" s="1105" customFormat="1" ht="39" hidden="1" customHeight="1">
      <c r="A75" s="498" t="s">
        <v>1297</v>
      </c>
      <c r="B75" s="1073"/>
      <c r="C75" s="1109" t="s">
        <v>87</v>
      </c>
      <c r="D75" s="1075">
        <v>9.1053019999999982</v>
      </c>
      <c r="E75" s="1075">
        <v>0.28999999999999998</v>
      </c>
      <c r="F75" s="1075">
        <v>8.8153019999999991</v>
      </c>
      <c r="G75" s="1111" t="s">
        <v>1156</v>
      </c>
      <c r="H75" s="1111"/>
      <c r="I75" s="1073"/>
      <c r="J75" s="1076"/>
      <c r="K75" s="986"/>
    </row>
    <row r="76" spans="1:11" s="1061" customFormat="1" ht="42.75" hidden="1" customHeight="1">
      <c r="A76" s="498" t="s">
        <v>1297</v>
      </c>
      <c r="B76" s="1077"/>
      <c r="C76" s="1109" t="s">
        <v>64</v>
      </c>
      <c r="D76" s="1075">
        <v>2.2368499999999996</v>
      </c>
      <c r="E76" s="1075"/>
      <c r="F76" s="1075">
        <v>2.2368499999999996</v>
      </c>
      <c r="G76" s="1075" t="s">
        <v>1157</v>
      </c>
      <c r="H76" s="1076"/>
      <c r="I76" s="1113"/>
      <c r="J76" s="1076"/>
      <c r="K76" s="1060"/>
    </row>
    <row r="77" spans="1:11" s="1061" customFormat="1" ht="41.25" hidden="1" customHeight="1">
      <c r="A77" s="498" t="s">
        <v>1297</v>
      </c>
      <c r="B77" s="1077"/>
      <c r="C77" s="1074" t="s">
        <v>119</v>
      </c>
      <c r="D77" s="1075">
        <v>2.6731118999999999</v>
      </c>
      <c r="E77" s="1075"/>
      <c r="F77" s="1075">
        <v>2.6731118999999999</v>
      </c>
      <c r="G77" s="1075" t="s">
        <v>1158</v>
      </c>
      <c r="H77" s="1076"/>
      <c r="I77" s="1077"/>
      <c r="J77" s="1076"/>
      <c r="K77" s="1060"/>
    </row>
    <row r="78" spans="1:11" s="1061" customFormat="1" ht="47.25" hidden="1" customHeight="1">
      <c r="A78" s="498" t="s">
        <v>1297</v>
      </c>
      <c r="B78" s="1077"/>
      <c r="C78" s="1074" t="s">
        <v>110</v>
      </c>
      <c r="D78" s="1075">
        <v>2.9461589999999998</v>
      </c>
      <c r="E78" s="1075"/>
      <c r="F78" s="1075">
        <v>2.9461589999999998</v>
      </c>
      <c r="G78" s="1075" t="s">
        <v>1159</v>
      </c>
      <c r="H78" s="1076"/>
      <c r="I78" s="1077"/>
      <c r="J78" s="1076"/>
      <c r="K78" s="1060"/>
    </row>
    <row r="79" spans="1:11" s="1061" customFormat="1" ht="43.5" hidden="1" customHeight="1">
      <c r="A79" s="498" t="s">
        <v>1297</v>
      </c>
      <c r="B79" s="1077"/>
      <c r="C79" s="1074" t="s">
        <v>202</v>
      </c>
      <c r="D79" s="1075">
        <v>0.17</v>
      </c>
      <c r="E79" s="1075"/>
      <c r="F79" s="1075">
        <v>0.17</v>
      </c>
      <c r="G79" s="1075" t="s">
        <v>209</v>
      </c>
      <c r="H79" s="1076"/>
      <c r="I79" s="1077"/>
      <c r="J79" s="1076"/>
      <c r="K79" s="1060"/>
    </row>
    <row r="80" spans="1:11" s="1061" customFormat="1" ht="40.5" hidden="1" customHeight="1">
      <c r="A80" s="498" t="s">
        <v>1297</v>
      </c>
      <c r="B80" s="1077"/>
      <c r="C80" s="1074" t="s">
        <v>204</v>
      </c>
      <c r="D80" s="1075">
        <v>1.067877</v>
      </c>
      <c r="E80" s="1075"/>
      <c r="F80" s="1075">
        <v>1.067877</v>
      </c>
      <c r="G80" s="1075" t="s">
        <v>209</v>
      </c>
      <c r="H80" s="1076"/>
      <c r="I80" s="1116"/>
      <c r="J80" s="1076"/>
      <c r="K80" s="1060"/>
    </row>
    <row r="81" spans="1:11" s="1061" customFormat="1" ht="39" hidden="1" customHeight="1">
      <c r="A81" s="498" t="s">
        <v>1297</v>
      </c>
      <c r="B81" s="1077"/>
      <c r="C81" s="1074" t="s">
        <v>199</v>
      </c>
      <c r="D81" s="1075">
        <v>14.837596999999999</v>
      </c>
      <c r="E81" s="1075">
        <v>0.02</v>
      </c>
      <c r="F81" s="1075">
        <v>14.817596999999999</v>
      </c>
      <c r="G81" s="1075" t="s">
        <v>1160</v>
      </c>
      <c r="H81" s="1076"/>
      <c r="I81" s="1115"/>
      <c r="J81" s="1076"/>
      <c r="K81" s="1060"/>
    </row>
    <row r="82" spans="1:11" s="1105" customFormat="1" ht="188.25" customHeight="1">
      <c r="A82" s="498">
        <v>41</v>
      </c>
      <c r="B82" s="505" t="s">
        <v>815</v>
      </c>
      <c r="C82" s="1015" t="s">
        <v>87</v>
      </c>
      <c r="D82" s="492">
        <v>9.2319279999999999</v>
      </c>
      <c r="E82" s="492">
        <v>0.54</v>
      </c>
      <c r="F82" s="492">
        <v>8.691927999999999</v>
      </c>
      <c r="G82" s="1104" t="s">
        <v>1161</v>
      </c>
      <c r="H82" s="1104" t="s">
        <v>753</v>
      </c>
      <c r="I82" s="505" t="s">
        <v>1162</v>
      </c>
      <c r="J82" s="499" t="s">
        <v>887</v>
      </c>
      <c r="K82" s="986" t="s">
        <v>753</v>
      </c>
    </row>
    <row r="83" spans="1:11" s="1118" customFormat="1" ht="33" hidden="1">
      <c r="A83" s="498" t="s">
        <v>1297</v>
      </c>
      <c r="B83" s="1073" t="s">
        <v>1100</v>
      </c>
      <c r="C83" s="1109" t="s">
        <v>87</v>
      </c>
      <c r="D83" s="1075">
        <v>2.7262519999999997</v>
      </c>
      <c r="E83" s="1075">
        <v>0.17</v>
      </c>
      <c r="F83" s="1075">
        <v>2.5562519999999997</v>
      </c>
      <c r="G83" s="1111" t="s">
        <v>1163</v>
      </c>
      <c r="H83" s="1111"/>
      <c r="I83" s="1073"/>
      <c r="J83" s="1076"/>
      <c r="K83" s="1117"/>
    </row>
    <row r="84" spans="1:11" s="1068" customFormat="1" ht="49.5" hidden="1">
      <c r="A84" s="498" t="s">
        <v>1297</v>
      </c>
      <c r="B84" s="1077" t="s">
        <v>1164</v>
      </c>
      <c r="C84" s="1074" t="s">
        <v>110</v>
      </c>
      <c r="D84" s="1075">
        <v>0.72568299999999997</v>
      </c>
      <c r="E84" s="1075"/>
      <c r="F84" s="1075">
        <v>0.72568299999999997</v>
      </c>
      <c r="G84" s="1075" t="s">
        <v>1165</v>
      </c>
      <c r="H84" s="1076"/>
      <c r="I84" s="1077"/>
      <c r="J84" s="1076"/>
      <c r="K84" s="1067"/>
    </row>
    <row r="85" spans="1:11" s="1068" customFormat="1" hidden="1">
      <c r="A85" s="498" t="s">
        <v>1297</v>
      </c>
      <c r="B85" s="1077" t="s">
        <v>1166</v>
      </c>
      <c r="C85" s="1074" t="s">
        <v>202</v>
      </c>
      <c r="D85" s="1075">
        <v>0.14171900000000001</v>
      </c>
      <c r="E85" s="1075"/>
      <c r="F85" s="1075">
        <v>0.14171900000000001</v>
      </c>
      <c r="G85" s="1075" t="s">
        <v>937</v>
      </c>
      <c r="H85" s="1076"/>
      <c r="I85" s="1077"/>
      <c r="J85" s="1076"/>
      <c r="K85" s="1067"/>
    </row>
    <row r="86" spans="1:11" s="1068" customFormat="1" ht="18.75" hidden="1">
      <c r="A86" s="498" t="s">
        <v>1297</v>
      </c>
      <c r="B86" s="1077" t="s">
        <v>1167</v>
      </c>
      <c r="C86" s="1074" t="s">
        <v>204</v>
      </c>
      <c r="D86" s="1075">
        <v>0.30122500000000002</v>
      </c>
      <c r="E86" s="1119"/>
      <c r="F86" s="1075">
        <v>0.30122500000000002</v>
      </c>
      <c r="G86" s="1110" t="s">
        <v>937</v>
      </c>
      <c r="H86" s="1076"/>
      <c r="I86" s="1077"/>
      <c r="J86" s="1076"/>
      <c r="K86" s="1067"/>
    </row>
    <row r="87" spans="1:11" s="1068" customFormat="1" ht="66" hidden="1">
      <c r="A87" s="498" t="s">
        <v>1297</v>
      </c>
      <c r="B87" s="1077" t="s">
        <v>1168</v>
      </c>
      <c r="C87" s="1074" t="s">
        <v>199</v>
      </c>
      <c r="D87" s="1075">
        <v>5.3370489999999995</v>
      </c>
      <c r="E87" s="1075">
        <v>0.37</v>
      </c>
      <c r="F87" s="1075">
        <v>4.9670489999999994</v>
      </c>
      <c r="G87" s="1075" t="s">
        <v>1161</v>
      </c>
      <c r="H87" s="1076"/>
      <c r="I87" s="1077"/>
      <c r="J87" s="1076"/>
      <c r="K87" s="1067"/>
    </row>
    <row r="88" spans="1:11" s="1105" customFormat="1" ht="72" customHeight="1">
      <c r="A88" s="498">
        <v>42</v>
      </c>
      <c r="B88" s="505" t="s">
        <v>816</v>
      </c>
      <c r="C88" s="1015" t="s">
        <v>87</v>
      </c>
      <c r="D88" s="492">
        <v>4.4312399999999998</v>
      </c>
      <c r="E88" s="492">
        <v>0.34</v>
      </c>
      <c r="F88" s="492">
        <v>4.0912399999999991</v>
      </c>
      <c r="G88" s="1104" t="s">
        <v>1169</v>
      </c>
      <c r="H88" s="1104" t="s">
        <v>753</v>
      </c>
      <c r="I88" s="505" t="s">
        <v>939</v>
      </c>
      <c r="J88" s="499" t="s">
        <v>1094</v>
      </c>
      <c r="K88" s="986" t="s">
        <v>753</v>
      </c>
    </row>
    <row r="89" spans="1:11" s="1112" customFormat="1" ht="33" hidden="1">
      <c r="A89" s="498" t="s">
        <v>1297</v>
      </c>
      <c r="B89" s="1073" t="s">
        <v>1100</v>
      </c>
      <c r="C89" s="1109" t="s">
        <v>87</v>
      </c>
      <c r="D89" s="1075">
        <v>1.6038289999999999</v>
      </c>
      <c r="E89" s="1075">
        <v>0.11</v>
      </c>
      <c r="F89" s="1075">
        <v>1.4938289999999999</v>
      </c>
      <c r="G89" s="1111" t="s">
        <v>1163</v>
      </c>
      <c r="H89" s="1111" t="s">
        <v>753</v>
      </c>
      <c r="I89" s="1073"/>
      <c r="J89" s="1076"/>
      <c r="K89" s="986"/>
    </row>
    <row r="90" spans="1:11" s="1114" customFormat="1" ht="33" hidden="1">
      <c r="A90" s="498" t="s">
        <v>1297</v>
      </c>
      <c r="B90" s="1077" t="s">
        <v>63</v>
      </c>
      <c r="C90" s="1109" t="s">
        <v>64</v>
      </c>
      <c r="D90" s="1075">
        <v>0.05</v>
      </c>
      <c r="E90" s="1075"/>
      <c r="F90" s="1075">
        <v>0.05</v>
      </c>
      <c r="G90" s="1075" t="s">
        <v>936</v>
      </c>
      <c r="H90" s="1076" t="s">
        <v>753</v>
      </c>
      <c r="I90" s="1076"/>
      <c r="J90" s="1076"/>
      <c r="K90" s="1060"/>
    </row>
    <row r="91" spans="1:11" s="1114" customFormat="1" ht="33" hidden="1">
      <c r="A91" s="498" t="s">
        <v>1297</v>
      </c>
      <c r="B91" s="1077" t="s">
        <v>1170</v>
      </c>
      <c r="C91" s="1074" t="s">
        <v>110</v>
      </c>
      <c r="D91" s="1075">
        <v>0.26399899999999998</v>
      </c>
      <c r="E91" s="1075"/>
      <c r="F91" s="1075">
        <v>0.26399899999999998</v>
      </c>
      <c r="G91" s="1075" t="s">
        <v>949</v>
      </c>
      <c r="H91" s="1076" t="s">
        <v>753</v>
      </c>
      <c r="I91" s="1076"/>
      <c r="J91" s="1076"/>
      <c r="K91" s="1060"/>
    </row>
    <row r="92" spans="1:11" s="1114" customFormat="1" ht="49.5" hidden="1">
      <c r="A92" s="498" t="s">
        <v>1297</v>
      </c>
      <c r="B92" s="1077" t="s">
        <v>484</v>
      </c>
      <c r="C92" s="1074" t="s">
        <v>199</v>
      </c>
      <c r="D92" s="1075">
        <v>2.5134119999999998</v>
      </c>
      <c r="E92" s="1075">
        <v>0.23</v>
      </c>
      <c r="F92" s="1075">
        <v>2.2834119999999998</v>
      </c>
      <c r="G92" s="1075" t="s">
        <v>1171</v>
      </c>
      <c r="H92" s="1076" t="s">
        <v>753</v>
      </c>
      <c r="I92" s="1077"/>
      <c r="J92" s="1076"/>
      <c r="K92" s="1060"/>
    </row>
    <row r="93" spans="1:11" s="1105" customFormat="1" ht="309.75" customHeight="1">
      <c r="A93" s="498">
        <v>43</v>
      </c>
      <c r="B93" s="505" t="s">
        <v>1172</v>
      </c>
      <c r="C93" s="1015" t="s">
        <v>87</v>
      </c>
      <c r="D93" s="492">
        <v>9.0592999999999986</v>
      </c>
      <c r="E93" s="492">
        <v>0</v>
      </c>
      <c r="F93" s="492">
        <v>9.0592999999999986</v>
      </c>
      <c r="G93" s="1104" t="s">
        <v>1173</v>
      </c>
      <c r="H93" s="1104" t="s">
        <v>755</v>
      </c>
      <c r="I93" s="1120" t="s">
        <v>1174</v>
      </c>
      <c r="J93" s="499" t="s">
        <v>1094</v>
      </c>
      <c r="K93" s="986" t="s">
        <v>755</v>
      </c>
    </row>
    <row r="94" spans="1:11" s="1127" customFormat="1" ht="60.75" hidden="1" customHeight="1">
      <c r="A94" s="1121" t="s">
        <v>1297</v>
      </c>
      <c r="B94" s="1122" t="s">
        <v>1100</v>
      </c>
      <c r="C94" s="1123" t="s">
        <v>87</v>
      </c>
      <c r="D94" s="1054">
        <v>2.8392999999999997</v>
      </c>
      <c r="E94" s="1124"/>
      <c r="F94" s="1054">
        <v>2.8392999999999997</v>
      </c>
      <c r="G94" s="1124" t="s">
        <v>1175</v>
      </c>
      <c r="H94" s="1124"/>
      <c r="I94" s="1125"/>
      <c r="J94" s="1126"/>
      <c r="K94" s="1117"/>
    </row>
    <row r="95" spans="1:11" s="1132" customFormat="1" ht="37.5" hidden="1" customHeight="1">
      <c r="A95" s="1121" t="s">
        <v>1297</v>
      </c>
      <c r="B95" s="1128" t="s">
        <v>118</v>
      </c>
      <c r="C95" s="1129" t="s">
        <v>119</v>
      </c>
      <c r="D95" s="1054">
        <v>1.5599999999999999E-2</v>
      </c>
      <c r="E95" s="1054"/>
      <c r="F95" s="1054">
        <v>1.5599999999999999E-2</v>
      </c>
      <c r="G95" s="1054" t="s">
        <v>1176</v>
      </c>
      <c r="H95" s="1130"/>
      <c r="I95" s="1131"/>
      <c r="J95" s="1130"/>
      <c r="K95" s="1067"/>
    </row>
    <row r="96" spans="1:11" s="1134" customFormat="1" ht="60" hidden="1" customHeight="1">
      <c r="A96" s="1121" t="s">
        <v>1297</v>
      </c>
      <c r="B96" s="1133" t="s">
        <v>1102</v>
      </c>
      <c r="C96" s="1129" t="s">
        <v>110</v>
      </c>
      <c r="D96" s="1054">
        <v>0.44819999999999993</v>
      </c>
      <c r="E96" s="1054"/>
      <c r="F96" s="1054">
        <v>0.44819999999999993</v>
      </c>
      <c r="G96" s="1054" t="s">
        <v>1175</v>
      </c>
      <c r="H96" s="1126"/>
      <c r="I96" s="1133"/>
      <c r="J96" s="1126"/>
      <c r="K96" s="1067"/>
    </row>
    <row r="97" spans="1:11" s="1134" customFormat="1" ht="48" hidden="1" customHeight="1">
      <c r="A97" s="1121" t="s">
        <v>1297</v>
      </c>
      <c r="B97" s="1133" t="s">
        <v>1177</v>
      </c>
      <c r="C97" s="1129" t="s">
        <v>202</v>
      </c>
      <c r="D97" s="1054">
        <v>0.13040000000000002</v>
      </c>
      <c r="E97" s="1054"/>
      <c r="F97" s="1054">
        <v>0.13040000000000002</v>
      </c>
      <c r="G97" s="1054" t="s">
        <v>1178</v>
      </c>
      <c r="H97" s="1126"/>
      <c r="I97" s="1133"/>
      <c r="J97" s="1126"/>
      <c r="K97" s="1067"/>
    </row>
    <row r="98" spans="1:11" s="1134" customFormat="1" ht="60" hidden="1" customHeight="1">
      <c r="A98" s="1121" t="s">
        <v>1297</v>
      </c>
      <c r="B98" s="1122" t="s">
        <v>1167</v>
      </c>
      <c r="C98" s="1129" t="s">
        <v>204</v>
      </c>
      <c r="D98" s="1054">
        <v>0.34109999999999996</v>
      </c>
      <c r="E98" s="1054"/>
      <c r="F98" s="1054">
        <v>0.34109999999999996</v>
      </c>
      <c r="G98" s="1054" t="s">
        <v>1179</v>
      </c>
      <c r="H98" s="1126"/>
      <c r="I98" s="1126"/>
      <c r="J98" s="1126"/>
      <c r="K98" s="1067"/>
    </row>
    <row r="99" spans="1:11" s="1134" customFormat="1" ht="43.5" hidden="1" customHeight="1">
      <c r="A99" s="1121" t="s">
        <v>1297</v>
      </c>
      <c r="B99" s="1135" t="s">
        <v>1180</v>
      </c>
      <c r="C99" s="1136" t="s">
        <v>205</v>
      </c>
      <c r="D99" s="1054">
        <v>2.2700000000000001E-2</v>
      </c>
      <c r="E99" s="1054"/>
      <c r="F99" s="1054">
        <v>2.2700000000000001E-2</v>
      </c>
      <c r="G99" s="1054" t="s">
        <v>1017</v>
      </c>
      <c r="H99" s="1126"/>
      <c r="I99" s="1122"/>
      <c r="J99" s="1126"/>
      <c r="K99" s="1067"/>
    </row>
    <row r="100" spans="1:11" s="1134" customFormat="1" ht="51" hidden="1" customHeight="1">
      <c r="A100" s="1121" t="s">
        <v>1297</v>
      </c>
      <c r="B100" s="1133" t="s">
        <v>1181</v>
      </c>
      <c r="C100" s="1129" t="s">
        <v>199</v>
      </c>
      <c r="D100" s="1054">
        <v>5.2619999999999996</v>
      </c>
      <c r="E100" s="1054"/>
      <c r="F100" s="1054">
        <v>5.2619999999999996</v>
      </c>
      <c r="G100" s="1054" t="s">
        <v>1173</v>
      </c>
      <c r="H100" s="1126"/>
      <c r="I100" s="1133"/>
      <c r="J100" s="1126"/>
      <c r="K100" s="1067"/>
    </row>
    <row r="101" spans="1:11" s="1105" customFormat="1" ht="262.5" customHeight="1">
      <c r="A101" s="498">
        <v>44</v>
      </c>
      <c r="B101" s="505" t="s">
        <v>822</v>
      </c>
      <c r="C101" s="1015" t="s">
        <v>87</v>
      </c>
      <c r="D101" s="492">
        <v>10.693290999999999</v>
      </c>
      <c r="E101" s="492">
        <v>0.49</v>
      </c>
      <c r="F101" s="492">
        <v>10.203290999999998</v>
      </c>
      <c r="G101" s="1104" t="s">
        <v>1182</v>
      </c>
      <c r="H101" s="1104" t="s">
        <v>755</v>
      </c>
      <c r="I101" s="505" t="s">
        <v>1183</v>
      </c>
      <c r="J101" s="499" t="s">
        <v>1094</v>
      </c>
      <c r="K101" s="986" t="s">
        <v>755</v>
      </c>
    </row>
    <row r="102" spans="1:11" s="1127" customFormat="1" ht="80.099999999999994" hidden="1" customHeight="1">
      <c r="A102" s="1121" t="s">
        <v>1297</v>
      </c>
      <c r="B102" s="1122" t="s">
        <v>1100</v>
      </c>
      <c r="C102" s="1123" t="s">
        <v>87</v>
      </c>
      <c r="D102" s="1054">
        <v>3.3842989999999991</v>
      </c>
      <c r="E102" s="1124"/>
      <c r="F102" s="1054">
        <v>3.3842989999999991</v>
      </c>
      <c r="G102" s="1124" t="s">
        <v>1184</v>
      </c>
      <c r="H102" s="1124"/>
      <c r="I102" s="1122"/>
      <c r="J102" s="1126"/>
      <c r="K102" s="1117"/>
    </row>
    <row r="103" spans="1:11" s="1134" customFormat="1" ht="54.75" hidden="1" customHeight="1">
      <c r="A103" s="1121" t="s">
        <v>1297</v>
      </c>
      <c r="B103" s="1133" t="s">
        <v>1185</v>
      </c>
      <c r="C103" s="1129" t="s">
        <v>64</v>
      </c>
      <c r="D103" s="1054">
        <v>0.22831600000000002</v>
      </c>
      <c r="E103" s="1054"/>
      <c r="F103" s="1054">
        <v>0.22831600000000002</v>
      </c>
      <c r="G103" s="1054" t="s">
        <v>1186</v>
      </c>
      <c r="H103" s="1126"/>
      <c r="I103" s="1133"/>
      <c r="J103" s="1126"/>
      <c r="K103" s="1067"/>
    </row>
    <row r="104" spans="1:11" s="1134" customFormat="1" ht="72" hidden="1" customHeight="1">
      <c r="A104" s="1121" t="s">
        <v>1297</v>
      </c>
      <c r="B104" s="1133" t="s">
        <v>1187</v>
      </c>
      <c r="C104" s="1129" t="s">
        <v>110</v>
      </c>
      <c r="D104" s="1054">
        <v>0.35764699999999994</v>
      </c>
      <c r="E104" s="1054"/>
      <c r="F104" s="1054">
        <v>0.35764699999999994</v>
      </c>
      <c r="G104" s="1054" t="s">
        <v>1188</v>
      </c>
      <c r="H104" s="1126"/>
      <c r="I104" s="1133"/>
      <c r="J104" s="1126"/>
      <c r="K104" s="1067"/>
    </row>
    <row r="105" spans="1:11" s="1134" customFormat="1" ht="75.75" hidden="1" customHeight="1">
      <c r="A105" s="1121" t="s">
        <v>1297</v>
      </c>
      <c r="B105" s="1133" t="s">
        <v>1166</v>
      </c>
      <c r="C105" s="1129" t="s">
        <v>202</v>
      </c>
      <c r="D105" s="1054">
        <v>0.45471200000000001</v>
      </c>
      <c r="E105" s="1054"/>
      <c r="F105" s="1054">
        <v>0.45471200000000001</v>
      </c>
      <c r="G105" s="1054" t="s">
        <v>933</v>
      </c>
      <c r="H105" s="1126"/>
      <c r="I105" s="1133"/>
      <c r="J105" s="1126"/>
      <c r="K105" s="1067"/>
    </row>
    <row r="106" spans="1:11" s="1134" customFormat="1" ht="69.75" hidden="1" customHeight="1">
      <c r="A106" s="1121" t="s">
        <v>1297</v>
      </c>
      <c r="B106" s="1133" t="s">
        <v>1189</v>
      </c>
      <c r="C106" s="1129" t="s">
        <v>204</v>
      </c>
      <c r="D106" s="1054">
        <v>0.276924</v>
      </c>
      <c r="E106" s="1054"/>
      <c r="F106" s="1054">
        <v>0.276924</v>
      </c>
      <c r="G106" s="1054" t="s">
        <v>934</v>
      </c>
      <c r="H106" s="1126"/>
      <c r="I106" s="1133"/>
      <c r="J106" s="1126"/>
      <c r="K106" s="1067"/>
    </row>
    <row r="107" spans="1:11" s="1134" customFormat="1" ht="61.5" hidden="1" customHeight="1">
      <c r="A107" s="1121" t="s">
        <v>1297</v>
      </c>
      <c r="B107" s="1133" t="s">
        <v>1181</v>
      </c>
      <c r="C107" s="1129" t="s">
        <v>199</v>
      </c>
      <c r="D107" s="1054">
        <v>5.9913929999999995</v>
      </c>
      <c r="E107" s="1054">
        <v>0.49</v>
      </c>
      <c r="F107" s="1054">
        <v>5.5013929999999993</v>
      </c>
      <c r="G107" s="1054" t="s">
        <v>1190</v>
      </c>
      <c r="H107" s="1126"/>
      <c r="I107" s="1133"/>
      <c r="J107" s="1126"/>
      <c r="K107" s="1067"/>
    </row>
    <row r="108" spans="1:11" s="1061" customFormat="1" ht="82.5">
      <c r="A108" s="498">
        <v>45</v>
      </c>
      <c r="B108" s="505" t="s">
        <v>1191</v>
      </c>
      <c r="C108" s="1015" t="s">
        <v>87</v>
      </c>
      <c r="D108" s="492">
        <v>2.1534900000000001</v>
      </c>
      <c r="E108" s="492"/>
      <c r="F108" s="492">
        <v>2.1534900000000001</v>
      </c>
      <c r="G108" s="1104" t="s">
        <v>1192</v>
      </c>
      <c r="H108" s="499" t="s">
        <v>755</v>
      </c>
      <c r="I108" s="497" t="s">
        <v>1193</v>
      </c>
      <c r="J108" s="499" t="s">
        <v>887</v>
      </c>
      <c r="K108" s="1060" t="s">
        <v>755</v>
      </c>
    </row>
    <row r="109" spans="1:11" s="1061" customFormat="1" ht="82.5">
      <c r="A109" s="498">
        <v>46</v>
      </c>
      <c r="B109" s="505" t="s">
        <v>1194</v>
      </c>
      <c r="C109" s="1015" t="s">
        <v>87</v>
      </c>
      <c r="D109" s="492">
        <v>0.50563000000000002</v>
      </c>
      <c r="E109" s="492"/>
      <c r="F109" s="492">
        <v>0.50563000000000002</v>
      </c>
      <c r="G109" s="1104" t="s">
        <v>1195</v>
      </c>
      <c r="H109" s="499" t="s">
        <v>755</v>
      </c>
      <c r="I109" s="497" t="s">
        <v>1193</v>
      </c>
      <c r="J109" s="499" t="s">
        <v>887</v>
      </c>
      <c r="K109" s="1060" t="s">
        <v>755</v>
      </c>
    </row>
    <row r="110" spans="1:11" s="1061" customFormat="1" ht="82.5">
      <c r="A110" s="498">
        <v>47</v>
      </c>
      <c r="B110" s="505" t="s">
        <v>1196</v>
      </c>
      <c r="C110" s="1015" t="s">
        <v>87</v>
      </c>
      <c r="D110" s="492">
        <v>5.3712</v>
      </c>
      <c r="E110" s="492">
        <v>0</v>
      </c>
      <c r="F110" s="492">
        <v>5.3712</v>
      </c>
      <c r="G110" s="492" t="s">
        <v>1197</v>
      </c>
      <c r="H110" s="499" t="s">
        <v>755</v>
      </c>
      <c r="I110" s="1137" t="s">
        <v>1193</v>
      </c>
      <c r="J110" s="499" t="s">
        <v>887</v>
      </c>
      <c r="K110" s="1060" t="s">
        <v>755</v>
      </c>
    </row>
    <row r="111" spans="1:11" s="1068" customFormat="1" ht="44.25" hidden="1" customHeight="1">
      <c r="A111" s="498" t="s">
        <v>1297</v>
      </c>
      <c r="B111" s="1073" t="s">
        <v>484</v>
      </c>
      <c r="C111" s="1109" t="s">
        <v>199</v>
      </c>
      <c r="D111" s="1075">
        <v>3.7142399999999998</v>
      </c>
      <c r="E111" s="1111"/>
      <c r="F111" s="1075">
        <v>3.7142399999999998</v>
      </c>
      <c r="G111" s="1075" t="s">
        <v>1197</v>
      </c>
      <c r="H111" s="1076"/>
      <c r="I111" s="1115"/>
      <c r="J111" s="1076"/>
      <c r="K111" s="1067"/>
    </row>
    <row r="112" spans="1:11" s="1068" customFormat="1" ht="46.5" hidden="1" customHeight="1">
      <c r="A112" s="498" t="s">
        <v>1297</v>
      </c>
      <c r="B112" s="1073" t="s">
        <v>1100</v>
      </c>
      <c r="C112" s="1074" t="s">
        <v>87</v>
      </c>
      <c r="D112" s="1075">
        <v>1.65696</v>
      </c>
      <c r="E112" s="1075"/>
      <c r="F112" s="1075">
        <v>1.65696</v>
      </c>
      <c r="G112" s="1075" t="s">
        <v>1198</v>
      </c>
      <c r="H112" s="1076"/>
      <c r="I112" s="1138"/>
      <c r="J112" s="1076"/>
      <c r="K112" s="1067"/>
    </row>
    <row r="113" spans="1:11" s="1139" customFormat="1" ht="206.25" customHeight="1">
      <c r="A113" s="498">
        <v>48</v>
      </c>
      <c r="B113" s="507" t="s">
        <v>823</v>
      </c>
      <c r="C113" s="1015" t="s">
        <v>87</v>
      </c>
      <c r="D113" s="492">
        <v>6.1400000000000006</v>
      </c>
      <c r="E113" s="492">
        <v>1.83</v>
      </c>
      <c r="F113" s="492">
        <v>4.3099999999999996</v>
      </c>
      <c r="G113" s="1092" t="s">
        <v>1199</v>
      </c>
      <c r="H113" s="498" t="s">
        <v>758</v>
      </c>
      <c r="I113" s="507" t="s">
        <v>912</v>
      </c>
      <c r="J113" s="499" t="s">
        <v>887</v>
      </c>
      <c r="K113" s="1060" t="s">
        <v>758</v>
      </c>
    </row>
    <row r="114" spans="1:11" s="1141" customFormat="1" ht="37.5" hidden="1">
      <c r="A114" s="1121" t="s">
        <v>1297</v>
      </c>
      <c r="B114" s="1133" t="s">
        <v>1100</v>
      </c>
      <c r="C114" s="1123" t="s">
        <v>87</v>
      </c>
      <c r="D114" s="1054">
        <v>2.3499999999999996</v>
      </c>
      <c r="E114" s="1054">
        <v>0.14000000000000001</v>
      </c>
      <c r="F114" s="1054">
        <v>2.2099999999999995</v>
      </c>
      <c r="G114" s="1140" t="s">
        <v>1200</v>
      </c>
      <c r="H114" s="1130" t="s">
        <v>758</v>
      </c>
      <c r="I114" s="1133"/>
      <c r="J114" s="1126"/>
      <c r="K114" s="1060"/>
    </row>
    <row r="115" spans="1:11" s="1141" customFormat="1" ht="33" hidden="1">
      <c r="A115" s="1121" t="s">
        <v>1297</v>
      </c>
      <c r="B115" s="1133" t="s">
        <v>1201</v>
      </c>
      <c r="C115" s="1129" t="s">
        <v>110</v>
      </c>
      <c r="D115" s="1054">
        <v>0.11</v>
      </c>
      <c r="E115" s="1054"/>
      <c r="F115" s="1054">
        <v>0.11</v>
      </c>
      <c r="G115" s="1140" t="s">
        <v>20</v>
      </c>
      <c r="H115" s="1130" t="s">
        <v>758</v>
      </c>
      <c r="I115" s="1133"/>
      <c r="J115" s="1126"/>
      <c r="K115" s="1060"/>
    </row>
    <row r="116" spans="1:11" s="1141" customFormat="1" ht="33" hidden="1">
      <c r="A116" s="1121" t="s">
        <v>1297</v>
      </c>
      <c r="B116" s="1133" t="s">
        <v>1177</v>
      </c>
      <c r="C116" s="1129" t="s">
        <v>202</v>
      </c>
      <c r="D116" s="1054">
        <v>0.24000000000000002</v>
      </c>
      <c r="E116" s="1054"/>
      <c r="F116" s="1054">
        <v>0.24000000000000002</v>
      </c>
      <c r="G116" s="1140" t="s">
        <v>1034</v>
      </c>
      <c r="H116" s="1130" t="s">
        <v>758</v>
      </c>
      <c r="I116" s="1133"/>
      <c r="J116" s="1126"/>
      <c r="K116" s="1060"/>
    </row>
    <row r="117" spans="1:11" s="1141" customFormat="1" ht="56.25" hidden="1">
      <c r="A117" s="1121" t="s">
        <v>1297</v>
      </c>
      <c r="B117" s="1133" t="s">
        <v>1181</v>
      </c>
      <c r="C117" s="1129" t="s">
        <v>199</v>
      </c>
      <c r="D117" s="1054">
        <v>3.4400000000000004</v>
      </c>
      <c r="E117" s="1054">
        <v>1.69</v>
      </c>
      <c r="F117" s="1054">
        <v>1.7500000000000002</v>
      </c>
      <c r="G117" s="1140" t="s">
        <v>1202</v>
      </c>
      <c r="H117" s="1130" t="s">
        <v>758</v>
      </c>
      <c r="I117" s="1133"/>
      <c r="J117" s="1126"/>
      <c r="K117" s="1060"/>
    </row>
    <row r="118" spans="1:11" s="1139" customFormat="1" ht="93.75">
      <c r="A118" s="498">
        <v>49</v>
      </c>
      <c r="B118" s="505" t="s">
        <v>824</v>
      </c>
      <c r="C118" s="1015" t="s">
        <v>87</v>
      </c>
      <c r="D118" s="492">
        <v>48.800000000000004</v>
      </c>
      <c r="E118" s="492">
        <v>8.35</v>
      </c>
      <c r="F118" s="492">
        <v>40.450000000000003</v>
      </c>
      <c r="G118" s="1092" t="s">
        <v>1203</v>
      </c>
      <c r="H118" s="498" t="s">
        <v>758</v>
      </c>
      <c r="I118" s="1094" t="s">
        <v>827</v>
      </c>
      <c r="J118" s="499" t="s">
        <v>887</v>
      </c>
      <c r="K118" s="1060" t="s">
        <v>758</v>
      </c>
    </row>
    <row r="119" spans="1:11" s="1143" customFormat="1" ht="45.75" hidden="1" customHeight="1">
      <c r="A119" s="1121" t="s">
        <v>1297</v>
      </c>
      <c r="B119" s="1122" t="s">
        <v>1100</v>
      </c>
      <c r="C119" s="1123" t="s">
        <v>87</v>
      </c>
      <c r="D119" s="1054">
        <v>18.110000000000003</v>
      </c>
      <c r="E119" s="1054">
        <v>7.04</v>
      </c>
      <c r="F119" s="1054">
        <v>11.070000000000002</v>
      </c>
      <c r="G119" s="1140" t="s">
        <v>1204</v>
      </c>
      <c r="H119" s="1130"/>
      <c r="I119" s="1142"/>
      <c r="J119" s="1126"/>
      <c r="K119" s="1067"/>
    </row>
    <row r="120" spans="1:11" s="1132" customFormat="1" ht="45.75" hidden="1" customHeight="1">
      <c r="A120" s="1121" t="s">
        <v>1297</v>
      </c>
      <c r="B120" s="1144" t="s">
        <v>1205</v>
      </c>
      <c r="C120" s="1129" t="s">
        <v>64</v>
      </c>
      <c r="D120" s="1145">
        <v>4.12</v>
      </c>
      <c r="E120" s="1145"/>
      <c r="F120" s="1145">
        <v>4.12</v>
      </c>
      <c r="G120" s="1146" t="s">
        <v>1206</v>
      </c>
      <c r="H120" s="1123"/>
      <c r="I120" s="1147"/>
      <c r="J120" s="1129"/>
      <c r="K120" s="1067"/>
    </row>
    <row r="121" spans="1:11" s="1132" customFormat="1" ht="45.75" hidden="1" customHeight="1">
      <c r="A121" s="1121" t="s">
        <v>1297</v>
      </c>
      <c r="B121" s="1144" t="s">
        <v>1207</v>
      </c>
      <c r="C121" s="1129" t="s">
        <v>110</v>
      </c>
      <c r="D121" s="1145">
        <v>4.1899999999999995</v>
      </c>
      <c r="E121" s="1145"/>
      <c r="F121" s="1145">
        <v>4.1899999999999995</v>
      </c>
      <c r="G121" s="1146" t="s">
        <v>1208</v>
      </c>
      <c r="H121" s="1123"/>
      <c r="I121" s="1147"/>
      <c r="J121" s="1129"/>
      <c r="K121" s="1067"/>
    </row>
    <row r="122" spans="1:11" s="1132" customFormat="1" ht="45.75" hidden="1" customHeight="1">
      <c r="A122" s="1121" t="s">
        <v>1297</v>
      </c>
      <c r="B122" s="1144" t="s">
        <v>1166</v>
      </c>
      <c r="C122" s="1129" t="s">
        <v>202</v>
      </c>
      <c r="D122" s="1145">
        <v>0.66</v>
      </c>
      <c r="E122" s="1145">
        <v>0.08</v>
      </c>
      <c r="F122" s="1145">
        <v>0.58000000000000007</v>
      </c>
      <c r="G122" s="1146" t="s">
        <v>1209</v>
      </c>
      <c r="H122" s="1123"/>
      <c r="I122" s="1147"/>
      <c r="J122" s="1129"/>
      <c r="K122" s="1067"/>
    </row>
    <row r="123" spans="1:11" s="1132" customFormat="1" ht="45.75" hidden="1" customHeight="1">
      <c r="A123" s="1121" t="s">
        <v>1297</v>
      </c>
      <c r="B123" s="1144" t="s">
        <v>1181</v>
      </c>
      <c r="C123" s="1129" t="s">
        <v>199</v>
      </c>
      <c r="D123" s="1145">
        <v>21.170000000000005</v>
      </c>
      <c r="E123" s="1145">
        <v>1.23</v>
      </c>
      <c r="F123" s="1145">
        <v>19.940000000000005</v>
      </c>
      <c r="G123" s="1146" t="s">
        <v>1210</v>
      </c>
      <c r="H123" s="1123"/>
      <c r="I123" s="1147"/>
      <c r="J123" s="1129"/>
      <c r="K123" s="1067"/>
    </row>
    <row r="124" spans="1:11" s="1132" customFormat="1" ht="45.75" hidden="1" customHeight="1">
      <c r="A124" s="1121" t="s">
        <v>1297</v>
      </c>
      <c r="B124" s="1144" t="s">
        <v>1211</v>
      </c>
      <c r="C124" s="1129" t="s">
        <v>200</v>
      </c>
      <c r="D124" s="1145">
        <v>0.55000000000000004</v>
      </c>
      <c r="E124" s="1145"/>
      <c r="F124" s="1145">
        <v>0.55000000000000004</v>
      </c>
      <c r="G124" s="1146" t="s">
        <v>1212</v>
      </c>
      <c r="H124" s="1123"/>
      <c r="I124" s="1147"/>
      <c r="J124" s="1129"/>
      <c r="K124" s="1067"/>
    </row>
    <row r="125" spans="1:11" s="1061" customFormat="1" ht="135.75" customHeight="1">
      <c r="A125" s="498">
        <v>50</v>
      </c>
      <c r="B125" s="505" t="s">
        <v>1213</v>
      </c>
      <c r="C125" s="1015" t="s">
        <v>87</v>
      </c>
      <c r="D125" s="492">
        <v>22.062663999999995</v>
      </c>
      <c r="E125" s="492">
        <v>7.0000000000000007E-2</v>
      </c>
      <c r="F125" s="492">
        <v>21.992663999999994</v>
      </c>
      <c r="G125" s="492" t="s">
        <v>945</v>
      </c>
      <c r="H125" s="498" t="s">
        <v>1214</v>
      </c>
      <c r="I125" s="505" t="s">
        <v>895</v>
      </c>
      <c r="J125" s="499" t="s">
        <v>1094</v>
      </c>
      <c r="K125" s="1060" t="s">
        <v>1076</v>
      </c>
    </row>
    <row r="126" spans="1:11" s="490" customFormat="1" ht="33" hidden="1">
      <c r="A126" s="1121" t="s">
        <v>1297</v>
      </c>
      <c r="B126" s="1122" t="s">
        <v>1100</v>
      </c>
      <c r="C126" s="1123" t="s">
        <v>87</v>
      </c>
      <c r="D126" s="1054">
        <v>0.33218899999999996</v>
      </c>
      <c r="E126" s="1054"/>
      <c r="F126" s="1054">
        <v>0.33218899999999996</v>
      </c>
      <c r="G126" s="1054" t="s">
        <v>945</v>
      </c>
      <c r="H126" s="1130" t="s">
        <v>757</v>
      </c>
      <c r="I126" s="1122"/>
      <c r="J126" s="1126"/>
      <c r="K126" s="1060"/>
    </row>
    <row r="127" spans="1:11" s="490" customFormat="1" ht="33" hidden="1">
      <c r="A127" s="1148" t="s">
        <v>1297</v>
      </c>
      <c r="B127" s="1149" t="s">
        <v>1181</v>
      </c>
      <c r="C127" s="1150" t="s">
        <v>199</v>
      </c>
      <c r="D127" s="1055">
        <v>0.106656</v>
      </c>
      <c r="E127" s="1055">
        <v>7.0000000000000007E-2</v>
      </c>
      <c r="F127" s="1055">
        <v>3.6656000000000001E-2</v>
      </c>
      <c r="G127" s="1055" t="s">
        <v>945</v>
      </c>
      <c r="H127" s="1055" t="s">
        <v>757</v>
      </c>
      <c r="I127" s="1151"/>
      <c r="J127" s="1049"/>
      <c r="K127" s="1060"/>
    </row>
    <row r="128" spans="1:11" s="490" customFormat="1" ht="33" hidden="1">
      <c r="A128" s="1152"/>
      <c r="B128" s="1153"/>
      <c r="C128" s="1154"/>
      <c r="D128" s="1055">
        <v>21.623818999999997</v>
      </c>
      <c r="E128" s="1055"/>
      <c r="F128" s="1055">
        <v>21.623818999999997</v>
      </c>
      <c r="G128" s="1055"/>
      <c r="H128" s="1155" t="s">
        <v>758</v>
      </c>
      <c r="I128" s="1156"/>
      <c r="J128" s="1157"/>
      <c r="K128" s="1060"/>
    </row>
    <row r="129" spans="1:11" s="1108" customFormat="1">
      <c r="A129" s="1020" t="s">
        <v>59</v>
      </c>
      <c r="B129" s="1003" t="s">
        <v>831</v>
      </c>
      <c r="C129" s="1004"/>
      <c r="D129" s="1023"/>
      <c r="E129" s="1023"/>
      <c r="F129" s="1023"/>
      <c r="G129" s="1005">
        <v>0</v>
      </c>
      <c r="H129" s="1005"/>
      <c r="I129" s="1003"/>
      <c r="J129" s="1000"/>
      <c r="K129" s="1107"/>
    </row>
    <row r="130" spans="1:11" s="1105" customFormat="1" ht="189.75" customHeight="1">
      <c r="A130" s="491">
        <v>51</v>
      </c>
      <c r="B130" s="504" t="s">
        <v>935</v>
      </c>
      <c r="C130" s="1158" t="s">
        <v>90</v>
      </c>
      <c r="D130" s="487">
        <v>20.304049999999997</v>
      </c>
      <c r="E130" s="1159">
        <v>0.9083</v>
      </c>
      <c r="F130" s="487">
        <v>19.395749999999996</v>
      </c>
      <c r="G130" s="1159" t="s">
        <v>1215</v>
      </c>
      <c r="H130" s="1159" t="s">
        <v>850</v>
      </c>
      <c r="I130" s="504" t="s">
        <v>790</v>
      </c>
      <c r="J130" s="992" t="s">
        <v>887</v>
      </c>
      <c r="K130" s="986" t="s">
        <v>850</v>
      </c>
    </row>
    <row r="131" spans="1:11" s="1108" customFormat="1">
      <c r="A131" s="1020" t="s">
        <v>62</v>
      </c>
      <c r="B131" s="1003" t="s">
        <v>793</v>
      </c>
      <c r="C131" s="1004"/>
      <c r="D131" s="1023"/>
      <c r="E131" s="1005"/>
      <c r="F131" s="1023"/>
      <c r="G131" s="1005"/>
      <c r="H131" s="1005"/>
      <c r="I131" s="1003"/>
      <c r="J131" s="1000"/>
      <c r="K131" s="1107"/>
    </row>
    <row r="132" spans="1:11" s="1105" customFormat="1" ht="151.5" customHeight="1">
      <c r="A132" s="491">
        <v>52</v>
      </c>
      <c r="B132" s="504" t="s">
        <v>794</v>
      </c>
      <c r="C132" s="1158" t="s">
        <v>99</v>
      </c>
      <c r="D132" s="487">
        <v>5.7676929999999995</v>
      </c>
      <c r="E132" s="1159">
        <v>4.4194009999999997</v>
      </c>
      <c r="F132" s="487">
        <v>1.348292</v>
      </c>
      <c r="G132" s="1159" t="s">
        <v>938</v>
      </c>
      <c r="H132" s="1159" t="s">
        <v>753</v>
      </c>
      <c r="I132" s="504" t="s">
        <v>795</v>
      </c>
      <c r="J132" s="992" t="s">
        <v>887</v>
      </c>
      <c r="K132" s="986" t="s">
        <v>753</v>
      </c>
    </row>
    <row r="133" spans="1:11" s="1108" customFormat="1" ht="33">
      <c r="A133" s="1020" t="s">
        <v>65</v>
      </c>
      <c r="B133" s="1003" t="s">
        <v>830</v>
      </c>
      <c r="C133" s="1004"/>
      <c r="D133" s="1023"/>
      <c r="E133" s="1023">
        <v>0</v>
      </c>
      <c r="F133" s="1023"/>
      <c r="G133" s="1005">
        <v>0</v>
      </c>
      <c r="H133" s="1005"/>
      <c r="I133" s="1003"/>
      <c r="J133" s="1000"/>
      <c r="K133" s="1107"/>
    </row>
    <row r="134" spans="1:11" s="1105" customFormat="1" ht="80.099999999999994" customHeight="1">
      <c r="A134" s="1011">
        <v>53</v>
      </c>
      <c r="B134" s="488" t="s">
        <v>834</v>
      </c>
      <c r="C134" s="1078" t="s">
        <v>104</v>
      </c>
      <c r="D134" s="486">
        <v>46.97</v>
      </c>
      <c r="E134" s="1160"/>
      <c r="F134" s="486">
        <v>46.97</v>
      </c>
      <c r="G134" s="1160" t="s">
        <v>35</v>
      </c>
      <c r="H134" s="1160" t="s">
        <v>746</v>
      </c>
      <c r="I134" s="488" t="s">
        <v>840</v>
      </c>
      <c r="J134" s="1013" t="s">
        <v>887</v>
      </c>
      <c r="K134" s="986" t="s">
        <v>746</v>
      </c>
    </row>
    <row r="135" spans="1:11" s="1105" customFormat="1" ht="86.25" customHeight="1">
      <c r="A135" s="498">
        <v>54</v>
      </c>
      <c r="B135" s="505" t="s">
        <v>835</v>
      </c>
      <c r="C135" s="1084" t="s">
        <v>104</v>
      </c>
      <c r="D135" s="492">
        <v>41.9</v>
      </c>
      <c r="E135" s="1104"/>
      <c r="F135" s="492">
        <v>41.9</v>
      </c>
      <c r="G135" s="1104" t="s">
        <v>35</v>
      </c>
      <c r="H135" s="1104" t="s">
        <v>746</v>
      </c>
      <c r="I135" s="505" t="s">
        <v>840</v>
      </c>
      <c r="J135" s="499" t="s">
        <v>887</v>
      </c>
      <c r="K135" s="986" t="s">
        <v>746</v>
      </c>
    </row>
    <row r="136" spans="1:11" s="1105" customFormat="1" ht="105.75" customHeight="1">
      <c r="A136" s="498">
        <v>55</v>
      </c>
      <c r="B136" s="505" t="s">
        <v>836</v>
      </c>
      <c r="C136" s="1084" t="s">
        <v>104</v>
      </c>
      <c r="D136" s="492">
        <v>12.39</v>
      </c>
      <c r="E136" s="1104"/>
      <c r="F136" s="492">
        <v>12.39</v>
      </c>
      <c r="G136" s="1104" t="s">
        <v>35</v>
      </c>
      <c r="H136" s="1104" t="s">
        <v>746</v>
      </c>
      <c r="I136" s="505" t="s">
        <v>841</v>
      </c>
      <c r="J136" s="499" t="s">
        <v>887</v>
      </c>
      <c r="K136" s="986" t="s">
        <v>746</v>
      </c>
    </row>
    <row r="137" spans="1:11" s="1061" customFormat="1" ht="80.099999999999994" customHeight="1">
      <c r="A137" s="498">
        <v>56</v>
      </c>
      <c r="B137" s="505" t="s">
        <v>1216</v>
      </c>
      <c r="C137" s="1084" t="s">
        <v>104</v>
      </c>
      <c r="D137" s="492">
        <v>30.270000000000003</v>
      </c>
      <c r="E137" s="492"/>
      <c r="F137" s="492">
        <v>30.27</v>
      </c>
      <c r="G137" s="492" t="s">
        <v>1217</v>
      </c>
      <c r="H137" s="1104" t="s">
        <v>746</v>
      </c>
      <c r="I137" s="1094" t="s">
        <v>1218</v>
      </c>
      <c r="J137" s="499" t="s">
        <v>1094</v>
      </c>
      <c r="K137" s="1060" t="s">
        <v>746</v>
      </c>
    </row>
    <row r="138" spans="1:11" s="1061" customFormat="1" ht="80.099999999999994" customHeight="1">
      <c r="A138" s="498">
        <v>57</v>
      </c>
      <c r="B138" s="505" t="s">
        <v>1219</v>
      </c>
      <c r="C138" s="1084" t="s">
        <v>104</v>
      </c>
      <c r="D138" s="492">
        <v>28.5</v>
      </c>
      <c r="E138" s="492"/>
      <c r="F138" s="492">
        <v>28.5</v>
      </c>
      <c r="G138" s="492" t="s">
        <v>1220</v>
      </c>
      <c r="H138" s="1104" t="s">
        <v>746</v>
      </c>
      <c r="I138" s="1094" t="s">
        <v>1218</v>
      </c>
      <c r="J138" s="499" t="s">
        <v>1094</v>
      </c>
      <c r="K138" s="1060" t="s">
        <v>746</v>
      </c>
    </row>
    <row r="139" spans="1:11" s="1061" customFormat="1" ht="87.75" customHeight="1">
      <c r="A139" s="498">
        <v>58</v>
      </c>
      <c r="B139" s="505" t="s">
        <v>1221</v>
      </c>
      <c r="C139" s="1084" t="s">
        <v>104</v>
      </c>
      <c r="D139" s="492">
        <v>26.759999999999998</v>
      </c>
      <c r="E139" s="492"/>
      <c r="F139" s="492">
        <v>26.76</v>
      </c>
      <c r="G139" s="492" t="s">
        <v>1222</v>
      </c>
      <c r="H139" s="1104" t="s">
        <v>746</v>
      </c>
      <c r="I139" s="1094" t="s">
        <v>1223</v>
      </c>
      <c r="J139" s="499" t="s">
        <v>1094</v>
      </c>
      <c r="K139" s="1060" t="s">
        <v>746</v>
      </c>
    </row>
    <row r="140" spans="1:11" s="1061" customFormat="1" ht="84.75" customHeight="1">
      <c r="A140" s="498">
        <v>59</v>
      </c>
      <c r="B140" s="505" t="s">
        <v>1224</v>
      </c>
      <c r="C140" s="1084" t="s">
        <v>104</v>
      </c>
      <c r="D140" s="492">
        <v>42.32</v>
      </c>
      <c r="E140" s="492"/>
      <c r="F140" s="492">
        <v>42.32</v>
      </c>
      <c r="G140" s="492" t="s">
        <v>1225</v>
      </c>
      <c r="H140" s="1104" t="s">
        <v>746</v>
      </c>
      <c r="I140" s="1094" t="s">
        <v>1223</v>
      </c>
      <c r="J140" s="499" t="s">
        <v>1094</v>
      </c>
      <c r="K140" s="1060" t="s">
        <v>746</v>
      </c>
    </row>
    <row r="141" spans="1:11" s="1061" customFormat="1" ht="80.099999999999994" customHeight="1">
      <c r="A141" s="498">
        <v>60</v>
      </c>
      <c r="B141" s="505" t="s">
        <v>1226</v>
      </c>
      <c r="C141" s="1084" t="s">
        <v>104</v>
      </c>
      <c r="D141" s="492">
        <v>42.379999999999995</v>
      </c>
      <c r="E141" s="492"/>
      <c r="F141" s="492">
        <v>42.379999999999995</v>
      </c>
      <c r="G141" s="492" t="s">
        <v>1227</v>
      </c>
      <c r="H141" s="1104" t="s">
        <v>746</v>
      </c>
      <c r="I141" s="507" t="s">
        <v>1228</v>
      </c>
      <c r="J141" s="499" t="s">
        <v>1094</v>
      </c>
      <c r="K141" s="1060" t="s">
        <v>746</v>
      </c>
    </row>
    <row r="142" spans="1:11" s="1105" customFormat="1" ht="120.75" customHeight="1">
      <c r="A142" s="498">
        <v>61</v>
      </c>
      <c r="B142" s="505" t="s">
        <v>838</v>
      </c>
      <c r="C142" s="1084" t="s">
        <v>104</v>
      </c>
      <c r="D142" s="492">
        <v>8.1684000000000001</v>
      </c>
      <c r="E142" s="1104"/>
      <c r="F142" s="492">
        <v>8.1684000000000001</v>
      </c>
      <c r="G142" s="1104" t="s">
        <v>904</v>
      </c>
      <c r="H142" s="1104" t="s">
        <v>753</v>
      </c>
      <c r="I142" s="505" t="s">
        <v>844</v>
      </c>
      <c r="J142" s="499" t="s">
        <v>887</v>
      </c>
      <c r="K142" s="986" t="s">
        <v>753</v>
      </c>
    </row>
    <row r="143" spans="1:11" s="1105" customFormat="1" ht="122.25" customHeight="1">
      <c r="A143" s="498">
        <v>62</v>
      </c>
      <c r="B143" s="505" t="s">
        <v>839</v>
      </c>
      <c r="C143" s="1084" t="s">
        <v>104</v>
      </c>
      <c r="D143" s="492">
        <v>6.19</v>
      </c>
      <c r="E143" s="1104"/>
      <c r="F143" s="492">
        <v>6.19</v>
      </c>
      <c r="G143" s="1104" t="s">
        <v>35</v>
      </c>
      <c r="H143" s="1104" t="s">
        <v>753</v>
      </c>
      <c r="I143" s="505" t="s">
        <v>845</v>
      </c>
      <c r="J143" s="499" t="s">
        <v>887</v>
      </c>
      <c r="K143" s="986" t="s">
        <v>753</v>
      </c>
    </row>
    <row r="144" spans="1:11" s="1061" customFormat="1" ht="72.75" customHeight="1">
      <c r="A144" s="494">
        <v>63</v>
      </c>
      <c r="B144" s="500" t="s">
        <v>1229</v>
      </c>
      <c r="C144" s="1161" t="s">
        <v>104</v>
      </c>
      <c r="D144" s="493">
        <v>2.72</v>
      </c>
      <c r="E144" s="493"/>
      <c r="F144" s="493">
        <v>2.72</v>
      </c>
      <c r="G144" s="493" t="s">
        <v>1230</v>
      </c>
      <c r="H144" s="496" t="s">
        <v>755</v>
      </c>
      <c r="I144" s="495" t="s">
        <v>1231</v>
      </c>
      <c r="J144" s="496" t="s">
        <v>1094</v>
      </c>
      <c r="K144" s="1060" t="s">
        <v>755</v>
      </c>
    </row>
    <row r="145" spans="1:16" s="1165" customFormat="1">
      <c r="A145" s="1020" t="s">
        <v>68</v>
      </c>
      <c r="B145" s="1003" t="s">
        <v>1232</v>
      </c>
      <c r="C145" s="1004"/>
      <c r="D145" s="1023"/>
      <c r="E145" s="1023">
        <v>0</v>
      </c>
      <c r="F145" s="1023"/>
      <c r="G145" s="1023"/>
      <c r="H145" s="1020"/>
      <c r="I145" s="1162"/>
      <c r="J145" s="1163"/>
      <c r="K145" s="1164"/>
    </row>
    <row r="146" spans="1:16" s="1061" customFormat="1" ht="80.099999999999994" customHeight="1">
      <c r="A146" s="1011">
        <v>64</v>
      </c>
      <c r="B146" s="488" t="s">
        <v>920</v>
      </c>
      <c r="C146" s="1078" t="s">
        <v>81</v>
      </c>
      <c r="D146" s="486">
        <v>6.5023349999999995</v>
      </c>
      <c r="E146" s="486"/>
      <c r="F146" s="486">
        <v>6.5023349999999995</v>
      </c>
      <c r="G146" s="486" t="s">
        <v>1233</v>
      </c>
      <c r="H146" s="1013" t="s">
        <v>745</v>
      </c>
      <c r="I146" s="1166" t="s">
        <v>896</v>
      </c>
      <c r="J146" s="1013" t="s">
        <v>921</v>
      </c>
      <c r="K146" s="1164" t="s">
        <v>745</v>
      </c>
      <c r="L146" s="1165"/>
    </row>
    <row r="147" spans="1:16" s="1061" customFormat="1" ht="86.25" customHeight="1">
      <c r="A147" s="498">
        <v>65</v>
      </c>
      <c r="B147" s="505" t="s">
        <v>837</v>
      </c>
      <c r="C147" s="1084" t="s">
        <v>81</v>
      </c>
      <c r="D147" s="492">
        <v>0.77600000000000002</v>
      </c>
      <c r="E147" s="492"/>
      <c r="F147" s="492">
        <v>0.77600000000000002</v>
      </c>
      <c r="G147" s="492" t="s">
        <v>35</v>
      </c>
      <c r="H147" s="499" t="s">
        <v>746</v>
      </c>
      <c r="I147" s="1094" t="s">
        <v>842</v>
      </c>
      <c r="J147" s="499" t="s">
        <v>887</v>
      </c>
      <c r="K147" s="1060" t="s">
        <v>746</v>
      </c>
    </row>
    <row r="148" spans="1:16" s="1170" customFormat="1" ht="161.25" customHeight="1">
      <c r="A148" s="498">
        <v>66</v>
      </c>
      <c r="B148" s="1167" t="s">
        <v>953</v>
      </c>
      <c r="C148" s="1084" t="s">
        <v>81</v>
      </c>
      <c r="D148" s="1093">
        <v>1.29</v>
      </c>
      <c r="E148" s="1093"/>
      <c r="F148" s="492">
        <v>1.29</v>
      </c>
      <c r="G148" s="1092" t="s">
        <v>209</v>
      </c>
      <c r="H148" s="1168" t="s">
        <v>954</v>
      </c>
      <c r="I148" s="1169" t="s">
        <v>843</v>
      </c>
      <c r="J148" s="499" t="s">
        <v>887</v>
      </c>
      <c r="K148" s="1060" t="s">
        <v>954</v>
      </c>
      <c r="L148" s="1061"/>
      <c r="P148" s="1170">
        <v>2019</v>
      </c>
    </row>
    <row r="149" spans="1:16" s="1061" customFormat="1" ht="127.5" customHeight="1">
      <c r="A149" s="498">
        <v>67</v>
      </c>
      <c r="B149" s="507" t="s">
        <v>1234</v>
      </c>
      <c r="C149" s="1084" t="s">
        <v>81</v>
      </c>
      <c r="D149" s="492">
        <v>4.5976220000000003</v>
      </c>
      <c r="E149" s="492"/>
      <c r="F149" s="492">
        <v>4.5976220000000003</v>
      </c>
      <c r="G149" s="492" t="s">
        <v>929</v>
      </c>
      <c r="H149" s="498" t="s">
        <v>748</v>
      </c>
      <c r="I149" s="1094" t="s">
        <v>843</v>
      </c>
      <c r="J149" s="499" t="s">
        <v>887</v>
      </c>
      <c r="K149" s="1060" t="s">
        <v>748</v>
      </c>
    </row>
    <row r="150" spans="1:16" s="1061" customFormat="1" ht="159.75" customHeight="1">
      <c r="A150" s="498">
        <v>68</v>
      </c>
      <c r="B150" s="507" t="s">
        <v>918</v>
      </c>
      <c r="C150" s="1084" t="s">
        <v>81</v>
      </c>
      <c r="D150" s="492">
        <v>3.7375450000000003</v>
      </c>
      <c r="E150" s="492"/>
      <c r="F150" s="492">
        <v>3.7375450000000003</v>
      </c>
      <c r="G150" s="492" t="s">
        <v>1235</v>
      </c>
      <c r="H150" s="499" t="s">
        <v>749</v>
      </c>
      <c r="I150" s="1137" t="s">
        <v>916</v>
      </c>
      <c r="J150" s="499" t="s">
        <v>1236</v>
      </c>
      <c r="K150" s="1060" t="s">
        <v>749</v>
      </c>
    </row>
    <row r="151" spans="1:16" s="1061" customFormat="1" ht="155.25" customHeight="1">
      <c r="A151" s="494">
        <v>69</v>
      </c>
      <c r="B151" s="1048" t="s">
        <v>1237</v>
      </c>
      <c r="C151" s="1161" t="s">
        <v>81</v>
      </c>
      <c r="D151" s="493">
        <v>1.6146739999999999</v>
      </c>
      <c r="E151" s="493"/>
      <c r="F151" s="493">
        <v>1.6146739999999999</v>
      </c>
      <c r="G151" s="493" t="s">
        <v>1238</v>
      </c>
      <c r="H151" s="496" t="s">
        <v>750</v>
      </c>
      <c r="I151" s="1171" t="s">
        <v>917</v>
      </c>
      <c r="J151" s="1172" t="s">
        <v>1236</v>
      </c>
      <c r="K151" s="1060" t="s">
        <v>750</v>
      </c>
    </row>
    <row r="152" spans="1:16" s="1174" customFormat="1">
      <c r="A152" s="1020" t="s">
        <v>71</v>
      </c>
      <c r="B152" s="1003" t="s">
        <v>847</v>
      </c>
      <c r="C152" s="1004"/>
      <c r="D152" s="1039"/>
      <c r="E152" s="1039"/>
      <c r="F152" s="1039"/>
      <c r="G152" s="1005"/>
      <c r="H152" s="1173"/>
      <c r="I152" s="1003"/>
      <c r="J152" s="1000"/>
      <c r="K152" s="986"/>
    </row>
    <row r="153" spans="1:16" s="1181" customFormat="1" ht="140.25" customHeight="1">
      <c r="A153" s="1175">
        <v>70</v>
      </c>
      <c r="B153" s="1176" t="s">
        <v>885</v>
      </c>
      <c r="C153" s="1177" t="s">
        <v>202</v>
      </c>
      <c r="D153" s="1178">
        <v>0.3</v>
      </c>
      <c r="E153" s="1179"/>
      <c r="F153" s="1178">
        <v>0.3</v>
      </c>
      <c r="G153" s="1179" t="s">
        <v>205</v>
      </c>
      <c r="H153" s="1179" t="s">
        <v>745</v>
      </c>
      <c r="I153" s="1176" t="s">
        <v>846</v>
      </c>
      <c r="J153" s="1180" t="s">
        <v>887</v>
      </c>
      <c r="K153" s="986" t="s">
        <v>745</v>
      </c>
    </row>
    <row r="154" spans="1:16" s="1181" customFormat="1" ht="33">
      <c r="A154" s="1182">
        <v>71</v>
      </c>
      <c r="B154" s="1183" t="s">
        <v>1239</v>
      </c>
      <c r="C154" s="1184" t="s">
        <v>202</v>
      </c>
      <c r="D154" s="1185">
        <v>0.16905999999999999</v>
      </c>
      <c r="E154" s="1186">
        <v>0.16905999999999999</v>
      </c>
      <c r="F154" s="1185"/>
      <c r="G154" s="1186" t="s">
        <v>202</v>
      </c>
      <c r="H154" s="1186" t="s">
        <v>746</v>
      </c>
      <c r="I154" s="1183"/>
      <c r="J154" s="1187" t="s">
        <v>1236</v>
      </c>
      <c r="K154" s="986" t="s">
        <v>746</v>
      </c>
    </row>
    <row r="155" spans="1:16" s="1108" customFormat="1" ht="39.950000000000003" customHeight="1">
      <c r="A155" s="1020" t="s">
        <v>73</v>
      </c>
      <c r="B155" s="1003" t="s">
        <v>849</v>
      </c>
      <c r="C155" s="1004"/>
      <c r="D155" s="1023"/>
      <c r="E155" s="1023"/>
      <c r="F155" s="1023"/>
      <c r="G155" s="1005"/>
      <c r="H155" s="1005"/>
      <c r="I155" s="1003"/>
      <c r="J155" s="1000"/>
      <c r="K155" s="1107"/>
    </row>
    <row r="156" spans="1:16" s="1105" customFormat="1" ht="132">
      <c r="A156" s="1011">
        <v>72</v>
      </c>
      <c r="B156" s="488" t="s">
        <v>851</v>
      </c>
      <c r="C156" s="1078" t="s">
        <v>204</v>
      </c>
      <c r="D156" s="486">
        <v>0.86</v>
      </c>
      <c r="E156" s="1160"/>
      <c r="F156" s="486">
        <v>0.86</v>
      </c>
      <c r="G156" s="1160" t="s">
        <v>209</v>
      </c>
      <c r="H156" s="1160" t="s">
        <v>753</v>
      </c>
      <c r="I156" s="488" t="s">
        <v>854</v>
      </c>
      <c r="J156" s="1013" t="s">
        <v>887</v>
      </c>
      <c r="K156" s="986" t="s">
        <v>753</v>
      </c>
    </row>
    <row r="157" spans="1:16" s="1105" customFormat="1" ht="181.5">
      <c r="A157" s="498">
        <v>73</v>
      </c>
      <c r="B157" s="505" t="s">
        <v>852</v>
      </c>
      <c r="C157" s="1084" t="s">
        <v>204</v>
      </c>
      <c r="D157" s="492">
        <v>0.76600000000000013</v>
      </c>
      <c r="E157" s="1104">
        <v>0.1</v>
      </c>
      <c r="F157" s="492">
        <v>0.66600000000000015</v>
      </c>
      <c r="G157" s="1104" t="s">
        <v>1240</v>
      </c>
      <c r="H157" s="1104" t="s">
        <v>753</v>
      </c>
      <c r="I157" s="505" t="s">
        <v>855</v>
      </c>
      <c r="J157" s="499" t="s">
        <v>887</v>
      </c>
      <c r="K157" s="986" t="s">
        <v>753</v>
      </c>
    </row>
    <row r="158" spans="1:16" s="1105" customFormat="1" ht="214.5">
      <c r="A158" s="498">
        <v>74</v>
      </c>
      <c r="B158" s="505" t="s">
        <v>853</v>
      </c>
      <c r="C158" s="1084" t="s">
        <v>204</v>
      </c>
      <c r="D158" s="492">
        <v>1.3345</v>
      </c>
      <c r="E158" s="1104"/>
      <c r="F158" s="492">
        <v>1.3345</v>
      </c>
      <c r="G158" s="1104" t="s">
        <v>898</v>
      </c>
      <c r="H158" s="1104" t="s">
        <v>760</v>
      </c>
      <c r="I158" s="505" t="s">
        <v>856</v>
      </c>
      <c r="J158" s="499" t="s">
        <v>887</v>
      </c>
      <c r="K158" s="986" t="s">
        <v>760</v>
      </c>
    </row>
    <row r="159" spans="1:16" s="1105" customFormat="1" ht="82.5">
      <c r="A159" s="498">
        <v>75</v>
      </c>
      <c r="B159" s="505" t="s">
        <v>1241</v>
      </c>
      <c r="C159" s="1084" t="s">
        <v>204</v>
      </c>
      <c r="D159" s="492">
        <v>11.44</v>
      </c>
      <c r="E159" s="1104">
        <v>11.44</v>
      </c>
      <c r="F159" s="492">
        <v>0</v>
      </c>
      <c r="G159" s="1104" t="s">
        <v>204</v>
      </c>
      <c r="H159" s="1104" t="s">
        <v>1242</v>
      </c>
      <c r="I159" s="505" t="s">
        <v>1243</v>
      </c>
      <c r="J159" s="499" t="s">
        <v>1236</v>
      </c>
      <c r="K159" s="986" t="s">
        <v>1242</v>
      </c>
    </row>
    <row r="160" spans="1:16" s="1105" customFormat="1" ht="104.25" customHeight="1">
      <c r="A160" s="494">
        <v>76</v>
      </c>
      <c r="B160" s="500" t="s">
        <v>1244</v>
      </c>
      <c r="C160" s="1161" t="s">
        <v>204</v>
      </c>
      <c r="D160" s="493">
        <v>0.63</v>
      </c>
      <c r="E160" s="1188">
        <v>0.63</v>
      </c>
      <c r="F160" s="493">
        <v>0</v>
      </c>
      <c r="G160" s="1104" t="s">
        <v>204</v>
      </c>
      <c r="H160" s="1188" t="s">
        <v>754</v>
      </c>
      <c r="I160" s="500" t="s">
        <v>1245</v>
      </c>
      <c r="J160" s="496" t="s">
        <v>1236</v>
      </c>
      <c r="K160" s="986" t="s">
        <v>754</v>
      </c>
    </row>
    <row r="161" spans="1:11" s="1108" customFormat="1" ht="39.950000000000003" customHeight="1">
      <c r="A161" s="1020" t="s">
        <v>76</v>
      </c>
      <c r="B161" s="1003" t="s">
        <v>848</v>
      </c>
      <c r="C161" s="1004"/>
      <c r="D161" s="1023"/>
      <c r="E161" s="1023">
        <v>0</v>
      </c>
      <c r="F161" s="1023"/>
      <c r="G161" s="1005"/>
      <c r="H161" s="1005"/>
      <c r="I161" s="1003"/>
      <c r="J161" s="1000"/>
      <c r="K161" s="1107"/>
    </row>
    <row r="162" spans="1:11" s="1105" customFormat="1" ht="41.25" customHeight="1">
      <c r="A162" s="491">
        <v>77</v>
      </c>
      <c r="B162" s="504" t="s">
        <v>860</v>
      </c>
      <c r="C162" s="1158" t="s">
        <v>205</v>
      </c>
      <c r="D162" s="487">
        <v>0.21000000000000002</v>
      </c>
      <c r="E162" s="1159"/>
      <c r="F162" s="487">
        <v>0.21000000000000002</v>
      </c>
      <c r="G162" s="1159" t="s">
        <v>905</v>
      </c>
      <c r="H162" s="1159" t="s">
        <v>744</v>
      </c>
      <c r="I162" s="504"/>
      <c r="J162" s="992" t="s">
        <v>1236</v>
      </c>
      <c r="K162" s="986" t="s">
        <v>744</v>
      </c>
    </row>
    <row r="163" spans="1:11" s="1108" customFormat="1">
      <c r="A163" s="1020" t="s">
        <v>79</v>
      </c>
      <c r="B163" s="1003" t="s">
        <v>857</v>
      </c>
      <c r="C163" s="1004"/>
      <c r="D163" s="1023"/>
      <c r="E163" s="1023"/>
      <c r="F163" s="1023"/>
      <c r="G163" s="1005"/>
      <c r="H163" s="1005"/>
      <c r="I163" s="1003"/>
      <c r="J163" s="1000"/>
      <c r="K163" s="1107"/>
    </row>
    <row r="164" spans="1:11" s="1105" customFormat="1" ht="49.5">
      <c r="A164" s="1011">
        <v>78</v>
      </c>
      <c r="B164" s="488" t="s">
        <v>919</v>
      </c>
      <c r="C164" s="1078" t="s">
        <v>199</v>
      </c>
      <c r="D164" s="486">
        <v>2.13</v>
      </c>
      <c r="E164" s="1160"/>
      <c r="F164" s="486">
        <v>2.13</v>
      </c>
      <c r="G164" s="1160" t="s">
        <v>1246</v>
      </c>
      <c r="H164" s="1160" t="s">
        <v>744</v>
      </c>
      <c r="I164" s="488"/>
      <c r="J164" s="1013" t="s">
        <v>1236</v>
      </c>
      <c r="K164" s="986" t="s">
        <v>744</v>
      </c>
    </row>
    <row r="165" spans="1:11" s="1189" customFormat="1" ht="225.75" customHeight="1">
      <c r="A165" s="498">
        <v>79</v>
      </c>
      <c r="B165" s="505" t="s">
        <v>1247</v>
      </c>
      <c r="C165" s="1084" t="s">
        <v>199</v>
      </c>
      <c r="D165" s="492">
        <v>191.62369399999997</v>
      </c>
      <c r="E165" s="492">
        <v>16.661349999999999</v>
      </c>
      <c r="F165" s="492">
        <v>174.96234399999997</v>
      </c>
      <c r="G165" s="1092" t="s">
        <v>1248</v>
      </c>
      <c r="H165" s="499" t="s">
        <v>1249</v>
      </c>
      <c r="I165" s="505" t="s">
        <v>1250</v>
      </c>
      <c r="J165" s="499" t="s">
        <v>887</v>
      </c>
      <c r="K165" s="1060" t="s">
        <v>1249</v>
      </c>
    </row>
    <row r="166" spans="1:11" s="1193" customFormat="1" ht="18.75" hidden="1">
      <c r="A166" s="1190"/>
      <c r="B166" s="1096" t="s">
        <v>746</v>
      </c>
      <c r="C166" s="1191" t="s">
        <v>199</v>
      </c>
      <c r="D166" s="1098">
        <v>57.142299999999999</v>
      </c>
      <c r="E166" s="1192">
        <v>3.06</v>
      </c>
      <c r="F166" s="1098">
        <v>54.082299999999996</v>
      </c>
      <c r="G166" s="1099"/>
      <c r="H166" s="1101"/>
      <c r="I166" s="1096"/>
      <c r="J166" s="1101"/>
      <c r="K166" s="1067"/>
    </row>
    <row r="167" spans="1:11" s="1193" customFormat="1" ht="18.75" hidden="1">
      <c r="A167" s="1190"/>
      <c r="B167" s="1096" t="s">
        <v>748</v>
      </c>
      <c r="C167" s="1191" t="s">
        <v>199</v>
      </c>
      <c r="D167" s="1098">
        <v>23.286749999999998</v>
      </c>
      <c r="E167" s="1192">
        <v>3.3583699999999999</v>
      </c>
      <c r="F167" s="1098">
        <v>19.928379999999997</v>
      </c>
      <c r="G167" s="1099"/>
      <c r="H167" s="1101"/>
      <c r="I167" s="1096"/>
      <c r="J167" s="1101"/>
      <c r="K167" s="1067"/>
    </row>
    <row r="168" spans="1:11" s="1193" customFormat="1" ht="18.75" hidden="1">
      <c r="A168" s="1190"/>
      <c r="B168" s="1096" t="s">
        <v>747</v>
      </c>
      <c r="C168" s="1191" t="s">
        <v>199</v>
      </c>
      <c r="D168" s="1098">
        <v>33.608490000000003</v>
      </c>
      <c r="E168" s="1192">
        <v>0.63561000000000001</v>
      </c>
      <c r="F168" s="1098">
        <v>32.972880000000004</v>
      </c>
      <c r="G168" s="1099"/>
      <c r="H168" s="1101"/>
      <c r="I168" s="1096"/>
      <c r="J168" s="1101"/>
      <c r="K168" s="1067"/>
    </row>
    <row r="169" spans="1:11" s="1193" customFormat="1" ht="18.75" hidden="1">
      <c r="A169" s="1190"/>
      <c r="B169" s="1096" t="s">
        <v>753</v>
      </c>
      <c r="C169" s="1191" t="s">
        <v>199</v>
      </c>
      <c r="D169" s="1098">
        <v>36.796204000000003</v>
      </c>
      <c r="E169" s="1192">
        <v>2.5495299999999999</v>
      </c>
      <c r="F169" s="1098">
        <v>34.246674000000006</v>
      </c>
      <c r="G169" s="1099"/>
      <c r="H169" s="1101"/>
      <c r="I169" s="1096"/>
      <c r="J169" s="1101"/>
      <c r="K169" s="1067"/>
    </row>
    <row r="170" spans="1:11" s="1193" customFormat="1" ht="18.75" hidden="1">
      <c r="A170" s="1190"/>
      <c r="B170" s="1096" t="s">
        <v>755</v>
      </c>
      <c r="C170" s="1191" t="s">
        <v>199</v>
      </c>
      <c r="D170" s="1098">
        <v>27.205770000000005</v>
      </c>
      <c r="E170" s="1192">
        <v>4.2273700000000005</v>
      </c>
      <c r="F170" s="1098">
        <v>22.978400000000004</v>
      </c>
      <c r="G170" s="1099"/>
      <c r="H170" s="1101"/>
      <c r="I170" s="1096"/>
      <c r="J170" s="1101"/>
      <c r="K170" s="1067"/>
    </row>
    <row r="171" spans="1:11" s="1193" customFormat="1" ht="18.75" hidden="1">
      <c r="A171" s="1190"/>
      <c r="B171" s="1096" t="s">
        <v>749</v>
      </c>
      <c r="C171" s="1191" t="s">
        <v>199</v>
      </c>
      <c r="D171" s="1098">
        <v>13.125179999999997</v>
      </c>
      <c r="E171" s="1192">
        <v>2.4094699999999998</v>
      </c>
      <c r="F171" s="1098">
        <v>10.715709999999998</v>
      </c>
      <c r="G171" s="1099"/>
      <c r="H171" s="1101"/>
      <c r="I171" s="1096"/>
      <c r="J171" s="1101"/>
      <c r="K171" s="1067"/>
    </row>
    <row r="172" spans="1:11" s="1193" customFormat="1" ht="18.75" hidden="1">
      <c r="A172" s="1190"/>
      <c r="B172" s="1096" t="s">
        <v>758</v>
      </c>
      <c r="C172" s="1191" t="s">
        <v>199</v>
      </c>
      <c r="D172" s="1098">
        <v>0.45899999999999996</v>
      </c>
      <c r="E172" s="1192">
        <v>0.42099999999999999</v>
      </c>
      <c r="F172" s="1098">
        <v>3.7999999999999999E-2</v>
      </c>
      <c r="G172" s="1099"/>
      <c r="H172" s="1101"/>
      <c r="I172" s="1096"/>
      <c r="J172" s="1101"/>
      <c r="K172" s="1067"/>
    </row>
    <row r="173" spans="1:11" s="1061" customFormat="1" ht="257.25" customHeight="1">
      <c r="A173" s="498">
        <v>80</v>
      </c>
      <c r="B173" s="505" t="s">
        <v>1015</v>
      </c>
      <c r="C173" s="1084" t="s">
        <v>199</v>
      </c>
      <c r="D173" s="492">
        <v>13.201709000000001</v>
      </c>
      <c r="E173" s="492">
        <v>0.76255099999999998</v>
      </c>
      <c r="F173" s="492">
        <v>12.439158000000001</v>
      </c>
      <c r="G173" s="492" t="s">
        <v>1251</v>
      </c>
      <c r="H173" s="499" t="s">
        <v>1252</v>
      </c>
      <c r="I173" s="1194" t="s">
        <v>1253</v>
      </c>
      <c r="J173" s="499" t="s">
        <v>887</v>
      </c>
      <c r="K173" s="1060" t="s">
        <v>1252</v>
      </c>
    </row>
    <row r="174" spans="1:11" s="1102" customFormat="1" hidden="1">
      <c r="A174" s="1095"/>
      <c r="B174" s="1096" t="s">
        <v>749</v>
      </c>
      <c r="C174" s="1191" t="s">
        <v>199</v>
      </c>
      <c r="D174" s="1098">
        <v>11.111893</v>
      </c>
      <c r="E174" s="1098">
        <v>0.50255099999999997</v>
      </c>
      <c r="F174" s="1098">
        <v>10.609342</v>
      </c>
      <c r="G174" s="1098"/>
      <c r="H174" s="1101"/>
      <c r="I174" s="1195"/>
      <c r="J174" s="1101"/>
      <c r="K174" s="1067"/>
    </row>
    <row r="175" spans="1:11" s="1102" customFormat="1" hidden="1">
      <c r="A175" s="1095"/>
      <c r="B175" s="1096" t="s">
        <v>750</v>
      </c>
      <c r="C175" s="1191" t="s">
        <v>199</v>
      </c>
      <c r="D175" s="1098">
        <v>2.0898159999999999</v>
      </c>
      <c r="E175" s="1098">
        <v>0.26</v>
      </c>
      <c r="F175" s="1098">
        <v>1.8298160000000001</v>
      </c>
      <c r="G175" s="1098"/>
      <c r="H175" s="1101"/>
      <c r="I175" s="1195"/>
      <c r="J175" s="1101"/>
      <c r="K175" s="1067"/>
    </row>
    <row r="176" spans="1:11" s="1061" customFormat="1" ht="90">
      <c r="A176" s="498">
        <v>81</v>
      </c>
      <c r="B176" s="505" t="s">
        <v>863</v>
      </c>
      <c r="C176" s="1084" t="s">
        <v>199</v>
      </c>
      <c r="D176" s="492">
        <v>32.843015999999999</v>
      </c>
      <c r="E176" s="492">
        <v>7.0393599999999994</v>
      </c>
      <c r="F176" s="492">
        <v>25.803656</v>
      </c>
      <c r="G176" s="1196" t="s">
        <v>1254</v>
      </c>
      <c r="H176" s="498" t="s">
        <v>748</v>
      </c>
      <c r="I176" s="505" t="s">
        <v>896</v>
      </c>
      <c r="J176" s="499" t="s">
        <v>887</v>
      </c>
      <c r="K176" s="1060" t="s">
        <v>748</v>
      </c>
    </row>
    <row r="177" spans="1:12" s="1134" customFormat="1" hidden="1">
      <c r="A177" s="1130"/>
      <c r="B177" s="1122" t="s">
        <v>748</v>
      </c>
      <c r="C177" s="1129" t="s">
        <v>199</v>
      </c>
      <c r="D177" s="1054">
        <v>9.0527199999999972</v>
      </c>
      <c r="E177" s="1054">
        <v>0.56206199999999995</v>
      </c>
      <c r="F177" s="1054">
        <v>8.490657999999998</v>
      </c>
      <c r="G177" s="1197"/>
      <c r="H177" s="1130"/>
      <c r="I177" s="1122"/>
      <c r="J177" s="1126"/>
      <c r="K177" s="1067"/>
    </row>
    <row r="178" spans="1:12" s="1134" customFormat="1" hidden="1">
      <c r="A178" s="1130"/>
      <c r="B178" s="1122" t="s">
        <v>744</v>
      </c>
      <c r="C178" s="1129" t="s">
        <v>199</v>
      </c>
      <c r="D178" s="1054">
        <v>5.324088999999999</v>
      </c>
      <c r="E178" s="1054">
        <v>0.62767300000000004</v>
      </c>
      <c r="F178" s="1054">
        <v>4.6964159999999993</v>
      </c>
      <c r="G178" s="1197"/>
      <c r="H178" s="1130"/>
      <c r="I178" s="1122"/>
      <c r="J178" s="1126"/>
      <c r="K178" s="1067"/>
    </row>
    <row r="179" spans="1:12" s="1134" customFormat="1" hidden="1">
      <c r="A179" s="1130"/>
      <c r="B179" s="1122" t="s">
        <v>745</v>
      </c>
      <c r="C179" s="1129" t="s">
        <v>199</v>
      </c>
      <c r="D179" s="1054">
        <v>18.466207000000001</v>
      </c>
      <c r="E179" s="1054">
        <v>5.8496249999999996</v>
      </c>
      <c r="F179" s="1054">
        <v>12.616582000000001</v>
      </c>
      <c r="G179" s="1197"/>
      <c r="H179" s="1130"/>
      <c r="I179" s="1122"/>
      <c r="J179" s="1126"/>
      <c r="K179" s="1067"/>
    </row>
    <row r="180" spans="1:12" s="1061" customFormat="1" ht="278.25" customHeight="1">
      <c r="A180" s="498">
        <v>82</v>
      </c>
      <c r="B180" s="505" t="s">
        <v>909</v>
      </c>
      <c r="C180" s="1084" t="s">
        <v>199</v>
      </c>
      <c r="D180" s="492">
        <v>19.486400000000003</v>
      </c>
      <c r="E180" s="492">
        <v>2.0941999999999998</v>
      </c>
      <c r="F180" s="492">
        <v>17.392200000000003</v>
      </c>
      <c r="G180" s="1196" t="s">
        <v>1255</v>
      </c>
      <c r="H180" s="498" t="s">
        <v>1256</v>
      </c>
      <c r="I180" s="505" t="s">
        <v>910</v>
      </c>
      <c r="J180" s="499" t="s">
        <v>887</v>
      </c>
      <c r="K180" s="1060" t="s">
        <v>1256</v>
      </c>
    </row>
    <row r="181" spans="1:12" s="1193" customFormat="1" ht="33" hidden="1">
      <c r="A181" s="1095" t="s">
        <v>1297</v>
      </c>
      <c r="B181" s="1096" t="s">
        <v>755</v>
      </c>
      <c r="C181" s="1191" t="s">
        <v>199</v>
      </c>
      <c r="D181" s="1098">
        <v>2.4264000000000001</v>
      </c>
      <c r="E181" s="1192">
        <v>1.4942</v>
      </c>
      <c r="F181" s="1098">
        <v>0.93220000000000003</v>
      </c>
      <c r="G181" s="1099"/>
      <c r="H181" s="1101" t="s">
        <v>755</v>
      </c>
      <c r="I181" s="1198"/>
      <c r="J181" s="1101"/>
      <c r="K181" s="1067"/>
    </row>
    <row r="182" spans="1:12" s="1193" customFormat="1" ht="18.75" hidden="1">
      <c r="A182" s="1095" t="s">
        <v>1297</v>
      </c>
      <c r="B182" s="1096" t="s">
        <v>750</v>
      </c>
      <c r="C182" s="1191" t="s">
        <v>199</v>
      </c>
      <c r="D182" s="1098">
        <v>17.060000000000002</v>
      </c>
      <c r="E182" s="1192">
        <v>0.6</v>
      </c>
      <c r="F182" s="1098">
        <v>16.46</v>
      </c>
      <c r="G182" s="1099"/>
      <c r="H182" s="1199" t="s">
        <v>750</v>
      </c>
      <c r="I182" s="1198"/>
      <c r="J182" s="1101"/>
      <c r="K182" s="1067"/>
      <c r="L182" s="1102"/>
    </row>
    <row r="183" spans="1:12" s="1019" customFormat="1" ht="180" customHeight="1">
      <c r="A183" s="494">
        <v>83</v>
      </c>
      <c r="B183" s="1200" t="s">
        <v>1257</v>
      </c>
      <c r="C183" s="1161" t="s">
        <v>199</v>
      </c>
      <c r="D183" s="493">
        <v>3.9830839999999998</v>
      </c>
      <c r="E183" s="493"/>
      <c r="F183" s="493">
        <v>3.9830839999999998</v>
      </c>
      <c r="G183" s="493" t="s">
        <v>1258</v>
      </c>
      <c r="H183" s="1201" t="s">
        <v>759</v>
      </c>
      <c r="I183" s="500" t="s">
        <v>1259</v>
      </c>
      <c r="J183" s="496">
        <v>2021</v>
      </c>
      <c r="K183" s="1018" t="s">
        <v>759</v>
      </c>
      <c r="L183" s="1202"/>
    </row>
    <row r="184" spans="1:12" s="1108" customFormat="1">
      <c r="A184" s="1020" t="s">
        <v>79</v>
      </c>
      <c r="B184" s="1003" t="s">
        <v>858</v>
      </c>
      <c r="C184" s="1004"/>
      <c r="D184" s="1023"/>
      <c r="E184" s="1023"/>
      <c r="F184" s="1023"/>
      <c r="G184" s="1005"/>
      <c r="H184" s="1005"/>
      <c r="I184" s="1003"/>
      <c r="J184" s="1000"/>
      <c r="K184" s="1107"/>
    </row>
    <row r="185" spans="1:12" s="1105" customFormat="1" ht="165">
      <c r="A185" s="498">
        <v>84</v>
      </c>
      <c r="B185" s="505" t="s">
        <v>869</v>
      </c>
      <c r="C185" s="1084" t="s">
        <v>200</v>
      </c>
      <c r="D185" s="492">
        <v>0.1537</v>
      </c>
      <c r="E185" s="1104"/>
      <c r="F185" s="492">
        <v>0.1537</v>
      </c>
      <c r="G185" s="1104" t="s">
        <v>1260</v>
      </c>
      <c r="H185" s="1104" t="s">
        <v>745</v>
      </c>
      <c r="I185" s="505" t="s">
        <v>908</v>
      </c>
      <c r="J185" s="499" t="s">
        <v>887</v>
      </c>
      <c r="K185" s="986" t="s">
        <v>745</v>
      </c>
    </row>
    <row r="186" spans="1:12" s="1105" customFormat="1" ht="239.25" customHeight="1">
      <c r="A186" s="498">
        <v>85</v>
      </c>
      <c r="B186" s="505" t="s">
        <v>865</v>
      </c>
      <c r="C186" s="1084" t="s">
        <v>200</v>
      </c>
      <c r="D186" s="492">
        <v>3.634881</v>
      </c>
      <c r="E186" s="1104">
        <v>1.849936</v>
      </c>
      <c r="F186" s="492">
        <v>1.784945</v>
      </c>
      <c r="G186" s="1104" t="s">
        <v>1261</v>
      </c>
      <c r="H186" s="1104" t="s">
        <v>900</v>
      </c>
      <c r="I186" s="505" t="s">
        <v>913</v>
      </c>
      <c r="J186" s="499" t="s">
        <v>887</v>
      </c>
      <c r="K186" s="986" t="s">
        <v>750</v>
      </c>
    </row>
    <row r="187" spans="1:12" s="1105" customFormat="1" ht="74.25" customHeight="1">
      <c r="A187" s="498">
        <v>86</v>
      </c>
      <c r="B187" s="505" t="s">
        <v>914</v>
      </c>
      <c r="C187" s="1084" t="s">
        <v>200</v>
      </c>
      <c r="D187" s="492">
        <v>0.45989999999999998</v>
      </c>
      <c r="E187" s="1104"/>
      <c r="F187" s="492">
        <v>0.45989999999999998</v>
      </c>
      <c r="G187" s="1104" t="s">
        <v>1262</v>
      </c>
      <c r="H187" s="1104" t="s">
        <v>751</v>
      </c>
      <c r="I187" s="505" t="s">
        <v>915</v>
      </c>
      <c r="J187" s="499" t="s">
        <v>887</v>
      </c>
      <c r="K187" s="986" t="s">
        <v>751</v>
      </c>
    </row>
    <row r="188" spans="1:12" s="1105" customFormat="1" ht="74.25" customHeight="1">
      <c r="A188" s="494">
        <v>87</v>
      </c>
      <c r="B188" s="500" t="s">
        <v>866</v>
      </c>
      <c r="C188" s="1084" t="s">
        <v>200</v>
      </c>
      <c r="D188" s="492">
        <v>8.4600000000000009</v>
      </c>
      <c r="E188" s="1104">
        <v>5.73</v>
      </c>
      <c r="F188" s="492">
        <v>2.73</v>
      </c>
      <c r="G188" s="1104" t="s">
        <v>199</v>
      </c>
      <c r="H188" s="1188" t="s">
        <v>752</v>
      </c>
      <c r="I188" s="500" t="s">
        <v>868</v>
      </c>
      <c r="J188" s="496" t="s">
        <v>887</v>
      </c>
      <c r="K188" s="986" t="s">
        <v>752</v>
      </c>
    </row>
    <row r="189" spans="1:12" s="1105" customFormat="1" ht="161.25" customHeight="1">
      <c r="A189" s="494">
        <v>88</v>
      </c>
      <c r="B189" s="500" t="s">
        <v>899</v>
      </c>
      <c r="C189" s="1161" t="s">
        <v>200</v>
      </c>
      <c r="D189" s="493">
        <v>0.04</v>
      </c>
      <c r="E189" s="1188"/>
      <c r="F189" s="493">
        <v>0.04</v>
      </c>
      <c r="G189" s="1188" t="s">
        <v>1263</v>
      </c>
      <c r="H189" s="1188" t="s">
        <v>900</v>
      </c>
      <c r="I189" s="500" t="s">
        <v>911</v>
      </c>
      <c r="J189" s="496" t="s">
        <v>887</v>
      </c>
      <c r="K189" s="986" t="s">
        <v>900</v>
      </c>
    </row>
    <row r="190" spans="1:12" s="1105" customFormat="1">
      <c r="A190" s="1020" t="s">
        <v>82</v>
      </c>
      <c r="B190" s="1003" t="s">
        <v>1264</v>
      </c>
      <c r="C190" s="1203"/>
      <c r="D190" s="1039">
        <v>0</v>
      </c>
      <c r="E190" s="1173"/>
      <c r="F190" s="1039">
        <v>0</v>
      </c>
      <c r="G190" s="1173"/>
      <c r="H190" s="1173"/>
      <c r="I190" s="1204"/>
      <c r="J190" s="998"/>
      <c r="K190" s="986"/>
    </row>
    <row r="191" spans="1:12" s="1105" customFormat="1" ht="66">
      <c r="A191" s="1011">
        <v>89</v>
      </c>
      <c r="B191" s="488" t="s">
        <v>901</v>
      </c>
      <c r="C191" s="1078" t="s">
        <v>223</v>
      </c>
      <c r="D191" s="487">
        <v>0.03</v>
      </c>
      <c r="E191" s="1159"/>
      <c r="F191" s="487">
        <v>0.03</v>
      </c>
      <c r="G191" s="1159" t="s">
        <v>902</v>
      </c>
      <c r="H191" s="1160" t="s">
        <v>1265</v>
      </c>
      <c r="I191" s="488" t="s">
        <v>1266</v>
      </c>
      <c r="J191" s="1013" t="s">
        <v>887</v>
      </c>
      <c r="K191" s="986" t="s">
        <v>1265</v>
      </c>
    </row>
    <row r="192" spans="1:12" s="1105" customFormat="1" ht="258" customHeight="1">
      <c r="A192" s="1205">
        <v>90</v>
      </c>
      <c r="B192" s="1206" t="s">
        <v>870</v>
      </c>
      <c r="C192" s="1207" t="s">
        <v>223</v>
      </c>
      <c r="D192" s="493">
        <v>5.6967000000000011E-2</v>
      </c>
      <c r="E192" s="1188"/>
      <c r="F192" s="493">
        <v>5.6967000000000011E-2</v>
      </c>
      <c r="G192" s="1188" t="s">
        <v>903</v>
      </c>
      <c r="H192" s="1159" t="s">
        <v>1267</v>
      </c>
      <c r="I192" s="504" t="s">
        <v>871</v>
      </c>
      <c r="J192" s="992" t="s">
        <v>887</v>
      </c>
      <c r="K192" s="986" t="s">
        <v>1267</v>
      </c>
    </row>
    <row r="193" spans="1:16" s="1108" customFormat="1">
      <c r="A193" s="1020" t="s">
        <v>85</v>
      </c>
      <c r="B193" s="1003" t="s">
        <v>859</v>
      </c>
      <c r="C193" s="1203"/>
      <c r="D193" s="1023"/>
      <c r="E193" s="1023">
        <v>0</v>
      </c>
      <c r="F193" s="1023"/>
      <c r="G193" s="1005"/>
      <c r="H193" s="1005"/>
      <c r="I193" s="1003"/>
      <c r="J193" s="1000"/>
      <c r="K193" s="1107"/>
    </row>
    <row r="194" spans="1:16" s="1105" customFormat="1" ht="147" customHeight="1">
      <c r="A194" s="1011">
        <v>91</v>
      </c>
      <c r="B194" s="488" t="s">
        <v>872</v>
      </c>
      <c r="C194" s="1208" t="s">
        <v>208</v>
      </c>
      <c r="D194" s="486">
        <v>1.02</v>
      </c>
      <c r="E194" s="1160"/>
      <c r="F194" s="486">
        <v>1.02</v>
      </c>
      <c r="G194" s="1160" t="s">
        <v>944</v>
      </c>
      <c r="H194" s="1160" t="s">
        <v>744</v>
      </c>
      <c r="I194" s="488" t="s">
        <v>874</v>
      </c>
      <c r="J194" s="1013" t="s">
        <v>887</v>
      </c>
      <c r="K194" s="986" t="s">
        <v>744</v>
      </c>
    </row>
    <row r="195" spans="1:16" s="1170" customFormat="1" ht="138" customHeight="1">
      <c r="A195" s="494">
        <v>92</v>
      </c>
      <c r="B195" s="1209" t="s">
        <v>955</v>
      </c>
      <c r="C195" s="1161" t="s">
        <v>208</v>
      </c>
      <c r="D195" s="1210">
        <v>2.9</v>
      </c>
      <c r="E195" s="1210"/>
      <c r="F195" s="1210">
        <v>2.9</v>
      </c>
      <c r="G195" s="1211" t="s">
        <v>209</v>
      </c>
      <c r="H195" s="1212" t="s">
        <v>954</v>
      </c>
      <c r="I195" s="1213" t="s">
        <v>956</v>
      </c>
      <c r="J195" s="496" t="s">
        <v>887</v>
      </c>
      <c r="K195" s="1060" t="s">
        <v>954</v>
      </c>
      <c r="P195" s="1170">
        <v>2015</v>
      </c>
    </row>
    <row r="196" spans="1:16" s="1170" customFormat="1" ht="138" customHeight="1">
      <c r="A196" s="1205">
        <v>93</v>
      </c>
      <c r="B196" s="1214" t="s">
        <v>873</v>
      </c>
      <c r="C196" s="1207" t="s">
        <v>208</v>
      </c>
      <c r="D196" s="1215">
        <v>0.44</v>
      </c>
      <c r="E196" s="1215"/>
      <c r="F196" s="1215">
        <v>0.44</v>
      </c>
      <c r="G196" s="1216" t="s">
        <v>20</v>
      </c>
      <c r="H196" s="1217" t="s">
        <v>750</v>
      </c>
      <c r="I196" s="1218" t="s">
        <v>875</v>
      </c>
      <c r="J196" s="1219" t="s">
        <v>887</v>
      </c>
      <c r="K196" s="1060" t="s">
        <v>750</v>
      </c>
    </row>
    <row r="197" spans="1:16" s="1108" customFormat="1" ht="39.950000000000003" customHeight="1">
      <c r="A197" s="1020" t="s">
        <v>88</v>
      </c>
      <c r="B197" s="1003" t="s">
        <v>1016</v>
      </c>
      <c r="C197" s="1004"/>
      <c r="D197" s="1023"/>
      <c r="E197" s="1023"/>
      <c r="F197" s="1023"/>
      <c r="G197" s="1005"/>
      <c r="H197" s="1005"/>
      <c r="I197" s="1003"/>
      <c r="J197" s="1000"/>
      <c r="K197" s="1107"/>
    </row>
    <row r="198" spans="1:16" s="1105" customFormat="1" ht="33">
      <c r="A198" s="1011">
        <v>94</v>
      </c>
      <c r="B198" s="488" t="s">
        <v>799</v>
      </c>
      <c r="C198" s="1078"/>
      <c r="D198" s="486">
        <v>0.5</v>
      </c>
      <c r="E198" s="486"/>
      <c r="F198" s="486">
        <v>0.5</v>
      </c>
      <c r="G198" s="1160" t="s">
        <v>1017</v>
      </c>
      <c r="H198" s="1160" t="s">
        <v>746</v>
      </c>
      <c r="I198" s="488" t="s">
        <v>1018</v>
      </c>
      <c r="J198" s="1013" t="s">
        <v>1236</v>
      </c>
      <c r="K198" s="986" t="s">
        <v>746</v>
      </c>
    </row>
    <row r="199" spans="1:16" s="1105" customFormat="1" ht="33">
      <c r="A199" s="498">
        <v>95</v>
      </c>
      <c r="B199" s="505" t="s">
        <v>799</v>
      </c>
      <c r="C199" s="1084"/>
      <c r="D199" s="492">
        <v>0.5</v>
      </c>
      <c r="E199" s="492"/>
      <c r="F199" s="492">
        <v>0.5</v>
      </c>
      <c r="G199" s="1104" t="s">
        <v>26</v>
      </c>
      <c r="H199" s="1104" t="s">
        <v>745</v>
      </c>
      <c r="I199" s="505"/>
      <c r="J199" s="499" t="s">
        <v>1236</v>
      </c>
      <c r="K199" s="986" t="s">
        <v>745</v>
      </c>
    </row>
    <row r="200" spans="1:16" s="1061" customFormat="1" ht="66">
      <c r="A200" s="498">
        <v>96</v>
      </c>
      <c r="B200" s="505" t="s">
        <v>1019</v>
      </c>
      <c r="C200" s="1084"/>
      <c r="D200" s="492">
        <v>1.3</v>
      </c>
      <c r="E200" s="1093"/>
      <c r="F200" s="492">
        <v>1.3</v>
      </c>
      <c r="G200" s="492" t="s">
        <v>26</v>
      </c>
      <c r="H200" s="499" t="s">
        <v>1020</v>
      </c>
      <c r="I200" s="505"/>
      <c r="J200" s="1220" t="s">
        <v>1268</v>
      </c>
      <c r="K200" s="1060" t="s">
        <v>1020</v>
      </c>
    </row>
    <row r="201" spans="1:16" s="1061" customFormat="1" ht="66">
      <c r="A201" s="498">
        <v>97</v>
      </c>
      <c r="B201" s="505" t="s">
        <v>1021</v>
      </c>
      <c r="C201" s="1084"/>
      <c r="D201" s="492">
        <v>0.8</v>
      </c>
      <c r="E201" s="1093"/>
      <c r="F201" s="492">
        <v>0.8</v>
      </c>
      <c r="G201" s="492" t="s">
        <v>26</v>
      </c>
      <c r="H201" s="498" t="s">
        <v>1020</v>
      </c>
      <c r="I201" s="497" t="s">
        <v>1022</v>
      </c>
      <c r="J201" s="499" t="s">
        <v>1268</v>
      </c>
      <c r="K201" s="1060" t="s">
        <v>1020</v>
      </c>
    </row>
    <row r="202" spans="1:16" s="1061" customFormat="1" ht="66">
      <c r="A202" s="498">
        <v>98</v>
      </c>
      <c r="B202" s="505" t="s">
        <v>1023</v>
      </c>
      <c r="C202" s="1084"/>
      <c r="D202" s="492">
        <v>0.3</v>
      </c>
      <c r="E202" s="1093"/>
      <c r="F202" s="492">
        <v>0.3</v>
      </c>
      <c r="G202" s="492" t="s">
        <v>26</v>
      </c>
      <c r="H202" s="498" t="s">
        <v>1020</v>
      </c>
      <c r="I202" s="505" t="s">
        <v>1024</v>
      </c>
      <c r="J202" s="499" t="s">
        <v>1268</v>
      </c>
      <c r="K202" s="1060" t="s">
        <v>1020</v>
      </c>
    </row>
    <row r="203" spans="1:16" s="1105" customFormat="1" ht="66">
      <c r="A203" s="498">
        <v>99</v>
      </c>
      <c r="B203" s="505" t="s">
        <v>1025</v>
      </c>
      <c r="C203" s="1084"/>
      <c r="D203" s="492">
        <v>0.8</v>
      </c>
      <c r="E203" s="1093"/>
      <c r="F203" s="492">
        <v>0.8</v>
      </c>
      <c r="G203" s="492" t="s">
        <v>1034</v>
      </c>
      <c r="H203" s="1104" t="s">
        <v>1020</v>
      </c>
      <c r="I203" s="505" t="s">
        <v>1269</v>
      </c>
      <c r="J203" s="499" t="s">
        <v>1268</v>
      </c>
      <c r="K203" s="986" t="s">
        <v>1020</v>
      </c>
    </row>
    <row r="204" spans="1:16" s="1061" customFormat="1" ht="66">
      <c r="A204" s="498">
        <v>100</v>
      </c>
      <c r="B204" s="1221" t="s">
        <v>1023</v>
      </c>
      <c r="C204" s="1084"/>
      <c r="D204" s="492">
        <v>0.4</v>
      </c>
      <c r="E204" s="1093"/>
      <c r="F204" s="492">
        <v>0.4</v>
      </c>
      <c r="G204" s="492" t="s">
        <v>26</v>
      </c>
      <c r="H204" s="1104" t="s">
        <v>1020</v>
      </c>
      <c r="I204" s="505" t="s">
        <v>1026</v>
      </c>
      <c r="J204" s="499" t="s">
        <v>1268</v>
      </c>
      <c r="K204" s="1060" t="s">
        <v>1020</v>
      </c>
    </row>
    <row r="205" spans="1:16" s="1061" customFormat="1" ht="66">
      <c r="A205" s="498">
        <v>101</v>
      </c>
      <c r="B205" s="1221" t="s">
        <v>1027</v>
      </c>
      <c r="C205" s="1084"/>
      <c r="D205" s="492">
        <v>0.04</v>
      </c>
      <c r="E205" s="1093"/>
      <c r="F205" s="492">
        <v>0.04</v>
      </c>
      <c r="G205" s="492" t="s">
        <v>1028</v>
      </c>
      <c r="H205" s="1104" t="s">
        <v>1020</v>
      </c>
      <c r="I205" s="505" t="s">
        <v>1029</v>
      </c>
      <c r="J205" s="499" t="s">
        <v>1270</v>
      </c>
      <c r="K205" s="1103" t="s">
        <v>1020</v>
      </c>
    </row>
    <row r="206" spans="1:16" s="1061" customFormat="1" ht="66">
      <c r="A206" s="498">
        <v>102</v>
      </c>
      <c r="B206" s="1221" t="s">
        <v>1027</v>
      </c>
      <c r="C206" s="1084"/>
      <c r="D206" s="492">
        <v>0.36490000000000006</v>
      </c>
      <c r="E206" s="1093"/>
      <c r="F206" s="492">
        <v>0.36490000000000006</v>
      </c>
      <c r="G206" s="492" t="s">
        <v>937</v>
      </c>
      <c r="H206" s="1104" t="s">
        <v>1020</v>
      </c>
      <c r="I206" s="505" t="s">
        <v>1271</v>
      </c>
      <c r="J206" s="499" t="s">
        <v>1236</v>
      </c>
      <c r="K206" s="1060" t="s">
        <v>1020</v>
      </c>
    </row>
    <row r="207" spans="1:16" s="1061" customFormat="1" ht="66">
      <c r="A207" s="498">
        <v>103</v>
      </c>
      <c r="B207" s="1221" t="s">
        <v>1030</v>
      </c>
      <c r="C207" s="1084"/>
      <c r="D207" s="492">
        <v>0.14000000000000001</v>
      </c>
      <c r="E207" s="1093"/>
      <c r="F207" s="492">
        <v>0.14000000000000001</v>
      </c>
      <c r="G207" s="492" t="s">
        <v>26</v>
      </c>
      <c r="H207" s="1104" t="s">
        <v>850</v>
      </c>
      <c r="I207" s="505" t="s">
        <v>1031</v>
      </c>
      <c r="J207" s="499" t="s">
        <v>1270</v>
      </c>
      <c r="K207" s="1060" t="s">
        <v>850</v>
      </c>
    </row>
    <row r="208" spans="1:16" s="1061" customFormat="1" ht="66">
      <c r="A208" s="498">
        <v>104</v>
      </c>
      <c r="B208" s="1221" t="s">
        <v>1032</v>
      </c>
      <c r="C208" s="1084"/>
      <c r="D208" s="492">
        <v>0.04</v>
      </c>
      <c r="E208" s="1093"/>
      <c r="F208" s="492">
        <v>0.04</v>
      </c>
      <c r="G208" s="492" t="s">
        <v>26</v>
      </c>
      <c r="H208" s="1104" t="s">
        <v>850</v>
      </c>
      <c r="I208" s="505" t="s">
        <v>1033</v>
      </c>
      <c r="J208" s="499" t="s">
        <v>1270</v>
      </c>
      <c r="K208" s="1060" t="s">
        <v>850</v>
      </c>
    </row>
    <row r="209" spans="1:11" s="1061" customFormat="1" ht="82.5">
      <c r="A209" s="498">
        <v>105</v>
      </c>
      <c r="B209" s="1221" t="s">
        <v>1032</v>
      </c>
      <c r="C209" s="1084"/>
      <c r="D209" s="492">
        <v>0.43330000000000002</v>
      </c>
      <c r="E209" s="1093"/>
      <c r="F209" s="492">
        <v>0.43330000000000002</v>
      </c>
      <c r="G209" s="492" t="s">
        <v>1034</v>
      </c>
      <c r="H209" s="1104" t="s">
        <v>850</v>
      </c>
      <c r="I209" s="505" t="s">
        <v>1272</v>
      </c>
      <c r="J209" s="499" t="s">
        <v>1236</v>
      </c>
      <c r="K209" s="1060" t="s">
        <v>850</v>
      </c>
    </row>
    <row r="210" spans="1:11" s="1061" customFormat="1" ht="99">
      <c r="A210" s="498">
        <v>106</v>
      </c>
      <c r="B210" s="1221" t="s">
        <v>1035</v>
      </c>
      <c r="C210" s="1084"/>
      <c r="D210" s="492">
        <v>0.55994999999999995</v>
      </c>
      <c r="E210" s="1093"/>
      <c r="F210" s="492">
        <v>0.55994999999999995</v>
      </c>
      <c r="G210" s="492" t="s">
        <v>35</v>
      </c>
      <c r="H210" s="1104" t="s">
        <v>850</v>
      </c>
      <c r="I210" s="505" t="s">
        <v>1036</v>
      </c>
      <c r="J210" s="499" t="s">
        <v>1236</v>
      </c>
      <c r="K210" s="1060" t="s">
        <v>850</v>
      </c>
    </row>
    <row r="211" spans="1:11" s="1061" customFormat="1" ht="66">
      <c r="A211" s="498">
        <v>107</v>
      </c>
      <c r="B211" s="1221" t="s">
        <v>1273</v>
      </c>
      <c r="C211" s="1084"/>
      <c r="D211" s="492">
        <v>0.45</v>
      </c>
      <c r="E211" s="1093"/>
      <c r="F211" s="492">
        <v>0.45</v>
      </c>
      <c r="G211" s="492" t="s">
        <v>26</v>
      </c>
      <c r="H211" s="1104" t="s">
        <v>1038</v>
      </c>
      <c r="I211" s="505" t="s">
        <v>1039</v>
      </c>
      <c r="J211" s="499" t="s">
        <v>1270</v>
      </c>
      <c r="K211" s="1060" t="s">
        <v>1038</v>
      </c>
    </row>
    <row r="212" spans="1:11" s="1061" customFormat="1" ht="66">
      <c r="A212" s="498">
        <v>108</v>
      </c>
      <c r="B212" s="1221" t="s">
        <v>1037</v>
      </c>
      <c r="C212" s="1084"/>
      <c r="D212" s="492">
        <v>0.182</v>
      </c>
      <c r="E212" s="1093"/>
      <c r="F212" s="492">
        <v>0.182</v>
      </c>
      <c r="G212" s="492" t="s">
        <v>1017</v>
      </c>
      <c r="H212" s="1104" t="s">
        <v>1038</v>
      </c>
      <c r="I212" s="505" t="s">
        <v>1040</v>
      </c>
      <c r="J212" s="499" t="s">
        <v>1236</v>
      </c>
      <c r="K212" s="1060" t="s">
        <v>1038</v>
      </c>
    </row>
    <row r="213" spans="1:11" s="1061" customFormat="1" ht="82.5">
      <c r="A213" s="498">
        <v>109</v>
      </c>
      <c r="B213" s="1221" t="s">
        <v>1041</v>
      </c>
      <c r="C213" s="1084"/>
      <c r="D213" s="492">
        <v>0.02</v>
      </c>
      <c r="E213" s="1093"/>
      <c r="F213" s="492">
        <v>0.02</v>
      </c>
      <c r="G213" s="492" t="s">
        <v>23</v>
      </c>
      <c r="H213" s="1104" t="s">
        <v>1042</v>
      </c>
      <c r="I213" s="505" t="s">
        <v>1043</v>
      </c>
      <c r="J213" s="499" t="s">
        <v>1268</v>
      </c>
      <c r="K213" s="1060" t="s">
        <v>1042</v>
      </c>
    </row>
    <row r="214" spans="1:11" s="1061" customFormat="1" ht="66">
      <c r="A214" s="498">
        <v>110</v>
      </c>
      <c r="B214" s="1221" t="s">
        <v>1044</v>
      </c>
      <c r="C214" s="1084"/>
      <c r="D214" s="492">
        <v>0.24399999999999999</v>
      </c>
      <c r="E214" s="1093"/>
      <c r="F214" s="492">
        <v>0.24399999999999999</v>
      </c>
      <c r="G214" s="492" t="s">
        <v>26</v>
      </c>
      <c r="H214" s="1104" t="s">
        <v>1042</v>
      </c>
      <c r="I214" s="505" t="s">
        <v>1045</v>
      </c>
      <c r="J214" s="499" t="s">
        <v>1270</v>
      </c>
      <c r="K214" s="1060" t="s">
        <v>1042</v>
      </c>
    </row>
    <row r="215" spans="1:11" s="1061" customFormat="1" ht="66">
      <c r="A215" s="498">
        <v>111</v>
      </c>
      <c r="B215" s="1221" t="s">
        <v>1046</v>
      </c>
      <c r="C215" s="1084"/>
      <c r="D215" s="492">
        <v>0.16</v>
      </c>
      <c r="E215" s="1093"/>
      <c r="F215" s="492">
        <v>0.16</v>
      </c>
      <c r="G215" s="492" t="s">
        <v>26</v>
      </c>
      <c r="H215" s="1104" t="s">
        <v>1042</v>
      </c>
      <c r="I215" s="505" t="s">
        <v>1047</v>
      </c>
      <c r="J215" s="499" t="s">
        <v>1270</v>
      </c>
      <c r="K215" s="1060" t="s">
        <v>1042</v>
      </c>
    </row>
    <row r="216" spans="1:11" s="1061" customFormat="1" ht="66">
      <c r="A216" s="498">
        <v>112</v>
      </c>
      <c r="B216" s="1221" t="s">
        <v>1048</v>
      </c>
      <c r="C216" s="1084"/>
      <c r="D216" s="492">
        <v>0.05</v>
      </c>
      <c r="E216" s="1093"/>
      <c r="F216" s="492">
        <v>0.05</v>
      </c>
      <c r="G216" s="492" t="s">
        <v>26</v>
      </c>
      <c r="H216" s="1104" t="s">
        <v>1042</v>
      </c>
      <c r="I216" s="505" t="s">
        <v>1049</v>
      </c>
      <c r="J216" s="499" t="s">
        <v>1270</v>
      </c>
      <c r="K216" s="1060" t="s">
        <v>1042</v>
      </c>
    </row>
    <row r="217" spans="1:11" s="1061" customFormat="1" ht="66">
      <c r="A217" s="498">
        <v>113</v>
      </c>
      <c r="B217" s="1221" t="s">
        <v>1050</v>
      </c>
      <c r="C217" s="1084"/>
      <c r="D217" s="492">
        <v>0.04</v>
      </c>
      <c r="E217" s="1093"/>
      <c r="F217" s="492">
        <v>0.04</v>
      </c>
      <c r="G217" s="492" t="s">
        <v>26</v>
      </c>
      <c r="H217" s="1104" t="s">
        <v>1042</v>
      </c>
      <c r="I217" s="505" t="s">
        <v>1051</v>
      </c>
      <c r="J217" s="499" t="s">
        <v>1270</v>
      </c>
      <c r="K217" s="1060" t="s">
        <v>1042</v>
      </c>
    </row>
    <row r="218" spans="1:11" s="1061" customFormat="1" ht="66">
      <c r="A218" s="498">
        <v>114</v>
      </c>
      <c r="B218" s="1221" t="s">
        <v>1041</v>
      </c>
      <c r="C218" s="1084"/>
      <c r="D218" s="492">
        <v>0.12</v>
      </c>
      <c r="E218" s="1093"/>
      <c r="F218" s="492">
        <v>0.12</v>
      </c>
      <c r="G218" s="492" t="s">
        <v>1052</v>
      </c>
      <c r="H218" s="1104" t="s">
        <v>1042</v>
      </c>
      <c r="I218" s="505" t="s">
        <v>1053</v>
      </c>
      <c r="J218" s="499" t="s">
        <v>1270</v>
      </c>
      <c r="K218" s="1060" t="s">
        <v>1042</v>
      </c>
    </row>
    <row r="219" spans="1:11" s="1105" customFormat="1" ht="66">
      <c r="A219" s="498">
        <v>115</v>
      </c>
      <c r="B219" s="505" t="s">
        <v>1054</v>
      </c>
      <c r="C219" s="1084"/>
      <c r="D219" s="492">
        <v>0.2</v>
      </c>
      <c r="E219" s="1093"/>
      <c r="F219" s="492">
        <v>0.2</v>
      </c>
      <c r="G219" s="492" t="s">
        <v>1055</v>
      </c>
      <c r="H219" s="1104" t="s">
        <v>954</v>
      </c>
      <c r="I219" s="505" t="s">
        <v>1056</v>
      </c>
      <c r="J219" s="499" t="s">
        <v>1268</v>
      </c>
      <c r="K219" s="986" t="s">
        <v>954</v>
      </c>
    </row>
    <row r="220" spans="1:11" s="1105" customFormat="1" ht="280.5">
      <c r="A220" s="498">
        <v>116</v>
      </c>
      <c r="B220" s="505" t="s">
        <v>1057</v>
      </c>
      <c r="C220" s="1084"/>
      <c r="D220" s="492">
        <v>1.03</v>
      </c>
      <c r="E220" s="1093"/>
      <c r="F220" s="492">
        <v>1.03</v>
      </c>
      <c r="G220" s="492" t="s">
        <v>1058</v>
      </c>
      <c r="H220" s="1104" t="s">
        <v>954</v>
      </c>
      <c r="I220" s="507" t="s">
        <v>1059</v>
      </c>
      <c r="J220" s="499" t="s">
        <v>1270</v>
      </c>
      <c r="K220" s="986" t="s">
        <v>954</v>
      </c>
    </row>
    <row r="221" spans="1:11" s="1105" customFormat="1" ht="49.5">
      <c r="A221" s="498">
        <v>117</v>
      </c>
      <c r="B221" s="505" t="s">
        <v>1060</v>
      </c>
      <c r="C221" s="1084"/>
      <c r="D221" s="492">
        <v>0.55615999999999999</v>
      </c>
      <c r="E221" s="1093"/>
      <c r="F221" s="492">
        <v>0.55615999999999999</v>
      </c>
      <c r="G221" s="492" t="s">
        <v>1061</v>
      </c>
      <c r="H221" s="1104" t="s">
        <v>954</v>
      </c>
      <c r="I221" s="505" t="s">
        <v>1274</v>
      </c>
      <c r="J221" s="499" t="s">
        <v>1236</v>
      </c>
      <c r="K221" s="1222" t="s">
        <v>954</v>
      </c>
    </row>
    <row r="222" spans="1:11" s="1105" customFormat="1" ht="66">
      <c r="A222" s="498">
        <v>118</v>
      </c>
      <c r="B222" s="505" t="s">
        <v>1062</v>
      </c>
      <c r="C222" s="1084"/>
      <c r="D222" s="492">
        <v>0.35</v>
      </c>
      <c r="E222" s="1093"/>
      <c r="F222" s="492">
        <v>0.35</v>
      </c>
      <c r="G222" s="492" t="s">
        <v>26</v>
      </c>
      <c r="H222" s="1104" t="s">
        <v>1063</v>
      </c>
      <c r="I222" s="505" t="s">
        <v>1064</v>
      </c>
      <c r="J222" s="499" t="s">
        <v>1270</v>
      </c>
      <c r="K222" s="986" t="s">
        <v>1063</v>
      </c>
    </row>
    <row r="223" spans="1:11" s="1019" customFormat="1" ht="115.5">
      <c r="A223" s="498">
        <v>119</v>
      </c>
      <c r="B223" s="1223" t="s">
        <v>1065</v>
      </c>
      <c r="C223" s="1084"/>
      <c r="D223" s="492">
        <v>0.73</v>
      </c>
      <c r="E223" s="1093"/>
      <c r="F223" s="492">
        <v>0.73</v>
      </c>
      <c r="G223" s="492" t="s">
        <v>1066</v>
      </c>
      <c r="H223" s="1017" t="s">
        <v>900</v>
      </c>
      <c r="I223" s="1224" t="s">
        <v>1067</v>
      </c>
      <c r="J223" s="1225" t="s">
        <v>1270</v>
      </c>
      <c r="K223" s="1018" t="s">
        <v>900</v>
      </c>
    </row>
    <row r="224" spans="1:11" s="1229" customFormat="1" ht="33">
      <c r="A224" s="498">
        <v>120</v>
      </c>
      <c r="B224" s="1016" t="s">
        <v>1065</v>
      </c>
      <c r="C224" s="1084"/>
      <c r="D224" s="492">
        <v>0.16370999999999999</v>
      </c>
      <c r="E224" s="1093"/>
      <c r="F224" s="492">
        <v>0.16370999999999999</v>
      </c>
      <c r="G224" s="492" t="s">
        <v>1017</v>
      </c>
      <c r="H224" s="1226" t="s">
        <v>900</v>
      </c>
      <c r="I224" s="1227" t="s">
        <v>1068</v>
      </c>
      <c r="J224" s="1228" t="s">
        <v>1236</v>
      </c>
      <c r="K224" s="1018" t="s">
        <v>900</v>
      </c>
    </row>
    <row r="225" spans="1:12" s="1229" customFormat="1" ht="94.5">
      <c r="A225" s="498">
        <v>121</v>
      </c>
      <c r="B225" s="1230" t="s">
        <v>1069</v>
      </c>
      <c r="C225" s="1084"/>
      <c r="D225" s="492">
        <v>0.85</v>
      </c>
      <c r="E225" s="1093"/>
      <c r="F225" s="492">
        <v>0.85</v>
      </c>
      <c r="G225" s="492" t="s">
        <v>1070</v>
      </c>
      <c r="H225" s="1226" t="s">
        <v>1038</v>
      </c>
      <c r="I225" s="1227" t="s">
        <v>1275</v>
      </c>
      <c r="J225" s="1228" t="s">
        <v>1276</v>
      </c>
      <c r="K225" s="1018" t="s">
        <v>1038</v>
      </c>
    </row>
    <row r="226" spans="1:12" s="1108" customFormat="1" ht="39.950000000000003" customHeight="1">
      <c r="A226" s="1020" t="s">
        <v>91</v>
      </c>
      <c r="B226" s="1003" t="s">
        <v>1071</v>
      </c>
      <c r="C226" s="1004"/>
      <c r="D226" s="1023"/>
      <c r="E226" s="1023"/>
      <c r="F226" s="1023"/>
      <c r="G226" s="1005"/>
      <c r="H226" s="1005"/>
      <c r="I226" s="1003"/>
      <c r="J226" s="1000"/>
      <c r="K226" s="1107"/>
    </row>
    <row r="227" spans="1:12" s="1105" customFormat="1" ht="66">
      <c r="A227" s="1011">
        <v>122</v>
      </c>
      <c r="B227" s="488" t="s">
        <v>876</v>
      </c>
      <c r="C227" s="1078" t="s">
        <v>38</v>
      </c>
      <c r="D227" s="486">
        <v>138.85</v>
      </c>
      <c r="E227" s="1160">
        <v>113.23</v>
      </c>
      <c r="F227" s="486">
        <v>25.62</v>
      </c>
      <c r="G227" s="1160" t="s">
        <v>1277</v>
      </c>
      <c r="H227" s="1160" t="s">
        <v>746</v>
      </c>
      <c r="I227" s="488" t="s">
        <v>884</v>
      </c>
      <c r="J227" s="1013" t="s">
        <v>887</v>
      </c>
      <c r="K227" s="986" t="s">
        <v>746</v>
      </c>
    </row>
    <row r="228" spans="1:12" s="1105" customFormat="1" ht="78" customHeight="1">
      <c r="A228" s="498">
        <v>123</v>
      </c>
      <c r="B228" s="505" t="s">
        <v>877</v>
      </c>
      <c r="C228" s="1084" t="s">
        <v>38</v>
      </c>
      <c r="D228" s="492">
        <v>99.028323</v>
      </c>
      <c r="E228" s="1104">
        <v>66.56</v>
      </c>
      <c r="F228" s="492">
        <v>32.468322999999998</v>
      </c>
      <c r="G228" s="1104" t="s">
        <v>1278</v>
      </c>
      <c r="H228" s="1104" t="s">
        <v>748</v>
      </c>
      <c r="I228" s="505" t="s">
        <v>884</v>
      </c>
      <c r="J228" s="499" t="s">
        <v>887</v>
      </c>
      <c r="K228" s="986"/>
    </row>
    <row r="229" spans="1:12" s="1105" customFormat="1" ht="80.099999999999994" customHeight="1">
      <c r="A229" s="498">
        <v>124</v>
      </c>
      <c r="B229" s="505" t="s">
        <v>878</v>
      </c>
      <c r="C229" s="1084" t="s">
        <v>38</v>
      </c>
      <c r="D229" s="492">
        <v>81.062370000000001</v>
      </c>
      <c r="E229" s="1104">
        <v>73.06</v>
      </c>
      <c r="F229" s="492">
        <v>8.0023700000000009</v>
      </c>
      <c r="G229" s="1104" t="s">
        <v>1279</v>
      </c>
      <c r="H229" s="1104" t="s">
        <v>747</v>
      </c>
      <c r="I229" s="505" t="s">
        <v>884</v>
      </c>
      <c r="J229" s="499" t="s">
        <v>887</v>
      </c>
      <c r="K229" s="986" t="s">
        <v>748</v>
      </c>
    </row>
    <row r="230" spans="1:12" s="1105" customFormat="1" ht="80.099999999999994" customHeight="1">
      <c r="A230" s="498">
        <v>125</v>
      </c>
      <c r="B230" s="505" t="s">
        <v>1280</v>
      </c>
      <c r="C230" s="1084" t="s">
        <v>38</v>
      </c>
      <c r="D230" s="492">
        <v>73.552279999999996</v>
      </c>
      <c r="E230" s="492">
        <v>72.36</v>
      </c>
      <c r="F230" s="492">
        <v>1.19228</v>
      </c>
      <c r="G230" s="492" t="s">
        <v>1281</v>
      </c>
      <c r="H230" s="499" t="s">
        <v>753</v>
      </c>
      <c r="I230" s="1094" t="s">
        <v>884</v>
      </c>
      <c r="J230" s="499" t="s">
        <v>887</v>
      </c>
      <c r="K230" s="986" t="s">
        <v>747</v>
      </c>
    </row>
    <row r="231" spans="1:12" s="1061" customFormat="1" ht="68.25" customHeight="1">
      <c r="A231" s="498">
        <v>126</v>
      </c>
      <c r="B231" s="505" t="s">
        <v>879</v>
      </c>
      <c r="C231" s="1084" t="s">
        <v>38</v>
      </c>
      <c r="D231" s="492">
        <v>25.639790000000001</v>
      </c>
      <c r="E231" s="492">
        <v>21.589790000000001</v>
      </c>
      <c r="F231" s="492">
        <v>4.05</v>
      </c>
      <c r="G231" s="1104" t="s">
        <v>1282</v>
      </c>
      <c r="H231" s="1104" t="s">
        <v>755</v>
      </c>
      <c r="I231" s="505" t="s">
        <v>884</v>
      </c>
      <c r="J231" s="499" t="s">
        <v>887</v>
      </c>
      <c r="K231" s="1060" t="s">
        <v>753</v>
      </c>
    </row>
    <row r="232" spans="1:12" s="1105" customFormat="1" ht="68.25" customHeight="1">
      <c r="A232" s="498">
        <v>127</v>
      </c>
      <c r="B232" s="505" t="s">
        <v>880</v>
      </c>
      <c r="C232" s="1084" t="s">
        <v>38</v>
      </c>
      <c r="D232" s="492">
        <v>57.96</v>
      </c>
      <c r="E232" s="492">
        <v>56.69</v>
      </c>
      <c r="F232" s="492">
        <v>1.27</v>
      </c>
      <c r="G232" s="492" t="s">
        <v>1283</v>
      </c>
      <c r="H232" s="498" t="s">
        <v>758</v>
      </c>
      <c r="I232" s="1094" t="s">
        <v>884</v>
      </c>
      <c r="J232" s="499" t="s">
        <v>887</v>
      </c>
      <c r="K232" s="986" t="s">
        <v>755</v>
      </c>
    </row>
    <row r="233" spans="1:12" s="1061" customFormat="1" ht="73.5" customHeight="1">
      <c r="A233" s="498">
        <v>128</v>
      </c>
      <c r="B233" s="505" t="s">
        <v>881</v>
      </c>
      <c r="C233" s="1084" t="s">
        <v>38</v>
      </c>
      <c r="D233" s="492">
        <v>182.11642000000001</v>
      </c>
      <c r="E233" s="492">
        <v>162.23389</v>
      </c>
      <c r="F233" s="492">
        <v>19.882529999999999</v>
      </c>
      <c r="G233" s="1104" t="s">
        <v>946</v>
      </c>
      <c r="H233" s="1104" t="s">
        <v>749</v>
      </c>
      <c r="I233" s="505" t="s">
        <v>884</v>
      </c>
      <c r="J233" s="499" t="s">
        <v>887</v>
      </c>
      <c r="K233" s="1060" t="s">
        <v>758</v>
      </c>
    </row>
    <row r="234" spans="1:12" s="1105" customFormat="1" ht="80.099999999999994" customHeight="1">
      <c r="A234" s="498">
        <v>129</v>
      </c>
      <c r="B234" s="505" t="s">
        <v>1284</v>
      </c>
      <c r="C234" s="1084" t="s">
        <v>38</v>
      </c>
      <c r="D234" s="492">
        <v>208.02898999999999</v>
      </c>
      <c r="E234" s="1104">
        <v>141.97999999999999</v>
      </c>
      <c r="F234" s="492">
        <v>66.048990000000003</v>
      </c>
      <c r="G234" s="1104" t="s">
        <v>1285</v>
      </c>
      <c r="H234" s="1104" t="s">
        <v>750</v>
      </c>
      <c r="I234" s="505" t="s">
        <v>884</v>
      </c>
      <c r="J234" s="499" t="s">
        <v>887</v>
      </c>
      <c r="K234" s="986" t="s">
        <v>749</v>
      </c>
    </row>
    <row r="235" spans="1:12" s="1105" customFormat="1" ht="80.099999999999994" customHeight="1">
      <c r="A235" s="498">
        <v>130</v>
      </c>
      <c r="B235" s="505" t="s">
        <v>882</v>
      </c>
      <c r="C235" s="1084" t="s">
        <v>38</v>
      </c>
      <c r="D235" s="492">
        <v>25.233650000000001</v>
      </c>
      <c r="E235" s="492"/>
      <c r="F235" s="492">
        <v>25.233650000000001</v>
      </c>
      <c r="G235" s="492" t="s">
        <v>116</v>
      </c>
      <c r="H235" s="498" t="s">
        <v>759</v>
      </c>
      <c r="I235" s="505" t="s">
        <v>884</v>
      </c>
      <c r="J235" s="499" t="s">
        <v>887</v>
      </c>
      <c r="K235" s="986" t="s">
        <v>750</v>
      </c>
    </row>
    <row r="236" spans="1:12" s="1232" customFormat="1" ht="66">
      <c r="A236" s="494">
        <v>131</v>
      </c>
      <c r="B236" s="500" t="s">
        <v>883</v>
      </c>
      <c r="C236" s="1161" t="s">
        <v>38</v>
      </c>
      <c r="D236" s="493">
        <v>20.049579999999999</v>
      </c>
      <c r="E236" s="493">
        <v>0.59</v>
      </c>
      <c r="F236" s="493">
        <v>19.459579999999999</v>
      </c>
      <c r="G236" s="1188" t="s">
        <v>1286</v>
      </c>
      <c r="H236" s="1188" t="s">
        <v>751</v>
      </c>
      <c r="I236" s="500" t="s">
        <v>884</v>
      </c>
      <c r="J236" s="496" t="s">
        <v>887</v>
      </c>
      <c r="K236" s="1060" t="s">
        <v>759</v>
      </c>
      <c r="L236" s="1061"/>
    </row>
    <row r="237" spans="1:12" s="1105" customFormat="1" ht="80.099999999999994" customHeight="1">
      <c r="A237" s="1020" t="s">
        <v>1287</v>
      </c>
      <c r="B237" s="1003" t="s">
        <v>1072</v>
      </c>
      <c r="C237" s="1004"/>
      <c r="D237" s="1233"/>
      <c r="E237" s="1233">
        <v>0</v>
      </c>
      <c r="F237" s="1233"/>
      <c r="G237" s="1233"/>
      <c r="H237" s="1005"/>
      <c r="I237" s="1003"/>
      <c r="J237" s="1000"/>
      <c r="K237" s="986" t="s">
        <v>751</v>
      </c>
    </row>
    <row r="238" spans="1:12" s="1235" customFormat="1" ht="58.5" customHeight="1">
      <c r="A238" s="1011">
        <v>132</v>
      </c>
      <c r="B238" s="488" t="s">
        <v>1288</v>
      </c>
      <c r="C238" s="1078" t="s">
        <v>87</v>
      </c>
      <c r="D238" s="1234">
        <v>0.59629999999999994</v>
      </c>
      <c r="E238" s="1234"/>
      <c r="F238" s="1234">
        <v>0.59629999999999994</v>
      </c>
      <c r="G238" s="1160" t="s">
        <v>90</v>
      </c>
      <c r="H238" s="1160" t="s">
        <v>1289</v>
      </c>
      <c r="I238" s="488"/>
      <c r="J238" s="1013" t="s">
        <v>1236</v>
      </c>
      <c r="K238" s="1107"/>
    </row>
    <row r="239" spans="1:12" s="1061" customFormat="1" ht="56.25" customHeight="1">
      <c r="A239" s="498">
        <v>133</v>
      </c>
      <c r="B239" s="505" t="s">
        <v>1290</v>
      </c>
      <c r="C239" s="1078" t="s">
        <v>87</v>
      </c>
      <c r="D239" s="1234">
        <v>5.67E-2</v>
      </c>
      <c r="E239" s="1231"/>
      <c r="F239" s="1234">
        <v>5.67E-2</v>
      </c>
      <c r="G239" s="1104" t="s">
        <v>107</v>
      </c>
      <c r="H239" s="1104" t="s">
        <v>753</v>
      </c>
      <c r="I239" s="505"/>
      <c r="J239" s="1013" t="s">
        <v>1236</v>
      </c>
      <c r="K239" s="986" t="s">
        <v>1289</v>
      </c>
    </row>
    <row r="240" spans="1:12" s="1061" customFormat="1" ht="220.5" customHeight="1">
      <c r="A240" s="498">
        <v>134</v>
      </c>
      <c r="B240" s="505" t="s">
        <v>1291</v>
      </c>
      <c r="C240" s="1084" t="s">
        <v>1292</v>
      </c>
      <c r="D240" s="1234">
        <v>2.0131000000000001</v>
      </c>
      <c r="E240" s="1231"/>
      <c r="F240" s="1234">
        <v>2.0131000000000001</v>
      </c>
      <c r="G240" s="1104" t="s">
        <v>204</v>
      </c>
      <c r="H240" s="1104" t="s">
        <v>1293</v>
      </c>
      <c r="I240" s="505"/>
      <c r="J240" s="1013" t="s">
        <v>1236</v>
      </c>
      <c r="K240" s="986" t="s">
        <v>753</v>
      </c>
    </row>
    <row r="241" spans="1:11" s="1061" customFormat="1" ht="212.25" customHeight="1">
      <c r="A241" s="498">
        <v>135</v>
      </c>
      <c r="B241" s="505" t="s">
        <v>1073</v>
      </c>
      <c r="C241" s="1084" t="s">
        <v>64</v>
      </c>
      <c r="D241" s="1231">
        <v>0.5</v>
      </c>
      <c r="E241" s="1231"/>
      <c r="F241" s="1231">
        <v>0.5</v>
      </c>
      <c r="G241" s="1104" t="s">
        <v>38</v>
      </c>
      <c r="H241" s="1104" t="s">
        <v>1074</v>
      </c>
      <c r="I241" s="505" t="s">
        <v>1294</v>
      </c>
      <c r="J241" s="499" t="s">
        <v>887</v>
      </c>
      <c r="K241" s="986" t="s">
        <v>1293</v>
      </c>
    </row>
    <row r="242" spans="1:11" s="1061" customFormat="1" ht="75.75" customHeight="1">
      <c r="A242" s="498">
        <v>136</v>
      </c>
      <c r="B242" s="505" t="s">
        <v>813</v>
      </c>
      <c r="C242" s="1084" t="s">
        <v>87</v>
      </c>
      <c r="D242" s="1231">
        <v>0.26050000000000001</v>
      </c>
      <c r="E242" s="1231">
        <v>0.06</v>
      </c>
      <c r="F242" s="1231">
        <v>0.20050000000000001</v>
      </c>
      <c r="G242" s="1104" t="s">
        <v>947</v>
      </c>
      <c r="H242" s="1104" t="s">
        <v>1020</v>
      </c>
      <c r="I242" s="505" t="s">
        <v>819</v>
      </c>
      <c r="J242" s="499" t="s">
        <v>887</v>
      </c>
      <c r="K242" s="986" t="s">
        <v>1074</v>
      </c>
    </row>
    <row r="243" spans="1:11" s="1061" customFormat="1" ht="181.5">
      <c r="A243" s="498">
        <v>137</v>
      </c>
      <c r="B243" s="505" t="s">
        <v>814</v>
      </c>
      <c r="C243" s="1084" t="s">
        <v>87</v>
      </c>
      <c r="D243" s="1231">
        <v>0.67</v>
      </c>
      <c r="E243" s="1231"/>
      <c r="F243" s="1231">
        <v>0.67</v>
      </c>
      <c r="G243" s="1104" t="s">
        <v>26</v>
      </c>
      <c r="H243" s="1104" t="s">
        <v>1020</v>
      </c>
      <c r="I243" s="505" t="s">
        <v>820</v>
      </c>
      <c r="J243" s="499" t="s">
        <v>887</v>
      </c>
      <c r="K243" s="986" t="s">
        <v>1020</v>
      </c>
    </row>
    <row r="244" spans="1:11" s="1061" customFormat="1" ht="66">
      <c r="A244" s="498">
        <v>138</v>
      </c>
      <c r="B244" s="505" t="s">
        <v>889</v>
      </c>
      <c r="C244" s="1084" t="s">
        <v>64</v>
      </c>
      <c r="D244" s="1231">
        <v>0.2001</v>
      </c>
      <c r="E244" s="1231"/>
      <c r="F244" s="1231">
        <v>0.2001</v>
      </c>
      <c r="G244" s="1104" t="s">
        <v>944</v>
      </c>
      <c r="H244" s="1104" t="s">
        <v>1020</v>
      </c>
      <c r="I244" s="505" t="s">
        <v>892</v>
      </c>
      <c r="J244" s="499" t="s">
        <v>887</v>
      </c>
      <c r="K244" s="986" t="s">
        <v>1020</v>
      </c>
    </row>
    <row r="245" spans="1:11" s="1061" customFormat="1" ht="66">
      <c r="A245" s="498">
        <v>139</v>
      </c>
      <c r="B245" s="505" t="s">
        <v>891</v>
      </c>
      <c r="C245" s="1084" t="s">
        <v>64</v>
      </c>
      <c r="D245" s="1231">
        <v>0.24560499999999999</v>
      </c>
      <c r="E245" s="1231"/>
      <c r="F245" s="1231">
        <v>0.24560499999999999</v>
      </c>
      <c r="G245" s="1104" t="s">
        <v>930</v>
      </c>
      <c r="H245" s="1104" t="s">
        <v>753</v>
      </c>
      <c r="I245" s="505" t="s">
        <v>894</v>
      </c>
      <c r="J245" s="499" t="s">
        <v>1236</v>
      </c>
      <c r="K245" s="986" t="s">
        <v>1020</v>
      </c>
    </row>
    <row r="246" spans="1:11" s="1106" customFormat="1" ht="82.5">
      <c r="A246" s="498">
        <v>140</v>
      </c>
      <c r="B246" s="505" t="s">
        <v>890</v>
      </c>
      <c r="C246" s="1084" t="s">
        <v>64</v>
      </c>
      <c r="D246" s="1231">
        <v>48.7</v>
      </c>
      <c r="E246" s="1231">
        <v>48.7</v>
      </c>
      <c r="F246" s="1231">
        <v>0</v>
      </c>
      <c r="G246" s="1104" t="s">
        <v>64</v>
      </c>
      <c r="H246" s="1104" t="s">
        <v>753</v>
      </c>
      <c r="I246" s="505" t="s">
        <v>893</v>
      </c>
      <c r="J246" s="499" t="s">
        <v>887</v>
      </c>
      <c r="K246" s="986" t="s">
        <v>753</v>
      </c>
    </row>
    <row r="247" spans="1:11" s="1106" customFormat="1" ht="66">
      <c r="A247" s="498">
        <v>141</v>
      </c>
      <c r="B247" s="505" t="s">
        <v>821</v>
      </c>
      <c r="C247" s="1084" t="s">
        <v>87</v>
      </c>
      <c r="D247" s="1231">
        <v>0.21912799999999999</v>
      </c>
      <c r="E247" s="1231">
        <v>5.9839999999999997E-3</v>
      </c>
      <c r="F247" s="1231">
        <v>0.213144</v>
      </c>
      <c r="G247" s="1104" t="s">
        <v>1075</v>
      </c>
      <c r="H247" s="499" t="s">
        <v>1063</v>
      </c>
      <c r="I247" s="505" t="s">
        <v>1295</v>
      </c>
      <c r="J247" s="499" t="s">
        <v>887</v>
      </c>
      <c r="K247" s="986" t="s">
        <v>753</v>
      </c>
    </row>
    <row r="248" spans="1:11" s="1061" customFormat="1" ht="115.5">
      <c r="A248" s="498">
        <v>142</v>
      </c>
      <c r="B248" s="505" t="s">
        <v>825</v>
      </c>
      <c r="C248" s="1084" t="s">
        <v>87</v>
      </c>
      <c r="D248" s="1231">
        <v>43.987343000000003</v>
      </c>
      <c r="E248" s="1231">
        <v>5.8349299999999999</v>
      </c>
      <c r="F248" s="1231">
        <v>38.152413000000003</v>
      </c>
      <c r="G248" s="1104" t="s">
        <v>950</v>
      </c>
      <c r="H248" s="499" t="s">
        <v>758</v>
      </c>
      <c r="I248" s="505" t="s">
        <v>828</v>
      </c>
      <c r="J248" s="499" t="s">
        <v>887</v>
      </c>
      <c r="K248" s="986" t="s">
        <v>1063</v>
      </c>
    </row>
    <row r="249" spans="1:11" s="1061" customFormat="1" ht="175.5" customHeight="1">
      <c r="A249" s="498">
        <v>143</v>
      </c>
      <c r="B249" s="505" t="s">
        <v>826</v>
      </c>
      <c r="C249" s="1084" t="s">
        <v>87</v>
      </c>
      <c r="D249" s="1231">
        <v>24.580000000000002</v>
      </c>
      <c r="E249" s="1231">
        <v>2.2374000000000001</v>
      </c>
      <c r="F249" s="1231">
        <v>22.342600000000001</v>
      </c>
      <c r="G249" s="1104" t="s">
        <v>951</v>
      </c>
      <c r="H249" s="499" t="s">
        <v>758</v>
      </c>
      <c r="I249" s="505" t="s">
        <v>829</v>
      </c>
      <c r="J249" s="499" t="s">
        <v>887</v>
      </c>
      <c r="K249" s="986" t="s">
        <v>758</v>
      </c>
    </row>
    <row r="250" spans="1:11" s="1061" customFormat="1" ht="66">
      <c r="A250" s="498">
        <v>144</v>
      </c>
      <c r="B250" s="505" t="s">
        <v>832</v>
      </c>
      <c r="C250" s="1084"/>
      <c r="D250" s="1231">
        <v>0.25</v>
      </c>
      <c r="E250" s="1231"/>
      <c r="F250" s="1231">
        <v>0.25</v>
      </c>
      <c r="G250" s="1104" t="s">
        <v>64</v>
      </c>
      <c r="H250" s="499" t="s">
        <v>1077</v>
      </c>
      <c r="I250" s="505" t="s">
        <v>833</v>
      </c>
      <c r="J250" s="499" t="s">
        <v>887</v>
      </c>
      <c r="K250" s="986" t="s">
        <v>758</v>
      </c>
    </row>
    <row r="251" spans="1:11" s="1061" customFormat="1" ht="115.5">
      <c r="A251" s="1236">
        <v>145</v>
      </c>
      <c r="B251" s="1237" t="s">
        <v>1078</v>
      </c>
      <c r="C251" s="1238" t="s">
        <v>87</v>
      </c>
      <c r="D251" s="1239">
        <v>38.760245000000005</v>
      </c>
      <c r="E251" s="1239">
        <v>5.2</v>
      </c>
      <c r="F251" s="1239">
        <v>33.560245000000002</v>
      </c>
      <c r="G251" s="1240" t="s">
        <v>948</v>
      </c>
      <c r="H251" s="1241" t="s">
        <v>755</v>
      </c>
      <c r="I251" s="1237" t="s">
        <v>1296</v>
      </c>
      <c r="J251" s="1241" t="s">
        <v>887</v>
      </c>
      <c r="K251" s="986" t="s">
        <v>1077</v>
      </c>
    </row>
    <row r="252" spans="1:11" s="1061" customFormat="1">
      <c r="K252" s="986" t="s">
        <v>755</v>
      </c>
    </row>
    <row r="253" spans="1:11" s="1061" customFormat="1">
      <c r="A253" s="624"/>
      <c r="B253" s="1242"/>
      <c r="C253" s="1242"/>
      <c r="D253" s="1242"/>
      <c r="E253" s="1242"/>
      <c r="F253" s="1242"/>
      <c r="G253" s="1242"/>
      <c r="H253" s="1243"/>
      <c r="I253" s="1242"/>
      <c r="J253" s="1242"/>
      <c r="K253" s="1244"/>
    </row>
    <row r="254" spans="1:11" s="1061" customFormat="1">
      <c r="A254" s="624"/>
      <c r="B254" s="1242"/>
      <c r="C254" s="1242"/>
      <c r="D254" s="1242"/>
      <c r="E254" s="1242"/>
      <c r="F254" s="1242"/>
      <c r="G254" s="1242"/>
      <c r="H254" s="1243"/>
      <c r="I254" s="1242"/>
      <c r="J254" s="1242"/>
      <c r="K254" s="1244"/>
    </row>
    <row r="255" spans="1:11" s="1061" customFormat="1">
      <c r="A255" s="624"/>
      <c r="B255" s="1242"/>
      <c r="C255" s="1242"/>
      <c r="D255" s="1242"/>
      <c r="E255" s="1242"/>
      <c r="F255" s="1242"/>
      <c r="G255" s="1242"/>
      <c r="H255" s="1243"/>
      <c r="I255" s="1242"/>
      <c r="J255" s="1242"/>
      <c r="K255" s="1244"/>
    </row>
    <row r="256" spans="1:11" s="1061" customFormat="1">
      <c r="A256" s="624"/>
      <c r="B256" s="1242"/>
      <c r="C256" s="1242"/>
      <c r="D256" s="1242"/>
      <c r="E256" s="1242"/>
      <c r="F256" s="1242"/>
      <c r="G256" s="1242"/>
      <c r="H256" s="1243"/>
      <c r="I256" s="1242"/>
      <c r="J256" s="1242"/>
      <c r="K256" s="1244"/>
    </row>
    <row r="257" spans="1:11" s="1061" customFormat="1">
      <c r="A257" s="624"/>
      <c r="B257" s="1242"/>
      <c r="C257" s="1242"/>
      <c r="D257" s="1242"/>
      <c r="E257" s="1242"/>
      <c r="F257" s="1242"/>
      <c r="G257" s="1242"/>
      <c r="H257" s="1243"/>
      <c r="I257" s="1242"/>
      <c r="J257" s="1242"/>
      <c r="K257" s="1244"/>
    </row>
    <row r="258" spans="1:11" s="1061" customFormat="1">
      <c r="A258" s="624"/>
      <c r="B258" s="1242"/>
      <c r="C258" s="1242"/>
      <c r="D258" s="1242"/>
      <c r="E258" s="1242"/>
      <c r="F258" s="1242"/>
      <c r="G258" s="1242"/>
      <c r="H258" s="1243"/>
      <c r="I258" s="1242"/>
      <c r="J258" s="1242"/>
      <c r="K258" s="1244"/>
    </row>
    <row r="259" spans="1:11" s="1061" customFormat="1">
      <c r="A259" s="624"/>
      <c r="B259" s="1242"/>
      <c r="C259" s="1242"/>
      <c r="D259" s="1242"/>
      <c r="E259" s="1242"/>
      <c r="F259" s="1242"/>
      <c r="G259" s="1242"/>
      <c r="H259" s="1243"/>
      <c r="I259" s="1242"/>
      <c r="J259" s="1242"/>
      <c r="K259" s="1244"/>
    </row>
    <row r="260" spans="1:11" s="1061" customFormat="1">
      <c r="A260" s="1245"/>
      <c r="C260" s="1246"/>
      <c r="D260" s="502"/>
      <c r="E260" s="1245"/>
      <c r="G260" s="1245"/>
      <c r="H260" s="1247"/>
      <c r="I260" s="1139"/>
      <c r="J260" s="983"/>
      <c r="K260" s="986"/>
    </row>
    <row r="261" spans="1:11" s="1061" customFormat="1">
      <c r="A261" s="1245"/>
      <c r="C261" s="1246"/>
      <c r="D261" s="502"/>
      <c r="E261" s="1245"/>
      <c r="G261" s="1245"/>
      <c r="H261" s="1247"/>
      <c r="I261" s="1139"/>
      <c r="J261" s="983"/>
      <c r="K261" s="986"/>
    </row>
    <row r="262" spans="1:11" s="1061" customFormat="1">
      <c r="A262" s="1245"/>
      <c r="C262" s="1246"/>
      <c r="D262" s="502"/>
      <c r="E262" s="1245"/>
      <c r="G262" s="1245"/>
      <c r="H262" s="1247"/>
      <c r="I262" s="1139"/>
      <c r="J262" s="983"/>
      <c r="K262" s="986"/>
    </row>
    <row r="263" spans="1:11" s="1061" customFormat="1">
      <c r="A263" s="1245"/>
      <c r="C263" s="1246"/>
      <c r="D263" s="502"/>
      <c r="E263" s="1245"/>
      <c r="G263" s="1245"/>
      <c r="H263" s="1247"/>
      <c r="I263" s="1139"/>
      <c r="J263" s="983"/>
      <c r="K263" s="986"/>
    </row>
    <row r="264" spans="1:11" s="1061" customFormat="1">
      <c r="A264" s="1245"/>
      <c r="C264" s="1246"/>
      <c r="D264" s="502"/>
      <c r="E264" s="1245"/>
      <c r="G264" s="1245"/>
      <c r="H264" s="1247"/>
      <c r="I264" s="1139"/>
      <c r="J264" s="983"/>
      <c r="K264" s="986"/>
    </row>
    <row r="265" spans="1:11" s="1061" customFormat="1">
      <c r="A265" s="1245"/>
      <c r="C265" s="1246"/>
      <c r="D265" s="502"/>
      <c r="E265" s="1245"/>
      <c r="G265" s="1245"/>
      <c r="H265" s="1247"/>
      <c r="I265" s="1139"/>
      <c r="J265" s="983"/>
      <c r="K265" s="986"/>
    </row>
    <row r="266" spans="1:11" s="1061" customFormat="1">
      <c r="A266" s="1245"/>
      <c r="C266" s="1246"/>
      <c r="D266" s="502"/>
      <c r="E266" s="1245"/>
      <c r="G266" s="1245"/>
      <c r="H266" s="1247"/>
      <c r="I266" s="1139"/>
      <c r="J266" s="983"/>
      <c r="K266" s="986"/>
    </row>
    <row r="267" spans="1:11" s="1061" customFormat="1">
      <c r="A267" s="1245"/>
      <c r="C267" s="1246"/>
      <c r="D267" s="502"/>
      <c r="E267" s="1245"/>
      <c r="G267" s="1245"/>
      <c r="H267" s="1247"/>
      <c r="I267" s="1139"/>
      <c r="J267" s="983"/>
      <c r="K267" s="986"/>
    </row>
    <row r="268" spans="1:11" s="1061" customFormat="1">
      <c r="A268" s="1245"/>
      <c r="C268" s="1246"/>
      <c r="D268" s="502"/>
      <c r="E268" s="1245"/>
      <c r="G268" s="1245"/>
      <c r="H268" s="1247"/>
      <c r="I268" s="1139"/>
      <c r="J268" s="983"/>
      <c r="K268" s="986"/>
    </row>
    <row r="269" spans="1:11" s="1061" customFormat="1">
      <c r="A269" s="1245"/>
      <c r="C269" s="1246"/>
      <c r="D269" s="502"/>
      <c r="E269" s="1245"/>
      <c r="G269" s="1245"/>
      <c r="H269" s="1247"/>
      <c r="I269" s="1139"/>
      <c r="J269" s="983"/>
      <c r="K269" s="986"/>
    </row>
    <row r="270" spans="1:11" s="1061" customFormat="1">
      <c r="A270" s="1245"/>
      <c r="C270" s="1246"/>
      <c r="D270" s="502"/>
      <c r="E270" s="1245"/>
      <c r="G270" s="1245"/>
      <c r="H270" s="1247"/>
      <c r="I270" s="1139"/>
      <c r="J270" s="983"/>
      <c r="K270" s="986"/>
    </row>
    <row r="271" spans="1:11" s="1061" customFormat="1">
      <c r="A271" s="1245"/>
      <c r="C271" s="1246"/>
      <c r="D271" s="502"/>
      <c r="E271" s="1245"/>
      <c r="G271" s="1245"/>
      <c r="H271" s="1247"/>
      <c r="I271" s="1139"/>
      <c r="J271" s="983"/>
      <c r="K271" s="986"/>
    </row>
    <row r="272" spans="1:11" s="1061" customFormat="1">
      <c r="A272" s="1245"/>
      <c r="C272" s="1246"/>
      <c r="D272" s="502"/>
      <c r="E272" s="1245"/>
      <c r="G272" s="1245"/>
      <c r="H272" s="1247"/>
      <c r="I272" s="1139"/>
      <c r="J272" s="983"/>
      <c r="K272" s="986"/>
    </row>
    <row r="273" spans="1:11" s="1061" customFormat="1">
      <c r="A273" s="1245"/>
      <c r="C273" s="1246"/>
      <c r="D273" s="502"/>
      <c r="E273" s="1245"/>
      <c r="G273" s="1245"/>
      <c r="H273" s="1247"/>
      <c r="I273" s="1139"/>
      <c r="J273" s="983"/>
      <c r="K273" s="986"/>
    </row>
    <row r="274" spans="1:11" s="1061" customFormat="1">
      <c r="A274" s="1245"/>
      <c r="C274" s="1246"/>
      <c r="D274" s="502"/>
      <c r="E274" s="1245"/>
      <c r="G274" s="1245"/>
      <c r="H274" s="1247"/>
      <c r="I274" s="1139"/>
      <c r="J274" s="983"/>
      <c r="K274" s="986"/>
    </row>
    <row r="275" spans="1:11" s="1061" customFormat="1">
      <c r="A275" s="1245"/>
      <c r="C275" s="1246"/>
      <c r="D275" s="502"/>
      <c r="E275" s="1245"/>
      <c r="G275" s="1245"/>
      <c r="H275" s="1247"/>
      <c r="I275" s="1139"/>
      <c r="J275" s="983"/>
      <c r="K275" s="986"/>
    </row>
    <row r="276" spans="1:11" s="1061" customFormat="1">
      <c r="A276" s="1245"/>
      <c r="C276" s="1246"/>
      <c r="D276" s="502"/>
      <c r="E276" s="1245"/>
      <c r="G276" s="1245"/>
      <c r="H276" s="1247"/>
      <c r="I276" s="1139"/>
      <c r="J276" s="983"/>
      <c r="K276" s="986"/>
    </row>
    <row r="277" spans="1:11" s="1061" customFormat="1">
      <c r="A277" s="1245"/>
      <c r="C277" s="1246"/>
      <c r="D277" s="502"/>
      <c r="E277" s="1245"/>
      <c r="G277" s="1245"/>
      <c r="H277" s="1247"/>
      <c r="I277" s="1139"/>
      <c r="J277" s="983"/>
      <c r="K277" s="986"/>
    </row>
    <row r="278" spans="1:11" s="1061" customFormat="1">
      <c r="A278" s="1245"/>
      <c r="C278" s="1246"/>
      <c r="D278" s="502"/>
      <c r="E278" s="1245"/>
      <c r="G278" s="1245"/>
      <c r="H278" s="1247"/>
      <c r="I278" s="1139"/>
      <c r="J278" s="983"/>
      <c r="K278" s="986"/>
    </row>
    <row r="279" spans="1:11" s="1061" customFormat="1">
      <c r="A279" s="1245"/>
      <c r="C279" s="1246"/>
      <c r="D279" s="502"/>
      <c r="E279" s="1245"/>
      <c r="G279" s="1245"/>
      <c r="H279" s="1247"/>
      <c r="I279" s="1139"/>
      <c r="J279" s="983"/>
      <c r="K279" s="986"/>
    </row>
    <row r="280" spans="1:11" s="1061" customFormat="1">
      <c r="A280" s="1245"/>
      <c r="C280" s="1246"/>
      <c r="D280" s="502"/>
      <c r="E280" s="1245"/>
      <c r="G280" s="1245"/>
      <c r="H280" s="1247"/>
      <c r="I280" s="1139"/>
      <c r="J280" s="983"/>
      <c r="K280" s="986"/>
    </row>
    <row r="281" spans="1:11" s="1061" customFormat="1">
      <c r="A281" s="1245"/>
      <c r="C281" s="1246"/>
      <c r="D281" s="502"/>
      <c r="E281" s="1245"/>
      <c r="G281" s="1245"/>
      <c r="H281" s="1247"/>
      <c r="I281" s="1139"/>
      <c r="J281" s="983"/>
      <c r="K281" s="986"/>
    </row>
    <row r="282" spans="1:11" s="1061" customFormat="1">
      <c r="A282" s="1245"/>
      <c r="C282" s="1246"/>
      <c r="D282" s="502"/>
      <c r="E282" s="1245"/>
      <c r="G282" s="1245"/>
      <c r="H282" s="1247"/>
      <c r="I282" s="1139"/>
      <c r="J282" s="983"/>
      <c r="K282" s="986"/>
    </row>
    <row r="283" spans="1:11" s="1061" customFormat="1">
      <c r="A283" s="1245"/>
      <c r="C283" s="1246"/>
      <c r="D283" s="502"/>
      <c r="E283" s="1245"/>
      <c r="G283" s="1245"/>
      <c r="H283" s="1247"/>
      <c r="I283" s="1139"/>
      <c r="J283" s="983"/>
      <c r="K283" s="986"/>
    </row>
    <row r="284" spans="1:11" s="1061" customFormat="1">
      <c r="A284" s="1245"/>
      <c r="C284" s="1246"/>
      <c r="D284" s="502"/>
      <c r="E284" s="1245"/>
      <c r="G284" s="1245"/>
      <c r="H284" s="1247"/>
      <c r="I284" s="1139"/>
      <c r="J284" s="983"/>
      <c r="K284" s="986"/>
    </row>
    <row r="285" spans="1:11" s="1061" customFormat="1">
      <c r="A285" s="1245"/>
      <c r="C285" s="1246"/>
      <c r="D285" s="502"/>
      <c r="E285" s="1245"/>
      <c r="G285" s="1245"/>
      <c r="H285" s="1247"/>
      <c r="I285" s="1139"/>
      <c r="J285" s="983"/>
      <c r="K285" s="986"/>
    </row>
    <row r="286" spans="1:11" s="1061" customFormat="1">
      <c r="A286" s="1245"/>
      <c r="C286" s="1246"/>
      <c r="D286" s="502"/>
      <c r="E286" s="1245"/>
      <c r="G286" s="1245"/>
      <c r="H286" s="1247"/>
      <c r="I286" s="1139"/>
      <c r="J286" s="983"/>
      <c r="K286" s="986"/>
    </row>
    <row r="287" spans="1:11" s="1061" customFormat="1">
      <c r="A287" s="1245"/>
      <c r="C287" s="1246"/>
      <c r="D287" s="502"/>
      <c r="E287" s="1245"/>
      <c r="G287" s="1245"/>
      <c r="H287" s="1247"/>
      <c r="I287" s="1139"/>
      <c r="J287" s="983"/>
      <c r="K287" s="986"/>
    </row>
    <row r="288" spans="1:11" s="1061" customFormat="1">
      <c r="A288" s="1245"/>
      <c r="C288" s="1246"/>
      <c r="D288" s="502"/>
      <c r="E288" s="1245"/>
      <c r="G288" s="1245"/>
      <c r="H288" s="1247"/>
      <c r="I288" s="1139"/>
      <c r="J288" s="983"/>
      <c r="K288" s="986"/>
    </row>
    <row r="289" spans="1:11" s="1061" customFormat="1">
      <c r="A289" s="1245"/>
      <c r="C289" s="1246"/>
      <c r="D289" s="502"/>
      <c r="E289" s="1245"/>
      <c r="G289" s="1245"/>
      <c r="H289" s="1247"/>
      <c r="I289" s="1139"/>
      <c r="J289" s="983"/>
      <c r="K289" s="986"/>
    </row>
    <row r="290" spans="1:11" s="1061" customFormat="1">
      <c r="A290" s="1245"/>
      <c r="C290" s="1246"/>
      <c r="D290" s="502"/>
      <c r="E290" s="1245"/>
      <c r="G290" s="1245"/>
      <c r="H290" s="1247"/>
      <c r="I290" s="1139"/>
      <c r="J290" s="983"/>
      <c r="K290" s="986"/>
    </row>
    <row r="291" spans="1:11" s="1061" customFormat="1">
      <c r="A291" s="1245"/>
      <c r="C291" s="1246"/>
      <c r="D291" s="502"/>
      <c r="E291" s="1245"/>
      <c r="G291" s="1245"/>
      <c r="H291" s="1247"/>
      <c r="I291" s="1139"/>
      <c r="J291" s="983"/>
      <c r="K291" s="986"/>
    </row>
    <row r="292" spans="1:11" s="1061" customFormat="1">
      <c r="A292" s="1245"/>
      <c r="C292" s="1246"/>
      <c r="D292" s="502"/>
      <c r="E292" s="1245"/>
      <c r="G292" s="1245"/>
      <c r="H292" s="1247"/>
      <c r="I292" s="1139"/>
      <c r="J292" s="983"/>
      <c r="K292" s="986"/>
    </row>
    <row r="293" spans="1:11" s="1061" customFormat="1">
      <c r="A293" s="1245"/>
      <c r="C293" s="1246"/>
      <c r="D293" s="502"/>
      <c r="E293" s="1245"/>
      <c r="G293" s="1245"/>
      <c r="H293" s="1247"/>
      <c r="I293" s="1139"/>
      <c r="J293" s="983"/>
      <c r="K293" s="986"/>
    </row>
    <row r="294" spans="1:11" s="1061" customFormat="1">
      <c r="A294" s="1245"/>
      <c r="C294" s="1246"/>
      <c r="D294" s="502"/>
      <c r="E294" s="1245"/>
      <c r="G294" s="1245"/>
      <c r="H294" s="1247"/>
      <c r="I294" s="1139"/>
      <c r="J294" s="983"/>
      <c r="K294" s="986"/>
    </row>
    <row r="295" spans="1:11" s="1061" customFormat="1">
      <c r="A295" s="1245"/>
      <c r="C295" s="1246"/>
      <c r="D295" s="502"/>
      <c r="E295" s="1245"/>
      <c r="G295" s="1245"/>
      <c r="H295" s="1247"/>
      <c r="I295" s="1139"/>
      <c r="J295" s="983"/>
      <c r="K295" s="986"/>
    </row>
    <row r="296" spans="1:11" s="1061" customFormat="1">
      <c r="A296" s="1245"/>
      <c r="C296" s="1246"/>
      <c r="D296" s="502"/>
      <c r="E296" s="1245"/>
      <c r="G296" s="1245"/>
      <c r="H296" s="1247"/>
      <c r="I296" s="1139"/>
      <c r="J296" s="983"/>
      <c r="K296" s="986"/>
    </row>
    <row r="297" spans="1:11" s="1061" customFormat="1">
      <c r="A297" s="1245"/>
      <c r="C297" s="1246"/>
      <c r="D297" s="502"/>
      <c r="E297" s="1245"/>
      <c r="G297" s="1245"/>
      <c r="H297" s="1247"/>
      <c r="I297" s="1139"/>
      <c r="J297" s="983"/>
      <c r="K297" s="986"/>
    </row>
    <row r="298" spans="1:11" s="1061" customFormat="1">
      <c r="A298" s="1245"/>
      <c r="C298" s="1246"/>
      <c r="D298" s="502"/>
      <c r="E298" s="1245"/>
      <c r="G298" s="1245"/>
      <c r="H298" s="1247"/>
      <c r="I298" s="1139"/>
      <c r="J298" s="983"/>
      <c r="K298" s="986"/>
    </row>
    <row r="299" spans="1:11" s="1061" customFormat="1">
      <c r="A299" s="1245"/>
      <c r="C299" s="1246"/>
      <c r="D299" s="502"/>
      <c r="E299" s="1245"/>
      <c r="G299" s="1245"/>
      <c r="H299" s="1247"/>
      <c r="I299" s="1139"/>
      <c r="J299" s="983"/>
      <c r="K299" s="986"/>
    </row>
    <row r="300" spans="1:11" s="1061" customFormat="1">
      <c r="A300" s="1245"/>
      <c r="C300" s="1246"/>
      <c r="D300" s="502"/>
      <c r="E300" s="1245"/>
      <c r="G300" s="1245"/>
      <c r="H300" s="1247"/>
      <c r="I300" s="1139"/>
      <c r="J300" s="983"/>
      <c r="K300" s="986"/>
    </row>
    <row r="301" spans="1:11" s="1061" customFormat="1">
      <c r="A301" s="1245"/>
      <c r="C301" s="1246"/>
      <c r="D301" s="502"/>
      <c r="E301" s="1245"/>
      <c r="G301" s="1245"/>
      <c r="H301" s="1247"/>
      <c r="I301" s="1139"/>
      <c r="J301" s="983"/>
      <c r="K301" s="986"/>
    </row>
    <row r="302" spans="1:11" s="1061" customFormat="1">
      <c r="A302" s="1245"/>
      <c r="C302" s="1246"/>
      <c r="D302" s="502"/>
      <c r="E302" s="1245"/>
      <c r="G302" s="1245"/>
      <c r="H302" s="1247"/>
      <c r="I302" s="1139"/>
      <c r="J302" s="983"/>
      <c r="K302" s="986"/>
    </row>
    <row r="303" spans="1:11" s="1061" customFormat="1">
      <c r="A303" s="1245"/>
      <c r="C303" s="1246"/>
      <c r="D303" s="502"/>
      <c r="E303" s="1245"/>
      <c r="G303" s="1245"/>
      <c r="H303" s="1247"/>
      <c r="I303" s="1139"/>
      <c r="J303" s="983"/>
      <c r="K303" s="986"/>
    </row>
    <row r="304" spans="1:11" s="1061" customFormat="1">
      <c r="A304" s="1245"/>
      <c r="C304" s="1246"/>
      <c r="D304" s="502"/>
      <c r="E304" s="1245"/>
      <c r="G304" s="1245"/>
      <c r="H304" s="1247"/>
      <c r="I304" s="1139"/>
      <c r="J304" s="983"/>
      <c r="K304" s="986"/>
    </row>
    <row r="305" spans="1:11" s="1061" customFormat="1">
      <c r="A305" s="1245"/>
      <c r="C305" s="1246"/>
      <c r="D305" s="502"/>
      <c r="E305" s="1245"/>
      <c r="G305" s="1245"/>
      <c r="H305" s="1247"/>
      <c r="I305" s="1139"/>
      <c r="J305" s="983"/>
      <c r="K305" s="986"/>
    </row>
    <row r="306" spans="1:11" s="1061" customFormat="1">
      <c r="A306" s="1245"/>
      <c r="C306" s="1246"/>
      <c r="D306" s="502"/>
      <c r="E306" s="1245"/>
      <c r="G306" s="1245"/>
      <c r="H306" s="1247"/>
      <c r="I306" s="1139"/>
      <c r="J306" s="983"/>
      <c r="K306" s="986"/>
    </row>
    <row r="307" spans="1:11" s="1061" customFormat="1">
      <c r="A307" s="1245"/>
      <c r="C307" s="1246"/>
      <c r="D307" s="502"/>
      <c r="E307" s="1245"/>
      <c r="G307" s="1245"/>
      <c r="H307" s="1247"/>
      <c r="I307" s="1139"/>
      <c r="J307" s="983"/>
      <c r="K307" s="986"/>
    </row>
    <row r="308" spans="1:11" s="1061" customFormat="1">
      <c r="A308" s="1245"/>
      <c r="C308" s="1246"/>
      <c r="D308" s="502"/>
      <c r="E308" s="1245"/>
      <c r="G308" s="1245"/>
      <c r="H308" s="1247"/>
      <c r="I308" s="1139"/>
      <c r="J308" s="983"/>
      <c r="K308" s="986"/>
    </row>
    <row r="309" spans="1:11" s="1061" customFormat="1">
      <c r="A309" s="1245"/>
      <c r="C309" s="1246"/>
      <c r="D309" s="502"/>
      <c r="E309" s="1245"/>
      <c r="G309" s="1245"/>
      <c r="H309" s="1247"/>
      <c r="I309" s="1139"/>
      <c r="J309" s="983"/>
      <c r="K309" s="986"/>
    </row>
    <row r="310" spans="1:11" s="1061" customFormat="1">
      <c r="A310" s="1245"/>
      <c r="C310" s="1246"/>
      <c r="D310" s="502"/>
      <c r="E310" s="1245"/>
      <c r="G310" s="1245"/>
      <c r="H310" s="1247"/>
      <c r="I310" s="1139"/>
      <c r="J310" s="983"/>
      <c r="K310" s="986"/>
    </row>
    <row r="311" spans="1:11" s="1061" customFormat="1">
      <c r="A311" s="1245"/>
      <c r="C311" s="1246"/>
      <c r="D311" s="502"/>
      <c r="E311" s="1245"/>
      <c r="G311" s="1245"/>
      <c r="H311" s="1247"/>
      <c r="I311" s="1139"/>
      <c r="J311" s="983"/>
      <c r="K311" s="986"/>
    </row>
    <row r="312" spans="1:11" s="1061" customFormat="1">
      <c r="A312" s="1245"/>
      <c r="C312" s="1246"/>
      <c r="D312" s="502"/>
      <c r="E312" s="1245"/>
      <c r="G312" s="1245"/>
      <c r="H312" s="1247"/>
      <c r="I312" s="1139"/>
      <c r="J312" s="983"/>
      <c r="K312" s="986"/>
    </row>
    <row r="313" spans="1:11" s="1061" customFormat="1">
      <c r="A313" s="1245"/>
      <c r="C313" s="1246"/>
      <c r="D313" s="502"/>
      <c r="E313" s="1245"/>
      <c r="G313" s="1245"/>
      <c r="H313" s="1247"/>
      <c r="I313" s="1139"/>
      <c r="J313" s="983"/>
      <c r="K313" s="986"/>
    </row>
    <row r="314" spans="1:11" s="1061" customFormat="1">
      <c r="A314" s="1245"/>
      <c r="C314" s="1246"/>
      <c r="D314" s="502"/>
      <c r="E314" s="1245"/>
      <c r="G314" s="1245"/>
      <c r="H314" s="1247"/>
      <c r="I314" s="1139"/>
      <c r="J314" s="983"/>
      <c r="K314" s="986"/>
    </row>
    <row r="315" spans="1:11" s="1061" customFormat="1">
      <c r="A315" s="1245"/>
      <c r="C315" s="1246"/>
      <c r="D315" s="502"/>
      <c r="E315" s="1245"/>
      <c r="G315" s="1245"/>
      <c r="H315" s="1247"/>
      <c r="I315" s="1139"/>
      <c r="J315" s="983"/>
      <c r="K315" s="986"/>
    </row>
    <row r="316" spans="1:11" s="1061" customFormat="1">
      <c r="A316" s="1245"/>
      <c r="C316" s="1246"/>
      <c r="D316" s="502"/>
      <c r="E316" s="1245"/>
      <c r="G316" s="1245"/>
      <c r="H316" s="1247"/>
      <c r="I316" s="1139"/>
      <c r="J316" s="983"/>
      <c r="K316" s="986"/>
    </row>
    <row r="317" spans="1:11" s="1061" customFormat="1">
      <c r="A317" s="1245"/>
      <c r="C317" s="1246"/>
      <c r="D317" s="502"/>
      <c r="E317" s="1245"/>
      <c r="G317" s="1245"/>
      <c r="H317" s="1247"/>
      <c r="I317" s="1139"/>
      <c r="J317" s="983"/>
      <c r="K317" s="986"/>
    </row>
    <row r="318" spans="1:11" s="1061" customFormat="1">
      <c r="A318" s="1245"/>
      <c r="C318" s="1246"/>
      <c r="D318" s="502"/>
      <c r="E318" s="1245"/>
      <c r="G318" s="1245"/>
      <c r="H318" s="1247"/>
      <c r="I318" s="1139"/>
      <c r="J318" s="983"/>
      <c r="K318" s="986"/>
    </row>
    <row r="319" spans="1:11" s="1061" customFormat="1">
      <c r="A319" s="1245"/>
      <c r="C319" s="1246"/>
      <c r="D319" s="502"/>
      <c r="E319" s="1245"/>
      <c r="G319" s="1245"/>
      <c r="H319" s="1247"/>
      <c r="I319" s="1139"/>
      <c r="J319" s="983"/>
      <c r="K319" s="986"/>
    </row>
    <row r="320" spans="1:11" s="1061" customFormat="1">
      <c r="A320" s="1245"/>
      <c r="C320" s="1246"/>
      <c r="D320" s="502"/>
      <c r="E320" s="1245"/>
      <c r="G320" s="1245"/>
      <c r="H320" s="1247"/>
      <c r="I320" s="1139"/>
      <c r="J320" s="983"/>
      <c r="K320" s="986"/>
    </row>
    <row r="321" spans="1:11" s="1061" customFormat="1">
      <c r="A321" s="1245"/>
      <c r="C321" s="1246"/>
      <c r="D321" s="502"/>
      <c r="E321" s="1245"/>
      <c r="G321" s="1245"/>
      <c r="H321" s="1247"/>
      <c r="I321" s="1139"/>
      <c r="J321" s="983"/>
      <c r="K321" s="986"/>
    </row>
    <row r="322" spans="1:11" s="1061" customFormat="1">
      <c r="A322" s="1245"/>
      <c r="C322" s="1246"/>
      <c r="D322" s="502"/>
      <c r="E322" s="1245"/>
      <c r="G322" s="1245"/>
      <c r="H322" s="1247"/>
      <c r="I322" s="1139"/>
      <c r="J322" s="983"/>
      <c r="K322" s="986"/>
    </row>
    <row r="323" spans="1:11" s="1061" customFormat="1">
      <c r="A323" s="1245"/>
      <c r="C323" s="1246"/>
      <c r="D323" s="502"/>
      <c r="E323" s="1245"/>
      <c r="G323" s="1245"/>
      <c r="H323" s="1247"/>
      <c r="I323" s="1139"/>
      <c r="J323" s="983"/>
      <c r="K323" s="986"/>
    </row>
    <row r="324" spans="1:11" s="1061" customFormat="1">
      <c r="A324" s="1245"/>
      <c r="C324" s="1246"/>
      <c r="D324" s="502"/>
      <c r="E324" s="1245"/>
      <c r="G324" s="1245"/>
      <c r="H324" s="1247"/>
      <c r="I324" s="1139"/>
      <c r="J324" s="983"/>
      <c r="K324" s="986"/>
    </row>
    <row r="325" spans="1:11" s="1061" customFormat="1">
      <c r="A325" s="1245"/>
      <c r="C325" s="1246"/>
      <c r="D325" s="502"/>
      <c r="E325" s="1245"/>
      <c r="G325" s="1245"/>
      <c r="H325" s="1247"/>
      <c r="I325" s="1139"/>
      <c r="J325" s="983"/>
      <c r="K325" s="986"/>
    </row>
    <row r="326" spans="1:11" s="1061" customFormat="1">
      <c r="A326" s="1245"/>
      <c r="C326" s="1246"/>
      <c r="D326" s="502"/>
      <c r="E326" s="1245"/>
      <c r="G326" s="1245"/>
      <c r="H326" s="1247"/>
      <c r="I326" s="1139"/>
      <c r="J326" s="983"/>
      <c r="K326" s="986"/>
    </row>
    <row r="327" spans="1:11" s="1061" customFormat="1">
      <c r="A327" s="1245"/>
      <c r="C327" s="1246"/>
      <c r="D327" s="502"/>
      <c r="E327" s="1245"/>
      <c r="G327" s="1245"/>
      <c r="H327" s="1247"/>
      <c r="I327" s="1139"/>
      <c r="J327" s="983"/>
      <c r="K327" s="986"/>
    </row>
    <row r="328" spans="1:11" s="1061" customFormat="1">
      <c r="A328" s="1245"/>
      <c r="C328" s="1246"/>
      <c r="D328" s="502"/>
      <c r="E328" s="1245"/>
      <c r="G328" s="1245"/>
      <c r="H328" s="1247"/>
      <c r="I328" s="1139"/>
      <c r="J328" s="983"/>
      <c r="K328" s="986"/>
    </row>
    <row r="329" spans="1:11" s="1061" customFormat="1">
      <c r="A329" s="1245"/>
      <c r="C329" s="1246"/>
      <c r="D329" s="502"/>
      <c r="E329" s="1245"/>
      <c r="G329" s="1245"/>
      <c r="H329" s="1247"/>
      <c r="I329" s="1139"/>
      <c r="J329" s="983"/>
      <c r="K329" s="986"/>
    </row>
    <row r="330" spans="1:11" s="1061" customFormat="1">
      <c r="A330" s="1245"/>
      <c r="C330" s="1246"/>
      <c r="D330" s="502"/>
      <c r="E330" s="1245"/>
      <c r="G330" s="1245"/>
      <c r="H330" s="1247"/>
      <c r="I330" s="1139"/>
      <c r="J330" s="983"/>
      <c r="K330" s="986"/>
    </row>
    <row r="331" spans="1:11" s="1061" customFormat="1">
      <c r="A331" s="1245"/>
      <c r="C331" s="1246"/>
      <c r="D331" s="502"/>
      <c r="E331" s="1245"/>
      <c r="G331" s="1245"/>
      <c r="H331" s="1247"/>
      <c r="I331" s="1139"/>
      <c r="J331" s="983"/>
      <c r="K331" s="986"/>
    </row>
    <row r="332" spans="1:11" s="1061" customFormat="1">
      <c r="A332" s="1245"/>
      <c r="C332" s="1246"/>
      <c r="D332" s="502"/>
      <c r="E332" s="1245"/>
      <c r="G332" s="1245"/>
      <c r="H332" s="1247"/>
      <c r="I332" s="1139"/>
      <c r="J332" s="983"/>
      <c r="K332" s="986"/>
    </row>
    <row r="333" spans="1:11" s="1061" customFormat="1">
      <c r="A333" s="1245"/>
      <c r="C333" s="1246"/>
      <c r="D333" s="502"/>
      <c r="E333" s="1245"/>
      <c r="G333" s="1245"/>
      <c r="H333" s="1247"/>
      <c r="I333" s="1139"/>
      <c r="J333" s="983"/>
      <c r="K333" s="986"/>
    </row>
    <row r="334" spans="1:11" s="1061" customFormat="1">
      <c r="A334" s="1245"/>
      <c r="C334" s="1246"/>
      <c r="D334" s="502"/>
      <c r="E334" s="1245"/>
      <c r="G334" s="1245"/>
      <c r="H334" s="1247"/>
      <c r="I334" s="1139"/>
      <c r="J334" s="983"/>
      <c r="K334" s="986"/>
    </row>
    <row r="335" spans="1:11" s="1061" customFormat="1">
      <c r="A335" s="1245"/>
      <c r="C335" s="1246"/>
      <c r="D335" s="502"/>
      <c r="E335" s="1245"/>
      <c r="G335" s="1245"/>
      <c r="H335" s="1247"/>
      <c r="I335" s="1139"/>
      <c r="J335" s="983"/>
      <c r="K335" s="986"/>
    </row>
    <row r="336" spans="1:11" s="1061" customFormat="1">
      <c r="A336" s="1245"/>
      <c r="C336" s="1246"/>
      <c r="D336" s="502"/>
      <c r="E336" s="1245"/>
      <c r="G336" s="1245"/>
      <c r="H336" s="1247"/>
      <c r="I336" s="1139"/>
      <c r="J336" s="983"/>
      <c r="K336" s="986"/>
    </row>
    <row r="337" spans="1:11" s="1061" customFormat="1">
      <c r="A337" s="1245"/>
      <c r="C337" s="1246"/>
      <c r="D337" s="502"/>
      <c r="E337" s="1245"/>
      <c r="G337" s="1245"/>
      <c r="H337" s="1247"/>
      <c r="I337" s="1139"/>
      <c r="J337" s="983"/>
      <c r="K337" s="986"/>
    </row>
    <row r="338" spans="1:11" s="1061" customFormat="1">
      <c r="A338" s="1245"/>
      <c r="C338" s="1246"/>
      <c r="D338" s="502"/>
      <c r="E338" s="1245"/>
      <c r="G338" s="1245"/>
      <c r="H338" s="1247"/>
      <c r="I338" s="1139"/>
      <c r="J338" s="983"/>
      <c r="K338" s="986"/>
    </row>
    <row r="339" spans="1:11" s="1061" customFormat="1">
      <c r="A339" s="1245"/>
      <c r="C339" s="1246"/>
      <c r="D339" s="502"/>
      <c r="E339" s="1245"/>
      <c r="G339" s="1245"/>
      <c r="H339" s="1247"/>
      <c r="I339" s="1139"/>
      <c r="J339" s="983"/>
      <c r="K339" s="986"/>
    </row>
    <row r="340" spans="1:11" s="1061" customFormat="1">
      <c r="A340" s="1245"/>
      <c r="C340" s="1246"/>
      <c r="D340" s="502"/>
      <c r="E340" s="1245"/>
      <c r="G340" s="1245"/>
      <c r="H340" s="1247"/>
      <c r="I340" s="1139"/>
      <c r="J340" s="983"/>
      <c r="K340" s="986"/>
    </row>
    <row r="341" spans="1:11" s="1061" customFormat="1">
      <c r="A341" s="1245"/>
      <c r="C341" s="1246"/>
      <c r="D341" s="502"/>
      <c r="E341" s="1245"/>
      <c r="G341" s="1245"/>
      <c r="H341" s="1247"/>
      <c r="I341" s="1139"/>
      <c r="J341" s="983"/>
      <c r="K341" s="986"/>
    </row>
    <row r="342" spans="1:11" s="1061" customFormat="1">
      <c r="A342" s="1245"/>
      <c r="C342" s="1246"/>
      <c r="D342" s="502"/>
      <c r="E342" s="1245"/>
      <c r="G342" s="1245"/>
      <c r="H342" s="1247"/>
      <c r="I342" s="1139"/>
      <c r="J342" s="983"/>
      <c r="K342" s="986"/>
    </row>
    <row r="343" spans="1:11" s="1061" customFormat="1">
      <c r="A343" s="1245"/>
      <c r="C343" s="1246"/>
      <c r="D343" s="502"/>
      <c r="E343" s="1245"/>
      <c r="G343" s="1245"/>
      <c r="H343" s="1247"/>
      <c r="I343" s="1139"/>
      <c r="J343" s="983"/>
      <c r="K343" s="986"/>
    </row>
    <row r="344" spans="1:11" s="1061" customFormat="1">
      <c r="A344" s="1245"/>
      <c r="C344" s="1246"/>
      <c r="D344" s="502"/>
      <c r="E344" s="1245"/>
      <c r="G344" s="1245"/>
      <c r="H344" s="1247"/>
      <c r="I344" s="1139"/>
      <c r="J344" s="983"/>
      <c r="K344" s="986"/>
    </row>
    <row r="345" spans="1:11" s="1061" customFormat="1">
      <c r="A345" s="1245"/>
      <c r="C345" s="1246"/>
      <c r="D345" s="502"/>
      <c r="E345" s="1245"/>
      <c r="G345" s="1245"/>
      <c r="H345" s="1247"/>
      <c r="I345" s="1139"/>
      <c r="J345" s="983"/>
      <c r="K345" s="986"/>
    </row>
    <row r="346" spans="1:11" s="1061" customFormat="1">
      <c r="A346" s="1245"/>
      <c r="C346" s="1246"/>
      <c r="D346" s="502"/>
      <c r="E346" s="1245"/>
      <c r="G346" s="1245"/>
      <c r="H346" s="1247"/>
      <c r="I346" s="1139"/>
      <c r="J346" s="983"/>
      <c r="K346" s="986"/>
    </row>
    <row r="347" spans="1:11" s="1061" customFormat="1">
      <c r="A347" s="1245"/>
      <c r="C347" s="1246"/>
      <c r="D347" s="502"/>
      <c r="E347" s="1245"/>
      <c r="G347" s="1245"/>
      <c r="H347" s="1247"/>
      <c r="I347" s="1139"/>
      <c r="J347" s="983"/>
      <c r="K347" s="986"/>
    </row>
    <row r="348" spans="1:11" s="1061" customFormat="1">
      <c r="A348" s="1245"/>
      <c r="C348" s="1246"/>
      <c r="D348" s="502"/>
      <c r="E348" s="1245"/>
      <c r="G348" s="1245"/>
      <c r="H348" s="1247"/>
      <c r="I348" s="1139"/>
      <c r="J348" s="983"/>
      <c r="K348" s="986"/>
    </row>
    <row r="349" spans="1:11" s="1061" customFormat="1">
      <c r="A349" s="1245"/>
      <c r="C349" s="1246"/>
      <c r="D349" s="502"/>
      <c r="E349" s="1245"/>
      <c r="G349" s="1245"/>
      <c r="H349" s="1247"/>
      <c r="I349" s="1139"/>
      <c r="J349" s="983"/>
      <c r="K349" s="986"/>
    </row>
    <row r="350" spans="1:11" s="1061" customFormat="1">
      <c r="A350" s="1245"/>
      <c r="C350" s="1246"/>
      <c r="D350" s="502"/>
      <c r="E350" s="1245"/>
      <c r="G350" s="1245"/>
      <c r="H350" s="1247"/>
      <c r="I350" s="1139"/>
      <c r="J350" s="983"/>
      <c r="K350" s="986"/>
    </row>
    <row r="351" spans="1:11" s="1061" customFormat="1">
      <c r="A351" s="1245"/>
      <c r="C351" s="1246"/>
      <c r="D351" s="502"/>
      <c r="E351" s="1245"/>
      <c r="G351" s="1245"/>
      <c r="H351" s="1247"/>
      <c r="I351" s="1139"/>
      <c r="J351" s="983"/>
      <c r="K351" s="986"/>
    </row>
    <row r="352" spans="1:11" s="1061" customFormat="1">
      <c r="A352" s="1245"/>
      <c r="C352" s="1246"/>
      <c r="D352" s="502"/>
      <c r="E352" s="1245"/>
      <c r="G352" s="1245"/>
      <c r="H352" s="1247"/>
      <c r="I352" s="1139"/>
      <c r="J352" s="983"/>
      <c r="K352" s="986"/>
    </row>
    <row r="353" spans="1:11" s="1061" customFormat="1">
      <c r="A353" s="1245"/>
      <c r="C353" s="1246"/>
      <c r="D353" s="502"/>
      <c r="E353" s="1245"/>
      <c r="G353" s="1245"/>
      <c r="H353" s="1247"/>
      <c r="I353" s="1139"/>
      <c r="J353" s="983"/>
      <c r="K353" s="986"/>
    </row>
    <row r="354" spans="1:11" s="1061" customFormat="1">
      <c r="A354" s="1245"/>
      <c r="C354" s="1246"/>
      <c r="D354" s="502"/>
      <c r="E354" s="1245"/>
      <c r="G354" s="1245"/>
      <c r="H354" s="1247"/>
      <c r="I354" s="1139"/>
      <c r="J354" s="983"/>
      <c r="K354" s="986"/>
    </row>
    <row r="355" spans="1:11" s="1061" customFormat="1">
      <c r="A355" s="1245"/>
      <c r="C355" s="1246"/>
      <c r="D355" s="502"/>
      <c r="E355" s="1245"/>
      <c r="G355" s="1245"/>
      <c r="H355" s="1247"/>
      <c r="I355" s="1139"/>
      <c r="J355" s="983"/>
      <c r="K355" s="986"/>
    </row>
    <row r="356" spans="1:11" s="1061" customFormat="1">
      <c r="A356" s="1245"/>
      <c r="C356" s="1246"/>
      <c r="D356" s="502"/>
      <c r="E356" s="1245"/>
      <c r="G356" s="1245"/>
      <c r="H356" s="1247"/>
      <c r="I356" s="1139"/>
      <c r="J356" s="983"/>
      <c r="K356" s="986"/>
    </row>
    <row r="357" spans="1:11" s="1061" customFormat="1">
      <c r="A357" s="1245"/>
      <c r="C357" s="1246"/>
      <c r="D357" s="502"/>
      <c r="E357" s="1245"/>
      <c r="G357" s="1245"/>
      <c r="H357" s="1247"/>
      <c r="I357" s="1139"/>
      <c r="J357" s="983"/>
      <c r="K357" s="986"/>
    </row>
    <row r="358" spans="1:11" s="1061" customFormat="1">
      <c r="A358" s="1245"/>
      <c r="C358" s="1246"/>
      <c r="D358" s="502"/>
      <c r="E358" s="1245"/>
      <c r="G358" s="1245"/>
      <c r="H358" s="1247"/>
      <c r="I358" s="1139"/>
      <c r="J358" s="983"/>
      <c r="K358" s="986"/>
    </row>
    <row r="359" spans="1:11" s="1061" customFormat="1">
      <c r="A359" s="1245"/>
      <c r="C359" s="1246"/>
      <c r="D359" s="502"/>
      <c r="E359" s="1245"/>
      <c r="G359" s="1245"/>
      <c r="H359" s="1247"/>
      <c r="I359" s="1139"/>
      <c r="J359" s="983"/>
      <c r="K359" s="986"/>
    </row>
    <row r="360" spans="1:11" s="1061" customFormat="1">
      <c r="A360" s="1245"/>
      <c r="C360" s="1246"/>
      <c r="D360" s="502"/>
      <c r="E360" s="1245"/>
      <c r="G360" s="1245"/>
      <c r="H360" s="1247"/>
      <c r="I360" s="1139"/>
      <c r="J360" s="983"/>
      <c r="K360" s="986"/>
    </row>
    <row r="361" spans="1:11" s="1061" customFormat="1">
      <c r="A361" s="1245"/>
      <c r="C361" s="1246"/>
      <c r="D361" s="502"/>
      <c r="E361" s="1245"/>
      <c r="G361" s="1245"/>
      <c r="H361" s="1247"/>
      <c r="I361" s="1139"/>
      <c r="J361" s="983"/>
      <c r="K361" s="986"/>
    </row>
    <row r="362" spans="1:11" s="1061" customFormat="1">
      <c r="A362" s="1245"/>
      <c r="C362" s="1246"/>
      <c r="D362" s="502"/>
      <c r="E362" s="1245"/>
      <c r="G362" s="1245"/>
      <c r="H362" s="1247"/>
      <c r="I362" s="1139"/>
      <c r="J362" s="983"/>
      <c r="K362" s="986"/>
    </row>
    <row r="363" spans="1:11" s="1061" customFormat="1">
      <c r="A363" s="1245"/>
      <c r="C363" s="1246"/>
      <c r="D363" s="502"/>
      <c r="E363" s="1245"/>
      <c r="G363" s="1245"/>
      <c r="H363" s="1247"/>
      <c r="I363" s="1139"/>
      <c r="J363" s="983"/>
      <c r="K363" s="986"/>
    </row>
    <row r="364" spans="1:11" s="1061" customFormat="1">
      <c r="A364" s="1245"/>
      <c r="C364" s="1246"/>
      <c r="D364" s="502"/>
      <c r="E364" s="1245"/>
      <c r="G364" s="1245"/>
      <c r="H364" s="1247"/>
      <c r="I364" s="1139"/>
      <c r="J364" s="983"/>
      <c r="K364" s="986"/>
    </row>
    <row r="365" spans="1:11" s="1061" customFormat="1">
      <c r="A365" s="1245"/>
      <c r="C365" s="1246"/>
      <c r="D365" s="502"/>
      <c r="E365" s="1245"/>
      <c r="G365" s="1245"/>
      <c r="H365" s="1247"/>
      <c r="I365" s="1139"/>
      <c r="J365" s="983"/>
      <c r="K365" s="986"/>
    </row>
    <row r="366" spans="1:11" s="1061" customFormat="1">
      <c r="A366" s="1245"/>
      <c r="C366" s="1246"/>
      <c r="D366" s="502"/>
      <c r="E366" s="1245"/>
      <c r="G366" s="1245"/>
      <c r="H366" s="1247"/>
      <c r="I366" s="1139"/>
      <c r="J366" s="983"/>
      <c r="K366" s="986"/>
    </row>
    <row r="367" spans="1:11" s="1061" customFormat="1">
      <c r="A367" s="1245"/>
      <c r="C367" s="1246"/>
      <c r="D367" s="502"/>
      <c r="E367" s="1245"/>
      <c r="G367" s="1245"/>
      <c r="H367" s="1247"/>
      <c r="I367" s="1139"/>
      <c r="J367" s="983"/>
      <c r="K367" s="986"/>
    </row>
    <row r="368" spans="1:11" s="1061" customFormat="1">
      <c r="A368" s="1245"/>
      <c r="C368" s="1246"/>
      <c r="D368" s="502"/>
      <c r="E368" s="1245"/>
      <c r="G368" s="1245"/>
      <c r="H368" s="1247"/>
      <c r="I368" s="1139"/>
      <c r="J368" s="983"/>
      <c r="K368" s="986"/>
    </row>
    <row r="369" spans="1:11" s="1061" customFormat="1">
      <c r="A369" s="1245"/>
      <c r="C369" s="1246"/>
      <c r="D369" s="502"/>
      <c r="E369" s="1245"/>
      <c r="G369" s="1245"/>
      <c r="H369" s="1247"/>
      <c r="I369" s="1139"/>
      <c r="J369" s="983"/>
      <c r="K369" s="986"/>
    </row>
    <row r="370" spans="1:11" s="1061" customFormat="1">
      <c r="A370" s="1245"/>
      <c r="C370" s="1246"/>
      <c r="D370" s="502"/>
      <c r="E370" s="1245"/>
      <c r="G370" s="1245"/>
      <c r="H370" s="1247"/>
      <c r="I370" s="1139"/>
      <c r="J370" s="983"/>
      <c r="K370" s="986"/>
    </row>
    <row r="371" spans="1:11" s="1061" customFormat="1">
      <c r="A371" s="1245"/>
      <c r="C371" s="1246"/>
      <c r="D371" s="502"/>
      <c r="E371" s="1245"/>
      <c r="G371" s="1245"/>
      <c r="H371" s="1247"/>
      <c r="I371" s="1139"/>
      <c r="J371" s="983"/>
      <c r="K371" s="986"/>
    </row>
    <row r="372" spans="1:11" s="1061" customFormat="1">
      <c r="A372" s="1245"/>
      <c r="C372" s="1246"/>
      <c r="D372" s="502"/>
      <c r="E372" s="1245"/>
      <c r="G372" s="1245"/>
      <c r="H372" s="1247"/>
      <c r="I372" s="1139"/>
      <c r="J372" s="983"/>
      <c r="K372" s="986"/>
    </row>
    <row r="373" spans="1:11" s="1061" customFormat="1">
      <c r="A373" s="1245"/>
      <c r="C373" s="1246"/>
      <c r="D373" s="502"/>
      <c r="E373" s="1245"/>
      <c r="G373" s="1245"/>
      <c r="H373" s="1247"/>
      <c r="I373" s="1139"/>
      <c r="J373" s="983"/>
      <c r="K373" s="986"/>
    </row>
    <row r="374" spans="1:11" s="1061" customFormat="1">
      <c r="A374" s="1245"/>
      <c r="C374" s="1246"/>
      <c r="D374" s="502"/>
      <c r="E374" s="1245"/>
      <c r="G374" s="1245"/>
      <c r="H374" s="1247"/>
      <c r="I374" s="1139"/>
      <c r="J374" s="983"/>
      <c r="K374" s="986"/>
    </row>
    <row r="375" spans="1:11" s="1061" customFormat="1">
      <c r="A375" s="1245"/>
      <c r="C375" s="1246"/>
      <c r="D375" s="502"/>
      <c r="E375" s="1245"/>
      <c r="G375" s="1245"/>
      <c r="H375" s="1247"/>
      <c r="I375" s="1139"/>
      <c r="J375" s="983"/>
      <c r="K375" s="986"/>
    </row>
    <row r="376" spans="1:11" s="1061" customFormat="1">
      <c r="A376" s="1245"/>
      <c r="C376" s="1246"/>
      <c r="D376" s="502"/>
      <c r="E376" s="1245"/>
      <c r="G376" s="1245"/>
      <c r="H376" s="1247"/>
      <c r="I376" s="1139"/>
      <c r="J376" s="983"/>
      <c r="K376" s="986"/>
    </row>
    <row r="377" spans="1:11" s="1061" customFormat="1">
      <c r="A377" s="1245"/>
      <c r="C377" s="1246"/>
      <c r="D377" s="502"/>
      <c r="E377" s="1245"/>
      <c r="G377" s="1245"/>
      <c r="H377" s="1247"/>
      <c r="I377" s="1139"/>
      <c r="J377" s="983"/>
      <c r="K377" s="986"/>
    </row>
    <row r="378" spans="1:11" s="1061" customFormat="1">
      <c r="A378" s="1245"/>
      <c r="C378" s="1246"/>
      <c r="D378" s="502"/>
      <c r="E378" s="1245"/>
      <c r="G378" s="1245"/>
      <c r="H378" s="1247"/>
      <c r="I378" s="1139"/>
      <c r="J378" s="983"/>
      <c r="K378" s="986"/>
    </row>
    <row r="379" spans="1:11" s="1061" customFormat="1">
      <c r="A379" s="1245"/>
      <c r="C379" s="1246"/>
      <c r="D379" s="502"/>
      <c r="E379" s="1245"/>
      <c r="G379" s="1245"/>
      <c r="H379" s="1247"/>
      <c r="I379" s="1139"/>
      <c r="J379" s="983"/>
      <c r="K379" s="986"/>
    </row>
    <row r="380" spans="1:11" s="1061" customFormat="1">
      <c r="A380" s="1245"/>
      <c r="C380" s="1246"/>
      <c r="D380" s="502"/>
      <c r="E380" s="1245"/>
      <c r="G380" s="1245"/>
      <c r="H380" s="1247"/>
      <c r="I380" s="1139"/>
      <c r="J380" s="983"/>
      <c r="K380" s="986"/>
    </row>
    <row r="381" spans="1:11" s="1061" customFormat="1">
      <c r="A381" s="1245"/>
      <c r="C381" s="1246"/>
      <c r="D381" s="502"/>
      <c r="E381" s="1245"/>
      <c r="G381" s="1245"/>
      <c r="H381" s="1247"/>
      <c r="I381" s="1139"/>
      <c r="J381" s="983"/>
      <c r="K381" s="986"/>
    </row>
    <row r="382" spans="1:11" s="1061" customFormat="1">
      <c r="A382" s="1245"/>
      <c r="C382" s="1246"/>
      <c r="D382" s="502"/>
      <c r="E382" s="1245"/>
      <c r="G382" s="1245"/>
      <c r="H382" s="1247"/>
      <c r="I382" s="1139"/>
      <c r="J382" s="983"/>
      <c r="K382" s="986"/>
    </row>
    <row r="383" spans="1:11" s="1061" customFormat="1">
      <c r="A383" s="1245"/>
      <c r="C383" s="1246"/>
      <c r="D383" s="502"/>
      <c r="E383" s="1245"/>
      <c r="G383" s="1245"/>
      <c r="H383" s="1247"/>
      <c r="I383" s="1139"/>
      <c r="J383" s="983"/>
      <c r="K383" s="986"/>
    </row>
    <row r="384" spans="1:11" s="1061" customFormat="1">
      <c r="A384" s="1245"/>
      <c r="C384" s="1246"/>
      <c r="D384" s="502"/>
      <c r="E384" s="1245"/>
      <c r="G384" s="1245"/>
      <c r="H384" s="1247"/>
      <c r="I384" s="1139"/>
      <c r="J384" s="983"/>
      <c r="K384" s="986"/>
    </row>
    <row r="385" spans="1:11" s="1061" customFormat="1">
      <c r="A385" s="1245"/>
      <c r="C385" s="1246"/>
      <c r="D385" s="502"/>
      <c r="E385" s="1245"/>
      <c r="G385" s="1245"/>
      <c r="H385" s="1247"/>
      <c r="I385" s="1139"/>
      <c r="J385" s="983"/>
      <c r="K385" s="986"/>
    </row>
    <row r="386" spans="1:11" s="1061" customFormat="1">
      <c r="A386" s="1245"/>
      <c r="C386" s="1246"/>
      <c r="D386" s="502"/>
      <c r="E386" s="1245"/>
      <c r="G386" s="1245"/>
      <c r="H386" s="1247"/>
      <c r="I386" s="1139"/>
      <c r="J386" s="983"/>
      <c r="K386" s="986"/>
    </row>
    <row r="387" spans="1:11" s="1061" customFormat="1">
      <c r="A387" s="1245"/>
      <c r="C387" s="1246"/>
      <c r="D387" s="502"/>
      <c r="E387" s="1245"/>
      <c r="G387" s="1245"/>
      <c r="H387" s="1247"/>
      <c r="I387" s="1139"/>
      <c r="J387" s="983"/>
      <c r="K387" s="986"/>
    </row>
    <row r="388" spans="1:11" s="1061" customFormat="1">
      <c r="A388" s="1245"/>
      <c r="C388" s="1246"/>
      <c r="D388" s="502"/>
      <c r="E388" s="1245"/>
      <c r="G388" s="1245"/>
      <c r="H388" s="1247"/>
      <c r="I388" s="1139"/>
      <c r="J388" s="983"/>
      <c r="K388" s="986"/>
    </row>
    <row r="389" spans="1:11" s="1061" customFormat="1">
      <c r="A389" s="1245"/>
      <c r="C389" s="1246"/>
      <c r="D389" s="502"/>
      <c r="E389" s="1245"/>
      <c r="G389" s="1245"/>
      <c r="H389" s="1247"/>
      <c r="I389" s="1139"/>
      <c r="J389" s="983"/>
      <c r="K389" s="986"/>
    </row>
    <row r="390" spans="1:11" s="1061" customFormat="1">
      <c r="A390" s="1245"/>
      <c r="C390" s="1246"/>
      <c r="D390" s="502"/>
      <c r="E390" s="1245"/>
      <c r="G390" s="1245"/>
      <c r="H390" s="1247"/>
      <c r="I390" s="1139"/>
      <c r="J390" s="983"/>
      <c r="K390" s="986"/>
    </row>
    <row r="391" spans="1:11" s="1061" customFormat="1">
      <c r="A391" s="1245"/>
      <c r="C391" s="1246"/>
      <c r="D391" s="502"/>
      <c r="E391" s="1245"/>
      <c r="G391" s="1245"/>
      <c r="H391" s="1247"/>
      <c r="I391" s="1139"/>
      <c r="J391" s="983"/>
      <c r="K391" s="986"/>
    </row>
    <row r="392" spans="1:11" s="1061" customFormat="1">
      <c r="A392" s="1245"/>
      <c r="C392" s="1246"/>
      <c r="D392" s="502"/>
      <c r="E392" s="1245"/>
      <c r="G392" s="1245"/>
      <c r="H392" s="1247"/>
      <c r="I392" s="1139"/>
      <c r="J392" s="983"/>
      <c r="K392" s="986"/>
    </row>
    <row r="393" spans="1:11" s="1061" customFormat="1">
      <c r="A393" s="1245"/>
      <c r="C393" s="1246"/>
      <c r="D393" s="502"/>
      <c r="E393" s="1245"/>
      <c r="G393" s="1245"/>
      <c r="H393" s="1247"/>
      <c r="I393" s="1139"/>
      <c r="J393" s="983"/>
      <c r="K393" s="986"/>
    </row>
    <row r="394" spans="1:11" s="1061" customFormat="1">
      <c r="A394" s="1245"/>
      <c r="C394" s="1246"/>
      <c r="D394" s="502"/>
      <c r="E394" s="1245"/>
      <c r="G394" s="1245"/>
      <c r="H394" s="1247"/>
      <c r="I394" s="1139"/>
      <c r="J394" s="983"/>
      <c r="K394" s="986"/>
    </row>
    <row r="395" spans="1:11" s="1061" customFormat="1">
      <c r="A395" s="1245"/>
      <c r="C395" s="1246"/>
      <c r="D395" s="502"/>
      <c r="E395" s="1245"/>
      <c r="G395" s="1245"/>
      <c r="H395" s="1247"/>
      <c r="I395" s="1139"/>
      <c r="J395" s="983"/>
      <c r="K395" s="986"/>
    </row>
    <row r="396" spans="1:11" s="1061" customFormat="1">
      <c r="A396" s="1245"/>
      <c r="C396" s="1246"/>
      <c r="D396" s="502"/>
      <c r="E396" s="1245"/>
      <c r="G396" s="1245"/>
      <c r="H396" s="1247"/>
      <c r="I396" s="1139"/>
      <c r="J396" s="983"/>
      <c r="K396" s="986"/>
    </row>
    <row r="397" spans="1:11" s="1061" customFormat="1">
      <c r="A397" s="1245"/>
      <c r="C397" s="1246"/>
      <c r="D397" s="502"/>
      <c r="E397" s="1245"/>
      <c r="G397" s="1245"/>
      <c r="H397" s="1247"/>
      <c r="I397" s="1139"/>
      <c r="J397" s="983"/>
      <c r="K397" s="986"/>
    </row>
    <row r="398" spans="1:11" s="1061" customFormat="1">
      <c r="A398" s="1245"/>
      <c r="C398" s="1246"/>
      <c r="D398" s="502"/>
      <c r="E398" s="1245"/>
      <c r="G398" s="1245"/>
      <c r="H398" s="1247"/>
      <c r="I398" s="1139"/>
      <c r="J398" s="983"/>
      <c r="K398" s="986"/>
    </row>
    <row r="399" spans="1:11" s="1061" customFormat="1">
      <c r="A399" s="1245"/>
      <c r="C399" s="1246"/>
      <c r="D399" s="502"/>
      <c r="E399" s="1245"/>
      <c r="G399" s="1245"/>
      <c r="H399" s="1247"/>
      <c r="I399" s="1139"/>
      <c r="J399" s="983"/>
      <c r="K399" s="986"/>
    </row>
    <row r="400" spans="1:11" s="1061" customFormat="1">
      <c r="A400" s="1245"/>
      <c r="C400" s="1246"/>
      <c r="D400" s="502"/>
      <c r="E400" s="1245"/>
      <c r="G400" s="1245"/>
      <c r="H400" s="1247"/>
      <c r="I400" s="1139"/>
      <c r="J400" s="983"/>
      <c r="K400" s="986"/>
    </row>
    <row r="401" spans="1:11" s="1061" customFormat="1">
      <c r="A401" s="1245"/>
      <c r="C401" s="1246"/>
      <c r="D401" s="502"/>
      <c r="E401" s="1245"/>
      <c r="G401" s="1245"/>
      <c r="H401" s="1247"/>
      <c r="I401" s="1139"/>
      <c r="J401" s="983"/>
      <c r="K401" s="986"/>
    </row>
    <row r="402" spans="1:11" s="1061" customFormat="1">
      <c r="A402" s="1245"/>
      <c r="C402" s="1246"/>
      <c r="D402" s="502"/>
      <c r="E402" s="1245"/>
      <c r="G402" s="1245"/>
      <c r="H402" s="1247"/>
      <c r="I402" s="1139"/>
      <c r="J402" s="983"/>
      <c r="K402" s="986"/>
    </row>
    <row r="403" spans="1:11" s="1061" customFormat="1">
      <c r="A403" s="1245"/>
      <c r="C403" s="1246"/>
      <c r="D403" s="502"/>
      <c r="E403" s="1245"/>
      <c r="G403" s="1245"/>
      <c r="H403" s="1247"/>
      <c r="I403" s="1139"/>
      <c r="J403" s="983"/>
      <c r="K403" s="986"/>
    </row>
    <row r="404" spans="1:11" s="1061" customFormat="1">
      <c r="A404" s="1245"/>
      <c r="C404" s="1246"/>
      <c r="D404" s="502"/>
      <c r="E404" s="1245"/>
      <c r="G404" s="1245"/>
      <c r="H404" s="1247"/>
      <c r="I404" s="1139"/>
      <c r="J404" s="983"/>
      <c r="K404" s="986"/>
    </row>
    <row r="405" spans="1:11" s="1061" customFormat="1">
      <c r="A405" s="1245"/>
      <c r="C405" s="1246"/>
      <c r="D405" s="502"/>
      <c r="E405" s="1245"/>
      <c r="G405" s="1245"/>
      <c r="H405" s="1247"/>
      <c r="I405" s="1139"/>
      <c r="J405" s="983"/>
      <c r="K405" s="986"/>
    </row>
    <row r="406" spans="1:11" s="1061" customFormat="1">
      <c r="A406" s="1245"/>
      <c r="C406" s="1246"/>
      <c r="D406" s="502"/>
      <c r="E406" s="1245"/>
      <c r="G406" s="1245"/>
      <c r="H406" s="1247"/>
      <c r="I406" s="1139"/>
      <c r="J406" s="983"/>
      <c r="K406" s="986"/>
    </row>
    <row r="407" spans="1:11" s="1061" customFormat="1">
      <c r="A407" s="1245"/>
      <c r="C407" s="1246"/>
      <c r="D407" s="502"/>
      <c r="E407" s="1245"/>
      <c r="G407" s="1245"/>
      <c r="H407" s="1247"/>
      <c r="I407" s="1139"/>
      <c r="J407" s="983"/>
      <c r="K407" s="986"/>
    </row>
    <row r="408" spans="1:11" s="1061" customFormat="1">
      <c r="A408" s="1245"/>
      <c r="C408" s="1246"/>
      <c r="D408" s="502"/>
      <c r="E408" s="1245"/>
      <c r="G408" s="1245"/>
      <c r="H408" s="1247"/>
      <c r="I408" s="1139"/>
      <c r="J408" s="983"/>
      <c r="K408" s="986"/>
    </row>
    <row r="409" spans="1:11" s="1061" customFormat="1">
      <c r="A409" s="1245"/>
      <c r="C409" s="1246"/>
      <c r="D409" s="502"/>
      <c r="E409" s="1245"/>
      <c r="G409" s="1245"/>
      <c r="H409" s="1247"/>
      <c r="I409" s="1139"/>
      <c r="J409" s="983"/>
      <c r="K409" s="986"/>
    </row>
    <row r="410" spans="1:11" s="1061" customFormat="1">
      <c r="A410" s="1245"/>
      <c r="C410" s="1246"/>
      <c r="D410" s="502"/>
      <c r="E410" s="1245"/>
      <c r="G410" s="1245"/>
      <c r="H410" s="1247"/>
      <c r="I410" s="1139"/>
      <c r="J410" s="983"/>
      <c r="K410" s="986"/>
    </row>
    <row r="411" spans="1:11" s="1061" customFormat="1">
      <c r="A411" s="1245"/>
      <c r="C411" s="1246"/>
      <c r="D411" s="502"/>
      <c r="E411" s="1245"/>
      <c r="G411" s="1245"/>
      <c r="H411" s="1247"/>
      <c r="I411" s="1139"/>
      <c r="J411" s="983"/>
      <c r="K411" s="986"/>
    </row>
    <row r="412" spans="1:11" s="1061" customFormat="1">
      <c r="A412" s="1245"/>
      <c r="C412" s="1246"/>
      <c r="D412" s="502"/>
      <c r="E412" s="1245"/>
      <c r="G412" s="1245"/>
      <c r="H412" s="1247"/>
      <c r="I412" s="1139"/>
      <c r="J412" s="983"/>
      <c r="K412" s="986"/>
    </row>
    <row r="413" spans="1:11" s="1061" customFormat="1">
      <c r="A413" s="1245"/>
      <c r="C413" s="1246"/>
      <c r="D413" s="502"/>
      <c r="E413" s="1245"/>
      <c r="G413" s="1245"/>
      <c r="H413" s="1247"/>
      <c r="I413" s="1139"/>
      <c r="J413" s="983"/>
      <c r="K413" s="986"/>
    </row>
    <row r="414" spans="1:11" s="1061" customFormat="1">
      <c r="A414" s="1245"/>
      <c r="C414" s="1246"/>
      <c r="D414" s="502"/>
      <c r="E414" s="1245"/>
      <c r="G414" s="1245"/>
      <c r="H414" s="1247"/>
      <c r="I414" s="1139"/>
      <c r="J414" s="983"/>
      <c r="K414" s="986"/>
    </row>
    <row r="415" spans="1:11" s="1061" customFormat="1">
      <c r="A415" s="1245"/>
      <c r="C415" s="1246"/>
      <c r="D415" s="502"/>
      <c r="E415" s="1245"/>
      <c r="G415" s="1245"/>
      <c r="H415" s="1247"/>
      <c r="I415" s="1139"/>
      <c r="J415" s="983"/>
      <c r="K415" s="986"/>
    </row>
    <row r="416" spans="1:11" s="1061" customFormat="1">
      <c r="A416" s="1245"/>
      <c r="C416" s="1246"/>
      <c r="D416" s="502"/>
      <c r="E416" s="1245"/>
      <c r="G416" s="1245"/>
      <c r="H416" s="1247"/>
      <c r="I416" s="1139"/>
      <c r="J416" s="983"/>
      <c r="K416" s="986"/>
    </row>
    <row r="417" spans="1:11" s="1061" customFormat="1">
      <c r="A417" s="1245"/>
      <c r="C417" s="1246"/>
      <c r="D417" s="502"/>
      <c r="E417" s="1245"/>
      <c r="G417" s="1245"/>
      <c r="H417" s="1247"/>
      <c r="I417" s="1139"/>
      <c r="J417" s="983"/>
      <c r="K417" s="986"/>
    </row>
    <row r="418" spans="1:11" s="1061" customFormat="1">
      <c r="A418" s="1245"/>
      <c r="C418" s="1246"/>
      <c r="D418" s="502"/>
      <c r="E418" s="1245"/>
      <c r="G418" s="1245"/>
      <c r="H418" s="1247"/>
      <c r="I418" s="1139"/>
      <c r="J418" s="983"/>
      <c r="K418" s="986"/>
    </row>
    <row r="419" spans="1:11" s="1061" customFormat="1">
      <c r="A419" s="1245"/>
      <c r="C419" s="1246"/>
      <c r="D419" s="502"/>
      <c r="E419" s="1245"/>
      <c r="G419" s="1245"/>
      <c r="H419" s="1247"/>
      <c r="I419" s="1139"/>
      <c r="J419" s="983"/>
      <c r="K419" s="986"/>
    </row>
    <row r="420" spans="1:11" s="1061" customFormat="1">
      <c r="A420" s="1245"/>
      <c r="C420" s="1246"/>
      <c r="D420" s="502"/>
      <c r="E420" s="1245"/>
      <c r="G420" s="1245"/>
      <c r="H420" s="1247"/>
      <c r="I420" s="1139"/>
      <c r="J420" s="983"/>
      <c r="K420" s="986"/>
    </row>
    <row r="421" spans="1:11" s="1061" customFormat="1">
      <c r="A421" s="1245"/>
      <c r="C421" s="1246"/>
      <c r="D421" s="502"/>
      <c r="E421" s="1245"/>
      <c r="G421" s="1245"/>
      <c r="H421" s="1247"/>
      <c r="I421" s="1139"/>
      <c r="J421" s="983"/>
      <c r="K421" s="986"/>
    </row>
    <row r="422" spans="1:11" s="1061" customFormat="1">
      <c r="A422" s="1245"/>
      <c r="C422" s="1246"/>
      <c r="D422" s="502"/>
      <c r="E422" s="1245"/>
      <c r="G422" s="1245"/>
      <c r="H422" s="1247"/>
      <c r="I422" s="1139"/>
      <c r="J422" s="983"/>
      <c r="K422" s="986"/>
    </row>
    <row r="423" spans="1:11" s="1061" customFormat="1">
      <c r="A423" s="1245"/>
      <c r="C423" s="1246"/>
      <c r="D423" s="502"/>
      <c r="E423" s="1245"/>
      <c r="G423" s="1245"/>
      <c r="H423" s="1247"/>
      <c r="I423" s="1139"/>
      <c r="J423" s="983"/>
      <c r="K423" s="986"/>
    </row>
    <row r="424" spans="1:11" s="1061" customFormat="1">
      <c r="A424" s="1245"/>
      <c r="C424" s="1246"/>
      <c r="D424" s="502"/>
      <c r="E424" s="1245"/>
      <c r="G424" s="1245"/>
      <c r="H424" s="1247"/>
      <c r="I424" s="1139"/>
      <c r="J424" s="983"/>
      <c r="K424" s="986"/>
    </row>
    <row r="425" spans="1:11" s="1061" customFormat="1">
      <c r="A425" s="1245"/>
      <c r="C425" s="1246"/>
      <c r="D425" s="502"/>
      <c r="E425" s="1245"/>
      <c r="G425" s="1245"/>
      <c r="H425" s="1247"/>
      <c r="I425" s="1139"/>
      <c r="J425" s="983"/>
      <c r="K425" s="986"/>
    </row>
    <row r="426" spans="1:11" s="1061" customFormat="1">
      <c r="A426" s="1245"/>
      <c r="C426" s="1246"/>
      <c r="D426" s="502"/>
      <c r="E426" s="1245"/>
      <c r="G426" s="1245"/>
      <c r="H426" s="1247"/>
      <c r="I426" s="1139"/>
      <c r="J426" s="983"/>
      <c r="K426" s="986"/>
    </row>
    <row r="427" spans="1:11" s="1061" customFormat="1">
      <c r="A427" s="1245"/>
      <c r="C427" s="1246"/>
      <c r="D427" s="502"/>
      <c r="E427" s="1245"/>
      <c r="G427" s="1245"/>
      <c r="H427" s="1247"/>
      <c r="I427" s="1139"/>
      <c r="J427" s="983"/>
      <c r="K427" s="986"/>
    </row>
    <row r="428" spans="1:11" s="1061" customFormat="1">
      <c r="A428" s="1245"/>
      <c r="C428" s="1246"/>
      <c r="D428" s="502"/>
      <c r="E428" s="1245"/>
      <c r="G428" s="1245"/>
      <c r="H428" s="1247"/>
      <c r="I428" s="1139"/>
      <c r="J428" s="983"/>
      <c r="K428" s="986"/>
    </row>
    <row r="429" spans="1:11" s="1061" customFormat="1">
      <c r="A429" s="1245"/>
      <c r="C429" s="1246"/>
      <c r="D429" s="502"/>
      <c r="E429" s="1245"/>
      <c r="G429" s="1245"/>
      <c r="H429" s="1247"/>
      <c r="I429" s="1139"/>
      <c r="J429" s="983"/>
      <c r="K429" s="986"/>
    </row>
    <row r="430" spans="1:11" s="1061" customFormat="1">
      <c r="A430" s="1245"/>
      <c r="C430" s="1246"/>
      <c r="D430" s="502"/>
      <c r="E430" s="1245"/>
      <c r="G430" s="1245"/>
      <c r="H430" s="1247"/>
      <c r="I430" s="1139"/>
      <c r="J430" s="983"/>
      <c r="K430" s="986"/>
    </row>
    <row r="431" spans="1:11" s="1061" customFormat="1">
      <c r="A431" s="1245"/>
      <c r="C431" s="1246"/>
      <c r="D431" s="502"/>
      <c r="E431" s="1245"/>
      <c r="G431" s="1245"/>
      <c r="H431" s="1247"/>
      <c r="I431" s="1139"/>
      <c r="J431" s="983"/>
      <c r="K431" s="986"/>
    </row>
    <row r="432" spans="1:11" s="1061" customFormat="1">
      <c r="A432" s="1245"/>
      <c r="C432" s="1246"/>
      <c r="D432" s="502"/>
      <c r="E432" s="1245"/>
      <c r="G432" s="1245"/>
      <c r="H432" s="1247"/>
      <c r="I432" s="1139"/>
      <c r="J432" s="983"/>
      <c r="K432" s="986"/>
    </row>
    <row r="433" spans="1:11" s="1061" customFormat="1">
      <c r="A433" s="1245"/>
      <c r="C433" s="1246"/>
      <c r="D433" s="502"/>
      <c r="E433" s="1245"/>
      <c r="G433" s="1245"/>
      <c r="H433" s="1247"/>
      <c r="I433" s="1139"/>
      <c r="J433" s="983"/>
      <c r="K433" s="986"/>
    </row>
    <row r="434" spans="1:11" s="1061" customFormat="1">
      <c r="A434" s="1245"/>
      <c r="C434" s="1246"/>
      <c r="D434" s="502"/>
      <c r="E434" s="1245"/>
      <c r="G434" s="1245"/>
      <c r="H434" s="1247"/>
      <c r="I434" s="1139"/>
      <c r="J434" s="983"/>
      <c r="K434" s="986"/>
    </row>
    <row r="435" spans="1:11" s="1061" customFormat="1">
      <c r="A435" s="1245"/>
      <c r="C435" s="1246"/>
      <c r="D435" s="502"/>
      <c r="E435" s="1245"/>
      <c r="G435" s="1245"/>
      <c r="H435" s="1247"/>
      <c r="I435" s="1139"/>
      <c r="J435" s="983"/>
      <c r="K435" s="986"/>
    </row>
    <row r="436" spans="1:11" s="1061" customFormat="1">
      <c r="A436" s="1245"/>
      <c r="C436" s="1246"/>
      <c r="D436" s="502"/>
      <c r="E436" s="1245"/>
      <c r="G436" s="1245"/>
      <c r="H436" s="1247"/>
      <c r="I436" s="1139"/>
      <c r="J436" s="983"/>
      <c r="K436" s="986"/>
    </row>
    <row r="437" spans="1:11" s="1061" customFormat="1">
      <c r="A437" s="1245"/>
      <c r="C437" s="1246"/>
      <c r="D437" s="502"/>
      <c r="E437" s="1245"/>
      <c r="G437" s="1245"/>
      <c r="H437" s="1247"/>
      <c r="I437" s="1139"/>
      <c r="J437" s="983"/>
      <c r="K437" s="986"/>
    </row>
    <row r="438" spans="1:11" s="1061" customFormat="1">
      <c r="A438" s="1245"/>
      <c r="C438" s="1246"/>
      <c r="D438" s="502"/>
      <c r="E438" s="1245"/>
      <c r="G438" s="1245"/>
      <c r="H438" s="1247"/>
      <c r="I438" s="1139"/>
      <c r="J438" s="983"/>
      <c r="K438" s="986"/>
    </row>
    <row r="439" spans="1:11" s="1061" customFormat="1">
      <c r="A439" s="1245"/>
      <c r="C439" s="1246"/>
      <c r="D439" s="502"/>
      <c r="E439" s="1245"/>
      <c r="G439" s="1245"/>
      <c r="H439" s="1247"/>
      <c r="I439" s="1139"/>
      <c r="J439" s="983"/>
      <c r="K439" s="986"/>
    </row>
    <row r="440" spans="1:11" s="1061" customFormat="1">
      <c r="A440" s="1245"/>
      <c r="C440" s="1246"/>
      <c r="D440" s="502"/>
      <c r="E440" s="1245"/>
      <c r="G440" s="1245"/>
      <c r="H440" s="1247"/>
      <c r="I440" s="1139"/>
      <c r="J440" s="983"/>
      <c r="K440" s="986"/>
    </row>
    <row r="441" spans="1:11" s="1061" customFormat="1">
      <c r="A441" s="1245"/>
      <c r="C441" s="1246"/>
      <c r="D441" s="502"/>
      <c r="E441" s="1245"/>
      <c r="G441" s="1245"/>
      <c r="H441" s="1247"/>
      <c r="I441" s="1139"/>
      <c r="J441" s="983"/>
      <c r="K441" s="986"/>
    </row>
    <row r="442" spans="1:11" s="1061" customFormat="1">
      <c r="A442" s="1245"/>
      <c r="C442" s="1246"/>
      <c r="D442" s="502"/>
      <c r="E442" s="1245"/>
      <c r="G442" s="1245"/>
      <c r="H442" s="1247"/>
      <c r="I442" s="1139"/>
      <c r="J442" s="983"/>
      <c r="K442" s="986"/>
    </row>
    <row r="443" spans="1:11" s="1061" customFormat="1">
      <c r="A443" s="1245"/>
      <c r="C443" s="1246"/>
      <c r="D443" s="502"/>
      <c r="E443" s="1245"/>
      <c r="G443" s="1245"/>
      <c r="H443" s="1247"/>
      <c r="I443" s="1139"/>
      <c r="J443" s="983"/>
      <c r="K443" s="986"/>
    </row>
    <row r="444" spans="1:11" s="1061" customFormat="1">
      <c r="A444" s="1245"/>
      <c r="C444" s="1246"/>
      <c r="D444" s="502"/>
      <c r="E444" s="1245"/>
      <c r="G444" s="1245"/>
      <c r="H444" s="1247"/>
      <c r="I444" s="1139"/>
      <c r="J444" s="983"/>
      <c r="K444" s="986"/>
    </row>
    <row r="445" spans="1:11" s="1061" customFormat="1">
      <c r="A445" s="1245"/>
      <c r="C445" s="1246"/>
      <c r="D445" s="502"/>
      <c r="E445" s="1245"/>
      <c r="G445" s="1245"/>
      <c r="H445" s="1247"/>
      <c r="I445" s="1139"/>
      <c r="J445" s="983"/>
      <c r="K445" s="986"/>
    </row>
    <row r="446" spans="1:11" s="1061" customFormat="1">
      <c r="A446" s="1245"/>
      <c r="C446" s="1246"/>
      <c r="D446" s="502"/>
      <c r="E446" s="1245"/>
      <c r="G446" s="1245"/>
      <c r="H446" s="1247"/>
      <c r="I446" s="1139"/>
      <c r="J446" s="983"/>
      <c r="K446" s="986"/>
    </row>
    <row r="447" spans="1:11" s="1061" customFormat="1">
      <c r="A447" s="1245"/>
      <c r="C447" s="1246"/>
      <c r="D447" s="502"/>
      <c r="E447" s="1245"/>
      <c r="G447" s="1245"/>
      <c r="H447" s="1247"/>
      <c r="I447" s="1139"/>
      <c r="J447" s="983"/>
      <c r="K447" s="986"/>
    </row>
    <row r="448" spans="1:11" s="1061" customFormat="1">
      <c r="A448" s="1245"/>
      <c r="C448" s="1246"/>
      <c r="D448" s="502"/>
      <c r="E448" s="1245"/>
      <c r="G448" s="1245"/>
      <c r="H448" s="1247"/>
      <c r="I448" s="1139"/>
      <c r="J448" s="983"/>
      <c r="K448" s="986"/>
    </row>
    <row r="449" spans="1:11" s="1061" customFormat="1">
      <c r="A449" s="1245"/>
      <c r="C449" s="1246"/>
      <c r="D449" s="502"/>
      <c r="E449" s="1245"/>
      <c r="G449" s="1245"/>
      <c r="H449" s="1247"/>
      <c r="I449" s="1139"/>
      <c r="J449" s="983"/>
      <c r="K449" s="986"/>
    </row>
    <row r="450" spans="1:11" s="1061" customFormat="1">
      <c r="A450" s="1245"/>
      <c r="C450" s="1246"/>
      <c r="D450" s="502"/>
      <c r="E450" s="1245"/>
      <c r="G450" s="1245"/>
      <c r="H450" s="1247"/>
      <c r="I450" s="1139"/>
      <c r="J450" s="983"/>
      <c r="K450" s="986"/>
    </row>
    <row r="451" spans="1:11" s="1061" customFormat="1">
      <c r="A451" s="1245"/>
      <c r="C451" s="1246"/>
      <c r="D451" s="502"/>
      <c r="E451" s="1245"/>
      <c r="G451" s="1245"/>
      <c r="H451" s="1247"/>
      <c r="I451" s="1139"/>
      <c r="J451" s="983"/>
      <c r="K451" s="986"/>
    </row>
    <row r="452" spans="1:11" s="1061" customFormat="1">
      <c r="A452" s="1245"/>
      <c r="C452" s="1246"/>
      <c r="D452" s="502"/>
      <c r="E452" s="1245"/>
      <c r="G452" s="1245"/>
      <c r="H452" s="1247"/>
      <c r="I452" s="1139"/>
      <c r="J452" s="983"/>
      <c r="K452" s="986"/>
    </row>
    <row r="453" spans="1:11" s="1061" customFormat="1">
      <c r="A453" s="1245"/>
      <c r="C453" s="1246"/>
      <c r="D453" s="502"/>
      <c r="E453" s="1245"/>
      <c r="G453" s="1245"/>
      <c r="H453" s="1247"/>
      <c r="I453" s="1139"/>
      <c r="J453" s="983"/>
      <c r="K453" s="986"/>
    </row>
    <row r="454" spans="1:11" s="1061" customFormat="1">
      <c r="A454" s="1245"/>
      <c r="C454" s="1246"/>
      <c r="D454" s="502"/>
      <c r="E454" s="1245"/>
      <c r="G454" s="1245"/>
      <c r="H454" s="1247"/>
      <c r="I454" s="1139"/>
      <c r="J454" s="983"/>
      <c r="K454" s="986"/>
    </row>
    <row r="455" spans="1:11" s="1061" customFormat="1">
      <c r="A455" s="1245"/>
      <c r="C455" s="1246"/>
      <c r="D455" s="502"/>
      <c r="E455" s="1245"/>
      <c r="G455" s="1245"/>
      <c r="H455" s="1247"/>
      <c r="I455" s="1139"/>
      <c r="J455" s="983"/>
      <c r="K455" s="986"/>
    </row>
    <row r="456" spans="1:11" s="1061" customFormat="1">
      <c r="A456" s="1245"/>
      <c r="C456" s="1246"/>
      <c r="D456" s="502"/>
      <c r="E456" s="1245"/>
      <c r="G456" s="1245"/>
      <c r="H456" s="1247"/>
      <c r="I456" s="1139"/>
      <c r="J456" s="983"/>
      <c r="K456" s="986"/>
    </row>
    <row r="457" spans="1:11" s="1061" customFormat="1">
      <c r="A457" s="1245"/>
      <c r="C457" s="1246"/>
      <c r="D457" s="502"/>
      <c r="E457" s="1245"/>
      <c r="G457" s="1245"/>
      <c r="H457" s="1247"/>
      <c r="I457" s="1139"/>
      <c r="J457" s="983"/>
      <c r="K457" s="986"/>
    </row>
    <row r="458" spans="1:11" s="1061" customFormat="1">
      <c r="A458" s="1245"/>
      <c r="C458" s="1246"/>
      <c r="D458" s="502"/>
      <c r="E458" s="1245"/>
      <c r="G458" s="1245"/>
      <c r="H458" s="1247"/>
      <c r="I458" s="1139"/>
      <c r="J458" s="983"/>
      <c r="K458" s="986"/>
    </row>
    <row r="459" spans="1:11" s="1061" customFormat="1">
      <c r="A459" s="1245"/>
      <c r="C459" s="1246"/>
      <c r="D459" s="502"/>
      <c r="E459" s="1245"/>
      <c r="G459" s="1245"/>
      <c r="H459" s="1247"/>
      <c r="I459" s="1139"/>
      <c r="J459" s="983"/>
      <c r="K459" s="986"/>
    </row>
    <row r="460" spans="1:11" s="1061" customFormat="1">
      <c r="A460" s="1245"/>
      <c r="C460" s="1246"/>
      <c r="D460" s="502"/>
      <c r="E460" s="1245"/>
      <c r="G460" s="1245"/>
      <c r="H460" s="1247"/>
      <c r="I460" s="1139"/>
      <c r="J460" s="983"/>
      <c r="K460" s="986"/>
    </row>
    <row r="461" spans="1:11" s="1061" customFormat="1">
      <c r="A461" s="1245"/>
      <c r="C461" s="1246"/>
      <c r="D461" s="502"/>
      <c r="E461" s="1245"/>
      <c r="G461" s="1245"/>
      <c r="H461" s="1247"/>
      <c r="I461" s="1139"/>
      <c r="J461" s="983"/>
      <c r="K461" s="986"/>
    </row>
    <row r="462" spans="1:11" s="1061" customFormat="1">
      <c r="A462" s="1245"/>
      <c r="C462" s="1246"/>
      <c r="D462" s="502"/>
      <c r="E462" s="1245"/>
      <c r="G462" s="1245"/>
      <c r="H462" s="1247"/>
      <c r="I462" s="1139"/>
      <c r="J462" s="983"/>
      <c r="K462" s="986"/>
    </row>
    <row r="463" spans="1:11" s="1061" customFormat="1">
      <c r="A463" s="1245"/>
      <c r="C463" s="1246"/>
      <c r="D463" s="502"/>
      <c r="E463" s="1245"/>
      <c r="G463" s="1245"/>
      <c r="H463" s="1247"/>
      <c r="I463" s="1139"/>
      <c r="J463" s="983"/>
      <c r="K463" s="986"/>
    </row>
    <row r="464" spans="1:11" s="1061" customFormat="1">
      <c r="A464" s="1245"/>
      <c r="C464" s="1246"/>
      <c r="D464" s="502"/>
      <c r="E464" s="1245"/>
      <c r="G464" s="1245"/>
      <c r="H464" s="1247"/>
      <c r="I464" s="1139"/>
      <c r="J464" s="983"/>
      <c r="K464" s="986"/>
    </row>
    <row r="465" spans="1:11" s="1061" customFormat="1">
      <c r="A465" s="1245"/>
      <c r="C465" s="1246"/>
      <c r="D465" s="502"/>
      <c r="E465" s="1245"/>
      <c r="G465" s="1245"/>
      <c r="H465" s="1247"/>
      <c r="I465" s="1139"/>
      <c r="J465" s="983"/>
      <c r="K465" s="986"/>
    </row>
    <row r="466" spans="1:11" s="1061" customFormat="1">
      <c r="A466" s="1245"/>
      <c r="C466" s="1246"/>
      <c r="D466" s="502"/>
      <c r="E466" s="1245"/>
      <c r="G466" s="1245"/>
      <c r="H466" s="1247"/>
      <c r="I466" s="1139"/>
      <c r="J466" s="983"/>
      <c r="K466" s="986"/>
    </row>
    <row r="467" spans="1:11" s="1061" customFormat="1">
      <c r="A467" s="1245"/>
      <c r="C467" s="1246"/>
      <c r="D467" s="502"/>
      <c r="E467" s="1245"/>
      <c r="G467" s="1245"/>
      <c r="H467" s="1247"/>
      <c r="I467" s="1139"/>
      <c r="J467" s="983"/>
      <c r="K467" s="986"/>
    </row>
    <row r="468" spans="1:11" s="1061" customFormat="1">
      <c r="A468" s="1245"/>
      <c r="C468" s="1246"/>
      <c r="D468" s="502"/>
      <c r="E468" s="1245"/>
      <c r="G468" s="1245"/>
      <c r="H468" s="1247"/>
      <c r="I468" s="1139"/>
      <c r="J468" s="983"/>
      <c r="K468" s="986"/>
    </row>
    <row r="469" spans="1:11" s="1061" customFormat="1">
      <c r="A469" s="1245"/>
      <c r="C469" s="1246"/>
      <c r="D469" s="502"/>
      <c r="E469" s="1245"/>
      <c r="G469" s="1245"/>
      <c r="H469" s="1247"/>
      <c r="I469" s="1139"/>
      <c r="J469" s="983"/>
      <c r="K469" s="986"/>
    </row>
    <row r="470" spans="1:11" s="1061" customFormat="1">
      <c r="A470" s="1245"/>
      <c r="C470" s="1246"/>
      <c r="D470" s="502"/>
      <c r="E470" s="1245"/>
      <c r="G470" s="1245"/>
      <c r="H470" s="1247"/>
      <c r="I470" s="1139"/>
      <c r="J470" s="983"/>
      <c r="K470" s="986"/>
    </row>
    <row r="471" spans="1:11" s="1061" customFormat="1">
      <c r="A471" s="1245"/>
      <c r="C471" s="1246"/>
      <c r="D471" s="502"/>
      <c r="E471" s="1245"/>
      <c r="G471" s="1245"/>
      <c r="H471" s="1247"/>
      <c r="I471" s="1139"/>
      <c r="J471" s="983"/>
      <c r="K471" s="986"/>
    </row>
    <row r="472" spans="1:11" s="1061" customFormat="1">
      <c r="A472" s="1245"/>
      <c r="C472" s="1246"/>
      <c r="D472" s="502"/>
      <c r="E472" s="1245"/>
      <c r="G472" s="1245"/>
      <c r="H472" s="1247"/>
      <c r="I472" s="1139"/>
      <c r="J472" s="983"/>
      <c r="K472" s="986"/>
    </row>
    <row r="473" spans="1:11" s="1061" customFormat="1">
      <c r="A473" s="1245"/>
      <c r="C473" s="1246"/>
      <c r="D473" s="502"/>
      <c r="E473" s="1245"/>
      <c r="G473" s="1245"/>
      <c r="H473" s="1247"/>
      <c r="I473" s="1139"/>
      <c r="J473" s="983"/>
      <c r="K473" s="986"/>
    </row>
    <row r="474" spans="1:11" s="1061" customFormat="1">
      <c r="A474" s="1245"/>
      <c r="C474" s="1246"/>
      <c r="D474" s="502"/>
      <c r="E474" s="1245"/>
      <c r="G474" s="1245"/>
      <c r="H474" s="1247"/>
      <c r="I474" s="1139"/>
      <c r="J474" s="983"/>
      <c r="K474" s="986"/>
    </row>
    <row r="475" spans="1:11" s="1061" customFormat="1">
      <c r="A475" s="1245"/>
      <c r="C475" s="1246"/>
      <c r="D475" s="502"/>
      <c r="E475" s="1245"/>
      <c r="G475" s="1245"/>
      <c r="H475" s="1247"/>
      <c r="I475" s="1139"/>
      <c r="J475" s="983"/>
      <c r="K475" s="986"/>
    </row>
    <row r="476" spans="1:11" s="1061" customFormat="1">
      <c r="A476" s="1245"/>
      <c r="C476" s="1246"/>
      <c r="D476" s="502"/>
      <c r="E476" s="1245"/>
      <c r="G476" s="1245"/>
      <c r="H476" s="1247"/>
      <c r="I476" s="1139"/>
      <c r="J476" s="983"/>
      <c r="K476" s="986"/>
    </row>
    <row r="477" spans="1:11" s="1061" customFormat="1">
      <c r="A477" s="1245"/>
      <c r="C477" s="1246"/>
      <c r="D477" s="502"/>
      <c r="E477" s="1245"/>
      <c r="G477" s="1245"/>
      <c r="H477" s="1247"/>
      <c r="I477" s="1139"/>
      <c r="J477" s="983"/>
      <c r="K477" s="986"/>
    </row>
    <row r="478" spans="1:11" s="1061" customFormat="1">
      <c r="A478" s="1245"/>
      <c r="C478" s="1246"/>
      <c r="D478" s="502"/>
      <c r="E478" s="1245"/>
      <c r="G478" s="1245"/>
      <c r="H478" s="1247"/>
      <c r="I478" s="1139"/>
      <c r="J478" s="983"/>
      <c r="K478" s="986"/>
    </row>
    <row r="479" spans="1:11" s="1061" customFormat="1">
      <c r="A479" s="1245"/>
      <c r="C479" s="1246"/>
      <c r="D479" s="502"/>
      <c r="E479" s="1245"/>
      <c r="G479" s="1245"/>
      <c r="H479" s="1247"/>
      <c r="I479" s="1139"/>
      <c r="J479" s="983"/>
      <c r="K479" s="986"/>
    </row>
    <row r="480" spans="1:11" s="1061" customFormat="1">
      <c r="A480" s="1245"/>
      <c r="C480" s="1246"/>
      <c r="D480" s="502"/>
      <c r="E480" s="1245"/>
      <c r="G480" s="1245"/>
      <c r="H480" s="1247"/>
      <c r="I480" s="1139"/>
      <c r="J480" s="983"/>
      <c r="K480" s="986"/>
    </row>
    <row r="481" spans="1:11" s="1061" customFormat="1">
      <c r="A481" s="1245"/>
      <c r="C481" s="1246"/>
      <c r="D481" s="502"/>
      <c r="E481" s="1245"/>
      <c r="G481" s="1245"/>
      <c r="H481" s="1247"/>
      <c r="I481" s="1139"/>
      <c r="J481" s="983"/>
      <c r="K481" s="986"/>
    </row>
    <row r="482" spans="1:11" s="1061" customFormat="1">
      <c r="A482" s="1245"/>
      <c r="C482" s="1246"/>
      <c r="D482" s="502"/>
      <c r="E482" s="1245"/>
      <c r="G482" s="1245"/>
      <c r="H482" s="1247"/>
      <c r="I482" s="1139"/>
      <c r="J482" s="983"/>
      <c r="K482" s="986"/>
    </row>
    <row r="483" spans="1:11" s="1061" customFormat="1">
      <c r="A483" s="1245"/>
      <c r="C483" s="1246"/>
      <c r="D483" s="502"/>
      <c r="E483" s="1245"/>
      <c r="G483" s="1245"/>
      <c r="H483" s="1247"/>
      <c r="I483" s="1139"/>
      <c r="J483" s="983"/>
      <c r="K483" s="986"/>
    </row>
    <row r="484" spans="1:11" s="1061" customFormat="1">
      <c r="A484" s="1245"/>
      <c r="C484" s="1246"/>
      <c r="D484" s="502"/>
      <c r="E484" s="1245"/>
      <c r="G484" s="1245"/>
      <c r="H484" s="1247"/>
      <c r="I484" s="1139"/>
      <c r="J484" s="983"/>
      <c r="K484" s="986"/>
    </row>
    <row r="485" spans="1:11" s="1061" customFormat="1">
      <c r="A485" s="1245"/>
      <c r="C485" s="1246"/>
      <c r="D485" s="502"/>
      <c r="E485" s="1245"/>
      <c r="G485" s="1245"/>
      <c r="H485" s="1247"/>
      <c r="I485" s="1139"/>
      <c r="J485" s="983"/>
      <c r="K485" s="986"/>
    </row>
    <row r="486" spans="1:11" s="1061" customFormat="1">
      <c r="A486" s="1245"/>
      <c r="C486" s="1246"/>
      <c r="D486" s="502"/>
      <c r="E486" s="1245"/>
      <c r="G486" s="1245"/>
      <c r="H486" s="1247"/>
      <c r="I486" s="1139"/>
      <c r="J486" s="983"/>
      <c r="K486" s="986"/>
    </row>
    <row r="487" spans="1:11" s="1061" customFormat="1">
      <c r="A487" s="1245"/>
      <c r="C487" s="1246"/>
      <c r="D487" s="502"/>
      <c r="E487" s="1245"/>
      <c r="G487" s="1245"/>
      <c r="H487" s="1247"/>
      <c r="I487" s="1139"/>
      <c r="J487" s="983"/>
      <c r="K487" s="986"/>
    </row>
    <row r="488" spans="1:11" s="1061" customFormat="1">
      <c r="A488" s="1245"/>
      <c r="C488" s="1246"/>
      <c r="D488" s="502"/>
      <c r="E488" s="1245"/>
      <c r="G488" s="1245"/>
      <c r="H488" s="1247"/>
      <c r="I488" s="1139"/>
      <c r="J488" s="983"/>
      <c r="K488" s="986"/>
    </row>
    <row r="489" spans="1:11" s="1061" customFormat="1">
      <c r="A489" s="1245"/>
      <c r="C489" s="1246"/>
      <c r="D489" s="502"/>
      <c r="E489" s="1245"/>
      <c r="G489" s="1245"/>
      <c r="H489" s="1247"/>
      <c r="I489" s="1139"/>
      <c r="J489" s="983"/>
      <c r="K489" s="986"/>
    </row>
    <row r="490" spans="1:11" s="1061" customFormat="1">
      <c r="A490" s="1245"/>
      <c r="C490" s="1246"/>
      <c r="D490" s="502"/>
      <c r="E490" s="1245"/>
      <c r="G490" s="1245"/>
      <c r="H490" s="1247"/>
      <c r="I490" s="1139"/>
      <c r="J490" s="983"/>
      <c r="K490" s="986"/>
    </row>
    <row r="491" spans="1:11" s="1061" customFormat="1">
      <c r="A491" s="1245"/>
      <c r="C491" s="1246"/>
      <c r="D491" s="502"/>
      <c r="E491" s="1245"/>
      <c r="G491" s="1245"/>
      <c r="H491" s="1247"/>
      <c r="I491" s="1139"/>
      <c r="J491" s="983"/>
      <c r="K491" s="986"/>
    </row>
    <row r="492" spans="1:11" s="1061" customFormat="1">
      <c r="A492" s="1245"/>
      <c r="C492" s="1246"/>
      <c r="D492" s="502"/>
      <c r="E492" s="1245"/>
      <c r="G492" s="1245"/>
      <c r="H492" s="1247"/>
      <c r="I492" s="1139"/>
      <c r="J492" s="983"/>
      <c r="K492" s="986"/>
    </row>
    <row r="493" spans="1:11" s="1061" customFormat="1">
      <c r="A493" s="1245"/>
      <c r="C493" s="1246"/>
      <c r="D493" s="502"/>
      <c r="E493" s="1245"/>
      <c r="G493" s="1245"/>
      <c r="H493" s="1247"/>
      <c r="I493" s="1139"/>
      <c r="J493" s="983"/>
      <c r="K493" s="986"/>
    </row>
    <row r="494" spans="1:11" s="1061" customFormat="1">
      <c r="A494" s="1245"/>
      <c r="C494" s="1246"/>
      <c r="D494" s="502"/>
      <c r="E494" s="1245"/>
      <c r="G494" s="1245"/>
      <c r="H494" s="1247"/>
      <c r="I494" s="1139"/>
      <c r="J494" s="983"/>
      <c r="K494" s="986"/>
    </row>
    <row r="495" spans="1:11" s="1061" customFormat="1">
      <c r="A495" s="1245"/>
      <c r="C495" s="1246"/>
      <c r="D495" s="502"/>
      <c r="E495" s="1245"/>
      <c r="G495" s="1245"/>
      <c r="H495" s="1247"/>
      <c r="I495" s="1139"/>
      <c r="J495" s="983"/>
      <c r="K495" s="986"/>
    </row>
    <row r="496" spans="1:11" s="1061" customFormat="1">
      <c r="A496" s="1245"/>
      <c r="C496" s="1246"/>
      <c r="D496" s="502"/>
      <c r="E496" s="1245"/>
      <c r="G496" s="1245"/>
      <c r="H496" s="1247"/>
      <c r="I496" s="1139"/>
      <c r="J496" s="983"/>
      <c r="K496" s="986"/>
    </row>
    <row r="497" spans="1:11" s="1061" customFormat="1">
      <c r="A497" s="1245"/>
      <c r="C497" s="1246"/>
      <c r="D497" s="502"/>
      <c r="E497" s="1245"/>
      <c r="G497" s="1245"/>
      <c r="H497" s="1247"/>
      <c r="I497" s="1139"/>
      <c r="J497" s="983"/>
      <c r="K497" s="986"/>
    </row>
    <row r="498" spans="1:11" s="1061" customFormat="1">
      <c r="A498" s="1245"/>
      <c r="C498" s="1246"/>
      <c r="D498" s="502"/>
      <c r="E498" s="1245"/>
      <c r="G498" s="1245"/>
      <c r="H498" s="1247"/>
      <c r="I498" s="1139"/>
      <c r="J498" s="983"/>
      <c r="K498" s="986"/>
    </row>
    <row r="499" spans="1:11" s="1061" customFormat="1">
      <c r="A499" s="1245"/>
      <c r="C499" s="1246"/>
      <c r="D499" s="502"/>
      <c r="E499" s="1245"/>
      <c r="G499" s="1245"/>
      <c r="H499" s="1247"/>
      <c r="I499" s="1139"/>
      <c r="J499" s="983"/>
      <c r="K499" s="986"/>
    </row>
    <row r="500" spans="1:11" s="1061" customFormat="1">
      <c r="A500" s="1245"/>
      <c r="C500" s="1246"/>
      <c r="D500" s="502"/>
      <c r="E500" s="1245"/>
      <c r="G500" s="1245"/>
      <c r="H500" s="1247"/>
      <c r="I500" s="1139"/>
      <c r="J500" s="983"/>
      <c r="K500" s="986"/>
    </row>
    <row r="501" spans="1:11" s="1061" customFormat="1">
      <c r="A501" s="1245"/>
      <c r="C501" s="1246"/>
      <c r="D501" s="502"/>
      <c r="E501" s="1245"/>
      <c r="G501" s="1245"/>
      <c r="H501" s="1247"/>
      <c r="I501" s="1139"/>
      <c r="J501" s="983"/>
      <c r="K501" s="986"/>
    </row>
    <row r="502" spans="1:11" s="1061" customFormat="1">
      <c r="A502" s="1245"/>
      <c r="C502" s="1246"/>
      <c r="D502" s="502"/>
      <c r="E502" s="1245"/>
      <c r="G502" s="1245"/>
      <c r="H502" s="1247"/>
      <c r="I502" s="1139"/>
      <c r="J502" s="983"/>
      <c r="K502" s="986"/>
    </row>
    <row r="503" spans="1:11" s="1061" customFormat="1">
      <c r="A503" s="1245"/>
      <c r="C503" s="1246"/>
      <c r="D503" s="502"/>
      <c r="E503" s="1245"/>
      <c r="G503" s="1245"/>
      <c r="H503" s="1247"/>
      <c r="I503" s="1139"/>
      <c r="J503" s="983"/>
      <c r="K503" s="986"/>
    </row>
    <row r="504" spans="1:11" s="1061" customFormat="1">
      <c r="A504" s="1245"/>
      <c r="C504" s="1246"/>
      <c r="D504" s="502"/>
      <c r="E504" s="1245"/>
      <c r="G504" s="1245"/>
      <c r="H504" s="1247"/>
      <c r="I504" s="1139"/>
      <c r="J504" s="983"/>
      <c r="K504" s="986"/>
    </row>
    <row r="505" spans="1:11" s="1061" customFormat="1">
      <c r="A505" s="1245"/>
      <c r="C505" s="1246"/>
      <c r="D505" s="502"/>
      <c r="E505" s="1245"/>
      <c r="G505" s="1245"/>
      <c r="H505" s="1247"/>
      <c r="I505" s="1139"/>
      <c r="J505" s="983"/>
      <c r="K505" s="986"/>
    </row>
    <row r="506" spans="1:11" s="1061" customFormat="1">
      <c r="A506" s="1245"/>
      <c r="C506" s="1246"/>
      <c r="D506" s="502"/>
      <c r="E506" s="1245"/>
      <c r="G506" s="1245"/>
      <c r="H506" s="1247"/>
      <c r="I506" s="1139"/>
      <c r="J506" s="983"/>
      <c r="K506" s="986"/>
    </row>
    <row r="507" spans="1:11" s="1061" customFormat="1">
      <c r="A507" s="1245"/>
      <c r="C507" s="1246"/>
      <c r="D507" s="502"/>
      <c r="E507" s="1245"/>
      <c r="G507" s="1245"/>
      <c r="H507" s="1247"/>
      <c r="I507" s="1139"/>
      <c r="J507" s="983"/>
      <c r="K507" s="986"/>
    </row>
    <row r="508" spans="1:11" s="1061" customFormat="1">
      <c r="A508" s="1245"/>
      <c r="C508" s="1246"/>
      <c r="D508" s="502"/>
      <c r="E508" s="1245"/>
      <c r="G508" s="1245"/>
      <c r="H508" s="1247"/>
      <c r="I508" s="1139"/>
      <c r="J508" s="983"/>
      <c r="K508" s="986"/>
    </row>
    <row r="509" spans="1:11" s="1061" customFormat="1">
      <c r="A509" s="1245"/>
      <c r="C509" s="1246"/>
      <c r="D509" s="502"/>
      <c r="E509" s="1245"/>
      <c r="G509" s="1245"/>
      <c r="H509" s="1247"/>
      <c r="I509" s="1139"/>
      <c r="J509" s="983"/>
      <c r="K509" s="986"/>
    </row>
    <row r="510" spans="1:11" s="1061" customFormat="1">
      <c r="A510" s="1245"/>
      <c r="C510" s="1246"/>
      <c r="D510" s="502"/>
      <c r="E510" s="1245"/>
      <c r="G510" s="1245"/>
      <c r="H510" s="1247"/>
      <c r="I510" s="1139"/>
      <c r="J510" s="983"/>
      <c r="K510" s="986"/>
    </row>
    <row r="511" spans="1:11" s="1061" customFormat="1">
      <c r="A511" s="1245"/>
      <c r="C511" s="1246"/>
      <c r="D511" s="502"/>
      <c r="E511" s="1245"/>
      <c r="G511" s="1245"/>
      <c r="H511" s="1247"/>
      <c r="I511" s="1139"/>
      <c r="J511" s="983"/>
      <c r="K511" s="986"/>
    </row>
    <row r="512" spans="1:11" s="1061" customFormat="1">
      <c r="A512" s="1245"/>
      <c r="C512" s="1246"/>
      <c r="D512" s="502"/>
      <c r="E512" s="1245"/>
      <c r="G512" s="1245"/>
      <c r="H512" s="1247"/>
      <c r="I512" s="1139"/>
      <c r="J512" s="983"/>
      <c r="K512" s="986"/>
    </row>
    <row r="513" spans="1:11" s="1061" customFormat="1">
      <c r="A513" s="1245"/>
      <c r="C513" s="1246"/>
      <c r="D513" s="502"/>
      <c r="E513" s="1245"/>
      <c r="G513" s="1245"/>
      <c r="H513" s="1247"/>
      <c r="I513" s="1139"/>
      <c r="J513" s="983"/>
      <c r="K513" s="986"/>
    </row>
    <row r="514" spans="1:11" s="1061" customFormat="1">
      <c r="A514" s="1245"/>
      <c r="C514" s="1246"/>
      <c r="D514" s="502"/>
      <c r="E514" s="1245"/>
      <c r="G514" s="1245"/>
      <c r="H514" s="1247"/>
      <c r="I514" s="1139"/>
      <c r="J514" s="983"/>
      <c r="K514" s="986"/>
    </row>
    <row r="515" spans="1:11" s="1061" customFormat="1">
      <c r="A515" s="1245"/>
      <c r="C515" s="1246"/>
      <c r="D515" s="502"/>
      <c r="E515" s="1245"/>
      <c r="G515" s="1245"/>
      <c r="H515" s="1247"/>
      <c r="I515" s="1139"/>
      <c r="J515" s="983"/>
      <c r="K515" s="986"/>
    </row>
    <row r="516" spans="1:11" s="1061" customFormat="1">
      <c r="A516" s="1245"/>
      <c r="C516" s="1246"/>
      <c r="D516" s="502"/>
      <c r="E516" s="1245"/>
      <c r="G516" s="1245"/>
      <c r="H516" s="1247"/>
      <c r="I516" s="1139"/>
      <c r="J516" s="983"/>
      <c r="K516" s="986"/>
    </row>
    <row r="517" spans="1:11" s="1061" customFormat="1">
      <c r="A517" s="1245"/>
      <c r="C517" s="1246"/>
      <c r="D517" s="502"/>
      <c r="E517" s="1245"/>
      <c r="G517" s="1245"/>
      <c r="H517" s="1247"/>
      <c r="I517" s="1139"/>
      <c r="J517" s="983"/>
      <c r="K517" s="986"/>
    </row>
    <row r="518" spans="1:11" s="1061" customFormat="1">
      <c r="A518" s="1245"/>
      <c r="C518" s="1246"/>
      <c r="D518" s="502"/>
      <c r="E518" s="1245"/>
      <c r="G518" s="1245"/>
      <c r="H518" s="1247"/>
      <c r="I518" s="1139"/>
      <c r="J518" s="983"/>
      <c r="K518" s="986"/>
    </row>
    <row r="519" spans="1:11" s="1061" customFormat="1">
      <c r="A519" s="1245"/>
      <c r="C519" s="1246"/>
      <c r="D519" s="502"/>
      <c r="E519" s="1245"/>
      <c r="G519" s="1245"/>
      <c r="H519" s="1247"/>
      <c r="I519" s="1139"/>
      <c r="J519" s="983"/>
      <c r="K519" s="986"/>
    </row>
    <row r="520" spans="1:11" s="1061" customFormat="1">
      <c r="A520" s="1245"/>
      <c r="C520" s="1246"/>
      <c r="D520" s="502"/>
      <c r="E520" s="1245"/>
      <c r="G520" s="1245"/>
      <c r="H520" s="1247"/>
      <c r="I520" s="1139"/>
      <c r="J520" s="983"/>
      <c r="K520" s="986"/>
    </row>
    <row r="521" spans="1:11" s="1061" customFormat="1">
      <c r="A521" s="1245"/>
      <c r="C521" s="1246"/>
      <c r="D521" s="502"/>
      <c r="E521" s="1245"/>
      <c r="G521" s="1245"/>
      <c r="H521" s="1247"/>
      <c r="I521" s="1139"/>
      <c r="J521" s="983"/>
      <c r="K521" s="986"/>
    </row>
    <row r="522" spans="1:11" s="1061" customFormat="1">
      <c r="A522" s="1245"/>
      <c r="C522" s="1246"/>
      <c r="D522" s="502"/>
      <c r="E522" s="1245"/>
      <c r="G522" s="1245"/>
      <c r="H522" s="1247"/>
      <c r="I522" s="1139"/>
      <c r="J522" s="983"/>
      <c r="K522" s="986"/>
    </row>
    <row r="523" spans="1:11" s="1061" customFormat="1">
      <c r="A523" s="1245"/>
      <c r="C523" s="1246"/>
      <c r="D523" s="502"/>
      <c r="E523" s="1245"/>
      <c r="G523" s="1245"/>
      <c r="H523" s="1247"/>
      <c r="I523" s="1139"/>
      <c r="J523" s="983"/>
      <c r="K523" s="986"/>
    </row>
    <row r="524" spans="1:11" s="1061" customFormat="1">
      <c r="A524" s="1245"/>
      <c r="C524" s="1246"/>
      <c r="D524" s="502"/>
      <c r="E524" s="1245"/>
      <c r="G524" s="1245"/>
      <c r="H524" s="1247"/>
      <c r="I524" s="1139"/>
      <c r="J524" s="983"/>
      <c r="K524" s="986"/>
    </row>
    <row r="525" spans="1:11" s="1061" customFormat="1">
      <c r="A525" s="1245"/>
      <c r="C525" s="1246"/>
      <c r="D525" s="502"/>
      <c r="E525" s="1245"/>
      <c r="G525" s="1245"/>
      <c r="H525" s="1247"/>
      <c r="I525" s="1139"/>
      <c r="J525" s="983"/>
      <c r="K525" s="986"/>
    </row>
    <row r="526" spans="1:11" s="1061" customFormat="1">
      <c r="A526" s="1245"/>
      <c r="C526" s="1246"/>
      <c r="D526" s="502"/>
      <c r="E526" s="1245"/>
      <c r="G526" s="1245"/>
      <c r="H526" s="1247"/>
      <c r="I526" s="1139"/>
      <c r="J526" s="983"/>
      <c r="K526" s="986"/>
    </row>
    <row r="527" spans="1:11" s="1061" customFormat="1">
      <c r="A527" s="1245"/>
      <c r="C527" s="1246"/>
      <c r="D527" s="502"/>
      <c r="E527" s="1245"/>
      <c r="G527" s="1245"/>
      <c r="H527" s="1247"/>
      <c r="I527" s="1139"/>
      <c r="J527" s="983"/>
      <c r="K527" s="986"/>
    </row>
    <row r="528" spans="1:11" s="1061" customFormat="1">
      <c r="A528" s="1245"/>
      <c r="C528" s="1246"/>
      <c r="D528" s="502"/>
      <c r="E528" s="1245"/>
      <c r="G528" s="1245"/>
      <c r="H528" s="1247"/>
      <c r="I528" s="1139"/>
      <c r="J528" s="983"/>
      <c r="K528" s="986"/>
    </row>
    <row r="529" spans="1:11" s="1061" customFormat="1">
      <c r="A529" s="1245"/>
      <c r="C529" s="1246"/>
      <c r="D529" s="502"/>
      <c r="E529" s="1245"/>
      <c r="G529" s="1245"/>
      <c r="H529" s="1247"/>
      <c r="I529" s="1139"/>
      <c r="J529" s="983"/>
      <c r="K529" s="986"/>
    </row>
    <row r="530" spans="1:11" s="1061" customFormat="1">
      <c r="A530" s="1245"/>
      <c r="C530" s="1246"/>
      <c r="D530" s="502"/>
      <c r="E530" s="1245"/>
      <c r="G530" s="1245"/>
      <c r="H530" s="1247"/>
      <c r="I530" s="1139"/>
      <c r="J530" s="983"/>
      <c r="K530" s="986"/>
    </row>
    <row r="531" spans="1:11" s="1061" customFormat="1">
      <c r="A531" s="1245"/>
      <c r="C531" s="1246"/>
      <c r="D531" s="502"/>
      <c r="E531" s="1245"/>
      <c r="G531" s="1245"/>
      <c r="H531" s="1247"/>
      <c r="I531" s="1139"/>
      <c r="J531" s="983"/>
      <c r="K531" s="986"/>
    </row>
    <row r="532" spans="1:11" s="1061" customFormat="1">
      <c r="A532" s="1245"/>
      <c r="C532" s="1246"/>
      <c r="D532" s="502"/>
      <c r="E532" s="1245"/>
      <c r="G532" s="1245"/>
      <c r="H532" s="1247"/>
      <c r="I532" s="1139"/>
      <c r="J532" s="983"/>
      <c r="K532" s="986"/>
    </row>
    <row r="533" spans="1:11" s="1061" customFormat="1">
      <c r="A533" s="1245"/>
      <c r="C533" s="1246"/>
      <c r="D533" s="502"/>
      <c r="E533" s="1245"/>
      <c r="G533" s="1245"/>
      <c r="H533" s="1247"/>
      <c r="I533" s="1139"/>
      <c r="J533" s="983"/>
      <c r="K533" s="986"/>
    </row>
    <row r="534" spans="1:11" s="1061" customFormat="1">
      <c r="A534" s="1245"/>
      <c r="C534" s="1246"/>
      <c r="D534" s="502"/>
      <c r="E534" s="1245"/>
      <c r="G534" s="1245"/>
      <c r="H534" s="1247"/>
      <c r="I534" s="1139"/>
      <c r="J534" s="983"/>
      <c r="K534" s="986"/>
    </row>
    <row r="535" spans="1:11" s="1061" customFormat="1">
      <c r="A535" s="1245"/>
      <c r="C535" s="1246"/>
      <c r="D535" s="502"/>
      <c r="E535" s="1245"/>
      <c r="G535" s="1245"/>
      <c r="H535" s="1247"/>
      <c r="I535" s="1139"/>
      <c r="J535" s="983"/>
      <c r="K535" s="986"/>
    </row>
    <row r="536" spans="1:11" s="1061" customFormat="1">
      <c r="A536" s="1245"/>
      <c r="C536" s="1246"/>
      <c r="D536" s="502"/>
      <c r="E536" s="1245"/>
      <c r="G536" s="1245"/>
      <c r="H536" s="1247"/>
      <c r="I536" s="1139"/>
      <c r="J536" s="983"/>
      <c r="K536" s="986"/>
    </row>
    <row r="537" spans="1:11" s="1061" customFormat="1">
      <c r="A537" s="1245"/>
      <c r="C537" s="1246"/>
      <c r="D537" s="502"/>
      <c r="E537" s="1245"/>
      <c r="G537" s="1245"/>
      <c r="H537" s="1247"/>
      <c r="I537" s="1139"/>
      <c r="J537" s="983"/>
      <c r="K537" s="986"/>
    </row>
    <row r="538" spans="1:11" s="1061" customFormat="1">
      <c r="A538" s="1245"/>
      <c r="C538" s="1246"/>
      <c r="D538" s="502"/>
      <c r="E538" s="1245"/>
      <c r="G538" s="1245"/>
      <c r="H538" s="1247"/>
      <c r="I538" s="1139"/>
      <c r="J538" s="983"/>
      <c r="K538" s="986"/>
    </row>
    <row r="539" spans="1:11" s="1061" customFormat="1">
      <c r="A539" s="1245"/>
      <c r="C539" s="1246"/>
      <c r="D539" s="502"/>
      <c r="E539" s="1245"/>
      <c r="G539" s="1245"/>
      <c r="H539" s="1247"/>
      <c r="I539" s="1139"/>
      <c r="J539" s="983"/>
      <c r="K539" s="986"/>
    </row>
    <row r="540" spans="1:11" s="1061" customFormat="1">
      <c r="A540" s="1245"/>
      <c r="C540" s="1246"/>
      <c r="D540" s="502"/>
      <c r="E540" s="1245"/>
      <c r="G540" s="1245"/>
      <c r="H540" s="1247"/>
      <c r="I540" s="1139"/>
      <c r="J540" s="983"/>
      <c r="K540" s="986"/>
    </row>
    <row r="541" spans="1:11" s="1061" customFormat="1">
      <c r="A541" s="1245"/>
      <c r="C541" s="1246"/>
      <c r="D541" s="502"/>
      <c r="E541" s="1245"/>
      <c r="G541" s="1245"/>
      <c r="H541" s="1247"/>
      <c r="I541" s="1139"/>
      <c r="J541" s="983"/>
      <c r="K541" s="986"/>
    </row>
    <row r="542" spans="1:11" s="1061" customFormat="1">
      <c r="A542" s="1245"/>
      <c r="C542" s="1246"/>
      <c r="D542" s="502"/>
      <c r="E542" s="1245"/>
      <c r="G542" s="1245"/>
      <c r="H542" s="1247"/>
      <c r="I542" s="1139"/>
      <c r="J542" s="983"/>
      <c r="K542" s="986"/>
    </row>
    <row r="543" spans="1:11" s="1061" customFormat="1">
      <c r="A543" s="1245"/>
      <c r="C543" s="1246"/>
      <c r="D543" s="502"/>
      <c r="E543" s="1245"/>
      <c r="G543" s="1245"/>
      <c r="H543" s="1247"/>
      <c r="I543" s="1139"/>
      <c r="J543" s="983"/>
      <c r="K543" s="986"/>
    </row>
    <row r="544" spans="1:11" s="1061" customFormat="1">
      <c r="A544" s="1245"/>
      <c r="C544" s="1246"/>
      <c r="D544" s="502"/>
      <c r="E544" s="1245"/>
      <c r="G544" s="1245"/>
      <c r="H544" s="1247"/>
      <c r="I544" s="1139"/>
      <c r="J544" s="983"/>
      <c r="K544" s="986"/>
    </row>
    <row r="545" spans="1:11" s="1061" customFormat="1">
      <c r="A545" s="1245"/>
      <c r="C545" s="1246"/>
      <c r="D545" s="502"/>
      <c r="E545" s="1245"/>
      <c r="G545" s="1245"/>
      <c r="H545" s="1247"/>
      <c r="I545" s="1139"/>
      <c r="J545" s="983"/>
      <c r="K545" s="986"/>
    </row>
    <row r="546" spans="1:11" s="1061" customFormat="1">
      <c r="A546" s="1245"/>
      <c r="C546" s="1246"/>
      <c r="D546" s="502"/>
      <c r="E546" s="1245"/>
      <c r="G546" s="1245"/>
      <c r="H546" s="1247"/>
      <c r="I546" s="1139"/>
      <c r="J546" s="983"/>
      <c r="K546" s="986"/>
    </row>
    <row r="547" spans="1:11" s="1061" customFormat="1">
      <c r="A547" s="1245"/>
      <c r="C547" s="1246"/>
      <c r="D547" s="502"/>
      <c r="E547" s="1245"/>
      <c r="G547" s="1245"/>
      <c r="H547" s="1247"/>
      <c r="I547" s="1139"/>
      <c r="J547" s="983"/>
      <c r="K547" s="986"/>
    </row>
    <row r="548" spans="1:11" s="1061" customFormat="1">
      <c r="A548" s="1245"/>
      <c r="C548" s="1246"/>
      <c r="D548" s="502"/>
      <c r="E548" s="1245"/>
      <c r="G548" s="1245"/>
      <c r="H548" s="1247"/>
      <c r="I548" s="1139"/>
      <c r="J548" s="983"/>
      <c r="K548" s="986"/>
    </row>
    <row r="549" spans="1:11" s="1061" customFormat="1">
      <c r="A549" s="1245"/>
      <c r="C549" s="1246"/>
      <c r="D549" s="502"/>
      <c r="E549" s="1245"/>
      <c r="G549" s="1245"/>
      <c r="H549" s="1247"/>
      <c r="I549" s="1139"/>
      <c r="J549" s="983"/>
      <c r="K549" s="986"/>
    </row>
    <row r="550" spans="1:11" s="1061" customFormat="1">
      <c r="A550" s="1245"/>
      <c r="C550" s="1246"/>
      <c r="D550" s="502"/>
      <c r="E550" s="1245"/>
      <c r="G550" s="1245"/>
      <c r="H550" s="1247"/>
      <c r="I550" s="1139"/>
      <c r="J550" s="983"/>
      <c r="K550" s="986"/>
    </row>
    <row r="551" spans="1:11" s="1061" customFormat="1">
      <c r="A551" s="1245"/>
      <c r="C551" s="1246"/>
      <c r="D551" s="502"/>
      <c r="E551" s="1245"/>
      <c r="G551" s="1245"/>
      <c r="H551" s="1247"/>
      <c r="I551" s="1139"/>
      <c r="J551" s="983"/>
      <c r="K551" s="986"/>
    </row>
    <row r="552" spans="1:11" s="1061" customFormat="1">
      <c r="A552" s="1245"/>
      <c r="C552" s="1246"/>
      <c r="D552" s="502"/>
      <c r="E552" s="1245"/>
      <c r="G552" s="1245"/>
      <c r="H552" s="1247"/>
      <c r="I552" s="1139"/>
      <c r="J552" s="983"/>
      <c r="K552" s="986"/>
    </row>
    <row r="553" spans="1:11" s="1061" customFormat="1">
      <c r="A553" s="1245"/>
      <c r="C553" s="1246"/>
      <c r="D553" s="502"/>
      <c r="E553" s="1245"/>
      <c r="G553" s="1245"/>
      <c r="H553" s="1247"/>
      <c r="I553" s="1139"/>
      <c r="J553" s="983"/>
      <c r="K553" s="986"/>
    </row>
    <row r="554" spans="1:11" s="1061" customFormat="1">
      <c r="A554" s="1245"/>
      <c r="C554" s="1246"/>
      <c r="D554" s="502"/>
      <c r="E554" s="1245"/>
      <c r="G554" s="1245"/>
      <c r="H554" s="1247"/>
      <c r="I554" s="1139"/>
      <c r="J554" s="983"/>
      <c r="K554" s="986"/>
    </row>
    <row r="555" spans="1:11" s="1061" customFormat="1">
      <c r="A555" s="1245"/>
      <c r="C555" s="1246"/>
      <c r="D555" s="502"/>
      <c r="E555" s="1245"/>
      <c r="G555" s="1245"/>
      <c r="H555" s="1247"/>
      <c r="I555" s="1139"/>
      <c r="J555" s="983"/>
      <c r="K555" s="986"/>
    </row>
    <row r="556" spans="1:11" s="1061" customFormat="1">
      <c r="A556" s="1245"/>
      <c r="C556" s="1246"/>
      <c r="D556" s="502"/>
      <c r="E556" s="1245"/>
      <c r="G556" s="1245"/>
      <c r="H556" s="1247"/>
      <c r="I556" s="1139"/>
      <c r="J556" s="983"/>
      <c r="K556" s="986"/>
    </row>
    <row r="557" spans="1:11" s="1061" customFormat="1">
      <c r="A557" s="1245"/>
      <c r="C557" s="1246"/>
      <c r="D557" s="502"/>
      <c r="E557" s="1245"/>
      <c r="G557" s="1245"/>
      <c r="H557" s="1247"/>
      <c r="I557" s="1139"/>
      <c r="J557" s="983"/>
      <c r="K557" s="986"/>
    </row>
    <row r="558" spans="1:11" s="1061" customFormat="1">
      <c r="A558" s="1245"/>
      <c r="C558" s="1246"/>
      <c r="D558" s="502"/>
      <c r="E558" s="1245"/>
      <c r="G558" s="1245"/>
      <c r="H558" s="1247"/>
      <c r="I558" s="1139"/>
      <c r="J558" s="983"/>
      <c r="K558" s="986"/>
    </row>
    <row r="559" spans="1:11" s="1061" customFormat="1">
      <c r="A559" s="1245"/>
      <c r="C559" s="1246"/>
      <c r="D559" s="502"/>
      <c r="E559" s="1245"/>
      <c r="G559" s="1245"/>
      <c r="H559" s="1247"/>
      <c r="I559" s="1139"/>
      <c r="J559" s="983"/>
      <c r="K559" s="986"/>
    </row>
    <row r="560" spans="1:11" s="1061" customFormat="1">
      <c r="A560" s="1245"/>
      <c r="C560" s="1246"/>
      <c r="D560" s="502"/>
      <c r="E560" s="1245"/>
      <c r="G560" s="1245"/>
      <c r="H560" s="1247"/>
      <c r="I560" s="1139"/>
      <c r="J560" s="983"/>
      <c r="K560" s="986"/>
    </row>
    <row r="561" spans="1:11" s="1061" customFormat="1">
      <c r="A561" s="1245"/>
      <c r="C561" s="1246"/>
      <c r="D561" s="502"/>
      <c r="E561" s="1245"/>
      <c r="G561" s="1245"/>
      <c r="H561" s="1247"/>
      <c r="I561" s="1139"/>
      <c r="J561" s="983"/>
      <c r="K561" s="986"/>
    </row>
    <row r="562" spans="1:11" s="1061" customFormat="1">
      <c r="A562" s="1245"/>
      <c r="C562" s="1246"/>
      <c r="D562" s="502"/>
      <c r="E562" s="1245"/>
      <c r="G562" s="1245"/>
      <c r="H562" s="1247"/>
      <c r="I562" s="1139"/>
      <c r="J562" s="983"/>
      <c r="K562" s="986"/>
    </row>
    <row r="563" spans="1:11" s="1061" customFormat="1">
      <c r="A563" s="1245"/>
      <c r="C563" s="1246"/>
      <c r="D563" s="502"/>
      <c r="E563" s="1245"/>
      <c r="G563" s="1245"/>
      <c r="H563" s="1247"/>
      <c r="I563" s="1139"/>
      <c r="J563" s="983"/>
      <c r="K563" s="986"/>
    </row>
    <row r="564" spans="1:11" s="1061" customFormat="1">
      <c r="A564" s="1245"/>
      <c r="C564" s="1246"/>
      <c r="D564" s="502"/>
      <c r="E564" s="1245"/>
      <c r="G564" s="1245"/>
      <c r="H564" s="1247"/>
      <c r="I564" s="1139"/>
      <c r="J564" s="983"/>
      <c r="K564" s="986"/>
    </row>
    <row r="565" spans="1:11" s="1061" customFormat="1">
      <c r="A565" s="1245"/>
      <c r="C565" s="1246"/>
      <c r="D565" s="502"/>
      <c r="E565" s="1245"/>
      <c r="G565" s="1245"/>
      <c r="H565" s="1247"/>
      <c r="I565" s="1139"/>
      <c r="J565" s="983"/>
      <c r="K565" s="986"/>
    </row>
    <row r="566" spans="1:11" s="1061" customFormat="1">
      <c r="A566" s="1245"/>
      <c r="C566" s="1246"/>
      <c r="D566" s="502"/>
      <c r="E566" s="1245"/>
      <c r="G566" s="1245"/>
      <c r="H566" s="1247"/>
      <c r="I566" s="1139"/>
      <c r="J566" s="983"/>
      <c r="K566" s="986"/>
    </row>
    <row r="567" spans="1:11" s="1061" customFormat="1">
      <c r="A567" s="1245"/>
      <c r="C567" s="1246"/>
      <c r="D567" s="502"/>
      <c r="E567" s="1245"/>
      <c r="G567" s="1245"/>
      <c r="H567" s="1247"/>
      <c r="I567" s="1139"/>
      <c r="J567" s="983"/>
      <c r="K567" s="986"/>
    </row>
    <row r="568" spans="1:11" s="1061" customFormat="1">
      <c r="A568" s="1245"/>
      <c r="C568" s="1246"/>
      <c r="D568" s="502"/>
      <c r="E568" s="1245"/>
      <c r="G568" s="1245"/>
      <c r="H568" s="1247"/>
      <c r="I568" s="1139"/>
      <c r="J568" s="983"/>
      <c r="K568" s="986"/>
    </row>
    <row r="569" spans="1:11" s="1061" customFormat="1">
      <c r="A569" s="1245"/>
      <c r="C569" s="1246"/>
      <c r="D569" s="502"/>
      <c r="E569" s="1245"/>
      <c r="G569" s="1245"/>
      <c r="H569" s="1247"/>
      <c r="I569" s="1139"/>
      <c r="J569" s="983"/>
      <c r="K569" s="986"/>
    </row>
    <row r="570" spans="1:11" s="1061" customFormat="1">
      <c r="A570" s="1245"/>
      <c r="C570" s="1246"/>
      <c r="D570" s="502"/>
      <c r="E570" s="1245"/>
      <c r="G570" s="1245"/>
      <c r="H570" s="1247"/>
      <c r="I570" s="1139"/>
      <c r="J570" s="983"/>
      <c r="K570" s="986"/>
    </row>
    <row r="571" spans="1:11" s="1061" customFormat="1">
      <c r="A571" s="1245"/>
      <c r="C571" s="1246"/>
      <c r="D571" s="502"/>
      <c r="E571" s="1245"/>
      <c r="G571" s="1245"/>
      <c r="H571" s="1247"/>
      <c r="I571" s="1139"/>
      <c r="J571" s="983"/>
      <c r="K571" s="986"/>
    </row>
    <row r="572" spans="1:11" s="1061" customFormat="1">
      <c r="A572" s="1245"/>
      <c r="C572" s="1246"/>
      <c r="D572" s="502"/>
      <c r="E572" s="1245"/>
      <c r="G572" s="1245"/>
      <c r="H572" s="1247"/>
      <c r="I572" s="1139"/>
      <c r="J572" s="983"/>
      <c r="K572" s="986"/>
    </row>
    <row r="573" spans="1:11" s="1061" customFormat="1">
      <c r="A573" s="1245"/>
      <c r="C573" s="1246"/>
      <c r="D573" s="502"/>
      <c r="E573" s="1245"/>
      <c r="G573" s="1245"/>
      <c r="H573" s="1247"/>
      <c r="I573" s="1139"/>
      <c r="J573" s="983"/>
      <c r="K573" s="986"/>
    </row>
    <row r="574" spans="1:11" s="1061" customFormat="1">
      <c r="A574" s="1245"/>
      <c r="C574" s="1246"/>
      <c r="D574" s="502"/>
      <c r="E574" s="1245"/>
      <c r="G574" s="1245"/>
      <c r="H574" s="1247"/>
      <c r="I574" s="1139"/>
      <c r="J574" s="983"/>
      <c r="K574" s="986"/>
    </row>
    <row r="575" spans="1:11" s="1061" customFormat="1">
      <c r="A575" s="1245"/>
      <c r="C575" s="1246"/>
      <c r="D575" s="502"/>
      <c r="E575" s="1245"/>
      <c r="G575" s="1245"/>
      <c r="H575" s="1247"/>
      <c r="I575" s="1139"/>
      <c r="J575" s="983"/>
      <c r="K575" s="986"/>
    </row>
    <row r="576" spans="1:11" s="1061" customFormat="1">
      <c r="A576" s="1245"/>
      <c r="C576" s="1246"/>
      <c r="D576" s="502"/>
      <c r="E576" s="1245"/>
      <c r="G576" s="1245"/>
      <c r="H576" s="1247"/>
      <c r="I576" s="1139"/>
      <c r="J576" s="983"/>
      <c r="K576" s="986"/>
    </row>
    <row r="577" spans="1:11" s="1061" customFormat="1">
      <c r="A577" s="1245"/>
      <c r="C577" s="1246"/>
      <c r="D577" s="502"/>
      <c r="E577" s="1245"/>
      <c r="G577" s="1245"/>
      <c r="H577" s="1247"/>
      <c r="I577" s="1139"/>
      <c r="J577" s="983"/>
      <c r="K577" s="986"/>
    </row>
    <row r="578" spans="1:11" s="1061" customFormat="1">
      <c r="A578" s="1245"/>
      <c r="C578" s="1246"/>
      <c r="D578" s="502"/>
      <c r="E578" s="1245"/>
      <c r="G578" s="1245"/>
      <c r="H578" s="1247"/>
      <c r="I578" s="1139"/>
      <c r="J578" s="983"/>
      <c r="K578" s="986"/>
    </row>
    <row r="579" spans="1:11" s="1061" customFormat="1">
      <c r="A579" s="1245"/>
      <c r="C579" s="1246"/>
      <c r="D579" s="502"/>
      <c r="E579" s="1245"/>
      <c r="G579" s="1245"/>
      <c r="H579" s="1247"/>
      <c r="I579" s="1139"/>
      <c r="J579" s="983"/>
      <c r="K579" s="986"/>
    </row>
    <row r="580" spans="1:11" s="1061" customFormat="1">
      <c r="A580" s="1245"/>
      <c r="C580" s="1246"/>
      <c r="D580" s="502"/>
      <c r="E580" s="1245"/>
      <c r="G580" s="1245"/>
      <c r="H580" s="1247"/>
      <c r="I580" s="1139"/>
      <c r="J580" s="983"/>
      <c r="K580" s="986"/>
    </row>
    <row r="581" spans="1:11" s="1061" customFormat="1">
      <c r="A581" s="1245"/>
      <c r="C581" s="1246"/>
      <c r="D581" s="502"/>
      <c r="E581" s="1245"/>
      <c r="G581" s="1245"/>
      <c r="H581" s="1247"/>
      <c r="I581" s="1139"/>
      <c r="J581" s="983"/>
      <c r="K581" s="986"/>
    </row>
    <row r="582" spans="1:11" s="1061" customFormat="1">
      <c r="A582" s="1245"/>
      <c r="C582" s="1246"/>
      <c r="D582" s="502"/>
      <c r="E582" s="1245"/>
      <c r="G582" s="1245"/>
      <c r="H582" s="1247"/>
      <c r="I582" s="1139"/>
      <c r="J582" s="983"/>
      <c r="K582" s="986"/>
    </row>
    <row r="583" spans="1:11" s="1061" customFormat="1">
      <c r="A583" s="1245"/>
      <c r="C583" s="1246"/>
      <c r="D583" s="502"/>
      <c r="E583" s="1245"/>
      <c r="G583" s="1245"/>
      <c r="H583" s="1247"/>
      <c r="I583" s="1139"/>
      <c r="J583" s="983"/>
      <c r="K583" s="986"/>
    </row>
    <row r="584" spans="1:11" s="1061" customFormat="1">
      <c r="A584" s="1245"/>
      <c r="C584" s="1246"/>
      <c r="D584" s="502"/>
      <c r="E584" s="1245"/>
      <c r="G584" s="1245"/>
      <c r="H584" s="1247"/>
      <c r="I584" s="1139"/>
      <c r="J584" s="983"/>
      <c r="K584" s="986"/>
    </row>
    <row r="585" spans="1:11" s="1061" customFormat="1">
      <c r="A585" s="1245"/>
      <c r="C585" s="1246"/>
      <c r="D585" s="502"/>
      <c r="E585" s="1245"/>
      <c r="G585" s="1245"/>
      <c r="H585" s="1247"/>
      <c r="I585" s="1139"/>
      <c r="J585" s="983"/>
      <c r="K585" s="986"/>
    </row>
    <row r="586" spans="1:11" s="1061" customFormat="1">
      <c r="A586" s="1245"/>
      <c r="C586" s="1246"/>
      <c r="D586" s="502"/>
      <c r="E586" s="1245"/>
      <c r="G586" s="1245"/>
      <c r="H586" s="1247"/>
      <c r="I586" s="1139"/>
      <c r="J586" s="983"/>
      <c r="K586" s="986"/>
    </row>
    <row r="587" spans="1:11" s="1061" customFormat="1">
      <c r="A587" s="1245"/>
      <c r="C587" s="1246"/>
      <c r="D587" s="502"/>
      <c r="E587" s="1245"/>
      <c r="G587" s="1245"/>
      <c r="H587" s="1247"/>
      <c r="I587" s="1139"/>
      <c r="J587" s="983"/>
      <c r="K587" s="986"/>
    </row>
    <row r="588" spans="1:11" s="1061" customFormat="1">
      <c r="A588" s="1245"/>
      <c r="C588" s="1246"/>
      <c r="D588" s="502"/>
      <c r="E588" s="1245"/>
      <c r="G588" s="1245"/>
      <c r="H588" s="1247"/>
      <c r="I588" s="1139"/>
      <c r="J588" s="983"/>
      <c r="K588" s="986"/>
    </row>
    <row r="589" spans="1:11" s="1061" customFormat="1">
      <c r="A589" s="1245"/>
      <c r="C589" s="1246"/>
      <c r="D589" s="502"/>
      <c r="E589" s="1245"/>
      <c r="G589" s="1245"/>
      <c r="H589" s="1247"/>
      <c r="I589" s="1139"/>
      <c r="J589" s="983"/>
      <c r="K589" s="986"/>
    </row>
    <row r="590" spans="1:11" s="1061" customFormat="1">
      <c r="A590" s="1245"/>
      <c r="C590" s="1246"/>
      <c r="D590" s="502"/>
      <c r="E590" s="1245"/>
      <c r="G590" s="1245"/>
      <c r="H590" s="1247"/>
      <c r="I590" s="1139"/>
      <c r="J590" s="983"/>
      <c r="K590" s="986"/>
    </row>
    <row r="591" spans="1:11" s="1061" customFormat="1">
      <c r="A591" s="1245"/>
      <c r="C591" s="1246"/>
      <c r="D591" s="502"/>
      <c r="E591" s="1245"/>
      <c r="G591" s="1245"/>
      <c r="H591" s="1247"/>
      <c r="I591" s="1139"/>
      <c r="J591" s="983"/>
      <c r="K591" s="986"/>
    </row>
    <row r="592" spans="1:11" s="1061" customFormat="1">
      <c r="A592" s="1245"/>
      <c r="C592" s="1246"/>
      <c r="D592" s="502"/>
      <c r="E592" s="1245"/>
      <c r="G592" s="1245"/>
      <c r="H592" s="1247"/>
      <c r="I592" s="1139"/>
      <c r="J592" s="983"/>
      <c r="K592" s="986"/>
    </row>
    <row r="593" spans="1:11" s="1061" customFormat="1">
      <c r="A593" s="1245"/>
      <c r="C593" s="1246"/>
      <c r="D593" s="502"/>
      <c r="E593" s="1245"/>
      <c r="G593" s="1245"/>
      <c r="H593" s="1247"/>
      <c r="I593" s="1139"/>
      <c r="J593" s="983"/>
      <c r="K593" s="986"/>
    </row>
    <row r="594" spans="1:11" s="1061" customFormat="1">
      <c r="A594" s="1245"/>
      <c r="C594" s="1246"/>
      <c r="D594" s="502"/>
      <c r="E594" s="1245"/>
      <c r="G594" s="1245"/>
      <c r="H594" s="1247"/>
      <c r="I594" s="1139"/>
      <c r="J594" s="983"/>
      <c r="K594" s="986"/>
    </row>
    <row r="595" spans="1:11" s="1061" customFormat="1">
      <c r="A595" s="1245"/>
      <c r="C595" s="1246"/>
      <c r="D595" s="502"/>
      <c r="E595" s="1245"/>
      <c r="G595" s="1245"/>
      <c r="H595" s="1247"/>
      <c r="I595" s="1139"/>
      <c r="J595" s="983"/>
      <c r="K595" s="986"/>
    </row>
    <row r="596" spans="1:11" s="1061" customFormat="1">
      <c r="A596" s="1245"/>
      <c r="C596" s="1246"/>
      <c r="D596" s="502"/>
      <c r="E596" s="1245"/>
      <c r="G596" s="1245"/>
      <c r="H596" s="1247"/>
      <c r="I596" s="1139"/>
      <c r="J596" s="983"/>
      <c r="K596" s="986"/>
    </row>
    <row r="597" spans="1:11" s="1061" customFormat="1">
      <c r="A597" s="1245"/>
      <c r="C597" s="1246"/>
      <c r="D597" s="502"/>
      <c r="E597" s="1245"/>
      <c r="G597" s="1245"/>
      <c r="H597" s="1247"/>
      <c r="I597" s="1139"/>
      <c r="J597" s="983"/>
      <c r="K597" s="986"/>
    </row>
    <row r="598" spans="1:11" s="1061" customFormat="1">
      <c r="A598" s="1245"/>
      <c r="C598" s="1246"/>
      <c r="D598" s="502"/>
      <c r="E598" s="1245"/>
      <c r="G598" s="1245"/>
      <c r="H598" s="1247"/>
      <c r="I598" s="1139"/>
      <c r="J598" s="983"/>
      <c r="K598" s="986"/>
    </row>
    <row r="599" spans="1:11" s="1061" customFormat="1">
      <c r="A599" s="1245"/>
      <c r="C599" s="1246"/>
      <c r="D599" s="502"/>
      <c r="E599" s="1245"/>
      <c r="G599" s="1245"/>
      <c r="H599" s="1247"/>
      <c r="I599" s="1139"/>
      <c r="J599" s="983"/>
      <c r="K599" s="986"/>
    </row>
    <row r="600" spans="1:11" s="1061" customFormat="1">
      <c r="A600" s="1245"/>
      <c r="C600" s="1246"/>
      <c r="D600" s="502"/>
      <c r="E600" s="1245"/>
      <c r="G600" s="1245"/>
      <c r="H600" s="1247"/>
      <c r="I600" s="1139"/>
      <c r="J600" s="983"/>
      <c r="K600" s="986"/>
    </row>
    <row r="601" spans="1:11" s="1061" customFormat="1">
      <c r="A601" s="1245"/>
      <c r="C601" s="1246"/>
      <c r="D601" s="502"/>
      <c r="E601" s="1245"/>
      <c r="G601" s="1245"/>
      <c r="H601" s="1247"/>
      <c r="I601" s="1139"/>
      <c r="J601" s="983"/>
      <c r="K601" s="986"/>
    </row>
    <row r="602" spans="1:11" s="1061" customFormat="1">
      <c r="A602" s="1245"/>
      <c r="C602" s="1246"/>
      <c r="D602" s="502"/>
      <c r="E602" s="1245"/>
      <c r="G602" s="1245"/>
      <c r="H602" s="1247"/>
      <c r="I602" s="1139"/>
      <c r="J602" s="983"/>
      <c r="K602" s="986"/>
    </row>
    <row r="603" spans="1:11" s="1061" customFormat="1">
      <c r="A603" s="1245"/>
      <c r="C603" s="1246"/>
      <c r="D603" s="502"/>
      <c r="E603" s="1245"/>
      <c r="G603" s="1245"/>
      <c r="H603" s="1247"/>
      <c r="I603" s="1139"/>
      <c r="J603" s="983"/>
      <c r="K603" s="986"/>
    </row>
    <row r="604" spans="1:11" s="1061" customFormat="1">
      <c r="A604" s="1245"/>
      <c r="C604" s="1246"/>
      <c r="D604" s="502"/>
      <c r="E604" s="1245"/>
      <c r="G604" s="1245"/>
      <c r="H604" s="1247"/>
      <c r="I604" s="1139"/>
      <c r="J604" s="983"/>
      <c r="K604" s="986"/>
    </row>
    <row r="605" spans="1:11" s="1061" customFormat="1">
      <c r="A605" s="1245"/>
      <c r="C605" s="1246"/>
      <c r="D605" s="502"/>
      <c r="E605" s="1245"/>
      <c r="G605" s="1245"/>
      <c r="H605" s="1247"/>
      <c r="I605" s="1139"/>
      <c r="J605" s="983"/>
      <c r="K605" s="986"/>
    </row>
    <row r="606" spans="1:11" s="1061" customFormat="1">
      <c r="A606" s="1245"/>
      <c r="C606" s="1246"/>
      <c r="D606" s="502"/>
      <c r="E606" s="1245"/>
      <c r="G606" s="1245"/>
      <c r="H606" s="1247"/>
      <c r="I606" s="1139"/>
      <c r="J606" s="983"/>
      <c r="K606" s="986"/>
    </row>
    <row r="607" spans="1:11" s="1061" customFormat="1">
      <c r="A607" s="1245"/>
      <c r="C607" s="1246"/>
      <c r="D607" s="502"/>
      <c r="E607" s="1245"/>
      <c r="G607" s="1245"/>
      <c r="H607" s="1247"/>
      <c r="I607" s="1139"/>
      <c r="J607" s="983"/>
      <c r="K607" s="986"/>
    </row>
    <row r="608" spans="1:11" s="1061" customFormat="1">
      <c r="A608" s="1245"/>
      <c r="C608" s="1246"/>
      <c r="D608" s="502"/>
      <c r="E608" s="1245"/>
      <c r="G608" s="1245"/>
      <c r="H608" s="1247"/>
      <c r="I608" s="1139"/>
      <c r="J608" s="983"/>
      <c r="K608" s="986"/>
    </row>
    <row r="609" spans="1:11" s="1061" customFormat="1">
      <c r="A609" s="1245"/>
      <c r="C609" s="1246"/>
      <c r="D609" s="502"/>
      <c r="E609" s="1245"/>
      <c r="G609" s="1245"/>
      <c r="H609" s="1247"/>
      <c r="I609" s="1139"/>
      <c r="J609" s="983"/>
      <c r="K609" s="986"/>
    </row>
    <row r="610" spans="1:11" s="1061" customFormat="1">
      <c r="A610" s="1245"/>
      <c r="C610" s="1246"/>
      <c r="D610" s="502"/>
      <c r="E610" s="1245"/>
      <c r="G610" s="1245"/>
      <c r="H610" s="1247"/>
      <c r="I610" s="1139"/>
      <c r="J610" s="983"/>
      <c r="K610" s="986"/>
    </row>
    <row r="611" spans="1:11" s="1061" customFormat="1">
      <c r="A611" s="1245"/>
      <c r="C611" s="1246"/>
      <c r="D611" s="502"/>
      <c r="E611" s="1245"/>
      <c r="G611" s="1245"/>
      <c r="H611" s="1247"/>
      <c r="I611" s="1139"/>
      <c r="J611" s="983"/>
      <c r="K611" s="986"/>
    </row>
    <row r="612" spans="1:11" s="1061" customFormat="1">
      <c r="A612" s="1245"/>
      <c r="C612" s="1246"/>
      <c r="D612" s="502"/>
      <c r="E612" s="1245"/>
      <c r="G612" s="1245"/>
      <c r="H612" s="1247"/>
      <c r="I612" s="1139"/>
      <c r="J612" s="983"/>
      <c r="K612" s="986"/>
    </row>
    <row r="613" spans="1:11" s="1061" customFormat="1">
      <c r="A613" s="1245"/>
      <c r="C613" s="1246"/>
      <c r="D613" s="502"/>
      <c r="E613" s="1245"/>
      <c r="G613" s="1245"/>
      <c r="H613" s="1247"/>
      <c r="I613" s="1139"/>
      <c r="J613" s="983"/>
      <c r="K613" s="986"/>
    </row>
    <row r="614" spans="1:11" s="1061" customFormat="1">
      <c r="A614" s="1245"/>
      <c r="C614" s="1246"/>
      <c r="D614" s="502"/>
      <c r="E614" s="1245"/>
      <c r="G614" s="1245"/>
      <c r="H614" s="1247"/>
      <c r="I614" s="1139"/>
      <c r="J614" s="983"/>
      <c r="K614" s="986"/>
    </row>
    <row r="615" spans="1:11" s="1061" customFormat="1">
      <c r="A615" s="1245"/>
      <c r="C615" s="1246"/>
      <c r="D615" s="502"/>
      <c r="E615" s="1245"/>
      <c r="G615" s="1245"/>
      <c r="H615" s="1247"/>
      <c r="I615" s="1139"/>
      <c r="J615" s="983"/>
      <c r="K615" s="986"/>
    </row>
    <row r="616" spans="1:11" s="1061" customFormat="1">
      <c r="A616" s="1245"/>
      <c r="C616" s="1246"/>
      <c r="D616" s="502"/>
      <c r="E616" s="1245"/>
      <c r="G616" s="1245"/>
      <c r="H616" s="1247"/>
      <c r="I616" s="1139"/>
      <c r="J616" s="983"/>
      <c r="K616" s="986"/>
    </row>
    <row r="617" spans="1:11" s="1061" customFormat="1">
      <c r="A617" s="1245"/>
      <c r="C617" s="1246"/>
      <c r="D617" s="502"/>
      <c r="E617" s="1245"/>
      <c r="G617" s="1245"/>
      <c r="H617" s="1247"/>
      <c r="I617" s="1139"/>
      <c r="J617" s="983"/>
      <c r="K617" s="986"/>
    </row>
    <row r="618" spans="1:11" s="1061" customFormat="1">
      <c r="A618" s="1245"/>
      <c r="C618" s="1246"/>
      <c r="D618" s="502"/>
      <c r="E618" s="1245"/>
      <c r="G618" s="1245"/>
      <c r="H618" s="1247"/>
      <c r="I618" s="1139"/>
      <c r="J618" s="983"/>
      <c r="K618" s="986"/>
    </row>
    <row r="619" spans="1:11" s="1061" customFormat="1">
      <c r="A619" s="1245"/>
      <c r="C619" s="1246"/>
      <c r="D619" s="502"/>
      <c r="E619" s="1245"/>
      <c r="G619" s="1245"/>
      <c r="H619" s="1247"/>
      <c r="I619" s="1139"/>
      <c r="J619" s="983"/>
      <c r="K619" s="986"/>
    </row>
    <row r="620" spans="1:11" s="1061" customFormat="1">
      <c r="A620" s="1245"/>
      <c r="C620" s="1246"/>
      <c r="D620" s="502"/>
      <c r="E620" s="1245"/>
      <c r="G620" s="1245"/>
      <c r="H620" s="1247"/>
      <c r="I620" s="1139"/>
      <c r="J620" s="983"/>
      <c r="K620" s="986"/>
    </row>
    <row r="621" spans="1:11" s="1061" customFormat="1">
      <c r="A621" s="1245"/>
      <c r="C621" s="1246"/>
      <c r="D621" s="502"/>
      <c r="E621" s="1245"/>
      <c r="G621" s="1245"/>
      <c r="H621" s="1247"/>
      <c r="I621" s="1139"/>
      <c r="J621" s="983"/>
      <c r="K621" s="986"/>
    </row>
    <row r="622" spans="1:11" s="1061" customFormat="1">
      <c r="A622" s="1245"/>
      <c r="C622" s="1246"/>
      <c r="D622" s="502"/>
      <c r="E622" s="1245"/>
      <c r="G622" s="1245"/>
      <c r="H622" s="1247"/>
      <c r="I622" s="1139"/>
      <c r="J622" s="983"/>
      <c r="K622" s="986"/>
    </row>
    <row r="623" spans="1:11" s="1061" customFormat="1">
      <c r="A623" s="1245"/>
      <c r="C623" s="1246"/>
      <c r="D623" s="502"/>
      <c r="E623" s="1245"/>
      <c r="G623" s="1245"/>
      <c r="H623" s="1247"/>
      <c r="I623" s="1139"/>
      <c r="J623" s="983"/>
      <c r="K623" s="986"/>
    </row>
    <row r="624" spans="1:11" s="1061" customFormat="1">
      <c r="A624" s="1245"/>
      <c r="C624" s="1246"/>
      <c r="D624" s="502"/>
      <c r="E624" s="1245"/>
      <c r="G624" s="1245"/>
      <c r="H624" s="1247"/>
      <c r="I624" s="1139"/>
      <c r="J624" s="983"/>
      <c r="K624" s="986"/>
    </row>
    <row r="625" spans="1:11" s="1061" customFormat="1">
      <c r="A625" s="1245"/>
      <c r="C625" s="1246"/>
      <c r="D625" s="502"/>
      <c r="E625" s="1245"/>
      <c r="G625" s="1245"/>
      <c r="H625" s="1247"/>
      <c r="I625" s="1139"/>
      <c r="J625" s="983"/>
      <c r="K625" s="986"/>
    </row>
    <row r="626" spans="1:11" s="1061" customFormat="1">
      <c r="A626" s="1245"/>
      <c r="C626" s="1246"/>
      <c r="D626" s="502"/>
      <c r="E626" s="1245"/>
      <c r="G626" s="1245"/>
      <c r="H626" s="1247"/>
      <c r="I626" s="1139"/>
      <c r="J626" s="983"/>
      <c r="K626" s="986"/>
    </row>
    <row r="627" spans="1:11" s="1061" customFormat="1">
      <c r="A627" s="1245"/>
      <c r="C627" s="1246"/>
      <c r="D627" s="502"/>
      <c r="E627" s="1245"/>
      <c r="G627" s="1245"/>
      <c r="H627" s="1247"/>
      <c r="I627" s="1139"/>
      <c r="J627" s="983"/>
      <c r="K627" s="986"/>
    </row>
    <row r="628" spans="1:11" s="1061" customFormat="1">
      <c r="A628" s="1245"/>
      <c r="C628" s="1246"/>
      <c r="D628" s="502"/>
      <c r="E628" s="1245"/>
      <c r="G628" s="1245"/>
      <c r="H628" s="1247"/>
      <c r="I628" s="1139"/>
      <c r="J628" s="983"/>
      <c r="K628" s="986"/>
    </row>
    <row r="629" spans="1:11" s="1061" customFormat="1">
      <c r="A629" s="1245"/>
      <c r="C629" s="1246"/>
      <c r="D629" s="502"/>
      <c r="E629" s="1245"/>
      <c r="G629" s="1245"/>
      <c r="H629" s="1247"/>
      <c r="I629" s="1139"/>
      <c r="J629" s="983"/>
      <c r="K629" s="986"/>
    </row>
    <row r="630" spans="1:11" s="1061" customFormat="1">
      <c r="A630" s="1245"/>
      <c r="C630" s="1246"/>
      <c r="D630" s="502"/>
      <c r="E630" s="1245"/>
      <c r="G630" s="1245"/>
      <c r="H630" s="1247"/>
      <c r="I630" s="1139"/>
      <c r="J630" s="983"/>
      <c r="K630" s="986"/>
    </row>
    <row r="631" spans="1:11" s="1061" customFormat="1">
      <c r="A631" s="1245"/>
      <c r="C631" s="1246"/>
      <c r="D631" s="502"/>
      <c r="E631" s="1245"/>
      <c r="G631" s="1245"/>
      <c r="H631" s="1247"/>
      <c r="I631" s="1139"/>
      <c r="J631" s="983"/>
      <c r="K631" s="986"/>
    </row>
    <row r="632" spans="1:11" s="1061" customFormat="1">
      <c r="A632" s="1245"/>
      <c r="C632" s="1246"/>
      <c r="D632" s="502"/>
      <c r="E632" s="1245"/>
      <c r="G632" s="1245"/>
      <c r="H632" s="1247"/>
      <c r="I632" s="1139"/>
      <c r="J632" s="983"/>
      <c r="K632" s="986"/>
    </row>
    <row r="633" spans="1:11" s="1061" customFormat="1">
      <c r="A633" s="1245"/>
      <c r="C633" s="1246"/>
      <c r="D633" s="502"/>
      <c r="E633" s="1245"/>
      <c r="G633" s="1245"/>
      <c r="H633" s="1247"/>
      <c r="I633" s="1139"/>
      <c r="J633" s="983"/>
      <c r="K633" s="986"/>
    </row>
    <row r="634" spans="1:11" s="1061" customFormat="1">
      <c r="A634" s="1245"/>
      <c r="C634" s="1246"/>
      <c r="D634" s="502"/>
      <c r="E634" s="1245"/>
      <c r="G634" s="1245"/>
      <c r="H634" s="1247"/>
      <c r="I634" s="1139"/>
      <c r="J634" s="983"/>
      <c r="K634" s="986"/>
    </row>
    <row r="635" spans="1:11" s="1061" customFormat="1">
      <c r="A635" s="1245"/>
      <c r="C635" s="1246"/>
      <c r="D635" s="502"/>
      <c r="E635" s="1245"/>
      <c r="G635" s="1245"/>
      <c r="H635" s="1247"/>
      <c r="I635" s="1139"/>
      <c r="J635" s="983"/>
      <c r="K635" s="986"/>
    </row>
    <row r="636" spans="1:11" s="1061" customFormat="1">
      <c r="A636" s="1245"/>
      <c r="C636" s="1246"/>
      <c r="D636" s="502"/>
      <c r="E636" s="1245"/>
      <c r="G636" s="1245"/>
      <c r="H636" s="1247"/>
      <c r="I636" s="1139"/>
      <c r="J636" s="983"/>
      <c r="K636" s="986"/>
    </row>
    <row r="637" spans="1:11" s="1061" customFormat="1">
      <c r="A637" s="1245"/>
      <c r="C637" s="1246"/>
      <c r="D637" s="502"/>
      <c r="E637" s="1245"/>
      <c r="G637" s="1245"/>
      <c r="H637" s="1247"/>
      <c r="I637" s="1139"/>
      <c r="J637" s="983"/>
      <c r="K637" s="986"/>
    </row>
    <row r="638" spans="1:11" s="1061" customFormat="1">
      <c r="A638" s="1245"/>
      <c r="C638" s="1246"/>
      <c r="D638" s="502"/>
      <c r="E638" s="1245"/>
      <c r="G638" s="1245"/>
      <c r="H638" s="1247"/>
      <c r="I638" s="1139"/>
      <c r="J638" s="983"/>
      <c r="K638" s="986"/>
    </row>
    <row r="639" spans="1:11" s="1061" customFormat="1">
      <c r="A639" s="1245"/>
      <c r="C639" s="1246"/>
      <c r="D639" s="502"/>
      <c r="E639" s="1245"/>
      <c r="G639" s="1245"/>
      <c r="H639" s="1247"/>
      <c r="I639" s="1139"/>
      <c r="J639" s="983"/>
      <c r="K639" s="986"/>
    </row>
    <row r="640" spans="1:11" s="1061" customFormat="1">
      <c r="A640" s="1245"/>
      <c r="C640" s="1246"/>
      <c r="D640" s="502"/>
      <c r="E640" s="1245"/>
      <c r="G640" s="1245"/>
      <c r="H640" s="1247"/>
      <c r="I640" s="1139"/>
      <c r="J640" s="983"/>
      <c r="K640" s="986"/>
    </row>
    <row r="641" spans="1:11" s="1061" customFormat="1">
      <c r="A641" s="1245"/>
      <c r="C641" s="1246"/>
      <c r="D641" s="502"/>
      <c r="E641" s="1245"/>
      <c r="G641" s="1245"/>
      <c r="H641" s="1247"/>
      <c r="I641" s="1139"/>
      <c r="J641" s="983"/>
      <c r="K641" s="986"/>
    </row>
    <row r="642" spans="1:11" s="1061" customFormat="1">
      <c r="A642" s="1245"/>
      <c r="C642" s="1246"/>
      <c r="D642" s="502"/>
      <c r="E642" s="1245"/>
      <c r="G642" s="1245"/>
      <c r="H642" s="1247"/>
      <c r="I642" s="1139"/>
      <c r="J642" s="983"/>
      <c r="K642" s="986"/>
    </row>
    <row r="643" spans="1:11" s="1061" customFormat="1">
      <c r="A643" s="1245"/>
      <c r="C643" s="1246"/>
      <c r="D643" s="502"/>
      <c r="E643" s="1245"/>
      <c r="G643" s="1245"/>
      <c r="H643" s="1247"/>
      <c r="I643" s="1139"/>
      <c r="J643" s="983"/>
      <c r="K643" s="986"/>
    </row>
    <row r="644" spans="1:11" s="1061" customFormat="1">
      <c r="A644" s="1245"/>
      <c r="C644" s="1246"/>
      <c r="D644" s="502"/>
      <c r="E644" s="1245"/>
      <c r="G644" s="1245"/>
      <c r="H644" s="1247"/>
      <c r="I644" s="1139"/>
      <c r="J644" s="983"/>
      <c r="K644" s="986"/>
    </row>
    <row r="645" spans="1:11" s="1061" customFormat="1">
      <c r="A645" s="1245"/>
      <c r="C645" s="1246"/>
      <c r="D645" s="502"/>
      <c r="E645" s="1245"/>
      <c r="G645" s="1245"/>
      <c r="H645" s="1247"/>
      <c r="I645" s="1139"/>
      <c r="J645" s="983"/>
      <c r="K645" s="986"/>
    </row>
    <row r="646" spans="1:11" s="1061" customFormat="1">
      <c r="A646" s="1245"/>
      <c r="C646" s="1246"/>
      <c r="D646" s="502"/>
      <c r="E646" s="1245"/>
      <c r="G646" s="1245"/>
      <c r="H646" s="1247"/>
      <c r="I646" s="1139"/>
      <c r="J646" s="983"/>
      <c r="K646" s="986"/>
    </row>
    <row r="647" spans="1:11" s="1061" customFormat="1">
      <c r="A647" s="1245"/>
      <c r="C647" s="1246"/>
      <c r="D647" s="502"/>
      <c r="E647" s="1245"/>
      <c r="G647" s="1245"/>
      <c r="H647" s="1247"/>
      <c r="I647" s="1139"/>
      <c r="J647" s="983"/>
      <c r="K647" s="986"/>
    </row>
    <row r="648" spans="1:11" s="1061" customFormat="1">
      <c r="A648" s="1245"/>
      <c r="C648" s="1246"/>
      <c r="D648" s="502"/>
      <c r="E648" s="1245"/>
      <c r="G648" s="1245"/>
      <c r="H648" s="1247"/>
      <c r="I648" s="1139"/>
      <c r="J648" s="983"/>
      <c r="K648" s="986"/>
    </row>
    <row r="649" spans="1:11" s="1061" customFormat="1">
      <c r="A649" s="1245"/>
      <c r="C649" s="1246"/>
      <c r="D649" s="502"/>
      <c r="E649" s="1245"/>
      <c r="G649" s="1245"/>
      <c r="H649" s="1247"/>
      <c r="I649" s="1139"/>
      <c r="J649" s="983"/>
      <c r="K649" s="986"/>
    </row>
    <row r="650" spans="1:11" s="1061" customFormat="1">
      <c r="A650" s="1245"/>
      <c r="C650" s="1246"/>
      <c r="D650" s="502"/>
      <c r="E650" s="1245"/>
      <c r="G650" s="1245"/>
      <c r="H650" s="1247"/>
      <c r="I650" s="1139"/>
      <c r="J650" s="983"/>
      <c r="K650" s="986"/>
    </row>
    <row r="651" spans="1:11" s="1061" customFormat="1">
      <c r="A651" s="1245"/>
      <c r="C651" s="1246"/>
      <c r="D651" s="502"/>
      <c r="E651" s="1245"/>
      <c r="G651" s="1245"/>
      <c r="H651" s="1247"/>
      <c r="I651" s="1139"/>
      <c r="J651" s="983"/>
      <c r="K651" s="986"/>
    </row>
    <row r="652" spans="1:11" s="1061" customFormat="1">
      <c r="A652" s="1245"/>
      <c r="C652" s="1246"/>
      <c r="D652" s="502"/>
      <c r="E652" s="1245"/>
      <c r="G652" s="1245"/>
      <c r="H652" s="1247"/>
      <c r="I652" s="1139"/>
      <c r="J652" s="983"/>
      <c r="K652" s="986"/>
    </row>
    <row r="653" spans="1:11" s="1061" customFormat="1">
      <c r="A653" s="1245"/>
      <c r="C653" s="1246"/>
      <c r="D653" s="502"/>
      <c r="E653" s="1245"/>
      <c r="G653" s="1245"/>
      <c r="H653" s="1247"/>
      <c r="I653" s="1139"/>
      <c r="J653" s="983"/>
      <c r="K653" s="986"/>
    </row>
    <row r="654" spans="1:11" s="1061" customFormat="1">
      <c r="A654" s="1245"/>
      <c r="C654" s="1246"/>
      <c r="D654" s="502"/>
      <c r="E654" s="1245"/>
      <c r="G654" s="1245"/>
      <c r="H654" s="1247"/>
      <c r="I654" s="1139"/>
      <c r="J654" s="983"/>
      <c r="K654" s="986"/>
    </row>
    <row r="655" spans="1:11" s="1061" customFormat="1">
      <c r="A655" s="1245"/>
      <c r="C655" s="1246"/>
      <c r="D655" s="502"/>
      <c r="E655" s="1245"/>
      <c r="G655" s="1245"/>
      <c r="H655" s="1247"/>
      <c r="I655" s="1139"/>
      <c r="J655" s="983"/>
      <c r="K655" s="986"/>
    </row>
    <row r="656" spans="1:11" s="1061" customFormat="1">
      <c r="A656" s="1245"/>
      <c r="C656" s="1246"/>
      <c r="D656" s="502"/>
      <c r="E656" s="1245"/>
      <c r="G656" s="1245"/>
      <c r="H656" s="1247"/>
      <c r="I656" s="1139"/>
      <c r="J656" s="983"/>
      <c r="K656" s="986"/>
    </row>
    <row r="657" spans="1:11" s="1061" customFormat="1">
      <c r="A657" s="1245"/>
      <c r="C657" s="1246"/>
      <c r="D657" s="502"/>
      <c r="E657" s="1245"/>
      <c r="G657" s="1245"/>
      <c r="H657" s="1247"/>
      <c r="I657" s="1139"/>
      <c r="J657" s="983"/>
      <c r="K657" s="986"/>
    </row>
    <row r="658" spans="1:11" s="1061" customFormat="1">
      <c r="A658" s="1245"/>
      <c r="C658" s="1246"/>
      <c r="D658" s="502"/>
      <c r="E658" s="1245"/>
      <c r="G658" s="1245"/>
      <c r="H658" s="1247"/>
      <c r="I658" s="1139"/>
      <c r="J658" s="983"/>
      <c r="K658" s="986"/>
    </row>
    <row r="659" spans="1:11" s="1061" customFormat="1">
      <c r="A659" s="1245"/>
      <c r="C659" s="1246"/>
      <c r="D659" s="502"/>
      <c r="E659" s="1245"/>
      <c r="G659" s="1245"/>
      <c r="H659" s="1247"/>
      <c r="I659" s="1139"/>
      <c r="J659" s="983"/>
      <c r="K659" s="986"/>
    </row>
    <row r="660" spans="1:11" s="1061" customFormat="1">
      <c r="A660" s="1245"/>
      <c r="C660" s="1246"/>
      <c r="D660" s="502"/>
      <c r="E660" s="1245"/>
      <c r="G660" s="1245"/>
      <c r="H660" s="1247"/>
      <c r="I660" s="1139"/>
      <c r="J660" s="983"/>
      <c r="K660" s="986"/>
    </row>
    <row r="661" spans="1:11" s="1061" customFormat="1">
      <c r="A661" s="1245"/>
      <c r="C661" s="1246"/>
      <c r="D661" s="502"/>
      <c r="E661" s="1245"/>
      <c r="G661" s="1245"/>
      <c r="H661" s="1247"/>
      <c r="I661" s="1139"/>
      <c r="J661" s="983"/>
      <c r="K661" s="986"/>
    </row>
    <row r="662" spans="1:11" s="1061" customFormat="1">
      <c r="A662" s="1245"/>
      <c r="C662" s="1246"/>
      <c r="D662" s="502"/>
      <c r="E662" s="1245"/>
      <c r="G662" s="1245"/>
      <c r="H662" s="1247"/>
      <c r="I662" s="1139"/>
      <c r="J662" s="983"/>
      <c r="K662" s="986"/>
    </row>
    <row r="663" spans="1:11" s="1061" customFormat="1">
      <c r="A663" s="1245"/>
      <c r="C663" s="1246"/>
      <c r="D663" s="502"/>
      <c r="E663" s="1245"/>
      <c r="G663" s="1245"/>
      <c r="H663" s="1247"/>
      <c r="I663" s="1139"/>
      <c r="J663" s="983"/>
      <c r="K663" s="986"/>
    </row>
    <row r="664" spans="1:11" s="1061" customFormat="1">
      <c r="A664" s="1245"/>
      <c r="C664" s="1246"/>
      <c r="D664" s="502"/>
      <c r="E664" s="1245"/>
      <c r="G664" s="1245"/>
      <c r="H664" s="1247"/>
      <c r="I664" s="1139"/>
      <c r="J664" s="983"/>
      <c r="K664" s="986"/>
    </row>
    <row r="665" spans="1:11" s="1061" customFormat="1">
      <c r="A665" s="1245"/>
      <c r="C665" s="1246"/>
      <c r="D665" s="502"/>
      <c r="E665" s="1245"/>
      <c r="G665" s="1245"/>
      <c r="H665" s="1247"/>
      <c r="I665" s="1139"/>
      <c r="J665" s="983"/>
      <c r="K665" s="986"/>
    </row>
    <row r="666" spans="1:11" s="1061" customFormat="1">
      <c r="A666" s="1245"/>
      <c r="C666" s="1246"/>
      <c r="D666" s="502"/>
      <c r="E666" s="1245"/>
      <c r="G666" s="1245"/>
      <c r="H666" s="1247"/>
      <c r="I666" s="1139"/>
      <c r="J666" s="983"/>
      <c r="K666" s="986"/>
    </row>
    <row r="667" spans="1:11" s="1061" customFormat="1">
      <c r="A667" s="1245"/>
      <c r="C667" s="1246"/>
      <c r="D667" s="502"/>
      <c r="E667" s="1245"/>
      <c r="G667" s="1245"/>
      <c r="H667" s="1247"/>
      <c r="I667" s="1139"/>
      <c r="J667" s="983"/>
      <c r="K667" s="986"/>
    </row>
    <row r="668" spans="1:11" s="1061" customFormat="1">
      <c r="A668" s="1245"/>
      <c r="C668" s="1246"/>
      <c r="D668" s="502"/>
      <c r="E668" s="1245"/>
      <c r="G668" s="1245"/>
      <c r="H668" s="1247"/>
      <c r="I668" s="1139"/>
      <c r="J668" s="983"/>
      <c r="K668" s="986"/>
    </row>
    <row r="669" spans="1:11" s="1061" customFormat="1">
      <c r="A669" s="1245"/>
      <c r="C669" s="1246"/>
      <c r="D669" s="502"/>
      <c r="E669" s="1245"/>
      <c r="G669" s="1245"/>
      <c r="H669" s="1247"/>
      <c r="I669" s="1139"/>
      <c r="J669" s="983"/>
      <c r="K669" s="986"/>
    </row>
    <row r="670" spans="1:11" s="1061" customFormat="1">
      <c r="A670" s="1245"/>
      <c r="C670" s="1246"/>
      <c r="D670" s="502"/>
      <c r="E670" s="1245"/>
      <c r="G670" s="1245"/>
      <c r="H670" s="1247"/>
      <c r="I670" s="1139"/>
      <c r="J670" s="983"/>
      <c r="K670" s="986"/>
    </row>
    <row r="671" spans="1:11" s="1061" customFormat="1">
      <c r="A671" s="1245"/>
      <c r="C671" s="1246"/>
      <c r="D671" s="502"/>
      <c r="E671" s="1245"/>
      <c r="G671" s="1245"/>
      <c r="H671" s="1247"/>
      <c r="I671" s="1139"/>
      <c r="J671" s="983"/>
      <c r="K671" s="986"/>
    </row>
    <row r="672" spans="1:11" s="1061" customFormat="1">
      <c r="A672" s="1245"/>
      <c r="C672" s="1246"/>
      <c r="D672" s="502"/>
      <c r="E672" s="1245"/>
      <c r="G672" s="1245"/>
      <c r="H672" s="1247"/>
      <c r="I672" s="1139"/>
      <c r="J672" s="983"/>
      <c r="K672" s="986"/>
    </row>
    <row r="673" spans="1:11" s="1061" customFormat="1">
      <c r="A673" s="1245"/>
      <c r="C673" s="1246"/>
      <c r="D673" s="502"/>
      <c r="E673" s="1245"/>
      <c r="G673" s="1245"/>
      <c r="H673" s="1247"/>
      <c r="I673" s="1139"/>
      <c r="J673" s="983"/>
      <c r="K673" s="986"/>
    </row>
    <row r="674" spans="1:11" s="1061" customFormat="1">
      <c r="A674" s="1245"/>
      <c r="C674" s="1246"/>
      <c r="D674" s="502"/>
      <c r="E674" s="1245"/>
      <c r="G674" s="1245"/>
      <c r="H674" s="1247"/>
      <c r="I674" s="1139"/>
      <c r="J674" s="983"/>
      <c r="K674" s="986"/>
    </row>
    <row r="675" spans="1:11" s="1061" customFormat="1">
      <c r="A675" s="1245"/>
      <c r="C675" s="1246"/>
      <c r="D675" s="502"/>
      <c r="E675" s="1245"/>
      <c r="G675" s="1245"/>
      <c r="H675" s="1247"/>
      <c r="I675" s="1139"/>
      <c r="J675" s="983"/>
      <c r="K675" s="986"/>
    </row>
    <row r="676" spans="1:11" s="1061" customFormat="1">
      <c r="A676" s="1245"/>
      <c r="C676" s="1246"/>
      <c r="D676" s="502"/>
      <c r="E676" s="1245"/>
      <c r="G676" s="1245"/>
      <c r="H676" s="1247"/>
      <c r="I676" s="1139"/>
      <c r="J676" s="983"/>
      <c r="K676" s="986"/>
    </row>
    <row r="677" spans="1:11" s="1061" customFormat="1">
      <c r="A677" s="1245"/>
      <c r="C677" s="1246"/>
      <c r="D677" s="502"/>
      <c r="E677" s="1245"/>
      <c r="G677" s="1245"/>
      <c r="H677" s="1247"/>
      <c r="I677" s="1139"/>
      <c r="J677" s="983"/>
      <c r="K677" s="986"/>
    </row>
    <row r="678" spans="1:11" s="1061" customFormat="1">
      <c r="A678" s="1245"/>
      <c r="C678" s="1246"/>
      <c r="D678" s="502"/>
      <c r="E678" s="1245"/>
      <c r="G678" s="1245"/>
      <c r="H678" s="1247"/>
      <c r="I678" s="1139"/>
      <c r="J678" s="983"/>
      <c r="K678" s="986"/>
    </row>
    <row r="679" spans="1:11" s="1061" customFormat="1">
      <c r="A679" s="1245"/>
      <c r="C679" s="1246"/>
      <c r="D679" s="502"/>
      <c r="E679" s="1245"/>
      <c r="G679" s="1245"/>
      <c r="H679" s="1247"/>
      <c r="I679" s="1139"/>
      <c r="J679" s="983"/>
      <c r="K679" s="986"/>
    </row>
    <row r="680" spans="1:11" s="1061" customFormat="1">
      <c r="A680" s="1245"/>
      <c r="C680" s="1246"/>
      <c r="D680" s="502"/>
      <c r="E680" s="1245"/>
      <c r="G680" s="1245"/>
      <c r="H680" s="1247"/>
      <c r="I680" s="1139"/>
      <c r="J680" s="983"/>
      <c r="K680" s="986"/>
    </row>
    <row r="681" spans="1:11" s="1061" customFormat="1">
      <c r="A681" s="1245"/>
      <c r="C681" s="1246"/>
      <c r="D681" s="502"/>
      <c r="E681" s="1245"/>
      <c r="G681" s="1245"/>
      <c r="H681" s="1247"/>
      <c r="I681" s="1139"/>
      <c r="J681" s="983"/>
      <c r="K681" s="986"/>
    </row>
    <row r="682" spans="1:11" s="1061" customFormat="1">
      <c r="A682" s="1245"/>
      <c r="C682" s="1246"/>
      <c r="D682" s="502"/>
      <c r="E682" s="1245"/>
      <c r="G682" s="1245"/>
      <c r="H682" s="1247"/>
      <c r="I682" s="1139"/>
      <c r="J682" s="983"/>
      <c r="K682" s="986"/>
    </row>
    <row r="683" spans="1:11" s="1061" customFormat="1">
      <c r="A683" s="1245"/>
      <c r="C683" s="1246"/>
      <c r="D683" s="502"/>
      <c r="E683" s="1245"/>
      <c r="G683" s="1245"/>
      <c r="H683" s="1247"/>
      <c r="I683" s="1139"/>
      <c r="J683" s="983"/>
      <c r="K683" s="986"/>
    </row>
    <row r="684" spans="1:11" s="1061" customFormat="1">
      <c r="A684" s="1245"/>
      <c r="C684" s="1246"/>
      <c r="D684" s="502"/>
      <c r="E684" s="1245"/>
      <c r="G684" s="1245"/>
      <c r="H684" s="1247"/>
      <c r="I684" s="1139"/>
      <c r="J684" s="983"/>
      <c r="K684" s="986"/>
    </row>
    <row r="685" spans="1:11" s="1061" customFormat="1">
      <c r="A685" s="1245"/>
      <c r="C685" s="1246"/>
      <c r="D685" s="502"/>
      <c r="E685" s="1245"/>
      <c r="G685" s="1245"/>
      <c r="H685" s="1247"/>
      <c r="I685" s="1139"/>
      <c r="J685" s="983"/>
      <c r="K685" s="986"/>
    </row>
    <row r="686" spans="1:11" s="1061" customFormat="1">
      <c r="A686" s="1245"/>
      <c r="C686" s="1246"/>
      <c r="D686" s="502"/>
      <c r="E686" s="1245"/>
      <c r="G686" s="1245"/>
      <c r="H686" s="1247"/>
      <c r="I686" s="1139"/>
      <c r="J686" s="983"/>
      <c r="K686" s="986"/>
    </row>
    <row r="687" spans="1:11" s="1061" customFormat="1">
      <c r="A687" s="1245"/>
      <c r="C687" s="1246"/>
      <c r="D687" s="502"/>
      <c r="E687" s="1245"/>
      <c r="G687" s="1245"/>
      <c r="H687" s="1247"/>
      <c r="I687" s="1139"/>
      <c r="J687" s="983"/>
      <c r="K687" s="986"/>
    </row>
    <row r="688" spans="1:11" s="1061" customFormat="1">
      <c r="A688" s="1245"/>
      <c r="C688" s="1246"/>
      <c r="D688" s="502"/>
      <c r="E688" s="1245"/>
      <c r="G688" s="1245"/>
      <c r="H688" s="1247"/>
      <c r="I688" s="1139"/>
      <c r="J688" s="983"/>
      <c r="K688" s="986"/>
    </row>
    <row r="689" spans="1:11" s="1061" customFormat="1">
      <c r="A689" s="1245"/>
      <c r="C689" s="1246"/>
      <c r="D689" s="502"/>
      <c r="E689" s="1245"/>
      <c r="G689" s="1245"/>
      <c r="H689" s="1247"/>
      <c r="I689" s="1139"/>
      <c r="J689" s="983"/>
      <c r="K689" s="986"/>
    </row>
    <row r="690" spans="1:11" s="1061" customFormat="1">
      <c r="A690" s="1245"/>
      <c r="C690" s="1246"/>
      <c r="D690" s="502"/>
      <c r="E690" s="1245"/>
      <c r="G690" s="1245"/>
      <c r="H690" s="1247"/>
      <c r="I690" s="1139"/>
      <c r="J690" s="983"/>
      <c r="K690" s="986"/>
    </row>
    <row r="691" spans="1:11" s="1061" customFormat="1">
      <c r="A691" s="1245"/>
      <c r="C691" s="1246"/>
      <c r="D691" s="502"/>
      <c r="E691" s="1245"/>
      <c r="G691" s="1245"/>
      <c r="H691" s="1247"/>
      <c r="I691" s="1139"/>
      <c r="J691" s="983"/>
      <c r="K691" s="986"/>
    </row>
    <row r="692" spans="1:11" s="1061" customFormat="1">
      <c r="A692" s="1245"/>
      <c r="C692" s="1246"/>
      <c r="D692" s="502"/>
      <c r="E692" s="1245"/>
      <c r="G692" s="1245"/>
      <c r="H692" s="1247"/>
      <c r="I692" s="1139"/>
      <c r="J692" s="983"/>
      <c r="K692" s="986"/>
    </row>
    <row r="693" spans="1:11" s="1061" customFormat="1">
      <c r="A693" s="1245"/>
      <c r="C693" s="1246"/>
      <c r="D693" s="502"/>
      <c r="E693" s="1245"/>
      <c r="G693" s="1245"/>
      <c r="H693" s="1247"/>
      <c r="I693" s="1139"/>
      <c r="J693" s="983"/>
      <c r="K693" s="986"/>
    </row>
    <row r="694" spans="1:11" s="1061" customFormat="1">
      <c r="A694" s="1245"/>
      <c r="C694" s="1246"/>
      <c r="D694" s="502"/>
      <c r="E694" s="1245"/>
      <c r="G694" s="1245"/>
      <c r="H694" s="1247"/>
      <c r="I694" s="1139"/>
      <c r="J694" s="983"/>
      <c r="K694" s="986"/>
    </row>
    <row r="695" spans="1:11" s="1061" customFormat="1">
      <c r="A695" s="1245"/>
      <c r="C695" s="1246"/>
      <c r="D695" s="502"/>
      <c r="E695" s="1245"/>
      <c r="G695" s="1245"/>
      <c r="H695" s="1247"/>
      <c r="I695" s="1139"/>
      <c r="J695" s="983"/>
      <c r="K695" s="986"/>
    </row>
    <row r="696" spans="1:11" s="1061" customFormat="1">
      <c r="A696" s="1245"/>
      <c r="C696" s="1246"/>
      <c r="D696" s="502"/>
      <c r="E696" s="1245"/>
      <c r="G696" s="1245"/>
      <c r="H696" s="1247"/>
      <c r="I696" s="1139"/>
      <c r="J696" s="983"/>
      <c r="K696" s="986"/>
    </row>
    <row r="697" spans="1:11" s="1061" customFormat="1">
      <c r="A697" s="1245"/>
      <c r="C697" s="1246"/>
      <c r="D697" s="502"/>
      <c r="E697" s="1245"/>
      <c r="G697" s="1245"/>
      <c r="H697" s="1247"/>
      <c r="I697" s="1139"/>
      <c r="J697" s="983"/>
      <c r="K697" s="986"/>
    </row>
    <row r="698" spans="1:11" s="1061" customFormat="1">
      <c r="A698" s="1245"/>
      <c r="C698" s="1246"/>
      <c r="D698" s="502"/>
      <c r="E698" s="1245"/>
      <c r="G698" s="1245"/>
      <c r="H698" s="1247"/>
      <c r="I698" s="1139"/>
      <c r="J698" s="983"/>
      <c r="K698" s="986"/>
    </row>
    <row r="699" spans="1:11" s="1061" customFormat="1">
      <c r="A699" s="1245"/>
      <c r="C699" s="1246"/>
      <c r="D699" s="502"/>
      <c r="E699" s="1245"/>
      <c r="G699" s="1245"/>
      <c r="H699" s="1247"/>
      <c r="I699" s="1139"/>
      <c r="J699" s="983"/>
      <c r="K699" s="986"/>
    </row>
    <row r="700" spans="1:11" s="1061" customFormat="1">
      <c r="A700" s="1245"/>
      <c r="C700" s="1246"/>
      <c r="D700" s="502"/>
      <c r="E700" s="1245"/>
      <c r="G700" s="1245"/>
      <c r="H700" s="1247"/>
      <c r="I700" s="1139"/>
      <c r="J700" s="983"/>
      <c r="K700" s="986"/>
    </row>
    <row r="701" spans="1:11" s="1061" customFormat="1">
      <c r="A701" s="1245"/>
      <c r="C701" s="1246"/>
      <c r="D701" s="502"/>
      <c r="E701" s="1245"/>
      <c r="G701" s="1245"/>
      <c r="H701" s="1247"/>
      <c r="I701" s="1139"/>
      <c r="J701" s="983"/>
      <c r="K701" s="986"/>
    </row>
    <row r="702" spans="1:11" s="1061" customFormat="1">
      <c r="A702" s="1245"/>
      <c r="C702" s="1246"/>
      <c r="D702" s="502"/>
      <c r="E702" s="1245"/>
      <c r="G702" s="1245"/>
      <c r="H702" s="1247"/>
      <c r="I702" s="1139"/>
      <c r="J702" s="983"/>
      <c r="K702" s="986"/>
    </row>
    <row r="703" spans="1:11" s="1061" customFormat="1">
      <c r="A703" s="1245"/>
      <c r="C703" s="1246"/>
      <c r="D703" s="502"/>
      <c r="E703" s="1245"/>
      <c r="G703" s="1245"/>
      <c r="H703" s="1247"/>
      <c r="I703" s="1139"/>
      <c r="J703" s="983"/>
      <c r="K703" s="986"/>
    </row>
    <row r="704" spans="1:11" s="1061" customFormat="1">
      <c r="A704" s="1245"/>
      <c r="C704" s="1246"/>
      <c r="D704" s="502"/>
      <c r="E704" s="1245"/>
      <c r="G704" s="1245"/>
      <c r="H704" s="1247"/>
      <c r="I704" s="1139"/>
      <c r="J704" s="983"/>
      <c r="K704" s="986"/>
    </row>
    <row r="705" spans="1:11" s="1061" customFormat="1">
      <c r="A705" s="1245"/>
      <c r="C705" s="1246"/>
      <c r="D705" s="502"/>
      <c r="E705" s="1245"/>
      <c r="G705" s="1245"/>
      <c r="H705" s="1247"/>
      <c r="I705" s="1139"/>
      <c r="J705" s="983"/>
      <c r="K705" s="986"/>
    </row>
    <row r="706" spans="1:11" s="1061" customFormat="1">
      <c r="A706" s="1245"/>
      <c r="C706" s="1246"/>
      <c r="D706" s="502"/>
      <c r="E706" s="1245"/>
      <c r="G706" s="1245"/>
      <c r="H706" s="1247"/>
      <c r="I706" s="1139"/>
      <c r="J706" s="983"/>
      <c r="K706" s="986"/>
    </row>
    <row r="707" spans="1:11" s="1061" customFormat="1">
      <c r="A707" s="1245"/>
      <c r="C707" s="1246"/>
      <c r="D707" s="502"/>
      <c r="E707" s="1245"/>
      <c r="G707" s="1245"/>
      <c r="H707" s="1247"/>
      <c r="I707" s="1139"/>
      <c r="J707" s="983"/>
      <c r="K707" s="986"/>
    </row>
    <row r="708" spans="1:11" s="1061" customFormat="1">
      <c r="A708" s="1245"/>
      <c r="C708" s="1246"/>
      <c r="D708" s="502"/>
      <c r="E708" s="1245"/>
      <c r="G708" s="1245"/>
      <c r="H708" s="1247"/>
      <c r="I708" s="1139"/>
      <c r="J708" s="983"/>
      <c r="K708" s="986"/>
    </row>
    <row r="709" spans="1:11" s="1061" customFormat="1">
      <c r="A709" s="1245"/>
      <c r="C709" s="1246"/>
      <c r="D709" s="502"/>
      <c r="E709" s="1245"/>
      <c r="G709" s="1245"/>
      <c r="H709" s="1247"/>
      <c r="I709" s="1139"/>
      <c r="J709" s="983"/>
      <c r="K709" s="986"/>
    </row>
    <row r="710" spans="1:11" s="1061" customFormat="1">
      <c r="A710" s="1245"/>
      <c r="C710" s="1246"/>
      <c r="D710" s="502"/>
      <c r="E710" s="1245"/>
      <c r="G710" s="1245"/>
      <c r="H710" s="1247"/>
      <c r="I710" s="1139"/>
      <c r="J710" s="983"/>
      <c r="K710" s="986"/>
    </row>
    <row r="711" spans="1:11" s="1061" customFormat="1">
      <c r="A711" s="1245"/>
      <c r="C711" s="1246"/>
      <c r="D711" s="502"/>
      <c r="E711" s="1245"/>
      <c r="G711" s="1245"/>
      <c r="H711" s="1247"/>
      <c r="I711" s="1139"/>
      <c r="J711" s="983"/>
      <c r="K711" s="986"/>
    </row>
    <row r="712" spans="1:11" s="1061" customFormat="1">
      <c r="A712" s="1245"/>
      <c r="C712" s="1246"/>
      <c r="D712" s="502"/>
      <c r="E712" s="1245"/>
      <c r="G712" s="1245"/>
      <c r="H712" s="1247"/>
      <c r="I712" s="1139"/>
      <c r="J712" s="983"/>
      <c r="K712" s="986"/>
    </row>
    <row r="713" spans="1:11" s="1061" customFormat="1">
      <c r="A713" s="1245"/>
      <c r="C713" s="1246"/>
      <c r="D713" s="502"/>
      <c r="E713" s="1245"/>
      <c r="G713" s="1245"/>
      <c r="H713" s="1247"/>
      <c r="I713" s="1139"/>
      <c r="J713" s="983"/>
      <c r="K713" s="986"/>
    </row>
    <row r="714" spans="1:11" s="1061" customFormat="1">
      <c r="A714" s="1245"/>
      <c r="C714" s="1246"/>
      <c r="D714" s="502"/>
      <c r="E714" s="1245"/>
      <c r="G714" s="1245"/>
      <c r="H714" s="1247"/>
      <c r="I714" s="1139"/>
      <c r="J714" s="983"/>
      <c r="K714" s="986"/>
    </row>
    <row r="715" spans="1:11" s="1061" customFormat="1">
      <c r="A715" s="1245"/>
      <c r="C715" s="1246"/>
      <c r="D715" s="502"/>
      <c r="E715" s="1245"/>
      <c r="G715" s="1245"/>
      <c r="H715" s="1247"/>
      <c r="I715" s="1139"/>
      <c r="J715" s="983"/>
      <c r="K715" s="986"/>
    </row>
    <row r="716" spans="1:11" s="1061" customFormat="1">
      <c r="A716" s="1245"/>
      <c r="C716" s="1246"/>
      <c r="D716" s="502"/>
      <c r="E716" s="1245"/>
      <c r="G716" s="1245"/>
      <c r="H716" s="1247"/>
      <c r="I716" s="1139"/>
      <c r="J716" s="983"/>
      <c r="K716" s="986"/>
    </row>
    <row r="717" spans="1:11" s="1061" customFormat="1">
      <c r="A717" s="1245"/>
      <c r="C717" s="1246"/>
      <c r="D717" s="502"/>
      <c r="E717" s="1245"/>
      <c r="G717" s="1245"/>
      <c r="H717" s="1247"/>
      <c r="I717" s="1139"/>
      <c r="J717" s="983"/>
      <c r="K717" s="986"/>
    </row>
    <row r="718" spans="1:11" s="1061" customFormat="1">
      <c r="A718" s="1245"/>
      <c r="C718" s="1246"/>
      <c r="D718" s="502"/>
      <c r="E718" s="1245"/>
      <c r="G718" s="1245"/>
      <c r="H718" s="1247"/>
      <c r="I718" s="1139"/>
      <c r="J718" s="983"/>
      <c r="K718" s="986"/>
    </row>
    <row r="719" spans="1:11" s="1061" customFormat="1">
      <c r="A719" s="1245"/>
      <c r="C719" s="1246"/>
      <c r="D719" s="502"/>
      <c r="E719" s="1245"/>
      <c r="G719" s="1245"/>
      <c r="H719" s="1247"/>
      <c r="I719" s="1139"/>
      <c r="J719" s="983"/>
      <c r="K719" s="986"/>
    </row>
    <row r="720" spans="1:11" s="1061" customFormat="1">
      <c r="A720" s="1245"/>
      <c r="C720" s="1246"/>
      <c r="D720" s="502"/>
      <c r="E720" s="1245"/>
      <c r="G720" s="1245"/>
      <c r="H720" s="1247"/>
      <c r="I720" s="1139"/>
      <c r="J720" s="983"/>
      <c r="K720" s="986"/>
    </row>
    <row r="721" spans="1:11" s="1061" customFormat="1">
      <c r="A721" s="1245"/>
      <c r="C721" s="1246"/>
      <c r="D721" s="502"/>
      <c r="E721" s="1245"/>
      <c r="G721" s="1245"/>
      <c r="H721" s="1247"/>
      <c r="I721" s="1139"/>
      <c r="J721" s="983"/>
      <c r="K721" s="986"/>
    </row>
    <row r="722" spans="1:11" s="1061" customFormat="1">
      <c r="A722" s="1245"/>
      <c r="C722" s="1246"/>
      <c r="D722" s="502"/>
      <c r="E722" s="1245"/>
      <c r="G722" s="1245"/>
      <c r="H722" s="1247"/>
      <c r="I722" s="1139"/>
      <c r="J722" s="983"/>
      <c r="K722" s="986"/>
    </row>
    <row r="723" spans="1:11" s="1061" customFormat="1">
      <c r="A723" s="1245"/>
      <c r="C723" s="1246"/>
      <c r="D723" s="502"/>
      <c r="E723" s="1245"/>
      <c r="G723" s="1245"/>
      <c r="H723" s="1247"/>
      <c r="I723" s="1139"/>
      <c r="J723" s="983"/>
      <c r="K723" s="986"/>
    </row>
    <row r="724" spans="1:11" s="1061" customFormat="1">
      <c r="A724" s="1245"/>
      <c r="C724" s="1246"/>
      <c r="D724" s="502"/>
      <c r="E724" s="1245"/>
      <c r="G724" s="1245"/>
      <c r="H724" s="1247"/>
      <c r="I724" s="1139"/>
      <c r="J724" s="983"/>
      <c r="K724" s="986"/>
    </row>
    <row r="725" spans="1:11" s="1061" customFormat="1">
      <c r="A725" s="1245"/>
      <c r="C725" s="1246"/>
      <c r="D725" s="502"/>
      <c r="E725" s="1245"/>
      <c r="G725" s="1245"/>
      <c r="H725" s="1247"/>
      <c r="I725" s="1139"/>
      <c r="J725" s="983"/>
      <c r="K725" s="986"/>
    </row>
    <row r="726" spans="1:11" s="1061" customFormat="1">
      <c r="A726" s="1245"/>
      <c r="C726" s="1246"/>
      <c r="D726" s="502"/>
      <c r="E726" s="1245"/>
      <c r="G726" s="1245"/>
      <c r="H726" s="1247"/>
      <c r="I726" s="1139"/>
      <c r="J726" s="983"/>
      <c r="K726" s="986"/>
    </row>
    <row r="727" spans="1:11" s="1061" customFormat="1">
      <c r="A727" s="1245"/>
      <c r="C727" s="1246"/>
      <c r="D727" s="502"/>
      <c r="E727" s="1245"/>
      <c r="G727" s="1245"/>
      <c r="H727" s="1247"/>
      <c r="I727" s="1139"/>
      <c r="J727" s="983"/>
      <c r="K727" s="986"/>
    </row>
    <row r="728" spans="1:11" s="1061" customFormat="1">
      <c r="A728" s="1245"/>
      <c r="C728" s="1246"/>
      <c r="D728" s="502"/>
      <c r="E728" s="1245"/>
      <c r="G728" s="1245"/>
      <c r="H728" s="1247"/>
      <c r="I728" s="1139"/>
      <c r="J728" s="983"/>
      <c r="K728" s="986"/>
    </row>
    <row r="729" spans="1:11" s="1061" customFormat="1">
      <c r="A729" s="1245"/>
      <c r="C729" s="1246"/>
      <c r="D729" s="502"/>
      <c r="E729" s="1245"/>
      <c r="G729" s="1245"/>
      <c r="H729" s="1247"/>
      <c r="I729" s="1139"/>
      <c r="J729" s="983"/>
      <c r="K729" s="986"/>
    </row>
    <row r="730" spans="1:11" s="1061" customFormat="1">
      <c r="A730" s="1245"/>
      <c r="C730" s="1246"/>
      <c r="D730" s="502"/>
      <c r="E730" s="1245"/>
      <c r="G730" s="1245"/>
      <c r="H730" s="1247"/>
      <c r="I730" s="1139"/>
      <c r="J730" s="983"/>
      <c r="K730" s="986"/>
    </row>
    <row r="731" spans="1:11" s="1061" customFormat="1">
      <c r="A731" s="1245"/>
      <c r="C731" s="1246"/>
      <c r="D731" s="502"/>
      <c r="E731" s="1245"/>
      <c r="G731" s="1245"/>
      <c r="H731" s="1247"/>
      <c r="I731" s="1139"/>
      <c r="J731" s="983"/>
      <c r="K731" s="986"/>
    </row>
    <row r="732" spans="1:11" s="1061" customFormat="1">
      <c r="A732" s="1245"/>
      <c r="C732" s="1246"/>
      <c r="D732" s="502"/>
      <c r="E732" s="1245"/>
      <c r="G732" s="1245"/>
      <c r="H732" s="1247"/>
      <c r="I732" s="1139"/>
      <c r="J732" s="983"/>
      <c r="K732" s="986"/>
    </row>
    <row r="733" spans="1:11" s="1061" customFormat="1">
      <c r="A733" s="1245"/>
      <c r="C733" s="1246"/>
      <c r="D733" s="502"/>
      <c r="E733" s="1245"/>
      <c r="G733" s="1245"/>
      <c r="H733" s="1247"/>
      <c r="I733" s="1139"/>
      <c r="J733" s="983"/>
      <c r="K733" s="986"/>
    </row>
    <row r="734" spans="1:11" s="1061" customFormat="1">
      <c r="A734" s="1245"/>
      <c r="C734" s="1246"/>
      <c r="D734" s="502"/>
      <c r="E734" s="1245"/>
      <c r="G734" s="1245"/>
      <c r="H734" s="1247"/>
      <c r="I734" s="1139"/>
      <c r="J734" s="983"/>
      <c r="K734" s="986"/>
    </row>
    <row r="735" spans="1:11" s="1061" customFormat="1">
      <c r="A735" s="1245"/>
      <c r="C735" s="1246"/>
      <c r="D735" s="502"/>
      <c r="E735" s="1245"/>
      <c r="G735" s="1245"/>
      <c r="H735" s="1247"/>
      <c r="I735" s="1139"/>
      <c r="J735" s="983"/>
      <c r="K735" s="986"/>
    </row>
    <row r="736" spans="1:11" s="1061" customFormat="1">
      <c r="A736" s="1245"/>
      <c r="C736" s="1246"/>
      <c r="D736" s="502"/>
      <c r="E736" s="1245"/>
      <c r="G736" s="1245"/>
      <c r="H736" s="1247"/>
      <c r="I736" s="1139"/>
      <c r="J736" s="983"/>
      <c r="K736" s="986"/>
    </row>
    <row r="737" spans="1:11" s="1061" customFormat="1">
      <c r="A737" s="1245"/>
      <c r="C737" s="1246"/>
      <c r="D737" s="502"/>
      <c r="E737" s="1245"/>
      <c r="G737" s="1245"/>
      <c r="H737" s="1247"/>
      <c r="I737" s="1139"/>
      <c r="J737" s="983"/>
      <c r="K737" s="986"/>
    </row>
    <row r="738" spans="1:11" s="1061" customFormat="1">
      <c r="A738" s="1245"/>
      <c r="C738" s="1246"/>
      <c r="D738" s="502"/>
      <c r="E738" s="1245"/>
      <c r="G738" s="1245"/>
      <c r="H738" s="1247"/>
      <c r="I738" s="1139"/>
      <c r="J738" s="983"/>
      <c r="K738" s="986"/>
    </row>
    <row r="739" spans="1:11" s="1061" customFormat="1">
      <c r="A739" s="1245"/>
      <c r="C739" s="1246"/>
      <c r="D739" s="502"/>
      <c r="E739" s="1245"/>
      <c r="G739" s="1245"/>
      <c r="H739" s="1247"/>
      <c r="I739" s="1139"/>
      <c r="J739" s="983"/>
      <c r="K739" s="986"/>
    </row>
    <row r="740" spans="1:11" s="1061" customFormat="1">
      <c r="A740" s="1245"/>
      <c r="C740" s="1246"/>
      <c r="D740" s="502"/>
      <c r="E740" s="1245"/>
      <c r="G740" s="1245"/>
      <c r="H740" s="1247"/>
      <c r="I740" s="1139"/>
      <c r="J740" s="983"/>
      <c r="K740" s="986"/>
    </row>
    <row r="741" spans="1:11" s="1061" customFormat="1">
      <c r="A741" s="1245"/>
      <c r="C741" s="1246"/>
      <c r="D741" s="502"/>
      <c r="E741" s="1245"/>
      <c r="G741" s="1245"/>
      <c r="H741" s="1247"/>
      <c r="I741" s="1139"/>
      <c r="J741" s="983"/>
      <c r="K741" s="986"/>
    </row>
    <row r="742" spans="1:11" s="1061" customFormat="1">
      <c r="A742" s="1245"/>
      <c r="C742" s="1246"/>
      <c r="D742" s="502"/>
      <c r="E742" s="1245"/>
      <c r="G742" s="1245"/>
      <c r="H742" s="1247"/>
      <c r="I742" s="1139"/>
      <c r="J742" s="983"/>
      <c r="K742" s="986"/>
    </row>
    <row r="743" spans="1:11" s="1061" customFormat="1">
      <c r="A743" s="1245"/>
      <c r="C743" s="1246"/>
      <c r="D743" s="502"/>
      <c r="E743" s="1245"/>
      <c r="G743" s="1245"/>
      <c r="H743" s="1247"/>
      <c r="I743" s="1139"/>
      <c r="J743" s="983"/>
      <c r="K743" s="986"/>
    </row>
    <row r="744" spans="1:11" s="1061" customFormat="1">
      <c r="A744" s="1245"/>
      <c r="C744" s="1246"/>
      <c r="D744" s="502"/>
      <c r="E744" s="1245"/>
      <c r="G744" s="1245"/>
      <c r="H744" s="1247"/>
      <c r="I744" s="1139"/>
      <c r="J744" s="983"/>
      <c r="K744" s="986"/>
    </row>
    <row r="745" spans="1:11" s="1061" customFormat="1">
      <c r="A745" s="1245"/>
      <c r="C745" s="1246"/>
      <c r="D745" s="502"/>
      <c r="E745" s="1245"/>
      <c r="G745" s="1245"/>
      <c r="H745" s="1247"/>
      <c r="I745" s="1139"/>
      <c r="J745" s="983"/>
      <c r="K745" s="986"/>
    </row>
    <row r="746" spans="1:11" s="1061" customFormat="1">
      <c r="A746" s="1245"/>
      <c r="C746" s="1246"/>
      <c r="D746" s="502"/>
      <c r="E746" s="1245"/>
      <c r="G746" s="1245"/>
      <c r="H746" s="1247"/>
      <c r="I746" s="1139"/>
      <c r="J746" s="983"/>
      <c r="K746" s="986"/>
    </row>
    <row r="747" spans="1:11" s="1061" customFormat="1">
      <c r="A747" s="1245"/>
      <c r="C747" s="1246"/>
      <c r="D747" s="502"/>
      <c r="E747" s="1245"/>
      <c r="G747" s="1245"/>
      <c r="H747" s="1247"/>
      <c r="I747" s="1139"/>
      <c r="J747" s="983"/>
      <c r="K747" s="986"/>
    </row>
    <row r="748" spans="1:11" s="1061" customFormat="1">
      <c r="A748" s="1245"/>
      <c r="C748" s="1246"/>
      <c r="D748" s="502"/>
      <c r="E748" s="1245"/>
      <c r="G748" s="1245"/>
      <c r="H748" s="1247"/>
      <c r="I748" s="1139"/>
      <c r="J748" s="983"/>
      <c r="K748" s="986"/>
    </row>
    <row r="749" spans="1:11" s="1061" customFormat="1">
      <c r="A749" s="1245"/>
      <c r="C749" s="1246"/>
      <c r="D749" s="502"/>
      <c r="E749" s="1245"/>
      <c r="G749" s="1245"/>
      <c r="H749" s="1247"/>
      <c r="I749" s="1139"/>
      <c r="J749" s="983"/>
      <c r="K749" s="986"/>
    </row>
    <row r="750" spans="1:11" s="1061" customFormat="1">
      <c r="A750" s="1245"/>
      <c r="C750" s="1246"/>
      <c r="D750" s="502"/>
      <c r="E750" s="1245"/>
      <c r="G750" s="1245"/>
      <c r="H750" s="1247"/>
      <c r="I750" s="1139"/>
      <c r="J750" s="983"/>
      <c r="K750" s="986"/>
    </row>
    <row r="751" spans="1:11" s="1061" customFormat="1">
      <c r="A751" s="1245"/>
      <c r="C751" s="1246"/>
      <c r="D751" s="502"/>
      <c r="E751" s="1245"/>
      <c r="G751" s="1245"/>
      <c r="H751" s="1247"/>
      <c r="I751" s="1139"/>
      <c r="J751" s="983"/>
      <c r="K751" s="986"/>
    </row>
    <row r="752" spans="1:11" s="1061" customFormat="1">
      <c r="A752" s="1245"/>
      <c r="C752" s="1246"/>
      <c r="D752" s="502"/>
      <c r="E752" s="1245"/>
      <c r="G752" s="1245"/>
      <c r="H752" s="1247"/>
      <c r="I752" s="1139"/>
      <c r="J752" s="983"/>
      <c r="K752" s="986"/>
    </row>
    <row r="753" spans="1:11" s="1061" customFormat="1">
      <c r="A753" s="1245"/>
      <c r="C753" s="1246"/>
      <c r="D753" s="502"/>
      <c r="E753" s="1245"/>
      <c r="G753" s="1245"/>
      <c r="H753" s="1247"/>
      <c r="I753" s="1139"/>
      <c r="J753" s="983"/>
      <c r="K753" s="986"/>
    </row>
    <row r="754" spans="1:11" s="1061" customFormat="1">
      <c r="A754" s="1245"/>
      <c r="C754" s="1246"/>
      <c r="D754" s="502"/>
      <c r="E754" s="1245"/>
      <c r="G754" s="1245"/>
      <c r="H754" s="1247"/>
      <c r="I754" s="1139"/>
      <c r="J754" s="983"/>
      <c r="K754" s="986"/>
    </row>
    <row r="755" spans="1:11" s="1061" customFormat="1">
      <c r="A755" s="1245"/>
      <c r="C755" s="1246"/>
      <c r="D755" s="502"/>
      <c r="E755" s="1245"/>
      <c r="G755" s="1245"/>
      <c r="H755" s="1247"/>
      <c r="I755" s="1139"/>
      <c r="J755" s="983"/>
      <c r="K755" s="986"/>
    </row>
    <row r="756" spans="1:11" s="1061" customFormat="1">
      <c r="A756" s="1245"/>
      <c r="C756" s="1246"/>
      <c r="D756" s="502"/>
      <c r="E756" s="1245"/>
      <c r="G756" s="1245"/>
      <c r="H756" s="1247"/>
      <c r="I756" s="1139"/>
      <c r="J756" s="983"/>
      <c r="K756" s="986"/>
    </row>
    <row r="757" spans="1:11" s="1061" customFormat="1">
      <c r="A757" s="1245"/>
      <c r="C757" s="1246"/>
      <c r="D757" s="502"/>
      <c r="E757" s="1245"/>
      <c r="G757" s="1245"/>
      <c r="H757" s="1247"/>
      <c r="I757" s="1139"/>
      <c r="J757" s="983"/>
      <c r="K757" s="986"/>
    </row>
    <row r="758" spans="1:11" s="1061" customFormat="1">
      <c r="A758" s="1245"/>
      <c r="C758" s="1246"/>
      <c r="D758" s="502"/>
      <c r="E758" s="1245"/>
      <c r="G758" s="1245"/>
      <c r="H758" s="1247"/>
      <c r="I758" s="1139"/>
      <c r="J758" s="983"/>
      <c r="K758" s="986"/>
    </row>
    <row r="759" spans="1:11" s="1061" customFormat="1">
      <c r="A759" s="1245"/>
      <c r="C759" s="1246"/>
      <c r="D759" s="502"/>
      <c r="E759" s="1245"/>
      <c r="G759" s="1245"/>
      <c r="H759" s="1247"/>
      <c r="I759" s="1139"/>
      <c r="J759" s="983"/>
      <c r="K759" s="986"/>
    </row>
    <row r="760" spans="1:11" s="1061" customFormat="1">
      <c r="A760" s="1245"/>
      <c r="C760" s="1246"/>
      <c r="D760" s="502"/>
      <c r="E760" s="1245"/>
      <c r="G760" s="1245"/>
      <c r="H760" s="1247"/>
      <c r="I760" s="1139"/>
      <c r="J760" s="983"/>
      <c r="K760" s="986"/>
    </row>
    <row r="761" spans="1:11" s="1061" customFormat="1">
      <c r="A761" s="1245"/>
      <c r="C761" s="1246"/>
      <c r="D761" s="502"/>
      <c r="E761" s="1245"/>
      <c r="G761" s="1245"/>
      <c r="H761" s="1247"/>
      <c r="I761" s="1139"/>
      <c r="J761" s="983"/>
      <c r="K761" s="986"/>
    </row>
    <row r="762" spans="1:11" s="1061" customFormat="1">
      <c r="A762" s="1245"/>
      <c r="C762" s="1246"/>
      <c r="D762" s="502"/>
      <c r="E762" s="1245"/>
      <c r="G762" s="1245"/>
      <c r="H762" s="1247"/>
      <c r="I762" s="1139"/>
      <c r="J762" s="983"/>
      <c r="K762" s="986"/>
    </row>
    <row r="763" spans="1:11" s="1061" customFormat="1">
      <c r="A763" s="1245"/>
      <c r="C763" s="1246"/>
      <c r="D763" s="502"/>
      <c r="E763" s="1245"/>
      <c r="G763" s="1245"/>
      <c r="H763" s="1247"/>
      <c r="I763" s="1139"/>
      <c r="J763" s="983"/>
      <c r="K763" s="986"/>
    </row>
    <row r="764" spans="1:11" s="1061" customFormat="1">
      <c r="A764" s="1245"/>
      <c r="C764" s="1246"/>
      <c r="D764" s="502"/>
      <c r="E764" s="1245"/>
      <c r="G764" s="1245"/>
      <c r="H764" s="1247"/>
      <c r="I764" s="1139"/>
      <c r="J764" s="983"/>
      <c r="K764" s="986"/>
    </row>
  </sheetData>
  <mergeCells count="12">
    <mergeCell ref="A2:J2"/>
    <mergeCell ref="A3:J3"/>
    <mergeCell ref="A5:A7"/>
    <mergeCell ref="B5:B7"/>
    <mergeCell ref="C5:C7"/>
    <mergeCell ref="D5:D7"/>
    <mergeCell ref="E5:E7"/>
    <mergeCell ref="F5:F7"/>
    <mergeCell ref="G5:G7"/>
    <mergeCell ref="H5:H7"/>
    <mergeCell ref="I5:I7"/>
    <mergeCell ref="J5:J7"/>
  </mergeCells>
  <phoneticPr fontId="4" type="noConversion"/>
  <conditionalFormatting sqref="B65 B92 B303:B305">
    <cfRule type="cellIs" dxfId="119" priority="175" stopIfTrue="1" operator="equal">
      <formula>0</formula>
    </cfRule>
    <cfRule type="cellIs" dxfId="118" priority="176" stopIfTrue="1" operator="equal">
      <formula>0</formula>
    </cfRule>
    <cfRule type="cellIs" dxfId="117" priority="177" stopIfTrue="1" operator="equal">
      <formula>0</formula>
    </cfRule>
  </conditionalFormatting>
  <conditionalFormatting sqref="B66">
    <cfRule type="cellIs" dxfId="116" priority="178" stopIfTrue="1" operator="equal">
      <formula>0</formula>
    </cfRule>
    <cfRule type="cellIs" dxfId="115" priority="179" stopIfTrue="1" operator="equal">
      <formula>0</formula>
    </cfRule>
    <cfRule type="cellIs" dxfId="114" priority="180" stopIfTrue="1" operator="equal">
      <formula>0</formula>
    </cfRule>
  </conditionalFormatting>
  <conditionalFormatting sqref="B129 B131">
    <cfRule type="cellIs" dxfId="113" priority="169" stopIfTrue="1" operator="equal">
      <formula>0</formula>
    </cfRule>
    <cfRule type="cellIs" dxfId="112" priority="170" stopIfTrue="1" operator="equal">
      <formula>0</formula>
    </cfRule>
    <cfRule type="cellIs" dxfId="111" priority="171" stopIfTrue="1" operator="equal">
      <formula>0</formula>
    </cfRule>
  </conditionalFormatting>
  <conditionalFormatting sqref="B216">
    <cfRule type="cellIs" dxfId="110" priority="165" stopIfTrue="1" operator="equal">
      <formula>0</formula>
    </cfRule>
    <cfRule type="cellIs" dxfId="109" priority="166" stopIfTrue="1" operator="equal">
      <formula>0</formula>
    </cfRule>
    <cfRule type="cellIs" dxfId="108" priority="167" stopIfTrue="1" operator="equal">
      <formula>0</formula>
    </cfRule>
  </conditionalFormatting>
  <conditionalFormatting sqref="B271">
    <cfRule type="cellIs" dxfId="107" priority="159" stopIfTrue="1" operator="equal">
      <formula>0</formula>
    </cfRule>
    <cfRule type="cellIs" dxfId="106" priority="160" stopIfTrue="1" operator="equal">
      <formula>0</formula>
    </cfRule>
    <cfRule type="cellIs" dxfId="105" priority="161" stopIfTrue="1" operator="equal">
      <formula>0</formula>
    </cfRule>
  </conditionalFormatting>
  <conditionalFormatting sqref="B301">
    <cfRule type="cellIs" dxfId="104" priority="147" stopIfTrue="1" operator="equal">
      <formula>0</formula>
    </cfRule>
    <cfRule type="cellIs" dxfId="103" priority="148" stopIfTrue="1" operator="equal">
      <formula>0</formula>
    </cfRule>
    <cfRule type="cellIs" dxfId="102" priority="149" stopIfTrue="1" operator="equal">
      <formula>0</formula>
    </cfRule>
  </conditionalFormatting>
  <conditionalFormatting sqref="B324 B318:B320 B326">
    <cfRule type="cellIs" dxfId="101" priority="144" stopIfTrue="1" operator="equal">
      <formula>0</formula>
    </cfRule>
    <cfRule type="cellIs" dxfId="100" priority="145" stopIfTrue="1" operator="equal">
      <formula>0</formula>
    </cfRule>
    <cfRule type="cellIs" dxfId="99" priority="146" stopIfTrue="1" operator="equal">
      <formula>0</formula>
    </cfRule>
  </conditionalFormatting>
  <conditionalFormatting sqref="B530 B546:B547">
    <cfRule type="cellIs" dxfId="98" priority="138" stopIfTrue="1" operator="equal">
      <formula>0</formula>
    </cfRule>
    <cfRule type="cellIs" dxfId="97" priority="139" stopIfTrue="1" operator="equal">
      <formula>0</formula>
    </cfRule>
    <cfRule type="cellIs" dxfId="96" priority="140" stopIfTrue="1" operator="equal">
      <formula>0</formula>
    </cfRule>
  </conditionalFormatting>
  <conditionalFormatting sqref="B564">
    <cfRule type="cellIs" dxfId="95" priority="119" stopIfTrue="1" operator="equal">
      <formula>0</formula>
    </cfRule>
    <cfRule type="cellIs" dxfId="94" priority="120" stopIfTrue="1" operator="equal">
      <formula>0</formula>
    </cfRule>
    <cfRule type="cellIs" dxfId="93" priority="121" stopIfTrue="1" operator="equal">
      <formula>0</formula>
    </cfRule>
  </conditionalFormatting>
  <conditionalFormatting sqref="B559">
    <cfRule type="cellIs" dxfId="92" priority="116" stopIfTrue="1" operator="equal">
      <formula>0</formula>
    </cfRule>
    <cfRule type="cellIs" dxfId="91" priority="117" stopIfTrue="1" operator="equal">
      <formula>0</formula>
    </cfRule>
    <cfRule type="cellIs" dxfId="90" priority="118" stopIfTrue="1" operator="equal">
      <formula>0</formula>
    </cfRule>
  </conditionalFormatting>
  <conditionalFormatting sqref="B557">
    <cfRule type="cellIs" dxfId="89" priority="122" stopIfTrue="1" operator="equal">
      <formula>0</formula>
    </cfRule>
    <cfRule type="cellIs" dxfId="88" priority="123" stopIfTrue="1" operator="equal">
      <formula>0</formula>
    </cfRule>
    <cfRule type="cellIs" dxfId="87" priority="124" stopIfTrue="1" operator="equal">
      <formula>0</formula>
    </cfRule>
  </conditionalFormatting>
  <conditionalFormatting sqref="B583">
    <cfRule type="cellIs" dxfId="86" priority="107" stopIfTrue="1" operator="equal">
      <formula>0</formula>
    </cfRule>
    <cfRule type="cellIs" dxfId="85" priority="108" stopIfTrue="1" operator="equal">
      <formula>0</formula>
    </cfRule>
    <cfRule type="cellIs" dxfId="84" priority="109" stopIfTrue="1" operator="equal">
      <formula>0</formula>
    </cfRule>
  </conditionalFormatting>
  <conditionalFormatting sqref="B614:B615">
    <cfRule type="cellIs" dxfId="83" priority="102" stopIfTrue="1" operator="equal">
      <formula>0</formula>
    </cfRule>
    <cfRule type="cellIs" dxfId="82" priority="103" stopIfTrue="1" operator="equal">
      <formula>0</formula>
    </cfRule>
    <cfRule type="cellIs" dxfId="81" priority="104" stopIfTrue="1" operator="equal">
      <formula>0</formula>
    </cfRule>
  </conditionalFormatting>
  <conditionalFormatting sqref="B612">
    <cfRule type="cellIs" dxfId="80" priority="99" stopIfTrue="1" operator="equal">
      <formula>0</formula>
    </cfRule>
    <cfRule type="cellIs" dxfId="79" priority="100" stopIfTrue="1" operator="equal">
      <formula>0</formula>
    </cfRule>
    <cfRule type="cellIs" dxfId="78" priority="101" stopIfTrue="1" operator="equal">
      <formula>0</formula>
    </cfRule>
  </conditionalFormatting>
  <conditionalFormatting sqref="B613">
    <cfRule type="cellIs" dxfId="77" priority="96" stopIfTrue="1" operator="equal">
      <formula>0</formula>
    </cfRule>
    <cfRule type="cellIs" dxfId="76" priority="97" stopIfTrue="1" operator="equal">
      <formula>0</formula>
    </cfRule>
    <cfRule type="cellIs" dxfId="75" priority="98" stopIfTrue="1" operator="equal">
      <formula>0</formula>
    </cfRule>
  </conditionalFormatting>
  <conditionalFormatting sqref="B616">
    <cfRule type="cellIs" dxfId="74" priority="93" stopIfTrue="1" operator="equal">
      <formula>0</formula>
    </cfRule>
    <cfRule type="cellIs" dxfId="73" priority="94" stopIfTrue="1" operator="equal">
      <formula>0</formula>
    </cfRule>
    <cfRule type="cellIs" dxfId="72" priority="95" stopIfTrue="1" operator="equal">
      <formula>0</formula>
    </cfRule>
  </conditionalFormatting>
  <conditionalFormatting sqref="B611">
    <cfRule type="cellIs" dxfId="71" priority="90" stopIfTrue="1" operator="equal">
      <formula>0</formula>
    </cfRule>
    <cfRule type="cellIs" dxfId="70" priority="91" stopIfTrue="1" operator="equal">
      <formula>0</formula>
    </cfRule>
    <cfRule type="cellIs" dxfId="69" priority="92" stopIfTrue="1" operator="equal">
      <formula>0</formula>
    </cfRule>
  </conditionalFormatting>
  <conditionalFormatting sqref="B609">
    <cfRule type="cellIs" dxfId="68" priority="87" stopIfTrue="1" operator="equal">
      <formula>0</formula>
    </cfRule>
    <cfRule type="cellIs" dxfId="67" priority="88" stopIfTrue="1" operator="equal">
      <formula>0</formula>
    </cfRule>
    <cfRule type="cellIs" dxfId="66" priority="89" stopIfTrue="1" operator="equal">
      <formula>0</formula>
    </cfRule>
  </conditionalFormatting>
  <conditionalFormatting sqref="B620">
    <cfRule type="cellIs" dxfId="65" priority="84" stopIfTrue="1" operator="equal">
      <formula>0</formula>
    </cfRule>
    <cfRule type="cellIs" dxfId="64" priority="85" stopIfTrue="1" operator="equal">
      <formula>0</formula>
    </cfRule>
    <cfRule type="cellIs" dxfId="63" priority="86" stopIfTrue="1" operator="equal">
      <formula>0</formula>
    </cfRule>
  </conditionalFormatting>
  <conditionalFormatting sqref="B610">
    <cfRule type="cellIs" dxfId="62" priority="81" stopIfTrue="1" operator="equal">
      <formula>0</formula>
    </cfRule>
    <cfRule type="cellIs" dxfId="61" priority="82" stopIfTrue="1" operator="equal">
      <formula>0</formula>
    </cfRule>
    <cfRule type="cellIs" dxfId="60" priority="83" stopIfTrue="1" operator="equal">
      <formula>0</formula>
    </cfRule>
  </conditionalFormatting>
  <conditionalFormatting sqref="B619">
    <cfRule type="cellIs" dxfId="59" priority="78" stopIfTrue="1" operator="equal">
      <formula>0</formula>
    </cfRule>
    <cfRule type="cellIs" dxfId="58" priority="79" stopIfTrue="1" operator="equal">
      <formula>0</formula>
    </cfRule>
    <cfRule type="cellIs" dxfId="57" priority="80" stopIfTrue="1" operator="equal">
      <formula>0</formula>
    </cfRule>
  </conditionalFormatting>
  <conditionalFormatting sqref="F34">
    <cfRule type="cellIs" dxfId="56" priority="69" stopIfTrue="1" operator="equal">
      <formula>0</formula>
    </cfRule>
    <cfRule type="cellIs" dxfId="55" priority="70" stopIfTrue="1" operator="equal">
      <formula>0</formula>
    </cfRule>
    <cfRule type="cellIs" dxfId="54" priority="71" stopIfTrue="1" operator="equal">
      <formula>0</formula>
    </cfRule>
  </conditionalFormatting>
  <conditionalFormatting sqref="B404">
    <cfRule type="cellIs" dxfId="53" priority="72" stopIfTrue="1" operator="equal">
      <formula>0</formula>
    </cfRule>
    <cfRule type="cellIs" dxfId="52" priority="73" stopIfTrue="1" operator="equal">
      <formula>0</formula>
    </cfRule>
    <cfRule type="cellIs" dxfId="51" priority="74" stopIfTrue="1" operator="equal">
      <formula>0</formula>
    </cfRule>
  </conditionalFormatting>
  <conditionalFormatting sqref="F25:F26">
    <cfRule type="cellIs" dxfId="50" priority="66" stopIfTrue="1" operator="equal">
      <formula>0</formula>
    </cfRule>
    <cfRule type="cellIs" dxfId="49" priority="67" stopIfTrue="1" operator="equal">
      <formula>0</formula>
    </cfRule>
    <cfRule type="cellIs" dxfId="48" priority="68" stopIfTrue="1" operator="equal">
      <formula>0</formula>
    </cfRule>
  </conditionalFormatting>
  <conditionalFormatting sqref="F54">
    <cfRule type="cellIs" dxfId="47" priority="63" stopIfTrue="1" operator="equal">
      <formula>0</formula>
    </cfRule>
    <cfRule type="cellIs" dxfId="46" priority="64" stopIfTrue="1" operator="equal">
      <formula>0</formula>
    </cfRule>
    <cfRule type="cellIs" dxfId="45" priority="65" stopIfTrue="1" operator="equal">
      <formula>0</formula>
    </cfRule>
  </conditionalFormatting>
  <conditionalFormatting sqref="F65">
    <cfRule type="cellIs" dxfId="44" priority="60" stopIfTrue="1" operator="equal">
      <formula>0</formula>
    </cfRule>
    <cfRule type="cellIs" dxfId="43" priority="61" stopIfTrue="1" operator="equal">
      <formula>0</formula>
    </cfRule>
    <cfRule type="cellIs" dxfId="42" priority="62" stopIfTrue="1" operator="equal">
      <formula>0</formula>
    </cfRule>
  </conditionalFormatting>
  <conditionalFormatting sqref="B115:B116">
    <cfRule type="cellIs" dxfId="41" priority="57" stopIfTrue="1" operator="equal">
      <formula>0</formula>
    </cfRule>
    <cfRule type="cellIs" dxfId="40" priority="58" stopIfTrue="1" operator="equal">
      <formula>0</formula>
    </cfRule>
    <cfRule type="cellIs" dxfId="39" priority="59" stopIfTrue="1" operator="equal">
      <formula>0</formula>
    </cfRule>
  </conditionalFormatting>
  <conditionalFormatting sqref="F564">
    <cfRule type="cellIs" dxfId="38" priority="54" stopIfTrue="1" operator="equal">
      <formula>0</formula>
    </cfRule>
    <cfRule type="cellIs" dxfId="37" priority="55" stopIfTrue="1" operator="equal">
      <formula>0</formula>
    </cfRule>
    <cfRule type="cellIs" dxfId="36" priority="56" stopIfTrue="1" operator="equal">
      <formula>0</formula>
    </cfRule>
  </conditionalFormatting>
  <conditionalFormatting sqref="F559 F563">
    <cfRule type="cellIs" dxfId="35" priority="51" stopIfTrue="1" operator="equal">
      <formula>0</formula>
    </cfRule>
    <cfRule type="cellIs" dxfId="34" priority="52" stopIfTrue="1" operator="equal">
      <formula>0</formula>
    </cfRule>
    <cfRule type="cellIs" dxfId="33" priority="53" stopIfTrue="1" operator="equal">
      <formula>0</formula>
    </cfRule>
  </conditionalFormatting>
  <conditionalFormatting sqref="B88">
    <cfRule type="cellIs" dxfId="32" priority="41" stopIfTrue="1" operator="equal">
      <formula>0</formula>
    </cfRule>
    <cfRule type="cellIs" dxfId="31" priority="42" stopIfTrue="1" operator="equal">
      <formula>0</formula>
    </cfRule>
    <cfRule type="cellIs" dxfId="30" priority="43" stopIfTrue="1" operator="equal">
      <formula>0</formula>
    </cfRule>
  </conditionalFormatting>
  <conditionalFormatting sqref="B101:B102">
    <cfRule type="cellIs" dxfId="29" priority="38" stopIfTrue="1" operator="equal">
      <formula>0</formula>
    </cfRule>
    <cfRule type="cellIs" dxfId="28" priority="39" stopIfTrue="1" operator="equal">
      <formula>0</formula>
    </cfRule>
    <cfRule type="cellIs" dxfId="27" priority="40" stopIfTrue="1" operator="equal">
      <formula>0</formula>
    </cfRule>
  </conditionalFormatting>
  <conditionalFormatting sqref="B281">
    <cfRule type="cellIs" dxfId="26" priority="35" stopIfTrue="1" operator="equal">
      <formula>0</formula>
    </cfRule>
    <cfRule type="cellIs" dxfId="25" priority="36" stopIfTrue="1" operator="equal">
      <formula>0</formula>
    </cfRule>
    <cfRule type="cellIs" dxfId="24" priority="37" stopIfTrue="1" operator="equal">
      <formula>0</formula>
    </cfRule>
  </conditionalFormatting>
  <conditionalFormatting sqref="B325">
    <cfRule type="cellIs" dxfId="23" priority="29" stopIfTrue="1" operator="equal">
      <formula>0</formula>
    </cfRule>
    <cfRule type="cellIs" dxfId="22" priority="30" stopIfTrue="1" operator="equal">
      <formula>0</formula>
    </cfRule>
    <cfRule type="cellIs" dxfId="21" priority="31" stopIfTrue="1" operator="equal">
      <formula>0</formula>
    </cfRule>
  </conditionalFormatting>
  <conditionalFormatting sqref="F560:F562">
    <cfRule type="cellIs" dxfId="20" priority="21" stopIfTrue="1" operator="equal">
      <formula>0</formula>
    </cfRule>
    <cfRule type="cellIs" dxfId="19" priority="22" stopIfTrue="1" operator="equal">
      <formula>0</formula>
    </cfRule>
    <cfRule type="cellIs" dxfId="18" priority="23" stopIfTrue="1" operator="equal">
      <formula>0</formula>
    </cfRule>
  </conditionalFormatting>
  <conditionalFormatting sqref="B617">
    <cfRule type="cellIs" dxfId="17" priority="16" stopIfTrue="1" operator="equal">
      <formula>0</formula>
    </cfRule>
    <cfRule type="cellIs" dxfId="16" priority="17" stopIfTrue="1" operator="equal">
      <formula>0</formula>
    </cfRule>
    <cfRule type="cellIs" dxfId="15" priority="18" stopIfTrue="1" operator="equal">
      <formula>0</formula>
    </cfRule>
  </conditionalFormatting>
  <conditionalFormatting sqref="B618">
    <cfRule type="cellIs" dxfId="14" priority="13" stopIfTrue="1" operator="equal">
      <formula>0</formula>
    </cfRule>
    <cfRule type="cellIs" dxfId="13" priority="14" stopIfTrue="1" operator="equal">
      <formula>0</formula>
    </cfRule>
    <cfRule type="cellIs" dxfId="12" priority="15" stopIfTrue="1" operator="equal">
      <formula>0</formula>
    </cfRule>
  </conditionalFormatting>
  <conditionalFormatting sqref="F216">
    <cfRule type="cellIs" dxfId="11" priority="10" stopIfTrue="1" operator="equal">
      <formula>0</formula>
    </cfRule>
    <cfRule type="cellIs" dxfId="10" priority="11" stopIfTrue="1" operator="equal">
      <formula>0</formula>
    </cfRule>
    <cfRule type="cellIs" dxfId="9" priority="12" stopIfTrue="1" operator="equal">
      <formula>0</formula>
    </cfRule>
  </conditionalFormatting>
  <conditionalFormatting sqref="F272">
    <cfRule type="cellIs" dxfId="8" priority="7" stopIfTrue="1" operator="equal">
      <formula>0</formula>
    </cfRule>
    <cfRule type="cellIs" dxfId="7" priority="8" stopIfTrue="1" operator="equal">
      <formula>0</formula>
    </cfRule>
    <cfRule type="cellIs" dxfId="6" priority="9" stopIfTrue="1" operator="equal">
      <formula>0</formula>
    </cfRule>
  </conditionalFormatting>
  <conditionalFormatting sqref="F187:F190">
    <cfRule type="cellIs" dxfId="5" priority="4" stopIfTrue="1" operator="equal">
      <formula>0</formula>
    </cfRule>
    <cfRule type="cellIs" dxfId="4" priority="5" stopIfTrue="1" operator="equal">
      <formula>0</formula>
    </cfRule>
    <cfRule type="cellIs" dxfId="3" priority="6" stopIfTrue="1" operator="equal">
      <formula>0</formula>
    </cfRule>
  </conditionalFormatting>
  <conditionalFormatting sqref="F570">
    <cfRule type="cellIs" dxfId="2" priority="1" stopIfTrue="1" operator="equal">
      <formula>0</formula>
    </cfRule>
    <cfRule type="cellIs" dxfId="1" priority="2" stopIfTrue="1" operator="equal">
      <formula>0</formula>
    </cfRule>
    <cfRule type="cellIs" dxfId="0" priority="3" stopIfTrue="1" operator="equal">
      <formula>0</formula>
    </cfRule>
  </conditionalFormatting>
  <printOptions horizontalCentered="1"/>
  <pageMargins left="0.5" right="0.2" top="0.5" bottom="0.2" header="0.24" footer="0.2"/>
  <pageSetup paperSize="9" scale="80" orientation="landscape" r:id="rId1"/>
  <headerFooter alignWithMargins="0"/>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BQ117"/>
  <sheetViews>
    <sheetView showZeros="0" topLeftCell="B4" zoomScale="75" workbookViewId="0">
      <pane xSplit="3" ySplit="4" topLeftCell="AU56" activePane="bottomRight" state="frozen"/>
      <selection activeCell="B4" sqref="B4"/>
      <selection pane="topRight" activeCell="E4" sqref="E4"/>
      <selection pane="bottomLeft" activeCell="B8" sqref="B8"/>
      <selection pane="bottomRight" activeCell="AU38" sqref="AU38"/>
    </sheetView>
  </sheetViews>
  <sheetFormatPr defaultRowHeight="24.95" customHeight="1"/>
  <cols>
    <col min="1" max="1" width="10.140625" customWidth="1"/>
    <col min="2" max="2" width="47.140625" customWidth="1"/>
    <col min="3" max="3" width="8.28515625" customWidth="1"/>
    <col min="4" max="4" width="13.5703125" customWidth="1"/>
    <col min="5" max="5" width="11.28515625" customWidth="1"/>
    <col min="6" max="6" width="0.140625" hidden="1" customWidth="1"/>
    <col min="7" max="7" width="11.28515625" hidden="1" customWidth="1"/>
    <col min="8" max="8" width="10.85546875" customWidth="1"/>
    <col min="9" max="9" width="11.140625" customWidth="1"/>
    <col min="10" max="10" width="10.5703125" customWidth="1"/>
    <col min="11" max="11" width="10" hidden="1" customWidth="1"/>
    <col min="12" max="12" width="11.140625" hidden="1" customWidth="1"/>
    <col min="13" max="13" width="11.85546875" customWidth="1"/>
    <col min="14" max="14" width="11.140625" customWidth="1"/>
    <col min="15" max="15" width="11.28515625" hidden="1" customWidth="1"/>
    <col min="16" max="16" width="12.85546875" customWidth="1"/>
    <col min="17" max="17" width="12.28515625" customWidth="1"/>
    <col min="18" max="18" width="10.85546875" customWidth="1"/>
    <col min="19" max="19" width="9" customWidth="1"/>
    <col min="20" max="20" width="10.140625" hidden="1" customWidth="1"/>
    <col min="21" max="21" width="9.85546875" customWidth="1"/>
    <col min="22" max="22" width="11.5703125" customWidth="1"/>
    <col min="23" max="23" width="11.140625" customWidth="1"/>
    <col min="24" max="24" width="10.7109375" customWidth="1"/>
    <col min="25" max="25" width="10.42578125" customWidth="1"/>
    <col min="26" max="26" width="11.140625" customWidth="1"/>
    <col min="27" max="27" width="9.85546875" customWidth="1"/>
    <col min="28" max="39" width="10.42578125" customWidth="1"/>
    <col min="40" max="40" width="11" customWidth="1"/>
    <col min="41" max="43" width="9.42578125" customWidth="1"/>
    <col min="44" max="44" width="10.85546875" customWidth="1"/>
    <col min="45" max="45" width="13.7109375" customWidth="1"/>
    <col min="46" max="47" width="9.42578125" customWidth="1"/>
    <col min="48" max="48" width="11.5703125" customWidth="1"/>
    <col min="49" max="59" width="9" customWidth="1"/>
    <col min="60" max="60" width="10.140625" customWidth="1"/>
    <col min="61" max="62" width="9.85546875" customWidth="1"/>
    <col min="64" max="64" width="11.140625" customWidth="1"/>
    <col min="65" max="65" width="12.140625" customWidth="1"/>
    <col min="66" max="66" width="13" customWidth="1"/>
    <col min="67" max="67" width="9.5703125" bestFit="1" customWidth="1"/>
  </cols>
  <sheetData>
    <row r="1" spans="1:69" ht="24.95" customHeight="1">
      <c r="A1" s="1300" t="s">
        <v>301</v>
      </c>
      <c r="B1" s="1300"/>
    </row>
    <row r="2" spans="1:69" ht="36.75" customHeight="1">
      <c r="A2" s="1282" t="s">
        <v>967</v>
      </c>
      <c r="B2" s="1282"/>
      <c r="C2" s="1282"/>
      <c r="D2" s="1282"/>
      <c r="E2" s="1282"/>
      <c r="F2" s="1282"/>
      <c r="G2" s="1282"/>
      <c r="H2" s="1282"/>
      <c r="I2" s="1282"/>
      <c r="J2" s="1282"/>
      <c r="K2" s="1282"/>
      <c r="L2" s="1282"/>
      <c r="M2" s="1282"/>
      <c r="N2" s="1282"/>
      <c r="O2" s="1282"/>
      <c r="P2" s="1282"/>
      <c r="Q2" s="1282"/>
      <c r="R2" s="1282"/>
      <c r="S2" s="1282"/>
      <c r="T2" s="1282"/>
      <c r="U2" s="1282"/>
      <c r="V2" s="1282"/>
      <c r="W2" s="1282"/>
      <c r="X2" s="1282"/>
      <c r="Y2" s="1282"/>
      <c r="Z2" s="1282"/>
      <c r="AA2" s="1282"/>
      <c r="AB2" s="1282"/>
      <c r="AC2" s="1282"/>
      <c r="AD2" s="1282"/>
      <c r="AE2" s="1282"/>
      <c r="AF2" s="1282"/>
      <c r="AG2" s="1282"/>
      <c r="AH2" s="1282"/>
      <c r="AI2" s="1282"/>
      <c r="AJ2" s="1282"/>
      <c r="AK2" s="1282"/>
      <c r="AL2" s="1282"/>
      <c r="AM2" s="1282"/>
      <c r="AN2" s="1282"/>
      <c r="AO2" s="1282"/>
      <c r="AP2" s="1282"/>
      <c r="AQ2" s="1282"/>
      <c r="AR2" s="1282"/>
      <c r="AS2" s="1282"/>
      <c r="AT2" s="1282"/>
      <c r="AU2" s="1282"/>
      <c r="AV2" s="1282"/>
      <c r="AW2" s="1282"/>
      <c r="AX2" s="1282"/>
      <c r="AY2" s="1282"/>
      <c r="AZ2" s="1282"/>
      <c r="BA2" s="1282"/>
      <c r="BB2" s="1282"/>
      <c r="BC2" s="1282"/>
      <c r="BD2" s="1282"/>
      <c r="BE2" s="1282"/>
      <c r="BF2" s="1282"/>
      <c r="BG2" s="1282"/>
      <c r="BH2" s="1282"/>
      <c r="BI2" s="1282"/>
      <c r="BJ2" s="1282"/>
      <c r="BK2" s="1282"/>
      <c r="BL2" s="1282"/>
      <c r="BM2" s="1282"/>
      <c r="BN2" s="1282"/>
    </row>
    <row r="4" spans="1:69" ht="33" customHeight="1">
      <c r="A4" s="1275" t="s">
        <v>136</v>
      </c>
      <c r="B4" s="1275" t="s">
        <v>469</v>
      </c>
      <c r="C4" s="1275" t="s">
        <v>13</v>
      </c>
      <c r="D4" s="1275" t="s">
        <v>693</v>
      </c>
      <c r="E4" s="1368" t="s">
        <v>694</v>
      </c>
      <c r="F4" s="1368"/>
      <c r="G4" s="1368"/>
      <c r="H4" s="1368"/>
      <c r="I4" s="1368"/>
      <c r="J4" s="1368"/>
      <c r="K4" s="1368"/>
      <c r="L4" s="1368"/>
      <c r="M4" s="1368"/>
      <c r="N4" s="1368"/>
      <c r="O4" s="1368"/>
      <c r="P4" s="1368"/>
      <c r="Q4" s="1368"/>
      <c r="R4" s="1368"/>
      <c r="S4" s="1368"/>
      <c r="T4" s="1368"/>
      <c r="U4" s="1368"/>
      <c r="V4" s="1368"/>
      <c r="W4" s="1368"/>
      <c r="X4" s="1368"/>
      <c r="Y4" s="1368"/>
      <c r="Z4" s="1368"/>
      <c r="AA4" s="1368"/>
      <c r="AB4" s="1368"/>
      <c r="AC4" s="1368"/>
      <c r="AD4" s="1368"/>
      <c r="AE4" s="1368"/>
      <c r="AF4" s="1368"/>
      <c r="AG4" s="1368"/>
      <c r="AH4" s="1368"/>
      <c r="AI4" s="1368"/>
      <c r="AJ4" s="1368"/>
      <c r="AK4" s="1368"/>
      <c r="AL4" s="1368"/>
      <c r="AM4" s="1368"/>
      <c r="AN4" s="1368"/>
      <c r="AO4" s="1368"/>
      <c r="AP4" s="1368"/>
      <c r="AQ4" s="1368"/>
      <c r="AR4" s="1368"/>
      <c r="AS4" s="1368"/>
      <c r="AT4" s="1368"/>
      <c r="AU4" s="1368"/>
      <c r="AV4" s="1368"/>
      <c r="AW4" s="1368"/>
      <c r="AX4" s="1368"/>
      <c r="AY4" s="1368"/>
      <c r="AZ4" s="1368"/>
      <c r="BA4" s="1368"/>
      <c r="BB4" s="1368"/>
      <c r="BC4" s="1368"/>
      <c r="BD4" s="1368"/>
      <c r="BE4" s="1368"/>
      <c r="BF4" s="1368"/>
      <c r="BG4" s="1368"/>
      <c r="BH4" s="1368"/>
      <c r="BI4" s="1368"/>
      <c r="BJ4" s="1368"/>
      <c r="BK4" s="1368"/>
      <c r="BL4" s="1365" t="s">
        <v>191</v>
      </c>
      <c r="BM4" s="1365" t="s">
        <v>493</v>
      </c>
      <c r="BN4" s="1365" t="s">
        <v>695</v>
      </c>
    </row>
    <row r="5" spans="1:69" ht="35.25" customHeight="1">
      <c r="A5" s="1275"/>
      <c r="B5" s="1275"/>
      <c r="C5" s="1275"/>
      <c r="D5" s="1275"/>
      <c r="E5" s="128" t="s">
        <v>15</v>
      </c>
      <c r="F5" s="128" t="s">
        <v>193</v>
      </c>
      <c r="G5" s="128" t="s">
        <v>194</v>
      </c>
      <c r="H5" s="128" t="s">
        <v>18</v>
      </c>
      <c r="I5" s="128" t="s">
        <v>20</v>
      </c>
      <c r="J5" s="128" t="s">
        <v>195</v>
      </c>
      <c r="K5" s="128" t="s">
        <v>196</v>
      </c>
      <c r="L5" s="128" t="s">
        <v>197</v>
      </c>
      <c r="M5" s="128" t="s">
        <v>23</v>
      </c>
      <c r="N5" s="128" t="s">
        <v>26</v>
      </c>
      <c r="O5" s="128" t="s">
        <v>198</v>
      </c>
      <c r="P5" s="128" t="s">
        <v>29</v>
      </c>
      <c r="Q5" s="128" t="s">
        <v>32</v>
      </c>
      <c r="R5" s="128" t="s">
        <v>35</v>
      </c>
      <c r="S5" s="128" t="s">
        <v>38</v>
      </c>
      <c r="T5" s="128" t="s">
        <v>41</v>
      </c>
      <c r="U5" s="128" t="s">
        <v>44</v>
      </c>
      <c r="V5" s="128" t="s">
        <v>46</v>
      </c>
      <c r="W5" s="128" t="s">
        <v>49</v>
      </c>
      <c r="X5" s="128" t="s">
        <v>52</v>
      </c>
      <c r="Y5" s="128" t="s">
        <v>55</v>
      </c>
      <c r="Z5" s="128" t="s">
        <v>58</v>
      </c>
      <c r="AA5" s="128" t="s">
        <v>61</v>
      </c>
      <c r="AB5" s="128" t="s">
        <v>64</v>
      </c>
      <c r="AC5" s="128" t="s">
        <v>67</v>
      </c>
      <c r="AD5" s="128" t="s">
        <v>70</v>
      </c>
      <c r="AE5" s="128" t="s">
        <v>72</v>
      </c>
      <c r="AF5" s="128" t="s">
        <v>202</v>
      </c>
      <c r="AG5" s="128" t="s">
        <v>203</v>
      </c>
      <c r="AH5" s="128" t="s">
        <v>204</v>
      </c>
      <c r="AI5" s="128" t="s">
        <v>205</v>
      </c>
      <c r="AJ5" s="128" t="s">
        <v>206</v>
      </c>
      <c r="AK5" s="128" t="s">
        <v>207</v>
      </c>
      <c r="AL5" s="128" t="s">
        <v>199</v>
      </c>
      <c r="AM5" s="128" t="s">
        <v>200</v>
      </c>
      <c r="AN5" s="128" t="s">
        <v>223</v>
      </c>
      <c r="AO5" s="128" t="s">
        <v>201</v>
      </c>
      <c r="AP5" s="128" t="s">
        <v>208</v>
      </c>
      <c r="AQ5" s="128" t="s">
        <v>75</v>
      </c>
      <c r="AR5" s="128" t="s">
        <v>78</v>
      </c>
      <c r="AS5" s="128" t="s">
        <v>81</v>
      </c>
      <c r="AT5" s="128" t="s">
        <v>84</v>
      </c>
      <c r="AU5" s="128" t="s">
        <v>87</v>
      </c>
      <c r="AV5" s="128" t="s">
        <v>90</v>
      </c>
      <c r="AW5" s="128" t="s">
        <v>93</v>
      </c>
      <c r="AX5" s="128" t="s">
        <v>96</v>
      </c>
      <c r="AY5" s="128" t="s">
        <v>99</v>
      </c>
      <c r="AZ5" s="128" t="s">
        <v>101</v>
      </c>
      <c r="BA5" s="128" t="s">
        <v>104</v>
      </c>
      <c r="BB5" s="128" t="s">
        <v>107</v>
      </c>
      <c r="BC5" s="128" t="s">
        <v>110</v>
      </c>
      <c r="BD5" s="128" t="s">
        <v>113</v>
      </c>
      <c r="BE5" s="128" t="s">
        <v>116</v>
      </c>
      <c r="BF5" s="128" t="s">
        <v>119</v>
      </c>
      <c r="BG5" s="128" t="s">
        <v>122</v>
      </c>
      <c r="BH5" s="128" t="s">
        <v>124</v>
      </c>
      <c r="BI5" s="128" t="s">
        <v>209</v>
      </c>
      <c r="BJ5" s="128" t="s">
        <v>210</v>
      </c>
      <c r="BK5" s="128" t="s">
        <v>211</v>
      </c>
      <c r="BL5" s="1366"/>
      <c r="BM5" s="1366"/>
      <c r="BN5" s="1366"/>
    </row>
    <row r="6" spans="1:69" ht="24.95" customHeight="1">
      <c r="A6" s="130" t="s">
        <v>235</v>
      </c>
      <c r="B6" s="130" t="s">
        <v>236</v>
      </c>
      <c r="C6" s="129" t="s">
        <v>237</v>
      </c>
      <c r="D6" s="129" t="s">
        <v>238</v>
      </c>
      <c r="E6" s="129" t="s">
        <v>239</v>
      </c>
      <c r="F6" s="129" t="s">
        <v>240</v>
      </c>
      <c r="G6" s="129" t="s">
        <v>241</v>
      </c>
      <c r="H6" s="129" t="s">
        <v>242</v>
      </c>
      <c r="I6" s="129" t="s">
        <v>243</v>
      </c>
      <c r="J6" s="129" t="s">
        <v>244</v>
      </c>
      <c r="K6" s="129" t="s">
        <v>245</v>
      </c>
      <c r="L6" s="129" t="s">
        <v>246</v>
      </c>
      <c r="M6" s="129" t="s">
        <v>247</v>
      </c>
      <c r="N6" s="129" t="s">
        <v>248</v>
      </c>
      <c r="O6" s="129" t="s">
        <v>249</v>
      </c>
      <c r="P6" s="129" t="s">
        <v>250</v>
      </c>
      <c r="Q6" s="129" t="s">
        <v>251</v>
      </c>
      <c r="R6" s="129" t="s">
        <v>252</v>
      </c>
      <c r="S6" s="129" t="s">
        <v>253</v>
      </c>
      <c r="T6" s="129" t="s">
        <v>254</v>
      </c>
      <c r="U6" s="129" t="s">
        <v>255</v>
      </c>
      <c r="V6" s="129" t="s">
        <v>256</v>
      </c>
      <c r="W6" s="129" t="s">
        <v>257</v>
      </c>
      <c r="X6" s="129" t="s">
        <v>258</v>
      </c>
      <c r="Y6" s="129" t="s">
        <v>259</v>
      </c>
      <c r="Z6" s="129" t="s">
        <v>260</v>
      </c>
      <c r="AA6" s="129" t="s">
        <v>261</v>
      </c>
      <c r="AB6" s="129" t="s">
        <v>262</v>
      </c>
      <c r="AC6" s="129" t="s">
        <v>263</v>
      </c>
      <c r="AD6" s="129" t="s">
        <v>264</v>
      </c>
      <c r="AE6" s="129" t="s">
        <v>265</v>
      </c>
      <c r="AF6" s="129" t="s">
        <v>266</v>
      </c>
      <c r="AG6" s="129" t="s">
        <v>267</v>
      </c>
      <c r="AH6" s="129" t="s">
        <v>268</v>
      </c>
      <c r="AI6" s="129" t="s">
        <v>269</v>
      </c>
      <c r="AJ6" s="129" t="s">
        <v>270</v>
      </c>
      <c r="AK6" s="129" t="s">
        <v>271</v>
      </c>
      <c r="AL6" s="129" t="s">
        <v>272</v>
      </c>
      <c r="AM6" s="129" t="s">
        <v>273</v>
      </c>
      <c r="AN6" s="129" t="s">
        <v>274</v>
      </c>
      <c r="AO6" s="129" t="s">
        <v>275</v>
      </c>
      <c r="AP6" s="129" t="s">
        <v>276</v>
      </c>
      <c r="AQ6" s="129" t="s">
        <v>277</v>
      </c>
      <c r="AR6" s="129" t="s">
        <v>278</v>
      </c>
      <c r="AS6" s="129" t="s">
        <v>279</v>
      </c>
      <c r="AT6" s="129" t="s">
        <v>280</v>
      </c>
      <c r="AU6" s="129" t="s">
        <v>281</v>
      </c>
      <c r="AV6" s="129" t="s">
        <v>282</v>
      </c>
      <c r="AW6" s="129" t="s">
        <v>283</v>
      </c>
      <c r="AX6" s="129" t="s">
        <v>284</v>
      </c>
      <c r="AY6" s="129" t="s">
        <v>285</v>
      </c>
      <c r="AZ6" s="129" t="s">
        <v>286</v>
      </c>
      <c r="BA6" s="129" t="s">
        <v>287</v>
      </c>
      <c r="BB6" s="129" t="s">
        <v>288</v>
      </c>
      <c r="BC6" s="129" t="s">
        <v>289</v>
      </c>
      <c r="BD6" s="129" t="s">
        <v>290</v>
      </c>
      <c r="BE6" s="129" t="s">
        <v>291</v>
      </c>
      <c r="BF6" s="129" t="s">
        <v>292</v>
      </c>
      <c r="BG6" s="129" t="s">
        <v>293</v>
      </c>
      <c r="BH6" s="129" t="s">
        <v>294</v>
      </c>
      <c r="BI6" s="129" t="s">
        <v>295</v>
      </c>
      <c r="BJ6" s="129" t="s">
        <v>296</v>
      </c>
      <c r="BK6" s="129" t="s">
        <v>297</v>
      </c>
      <c r="BL6" s="129" t="s">
        <v>298</v>
      </c>
      <c r="BM6" s="129" t="s">
        <v>299</v>
      </c>
      <c r="BN6" s="129" t="s">
        <v>300</v>
      </c>
      <c r="BQ6">
        <v>254.84</v>
      </c>
    </row>
    <row r="7" spans="1:69" s="117" customFormat="1" ht="31.5" customHeight="1">
      <c r="A7" s="12"/>
      <c r="B7" s="12" t="s">
        <v>470</v>
      </c>
      <c r="C7" s="160"/>
      <c r="D7" s="466">
        <f>D8+D25+D63</f>
        <v>1129.7995000000001</v>
      </c>
      <c r="E7" s="466">
        <f>E8+E25+E63</f>
        <v>681.01200000000006</v>
      </c>
      <c r="F7" s="466">
        <f t="shared" ref="F7:BN7" si="0">F8+F25+F63</f>
        <v>371.31200000000001</v>
      </c>
      <c r="G7" s="466">
        <f t="shared" si="0"/>
        <v>261.94200000000001</v>
      </c>
      <c r="H7" s="466">
        <f t="shared" si="0"/>
        <v>234.18289999999999</v>
      </c>
      <c r="I7" s="466">
        <f t="shared" si="0"/>
        <v>90.982900000000001</v>
      </c>
      <c r="J7" s="466">
        <f t="shared" si="0"/>
        <v>143.19999999999999</v>
      </c>
      <c r="K7" s="466">
        <f t="shared" si="0"/>
        <v>0</v>
      </c>
      <c r="L7" s="466">
        <f t="shared" si="0"/>
        <v>0</v>
      </c>
      <c r="M7" s="466">
        <f t="shared" si="0"/>
        <v>27.7591</v>
      </c>
      <c r="N7" s="466">
        <f t="shared" si="0"/>
        <v>109.37</v>
      </c>
      <c r="O7" s="466">
        <f t="shared" si="0"/>
        <v>128.85</v>
      </c>
      <c r="P7" s="466">
        <f t="shared" si="0"/>
        <v>13.91</v>
      </c>
      <c r="Q7" s="466">
        <f t="shared" si="0"/>
        <v>0</v>
      </c>
      <c r="R7" s="466">
        <f t="shared" si="0"/>
        <v>114.94</v>
      </c>
      <c r="S7" s="466">
        <f t="shared" si="0"/>
        <v>180.78</v>
      </c>
      <c r="T7" s="466">
        <f t="shared" si="0"/>
        <v>0</v>
      </c>
      <c r="U7" s="466">
        <f t="shared" si="0"/>
        <v>7.0000000000000007E-2</v>
      </c>
      <c r="V7" s="466">
        <f t="shared" si="0"/>
        <v>407.68439999999998</v>
      </c>
      <c r="W7" s="466">
        <f t="shared" si="0"/>
        <v>14.43</v>
      </c>
      <c r="X7" s="466">
        <f t="shared" si="0"/>
        <v>0.16</v>
      </c>
      <c r="Y7" s="466">
        <f t="shared" si="0"/>
        <v>0</v>
      </c>
      <c r="Z7" s="466">
        <f t="shared" si="0"/>
        <v>0</v>
      </c>
      <c r="AA7" s="466">
        <f t="shared" si="0"/>
        <v>0</v>
      </c>
      <c r="AB7" s="466">
        <f t="shared" si="0"/>
        <v>17.664200000000001</v>
      </c>
      <c r="AC7" s="466">
        <f t="shared" si="0"/>
        <v>60.28</v>
      </c>
      <c r="AD7" s="466">
        <f t="shared" si="0"/>
        <v>0</v>
      </c>
      <c r="AE7" s="466">
        <f t="shared" si="0"/>
        <v>137.05280000000002</v>
      </c>
      <c r="AF7" s="466">
        <f t="shared" si="0"/>
        <v>0.58000000000000007</v>
      </c>
      <c r="AG7" s="466">
        <f t="shared" si="0"/>
        <v>5.7237</v>
      </c>
      <c r="AH7" s="466">
        <f t="shared" si="0"/>
        <v>7.8800000000000008</v>
      </c>
      <c r="AI7" s="466">
        <f t="shared" si="0"/>
        <v>2.9395000000000002</v>
      </c>
      <c r="AJ7" s="466">
        <f t="shared" si="0"/>
        <v>0</v>
      </c>
      <c r="AK7" s="466">
        <f t="shared" si="0"/>
        <v>0</v>
      </c>
      <c r="AL7" s="466">
        <f t="shared" si="0"/>
        <v>103.5535</v>
      </c>
      <c r="AM7" s="466">
        <f t="shared" si="0"/>
        <v>14.536099999999999</v>
      </c>
      <c r="AN7" s="466">
        <f t="shared" si="0"/>
        <v>1.4</v>
      </c>
      <c r="AO7" s="466">
        <f t="shared" si="0"/>
        <v>0.01</v>
      </c>
      <c r="AP7" s="466">
        <f t="shared" si="0"/>
        <v>0.43</v>
      </c>
      <c r="AQ7" s="466">
        <f t="shared" si="0"/>
        <v>0</v>
      </c>
      <c r="AR7" s="466">
        <f t="shared" si="0"/>
        <v>0</v>
      </c>
      <c r="AS7" s="466">
        <f t="shared" si="0"/>
        <v>0</v>
      </c>
      <c r="AT7" s="466">
        <f t="shared" si="0"/>
        <v>0</v>
      </c>
      <c r="AU7" s="466">
        <f t="shared" si="0"/>
        <v>60.9465</v>
      </c>
      <c r="AV7" s="466">
        <f t="shared" si="0"/>
        <v>0.51</v>
      </c>
      <c r="AW7" s="466">
        <f t="shared" si="0"/>
        <v>0.67</v>
      </c>
      <c r="AX7" s="466">
        <f t="shared" si="0"/>
        <v>0</v>
      </c>
      <c r="AY7" s="466">
        <f t="shared" si="0"/>
        <v>0.54</v>
      </c>
      <c r="AZ7" s="466">
        <f t="shared" si="0"/>
        <v>7.26</v>
      </c>
      <c r="BA7" s="466">
        <f t="shared" si="0"/>
        <v>3.7408999999999994</v>
      </c>
      <c r="BB7" s="466">
        <f t="shared" si="0"/>
        <v>1.0900000000000001</v>
      </c>
      <c r="BC7" s="466">
        <f t="shared" si="0"/>
        <v>2.8200000000000003</v>
      </c>
      <c r="BD7" s="466">
        <f t="shared" si="0"/>
        <v>0.16</v>
      </c>
      <c r="BE7" s="466">
        <f t="shared" si="0"/>
        <v>88.62</v>
      </c>
      <c r="BF7" s="466">
        <f t="shared" si="0"/>
        <v>11.74</v>
      </c>
      <c r="BG7" s="466">
        <f t="shared" si="0"/>
        <v>0</v>
      </c>
      <c r="BH7" s="466">
        <f t="shared" si="0"/>
        <v>41.103099999999998</v>
      </c>
      <c r="BI7" s="466">
        <f t="shared" si="0"/>
        <v>38.653099999999995</v>
      </c>
      <c r="BJ7" s="466">
        <f t="shared" si="0"/>
        <v>2.4500000000000002</v>
      </c>
      <c r="BK7" s="466">
        <f t="shared" si="0"/>
        <v>0</v>
      </c>
      <c r="BL7" s="466"/>
      <c r="BM7" s="466">
        <f t="shared" si="0"/>
        <v>0</v>
      </c>
      <c r="BN7" s="466">
        <f t="shared" si="0"/>
        <v>1129.7995000000001</v>
      </c>
      <c r="BP7" s="513">
        <f>+BN7-D7</f>
        <v>0</v>
      </c>
      <c r="BQ7" s="117">
        <v>4.5</v>
      </c>
    </row>
    <row r="8" spans="1:69" s="115" customFormat="1" ht="21" customHeight="1">
      <c r="A8" s="15">
        <v>1</v>
      </c>
      <c r="B8" s="15" t="s">
        <v>14</v>
      </c>
      <c r="C8" s="158" t="s">
        <v>15</v>
      </c>
      <c r="D8" s="420">
        <f>D9+D18+D22+D23+D24</f>
        <v>701.78200000000004</v>
      </c>
      <c r="E8" s="420">
        <f>D8-BL8</f>
        <v>677.26200000000006</v>
      </c>
      <c r="F8" s="420">
        <f>G8+N8</f>
        <v>371.31200000000001</v>
      </c>
      <c r="G8" s="420">
        <f>H8+L8+M8</f>
        <v>261.94200000000001</v>
      </c>
      <c r="H8" s="420">
        <f>I8+J8+K8</f>
        <v>234.18289999999999</v>
      </c>
      <c r="I8" s="420">
        <f>I9+I18+I22+I23+I24</f>
        <v>90.982900000000001</v>
      </c>
      <c r="J8" s="420">
        <f t="shared" ref="J8:BG8" si="1">J9+J18+J22+J23+J24</f>
        <v>143.19999999999999</v>
      </c>
      <c r="K8" s="420">
        <f t="shared" si="1"/>
        <v>0</v>
      </c>
      <c r="L8" s="420">
        <f t="shared" si="1"/>
        <v>0</v>
      </c>
      <c r="M8" s="420">
        <f t="shared" si="1"/>
        <v>27.7591</v>
      </c>
      <c r="N8" s="420">
        <f t="shared" si="1"/>
        <v>109.37</v>
      </c>
      <c r="O8" s="420">
        <f>P8+Q8+R8</f>
        <v>128.85</v>
      </c>
      <c r="P8" s="420">
        <f t="shared" si="1"/>
        <v>13.91</v>
      </c>
      <c r="Q8" s="420">
        <f t="shared" si="1"/>
        <v>0</v>
      </c>
      <c r="R8" s="420">
        <f t="shared" si="1"/>
        <v>114.94</v>
      </c>
      <c r="S8" s="420">
        <f t="shared" si="1"/>
        <v>177.03</v>
      </c>
      <c r="T8" s="420">
        <f t="shared" si="1"/>
        <v>0</v>
      </c>
      <c r="U8" s="420">
        <f t="shared" si="1"/>
        <v>7.0000000000000007E-2</v>
      </c>
      <c r="V8" s="420">
        <f t="shared" si="1"/>
        <v>24.520000000000003</v>
      </c>
      <c r="W8" s="420">
        <f t="shared" si="1"/>
        <v>0</v>
      </c>
      <c r="X8" s="420">
        <f t="shared" si="1"/>
        <v>0</v>
      </c>
      <c r="Y8" s="420">
        <f t="shared" si="1"/>
        <v>0</v>
      </c>
      <c r="Z8" s="420">
        <f t="shared" si="1"/>
        <v>0</v>
      </c>
      <c r="AA8" s="420">
        <f t="shared" si="1"/>
        <v>0</v>
      </c>
      <c r="AB8" s="420">
        <f t="shared" si="1"/>
        <v>1.1400000000000001</v>
      </c>
      <c r="AC8" s="420">
        <f t="shared" si="1"/>
        <v>0</v>
      </c>
      <c r="AD8" s="420">
        <f t="shared" si="1"/>
        <v>0</v>
      </c>
      <c r="AE8" s="420">
        <f t="shared" si="1"/>
        <v>12.740000000000002</v>
      </c>
      <c r="AF8" s="420">
        <f t="shared" si="1"/>
        <v>0.57000000000000006</v>
      </c>
      <c r="AG8" s="420">
        <f t="shared" si="1"/>
        <v>0</v>
      </c>
      <c r="AH8" s="420">
        <f t="shared" si="1"/>
        <v>0.60000000000000009</v>
      </c>
      <c r="AI8" s="420">
        <f t="shared" si="1"/>
        <v>0.02</v>
      </c>
      <c r="AJ8" s="420">
        <f t="shared" si="1"/>
        <v>0</v>
      </c>
      <c r="AK8" s="420">
        <f t="shared" si="1"/>
        <v>0</v>
      </c>
      <c r="AL8" s="420">
        <f t="shared" si="1"/>
        <v>11.03</v>
      </c>
      <c r="AM8" s="420">
        <f t="shared" si="1"/>
        <v>0.52</v>
      </c>
      <c r="AN8" s="420">
        <f t="shared" si="1"/>
        <v>0</v>
      </c>
      <c r="AO8" s="420">
        <f t="shared" si="1"/>
        <v>0</v>
      </c>
      <c r="AP8" s="420">
        <f t="shared" si="1"/>
        <v>0</v>
      </c>
      <c r="AQ8" s="420">
        <f t="shared" si="1"/>
        <v>0</v>
      </c>
      <c r="AR8" s="420">
        <f t="shared" si="1"/>
        <v>0</v>
      </c>
      <c r="AS8" s="420">
        <f t="shared" si="1"/>
        <v>0</v>
      </c>
      <c r="AT8" s="420">
        <f t="shared" si="1"/>
        <v>0</v>
      </c>
      <c r="AU8" s="420">
        <f t="shared" si="1"/>
        <v>9.74</v>
      </c>
      <c r="AV8" s="420">
        <f t="shared" si="1"/>
        <v>0</v>
      </c>
      <c r="AW8" s="420">
        <f t="shared" si="1"/>
        <v>0</v>
      </c>
      <c r="AX8" s="420">
        <f t="shared" si="1"/>
        <v>0</v>
      </c>
      <c r="AY8" s="420">
        <f t="shared" si="1"/>
        <v>0</v>
      </c>
      <c r="AZ8" s="420">
        <f t="shared" si="1"/>
        <v>0</v>
      </c>
      <c r="BA8" s="420">
        <f t="shared" si="1"/>
        <v>0.19</v>
      </c>
      <c r="BB8" s="420">
        <f t="shared" si="1"/>
        <v>0</v>
      </c>
      <c r="BC8" s="420">
        <f t="shared" si="1"/>
        <v>0.70000000000000007</v>
      </c>
      <c r="BD8" s="420">
        <f t="shared" si="1"/>
        <v>0</v>
      </c>
      <c r="BE8" s="420">
        <f t="shared" si="1"/>
        <v>0</v>
      </c>
      <c r="BF8" s="420">
        <f t="shared" si="1"/>
        <v>0.01</v>
      </c>
      <c r="BG8" s="420">
        <f t="shared" si="1"/>
        <v>0</v>
      </c>
      <c r="BH8" s="420">
        <f>BH9+BH18+BH22+BH23+BH24</f>
        <v>0</v>
      </c>
      <c r="BI8" s="420">
        <f>BI9+BI18+BI22+BI23+BI24</f>
        <v>0</v>
      </c>
      <c r="BJ8" s="420">
        <f>BJ9+BJ18+BJ22+BJ23+BJ24</f>
        <v>0</v>
      </c>
      <c r="BK8" s="420">
        <f>BK9+BK18+BK22+BK23+BK24</f>
        <v>0</v>
      </c>
      <c r="BL8" s="420">
        <f>V8+BH8</f>
        <v>24.520000000000003</v>
      </c>
      <c r="BM8" s="420">
        <f>E67-BL8</f>
        <v>-20.770000000000003</v>
      </c>
      <c r="BN8" s="420">
        <f>D8+BM8</f>
        <v>681.01200000000006</v>
      </c>
      <c r="BO8" s="512">
        <f>BN11+BN16+BN17+BN19+BN21+BN22+BN24</f>
        <v>681.01200000000006</v>
      </c>
      <c r="BP8" s="512"/>
    </row>
    <row r="9" spans="1:69" ht="21.75" hidden="1" customHeight="1">
      <c r="A9" s="14" t="s">
        <v>16</v>
      </c>
      <c r="B9" s="14" t="s">
        <v>471</v>
      </c>
      <c r="C9" s="30" t="s">
        <v>193</v>
      </c>
      <c r="D9" s="185">
        <f>D10+D17</f>
        <v>394.43200000000002</v>
      </c>
      <c r="E9" s="185">
        <f>F9+O9+S9+T9+U9</f>
        <v>394.43200000000002</v>
      </c>
      <c r="F9" s="185">
        <f>D9-BK9</f>
        <v>394.43200000000002</v>
      </c>
      <c r="G9" s="185">
        <f>H9+L9+M9</f>
        <v>261.94200000000001</v>
      </c>
      <c r="H9" s="185">
        <f>I9+J9+K9</f>
        <v>234.18289999999999</v>
      </c>
      <c r="I9" s="185">
        <f>I10+I17</f>
        <v>90.982900000000001</v>
      </c>
      <c r="J9" s="185">
        <f t="shared" ref="J9:BG9" si="2">J10+J17</f>
        <v>143.19999999999999</v>
      </c>
      <c r="K9" s="185">
        <f t="shared" si="2"/>
        <v>0</v>
      </c>
      <c r="L9" s="185">
        <f t="shared" si="2"/>
        <v>0</v>
      </c>
      <c r="M9" s="185">
        <f t="shared" si="2"/>
        <v>27.7591</v>
      </c>
      <c r="N9" s="185">
        <f t="shared" si="2"/>
        <v>109.37</v>
      </c>
      <c r="O9" s="185">
        <f t="shared" ref="O9:O17" si="3">P9+Q9+R9</f>
        <v>0</v>
      </c>
      <c r="P9" s="185">
        <f t="shared" si="2"/>
        <v>0</v>
      </c>
      <c r="Q9" s="185">
        <f t="shared" si="2"/>
        <v>0</v>
      </c>
      <c r="R9" s="185">
        <f t="shared" si="2"/>
        <v>0</v>
      </c>
      <c r="S9" s="185">
        <f t="shared" si="2"/>
        <v>0</v>
      </c>
      <c r="T9" s="185">
        <f t="shared" si="2"/>
        <v>0</v>
      </c>
      <c r="U9" s="185">
        <f t="shared" si="2"/>
        <v>0</v>
      </c>
      <c r="V9" s="185">
        <f t="shared" si="2"/>
        <v>23.12</v>
      </c>
      <c r="W9" s="185">
        <f t="shared" si="2"/>
        <v>0</v>
      </c>
      <c r="X9" s="185">
        <f t="shared" si="2"/>
        <v>0</v>
      </c>
      <c r="Y9" s="185">
        <f t="shared" si="2"/>
        <v>0</v>
      </c>
      <c r="Z9" s="185">
        <f t="shared" si="2"/>
        <v>0</v>
      </c>
      <c r="AA9" s="185">
        <f t="shared" si="2"/>
        <v>0</v>
      </c>
      <c r="AB9" s="185">
        <f t="shared" si="2"/>
        <v>1.1400000000000001</v>
      </c>
      <c r="AC9" s="185">
        <f t="shared" si="2"/>
        <v>0</v>
      </c>
      <c r="AD9" s="185">
        <f t="shared" si="2"/>
        <v>0</v>
      </c>
      <c r="AE9" s="185">
        <f t="shared" si="2"/>
        <v>11.690000000000001</v>
      </c>
      <c r="AF9" s="185">
        <f t="shared" si="2"/>
        <v>0.57000000000000006</v>
      </c>
      <c r="AG9" s="185">
        <f t="shared" si="2"/>
        <v>0</v>
      </c>
      <c r="AH9" s="185">
        <f t="shared" si="2"/>
        <v>0.60000000000000009</v>
      </c>
      <c r="AI9" s="185">
        <f t="shared" si="2"/>
        <v>0.02</v>
      </c>
      <c r="AJ9" s="185">
        <f t="shared" si="2"/>
        <v>0</v>
      </c>
      <c r="AK9" s="185">
        <f t="shared" si="2"/>
        <v>0</v>
      </c>
      <c r="AL9" s="185">
        <f t="shared" si="2"/>
        <v>10.25</v>
      </c>
      <c r="AM9" s="185">
        <f t="shared" si="2"/>
        <v>0.25</v>
      </c>
      <c r="AN9" s="185">
        <f t="shared" si="2"/>
        <v>0</v>
      </c>
      <c r="AO9" s="185">
        <f t="shared" si="2"/>
        <v>0</v>
      </c>
      <c r="AP9" s="185">
        <f t="shared" si="2"/>
        <v>0</v>
      </c>
      <c r="AQ9" s="185">
        <f t="shared" si="2"/>
        <v>0</v>
      </c>
      <c r="AR9" s="185">
        <f t="shared" si="2"/>
        <v>0</v>
      </c>
      <c r="AS9" s="185">
        <f t="shared" si="2"/>
        <v>0</v>
      </c>
      <c r="AT9" s="185">
        <f t="shared" si="2"/>
        <v>0</v>
      </c>
      <c r="AU9" s="185">
        <f t="shared" si="2"/>
        <v>9.59</v>
      </c>
      <c r="AV9" s="185">
        <f t="shared" si="2"/>
        <v>0</v>
      </c>
      <c r="AW9" s="185">
        <f t="shared" si="2"/>
        <v>0</v>
      </c>
      <c r="AX9" s="185">
        <f t="shared" si="2"/>
        <v>0</v>
      </c>
      <c r="AY9" s="185">
        <f t="shared" si="2"/>
        <v>0</v>
      </c>
      <c r="AZ9" s="185">
        <f t="shared" si="2"/>
        <v>0</v>
      </c>
      <c r="BA9" s="185">
        <f t="shared" si="2"/>
        <v>0</v>
      </c>
      <c r="BB9" s="185">
        <f t="shared" si="2"/>
        <v>0</v>
      </c>
      <c r="BC9" s="185">
        <f t="shared" si="2"/>
        <v>0.69000000000000006</v>
      </c>
      <c r="BD9" s="185">
        <f t="shared" si="2"/>
        <v>0</v>
      </c>
      <c r="BE9" s="185">
        <f t="shared" si="2"/>
        <v>0</v>
      </c>
      <c r="BF9" s="185">
        <f t="shared" si="2"/>
        <v>0.01</v>
      </c>
      <c r="BG9" s="185">
        <f t="shared" si="2"/>
        <v>0</v>
      </c>
      <c r="BH9" s="185">
        <f>BH10+BH17</f>
        <v>0</v>
      </c>
      <c r="BI9" s="185">
        <f>BI10+BI17</f>
        <v>0</v>
      </c>
      <c r="BJ9" s="185">
        <f>BJ10+BJ17</f>
        <v>0</v>
      </c>
      <c r="BK9" s="185">
        <f>BK10+BK17</f>
        <v>0</v>
      </c>
      <c r="BL9" s="185">
        <f>O9+S9+T9+U9+V9+BH9</f>
        <v>23.12</v>
      </c>
      <c r="BM9" s="185">
        <f>BM10+BM17</f>
        <v>-23.12</v>
      </c>
      <c r="BN9" s="185">
        <f>D9+BM9</f>
        <v>371.31200000000001</v>
      </c>
      <c r="BP9" s="123"/>
    </row>
    <row r="10" spans="1:69" ht="19.5" hidden="1" customHeight="1">
      <c r="A10" s="14" t="s">
        <v>212</v>
      </c>
      <c r="B10" s="14" t="s">
        <v>472</v>
      </c>
      <c r="C10" s="30" t="s">
        <v>194</v>
      </c>
      <c r="D10" s="185">
        <f>D11+D15+D16</f>
        <v>284.06200000000001</v>
      </c>
      <c r="E10" s="185">
        <f t="shared" ref="E10:E66" si="4">F10+O10+S10+T10+U10</f>
        <v>261.94200000000001</v>
      </c>
      <c r="F10" s="185">
        <f>G10+N10</f>
        <v>261.94200000000001</v>
      </c>
      <c r="G10" s="185">
        <f>D10-BL10</f>
        <v>261.94200000000001</v>
      </c>
      <c r="H10" s="185">
        <f>I10+J10+K10</f>
        <v>234.18289999999999</v>
      </c>
      <c r="I10" s="185">
        <f>I11+I15+I16</f>
        <v>90.982900000000001</v>
      </c>
      <c r="J10" s="185">
        <f t="shared" ref="J10:BG10" si="5">J11+J15+J16</f>
        <v>143.19999999999999</v>
      </c>
      <c r="K10" s="185">
        <f t="shared" si="5"/>
        <v>0</v>
      </c>
      <c r="L10" s="185">
        <f t="shared" si="5"/>
        <v>0</v>
      </c>
      <c r="M10" s="185">
        <f t="shared" si="5"/>
        <v>27.7591</v>
      </c>
      <c r="N10" s="185">
        <f t="shared" si="5"/>
        <v>0</v>
      </c>
      <c r="O10" s="185">
        <f t="shared" si="3"/>
        <v>0</v>
      </c>
      <c r="P10" s="185">
        <f t="shared" si="5"/>
        <v>0</v>
      </c>
      <c r="Q10" s="185">
        <f t="shared" si="5"/>
        <v>0</v>
      </c>
      <c r="R10" s="185">
        <f t="shared" si="5"/>
        <v>0</v>
      </c>
      <c r="S10" s="185">
        <f t="shared" si="5"/>
        <v>0</v>
      </c>
      <c r="T10" s="185">
        <f t="shared" si="5"/>
        <v>0</v>
      </c>
      <c r="U10" s="185">
        <f t="shared" si="5"/>
        <v>0</v>
      </c>
      <c r="V10" s="185">
        <f t="shared" si="5"/>
        <v>22.12</v>
      </c>
      <c r="W10" s="185">
        <f t="shared" si="5"/>
        <v>0</v>
      </c>
      <c r="X10" s="185">
        <f t="shared" si="5"/>
        <v>0</v>
      </c>
      <c r="Y10" s="185">
        <f t="shared" si="5"/>
        <v>0</v>
      </c>
      <c r="Z10" s="185">
        <f t="shared" si="5"/>
        <v>0</v>
      </c>
      <c r="AA10" s="185">
        <f t="shared" si="5"/>
        <v>0</v>
      </c>
      <c r="AB10" s="185">
        <f t="shared" si="5"/>
        <v>1.1000000000000001</v>
      </c>
      <c r="AC10" s="185">
        <f t="shared" si="5"/>
        <v>0</v>
      </c>
      <c r="AD10" s="185">
        <f t="shared" si="5"/>
        <v>0</v>
      </c>
      <c r="AE10" s="185">
        <f t="shared" si="5"/>
        <v>11.56</v>
      </c>
      <c r="AF10" s="185">
        <f t="shared" si="5"/>
        <v>0.5</v>
      </c>
      <c r="AG10" s="185">
        <f t="shared" si="5"/>
        <v>0</v>
      </c>
      <c r="AH10" s="185">
        <f t="shared" si="5"/>
        <v>0.58000000000000007</v>
      </c>
      <c r="AI10" s="185">
        <f t="shared" si="5"/>
        <v>0.02</v>
      </c>
      <c r="AJ10" s="185">
        <f t="shared" si="5"/>
        <v>0</v>
      </c>
      <c r="AK10" s="185">
        <f t="shared" si="5"/>
        <v>0</v>
      </c>
      <c r="AL10" s="185">
        <f t="shared" si="5"/>
        <v>10.23</v>
      </c>
      <c r="AM10" s="185">
        <f t="shared" si="5"/>
        <v>0.23</v>
      </c>
      <c r="AN10" s="185">
        <f t="shared" si="5"/>
        <v>0</v>
      </c>
      <c r="AO10" s="185">
        <f t="shared" si="5"/>
        <v>0</v>
      </c>
      <c r="AP10" s="185">
        <f t="shared" si="5"/>
        <v>0</v>
      </c>
      <c r="AQ10" s="185">
        <f t="shared" si="5"/>
        <v>0</v>
      </c>
      <c r="AR10" s="185">
        <f t="shared" si="5"/>
        <v>0</v>
      </c>
      <c r="AS10" s="185">
        <f t="shared" si="5"/>
        <v>0</v>
      </c>
      <c r="AT10" s="185">
        <f t="shared" si="5"/>
        <v>0</v>
      </c>
      <c r="AU10" s="185">
        <f t="shared" si="5"/>
        <v>8.76</v>
      </c>
      <c r="AV10" s="185">
        <f t="shared" si="5"/>
        <v>0</v>
      </c>
      <c r="AW10" s="185">
        <f t="shared" si="5"/>
        <v>0</v>
      </c>
      <c r="AX10" s="185">
        <f t="shared" si="5"/>
        <v>0</v>
      </c>
      <c r="AY10" s="185">
        <f t="shared" si="5"/>
        <v>0</v>
      </c>
      <c r="AZ10" s="185">
        <f t="shared" si="5"/>
        <v>0</v>
      </c>
      <c r="BA10" s="185">
        <f t="shared" si="5"/>
        <v>0</v>
      </c>
      <c r="BB10" s="185">
        <f t="shared" si="5"/>
        <v>0</v>
      </c>
      <c r="BC10" s="185">
        <f t="shared" si="5"/>
        <v>0.69000000000000006</v>
      </c>
      <c r="BD10" s="185">
        <f t="shared" si="5"/>
        <v>0</v>
      </c>
      <c r="BE10" s="185">
        <f t="shared" si="5"/>
        <v>0</v>
      </c>
      <c r="BF10" s="185">
        <f t="shared" si="5"/>
        <v>0.01</v>
      </c>
      <c r="BG10" s="185">
        <f t="shared" si="5"/>
        <v>0</v>
      </c>
      <c r="BH10" s="185">
        <f>BH11+BH15+BH16</f>
        <v>0</v>
      </c>
      <c r="BI10" s="185">
        <f>BI11+BI15+BI16</f>
        <v>0</v>
      </c>
      <c r="BJ10" s="185">
        <f>BJ11+BJ15+BJ16</f>
        <v>0</v>
      </c>
      <c r="BK10" s="185">
        <f>BK11+BK15+BK16</f>
        <v>0</v>
      </c>
      <c r="BL10" s="185">
        <f>N10+O10+S10+T10+U10+V10+BH10</f>
        <v>22.12</v>
      </c>
      <c r="BM10" s="185">
        <f>BM11+BM15+BM16</f>
        <v>-22.12</v>
      </c>
      <c r="BN10" s="185">
        <f>BN11+BN15+BN16</f>
        <v>261.94200000000001</v>
      </c>
      <c r="BP10" s="123"/>
    </row>
    <row r="11" spans="1:69" ht="20.100000000000001" customHeight="1">
      <c r="A11" s="14" t="s">
        <v>213</v>
      </c>
      <c r="B11" s="14" t="s">
        <v>17</v>
      </c>
      <c r="C11" s="30" t="s">
        <v>18</v>
      </c>
      <c r="D11" s="185">
        <f>D12+D13+D14</f>
        <v>252.77289999999999</v>
      </c>
      <c r="E11" s="185">
        <f t="shared" si="4"/>
        <v>234.18289999999999</v>
      </c>
      <c r="F11" s="185">
        <f t="shared" ref="F11:F24" si="6">G11+N11</f>
        <v>234.18289999999999</v>
      </c>
      <c r="G11" s="185">
        <f>H11+L11+M11</f>
        <v>234.18289999999999</v>
      </c>
      <c r="H11" s="185">
        <f>D11-BL11</f>
        <v>234.18289999999999</v>
      </c>
      <c r="I11" s="185">
        <f>I12+I13+I14</f>
        <v>90.982900000000001</v>
      </c>
      <c r="J11" s="185">
        <f t="shared" ref="J11:BG11" si="7">J12+J13+J14</f>
        <v>143.19999999999999</v>
      </c>
      <c r="K11" s="185">
        <f t="shared" si="7"/>
        <v>0</v>
      </c>
      <c r="L11" s="185">
        <f t="shared" si="7"/>
        <v>0</v>
      </c>
      <c r="M11" s="185">
        <f t="shared" si="7"/>
        <v>0</v>
      </c>
      <c r="N11" s="185">
        <f t="shared" si="7"/>
        <v>0</v>
      </c>
      <c r="O11" s="185">
        <f t="shared" si="3"/>
        <v>0</v>
      </c>
      <c r="P11" s="185">
        <f t="shared" si="7"/>
        <v>0</v>
      </c>
      <c r="Q11" s="185">
        <f t="shared" si="7"/>
        <v>0</v>
      </c>
      <c r="R11" s="185">
        <f t="shared" si="7"/>
        <v>0</v>
      </c>
      <c r="S11" s="185">
        <f t="shared" si="7"/>
        <v>0</v>
      </c>
      <c r="T11" s="185">
        <f t="shared" si="7"/>
        <v>0</v>
      </c>
      <c r="U11" s="185">
        <f t="shared" si="7"/>
        <v>0</v>
      </c>
      <c r="V11" s="185">
        <f t="shared" si="7"/>
        <v>18.59</v>
      </c>
      <c r="W11" s="185">
        <f t="shared" si="7"/>
        <v>0</v>
      </c>
      <c r="X11" s="185">
        <f t="shared" si="7"/>
        <v>0</v>
      </c>
      <c r="Y11" s="185">
        <f t="shared" si="7"/>
        <v>0</v>
      </c>
      <c r="Z11" s="185">
        <f t="shared" si="7"/>
        <v>0</v>
      </c>
      <c r="AA11" s="185">
        <f t="shared" si="7"/>
        <v>0</v>
      </c>
      <c r="AB11" s="185">
        <f t="shared" si="7"/>
        <v>0.77</v>
      </c>
      <c r="AC11" s="185">
        <f t="shared" si="7"/>
        <v>0</v>
      </c>
      <c r="AD11" s="185">
        <f t="shared" si="7"/>
        <v>0</v>
      </c>
      <c r="AE11" s="185">
        <f t="shared" si="7"/>
        <v>9.56</v>
      </c>
      <c r="AF11" s="185">
        <f t="shared" si="7"/>
        <v>0.47</v>
      </c>
      <c r="AG11" s="185">
        <f t="shared" si="7"/>
        <v>0</v>
      </c>
      <c r="AH11" s="185">
        <f t="shared" si="7"/>
        <v>0.57000000000000006</v>
      </c>
      <c r="AI11" s="185">
        <f t="shared" si="7"/>
        <v>0</v>
      </c>
      <c r="AJ11" s="185">
        <f t="shared" si="7"/>
        <v>0</v>
      </c>
      <c r="AK11" s="185">
        <f t="shared" si="7"/>
        <v>0</v>
      </c>
      <c r="AL11" s="185">
        <f t="shared" si="7"/>
        <v>8.36</v>
      </c>
      <c r="AM11" s="185">
        <f t="shared" si="7"/>
        <v>0.16</v>
      </c>
      <c r="AN11" s="185">
        <f t="shared" si="7"/>
        <v>0</v>
      </c>
      <c r="AO11" s="185">
        <f t="shared" si="7"/>
        <v>0</v>
      </c>
      <c r="AP11" s="185">
        <f t="shared" si="7"/>
        <v>0</v>
      </c>
      <c r="AQ11" s="185">
        <f t="shared" si="7"/>
        <v>0</v>
      </c>
      <c r="AR11" s="185">
        <f t="shared" si="7"/>
        <v>0</v>
      </c>
      <c r="AS11" s="185">
        <f t="shared" si="7"/>
        <v>0</v>
      </c>
      <c r="AT11" s="185">
        <f t="shared" si="7"/>
        <v>0</v>
      </c>
      <c r="AU11" s="185">
        <f t="shared" si="7"/>
        <v>7.68</v>
      </c>
      <c r="AV11" s="185">
        <f t="shared" si="7"/>
        <v>0</v>
      </c>
      <c r="AW11" s="185">
        <f t="shared" si="7"/>
        <v>0</v>
      </c>
      <c r="AX11" s="185">
        <f t="shared" si="7"/>
        <v>0</v>
      </c>
      <c r="AY11" s="185">
        <f t="shared" si="7"/>
        <v>0</v>
      </c>
      <c r="AZ11" s="185">
        <f t="shared" si="7"/>
        <v>0</v>
      </c>
      <c r="BA11" s="185">
        <f t="shared" si="7"/>
        <v>0</v>
      </c>
      <c r="BB11" s="185">
        <f t="shared" si="7"/>
        <v>0</v>
      </c>
      <c r="BC11" s="185">
        <f t="shared" si="7"/>
        <v>0.57000000000000006</v>
      </c>
      <c r="BD11" s="185">
        <f t="shared" si="7"/>
        <v>0</v>
      </c>
      <c r="BE11" s="185">
        <f t="shared" si="7"/>
        <v>0</v>
      </c>
      <c r="BF11" s="185">
        <f t="shared" si="7"/>
        <v>0.01</v>
      </c>
      <c r="BG11" s="185">
        <f t="shared" si="7"/>
        <v>0</v>
      </c>
      <c r="BH11" s="185">
        <f>BH12+BH13+BH14</f>
        <v>0</v>
      </c>
      <c r="BI11" s="185">
        <f>BI12+BI13+BI14</f>
        <v>0</v>
      </c>
      <c r="BJ11" s="185">
        <f>BJ12+BJ13+BJ14</f>
        <v>0</v>
      </c>
      <c r="BK11" s="185">
        <f>BK12+BK13+BK14</f>
        <v>0</v>
      </c>
      <c r="BL11" s="185">
        <f>L11+M11+N11+S11+T11+U11+V11+BH11</f>
        <v>18.59</v>
      </c>
      <c r="BM11" s="185">
        <f>H67-BL11</f>
        <v>-18.59</v>
      </c>
      <c r="BN11" s="185">
        <f>BN12+BN13+BN14</f>
        <v>234.18289999999999</v>
      </c>
      <c r="BO11" s="177">
        <f>BN12+BN13</f>
        <v>234.18289999999999</v>
      </c>
      <c r="BP11" s="123"/>
    </row>
    <row r="12" spans="1:69" ht="20.100000000000001" customHeight="1">
      <c r="A12" s="14" t="s">
        <v>214</v>
      </c>
      <c r="B12" s="14" t="s">
        <v>473</v>
      </c>
      <c r="C12" s="30" t="s">
        <v>20</v>
      </c>
      <c r="D12" s="185">
        <f>#REF!</f>
        <v>102.16290000000001</v>
      </c>
      <c r="E12" s="185">
        <f t="shared" si="4"/>
        <v>90.982900000000001</v>
      </c>
      <c r="F12" s="185">
        <f t="shared" si="6"/>
        <v>90.982900000000001</v>
      </c>
      <c r="G12" s="185">
        <f t="shared" ref="G12:G66" si="8">H12+L12+M12</f>
        <v>90.982900000000001</v>
      </c>
      <c r="H12" s="185">
        <f>I12+J12+K12</f>
        <v>90.982900000000001</v>
      </c>
      <c r="I12" s="185">
        <f>D12-BL12</f>
        <v>90.982900000000001</v>
      </c>
      <c r="J12" s="185"/>
      <c r="K12" s="185"/>
      <c r="L12" s="185"/>
      <c r="M12" s="185"/>
      <c r="N12" s="185"/>
      <c r="O12" s="185">
        <f t="shared" si="3"/>
        <v>0</v>
      </c>
      <c r="P12" s="185"/>
      <c r="Q12" s="185"/>
      <c r="R12" s="185"/>
      <c r="S12" s="185"/>
      <c r="T12" s="185"/>
      <c r="U12" s="185"/>
      <c r="V12" s="185">
        <f>W12+X12+Y12+Z12+AA12+AB12+AC12+AD12+AE12+AQ12+AR12+AS12+AT12+AU12+AV12+AW12+AX12+AY12+AZ12+BA12+BB12+BC12+BD12+BE12+BF12+BG12</f>
        <v>11.18</v>
      </c>
      <c r="W12" s="185"/>
      <c r="X12" s="185"/>
      <c r="Y12" s="185"/>
      <c r="Z12" s="185"/>
      <c r="AA12" s="185"/>
      <c r="AB12" s="185">
        <v>0.72</v>
      </c>
      <c r="AC12" s="185"/>
      <c r="AD12" s="185"/>
      <c r="AE12" s="185">
        <f t="shared" ref="AE12:AE33" si="9">SUM(AF12:AP12)</f>
        <v>5.88</v>
      </c>
      <c r="AF12" s="185">
        <v>0.12</v>
      </c>
      <c r="AG12" s="185"/>
      <c r="AH12" s="185">
        <v>0.31</v>
      </c>
      <c r="AI12" s="185"/>
      <c r="AJ12" s="185"/>
      <c r="AK12" s="185"/>
      <c r="AL12" s="185">
        <v>5.45</v>
      </c>
      <c r="AM12" s="185"/>
      <c r="AN12" s="185"/>
      <c r="AO12" s="185"/>
      <c r="AP12" s="185"/>
      <c r="AQ12" s="185"/>
      <c r="AR12" s="185"/>
      <c r="AS12" s="185"/>
      <c r="AT12" s="185"/>
      <c r="AU12" s="185">
        <v>4.2699999999999996</v>
      </c>
      <c r="AV12" s="185"/>
      <c r="AW12" s="185"/>
      <c r="AX12" s="185"/>
      <c r="AY12" s="185"/>
      <c r="AZ12" s="185"/>
      <c r="BA12" s="185"/>
      <c r="BB12" s="185"/>
      <c r="BC12" s="185">
        <v>0.3</v>
      </c>
      <c r="BD12" s="185"/>
      <c r="BE12" s="185"/>
      <c r="BF12" s="185">
        <v>0.01</v>
      </c>
      <c r="BG12" s="185"/>
      <c r="BH12" s="185">
        <f t="shared" ref="BH12:BH17" si="10">BI12+BJ12+BK12</f>
        <v>0</v>
      </c>
      <c r="BI12" s="185"/>
      <c r="BJ12" s="185"/>
      <c r="BK12" s="185"/>
      <c r="BL12" s="185">
        <f>J12+K12+L12+M12+N12+O12+S12+T12+U12+V12+BH12</f>
        <v>11.18</v>
      </c>
      <c r="BM12" s="185">
        <f>I67-BL12</f>
        <v>-11.18</v>
      </c>
      <c r="BN12" s="185">
        <f t="shared" ref="BN12:BN17" si="11">D12+BM12</f>
        <v>90.982900000000001</v>
      </c>
      <c r="BP12" s="123"/>
    </row>
    <row r="13" spans="1:69" ht="18.75" customHeight="1">
      <c r="A13" s="14" t="s">
        <v>215</v>
      </c>
      <c r="B13" s="14" t="s">
        <v>474</v>
      </c>
      <c r="C13" s="30" t="s">
        <v>195</v>
      </c>
      <c r="D13" s="185">
        <f>#REF!</f>
        <v>150.60999999999999</v>
      </c>
      <c r="E13" s="185">
        <f t="shared" si="4"/>
        <v>143.19999999999999</v>
      </c>
      <c r="F13" s="185">
        <f t="shared" si="6"/>
        <v>143.19999999999999</v>
      </c>
      <c r="G13" s="185">
        <f t="shared" si="8"/>
        <v>143.19999999999999</v>
      </c>
      <c r="H13" s="185">
        <f t="shared" ref="H13:H66" si="12">I13+J13+K13</f>
        <v>143.19999999999999</v>
      </c>
      <c r="I13" s="185"/>
      <c r="J13" s="185">
        <f>D13-BL13</f>
        <v>143.19999999999999</v>
      </c>
      <c r="K13" s="185"/>
      <c r="L13" s="185"/>
      <c r="M13" s="185"/>
      <c r="N13" s="185"/>
      <c r="O13" s="185">
        <f t="shared" si="3"/>
        <v>0</v>
      </c>
      <c r="P13" s="185"/>
      <c r="Q13" s="185"/>
      <c r="R13" s="185"/>
      <c r="S13" s="185"/>
      <c r="T13" s="185"/>
      <c r="U13" s="185"/>
      <c r="V13" s="185">
        <f t="shared" ref="V13:V66" si="13">W13+X13+Y13+Z13+AA13+AB13+AC13+AD13+AE13+AQ13+AR13+AS13+AT13+AU13+AV13+AW13+AX13+AY13+AZ13+BA13+BB13+BC13+BD13+BE13+BF13+BG13</f>
        <v>7.41</v>
      </c>
      <c r="W13" s="185"/>
      <c r="X13" s="185"/>
      <c r="Y13" s="185"/>
      <c r="Z13" s="185"/>
      <c r="AA13" s="185"/>
      <c r="AB13" s="185">
        <v>0.05</v>
      </c>
      <c r="AC13" s="185"/>
      <c r="AD13" s="185"/>
      <c r="AE13" s="185">
        <f t="shared" si="9"/>
        <v>3.68</v>
      </c>
      <c r="AF13" s="185">
        <v>0.35</v>
      </c>
      <c r="AG13" s="185"/>
      <c r="AH13" s="185">
        <v>0.26</v>
      </c>
      <c r="AI13" s="185"/>
      <c r="AJ13" s="185"/>
      <c r="AK13" s="185"/>
      <c r="AL13" s="185">
        <v>2.91</v>
      </c>
      <c r="AM13" s="185">
        <v>0.16</v>
      </c>
      <c r="AN13" s="185"/>
      <c r="AO13" s="185"/>
      <c r="AP13" s="185"/>
      <c r="AQ13" s="185"/>
      <c r="AR13" s="185"/>
      <c r="AS13" s="185"/>
      <c r="AT13" s="185"/>
      <c r="AU13" s="185">
        <v>3.41</v>
      </c>
      <c r="AV13" s="185"/>
      <c r="AW13" s="185"/>
      <c r="AX13" s="185"/>
      <c r="AY13" s="185"/>
      <c r="AZ13" s="185"/>
      <c r="BA13" s="185"/>
      <c r="BB13" s="185"/>
      <c r="BC13" s="185">
        <v>0.27</v>
      </c>
      <c r="BD13" s="185"/>
      <c r="BE13" s="185"/>
      <c r="BF13" s="185"/>
      <c r="BG13" s="185"/>
      <c r="BH13" s="185">
        <f t="shared" si="10"/>
        <v>0</v>
      </c>
      <c r="BI13" s="185"/>
      <c r="BJ13" s="185"/>
      <c r="BK13" s="185"/>
      <c r="BL13" s="185">
        <f>I13+K13+L13+M13+N13+O13+S13+T13+U13+V13+BH13</f>
        <v>7.41</v>
      </c>
      <c r="BM13" s="185">
        <f>J67-BL13</f>
        <v>-7.41</v>
      </c>
      <c r="BN13" s="185">
        <f t="shared" si="11"/>
        <v>143.19999999999999</v>
      </c>
      <c r="BP13" s="123"/>
    </row>
    <row r="14" spans="1:69" ht="19.5" hidden="1" customHeight="1">
      <c r="A14" s="14" t="s">
        <v>216</v>
      </c>
      <c r="B14" s="14" t="s">
        <v>475</v>
      </c>
      <c r="C14" s="30" t="s">
        <v>196</v>
      </c>
      <c r="D14" s="185"/>
      <c r="E14" s="185">
        <f t="shared" si="4"/>
        <v>0</v>
      </c>
      <c r="F14" s="185">
        <f t="shared" si="6"/>
        <v>0</v>
      </c>
      <c r="G14" s="185">
        <f t="shared" si="8"/>
        <v>0</v>
      </c>
      <c r="H14" s="185">
        <f t="shared" si="12"/>
        <v>0</v>
      </c>
      <c r="I14" s="185"/>
      <c r="J14" s="185"/>
      <c r="K14" s="185">
        <f>D14-BL14</f>
        <v>0</v>
      </c>
      <c r="L14" s="185"/>
      <c r="M14" s="185"/>
      <c r="N14" s="185"/>
      <c r="O14" s="185">
        <f t="shared" si="3"/>
        <v>0</v>
      </c>
      <c r="P14" s="185"/>
      <c r="Q14" s="185"/>
      <c r="R14" s="185"/>
      <c r="S14" s="185"/>
      <c r="T14" s="185"/>
      <c r="U14" s="185"/>
      <c r="V14" s="185">
        <f t="shared" si="13"/>
        <v>0</v>
      </c>
      <c r="W14" s="185"/>
      <c r="X14" s="185"/>
      <c r="Y14" s="185"/>
      <c r="Z14" s="185"/>
      <c r="AA14" s="185"/>
      <c r="AB14" s="185"/>
      <c r="AC14" s="185"/>
      <c r="AD14" s="185"/>
      <c r="AE14" s="185">
        <f t="shared" si="9"/>
        <v>0</v>
      </c>
      <c r="AF14" s="185"/>
      <c r="AG14" s="185"/>
      <c r="AH14" s="185"/>
      <c r="AI14" s="185"/>
      <c r="AJ14" s="185"/>
      <c r="AK14" s="185"/>
      <c r="AL14" s="185"/>
      <c r="AM14" s="185"/>
      <c r="AN14" s="185"/>
      <c r="AO14" s="185"/>
      <c r="AP14" s="185"/>
      <c r="AQ14" s="185"/>
      <c r="AR14" s="185"/>
      <c r="AS14" s="185"/>
      <c r="AT14" s="185"/>
      <c r="AU14" s="185"/>
      <c r="AV14" s="185"/>
      <c r="AW14" s="185"/>
      <c r="AX14" s="185"/>
      <c r="AY14" s="185"/>
      <c r="AZ14" s="185"/>
      <c r="BA14" s="185"/>
      <c r="BB14" s="185"/>
      <c r="BC14" s="185"/>
      <c r="BD14" s="185"/>
      <c r="BE14" s="185"/>
      <c r="BF14" s="185"/>
      <c r="BG14" s="185"/>
      <c r="BH14" s="185">
        <f t="shared" si="10"/>
        <v>0</v>
      </c>
      <c r="BI14" s="185"/>
      <c r="BJ14" s="185"/>
      <c r="BK14" s="185"/>
      <c r="BL14" s="185">
        <f>I14+J14+L14+M14+N14+O14+S14+T14+U14+V14+BH14</f>
        <v>0</v>
      </c>
      <c r="BM14" s="185">
        <f>K67-BL14</f>
        <v>0</v>
      </c>
      <c r="BN14" s="185">
        <f t="shared" si="11"/>
        <v>0</v>
      </c>
      <c r="BP14" s="123"/>
    </row>
    <row r="15" spans="1:69" ht="19.5" hidden="1" customHeight="1">
      <c r="A15" s="14" t="s">
        <v>217</v>
      </c>
      <c r="B15" s="14" t="s">
        <v>476</v>
      </c>
      <c r="C15" s="30" t="s">
        <v>197</v>
      </c>
      <c r="D15" s="185"/>
      <c r="E15" s="185">
        <f t="shared" si="4"/>
        <v>0</v>
      </c>
      <c r="F15" s="185">
        <f t="shared" si="6"/>
        <v>0</v>
      </c>
      <c r="G15" s="185">
        <f t="shared" si="8"/>
        <v>0</v>
      </c>
      <c r="H15" s="185">
        <f t="shared" si="12"/>
        <v>0</v>
      </c>
      <c r="I15" s="185"/>
      <c r="J15" s="185"/>
      <c r="K15" s="185"/>
      <c r="L15" s="185">
        <f>D15-BL15</f>
        <v>0</v>
      </c>
      <c r="M15" s="185"/>
      <c r="N15" s="185"/>
      <c r="O15" s="185">
        <f t="shared" si="3"/>
        <v>0</v>
      </c>
      <c r="P15" s="185"/>
      <c r="Q15" s="185"/>
      <c r="R15" s="185"/>
      <c r="S15" s="185"/>
      <c r="T15" s="185"/>
      <c r="U15" s="185"/>
      <c r="V15" s="185">
        <f t="shared" si="13"/>
        <v>0</v>
      </c>
      <c r="W15" s="185"/>
      <c r="X15" s="185"/>
      <c r="Y15" s="185"/>
      <c r="Z15" s="185"/>
      <c r="AA15" s="185"/>
      <c r="AB15" s="185"/>
      <c r="AC15" s="185"/>
      <c r="AD15" s="185"/>
      <c r="AE15" s="185">
        <f t="shared" si="9"/>
        <v>0</v>
      </c>
      <c r="AF15" s="185"/>
      <c r="AG15" s="185"/>
      <c r="AH15" s="185"/>
      <c r="AI15" s="185"/>
      <c r="AJ15" s="185"/>
      <c r="AK15" s="185"/>
      <c r="AL15" s="185"/>
      <c r="AM15" s="185"/>
      <c r="AN15" s="185"/>
      <c r="AO15" s="185"/>
      <c r="AP15" s="185"/>
      <c r="AQ15" s="185"/>
      <c r="AR15" s="185"/>
      <c r="AS15" s="185"/>
      <c r="AT15" s="185"/>
      <c r="AU15" s="185"/>
      <c r="AV15" s="185"/>
      <c r="AW15" s="185"/>
      <c r="AX15" s="185"/>
      <c r="AY15" s="185"/>
      <c r="AZ15" s="185"/>
      <c r="BA15" s="185"/>
      <c r="BB15" s="185"/>
      <c r="BC15" s="185"/>
      <c r="BD15" s="185"/>
      <c r="BE15" s="185"/>
      <c r="BF15" s="185"/>
      <c r="BG15" s="185"/>
      <c r="BH15" s="185">
        <f t="shared" si="10"/>
        <v>0</v>
      </c>
      <c r="BI15" s="185"/>
      <c r="BJ15" s="185"/>
      <c r="BK15" s="185"/>
      <c r="BL15" s="185">
        <f>H15+M15+N15+O15+S15+T15+U15+V15+BH15</f>
        <v>0</v>
      </c>
      <c r="BM15" s="185">
        <f>L67-BL15</f>
        <v>0</v>
      </c>
      <c r="BN15" s="185">
        <f t="shared" si="11"/>
        <v>0</v>
      </c>
      <c r="BP15" s="123"/>
    </row>
    <row r="16" spans="1:69" ht="20.100000000000001" customHeight="1">
      <c r="A16" s="14" t="s">
        <v>218</v>
      </c>
      <c r="B16" s="14" t="s">
        <v>22</v>
      </c>
      <c r="C16" s="30" t="s">
        <v>23</v>
      </c>
      <c r="D16" s="185">
        <f>#REF!</f>
        <v>31.289100000000001</v>
      </c>
      <c r="E16" s="185">
        <f t="shared" si="4"/>
        <v>27.7591</v>
      </c>
      <c r="F16" s="185">
        <f t="shared" si="6"/>
        <v>27.7591</v>
      </c>
      <c r="G16" s="185">
        <f t="shared" si="8"/>
        <v>27.7591</v>
      </c>
      <c r="H16" s="185">
        <f t="shared" si="12"/>
        <v>0</v>
      </c>
      <c r="I16" s="185"/>
      <c r="J16" s="185"/>
      <c r="K16" s="185"/>
      <c r="L16" s="185"/>
      <c r="M16" s="185">
        <f>D16-BL16</f>
        <v>27.7591</v>
      </c>
      <c r="N16" s="185"/>
      <c r="O16" s="185">
        <f t="shared" si="3"/>
        <v>0</v>
      </c>
      <c r="P16" s="185"/>
      <c r="Q16" s="185"/>
      <c r="R16" s="185"/>
      <c r="S16" s="185"/>
      <c r="T16" s="185"/>
      <c r="U16" s="185"/>
      <c r="V16" s="185">
        <f t="shared" si="13"/>
        <v>3.5300000000000002</v>
      </c>
      <c r="W16" s="185"/>
      <c r="X16" s="185"/>
      <c r="Y16" s="185"/>
      <c r="Z16" s="185"/>
      <c r="AA16" s="185"/>
      <c r="AB16" s="185">
        <v>0.33</v>
      </c>
      <c r="AC16" s="185"/>
      <c r="AD16" s="185"/>
      <c r="AE16" s="185">
        <f t="shared" si="9"/>
        <v>2</v>
      </c>
      <c r="AF16" s="185">
        <v>0.03</v>
      </c>
      <c r="AG16" s="185"/>
      <c r="AH16" s="185">
        <v>0.01</v>
      </c>
      <c r="AI16" s="185">
        <v>0.02</v>
      </c>
      <c r="AJ16" s="185"/>
      <c r="AK16" s="185"/>
      <c r="AL16" s="185">
        <v>1.87</v>
      </c>
      <c r="AM16" s="185">
        <v>7.0000000000000007E-2</v>
      </c>
      <c r="AN16" s="185"/>
      <c r="AO16" s="185"/>
      <c r="AP16" s="185"/>
      <c r="AQ16" s="185"/>
      <c r="AR16" s="185"/>
      <c r="AS16" s="185"/>
      <c r="AT16" s="185"/>
      <c r="AU16" s="185">
        <v>1.08</v>
      </c>
      <c r="AV16" s="185"/>
      <c r="AW16" s="185"/>
      <c r="AX16" s="185"/>
      <c r="AY16" s="185"/>
      <c r="AZ16" s="185"/>
      <c r="BA16" s="185"/>
      <c r="BB16" s="185"/>
      <c r="BC16" s="185">
        <v>0.12</v>
      </c>
      <c r="BD16" s="185"/>
      <c r="BE16" s="185"/>
      <c r="BF16" s="185"/>
      <c r="BG16" s="185"/>
      <c r="BH16" s="185">
        <f t="shared" si="10"/>
        <v>0</v>
      </c>
      <c r="BI16" s="185"/>
      <c r="BJ16" s="185"/>
      <c r="BK16" s="185"/>
      <c r="BL16" s="185">
        <f>H16+L16+N16+S16+T16+U16+V16+BH16</f>
        <v>3.5300000000000002</v>
      </c>
      <c r="BM16" s="185">
        <f>M67-BL16</f>
        <v>-3.5300000000000002</v>
      </c>
      <c r="BN16" s="185">
        <f t="shared" si="11"/>
        <v>27.7591</v>
      </c>
      <c r="BP16" s="123"/>
    </row>
    <row r="17" spans="1:68" ht="18.75" customHeight="1">
      <c r="A17" s="14" t="s">
        <v>219</v>
      </c>
      <c r="B17" s="14" t="s">
        <v>25</v>
      </c>
      <c r="C17" s="30" t="s">
        <v>26</v>
      </c>
      <c r="D17" s="185">
        <f>#REF!</f>
        <v>110.37</v>
      </c>
      <c r="E17" s="185">
        <f t="shared" si="4"/>
        <v>109.37</v>
      </c>
      <c r="F17" s="185">
        <f t="shared" si="6"/>
        <v>109.37</v>
      </c>
      <c r="G17" s="185">
        <f t="shared" si="8"/>
        <v>0</v>
      </c>
      <c r="H17" s="185">
        <f t="shared" si="12"/>
        <v>0</v>
      </c>
      <c r="I17" s="185"/>
      <c r="J17" s="185"/>
      <c r="K17" s="185"/>
      <c r="L17" s="185"/>
      <c r="M17" s="185"/>
      <c r="N17" s="185">
        <f>D17-BL17</f>
        <v>109.37</v>
      </c>
      <c r="O17" s="185">
        <f t="shared" si="3"/>
        <v>0</v>
      </c>
      <c r="P17" s="185"/>
      <c r="Q17" s="185"/>
      <c r="R17" s="185"/>
      <c r="S17" s="185"/>
      <c r="T17" s="185"/>
      <c r="U17" s="185"/>
      <c r="V17" s="185">
        <f t="shared" si="13"/>
        <v>1</v>
      </c>
      <c r="W17" s="185"/>
      <c r="X17" s="185"/>
      <c r="Y17" s="185"/>
      <c r="Z17" s="185"/>
      <c r="AA17" s="185"/>
      <c r="AB17" s="185">
        <v>0.04</v>
      </c>
      <c r="AC17" s="185"/>
      <c r="AD17" s="185"/>
      <c r="AE17" s="185">
        <f t="shared" si="9"/>
        <v>0.13</v>
      </c>
      <c r="AF17" s="185">
        <v>7.0000000000000007E-2</v>
      </c>
      <c r="AG17" s="185"/>
      <c r="AH17" s="185">
        <v>0.02</v>
      </c>
      <c r="AI17" s="185"/>
      <c r="AJ17" s="185"/>
      <c r="AK17" s="185"/>
      <c r="AL17" s="185">
        <v>0.02</v>
      </c>
      <c r="AM17" s="185">
        <v>0.02</v>
      </c>
      <c r="AN17" s="185"/>
      <c r="AO17" s="185"/>
      <c r="AP17" s="185"/>
      <c r="AQ17" s="185"/>
      <c r="AR17" s="185"/>
      <c r="AS17" s="185"/>
      <c r="AT17" s="185"/>
      <c r="AU17" s="185">
        <v>0.83</v>
      </c>
      <c r="AV17" s="185"/>
      <c r="AW17" s="185"/>
      <c r="AX17" s="185"/>
      <c r="AY17" s="185"/>
      <c r="AZ17" s="185"/>
      <c r="BA17" s="185"/>
      <c r="BB17" s="185"/>
      <c r="BC17" s="185"/>
      <c r="BD17" s="185"/>
      <c r="BE17" s="185"/>
      <c r="BF17" s="185"/>
      <c r="BG17" s="185"/>
      <c r="BH17" s="185">
        <f t="shared" si="10"/>
        <v>0</v>
      </c>
      <c r="BI17" s="185"/>
      <c r="BJ17" s="185"/>
      <c r="BK17" s="185"/>
      <c r="BL17" s="185">
        <f>H17+L17+M17+O17+S17+T17+U17+V17+BH17</f>
        <v>1</v>
      </c>
      <c r="BM17" s="185">
        <f>N67-BL17</f>
        <v>-1</v>
      </c>
      <c r="BN17" s="185">
        <f t="shared" si="11"/>
        <v>109.37</v>
      </c>
      <c r="BP17" s="123"/>
    </row>
    <row r="18" spans="1:68" ht="19.5" hidden="1" customHeight="1">
      <c r="A18" s="14" t="s">
        <v>21</v>
      </c>
      <c r="B18" s="14" t="s">
        <v>477</v>
      </c>
      <c r="C18" s="30" t="s">
        <v>198</v>
      </c>
      <c r="D18" s="185">
        <f>D19+D20+D21</f>
        <v>129.75</v>
      </c>
      <c r="E18" s="185">
        <f t="shared" si="4"/>
        <v>129.15</v>
      </c>
      <c r="F18" s="185">
        <f t="shared" si="6"/>
        <v>0</v>
      </c>
      <c r="G18" s="185">
        <f t="shared" si="8"/>
        <v>0</v>
      </c>
      <c r="H18" s="185">
        <f t="shared" si="12"/>
        <v>0</v>
      </c>
      <c r="I18" s="185">
        <f t="shared" ref="I18:N18" si="14">I19+I20+I21</f>
        <v>0</v>
      </c>
      <c r="J18" s="185">
        <f t="shared" si="14"/>
        <v>0</v>
      </c>
      <c r="K18" s="185">
        <f t="shared" si="14"/>
        <v>0</v>
      </c>
      <c r="L18" s="185">
        <f t="shared" si="14"/>
        <v>0</v>
      </c>
      <c r="M18" s="185">
        <f t="shared" si="14"/>
        <v>0</v>
      </c>
      <c r="N18" s="185">
        <f t="shared" si="14"/>
        <v>0</v>
      </c>
      <c r="O18" s="185">
        <f>D18-BL18</f>
        <v>128.85</v>
      </c>
      <c r="P18" s="185">
        <f t="shared" ref="P18:BG18" si="15">P19+P20+P21</f>
        <v>13.91</v>
      </c>
      <c r="Q18" s="185">
        <f t="shared" si="15"/>
        <v>0</v>
      </c>
      <c r="R18" s="185">
        <f t="shared" si="15"/>
        <v>114.94</v>
      </c>
      <c r="S18" s="185">
        <f t="shared" si="15"/>
        <v>0.3</v>
      </c>
      <c r="T18" s="185">
        <f t="shared" si="15"/>
        <v>0</v>
      </c>
      <c r="U18" s="185">
        <f t="shared" si="15"/>
        <v>0</v>
      </c>
      <c r="V18" s="185">
        <f t="shared" si="15"/>
        <v>0.6</v>
      </c>
      <c r="W18" s="185">
        <f t="shared" si="15"/>
        <v>0</v>
      </c>
      <c r="X18" s="185">
        <f t="shared" si="15"/>
        <v>0</v>
      </c>
      <c r="Y18" s="185">
        <f t="shared" si="15"/>
        <v>0</v>
      </c>
      <c r="Z18" s="185">
        <f t="shared" si="15"/>
        <v>0</v>
      </c>
      <c r="AA18" s="185">
        <f t="shared" si="15"/>
        <v>0</v>
      </c>
      <c r="AB18" s="185">
        <f t="shared" si="15"/>
        <v>0</v>
      </c>
      <c r="AC18" s="185">
        <f t="shared" si="15"/>
        <v>0</v>
      </c>
      <c r="AD18" s="185">
        <f t="shared" si="15"/>
        <v>0</v>
      </c>
      <c r="AE18" s="185">
        <f t="shared" si="15"/>
        <v>0.41</v>
      </c>
      <c r="AF18" s="185">
        <f t="shared" si="15"/>
        <v>0</v>
      </c>
      <c r="AG18" s="185">
        <f t="shared" si="15"/>
        <v>0</v>
      </c>
      <c r="AH18" s="185">
        <f t="shared" si="15"/>
        <v>0</v>
      </c>
      <c r="AI18" s="185">
        <f t="shared" si="15"/>
        <v>0</v>
      </c>
      <c r="AJ18" s="185">
        <f t="shared" si="15"/>
        <v>0</v>
      </c>
      <c r="AK18" s="185">
        <f t="shared" si="15"/>
        <v>0</v>
      </c>
      <c r="AL18" s="185">
        <f t="shared" si="15"/>
        <v>0.41</v>
      </c>
      <c r="AM18" s="185">
        <f t="shared" si="15"/>
        <v>0</v>
      </c>
      <c r="AN18" s="185">
        <f t="shared" si="15"/>
        <v>0</v>
      </c>
      <c r="AO18" s="185">
        <f t="shared" si="15"/>
        <v>0</v>
      </c>
      <c r="AP18" s="185">
        <f t="shared" si="15"/>
        <v>0</v>
      </c>
      <c r="AQ18" s="185">
        <f t="shared" si="15"/>
        <v>0</v>
      </c>
      <c r="AR18" s="185">
        <f t="shared" si="15"/>
        <v>0</v>
      </c>
      <c r="AS18" s="185">
        <f t="shared" si="15"/>
        <v>0</v>
      </c>
      <c r="AT18" s="185">
        <f t="shared" si="15"/>
        <v>0</v>
      </c>
      <c r="AU18" s="185">
        <f t="shared" si="15"/>
        <v>0</v>
      </c>
      <c r="AV18" s="185">
        <f t="shared" si="15"/>
        <v>0</v>
      </c>
      <c r="AW18" s="185">
        <f t="shared" si="15"/>
        <v>0</v>
      </c>
      <c r="AX18" s="185">
        <f t="shared" si="15"/>
        <v>0</v>
      </c>
      <c r="AY18" s="185">
        <f t="shared" si="15"/>
        <v>0</v>
      </c>
      <c r="AZ18" s="185">
        <f t="shared" si="15"/>
        <v>0</v>
      </c>
      <c r="BA18" s="185">
        <f t="shared" si="15"/>
        <v>0.19</v>
      </c>
      <c r="BB18" s="185">
        <f t="shared" si="15"/>
        <v>0</v>
      </c>
      <c r="BC18" s="185">
        <f t="shared" si="15"/>
        <v>0</v>
      </c>
      <c r="BD18" s="185">
        <f t="shared" si="15"/>
        <v>0</v>
      </c>
      <c r="BE18" s="185">
        <f t="shared" si="15"/>
        <v>0</v>
      </c>
      <c r="BF18" s="185">
        <f t="shared" si="15"/>
        <v>0</v>
      </c>
      <c r="BG18" s="185">
        <f t="shared" si="15"/>
        <v>0</v>
      </c>
      <c r="BH18" s="185">
        <f>BH19+BH20+BH21</f>
        <v>0</v>
      </c>
      <c r="BI18" s="185">
        <f>BI19+BI20+BI21</f>
        <v>0</v>
      </c>
      <c r="BJ18" s="185">
        <f>BJ19+BJ20+BJ21</f>
        <v>0</v>
      </c>
      <c r="BK18" s="185">
        <f>BK19+BK20+BK21</f>
        <v>0</v>
      </c>
      <c r="BL18" s="185">
        <f>F18+S18+T18+U18+BH18+V18</f>
        <v>0.89999999999999991</v>
      </c>
      <c r="BM18" s="185">
        <f>O67-BL18</f>
        <v>-0.89999999999999991</v>
      </c>
      <c r="BN18" s="185">
        <f>BN19+BN20+BN21</f>
        <v>128.85</v>
      </c>
      <c r="BP18" s="123"/>
    </row>
    <row r="19" spans="1:68" ht="20.100000000000001" customHeight="1">
      <c r="A19" s="14" t="s">
        <v>182</v>
      </c>
      <c r="B19" s="14" t="s">
        <v>28</v>
      </c>
      <c r="C19" s="30" t="s">
        <v>29</v>
      </c>
      <c r="D19" s="185">
        <f>#REF!</f>
        <v>13.91</v>
      </c>
      <c r="E19" s="185">
        <f>F19+O19+S19+T19+U19</f>
        <v>13.91</v>
      </c>
      <c r="F19" s="185">
        <f>G19+N19</f>
        <v>0</v>
      </c>
      <c r="G19" s="185">
        <f>H19+L19+M19</f>
        <v>0</v>
      </c>
      <c r="H19" s="185">
        <f t="shared" si="12"/>
        <v>0</v>
      </c>
      <c r="I19" s="185"/>
      <c r="J19" s="185"/>
      <c r="K19" s="185"/>
      <c r="L19" s="185"/>
      <c r="M19" s="185"/>
      <c r="N19" s="185"/>
      <c r="O19" s="185">
        <f t="shared" ref="O19:O24" si="16">P19+Q19+R19</f>
        <v>13.91</v>
      </c>
      <c r="P19" s="185">
        <f>D19-BL19</f>
        <v>13.91</v>
      </c>
      <c r="Q19" s="185"/>
      <c r="R19" s="185"/>
      <c r="S19" s="185"/>
      <c r="T19" s="185"/>
      <c r="U19" s="185"/>
      <c r="V19" s="185">
        <f t="shared" si="13"/>
        <v>0</v>
      </c>
      <c r="W19" s="185"/>
      <c r="X19" s="185"/>
      <c r="Y19" s="185"/>
      <c r="Z19" s="185"/>
      <c r="AA19" s="185"/>
      <c r="AB19" s="185"/>
      <c r="AC19" s="185"/>
      <c r="AD19" s="185"/>
      <c r="AE19" s="185">
        <f t="shared" si="9"/>
        <v>0</v>
      </c>
      <c r="AF19" s="185"/>
      <c r="AG19" s="185"/>
      <c r="AH19" s="185"/>
      <c r="AI19" s="185"/>
      <c r="AJ19" s="185"/>
      <c r="AK19" s="185"/>
      <c r="AL19" s="185"/>
      <c r="AM19" s="185"/>
      <c r="AN19" s="185"/>
      <c r="AO19" s="185"/>
      <c r="AP19" s="185"/>
      <c r="AQ19" s="185"/>
      <c r="AR19" s="185"/>
      <c r="AS19" s="185"/>
      <c r="AT19" s="185"/>
      <c r="AU19" s="185"/>
      <c r="AV19" s="185"/>
      <c r="AW19" s="185"/>
      <c r="AX19" s="185"/>
      <c r="AY19" s="185"/>
      <c r="AZ19" s="185"/>
      <c r="BA19" s="185"/>
      <c r="BB19" s="185"/>
      <c r="BC19" s="185"/>
      <c r="BD19" s="185"/>
      <c r="BE19" s="185"/>
      <c r="BF19" s="185"/>
      <c r="BG19" s="185"/>
      <c r="BH19" s="185">
        <f t="shared" ref="BH19:BH24" si="17">BI19+BJ19+BK19</f>
        <v>0</v>
      </c>
      <c r="BI19" s="185"/>
      <c r="BJ19" s="185"/>
      <c r="BK19" s="185"/>
      <c r="BL19" s="185">
        <f>F19+Q19+R19+S19+T19+U19+V19+BH19</f>
        <v>0</v>
      </c>
      <c r="BM19" s="185">
        <f>P67-BL19</f>
        <v>0</v>
      </c>
      <c r="BN19" s="185">
        <f t="shared" ref="BN19:BN24" si="18">D19+BM19</f>
        <v>13.91</v>
      </c>
      <c r="BP19" s="123"/>
    </row>
    <row r="20" spans="1:68" ht="20.100000000000001" customHeight="1">
      <c r="A20" s="14" t="s">
        <v>183</v>
      </c>
      <c r="B20" s="14" t="s">
        <v>31</v>
      </c>
      <c r="C20" s="30" t="s">
        <v>32</v>
      </c>
      <c r="D20" s="185"/>
      <c r="E20" s="185">
        <f t="shared" si="4"/>
        <v>0</v>
      </c>
      <c r="F20" s="185">
        <f t="shared" si="6"/>
        <v>0</v>
      </c>
      <c r="G20" s="185">
        <f t="shared" si="8"/>
        <v>0</v>
      </c>
      <c r="H20" s="185">
        <f t="shared" si="12"/>
        <v>0</v>
      </c>
      <c r="I20" s="185"/>
      <c r="J20" s="185"/>
      <c r="K20" s="185"/>
      <c r="L20" s="185"/>
      <c r="M20" s="185"/>
      <c r="N20" s="185"/>
      <c r="O20" s="185">
        <f t="shared" si="16"/>
        <v>0</v>
      </c>
      <c r="P20" s="185"/>
      <c r="Q20" s="185">
        <f>D20-BL20</f>
        <v>0</v>
      </c>
      <c r="R20" s="185"/>
      <c r="S20" s="185"/>
      <c r="T20" s="185"/>
      <c r="U20" s="185"/>
      <c r="V20" s="185">
        <f t="shared" si="13"/>
        <v>0</v>
      </c>
      <c r="W20" s="185"/>
      <c r="X20" s="185"/>
      <c r="Y20" s="185"/>
      <c r="Z20" s="185"/>
      <c r="AA20" s="185"/>
      <c r="AB20" s="185"/>
      <c r="AC20" s="185"/>
      <c r="AD20" s="185"/>
      <c r="AE20" s="185">
        <f t="shared" si="9"/>
        <v>0</v>
      </c>
      <c r="AF20" s="185"/>
      <c r="AG20" s="185"/>
      <c r="AH20" s="185"/>
      <c r="AI20" s="185"/>
      <c r="AJ20" s="185"/>
      <c r="AK20" s="185"/>
      <c r="AL20" s="185"/>
      <c r="AM20" s="185"/>
      <c r="AN20" s="185"/>
      <c r="AO20" s="185"/>
      <c r="AP20" s="185"/>
      <c r="AQ20" s="185"/>
      <c r="AR20" s="185"/>
      <c r="AS20" s="185"/>
      <c r="AT20" s="185"/>
      <c r="AU20" s="185"/>
      <c r="AV20" s="185"/>
      <c r="AW20" s="185"/>
      <c r="AX20" s="185"/>
      <c r="AY20" s="185"/>
      <c r="AZ20" s="185"/>
      <c r="BA20" s="185"/>
      <c r="BB20" s="185"/>
      <c r="BC20" s="185"/>
      <c r="BD20" s="185"/>
      <c r="BE20" s="185"/>
      <c r="BF20" s="185"/>
      <c r="BG20" s="185"/>
      <c r="BH20" s="185">
        <f t="shared" si="17"/>
        <v>0</v>
      </c>
      <c r="BI20" s="185"/>
      <c r="BJ20" s="185"/>
      <c r="BK20" s="185"/>
      <c r="BL20" s="185">
        <f>F20+P20+R20+S20+T20+U20+V20+BH20</f>
        <v>0</v>
      </c>
      <c r="BM20" s="185">
        <f>Q67-BL20</f>
        <v>0</v>
      </c>
      <c r="BN20" s="185">
        <f t="shared" si="18"/>
        <v>0</v>
      </c>
      <c r="BP20" s="123"/>
    </row>
    <row r="21" spans="1:68" ht="20.100000000000001" customHeight="1">
      <c r="A21" s="14" t="s">
        <v>184</v>
      </c>
      <c r="B21" s="14" t="s">
        <v>34</v>
      </c>
      <c r="C21" s="30" t="s">
        <v>35</v>
      </c>
      <c r="D21" s="185">
        <f>#REF!</f>
        <v>115.84</v>
      </c>
      <c r="E21" s="185">
        <f t="shared" si="4"/>
        <v>115.24</v>
      </c>
      <c r="F21" s="185">
        <f>G21+N21</f>
        <v>0</v>
      </c>
      <c r="G21" s="185">
        <f t="shared" si="8"/>
        <v>0</v>
      </c>
      <c r="H21" s="185">
        <f t="shared" si="12"/>
        <v>0</v>
      </c>
      <c r="I21" s="185"/>
      <c r="J21" s="185"/>
      <c r="K21" s="185"/>
      <c r="L21" s="185"/>
      <c r="M21" s="185"/>
      <c r="N21" s="185"/>
      <c r="O21" s="185">
        <f t="shared" si="16"/>
        <v>114.94</v>
      </c>
      <c r="P21" s="185"/>
      <c r="Q21" s="185"/>
      <c r="R21" s="185">
        <f>D21-BL21</f>
        <v>114.94</v>
      </c>
      <c r="S21" s="185">
        <v>0.3</v>
      </c>
      <c r="T21" s="185"/>
      <c r="U21" s="185"/>
      <c r="V21" s="185">
        <f t="shared" si="13"/>
        <v>0.6</v>
      </c>
      <c r="W21" s="185"/>
      <c r="X21" s="185"/>
      <c r="Y21" s="185"/>
      <c r="Z21" s="185"/>
      <c r="AA21" s="185"/>
      <c r="AB21" s="185"/>
      <c r="AC21" s="185"/>
      <c r="AD21" s="185"/>
      <c r="AE21" s="185">
        <f t="shared" si="9"/>
        <v>0.41</v>
      </c>
      <c r="AF21" s="185"/>
      <c r="AG21" s="185"/>
      <c r="AH21" s="185"/>
      <c r="AI21" s="185"/>
      <c r="AJ21" s="185"/>
      <c r="AK21" s="185"/>
      <c r="AL21" s="185">
        <v>0.41</v>
      </c>
      <c r="AM21" s="185"/>
      <c r="AN21" s="185"/>
      <c r="AO21" s="185"/>
      <c r="AP21" s="185"/>
      <c r="AQ21" s="185"/>
      <c r="AR21" s="185"/>
      <c r="AS21" s="185"/>
      <c r="AT21" s="185"/>
      <c r="AU21" s="185"/>
      <c r="AV21" s="185"/>
      <c r="AW21" s="185"/>
      <c r="AX21" s="185"/>
      <c r="AY21" s="185"/>
      <c r="AZ21" s="185"/>
      <c r="BA21" s="185">
        <v>0.19</v>
      </c>
      <c r="BB21" s="185"/>
      <c r="BC21" s="185"/>
      <c r="BD21" s="185"/>
      <c r="BE21" s="185"/>
      <c r="BF21" s="185"/>
      <c r="BG21" s="185"/>
      <c r="BH21" s="185">
        <f t="shared" si="17"/>
        <v>0</v>
      </c>
      <c r="BI21" s="185"/>
      <c r="BJ21" s="185"/>
      <c r="BK21" s="185"/>
      <c r="BL21" s="185">
        <f>F21+P21+Q21+S21+T21+U21+V21+BH21</f>
        <v>0.89999999999999991</v>
      </c>
      <c r="BM21" s="185">
        <f>R67-BL21</f>
        <v>-0.89999999999999991</v>
      </c>
      <c r="BN21" s="185">
        <f t="shared" si="18"/>
        <v>114.94</v>
      </c>
      <c r="BP21" s="123"/>
    </row>
    <row r="22" spans="1:68" ht="18" customHeight="1">
      <c r="A22" s="14" t="s">
        <v>24</v>
      </c>
      <c r="B22" s="14" t="s">
        <v>37</v>
      </c>
      <c r="C22" s="30" t="s">
        <v>38</v>
      </c>
      <c r="D22" s="185">
        <f>#REF!</f>
        <v>177.53</v>
      </c>
      <c r="E22" s="185">
        <f>F22+O22+S22+T22+U22</f>
        <v>176.73</v>
      </c>
      <c r="F22" s="185">
        <f t="shared" si="6"/>
        <v>0</v>
      </c>
      <c r="G22" s="185">
        <f t="shared" si="8"/>
        <v>0</v>
      </c>
      <c r="H22" s="185">
        <f t="shared" si="12"/>
        <v>0</v>
      </c>
      <c r="I22" s="185"/>
      <c r="J22" s="185"/>
      <c r="K22" s="185"/>
      <c r="L22" s="185"/>
      <c r="M22" s="185"/>
      <c r="N22" s="185"/>
      <c r="O22" s="185">
        <f t="shared" si="16"/>
        <v>0</v>
      </c>
      <c r="P22" s="185"/>
      <c r="Q22" s="185"/>
      <c r="R22" s="185"/>
      <c r="S22" s="185">
        <f>D22-BL22</f>
        <v>176.73</v>
      </c>
      <c r="T22" s="185"/>
      <c r="U22" s="185"/>
      <c r="V22" s="185">
        <f t="shared" si="13"/>
        <v>0.8</v>
      </c>
      <c r="W22" s="185"/>
      <c r="X22" s="185"/>
      <c r="Y22" s="185"/>
      <c r="Z22" s="185"/>
      <c r="AA22" s="185"/>
      <c r="AB22" s="185"/>
      <c r="AC22" s="185"/>
      <c r="AD22" s="185"/>
      <c r="AE22" s="185">
        <f t="shared" si="9"/>
        <v>0.64</v>
      </c>
      <c r="AF22" s="185"/>
      <c r="AG22" s="185"/>
      <c r="AH22" s="185"/>
      <c r="AI22" s="185"/>
      <c r="AJ22" s="185"/>
      <c r="AK22" s="185"/>
      <c r="AL22" s="185">
        <v>0.37</v>
      </c>
      <c r="AM22" s="185">
        <v>0.27</v>
      </c>
      <c r="AN22" s="185"/>
      <c r="AO22" s="185"/>
      <c r="AP22" s="185"/>
      <c r="AQ22" s="185"/>
      <c r="AR22" s="185"/>
      <c r="AS22" s="185"/>
      <c r="AT22" s="185"/>
      <c r="AU22" s="185">
        <v>0.15</v>
      </c>
      <c r="AV22" s="185"/>
      <c r="AW22" s="185"/>
      <c r="AX22" s="185"/>
      <c r="AY22" s="185"/>
      <c r="AZ22" s="185"/>
      <c r="BA22" s="185"/>
      <c r="BB22" s="185"/>
      <c r="BC22" s="185">
        <v>0.01</v>
      </c>
      <c r="BD22" s="185"/>
      <c r="BE22" s="185"/>
      <c r="BF22" s="185"/>
      <c r="BG22" s="185"/>
      <c r="BH22" s="185">
        <f t="shared" si="17"/>
        <v>0</v>
      </c>
      <c r="BI22" s="185"/>
      <c r="BJ22" s="185"/>
      <c r="BK22" s="185"/>
      <c r="BL22" s="185">
        <f>G22+O22+T22+U22+V22+BH22</f>
        <v>0.8</v>
      </c>
      <c r="BM22" s="185">
        <f>S67-BL22</f>
        <v>3.25</v>
      </c>
      <c r="BN22" s="185">
        <f t="shared" si="18"/>
        <v>180.78</v>
      </c>
      <c r="BP22" s="123"/>
    </row>
    <row r="23" spans="1:68" ht="19.5" hidden="1" customHeight="1">
      <c r="A23" s="14" t="s">
        <v>27</v>
      </c>
      <c r="B23" s="14" t="s">
        <v>40</v>
      </c>
      <c r="C23" s="30" t="s">
        <v>41</v>
      </c>
      <c r="D23" s="185"/>
      <c r="E23" s="185">
        <f t="shared" si="4"/>
        <v>0</v>
      </c>
      <c r="F23" s="185">
        <f t="shared" si="6"/>
        <v>0</v>
      </c>
      <c r="G23" s="185">
        <f t="shared" si="8"/>
        <v>0</v>
      </c>
      <c r="H23" s="185">
        <f t="shared" si="12"/>
        <v>0</v>
      </c>
      <c r="I23" s="185"/>
      <c r="J23" s="185"/>
      <c r="K23" s="185"/>
      <c r="L23" s="185"/>
      <c r="M23" s="185"/>
      <c r="N23" s="185"/>
      <c r="O23" s="185">
        <f t="shared" si="16"/>
        <v>0</v>
      </c>
      <c r="P23" s="185"/>
      <c r="Q23" s="185"/>
      <c r="R23" s="185"/>
      <c r="S23" s="185"/>
      <c r="T23" s="185">
        <f>D23-BL23</f>
        <v>0</v>
      </c>
      <c r="U23" s="185"/>
      <c r="V23" s="185">
        <f t="shared" si="13"/>
        <v>0</v>
      </c>
      <c r="W23" s="185"/>
      <c r="X23" s="185"/>
      <c r="Y23" s="185"/>
      <c r="Z23" s="185"/>
      <c r="AA23" s="185"/>
      <c r="AB23" s="185"/>
      <c r="AC23" s="185"/>
      <c r="AD23" s="185"/>
      <c r="AE23" s="185">
        <f t="shared" si="9"/>
        <v>0</v>
      </c>
      <c r="AF23" s="185"/>
      <c r="AG23" s="185"/>
      <c r="AH23" s="185"/>
      <c r="AI23" s="185"/>
      <c r="AJ23" s="185"/>
      <c r="AK23" s="185"/>
      <c r="AL23" s="185"/>
      <c r="AM23" s="185"/>
      <c r="AN23" s="185"/>
      <c r="AO23" s="185"/>
      <c r="AP23" s="185"/>
      <c r="AQ23" s="185"/>
      <c r="AR23" s="185"/>
      <c r="AS23" s="185"/>
      <c r="AT23" s="185"/>
      <c r="AU23" s="185"/>
      <c r="AV23" s="185"/>
      <c r="AW23" s="185"/>
      <c r="AX23" s="185"/>
      <c r="AY23" s="185"/>
      <c r="AZ23" s="185"/>
      <c r="BA23" s="185"/>
      <c r="BB23" s="185"/>
      <c r="BC23" s="185"/>
      <c r="BD23" s="185"/>
      <c r="BE23" s="185"/>
      <c r="BF23" s="185"/>
      <c r="BG23" s="185"/>
      <c r="BH23" s="185">
        <f t="shared" si="17"/>
        <v>0</v>
      </c>
      <c r="BI23" s="185"/>
      <c r="BJ23" s="185"/>
      <c r="BK23" s="185"/>
      <c r="BL23" s="185">
        <f>F23+O23+S23+U23+V23+BH23</f>
        <v>0</v>
      </c>
      <c r="BM23" s="185">
        <f>T67-BL23</f>
        <v>0</v>
      </c>
      <c r="BN23" s="185">
        <f t="shared" si="18"/>
        <v>0</v>
      </c>
      <c r="BP23" s="123"/>
    </row>
    <row r="24" spans="1:68" ht="20.100000000000001" customHeight="1">
      <c r="A24" s="14" t="s">
        <v>30</v>
      </c>
      <c r="B24" s="14" t="s">
        <v>43</v>
      </c>
      <c r="C24" s="30" t="s">
        <v>44</v>
      </c>
      <c r="D24" s="185">
        <f>#REF!</f>
        <v>7.0000000000000007E-2</v>
      </c>
      <c r="E24" s="185">
        <f t="shared" si="4"/>
        <v>7.0000000000000007E-2</v>
      </c>
      <c r="F24" s="185">
        <f t="shared" si="6"/>
        <v>0</v>
      </c>
      <c r="G24" s="185">
        <f t="shared" si="8"/>
        <v>0</v>
      </c>
      <c r="H24" s="185">
        <f t="shared" si="12"/>
        <v>0</v>
      </c>
      <c r="I24" s="185"/>
      <c r="J24" s="185"/>
      <c r="K24" s="185"/>
      <c r="L24" s="185"/>
      <c r="M24" s="185"/>
      <c r="N24" s="185"/>
      <c r="O24" s="185">
        <f t="shared" si="16"/>
        <v>0</v>
      </c>
      <c r="P24" s="185"/>
      <c r="Q24" s="185"/>
      <c r="R24" s="185"/>
      <c r="S24" s="185"/>
      <c r="T24" s="185"/>
      <c r="U24" s="185">
        <f>D24-BL24</f>
        <v>7.0000000000000007E-2</v>
      </c>
      <c r="V24" s="185">
        <f t="shared" si="13"/>
        <v>0</v>
      </c>
      <c r="W24" s="185"/>
      <c r="X24" s="185"/>
      <c r="Y24" s="185"/>
      <c r="Z24" s="185"/>
      <c r="AA24" s="185"/>
      <c r="AB24" s="185"/>
      <c r="AC24" s="185"/>
      <c r="AD24" s="185"/>
      <c r="AE24" s="185">
        <f t="shared" si="9"/>
        <v>0</v>
      </c>
      <c r="AF24" s="185"/>
      <c r="AG24" s="185"/>
      <c r="AH24" s="185"/>
      <c r="AI24" s="185"/>
      <c r="AJ24" s="185"/>
      <c r="AK24" s="185"/>
      <c r="AL24" s="185"/>
      <c r="AM24" s="185"/>
      <c r="AN24" s="185"/>
      <c r="AO24" s="185"/>
      <c r="AP24" s="185"/>
      <c r="AQ24" s="185"/>
      <c r="AR24" s="185"/>
      <c r="AS24" s="185"/>
      <c r="AT24" s="185"/>
      <c r="AU24" s="185"/>
      <c r="AV24" s="185"/>
      <c r="AW24" s="185"/>
      <c r="AX24" s="185"/>
      <c r="AY24" s="185"/>
      <c r="AZ24" s="185"/>
      <c r="BA24" s="185"/>
      <c r="BB24" s="185"/>
      <c r="BC24" s="185"/>
      <c r="BD24" s="185"/>
      <c r="BE24" s="185"/>
      <c r="BF24" s="185"/>
      <c r="BG24" s="185"/>
      <c r="BH24" s="185">
        <f t="shared" si="17"/>
        <v>0</v>
      </c>
      <c r="BI24" s="185"/>
      <c r="BJ24" s="185"/>
      <c r="BK24" s="185"/>
      <c r="BL24" s="185">
        <f>V24</f>
        <v>0</v>
      </c>
      <c r="BM24" s="185">
        <f>U67-BL24</f>
        <v>0</v>
      </c>
      <c r="BN24" s="185">
        <f t="shared" si="18"/>
        <v>7.0000000000000007E-2</v>
      </c>
      <c r="BP24" s="123"/>
    </row>
    <row r="25" spans="1:68" s="115" customFormat="1" ht="25.5" customHeight="1">
      <c r="A25" s="15">
        <v>2</v>
      </c>
      <c r="B25" s="15" t="s">
        <v>45</v>
      </c>
      <c r="C25" s="158" t="s">
        <v>46</v>
      </c>
      <c r="D25" s="420">
        <f>D26+D27+D28+D29+D30+D31+D32+D33+D34+D46+D47+D48+D49+D50+D51+D52+D53+D54+D55+D56+D57+D58+D59+D60+D61+D62</f>
        <v>385.1044</v>
      </c>
      <c r="E25" s="420">
        <f>E26+E27+E28+E29+E30+E31+E32+E33+E34+E46+E47+E48+E49+E50+E51+E52+E53+E54+E55+E56+E57+E58+E59+E60+E61+E62</f>
        <v>2.1</v>
      </c>
      <c r="F25" s="420">
        <f t="shared" ref="F25:U25" si="19">F26+F27+F28+F29+F30+F31+F32+F33+F34+F46+F47+F48+F49+F50+F51+F52+F53+F54+F55+F56+F57+F58+F59+F60+F61+F62</f>
        <v>0</v>
      </c>
      <c r="G25" s="420">
        <f t="shared" si="19"/>
        <v>0</v>
      </c>
      <c r="H25" s="420">
        <f t="shared" si="19"/>
        <v>0</v>
      </c>
      <c r="I25" s="420">
        <f t="shared" si="19"/>
        <v>0</v>
      </c>
      <c r="J25" s="420">
        <f t="shared" si="19"/>
        <v>0</v>
      </c>
      <c r="K25" s="420">
        <f t="shared" si="19"/>
        <v>0</v>
      </c>
      <c r="L25" s="420">
        <f t="shared" si="19"/>
        <v>0</v>
      </c>
      <c r="M25" s="420">
        <f t="shared" si="19"/>
        <v>0</v>
      </c>
      <c r="N25" s="420">
        <f t="shared" si="19"/>
        <v>0</v>
      </c>
      <c r="O25" s="420">
        <f t="shared" si="19"/>
        <v>0</v>
      </c>
      <c r="P25" s="420">
        <f t="shared" si="19"/>
        <v>0</v>
      </c>
      <c r="Q25" s="420">
        <f t="shared" si="19"/>
        <v>0</v>
      </c>
      <c r="R25" s="420">
        <f t="shared" si="19"/>
        <v>0</v>
      </c>
      <c r="S25" s="420">
        <f t="shared" si="19"/>
        <v>2.1</v>
      </c>
      <c r="T25" s="420">
        <f t="shared" si="19"/>
        <v>0</v>
      </c>
      <c r="U25" s="420">
        <f t="shared" si="19"/>
        <v>0</v>
      </c>
      <c r="V25" s="420">
        <f>D25-BL25</f>
        <v>383.00439999999998</v>
      </c>
      <c r="W25" s="420">
        <f>W26+W27+W28+W29+W30+W31+W32+W33+W34+W46+W47+W48+W49+W50+W51+W52+W53+W54+W55+W56+W57+W58+W59+W60+W61+W62</f>
        <v>14.43</v>
      </c>
      <c r="X25" s="420">
        <f t="shared" ref="X25:BK25" si="20">X26+X27+X28+X29+X30+X31+X32+X33+X34+X46+X47+X48+X49+X50+X51+X52+X53+X54+X55+X56+X57+X58+X59+X60+X61+X62</f>
        <v>0.16</v>
      </c>
      <c r="Y25" s="420">
        <f t="shared" si="20"/>
        <v>0</v>
      </c>
      <c r="Z25" s="420">
        <f t="shared" si="20"/>
        <v>0</v>
      </c>
      <c r="AA25" s="420">
        <f t="shared" si="20"/>
        <v>0</v>
      </c>
      <c r="AB25" s="420">
        <f t="shared" si="20"/>
        <v>16.5242</v>
      </c>
      <c r="AC25" s="420">
        <f t="shared" si="20"/>
        <v>60.28</v>
      </c>
      <c r="AD25" s="420">
        <f t="shared" si="20"/>
        <v>0</v>
      </c>
      <c r="AE25" s="420">
        <f t="shared" si="20"/>
        <v>124.17280000000004</v>
      </c>
      <c r="AF25" s="420">
        <f t="shared" si="20"/>
        <v>0.01</v>
      </c>
      <c r="AG25" s="420">
        <f t="shared" si="20"/>
        <v>5.7237</v>
      </c>
      <c r="AH25" s="420">
        <f t="shared" si="20"/>
        <v>7.28</v>
      </c>
      <c r="AI25" s="420">
        <f t="shared" si="20"/>
        <v>2.9195000000000002</v>
      </c>
      <c r="AJ25" s="420">
        <f t="shared" si="20"/>
        <v>0</v>
      </c>
      <c r="AK25" s="420">
        <f t="shared" si="20"/>
        <v>0</v>
      </c>
      <c r="AL25" s="420">
        <f t="shared" si="20"/>
        <v>92.403499999999994</v>
      </c>
      <c r="AM25" s="420">
        <f t="shared" si="20"/>
        <v>13.9961</v>
      </c>
      <c r="AN25" s="420">
        <f t="shared" si="20"/>
        <v>1.4</v>
      </c>
      <c r="AO25" s="420">
        <f t="shared" si="20"/>
        <v>0.01</v>
      </c>
      <c r="AP25" s="420">
        <f t="shared" si="20"/>
        <v>0.43</v>
      </c>
      <c r="AQ25" s="420">
        <f t="shared" si="20"/>
        <v>0</v>
      </c>
      <c r="AR25" s="420">
        <f t="shared" si="20"/>
        <v>0</v>
      </c>
      <c r="AS25" s="420">
        <f t="shared" si="20"/>
        <v>0</v>
      </c>
      <c r="AT25" s="420">
        <f t="shared" si="20"/>
        <v>0</v>
      </c>
      <c r="AU25" s="420">
        <f t="shared" si="20"/>
        <v>51.186499999999995</v>
      </c>
      <c r="AV25" s="420">
        <f t="shared" si="20"/>
        <v>0.51</v>
      </c>
      <c r="AW25" s="420">
        <f t="shared" si="20"/>
        <v>0.67</v>
      </c>
      <c r="AX25" s="420">
        <f t="shared" si="20"/>
        <v>0</v>
      </c>
      <c r="AY25" s="420">
        <f t="shared" si="20"/>
        <v>0.54</v>
      </c>
      <c r="AZ25" s="420">
        <f t="shared" si="20"/>
        <v>7.26</v>
      </c>
      <c r="BA25" s="420">
        <f t="shared" si="20"/>
        <v>3.5508999999999995</v>
      </c>
      <c r="BB25" s="420">
        <f t="shared" si="20"/>
        <v>1.0900000000000001</v>
      </c>
      <c r="BC25" s="420">
        <f t="shared" si="20"/>
        <v>2.12</v>
      </c>
      <c r="BD25" s="420">
        <f t="shared" si="20"/>
        <v>0.16</v>
      </c>
      <c r="BE25" s="420">
        <f t="shared" si="20"/>
        <v>88.62</v>
      </c>
      <c r="BF25" s="420">
        <f t="shared" si="20"/>
        <v>11.73</v>
      </c>
      <c r="BG25" s="420">
        <f t="shared" si="20"/>
        <v>0</v>
      </c>
      <c r="BH25" s="420">
        <f t="shared" si="20"/>
        <v>0</v>
      </c>
      <c r="BI25" s="420">
        <f t="shared" si="20"/>
        <v>0</v>
      </c>
      <c r="BJ25" s="420">
        <f t="shared" si="20"/>
        <v>0</v>
      </c>
      <c r="BK25" s="420">
        <f t="shared" si="20"/>
        <v>0</v>
      </c>
      <c r="BL25" s="420">
        <f>E25+BH25</f>
        <v>2.1</v>
      </c>
      <c r="BM25" s="420">
        <f>V67-BL25</f>
        <v>22.580000000000002</v>
      </c>
      <c r="BN25" s="420">
        <f>BN26+BN27+BN28+BN29+BN30+BN31+BN32+BN33+BN34+BN46+BN47+BN48+BN49+BN50+BN51+BN52+BN53+BN54+BN55+BN56+BN57+BN58+BN59+BN60+BN61+BN62</f>
        <v>407.68440000000004</v>
      </c>
      <c r="BO25" s="512">
        <f>SUM(BN26:BN62)-BN34</f>
        <v>407.68440000000004</v>
      </c>
      <c r="BP25" s="115">
        <v>421.62</v>
      </c>
    </row>
    <row r="26" spans="1:68" ht="20.100000000000001" customHeight="1">
      <c r="A26" s="19" t="s">
        <v>47</v>
      </c>
      <c r="B26" s="19" t="s">
        <v>48</v>
      </c>
      <c r="C26" s="30" t="s">
        <v>49</v>
      </c>
      <c r="D26" s="185">
        <f>#REF!</f>
        <v>14.43</v>
      </c>
      <c r="E26" s="185">
        <f t="shared" si="4"/>
        <v>0</v>
      </c>
      <c r="F26" s="185">
        <f>G26+N26</f>
        <v>0</v>
      </c>
      <c r="G26" s="185">
        <f t="shared" si="8"/>
        <v>0</v>
      </c>
      <c r="H26" s="185">
        <f t="shared" si="12"/>
        <v>0</v>
      </c>
      <c r="I26" s="185"/>
      <c r="J26" s="185"/>
      <c r="K26" s="185"/>
      <c r="L26" s="185"/>
      <c r="M26" s="185"/>
      <c r="N26" s="185"/>
      <c r="O26" s="185"/>
      <c r="P26" s="185"/>
      <c r="Q26" s="185"/>
      <c r="R26" s="185"/>
      <c r="S26" s="185"/>
      <c r="T26" s="185"/>
      <c r="U26" s="185"/>
      <c r="V26" s="185">
        <f t="shared" si="13"/>
        <v>14.43</v>
      </c>
      <c r="W26" s="185">
        <f>D26-BL26</f>
        <v>14.43</v>
      </c>
      <c r="X26" s="185"/>
      <c r="Y26" s="185"/>
      <c r="Z26" s="185"/>
      <c r="AA26" s="185"/>
      <c r="AB26" s="185"/>
      <c r="AC26" s="185"/>
      <c r="AD26" s="185"/>
      <c r="AE26" s="185">
        <f t="shared" si="9"/>
        <v>0</v>
      </c>
      <c r="AF26" s="185"/>
      <c r="AG26" s="185"/>
      <c r="AH26" s="185"/>
      <c r="AI26" s="185"/>
      <c r="AJ26" s="185"/>
      <c r="AK26" s="185"/>
      <c r="AL26" s="185"/>
      <c r="AM26" s="185"/>
      <c r="AN26" s="185"/>
      <c r="AO26" s="185"/>
      <c r="AP26" s="185"/>
      <c r="AQ26" s="185"/>
      <c r="AR26" s="185"/>
      <c r="AS26" s="185"/>
      <c r="AT26" s="185"/>
      <c r="AU26" s="185"/>
      <c r="AV26" s="185"/>
      <c r="AW26" s="185"/>
      <c r="AX26" s="185"/>
      <c r="AY26" s="185"/>
      <c r="AZ26" s="185"/>
      <c r="BA26" s="185"/>
      <c r="BB26" s="185"/>
      <c r="BC26" s="185"/>
      <c r="BD26" s="185"/>
      <c r="BE26" s="185"/>
      <c r="BF26" s="185"/>
      <c r="BG26" s="185"/>
      <c r="BH26" s="185">
        <f>BI26+BJ26+BK26</f>
        <v>0</v>
      </c>
      <c r="BI26" s="185"/>
      <c r="BJ26" s="185"/>
      <c r="BK26" s="185"/>
      <c r="BL26" s="185">
        <f>X26+Y26+Z26+AA26+AB26+AC26+AD26+AE26+AQ26+AR26+AS26+AT26+AU26+AV26+AW26+AX26+AY26+AZ26+BA26+BB26+BC26+BD26+BE26+BF26+BG26+BH26</f>
        <v>0</v>
      </c>
      <c r="BM26" s="185">
        <f>W67-BL26</f>
        <v>0</v>
      </c>
      <c r="BN26" s="185">
        <f>D26+BM26</f>
        <v>14.43</v>
      </c>
      <c r="BP26" s="123"/>
    </row>
    <row r="27" spans="1:68" ht="20.100000000000001" customHeight="1">
      <c r="A27" s="19" t="s">
        <v>50</v>
      </c>
      <c r="B27" s="19" t="s">
        <v>51</v>
      </c>
      <c r="C27" s="30" t="s">
        <v>52</v>
      </c>
      <c r="D27" s="185">
        <f>#REF!</f>
        <v>0.16</v>
      </c>
      <c r="E27" s="185">
        <f t="shared" si="4"/>
        <v>0</v>
      </c>
      <c r="F27" s="185">
        <f t="shared" ref="F27:F66" si="21">G27+N27</f>
        <v>0</v>
      </c>
      <c r="G27" s="185">
        <f t="shared" si="8"/>
        <v>0</v>
      </c>
      <c r="H27" s="185">
        <f t="shared" si="12"/>
        <v>0</v>
      </c>
      <c r="I27" s="185"/>
      <c r="J27" s="185"/>
      <c r="K27" s="185"/>
      <c r="L27" s="185"/>
      <c r="M27" s="185"/>
      <c r="N27" s="185"/>
      <c r="O27" s="185"/>
      <c r="P27" s="185"/>
      <c r="Q27" s="185"/>
      <c r="R27" s="185"/>
      <c r="S27" s="185"/>
      <c r="T27" s="185"/>
      <c r="U27" s="185"/>
      <c r="V27" s="185">
        <f t="shared" si="13"/>
        <v>0.16</v>
      </c>
      <c r="W27" s="185"/>
      <c r="X27" s="185">
        <f>D27-BL27</f>
        <v>0.16</v>
      </c>
      <c r="Y27" s="185"/>
      <c r="Z27" s="185"/>
      <c r="AA27" s="185"/>
      <c r="AB27" s="185"/>
      <c r="AC27" s="185"/>
      <c r="AD27" s="185"/>
      <c r="AE27" s="185">
        <f t="shared" si="9"/>
        <v>0</v>
      </c>
      <c r="AF27" s="185"/>
      <c r="AG27" s="185"/>
      <c r="AH27" s="185"/>
      <c r="AI27" s="185"/>
      <c r="AJ27" s="185"/>
      <c r="AK27" s="185"/>
      <c r="AL27" s="185"/>
      <c r="AM27" s="185"/>
      <c r="AN27" s="185"/>
      <c r="AO27" s="185"/>
      <c r="AP27" s="185"/>
      <c r="AQ27" s="185"/>
      <c r="AR27" s="185"/>
      <c r="AS27" s="185"/>
      <c r="AT27" s="185"/>
      <c r="AU27" s="185"/>
      <c r="AV27" s="185"/>
      <c r="AW27" s="185"/>
      <c r="AX27" s="185"/>
      <c r="AY27" s="185"/>
      <c r="AZ27" s="185"/>
      <c r="BA27" s="185"/>
      <c r="BB27" s="185"/>
      <c r="BC27" s="185"/>
      <c r="BD27" s="185"/>
      <c r="BE27" s="185"/>
      <c r="BF27" s="185"/>
      <c r="BG27" s="185"/>
      <c r="BH27" s="185">
        <f t="shared" ref="BH27:BH62" si="22">BI27+BJ27+BK27</f>
        <v>0</v>
      </c>
      <c r="BI27" s="185"/>
      <c r="BJ27" s="185"/>
      <c r="BK27" s="185"/>
      <c r="BL27" s="185">
        <f>F27+W27+Y27+Z27+AA27+AB27+AC27+AD27+AE27+AQ27+AR27+AS27+AT27+AU27+AV27+AW27+AX27+AY27+AZ27+BA27+BB27+BC27+BD27+BE27+BF27+BG27+BH27</f>
        <v>0</v>
      </c>
      <c r="BM27" s="185">
        <f>X67-BL27</f>
        <v>0</v>
      </c>
      <c r="BN27" s="185">
        <f t="shared" ref="BN27:BN33" si="23">D27+BM27</f>
        <v>0.16</v>
      </c>
      <c r="BP27" s="123"/>
    </row>
    <row r="28" spans="1:68" ht="20.100000000000001" customHeight="1">
      <c r="A28" s="19" t="s">
        <v>53</v>
      </c>
      <c r="B28" s="19" t="s">
        <v>54</v>
      </c>
      <c r="C28" s="30" t="s">
        <v>55</v>
      </c>
      <c r="D28" s="185"/>
      <c r="E28" s="185">
        <f t="shared" si="4"/>
        <v>0</v>
      </c>
      <c r="F28" s="185">
        <f t="shared" si="21"/>
        <v>0</v>
      </c>
      <c r="G28" s="185">
        <f t="shared" si="8"/>
        <v>0</v>
      </c>
      <c r="H28" s="185">
        <f t="shared" si="12"/>
        <v>0</v>
      </c>
      <c r="I28" s="185"/>
      <c r="J28" s="185"/>
      <c r="K28" s="185"/>
      <c r="L28" s="185"/>
      <c r="M28" s="185"/>
      <c r="N28" s="185"/>
      <c r="O28" s="185"/>
      <c r="P28" s="185"/>
      <c r="Q28" s="185"/>
      <c r="R28" s="185"/>
      <c r="S28" s="185"/>
      <c r="T28" s="185"/>
      <c r="U28" s="185"/>
      <c r="V28" s="185">
        <f t="shared" si="13"/>
        <v>0</v>
      </c>
      <c r="W28" s="185"/>
      <c r="X28" s="185"/>
      <c r="Y28" s="185">
        <f>D28-BL28</f>
        <v>0</v>
      </c>
      <c r="Z28" s="185"/>
      <c r="AA28" s="185"/>
      <c r="AB28" s="185"/>
      <c r="AC28" s="185"/>
      <c r="AD28" s="185"/>
      <c r="AE28" s="185">
        <f t="shared" si="9"/>
        <v>0</v>
      </c>
      <c r="AF28" s="185"/>
      <c r="AG28" s="185"/>
      <c r="AH28" s="185"/>
      <c r="AI28" s="185"/>
      <c r="AJ28" s="185"/>
      <c r="AK28" s="185"/>
      <c r="AL28" s="185"/>
      <c r="AM28" s="185"/>
      <c r="AN28" s="185"/>
      <c r="AO28" s="185"/>
      <c r="AP28" s="185"/>
      <c r="AQ28" s="185"/>
      <c r="AR28" s="185"/>
      <c r="AS28" s="185"/>
      <c r="AT28" s="185"/>
      <c r="AU28" s="185"/>
      <c r="AV28" s="185"/>
      <c r="AW28" s="185"/>
      <c r="AX28" s="185"/>
      <c r="AY28" s="185"/>
      <c r="AZ28" s="185"/>
      <c r="BA28" s="185"/>
      <c r="BB28" s="185"/>
      <c r="BC28" s="185"/>
      <c r="BD28" s="185"/>
      <c r="BE28" s="185"/>
      <c r="BF28" s="185"/>
      <c r="BG28" s="185"/>
      <c r="BH28" s="185">
        <f t="shared" si="22"/>
        <v>0</v>
      </c>
      <c r="BI28" s="185"/>
      <c r="BJ28" s="185"/>
      <c r="BK28" s="185"/>
      <c r="BL28" s="185">
        <f>E28+W28+X28+Z28+AA28+AB28+AC28+AD28+AE28+AQ28+AR28+AS28+AT28+AU28+AV28+AW28+AX28+AY28+AZ28+BA28+BB28+BC28+BD28+BE28+BF28+BG28+BH28</f>
        <v>0</v>
      </c>
      <c r="BM28" s="185">
        <f>Y67-BL28</f>
        <v>0</v>
      </c>
      <c r="BN28" s="185">
        <f t="shared" si="23"/>
        <v>0</v>
      </c>
      <c r="BP28" s="123"/>
    </row>
    <row r="29" spans="1:68" ht="20.100000000000001" customHeight="1">
      <c r="A29" s="19" t="s">
        <v>56</v>
      </c>
      <c r="B29" s="19" t="s">
        <v>57</v>
      </c>
      <c r="C29" s="30" t="s">
        <v>58</v>
      </c>
      <c r="D29" s="185"/>
      <c r="E29" s="185">
        <f t="shared" si="4"/>
        <v>0</v>
      </c>
      <c r="F29" s="185">
        <f t="shared" si="21"/>
        <v>0</v>
      </c>
      <c r="G29" s="185">
        <f t="shared" si="8"/>
        <v>0</v>
      </c>
      <c r="H29" s="185">
        <f t="shared" si="12"/>
        <v>0</v>
      </c>
      <c r="I29" s="185"/>
      <c r="J29" s="185"/>
      <c r="K29" s="185"/>
      <c r="L29" s="185"/>
      <c r="M29" s="185"/>
      <c r="N29" s="185"/>
      <c r="O29" s="185"/>
      <c r="P29" s="185"/>
      <c r="Q29" s="185"/>
      <c r="R29" s="185"/>
      <c r="S29" s="185"/>
      <c r="T29" s="185"/>
      <c r="U29" s="185"/>
      <c r="V29" s="185">
        <f t="shared" si="13"/>
        <v>0</v>
      </c>
      <c r="W29" s="185"/>
      <c r="X29" s="185"/>
      <c r="Y29" s="185"/>
      <c r="Z29" s="185">
        <f>D29-BL29</f>
        <v>0</v>
      </c>
      <c r="AA29" s="185"/>
      <c r="AB29" s="185"/>
      <c r="AC29" s="185"/>
      <c r="AD29" s="185"/>
      <c r="AE29" s="185">
        <f t="shared" si="9"/>
        <v>0</v>
      </c>
      <c r="AF29" s="185"/>
      <c r="AG29" s="185"/>
      <c r="AH29" s="185"/>
      <c r="AI29" s="185"/>
      <c r="AJ29" s="185"/>
      <c r="AK29" s="185"/>
      <c r="AL29" s="185"/>
      <c r="AM29" s="185"/>
      <c r="AN29" s="185"/>
      <c r="AO29" s="185"/>
      <c r="AP29" s="185"/>
      <c r="AQ29" s="185"/>
      <c r="AR29" s="185"/>
      <c r="AS29" s="185"/>
      <c r="AT29" s="185"/>
      <c r="AU29" s="185"/>
      <c r="AV29" s="185"/>
      <c r="AW29" s="185"/>
      <c r="AX29" s="185"/>
      <c r="AY29" s="185"/>
      <c r="AZ29" s="185"/>
      <c r="BA29" s="185"/>
      <c r="BB29" s="185"/>
      <c r="BC29" s="185"/>
      <c r="BD29" s="185"/>
      <c r="BE29" s="185"/>
      <c r="BF29" s="185"/>
      <c r="BG29" s="185"/>
      <c r="BH29" s="185">
        <f t="shared" si="22"/>
        <v>0</v>
      </c>
      <c r="BI29" s="185"/>
      <c r="BJ29" s="185"/>
      <c r="BK29" s="185"/>
      <c r="BL29" s="185">
        <f>E29+W29+X29+Y29+AA29+AB29+AC29+AD29+AE29+AQ29+AR29+AS29+AT29+AU29+AV29+AW29+AX29+AY29+AZ29+BA29+BB29+BC29+BD29+BE29+BF29+BG29+BH29</f>
        <v>0</v>
      </c>
      <c r="BM29" s="185">
        <f>Z67-BL29</f>
        <v>0</v>
      </c>
      <c r="BN29" s="185">
        <f t="shared" si="23"/>
        <v>0</v>
      </c>
      <c r="BP29" s="123"/>
    </row>
    <row r="30" spans="1:68" ht="20.100000000000001" customHeight="1">
      <c r="A30" s="19" t="s">
        <v>59</v>
      </c>
      <c r="B30" s="19" t="s">
        <v>60</v>
      </c>
      <c r="C30" s="30" t="s">
        <v>61</v>
      </c>
      <c r="D30" s="185"/>
      <c r="E30" s="185">
        <f t="shared" si="4"/>
        <v>0</v>
      </c>
      <c r="F30" s="185">
        <f t="shared" si="21"/>
        <v>0</v>
      </c>
      <c r="G30" s="185">
        <f t="shared" si="8"/>
        <v>0</v>
      </c>
      <c r="H30" s="185">
        <f t="shared" si="12"/>
        <v>0</v>
      </c>
      <c r="I30" s="185"/>
      <c r="J30" s="185"/>
      <c r="K30" s="185"/>
      <c r="L30" s="185"/>
      <c r="M30" s="185"/>
      <c r="N30" s="185"/>
      <c r="O30" s="185"/>
      <c r="P30" s="185"/>
      <c r="Q30" s="185"/>
      <c r="R30" s="185"/>
      <c r="S30" s="185"/>
      <c r="T30" s="185"/>
      <c r="U30" s="185"/>
      <c r="V30" s="185">
        <f t="shared" si="13"/>
        <v>0</v>
      </c>
      <c r="W30" s="185"/>
      <c r="X30" s="185"/>
      <c r="Y30" s="185"/>
      <c r="Z30" s="185"/>
      <c r="AA30" s="185">
        <f>D30-BL30</f>
        <v>0</v>
      </c>
      <c r="AB30" s="185"/>
      <c r="AC30" s="185"/>
      <c r="AD30" s="185"/>
      <c r="AE30" s="185">
        <f t="shared" si="9"/>
        <v>0</v>
      </c>
      <c r="AF30" s="185"/>
      <c r="AG30" s="185"/>
      <c r="AH30" s="185"/>
      <c r="AI30" s="185"/>
      <c r="AJ30" s="185"/>
      <c r="AK30" s="185"/>
      <c r="AL30" s="185"/>
      <c r="AM30" s="185"/>
      <c r="AN30" s="185"/>
      <c r="AO30" s="185"/>
      <c r="AP30" s="185"/>
      <c r="AQ30" s="185"/>
      <c r="AR30" s="185"/>
      <c r="AS30" s="185"/>
      <c r="AT30" s="185"/>
      <c r="AU30" s="185"/>
      <c r="AV30" s="185"/>
      <c r="AW30" s="185"/>
      <c r="AX30" s="185"/>
      <c r="AY30" s="185"/>
      <c r="AZ30" s="185"/>
      <c r="BA30" s="185"/>
      <c r="BB30" s="185"/>
      <c r="BC30" s="185"/>
      <c r="BD30" s="185"/>
      <c r="BE30" s="185"/>
      <c r="BF30" s="185"/>
      <c r="BG30" s="185"/>
      <c r="BH30" s="185">
        <f t="shared" si="22"/>
        <v>0</v>
      </c>
      <c r="BI30" s="185"/>
      <c r="BJ30" s="185"/>
      <c r="BK30" s="185"/>
      <c r="BL30" s="185">
        <f>E30+W30+X30+Y30+Z30+AB30+AC30+AD30+AE30+AQ30+AR30+AS30+AT30+AU30+AV30+AW30+AX30+AY30+AZ30+BA30+BB30+BC30+BD30+BE30+BF30+BG30+BH30</f>
        <v>0</v>
      </c>
      <c r="BM30" s="185">
        <f>AA67-BL30</f>
        <v>0</v>
      </c>
      <c r="BN30" s="185">
        <f t="shared" si="23"/>
        <v>0</v>
      </c>
      <c r="BP30" s="123"/>
    </row>
    <row r="31" spans="1:68" ht="20.100000000000001" customHeight="1">
      <c r="A31" s="19" t="s">
        <v>62</v>
      </c>
      <c r="B31" s="19" t="s">
        <v>63</v>
      </c>
      <c r="C31" s="30" t="s">
        <v>64</v>
      </c>
      <c r="D31" s="185">
        <f>#REF!</f>
        <v>16.494199999999999</v>
      </c>
      <c r="E31" s="185">
        <f t="shared" si="4"/>
        <v>0</v>
      </c>
      <c r="F31" s="185">
        <f t="shared" si="21"/>
        <v>0</v>
      </c>
      <c r="G31" s="185">
        <f t="shared" si="8"/>
        <v>0</v>
      </c>
      <c r="H31" s="185">
        <f t="shared" si="12"/>
        <v>0</v>
      </c>
      <c r="I31" s="185"/>
      <c r="J31" s="185"/>
      <c r="K31" s="185"/>
      <c r="L31" s="185"/>
      <c r="M31" s="185"/>
      <c r="N31" s="185"/>
      <c r="O31" s="185"/>
      <c r="P31" s="185"/>
      <c r="Q31" s="185"/>
      <c r="R31" s="185"/>
      <c r="S31" s="185"/>
      <c r="T31" s="185"/>
      <c r="U31" s="185"/>
      <c r="V31" s="185">
        <f>W31+X31+Y31+Z31+AA31+AB31+AC31+AD31+AE31+AQ31+AR31+AS31+AT31+AU31+AV31+AW31+AX31+AY31+AZ31+BA31+BB31+BC31+BD31+BE31+BF31+BG31</f>
        <v>16.494199999999999</v>
      </c>
      <c r="W31" s="185"/>
      <c r="X31" s="185"/>
      <c r="Y31" s="185"/>
      <c r="Z31" s="185"/>
      <c r="AA31" s="185"/>
      <c r="AB31" s="185">
        <f>D31-BL31</f>
        <v>16.414200000000001</v>
      </c>
      <c r="AC31" s="185"/>
      <c r="AD31" s="185"/>
      <c r="AE31" s="185">
        <f t="shared" si="9"/>
        <v>0.08</v>
      </c>
      <c r="AF31" s="185"/>
      <c r="AG31" s="185"/>
      <c r="AH31" s="185"/>
      <c r="AI31" s="185"/>
      <c r="AJ31" s="185"/>
      <c r="AK31" s="185"/>
      <c r="AL31" s="185">
        <v>0.08</v>
      </c>
      <c r="AM31" s="185"/>
      <c r="AN31" s="185"/>
      <c r="AO31" s="185"/>
      <c r="AP31" s="185"/>
      <c r="AQ31" s="185"/>
      <c r="AR31" s="185"/>
      <c r="AS31" s="185"/>
      <c r="AT31" s="185"/>
      <c r="AU31" s="185"/>
      <c r="AV31" s="185"/>
      <c r="AW31" s="185"/>
      <c r="AX31" s="185"/>
      <c r="AY31" s="185"/>
      <c r="AZ31" s="185"/>
      <c r="BA31" s="185"/>
      <c r="BB31" s="185"/>
      <c r="BC31" s="185"/>
      <c r="BD31" s="185"/>
      <c r="BE31" s="185"/>
      <c r="BF31" s="185"/>
      <c r="BG31" s="185"/>
      <c r="BH31" s="185">
        <f>BI31+BJ31+BK31</f>
        <v>0</v>
      </c>
      <c r="BI31" s="185"/>
      <c r="BJ31" s="185"/>
      <c r="BK31" s="185"/>
      <c r="BL31" s="185">
        <f>E31+W31+X31+Y31+Z31+AA31+AC31+AD31+AE31+AQ31+AR31+AS31+AT31+AU31+AV31+AW31+AX31+AY31+AZ31+BA31+BB31+BC31+BD31+BE31+BF31+BG31+BH31</f>
        <v>0.08</v>
      </c>
      <c r="BM31" s="185">
        <f>AB67-BL31</f>
        <v>1.1700000000000002</v>
      </c>
      <c r="BN31" s="185">
        <f t="shared" si="23"/>
        <v>17.664200000000001</v>
      </c>
      <c r="BP31" s="123"/>
    </row>
    <row r="32" spans="1:68" ht="20.100000000000001" customHeight="1">
      <c r="A32" s="19" t="s">
        <v>65</v>
      </c>
      <c r="B32" s="19" t="s">
        <v>66</v>
      </c>
      <c r="C32" s="30" t="s">
        <v>67</v>
      </c>
      <c r="D32" s="185">
        <f>#REF!</f>
        <v>60.28</v>
      </c>
      <c r="E32" s="185">
        <f t="shared" si="4"/>
        <v>0</v>
      </c>
      <c r="F32" s="185">
        <f t="shared" si="21"/>
        <v>0</v>
      </c>
      <c r="G32" s="185">
        <f t="shared" si="8"/>
        <v>0</v>
      </c>
      <c r="H32" s="185">
        <f t="shared" si="12"/>
        <v>0</v>
      </c>
      <c r="I32" s="185"/>
      <c r="J32" s="185"/>
      <c r="K32" s="185"/>
      <c r="L32" s="185"/>
      <c r="M32" s="185"/>
      <c r="N32" s="185"/>
      <c r="O32" s="185"/>
      <c r="P32" s="185"/>
      <c r="Q32" s="185"/>
      <c r="R32" s="185"/>
      <c r="S32" s="185"/>
      <c r="T32" s="185"/>
      <c r="U32" s="185"/>
      <c r="V32" s="185">
        <f t="shared" si="13"/>
        <v>60.28</v>
      </c>
      <c r="W32" s="185"/>
      <c r="X32" s="185"/>
      <c r="Y32" s="185"/>
      <c r="Z32" s="185"/>
      <c r="AA32" s="185"/>
      <c r="AB32" s="185"/>
      <c r="AC32" s="185">
        <f>D32-BL32</f>
        <v>60.28</v>
      </c>
      <c r="AD32" s="185"/>
      <c r="AE32" s="185">
        <f t="shared" si="9"/>
        <v>0</v>
      </c>
      <c r="AF32" s="185"/>
      <c r="AG32" s="185"/>
      <c r="AH32" s="185"/>
      <c r="AI32" s="185"/>
      <c r="AJ32" s="185"/>
      <c r="AK32" s="185"/>
      <c r="AL32" s="185"/>
      <c r="AM32" s="185"/>
      <c r="AN32" s="185"/>
      <c r="AO32" s="185"/>
      <c r="AP32" s="185"/>
      <c r="AQ32" s="185"/>
      <c r="AR32" s="185"/>
      <c r="AS32" s="185"/>
      <c r="AT32" s="185"/>
      <c r="AU32" s="185"/>
      <c r="AV32" s="185"/>
      <c r="AW32" s="185"/>
      <c r="AX32" s="185"/>
      <c r="AY32" s="185"/>
      <c r="AZ32" s="185"/>
      <c r="BA32" s="185"/>
      <c r="BB32" s="185"/>
      <c r="BC32" s="185"/>
      <c r="BD32" s="185"/>
      <c r="BE32" s="185"/>
      <c r="BF32" s="185"/>
      <c r="BG32" s="185"/>
      <c r="BH32" s="185">
        <f t="shared" si="22"/>
        <v>0</v>
      </c>
      <c r="BI32" s="185"/>
      <c r="BJ32" s="185"/>
      <c r="BK32" s="185"/>
      <c r="BL32" s="185">
        <f>E32+W32+X32+Y32+Z32+AA32+AB32+AD32+AE32+AQ32+AR32+AS32+AT32+AU32+AV32+AW32+AX32+AY32+AZ32+BA32+BB32+BC32+BD32+BE32+BF32+BG32+BH32</f>
        <v>0</v>
      </c>
      <c r="BM32" s="185">
        <f>AC67-BL32</f>
        <v>0</v>
      </c>
      <c r="BN32" s="185">
        <f t="shared" si="23"/>
        <v>60.28</v>
      </c>
      <c r="BP32" s="123"/>
    </row>
    <row r="33" spans="1:68" ht="20.100000000000001" customHeight="1">
      <c r="A33" s="19" t="s">
        <v>68</v>
      </c>
      <c r="B33" s="19" t="s">
        <v>69</v>
      </c>
      <c r="C33" s="30" t="s">
        <v>70</v>
      </c>
      <c r="D33" s="185"/>
      <c r="E33" s="185">
        <f t="shared" si="4"/>
        <v>0</v>
      </c>
      <c r="F33" s="185">
        <f t="shared" si="21"/>
        <v>0</v>
      </c>
      <c r="G33" s="185">
        <f t="shared" si="8"/>
        <v>0</v>
      </c>
      <c r="H33" s="185">
        <f t="shared" si="12"/>
        <v>0</v>
      </c>
      <c r="I33" s="185"/>
      <c r="J33" s="185"/>
      <c r="K33" s="185"/>
      <c r="L33" s="185"/>
      <c r="M33" s="185"/>
      <c r="N33" s="185"/>
      <c r="O33" s="185"/>
      <c r="P33" s="185"/>
      <c r="Q33" s="185"/>
      <c r="R33" s="185"/>
      <c r="S33" s="185"/>
      <c r="T33" s="185"/>
      <c r="U33" s="185"/>
      <c r="V33" s="185">
        <f t="shared" si="13"/>
        <v>0</v>
      </c>
      <c r="W33" s="185"/>
      <c r="X33" s="185"/>
      <c r="Y33" s="185"/>
      <c r="Z33" s="185"/>
      <c r="AA33" s="185"/>
      <c r="AB33" s="185"/>
      <c r="AC33" s="185"/>
      <c r="AD33" s="185">
        <f>D33-BL33</f>
        <v>0</v>
      </c>
      <c r="AE33" s="185">
        <f t="shared" si="9"/>
        <v>0</v>
      </c>
      <c r="AF33" s="185"/>
      <c r="AG33" s="185"/>
      <c r="AH33" s="185"/>
      <c r="AI33" s="185"/>
      <c r="AJ33" s="185"/>
      <c r="AK33" s="185"/>
      <c r="AL33" s="185"/>
      <c r="AM33" s="185"/>
      <c r="AN33" s="185"/>
      <c r="AO33" s="185"/>
      <c r="AP33" s="185"/>
      <c r="AQ33" s="185"/>
      <c r="AR33" s="185"/>
      <c r="AS33" s="185"/>
      <c r="AT33" s="185"/>
      <c r="AU33" s="185"/>
      <c r="AV33" s="185"/>
      <c r="AW33" s="185"/>
      <c r="AX33" s="185"/>
      <c r="AY33" s="185"/>
      <c r="AZ33" s="185"/>
      <c r="BA33" s="185"/>
      <c r="BB33" s="185"/>
      <c r="BC33" s="185"/>
      <c r="BD33" s="185"/>
      <c r="BE33" s="185"/>
      <c r="BF33" s="185"/>
      <c r="BG33" s="185"/>
      <c r="BH33" s="185">
        <f t="shared" si="22"/>
        <v>0</v>
      </c>
      <c r="BI33" s="185"/>
      <c r="BJ33" s="185"/>
      <c r="BK33" s="185"/>
      <c r="BL33" s="185">
        <f>E33+W33+X33+Y33+Z33+AA33+AB33+AC33+AE33+AQ33+AR33+AS33+AT33+AU33+AV33+AW33+AX33+AY33+AZ33+BA33+BB33+BC33+BD33+BE33+BF33+BG33+BH33</f>
        <v>0</v>
      </c>
      <c r="BM33" s="185">
        <f>AD67-BL33</f>
        <v>0</v>
      </c>
      <c r="BN33" s="185">
        <f t="shared" si="23"/>
        <v>0</v>
      </c>
      <c r="BP33" s="123"/>
    </row>
    <row r="34" spans="1:68" ht="40.5" customHeight="1">
      <c r="A34" s="19" t="s">
        <v>71</v>
      </c>
      <c r="B34" s="19" t="s">
        <v>135</v>
      </c>
      <c r="C34" s="30" t="s">
        <v>72</v>
      </c>
      <c r="D34" s="185">
        <f>SUM(D35:D45)</f>
        <v>120.88280000000003</v>
      </c>
      <c r="E34" s="185">
        <f>SUM(E35:E45)</f>
        <v>0</v>
      </c>
      <c r="F34" s="185">
        <f t="shared" ref="F34:U34" si="24">SUM(F35:F45)</f>
        <v>0</v>
      </c>
      <c r="G34" s="185">
        <f t="shared" si="24"/>
        <v>0</v>
      </c>
      <c r="H34" s="185">
        <f t="shared" si="24"/>
        <v>0</v>
      </c>
      <c r="I34" s="185">
        <f t="shared" si="24"/>
        <v>0</v>
      </c>
      <c r="J34" s="185">
        <f t="shared" si="24"/>
        <v>0</v>
      </c>
      <c r="K34" s="185">
        <f t="shared" si="24"/>
        <v>0</v>
      </c>
      <c r="L34" s="185">
        <f t="shared" si="24"/>
        <v>0</v>
      </c>
      <c r="M34" s="185">
        <f t="shared" si="24"/>
        <v>0</v>
      </c>
      <c r="N34" s="185">
        <f t="shared" si="24"/>
        <v>0</v>
      </c>
      <c r="O34" s="185">
        <f t="shared" si="24"/>
        <v>0</v>
      </c>
      <c r="P34" s="185">
        <f t="shared" si="24"/>
        <v>0</v>
      </c>
      <c r="Q34" s="185">
        <f t="shared" si="24"/>
        <v>0</v>
      </c>
      <c r="R34" s="185">
        <f t="shared" si="24"/>
        <v>0</v>
      </c>
      <c r="S34" s="185">
        <f t="shared" si="24"/>
        <v>0</v>
      </c>
      <c r="T34" s="185">
        <f t="shared" si="24"/>
        <v>0</v>
      </c>
      <c r="U34" s="185">
        <f t="shared" si="24"/>
        <v>0</v>
      </c>
      <c r="V34" s="185">
        <f>SUM(V35:V45)</f>
        <v>120.88280000000002</v>
      </c>
      <c r="W34" s="185">
        <f t="shared" ref="W34:AD34" si="25">SUM(W35:W45)</f>
        <v>0</v>
      </c>
      <c r="X34" s="185">
        <f t="shared" si="25"/>
        <v>0</v>
      </c>
      <c r="Y34" s="185">
        <f t="shared" si="25"/>
        <v>0</v>
      </c>
      <c r="Z34" s="185">
        <f t="shared" si="25"/>
        <v>0</v>
      </c>
      <c r="AA34" s="185">
        <f t="shared" si="25"/>
        <v>0</v>
      </c>
      <c r="AB34" s="185">
        <f t="shared" si="25"/>
        <v>0.06</v>
      </c>
      <c r="AC34" s="185">
        <f t="shared" si="25"/>
        <v>0</v>
      </c>
      <c r="AD34" s="185">
        <f t="shared" si="25"/>
        <v>0</v>
      </c>
      <c r="AE34" s="185">
        <f>D34-BL34</f>
        <v>120.19280000000003</v>
      </c>
      <c r="AF34" s="185">
        <f>SUM(AF35:AF45)</f>
        <v>0</v>
      </c>
      <c r="AG34" s="185">
        <f t="shared" ref="AG34:BE34" si="26">SUM(AG35:AG45)</f>
        <v>5.7237</v>
      </c>
      <c r="AH34" s="185">
        <f t="shared" si="26"/>
        <v>7.25</v>
      </c>
      <c r="AI34" s="185">
        <f t="shared" si="26"/>
        <v>2.9195000000000002</v>
      </c>
      <c r="AJ34" s="185">
        <f t="shared" si="26"/>
        <v>0</v>
      </c>
      <c r="AK34" s="185">
        <f t="shared" si="26"/>
        <v>0</v>
      </c>
      <c r="AL34" s="185">
        <f t="shared" si="26"/>
        <v>89.723500000000001</v>
      </c>
      <c r="AM34" s="185">
        <f t="shared" si="26"/>
        <v>12.7361</v>
      </c>
      <c r="AN34" s="185">
        <f t="shared" si="26"/>
        <v>1.4</v>
      </c>
      <c r="AO34" s="185">
        <f t="shared" si="26"/>
        <v>0.01</v>
      </c>
      <c r="AP34" s="185">
        <f t="shared" si="26"/>
        <v>0.43</v>
      </c>
      <c r="AQ34" s="185">
        <f t="shared" si="26"/>
        <v>0</v>
      </c>
      <c r="AR34" s="185">
        <f t="shared" si="26"/>
        <v>0</v>
      </c>
      <c r="AS34" s="185">
        <f t="shared" si="26"/>
        <v>0</v>
      </c>
      <c r="AT34" s="185">
        <f t="shared" si="26"/>
        <v>0</v>
      </c>
      <c r="AU34" s="185">
        <f t="shared" si="26"/>
        <v>0.48</v>
      </c>
      <c r="AV34" s="185">
        <f t="shared" si="26"/>
        <v>0</v>
      </c>
      <c r="AW34" s="185">
        <f t="shared" si="26"/>
        <v>0</v>
      </c>
      <c r="AX34" s="185">
        <f t="shared" si="26"/>
        <v>0</v>
      </c>
      <c r="AY34" s="185">
        <f t="shared" si="26"/>
        <v>0</v>
      </c>
      <c r="AZ34" s="185">
        <f t="shared" si="26"/>
        <v>0</v>
      </c>
      <c r="BA34" s="185">
        <f t="shared" si="26"/>
        <v>0.14000000000000001</v>
      </c>
      <c r="BB34" s="185">
        <f t="shared" si="26"/>
        <v>0</v>
      </c>
      <c r="BC34" s="185">
        <f t="shared" si="26"/>
        <v>0</v>
      </c>
      <c r="BD34" s="185">
        <f t="shared" si="26"/>
        <v>0</v>
      </c>
      <c r="BE34" s="185">
        <f t="shared" si="26"/>
        <v>0</v>
      </c>
      <c r="BF34" s="185">
        <f>SUM(BF35:BF45)</f>
        <v>0.01</v>
      </c>
      <c r="BG34" s="185">
        <f>SUM(BG35:BG45)</f>
        <v>0</v>
      </c>
      <c r="BH34" s="185">
        <f>BI34+BJ34+BK34</f>
        <v>0</v>
      </c>
      <c r="BI34" s="185">
        <f>SUM(BI35:BI45)</f>
        <v>0</v>
      </c>
      <c r="BJ34" s="185">
        <f>SUM(BJ35:BJ45)</f>
        <v>0</v>
      </c>
      <c r="BK34" s="185">
        <f>SUM(BK35:BK45)</f>
        <v>0</v>
      </c>
      <c r="BL34" s="185">
        <f>E34+W34+X34+Y34+Z34+AA34+AB34+AC34+AQ34+AR34+AS34+AT34+AU34+AV34+AW34+AX34+AY34+AZ34+BA34+BB34+BC34+BD34+BE34+BF34+BG34+BH34</f>
        <v>0.69000000000000006</v>
      </c>
      <c r="BM34" s="185">
        <f>AE67-BL34</f>
        <v>16.170000000000002</v>
      </c>
      <c r="BN34" s="185">
        <f>SUM(BN35:BN45)</f>
        <v>137.05279999999999</v>
      </c>
      <c r="BO34" s="177">
        <f>SUM(BN35:BN45)</f>
        <v>137.05279999999999</v>
      </c>
      <c r="BP34" s="177">
        <f>BC34+AU34+AC34+W34+H34</f>
        <v>0.48</v>
      </c>
    </row>
    <row r="35" spans="1:68" ht="20.100000000000001" customHeight="1">
      <c r="A35" s="14" t="s">
        <v>224</v>
      </c>
      <c r="B35" s="14" t="s">
        <v>478</v>
      </c>
      <c r="C35" s="30" t="s">
        <v>202</v>
      </c>
      <c r="D35" s="185"/>
      <c r="E35" s="185">
        <f t="shared" si="4"/>
        <v>0</v>
      </c>
      <c r="F35" s="185">
        <f t="shared" si="21"/>
        <v>0</v>
      </c>
      <c r="G35" s="185">
        <f t="shared" si="8"/>
        <v>0</v>
      </c>
      <c r="H35" s="185">
        <f t="shared" si="12"/>
        <v>0</v>
      </c>
      <c r="I35" s="185"/>
      <c r="J35" s="185"/>
      <c r="K35" s="185"/>
      <c r="L35" s="185"/>
      <c r="M35" s="185"/>
      <c r="N35" s="185"/>
      <c r="O35" s="185"/>
      <c r="P35" s="185"/>
      <c r="Q35" s="185"/>
      <c r="R35" s="185"/>
      <c r="S35" s="185"/>
      <c r="T35" s="185"/>
      <c r="U35" s="185"/>
      <c r="V35" s="185">
        <f t="shared" si="13"/>
        <v>0</v>
      </c>
      <c r="W35" s="185"/>
      <c r="X35" s="185"/>
      <c r="Y35" s="185"/>
      <c r="Z35" s="185"/>
      <c r="AA35" s="185"/>
      <c r="AB35" s="185"/>
      <c r="AC35" s="185"/>
      <c r="AD35" s="185"/>
      <c r="AE35" s="185">
        <f>SUM(AF35:AP35)</f>
        <v>0</v>
      </c>
      <c r="AF35" s="185">
        <f>D35-BL35</f>
        <v>0</v>
      </c>
      <c r="AG35" s="185"/>
      <c r="AH35" s="185"/>
      <c r="AI35" s="185"/>
      <c r="AJ35" s="185"/>
      <c r="AK35" s="185"/>
      <c r="AL35" s="185"/>
      <c r="AM35" s="185"/>
      <c r="AN35" s="185"/>
      <c r="AO35" s="185"/>
      <c r="AP35" s="185"/>
      <c r="AQ35" s="185"/>
      <c r="AR35" s="185"/>
      <c r="AS35" s="185"/>
      <c r="AT35" s="185"/>
      <c r="AU35" s="185"/>
      <c r="AV35" s="185"/>
      <c r="AW35" s="185"/>
      <c r="AX35" s="185"/>
      <c r="AY35" s="185"/>
      <c r="AZ35" s="185"/>
      <c r="BA35" s="185"/>
      <c r="BB35" s="185"/>
      <c r="BC35" s="185"/>
      <c r="BD35" s="185"/>
      <c r="BE35" s="185"/>
      <c r="BF35" s="185"/>
      <c r="BG35" s="185"/>
      <c r="BH35" s="185">
        <f t="shared" si="22"/>
        <v>0</v>
      </c>
      <c r="BI35" s="185"/>
      <c r="BJ35" s="185"/>
      <c r="BK35" s="185"/>
      <c r="BL35" s="185">
        <f>E35+W35+X35+Y35+Z35+AA35+AB35+AC35+AD35+AG35+AH35+AI35+AJ35+AK35+AL35+AM35+AN35+AO35+AP35+AQ35+AR35+AS35+AT35+AU35+AV35+AW35+AX35+AY35+AZ35+BA35+BB35+BC35+BD35</f>
        <v>0</v>
      </c>
      <c r="BM35" s="185">
        <f>AF67-BL35</f>
        <v>0.58000000000000007</v>
      </c>
      <c r="BN35" s="185">
        <f>D35+BM35</f>
        <v>0.58000000000000007</v>
      </c>
      <c r="BP35" s="123"/>
    </row>
    <row r="36" spans="1:68" ht="20.100000000000001" customHeight="1">
      <c r="A36" s="14" t="s">
        <v>225</v>
      </c>
      <c r="B36" s="14" t="s">
        <v>479</v>
      </c>
      <c r="C36" s="30" t="s">
        <v>203</v>
      </c>
      <c r="D36" s="185">
        <f>#REF!</f>
        <v>5.7237</v>
      </c>
      <c r="E36" s="185">
        <f t="shared" si="4"/>
        <v>0</v>
      </c>
      <c r="F36" s="185">
        <f t="shared" si="21"/>
        <v>0</v>
      </c>
      <c r="G36" s="185">
        <f t="shared" si="8"/>
        <v>0</v>
      </c>
      <c r="H36" s="185">
        <f t="shared" si="12"/>
        <v>0</v>
      </c>
      <c r="I36" s="185"/>
      <c r="J36" s="185"/>
      <c r="K36" s="185"/>
      <c r="L36" s="185"/>
      <c r="M36" s="185"/>
      <c r="N36" s="185"/>
      <c r="O36" s="185"/>
      <c r="P36" s="185"/>
      <c r="Q36" s="185"/>
      <c r="R36" s="185"/>
      <c r="S36" s="185"/>
      <c r="T36" s="185"/>
      <c r="U36" s="185"/>
      <c r="V36" s="185">
        <f t="shared" si="13"/>
        <v>5.7237</v>
      </c>
      <c r="W36" s="185"/>
      <c r="X36" s="185"/>
      <c r="Y36" s="185"/>
      <c r="Z36" s="185"/>
      <c r="AA36" s="185"/>
      <c r="AB36" s="185"/>
      <c r="AC36" s="185"/>
      <c r="AD36" s="185"/>
      <c r="AE36" s="185">
        <f t="shared" ref="AE36:AE66" si="27">SUM(AF36:AP36)</f>
        <v>5.7237</v>
      </c>
      <c r="AF36" s="185"/>
      <c r="AG36" s="185">
        <f>D36-BL36</f>
        <v>5.7237</v>
      </c>
      <c r="AH36" s="185"/>
      <c r="AI36" s="185"/>
      <c r="AJ36" s="185"/>
      <c r="AK36" s="185"/>
      <c r="AL36" s="185"/>
      <c r="AM36" s="185"/>
      <c r="AN36" s="185"/>
      <c r="AO36" s="185"/>
      <c r="AP36" s="185"/>
      <c r="AQ36" s="185"/>
      <c r="AR36" s="185"/>
      <c r="AS36" s="185"/>
      <c r="AT36" s="185"/>
      <c r="AU36" s="185"/>
      <c r="AV36" s="185"/>
      <c r="AW36" s="185"/>
      <c r="AX36" s="185"/>
      <c r="AY36" s="185"/>
      <c r="AZ36" s="185"/>
      <c r="BA36" s="185"/>
      <c r="BB36" s="185"/>
      <c r="BC36" s="185"/>
      <c r="BD36" s="185"/>
      <c r="BE36" s="185"/>
      <c r="BF36" s="185"/>
      <c r="BG36" s="185"/>
      <c r="BH36" s="185">
        <f t="shared" si="22"/>
        <v>0</v>
      </c>
      <c r="BI36" s="185"/>
      <c r="BJ36" s="185"/>
      <c r="BK36" s="185"/>
      <c r="BL36" s="185">
        <f>E36+W36+X36+Y36+Z36+AA36+AB36+AC36+AD36+AF36+AH36+AI36+AJ36+AK36+AL36+AM36+AN36+AO36+AP36+AQ36+AR36+AS36+AT36+AU36+AV36+AW36+AX36+AY36+AZ36+BA36+BB36+BC36+BD36+BE36+BF36+BG36+BH36</f>
        <v>0</v>
      </c>
      <c r="BM36" s="185">
        <f>AG67-BL36</f>
        <v>0</v>
      </c>
      <c r="BN36" s="185">
        <f t="shared" ref="BN36:BN45" si="28">D36+BM36</f>
        <v>5.7237</v>
      </c>
      <c r="BP36" s="123"/>
    </row>
    <row r="37" spans="1:68" ht="20.100000000000001" customHeight="1">
      <c r="A37" s="14" t="s">
        <v>226</v>
      </c>
      <c r="B37" s="14" t="s">
        <v>480</v>
      </c>
      <c r="C37" s="30" t="s">
        <v>204</v>
      </c>
      <c r="D37" s="185">
        <f>#REF!</f>
        <v>7.7</v>
      </c>
      <c r="E37" s="185">
        <f t="shared" si="4"/>
        <v>0</v>
      </c>
      <c r="F37" s="185">
        <f t="shared" si="21"/>
        <v>0</v>
      </c>
      <c r="G37" s="185">
        <f t="shared" si="8"/>
        <v>0</v>
      </c>
      <c r="H37" s="185">
        <f t="shared" si="12"/>
        <v>0</v>
      </c>
      <c r="I37" s="185"/>
      <c r="J37" s="185"/>
      <c r="K37" s="185"/>
      <c r="L37" s="185"/>
      <c r="M37" s="185"/>
      <c r="N37" s="185"/>
      <c r="O37" s="185"/>
      <c r="P37" s="185"/>
      <c r="Q37" s="185"/>
      <c r="R37" s="185"/>
      <c r="S37" s="185"/>
      <c r="T37" s="185"/>
      <c r="U37" s="185"/>
      <c r="V37" s="185">
        <f t="shared" si="13"/>
        <v>7.7</v>
      </c>
      <c r="W37" s="185"/>
      <c r="X37" s="185"/>
      <c r="Y37" s="185"/>
      <c r="Z37" s="185"/>
      <c r="AA37" s="185"/>
      <c r="AB37" s="185"/>
      <c r="AC37" s="185"/>
      <c r="AD37" s="185"/>
      <c r="AE37" s="185">
        <f t="shared" si="27"/>
        <v>7.25</v>
      </c>
      <c r="AF37" s="185"/>
      <c r="AG37" s="185"/>
      <c r="AH37" s="185">
        <f>D37-BL37</f>
        <v>7.25</v>
      </c>
      <c r="AI37" s="185"/>
      <c r="AJ37" s="185"/>
      <c r="AK37" s="185"/>
      <c r="AL37" s="185"/>
      <c r="AM37" s="185"/>
      <c r="AN37" s="185"/>
      <c r="AO37" s="185"/>
      <c r="AP37" s="185"/>
      <c r="AQ37" s="185"/>
      <c r="AR37" s="185"/>
      <c r="AS37" s="185"/>
      <c r="AT37" s="185"/>
      <c r="AU37" s="185">
        <v>0.45</v>
      </c>
      <c r="AV37" s="185"/>
      <c r="AW37" s="185"/>
      <c r="AX37" s="185"/>
      <c r="AY37" s="185"/>
      <c r="AZ37" s="185"/>
      <c r="BA37" s="185"/>
      <c r="BB37" s="185"/>
      <c r="BC37" s="185"/>
      <c r="BD37" s="185"/>
      <c r="BE37" s="185"/>
      <c r="BF37" s="185"/>
      <c r="BG37" s="185"/>
      <c r="BH37" s="185">
        <f t="shared" si="22"/>
        <v>0</v>
      </c>
      <c r="BI37" s="185"/>
      <c r="BJ37" s="185"/>
      <c r="BK37" s="185"/>
      <c r="BL37" s="185">
        <f>E37+W37+X37+Y37+Z37+AA37+AB37+AC37+AD37+AF37+AG37+AI37+AJ37+AK37+AL37+AM37+AN37+AO37+AP37+AQ37+AR37+AS37+AT37+AU37+AV37+AW37+AX37+AY37+AZ37+BA37+BB37+BC37+BD37+BE37+BF37+BG37+BH37</f>
        <v>0.45</v>
      </c>
      <c r="BM37" s="185">
        <f>AH67-BL37</f>
        <v>0.1800000000000001</v>
      </c>
      <c r="BN37" s="185">
        <f t="shared" si="28"/>
        <v>7.88</v>
      </c>
      <c r="BP37" s="123"/>
    </row>
    <row r="38" spans="1:68" ht="20.100000000000001" customHeight="1">
      <c r="A38" s="14" t="s">
        <v>227</v>
      </c>
      <c r="B38" s="14" t="s">
        <v>481</v>
      </c>
      <c r="C38" s="30" t="s">
        <v>205</v>
      </c>
      <c r="D38" s="185">
        <f>#REF!</f>
        <v>2.9895</v>
      </c>
      <c r="E38" s="185">
        <f t="shared" si="4"/>
        <v>0</v>
      </c>
      <c r="F38" s="185">
        <f t="shared" si="21"/>
        <v>0</v>
      </c>
      <c r="G38" s="185">
        <f t="shared" si="8"/>
        <v>0</v>
      </c>
      <c r="H38" s="185">
        <f t="shared" si="12"/>
        <v>0</v>
      </c>
      <c r="I38" s="185"/>
      <c r="J38" s="185"/>
      <c r="K38" s="185"/>
      <c r="L38" s="185"/>
      <c r="M38" s="185"/>
      <c r="N38" s="185"/>
      <c r="O38" s="185"/>
      <c r="P38" s="185"/>
      <c r="Q38" s="185"/>
      <c r="R38" s="185"/>
      <c r="S38" s="185"/>
      <c r="T38" s="185"/>
      <c r="U38" s="185"/>
      <c r="V38" s="185">
        <f t="shared" si="13"/>
        <v>2.9895</v>
      </c>
      <c r="W38" s="185"/>
      <c r="X38" s="185"/>
      <c r="Y38" s="185"/>
      <c r="Z38" s="185"/>
      <c r="AA38" s="185"/>
      <c r="AB38" s="185"/>
      <c r="AC38" s="185"/>
      <c r="AD38" s="185"/>
      <c r="AE38" s="185">
        <f t="shared" si="27"/>
        <v>2.9895</v>
      </c>
      <c r="AF38" s="185"/>
      <c r="AG38" s="185"/>
      <c r="AH38" s="185"/>
      <c r="AI38" s="185">
        <f>D38-BL38</f>
        <v>2.9195000000000002</v>
      </c>
      <c r="AJ38" s="185"/>
      <c r="AK38" s="185"/>
      <c r="AL38" s="185">
        <v>7.0000000000000007E-2</v>
      </c>
      <c r="AM38" s="185"/>
      <c r="AN38" s="185"/>
      <c r="AO38" s="185"/>
      <c r="AP38" s="185"/>
      <c r="AQ38" s="185"/>
      <c r="AR38" s="185"/>
      <c r="AS38" s="185"/>
      <c r="AT38" s="185"/>
      <c r="AU38" s="185"/>
      <c r="AV38" s="185"/>
      <c r="AW38" s="185"/>
      <c r="AX38" s="185"/>
      <c r="AY38" s="185"/>
      <c r="AZ38" s="185"/>
      <c r="BA38" s="185"/>
      <c r="BB38" s="185"/>
      <c r="BC38" s="185"/>
      <c r="BD38" s="185"/>
      <c r="BE38" s="185"/>
      <c r="BF38" s="185"/>
      <c r="BG38" s="185"/>
      <c r="BH38" s="185">
        <f t="shared" si="22"/>
        <v>0</v>
      </c>
      <c r="BI38" s="185"/>
      <c r="BJ38" s="185"/>
      <c r="BK38" s="185"/>
      <c r="BL38" s="185">
        <f>E38+W38+X38+Y38+Z38+AA38+AB38+AC38+AD38+AF38+AG38+AH38+AJ38+AK38+AL38+AM38+AN38+AO38+AP38+AQ38+AR38+AS38+AT38+AU38+AV38+AW38+AX38+AY38+AZ38+BA38+BB38+BC38+BD38+BE38+BF38+BG38+BH38</f>
        <v>7.0000000000000007E-2</v>
      </c>
      <c r="BM38" s="185">
        <f>AI67-BL38</f>
        <v>-0.05</v>
      </c>
      <c r="BN38" s="185">
        <f t="shared" si="28"/>
        <v>2.9395000000000002</v>
      </c>
      <c r="BP38" s="123"/>
    </row>
    <row r="39" spans="1:68" ht="20.100000000000001" customHeight="1">
      <c r="A39" s="14" t="s">
        <v>228</v>
      </c>
      <c r="B39" s="14" t="s">
        <v>482</v>
      </c>
      <c r="C39" s="30" t="s">
        <v>206</v>
      </c>
      <c r="D39" s="185"/>
      <c r="E39" s="185">
        <f t="shared" si="4"/>
        <v>0</v>
      </c>
      <c r="F39" s="185">
        <f t="shared" si="21"/>
        <v>0</v>
      </c>
      <c r="G39" s="185">
        <f t="shared" si="8"/>
        <v>0</v>
      </c>
      <c r="H39" s="185">
        <f t="shared" si="12"/>
        <v>0</v>
      </c>
      <c r="I39" s="185"/>
      <c r="J39" s="185"/>
      <c r="K39" s="185"/>
      <c r="L39" s="185"/>
      <c r="M39" s="185"/>
      <c r="N39" s="185"/>
      <c r="O39" s="185"/>
      <c r="P39" s="185"/>
      <c r="Q39" s="185"/>
      <c r="R39" s="185"/>
      <c r="S39" s="185"/>
      <c r="T39" s="185"/>
      <c r="U39" s="185"/>
      <c r="V39" s="185">
        <f t="shared" si="13"/>
        <v>0</v>
      </c>
      <c r="W39" s="185"/>
      <c r="X39" s="185"/>
      <c r="Y39" s="185"/>
      <c r="Z39" s="185"/>
      <c r="AA39" s="185"/>
      <c r="AB39" s="185"/>
      <c r="AC39" s="185"/>
      <c r="AD39" s="185"/>
      <c r="AE39" s="185">
        <f t="shared" si="27"/>
        <v>0</v>
      </c>
      <c r="AF39" s="185"/>
      <c r="AG39" s="185"/>
      <c r="AH39" s="185"/>
      <c r="AI39" s="185"/>
      <c r="AJ39" s="185">
        <f>D39-BL39</f>
        <v>0</v>
      </c>
      <c r="AK39" s="185"/>
      <c r="AL39" s="185"/>
      <c r="AM39" s="185"/>
      <c r="AN39" s="185"/>
      <c r="AO39" s="185"/>
      <c r="AP39" s="185"/>
      <c r="AQ39" s="185"/>
      <c r="AR39" s="185"/>
      <c r="AS39" s="185"/>
      <c r="AT39" s="185"/>
      <c r="AU39" s="185"/>
      <c r="AV39" s="185"/>
      <c r="AW39" s="185"/>
      <c r="AX39" s="185"/>
      <c r="AY39" s="185"/>
      <c r="AZ39" s="185"/>
      <c r="BA39" s="185"/>
      <c r="BB39" s="185"/>
      <c r="BC39" s="185"/>
      <c r="BD39" s="185"/>
      <c r="BE39" s="185"/>
      <c r="BF39" s="185"/>
      <c r="BG39" s="185"/>
      <c r="BH39" s="185">
        <f t="shared" si="22"/>
        <v>0</v>
      </c>
      <c r="BI39" s="185"/>
      <c r="BJ39" s="185"/>
      <c r="BK39" s="185"/>
      <c r="BL39" s="185">
        <f>E39+W39+X39+Y39+Z39+AA39+AB39+AC39+AD39+AQ39+AR39+AS39+AT39+AU39+AV39+AW39+AX39+AY39+AZ39+BA39+BB39+BC39+BD39+BE39+BF39+BG39+BH39+AF39+AG39+AH39+AI39+AK39+AL39+AM39+AN39+AO39+AP39</f>
        <v>0</v>
      </c>
      <c r="BM39" s="185">
        <f>AJ67-BL39</f>
        <v>0</v>
      </c>
      <c r="BN39" s="185">
        <f t="shared" si="28"/>
        <v>0</v>
      </c>
      <c r="BP39" s="123"/>
    </row>
    <row r="40" spans="1:68" ht="20.100000000000001" customHeight="1">
      <c r="A40" s="14" t="s">
        <v>229</v>
      </c>
      <c r="B40" s="14" t="s">
        <v>483</v>
      </c>
      <c r="C40" s="30" t="s">
        <v>207</v>
      </c>
      <c r="D40" s="185"/>
      <c r="E40" s="185">
        <f t="shared" si="4"/>
        <v>0</v>
      </c>
      <c r="F40" s="185">
        <f t="shared" si="21"/>
        <v>0</v>
      </c>
      <c r="G40" s="185">
        <f t="shared" si="8"/>
        <v>0</v>
      </c>
      <c r="H40" s="185">
        <f t="shared" si="12"/>
        <v>0</v>
      </c>
      <c r="I40" s="185"/>
      <c r="J40" s="185"/>
      <c r="K40" s="185"/>
      <c r="L40" s="185"/>
      <c r="M40" s="185"/>
      <c r="N40" s="185"/>
      <c r="O40" s="185"/>
      <c r="P40" s="185"/>
      <c r="Q40" s="185"/>
      <c r="R40" s="185"/>
      <c r="S40" s="185"/>
      <c r="T40" s="185"/>
      <c r="U40" s="185"/>
      <c r="V40" s="185">
        <f t="shared" si="13"/>
        <v>0</v>
      </c>
      <c r="W40" s="185"/>
      <c r="X40" s="185"/>
      <c r="Y40" s="185"/>
      <c r="Z40" s="185"/>
      <c r="AA40" s="185"/>
      <c r="AB40" s="185"/>
      <c r="AC40" s="185"/>
      <c r="AD40" s="185"/>
      <c r="AE40" s="185">
        <f t="shared" si="27"/>
        <v>0</v>
      </c>
      <c r="AF40" s="185"/>
      <c r="AG40" s="185"/>
      <c r="AH40" s="185"/>
      <c r="AI40" s="185"/>
      <c r="AJ40" s="185"/>
      <c r="AK40" s="185">
        <f>D40-BL40</f>
        <v>0</v>
      </c>
      <c r="AL40" s="185"/>
      <c r="AM40" s="185"/>
      <c r="AN40" s="185"/>
      <c r="AO40" s="185"/>
      <c r="AP40" s="185"/>
      <c r="AQ40" s="185"/>
      <c r="AR40" s="185"/>
      <c r="AS40" s="185"/>
      <c r="AT40" s="185"/>
      <c r="AU40" s="185"/>
      <c r="AV40" s="185"/>
      <c r="AW40" s="185"/>
      <c r="AX40" s="185"/>
      <c r="AY40" s="185"/>
      <c r="AZ40" s="185"/>
      <c r="BA40" s="185"/>
      <c r="BB40" s="185"/>
      <c r="BC40" s="185"/>
      <c r="BD40" s="185"/>
      <c r="BE40" s="185"/>
      <c r="BF40" s="185"/>
      <c r="BG40" s="185"/>
      <c r="BH40" s="185">
        <f t="shared" si="22"/>
        <v>0</v>
      </c>
      <c r="BI40" s="185"/>
      <c r="BJ40" s="185"/>
      <c r="BK40" s="185"/>
      <c r="BL40" s="185">
        <f>E40+W40+X40+Y40+Z40+AA40+AB40+AC40+AD40+AF40+AG40+AH40+AI40+AJ40+AL40+AM40+AN40+AO40+AP40+AQ40+AR40+AS40+AT40+AU40+AV40+AW40+AX40+AY40+AZ40+BA40+BB40+BC40+BD40+BE40+BF40+BG40+BH40</f>
        <v>0</v>
      </c>
      <c r="BM40" s="185">
        <f>AK67-BL40</f>
        <v>0</v>
      </c>
      <c r="BN40" s="185">
        <f t="shared" si="28"/>
        <v>0</v>
      </c>
      <c r="BP40" s="123"/>
    </row>
    <row r="41" spans="1:68" ht="20.100000000000001" customHeight="1">
      <c r="A41" s="14" t="s">
        <v>230</v>
      </c>
      <c r="B41" s="14" t="s">
        <v>484</v>
      </c>
      <c r="C41" s="30" t="s">
        <v>199</v>
      </c>
      <c r="D41" s="185">
        <f>#REF!</f>
        <v>89.673500000000004</v>
      </c>
      <c r="E41" s="185">
        <f t="shared" si="4"/>
        <v>0</v>
      </c>
      <c r="F41" s="185">
        <f t="shared" si="21"/>
        <v>0</v>
      </c>
      <c r="G41" s="185">
        <f t="shared" si="8"/>
        <v>0</v>
      </c>
      <c r="H41" s="185">
        <f t="shared" si="12"/>
        <v>0</v>
      </c>
      <c r="I41" s="185"/>
      <c r="J41" s="185"/>
      <c r="K41" s="185"/>
      <c r="L41" s="185"/>
      <c r="M41" s="185"/>
      <c r="N41" s="185"/>
      <c r="O41" s="185"/>
      <c r="P41" s="185"/>
      <c r="Q41" s="185"/>
      <c r="R41" s="185"/>
      <c r="S41" s="185"/>
      <c r="T41" s="185"/>
      <c r="U41" s="185"/>
      <c r="V41" s="185">
        <f t="shared" si="13"/>
        <v>89.673500000000004</v>
      </c>
      <c r="W41" s="185"/>
      <c r="X41" s="185"/>
      <c r="Y41" s="185"/>
      <c r="Z41" s="185"/>
      <c r="AA41" s="185"/>
      <c r="AB41" s="185">
        <v>0.06</v>
      </c>
      <c r="AC41" s="185"/>
      <c r="AD41" s="185"/>
      <c r="AE41" s="185">
        <f t="shared" si="27"/>
        <v>89.473500000000001</v>
      </c>
      <c r="AF41" s="185"/>
      <c r="AG41" s="185"/>
      <c r="AH41" s="185"/>
      <c r="AI41" s="185"/>
      <c r="AJ41" s="185"/>
      <c r="AK41" s="185"/>
      <c r="AL41" s="185">
        <f>D41-BL41</f>
        <v>89.453500000000005</v>
      </c>
      <c r="AM41" s="185">
        <v>0.02</v>
      </c>
      <c r="AN41" s="185"/>
      <c r="AO41" s="185"/>
      <c r="AP41" s="185"/>
      <c r="AQ41" s="185"/>
      <c r="AR41" s="185"/>
      <c r="AS41" s="185"/>
      <c r="AT41" s="185"/>
      <c r="AU41" s="185"/>
      <c r="AV41" s="185"/>
      <c r="AW41" s="185"/>
      <c r="AX41" s="185"/>
      <c r="AY41" s="185"/>
      <c r="AZ41" s="185"/>
      <c r="BA41" s="185">
        <v>0.14000000000000001</v>
      </c>
      <c r="BB41" s="185"/>
      <c r="BC41" s="185"/>
      <c r="BD41" s="185"/>
      <c r="BE41" s="185"/>
      <c r="BF41" s="185"/>
      <c r="BG41" s="185"/>
      <c r="BH41" s="185">
        <f t="shared" si="22"/>
        <v>0</v>
      </c>
      <c r="BI41" s="185"/>
      <c r="BJ41" s="185"/>
      <c r="BK41" s="185"/>
      <c r="BL41" s="185">
        <f>E41+W41+X41+Y41+Z41+AA41+AB41+AC41+AD41+AF41+AG41+AH41+AI41+AJ41+AK41+AM41+AN41+AO41+AP41+AQ41+AR41+AS41+AT41+AU41+AV41+AW41+AX41+AY41+AZ41+BA41+BB41+BC41+BD41+BE41+BF41+BG41+BH41</f>
        <v>0.22000000000000003</v>
      </c>
      <c r="BM41" s="185">
        <f>AL67-BL41</f>
        <v>13.879999999999997</v>
      </c>
      <c r="BN41" s="185">
        <f t="shared" si="28"/>
        <v>103.5535</v>
      </c>
      <c r="BP41" s="123"/>
    </row>
    <row r="42" spans="1:68" ht="20.100000000000001" customHeight="1">
      <c r="A42" s="14" t="s">
        <v>231</v>
      </c>
      <c r="B42" s="14" t="s">
        <v>485</v>
      </c>
      <c r="C42" s="30" t="s">
        <v>200</v>
      </c>
      <c r="D42" s="185">
        <f>#REF!</f>
        <v>12.956100000000001</v>
      </c>
      <c r="E42" s="185">
        <f t="shared" si="4"/>
        <v>0</v>
      </c>
      <c r="F42" s="185">
        <f t="shared" si="21"/>
        <v>0</v>
      </c>
      <c r="G42" s="185">
        <f t="shared" si="8"/>
        <v>0</v>
      </c>
      <c r="H42" s="185">
        <f t="shared" si="12"/>
        <v>0</v>
      </c>
      <c r="I42" s="185"/>
      <c r="J42" s="185"/>
      <c r="K42" s="185"/>
      <c r="L42" s="185"/>
      <c r="M42" s="185"/>
      <c r="N42" s="185"/>
      <c r="O42" s="185"/>
      <c r="P42" s="185"/>
      <c r="Q42" s="185"/>
      <c r="R42" s="185"/>
      <c r="S42" s="185"/>
      <c r="T42" s="185"/>
      <c r="U42" s="185"/>
      <c r="V42" s="185">
        <f t="shared" si="13"/>
        <v>12.956099999999999</v>
      </c>
      <c r="W42" s="185"/>
      <c r="X42" s="185"/>
      <c r="Y42" s="185"/>
      <c r="Z42" s="185"/>
      <c r="AA42" s="185"/>
      <c r="AB42" s="185"/>
      <c r="AC42" s="185"/>
      <c r="AD42" s="185"/>
      <c r="AE42" s="185">
        <f t="shared" si="27"/>
        <v>12.9161</v>
      </c>
      <c r="AF42" s="185"/>
      <c r="AG42" s="185"/>
      <c r="AH42" s="185"/>
      <c r="AI42" s="185"/>
      <c r="AJ42" s="185"/>
      <c r="AK42" s="185"/>
      <c r="AL42" s="185">
        <v>0.2</v>
      </c>
      <c r="AM42" s="185">
        <f>D42-BL42</f>
        <v>12.716100000000001</v>
      </c>
      <c r="AN42" s="185"/>
      <c r="AO42" s="185"/>
      <c r="AP42" s="185"/>
      <c r="AQ42" s="185"/>
      <c r="AR42" s="185"/>
      <c r="AS42" s="185"/>
      <c r="AT42" s="185"/>
      <c r="AU42" s="185">
        <v>0.03</v>
      </c>
      <c r="AV42" s="185"/>
      <c r="AW42" s="185"/>
      <c r="AX42" s="185"/>
      <c r="AY42" s="185"/>
      <c r="AZ42" s="185"/>
      <c r="BA42" s="185"/>
      <c r="BB42" s="185"/>
      <c r="BC42" s="185"/>
      <c r="BD42" s="185"/>
      <c r="BE42" s="185"/>
      <c r="BF42" s="185">
        <v>0.01</v>
      </c>
      <c r="BG42" s="185"/>
      <c r="BH42" s="185">
        <f t="shared" si="22"/>
        <v>0</v>
      </c>
      <c r="BI42" s="185"/>
      <c r="BJ42" s="185"/>
      <c r="BK42" s="185"/>
      <c r="BL42" s="185">
        <f>E42+W42+X42+Y42+Z42+AA42+AB42+AC42+AD42+AF42+AG42+AH42+AI42+AJ42+AK42+AL42+AN42+AO42+AP42+AQ42+AR42+AS42+AT42+AU42+AV42+AW42+AX42+AY42+AZ42+BA42+BB42+BC42+BD42+BE42+BF42+BG42+BH42</f>
        <v>0.24000000000000002</v>
      </c>
      <c r="BM42" s="185">
        <f>AM67-BL42</f>
        <v>1.58</v>
      </c>
      <c r="BN42" s="185">
        <f t="shared" si="28"/>
        <v>14.536100000000001</v>
      </c>
      <c r="BP42" s="123"/>
    </row>
    <row r="43" spans="1:68" ht="20.100000000000001" customHeight="1">
      <c r="A43" s="14" t="s">
        <v>232</v>
      </c>
      <c r="B43" s="14" t="s">
        <v>486</v>
      </c>
      <c r="C43" s="30" t="s">
        <v>223</v>
      </c>
      <c r="D43" s="185">
        <f>#REF!</f>
        <v>1.4</v>
      </c>
      <c r="E43" s="185">
        <f t="shared" si="4"/>
        <v>0</v>
      </c>
      <c r="F43" s="185">
        <f t="shared" si="21"/>
        <v>0</v>
      </c>
      <c r="G43" s="185">
        <f t="shared" si="8"/>
        <v>0</v>
      </c>
      <c r="H43" s="185">
        <f t="shared" si="12"/>
        <v>0</v>
      </c>
      <c r="I43" s="185"/>
      <c r="J43" s="185"/>
      <c r="K43" s="185"/>
      <c r="L43" s="185"/>
      <c r="M43" s="185"/>
      <c r="N43" s="185"/>
      <c r="O43" s="185"/>
      <c r="P43" s="185"/>
      <c r="Q43" s="185"/>
      <c r="R43" s="185"/>
      <c r="S43" s="185"/>
      <c r="T43" s="185"/>
      <c r="U43" s="185"/>
      <c r="V43" s="185">
        <f t="shared" si="13"/>
        <v>1.4</v>
      </c>
      <c r="W43" s="185"/>
      <c r="X43" s="185"/>
      <c r="Y43" s="185"/>
      <c r="Z43" s="185"/>
      <c r="AA43" s="185"/>
      <c r="AB43" s="185"/>
      <c r="AC43" s="185"/>
      <c r="AD43" s="185"/>
      <c r="AE43" s="185">
        <f t="shared" si="27"/>
        <v>1.4</v>
      </c>
      <c r="AF43" s="185"/>
      <c r="AG43" s="185"/>
      <c r="AH43" s="185"/>
      <c r="AI43" s="185"/>
      <c r="AJ43" s="185"/>
      <c r="AK43" s="185"/>
      <c r="AL43" s="185"/>
      <c r="AM43" s="185"/>
      <c r="AN43" s="185">
        <f>D43-BL43</f>
        <v>1.4</v>
      </c>
      <c r="AO43" s="185"/>
      <c r="AP43" s="185"/>
      <c r="AQ43" s="185"/>
      <c r="AR43" s="185"/>
      <c r="AS43" s="185"/>
      <c r="AT43" s="185"/>
      <c r="AU43" s="185"/>
      <c r="AV43" s="185"/>
      <c r="AW43" s="185"/>
      <c r="AX43" s="185"/>
      <c r="AY43" s="185"/>
      <c r="AZ43" s="185"/>
      <c r="BA43" s="185"/>
      <c r="BB43" s="185"/>
      <c r="BC43" s="185"/>
      <c r="BD43" s="185"/>
      <c r="BE43" s="185"/>
      <c r="BF43" s="185"/>
      <c r="BG43" s="185"/>
      <c r="BH43" s="185">
        <f t="shared" si="22"/>
        <v>0</v>
      </c>
      <c r="BI43" s="185"/>
      <c r="BJ43" s="185"/>
      <c r="BK43" s="185"/>
      <c r="BL43" s="185">
        <f>E43+W43+X43+Y43+Z43+AA43+AB43+AC43+AD43+AF43+AG43+AH43+AI43+AJ43+AK43+AL43+AM43+AO43+AP43+AQ43+AR43+AS43+AT43+AU43+AV43+AW43+AX43+AY43+AZ43+BA43+BB43+BC43+BD43+BE43+BF43+BG43+BH43</f>
        <v>0</v>
      </c>
      <c r="BM43" s="185">
        <f>AN67-BL43</f>
        <v>0</v>
      </c>
      <c r="BN43" s="185">
        <f t="shared" si="28"/>
        <v>1.4</v>
      </c>
      <c r="BP43" s="123"/>
    </row>
    <row r="44" spans="1:68" ht="20.100000000000001" customHeight="1">
      <c r="A44" s="14" t="s">
        <v>233</v>
      </c>
      <c r="B44" s="14" t="s">
        <v>487</v>
      </c>
      <c r="C44" s="30" t="s">
        <v>201</v>
      </c>
      <c r="D44" s="185">
        <f>#REF!</f>
        <v>0.01</v>
      </c>
      <c r="E44" s="185">
        <f t="shared" si="4"/>
        <v>0</v>
      </c>
      <c r="F44" s="185">
        <f t="shared" si="21"/>
        <v>0</v>
      </c>
      <c r="G44" s="185">
        <f t="shared" si="8"/>
        <v>0</v>
      </c>
      <c r="H44" s="185">
        <f t="shared" si="12"/>
        <v>0</v>
      </c>
      <c r="I44" s="185"/>
      <c r="J44" s="185"/>
      <c r="K44" s="185"/>
      <c r="L44" s="185"/>
      <c r="M44" s="185"/>
      <c r="N44" s="185"/>
      <c r="O44" s="185"/>
      <c r="P44" s="185"/>
      <c r="Q44" s="185"/>
      <c r="R44" s="185"/>
      <c r="S44" s="185"/>
      <c r="T44" s="185"/>
      <c r="U44" s="185"/>
      <c r="V44" s="185">
        <f t="shared" si="13"/>
        <v>0.01</v>
      </c>
      <c r="W44" s="185"/>
      <c r="X44" s="185"/>
      <c r="Y44" s="185"/>
      <c r="Z44" s="185"/>
      <c r="AA44" s="185"/>
      <c r="AB44" s="185"/>
      <c r="AC44" s="185"/>
      <c r="AD44" s="185"/>
      <c r="AE44" s="185">
        <f t="shared" si="27"/>
        <v>0.01</v>
      </c>
      <c r="AF44" s="185"/>
      <c r="AG44" s="185"/>
      <c r="AH44" s="185"/>
      <c r="AI44" s="185"/>
      <c r="AJ44" s="185"/>
      <c r="AK44" s="185"/>
      <c r="AL44" s="185"/>
      <c r="AM44" s="185"/>
      <c r="AN44" s="185"/>
      <c r="AO44" s="185">
        <f>D44-BL44</f>
        <v>0.01</v>
      </c>
      <c r="AP44" s="185"/>
      <c r="AQ44" s="185"/>
      <c r="AR44" s="185"/>
      <c r="AS44" s="185"/>
      <c r="AT44" s="185"/>
      <c r="AU44" s="185"/>
      <c r="AV44" s="185"/>
      <c r="AW44" s="185"/>
      <c r="AX44" s="185"/>
      <c r="AY44" s="185"/>
      <c r="AZ44" s="185"/>
      <c r="BA44" s="185"/>
      <c r="BB44" s="185"/>
      <c r="BC44" s="185"/>
      <c r="BD44" s="185"/>
      <c r="BE44" s="185"/>
      <c r="BF44" s="185"/>
      <c r="BG44" s="185"/>
      <c r="BH44" s="185">
        <f t="shared" si="22"/>
        <v>0</v>
      </c>
      <c r="BI44" s="185"/>
      <c r="BJ44" s="185"/>
      <c r="BK44" s="185"/>
      <c r="BL44" s="185">
        <f>E44+W44+X44+Y44+Z44+AA44+AB44+AC44+AD44+AF44+AG44+AH44+AI44+AJ44+AK44+AL44+AM44+AN44+AP44+AQ44+AR44+AS44+AT44+AU44+AV44+AW44+AX44+AY44+AZ44+BA44+BB44+BC44+BD44+BE44+BF44+BG44+BH44</f>
        <v>0</v>
      </c>
      <c r="BM44" s="185">
        <f>AO67-BL44</f>
        <v>0</v>
      </c>
      <c r="BN44" s="185">
        <f t="shared" si="28"/>
        <v>0.01</v>
      </c>
      <c r="BP44" s="123"/>
    </row>
    <row r="45" spans="1:68" ht="20.100000000000001" customHeight="1">
      <c r="A45" s="14" t="s">
        <v>234</v>
      </c>
      <c r="B45" s="14" t="s">
        <v>488</v>
      </c>
      <c r="C45" s="30" t="s">
        <v>208</v>
      </c>
      <c r="D45" s="185">
        <f>#REF!</f>
        <v>0.43</v>
      </c>
      <c r="E45" s="185">
        <f t="shared" si="4"/>
        <v>0</v>
      </c>
      <c r="F45" s="185">
        <f t="shared" si="21"/>
        <v>0</v>
      </c>
      <c r="G45" s="185">
        <f t="shared" si="8"/>
        <v>0</v>
      </c>
      <c r="H45" s="185">
        <f t="shared" si="12"/>
        <v>0</v>
      </c>
      <c r="I45" s="185"/>
      <c r="J45" s="185"/>
      <c r="K45" s="185"/>
      <c r="L45" s="185"/>
      <c r="M45" s="185"/>
      <c r="N45" s="185"/>
      <c r="O45" s="185"/>
      <c r="P45" s="185"/>
      <c r="Q45" s="185"/>
      <c r="R45" s="185"/>
      <c r="S45" s="185"/>
      <c r="T45" s="185"/>
      <c r="U45" s="185"/>
      <c r="V45" s="185">
        <f t="shared" si="13"/>
        <v>0.43</v>
      </c>
      <c r="W45" s="185"/>
      <c r="X45" s="185"/>
      <c r="Y45" s="185"/>
      <c r="Z45" s="185"/>
      <c r="AA45" s="185"/>
      <c r="AB45" s="185"/>
      <c r="AC45" s="185"/>
      <c r="AD45" s="185"/>
      <c r="AE45" s="185">
        <f t="shared" si="27"/>
        <v>0.43</v>
      </c>
      <c r="AF45" s="185"/>
      <c r="AG45" s="185"/>
      <c r="AH45" s="185"/>
      <c r="AI45" s="185"/>
      <c r="AJ45" s="185"/>
      <c r="AK45" s="185"/>
      <c r="AL45" s="185"/>
      <c r="AM45" s="185"/>
      <c r="AN45" s="185"/>
      <c r="AO45" s="185"/>
      <c r="AP45" s="185">
        <f>D45-BL45</f>
        <v>0.43</v>
      </c>
      <c r="AQ45" s="185"/>
      <c r="AR45" s="185"/>
      <c r="AS45" s="185"/>
      <c r="AT45" s="185"/>
      <c r="AU45" s="185"/>
      <c r="AV45" s="185"/>
      <c r="AW45" s="185"/>
      <c r="AX45" s="185"/>
      <c r="AY45" s="185"/>
      <c r="AZ45" s="185"/>
      <c r="BA45" s="185"/>
      <c r="BB45" s="185"/>
      <c r="BC45" s="185"/>
      <c r="BD45" s="185"/>
      <c r="BE45" s="185"/>
      <c r="BF45" s="185"/>
      <c r="BG45" s="185"/>
      <c r="BH45" s="185">
        <f t="shared" si="22"/>
        <v>0</v>
      </c>
      <c r="BI45" s="185"/>
      <c r="BJ45" s="185"/>
      <c r="BK45" s="185"/>
      <c r="BL45" s="185">
        <f>E45+W45+X45+Y45+Z45+AA45+AB45+AC45+AD45+AF45+AG45+AH45+AI45+AJ45+AK45+AL45+AM45+AN45+AO45+AQ45+AR45+AS45+AT45+AU45+AV45+AW45+AX45+AY45+AZ45+BA45+BB45+BC45+BD45+BE45+BF45+BG45+BH45</f>
        <v>0</v>
      </c>
      <c r="BM45" s="185">
        <f>AP67-BL45</f>
        <v>0</v>
      </c>
      <c r="BN45" s="185">
        <f t="shared" si="28"/>
        <v>0.43</v>
      </c>
      <c r="BP45" s="123"/>
    </row>
    <row r="46" spans="1:68" ht="20.100000000000001" customHeight="1">
      <c r="A46" s="19" t="s">
        <v>73</v>
      </c>
      <c r="B46" s="19" t="s">
        <v>74</v>
      </c>
      <c r="C46" s="30" t="s">
        <v>75</v>
      </c>
      <c r="D46" s="185"/>
      <c r="E46" s="185">
        <f t="shared" si="4"/>
        <v>0</v>
      </c>
      <c r="F46" s="185">
        <f t="shared" si="21"/>
        <v>0</v>
      </c>
      <c r="G46" s="185">
        <f t="shared" si="8"/>
        <v>0</v>
      </c>
      <c r="H46" s="185">
        <f t="shared" si="12"/>
        <v>0</v>
      </c>
      <c r="I46" s="185"/>
      <c r="J46" s="185"/>
      <c r="K46" s="185"/>
      <c r="L46" s="185"/>
      <c r="M46" s="185"/>
      <c r="N46" s="185"/>
      <c r="O46" s="185"/>
      <c r="P46" s="185"/>
      <c r="Q46" s="185"/>
      <c r="R46" s="185"/>
      <c r="S46" s="185"/>
      <c r="T46" s="185"/>
      <c r="U46" s="185"/>
      <c r="V46" s="185">
        <f t="shared" si="13"/>
        <v>0</v>
      </c>
      <c r="W46" s="185"/>
      <c r="X46" s="185"/>
      <c r="Y46" s="185"/>
      <c r="Z46" s="185"/>
      <c r="AA46" s="185"/>
      <c r="AB46" s="185"/>
      <c r="AC46" s="185"/>
      <c r="AD46" s="185"/>
      <c r="AE46" s="185">
        <f t="shared" si="27"/>
        <v>0</v>
      </c>
      <c r="AF46" s="185"/>
      <c r="AG46" s="185"/>
      <c r="AH46" s="185"/>
      <c r="AI46" s="185"/>
      <c r="AJ46" s="185"/>
      <c r="AK46" s="185"/>
      <c r="AL46" s="185"/>
      <c r="AM46" s="185"/>
      <c r="AN46" s="185"/>
      <c r="AO46" s="185"/>
      <c r="AP46" s="185"/>
      <c r="AQ46" s="185">
        <f>D46-BL46</f>
        <v>0</v>
      </c>
      <c r="AR46" s="185"/>
      <c r="AS46" s="185"/>
      <c r="AT46" s="185"/>
      <c r="AU46" s="185"/>
      <c r="AV46" s="185"/>
      <c r="AW46" s="185"/>
      <c r="AX46" s="185"/>
      <c r="AY46" s="185"/>
      <c r="AZ46" s="185"/>
      <c r="BA46" s="185"/>
      <c r="BB46" s="185"/>
      <c r="BC46" s="185"/>
      <c r="BD46" s="185"/>
      <c r="BE46" s="185"/>
      <c r="BF46" s="185"/>
      <c r="BG46" s="185"/>
      <c r="BH46" s="185">
        <f t="shared" si="22"/>
        <v>0</v>
      </c>
      <c r="BI46" s="185"/>
      <c r="BJ46" s="185"/>
      <c r="BK46" s="185"/>
      <c r="BL46" s="185">
        <f>E46+W46+X46+Y46+Z46+AA46+AB46+AC46+AD46+AE46+AR46+AS46+AT46+AU46+AV46+AW46+AX46+AY46+AZ46+BA46+BB46+BC46+BD46+BE46+BF46+BG46+BH46</f>
        <v>0</v>
      </c>
      <c r="BM46" s="185">
        <f>AQ67-BL46</f>
        <v>0</v>
      </c>
      <c r="BN46" s="185">
        <f>D46+BM46</f>
        <v>0</v>
      </c>
      <c r="BP46" s="123"/>
    </row>
    <row r="47" spans="1:68" ht="20.100000000000001" customHeight="1">
      <c r="A47" s="19" t="s">
        <v>76</v>
      </c>
      <c r="B47" s="19" t="s">
        <v>77</v>
      </c>
      <c r="C47" s="30" t="s">
        <v>78</v>
      </c>
      <c r="D47" s="185"/>
      <c r="E47" s="185">
        <f t="shared" si="4"/>
        <v>0</v>
      </c>
      <c r="F47" s="185">
        <f t="shared" si="21"/>
        <v>0</v>
      </c>
      <c r="G47" s="185">
        <f t="shared" si="8"/>
        <v>0</v>
      </c>
      <c r="H47" s="185">
        <f t="shared" si="12"/>
        <v>0</v>
      </c>
      <c r="I47" s="185"/>
      <c r="J47" s="185"/>
      <c r="K47" s="185"/>
      <c r="L47" s="185"/>
      <c r="M47" s="185"/>
      <c r="N47" s="185"/>
      <c r="O47" s="185"/>
      <c r="P47" s="185"/>
      <c r="Q47" s="185"/>
      <c r="R47" s="185"/>
      <c r="S47" s="185"/>
      <c r="T47" s="185"/>
      <c r="U47" s="185"/>
      <c r="V47" s="185">
        <f t="shared" si="13"/>
        <v>0</v>
      </c>
      <c r="W47" s="185"/>
      <c r="X47" s="185"/>
      <c r="Y47" s="185"/>
      <c r="Z47" s="185"/>
      <c r="AA47" s="185"/>
      <c r="AB47" s="185"/>
      <c r="AC47" s="185"/>
      <c r="AD47" s="185"/>
      <c r="AE47" s="185">
        <f t="shared" si="27"/>
        <v>0</v>
      </c>
      <c r="AF47" s="185"/>
      <c r="AG47" s="185"/>
      <c r="AH47" s="185"/>
      <c r="AI47" s="185"/>
      <c r="AJ47" s="185"/>
      <c r="AK47" s="185"/>
      <c r="AL47" s="185"/>
      <c r="AM47" s="185"/>
      <c r="AN47" s="185"/>
      <c r="AO47" s="185"/>
      <c r="AP47" s="185"/>
      <c r="AQ47" s="185"/>
      <c r="AR47" s="185">
        <f>D47-BL47</f>
        <v>0</v>
      </c>
      <c r="AS47" s="185"/>
      <c r="AT47" s="185"/>
      <c r="AU47" s="185"/>
      <c r="AV47" s="185"/>
      <c r="AW47" s="185"/>
      <c r="AX47" s="185"/>
      <c r="AY47" s="185"/>
      <c r="AZ47" s="185"/>
      <c r="BA47" s="185"/>
      <c r="BB47" s="185"/>
      <c r="BC47" s="185"/>
      <c r="BD47" s="185"/>
      <c r="BE47" s="185"/>
      <c r="BF47" s="185"/>
      <c r="BG47" s="185"/>
      <c r="BH47" s="185">
        <f t="shared" si="22"/>
        <v>0</v>
      </c>
      <c r="BI47" s="185"/>
      <c r="BJ47" s="185"/>
      <c r="BK47" s="185"/>
      <c r="BL47" s="185">
        <f>E47+W47+X47+Y47+Z47+AA47+AB47+AC47+AD47+AE47+AQ47+AS47+AT47+AU47+AV47+AW47+AX47+AY47+AZ47+BA47+BB47+BC47+BD47+BE47+BF47+BG47+BH47</f>
        <v>0</v>
      </c>
      <c r="BM47" s="185">
        <f>AR67-BL47</f>
        <v>0</v>
      </c>
      <c r="BN47" s="185">
        <f t="shared" ref="BN47:BN62" si="29">D47+BM47</f>
        <v>0</v>
      </c>
      <c r="BP47" s="123"/>
    </row>
    <row r="48" spans="1:68" ht="20.100000000000001" customHeight="1">
      <c r="A48" s="19" t="s">
        <v>79</v>
      </c>
      <c r="B48" s="19" t="s">
        <v>80</v>
      </c>
      <c r="C48" s="30" t="s">
        <v>81</v>
      </c>
      <c r="D48" s="185"/>
      <c r="E48" s="185">
        <f t="shared" si="4"/>
        <v>0</v>
      </c>
      <c r="F48" s="185">
        <f t="shared" si="21"/>
        <v>0</v>
      </c>
      <c r="G48" s="185">
        <f t="shared" si="8"/>
        <v>0</v>
      </c>
      <c r="H48" s="185">
        <f t="shared" si="12"/>
        <v>0</v>
      </c>
      <c r="I48" s="185"/>
      <c r="J48" s="185"/>
      <c r="K48" s="185"/>
      <c r="L48" s="185"/>
      <c r="M48" s="185"/>
      <c r="N48" s="185"/>
      <c r="O48" s="185"/>
      <c r="P48" s="185"/>
      <c r="Q48" s="185"/>
      <c r="R48" s="185"/>
      <c r="S48" s="185"/>
      <c r="T48" s="185"/>
      <c r="U48" s="185"/>
      <c r="V48" s="185">
        <f t="shared" si="13"/>
        <v>0</v>
      </c>
      <c r="W48" s="185"/>
      <c r="X48" s="185"/>
      <c r="Y48" s="185"/>
      <c r="Z48" s="185"/>
      <c r="AA48" s="185"/>
      <c r="AB48" s="185"/>
      <c r="AC48" s="185"/>
      <c r="AD48" s="185"/>
      <c r="AE48" s="185">
        <f t="shared" si="27"/>
        <v>0</v>
      </c>
      <c r="AF48" s="185"/>
      <c r="AG48" s="185"/>
      <c r="AH48" s="185"/>
      <c r="AI48" s="185"/>
      <c r="AJ48" s="185"/>
      <c r="AK48" s="185"/>
      <c r="AL48" s="185"/>
      <c r="AM48" s="185"/>
      <c r="AN48" s="185"/>
      <c r="AO48" s="185"/>
      <c r="AP48" s="185"/>
      <c r="AQ48" s="185"/>
      <c r="AR48" s="185"/>
      <c r="AS48" s="185">
        <f>D48-BL48</f>
        <v>0</v>
      </c>
      <c r="AT48" s="185"/>
      <c r="AU48" s="185"/>
      <c r="AV48" s="185"/>
      <c r="AW48" s="185"/>
      <c r="AX48" s="185"/>
      <c r="AY48" s="185"/>
      <c r="AZ48" s="185"/>
      <c r="BA48" s="185"/>
      <c r="BB48" s="185"/>
      <c r="BC48" s="185"/>
      <c r="BD48" s="185"/>
      <c r="BE48" s="185"/>
      <c r="BF48" s="185"/>
      <c r="BG48" s="185"/>
      <c r="BH48" s="185">
        <f t="shared" si="22"/>
        <v>0</v>
      </c>
      <c r="BI48" s="185"/>
      <c r="BJ48" s="185"/>
      <c r="BK48" s="185"/>
      <c r="BL48" s="185">
        <f>E48+W48+X48+Y48+Z48+AA48+AB48+AC48+AD48+AQ48+AR48+AT48+AU48+AV48+AW48+AX48+AY48+AZ48+BA48+BB48+BC48+BD48+BE48+BF48+BG48+BH48</f>
        <v>0</v>
      </c>
      <c r="BM48" s="185">
        <f>AS67-BL48</f>
        <v>0</v>
      </c>
      <c r="BN48" s="185">
        <f t="shared" si="29"/>
        <v>0</v>
      </c>
      <c r="BP48" s="123"/>
    </row>
    <row r="49" spans="1:68" ht="20.100000000000001" customHeight="1">
      <c r="A49" s="19" t="s">
        <v>82</v>
      </c>
      <c r="B49" s="19" t="s">
        <v>83</v>
      </c>
      <c r="C49" s="30" t="s">
        <v>84</v>
      </c>
      <c r="D49" s="185"/>
      <c r="E49" s="185">
        <f t="shared" si="4"/>
        <v>0</v>
      </c>
      <c r="F49" s="185">
        <f t="shared" si="21"/>
        <v>0</v>
      </c>
      <c r="G49" s="185">
        <f t="shared" si="8"/>
        <v>0</v>
      </c>
      <c r="H49" s="185">
        <f t="shared" si="12"/>
        <v>0</v>
      </c>
      <c r="I49" s="185"/>
      <c r="J49" s="185"/>
      <c r="K49" s="185"/>
      <c r="L49" s="185"/>
      <c r="M49" s="185"/>
      <c r="N49" s="185"/>
      <c r="O49" s="185"/>
      <c r="P49" s="185"/>
      <c r="Q49" s="185"/>
      <c r="R49" s="185"/>
      <c r="S49" s="185"/>
      <c r="T49" s="185"/>
      <c r="U49" s="185"/>
      <c r="V49" s="185">
        <f t="shared" si="13"/>
        <v>0</v>
      </c>
      <c r="W49" s="185"/>
      <c r="X49" s="185"/>
      <c r="Y49" s="185"/>
      <c r="Z49" s="185"/>
      <c r="AA49" s="185"/>
      <c r="AB49" s="185"/>
      <c r="AC49" s="185"/>
      <c r="AD49" s="185"/>
      <c r="AE49" s="185">
        <f t="shared" si="27"/>
        <v>0</v>
      </c>
      <c r="AF49" s="185"/>
      <c r="AG49" s="185"/>
      <c r="AH49" s="185"/>
      <c r="AI49" s="185"/>
      <c r="AJ49" s="185"/>
      <c r="AK49" s="185"/>
      <c r="AL49" s="185"/>
      <c r="AM49" s="185"/>
      <c r="AN49" s="185"/>
      <c r="AO49" s="185"/>
      <c r="AP49" s="185"/>
      <c r="AQ49" s="185"/>
      <c r="AR49" s="185"/>
      <c r="AS49" s="185"/>
      <c r="AT49" s="185">
        <f>D49-BL49</f>
        <v>0</v>
      </c>
      <c r="AU49" s="185"/>
      <c r="AV49" s="185"/>
      <c r="AW49" s="185"/>
      <c r="AX49" s="185"/>
      <c r="AY49" s="185"/>
      <c r="AZ49" s="185"/>
      <c r="BA49" s="185"/>
      <c r="BB49" s="185"/>
      <c r="BC49" s="185"/>
      <c r="BD49" s="185"/>
      <c r="BE49" s="185"/>
      <c r="BF49" s="185"/>
      <c r="BG49" s="185"/>
      <c r="BH49" s="185">
        <f t="shared" si="22"/>
        <v>0</v>
      </c>
      <c r="BI49" s="185"/>
      <c r="BJ49" s="185"/>
      <c r="BK49" s="185"/>
      <c r="BL49" s="185">
        <f>E49+W49+X49+Y49+Z49+AA49+AB49+AC49+AD49+AE49+AQ49+AR49+AS49+AU49+AV49+AW49+AX49+AY49+AZ49+BA49+BB49+BC49+BD49+BE49+BF49+BG49+BH49</f>
        <v>0</v>
      </c>
      <c r="BM49" s="185">
        <f>AT67-BL49</f>
        <v>0</v>
      </c>
      <c r="BN49" s="185">
        <f t="shared" si="29"/>
        <v>0</v>
      </c>
      <c r="BP49" s="123"/>
    </row>
    <row r="50" spans="1:68" ht="20.100000000000001" customHeight="1">
      <c r="A50" s="19" t="s">
        <v>85</v>
      </c>
      <c r="B50" s="19" t="s">
        <v>86</v>
      </c>
      <c r="C50" s="30" t="s">
        <v>87</v>
      </c>
      <c r="D50" s="185">
        <f>#REF!</f>
        <v>52.526499999999999</v>
      </c>
      <c r="E50" s="185">
        <f t="shared" si="4"/>
        <v>0</v>
      </c>
      <c r="F50" s="185">
        <f t="shared" si="21"/>
        <v>0</v>
      </c>
      <c r="G50" s="185">
        <f t="shared" si="8"/>
        <v>0</v>
      </c>
      <c r="H50" s="185">
        <f t="shared" si="12"/>
        <v>0</v>
      </c>
      <c r="I50" s="185"/>
      <c r="J50" s="185"/>
      <c r="K50" s="185"/>
      <c r="L50" s="185"/>
      <c r="M50" s="185"/>
      <c r="N50" s="185"/>
      <c r="O50" s="185"/>
      <c r="P50" s="185"/>
      <c r="Q50" s="185"/>
      <c r="R50" s="185"/>
      <c r="S50" s="185"/>
      <c r="T50" s="185"/>
      <c r="U50" s="185"/>
      <c r="V50" s="185">
        <f t="shared" si="13"/>
        <v>52.526499999999999</v>
      </c>
      <c r="W50" s="185"/>
      <c r="X50" s="185"/>
      <c r="Y50" s="185"/>
      <c r="Z50" s="185"/>
      <c r="AA50" s="185"/>
      <c r="AB50" s="185">
        <v>0.05</v>
      </c>
      <c r="AC50" s="185"/>
      <c r="AD50" s="185"/>
      <c r="AE50" s="185">
        <f t="shared" si="27"/>
        <v>2</v>
      </c>
      <c r="AF50" s="185"/>
      <c r="AG50" s="185"/>
      <c r="AH50" s="185"/>
      <c r="AI50" s="185"/>
      <c r="AJ50" s="185"/>
      <c r="AK50" s="185"/>
      <c r="AL50" s="185">
        <v>2</v>
      </c>
      <c r="AM50" s="185"/>
      <c r="AN50" s="185"/>
      <c r="AO50" s="185"/>
      <c r="AP50" s="185"/>
      <c r="AQ50" s="185"/>
      <c r="AR50" s="185"/>
      <c r="AS50" s="185"/>
      <c r="AT50" s="185"/>
      <c r="AU50" s="185">
        <f>D50-BL50</f>
        <v>50.336500000000001</v>
      </c>
      <c r="AV50" s="185"/>
      <c r="AW50" s="185"/>
      <c r="AX50" s="185"/>
      <c r="AY50" s="185"/>
      <c r="AZ50" s="185"/>
      <c r="BA50" s="185">
        <v>7.0000000000000007E-2</v>
      </c>
      <c r="BB50" s="185"/>
      <c r="BC50" s="185">
        <v>7.0000000000000007E-2</v>
      </c>
      <c r="BD50" s="185"/>
      <c r="BE50" s="185"/>
      <c r="BF50" s="185"/>
      <c r="BG50" s="185"/>
      <c r="BH50" s="185">
        <f t="shared" si="22"/>
        <v>0</v>
      </c>
      <c r="BI50" s="185"/>
      <c r="BJ50" s="185"/>
      <c r="BK50" s="185"/>
      <c r="BL50" s="185">
        <f>E50+W50+X50+Y50+Z50+AA50+AB50+AC50+AD50+AE50+AQ50+AR50+AS50+AT50+AV50+AW50+AX50+AY50+AZ50+BA50+BB50+BC50+BD50+BE50+BF50+BG50+BH50</f>
        <v>2.1899999999999995</v>
      </c>
      <c r="BM50" s="185">
        <f>AU67-BL50</f>
        <v>8.42</v>
      </c>
      <c r="BN50" s="185">
        <f t="shared" si="29"/>
        <v>60.9465</v>
      </c>
      <c r="BP50" s="123"/>
    </row>
    <row r="51" spans="1:68" ht="20.100000000000001" customHeight="1">
      <c r="A51" s="19" t="s">
        <v>88</v>
      </c>
      <c r="B51" s="19" t="s">
        <v>89</v>
      </c>
      <c r="C51" s="30" t="s">
        <v>90</v>
      </c>
      <c r="D51" s="185">
        <f>#REF!</f>
        <v>0.51</v>
      </c>
      <c r="E51" s="185">
        <f t="shared" si="4"/>
        <v>0</v>
      </c>
      <c r="F51" s="185">
        <f t="shared" si="21"/>
        <v>0</v>
      </c>
      <c r="G51" s="185">
        <f t="shared" si="8"/>
        <v>0</v>
      </c>
      <c r="H51" s="185">
        <f t="shared" si="12"/>
        <v>0</v>
      </c>
      <c r="I51" s="185"/>
      <c r="J51" s="185"/>
      <c r="K51" s="185"/>
      <c r="L51" s="185"/>
      <c r="M51" s="185"/>
      <c r="N51" s="185"/>
      <c r="O51" s="185"/>
      <c r="P51" s="185"/>
      <c r="Q51" s="185"/>
      <c r="R51" s="185"/>
      <c r="S51" s="185"/>
      <c r="T51" s="185"/>
      <c r="U51" s="185"/>
      <c r="V51" s="185">
        <f t="shared" si="13"/>
        <v>0.51</v>
      </c>
      <c r="W51" s="185"/>
      <c r="X51" s="185"/>
      <c r="Y51" s="185"/>
      <c r="Z51" s="185"/>
      <c r="AA51" s="185"/>
      <c r="AB51" s="185"/>
      <c r="AC51" s="185"/>
      <c r="AD51" s="185"/>
      <c r="AE51" s="185">
        <f t="shared" si="27"/>
        <v>0</v>
      </c>
      <c r="AF51" s="185"/>
      <c r="AG51" s="185"/>
      <c r="AH51" s="185"/>
      <c r="AI51" s="185"/>
      <c r="AJ51" s="185"/>
      <c r="AK51" s="185"/>
      <c r="AL51" s="185"/>
      <c r="AM51" s="185"/>
      <c r="AN51" s="185"/>
      <c r="AO51" s="185"/>
      <c r="AP51" s="185"/>
      <c r="AQ51" s="185"/>
      <c r="AR51" s="185"/>
      <c r="AS51" s="185"/>
      <c r="AT51" s="185"/>
      <c r="AU51" s="185"/>
      <c r="AV51" s="185">
        <f>D51-BL51</f>
        <v>0.51</v>
      </c>
      <c r="AW51" s="185"/>
      <c r="AX51" s="185"/>
      <c r="AY51" s="185"/>
      <c r="AZ51" s="185"/>
      <c r="BA51" s="185"/>
      <c r="BB51" s="185"/>
      <c r="BC51" s="185"/>
      <c r="BD51" s="185"/>
      <c r="BE51" s="185"/>
      <c r="BF51" s="185"/>
      <c r="BG51" s="185"/>
      <c r="BH51" s="185">
        <f t="shared" si="22"/>
        <v>0</v>
      </c>
      <c r="BI51" s="185"/>
      <c r="BJ51" s="185"/>
      <c r="BK51" s="185"/>
      <c r="BL51" s="185">
        <f>E51+W51+X51+Y51+Z51+AA51+AB51+AC51+AD51+AE51+AQ51+AR51+AS51+AT51+AU51+AW51+AX51+AY51+AZ51+BA51+BB51+BC51+BD51+BE51+BF51+BG51+BH51</f>
        <v>0</v>
      </c>
      <c r="BM51" s="185">
        <f>AV67-BL51</f>
        <v>0</v>
      </c>
      <c r="BN51" s="185">
        <f t="shared" si="29"/>
        <v>0.51</v>
      </c>
      <c r="BP51" s="123"/>
    </row>
    <row r="52" spans="1:68" ht="20.100000000000001" customHeight="1">
      <c r="A52" s="19" t="s">
        <v>91</v>
      </c>
      <c r="B52" s="19" t="s">
        <v>489</v>
      </c>
      <c r="C52" s="30" t="s">
        <v>93</v>
      </c>
      <c r="D52" s="185">
        <f>#REF!</f>
        <v>0.67</v>
      </c>
      <c r="E52" s="185">
        <f t="shared" si="4"/>
        <v>0</v>
      </c>
      <c r="F52" s="185">
        <f t="shared" si="21"/>
        <v>0</v>
      </c>
      <c r="G52" s="185">
        <f t="shared" si="8"/>
        <v>0</v>
      </c>
      <c r="H52" s="185">
        <f t="shared" si="12"/>
        <v>0</v>
      </c>
      <c r="I52" s="185"/>
      <c r="J52" s="185"/>
      <c r="K52" s="185"/>
      <c r="L52" s="185"/>
      <c r="M52" s="185"/>
      <c r="N52" s="185"/>
      <c r="O52" s="185"/>
      <c r="P52" s="185"/>
      <c r="Q52" s="185"/>
      <c r="R52" s="185"/>
      <c r="S52" s="185"/>
      <c r="T52" s="185"/>
      <c r="U52" s="185"/>
      <c r="V52" s="185">
        <f t="shared" si="13"/>
        <v>0.67</v>
      </c>
      <c r="W52" s="185"/>
      <c r="X52" s="185"/>
      <c r="Y52" s="185"/>
      <c r="Z52" s="185"/>
      <c r="AA52" s="185"/>
      <c r="AB52" s="185"/>
      <c r="AC52" s="185"/>
      <c r="AD52" s="185"/>
      <c r="AE52" s="185">
        <f t="shared" si="27"/>
        <v>0</v>
      </c>
      <c r="AF52" s="185"/>
      <c r="AG52" s="185"/>
      <c r="AH52" s="185"/>
      <c r="AI52" s="185"/>
      <c r="AJ52" s="185"/>
      <c r="AK52" s="185"/>
      <c r="AL52" s="185"/>
      <c r="AM52" s="185"/>
      <c r="AN52" s="185"/>
      <c r="AO52" s="185"/>
      <c r="AP52" s="185"/>
      <c r="AQ52" s="185"/>
      <c r="AR52" s="185"/>
      <c r="AS52" s="185"/>
      <c r="AT52" s="185"/>
      <c r="AU52" s="185"/>
      <c r="AV52" s="185"/>
      <c r="AW52" s="185">
        <f>D52-BL52</f>
        <v>0.67</v>
      </c>
      <c r="AX52" s="185"/>
      <c r="AY52" s="185"/>
      <c r="AZ52" s="185"/>
      <c r="BA52" s="185"/>
      <c r="BB52" s="185"/>
      <c r="BC52" s="185"/>
      <c r="BD52" s="185"/>
      <c r="BE52" s="185"/>
      <c r="BF52" s="185"/>
      <c r="BG52" s="185"/>
      <c r="BH52" s="185">
        <f t="shared" si="22"/>
        <v>0</v>
      </c>
      <c r="BI52" s="185"/>
      <c r="BJ52" s="185"/>
      <c r="BK52" s="185"/>
      <c r="BL52" s="185">
        <f>E52+W52+X52+Y52+Z52+AA52+AB52+AC52+AD52+AE52+AQ52+AR52+AS52+AT52+AU52+AV52+AX52+AY52+AZ52+BA52+BB52+BC52+BD52+BE52+BF52+BG52+BH52</f>
        <v>0</v>
      </c>
      <c r="BM52" s="185">
        <f>AW67-BL52</f>
        <v>0</v>
      </c>
      <c r="BN52" s="185">
        <f t="shared" si="29"/>
        <v>0.67</v>
      </c>
      <c r="BP52" s="123"/>
    </row>
    <row r="53" spans="1:68" ht="20.100000000000001" customHeight="1">
      <c r="A53" s="19" t="s">
        <v>94</v>
      </c>
      <c r="B53" s="19" t="s">
        <v>95</v>
      </c>
      <c r="C53" s="30" t="s">
        <v>96</v>
      </c>
      <c r="D53" s="185"/>
      <c r="E53" s="185">
        <f t="shared" si="4"/>
        <v>0</v>
      </c>
      <c r="F53" s="185">
        <f t="shared" si="21"/>
        <v>0</v>
      </c>
      <c r="G53" s="185">
        <f t="shared" si="8"/>
        <v>0</v>
      </c>
      <c r="H53" s="185">
        <f t="shared" si="12"/>
        <v>0</v>
      </c>
      <c r="I53" s="185"/>
      <c r="J53" s="185"/>
      <c r="K53" s="185"/>
      <c r="L53" s="185"/>
      <c r="M53" s="185"/>
      <c r="N53" s="185"/>
      <c r="O53" s="185"/>
      <c r="P53" s="185"/>
      <c r="Q53" s="185"/>
      <c r="R53" s="185"/>
      <c r="S53" s="185"/>
      <c r="T53" s="185"/>
      <c r="U53" s="185"/>
      <c r="V53" s="185">
        <f t="shared" si="13"/>
        <v>0</v>
      </c>
      <c r="W53" s="185"/>
      <c r="X53" s="185"/>
      <c r="Y53" s="185"/>
      <c r="Z53" s="185"/>
      <c r="AA53" s="185"/>
      <c r="AB53" s="185"/>
      <c r="AC53" s="185"/>
      <c r="AD53" s="185"/>
      <c r="AE53" s="185">
        <f t="shared" si="27"/>
        <v>0</v>
      </c>
      <c r="AF53" s="185"/>
      <c r="AG53" s="185"/>
      <c r="AH53" s="185"/>
      <c r="AI53" s="185"/>
      <c r="AJ53" s="185"/>
      <c r="AK53" s="185"/>
      <c r="AL53" s="185"/>
      <c r="AM53" s="185"/>
      <c r="AN53" s="185"/>
      <c r="AO53" s="185"/>
      <c r="AP53" s="185"/>
      <c r="AQ53" s="185"/>
      <c r="AR53" s="185"/>
      <c r="AS53" s="185"/>
      <c r="AT53" s="185"/>
      <c r="AU53" s="185"/>
      <c r="AV53" s="185"/>
      <c r="AW53" s="185"/>
      <c r="AX53" s="185">
        <f>D53-BL53</f>
        <v>0</v>
      </c>
      <c r="AY53" s="185"/>
      <c r="AZ53" s="185"/>
      <c r="BA53" s="185"/>
      <c r="BB53" s="185"/>
      <c r="BC53" s="185"/>
      <c r="BD53" s="185"/>
      <c r="BE53" s="185"/>
      <c r="BF53" s="185"/>
      <c r="BG53" s="185"/>
      <c r="BH53" s="185">
        <f t="shared" si="22"/>
        <v>0</v>
      </c>
      <c r="BI53" s="185"/>
      <c r="BJ53" s="185"/>
      <c r="BK53" s="185"/>
      <c r="BL53" s="185">
        <f>E53+W53+X53+Y53+Z53+AA53+AB53+AC53+AD53+AE53+AQ53+AR53+AS53+AT53+AU53+AV53+AW53+AY53+AZ53+BA53+BB53+BC53+BD53+BE53+BF53+BG53+BH53</f>
        <v>0</v>
      </c>
      <c r="BM53" s="185">
        <f>AX67-BL53</f>
        <v>0</v>
      </c>
      <c r="BN53" s="185">
        <f t="shared" si="29"/>
        <v>0</v>
      </c>
      <c r="BP53" s="123"/>
    </row>
    <row r="54" spans="1:68" ht="20.100000000000001" customHeight="1">
      <c r="A54" s="19" t="s">
        <v>97</v>
      </c>
      <c r="B54" s="19" t="s">
        <v>98</v>
      </c>
      <c r="C54" s="30" t="s">
        <v>99</v>
      </c>
      <c r="D54" s="185">
        <f>#REF!</f>
        <v>0.54</v>
      </c>
      <c r="E54" s="185">
        <f t="shared" si="4"/>
        <v>0</v>
      </c>
      <c r="F54" s="185">
        <f t="shared" si="21"/>
        <v>0</v>
      </c>
      <c r="G54" s="185">
        <f t="shared" si="8"/>
        <v>0</v>
      </c>
      <c r="H54" s="185">
        <f t="shared" si="12"/>
        <v>0</v>
      </c>
      <c r="I54" s="185"/>
      <c r="J54" s="185"/>
      <c r="K54" s="185"/>
      <c r="L54" s="185"/>
      <c r="M54" s="185"/>
      <c r="N54" s="185"/>
      <c r="O54" s="185"/>
      <c r="P54" s="185"/>
      <c r="Q54" s="185"/>
      <c r="R54" s="185"/>
      <c r="S54" s="185"/>
      <c r="T54" s="185"/>
      <c r="U54" s="185"/>
      <c r="V54" s="185">
        <f t="shared" si="13"/>
        <v>0.54</v>
      </c>
      <c r="W54" s="185"/>
      <c r="X54" s="185"/>
      <c r="Y54" s="185"/>
      <c r="Z54" s="185"/>
      <c r="AA54" s="185"/>
      <c r="AB54" s="185"/>
      <c r="AC54" s="185"/>
      <c r="AD54" s="185"/>
      <c r="AE54" s="185">
        <f t="shared" si="27"/>
        <v>0</v>
      </c>
      <c r="AF54" s="185"/>
      <c r="AG54" s="185"/>
      <c r="AH54" s="185"/>
      <c r="AI54" s="185"/>
      <c r="AJ54" s="185"/>
      <c r="AK54" s="185"/>
      <c r="AL54" s="185"/>
      <c r="AM54" s="185"/>
      <c r="AN54" s="185"/>
      <c r="AO54" s="185"/>
      <c r="AP54" s="185"/>
      <c r="AQ54" s="185"/>
      <c r="AR54" s="185"/>
      <c r="AS54" s="185"/>
      <c r="AT54" s="185"/>
      <c r="AU54" s="185"/>
      <c r="AV54" s="185"/>
      <c r="AW54" s="185"/>
      <c r="AX54" s="185"/>
      <c r="AY54" s="185">
        <f>D54-BL54</f>
        <v>0.54</v>
      </c>
      <c r="AZ54" s="185"/>
      <c r="BA54" s="185"/>
      <c r="BB54" s="185"/>
      <c r="BC54" s="185"/>
      <c r="BD54" s="185"/>
      <c r="BE54" s="185"/>
      <c r="BF54" s="185"/>
      <c r="BG54" s="185"/>
      <c r="BH54" s="185">
        <f t="shared" si="22"/>
        <v>0</v>
      </c>
      <c r="BI54" s="185"/>
      <c r="BJ54" s="185"/>
      <c r="BK54" s="185"/>
      <c r="BL54" s="185">
        <f>E54+W54+X54+Y54+Z54+AA54+AB54+AC54+AD54+AE54+AQ54+AR54+AS54+AT54+AU54+AV54+AW54+AX54+AZ54+BA54+BB54+BC54+BD54+BE54+BF54+BG54+BH54</f>
        <v>0</v>
      </c>
      <c r="BM54" s="185">
        <f>AY67-BL54</f>
        <v>0</v>
      </c>
      <c r="BN54" s="185">
        <f t="shared" si="29"/>
        <v>0.54</v>
      </c>
      <c r="BP54" s="123"/>
    </row>
    <row r="55" spans="1:68" ht="32.25" customHeight="1">
      <c r="A55" s="19" t="s">
        <v>100</v>
      </c>
      <c r="B55" s="19" t="s">
        <v>490</v>
      </c>
      <c r="C55" s="30" t="s">
        <v>101</v>
      </c>
      <c r="D55" s="185">
        <f>#REF!</f>
        <v>8.11</v>
      </c>
      <c r="E55" s="185">
        <f t="shared" si="4"/>
        <v>0</v>
      </c>
      <c r="F55" s="185">
        <f t="shared" si="21"/>
        <v>0</v>
      </c>
      <c r="G55" s="185">
        <f t="shared" si="8"/>
        <v>0</v>
      </c>
      <c r="H55" s="185">
        <f t="shared" si="12"/>
        <v>0</v>
      </c>
      <c r="I55" s="185"/>
      <c r="J55" s="185"/>
      <c r="K55" s="185"/>
      <c r="L55" s="185"/>
      <c r="M55" s="185"/>
      <c r="N55" s="185"/>
      <c r="O55" s="185"/>
      <c r="P55" s="185"/>
      <c r="Q55" s="185"/>
      <c r="R55" s="185"/>
      <c r="S55" s="185"/>
      <c r="T55" s="185"/>
      <c r="U55" s="185"/>
      <c r="V55" s="185">
        <f t="shared" si="13"/>
        <v>8.11</v>
      </c>
      <c r="W55" s="185"/>
      <c r="X55" s="185"/>
      <c r="Y55" s="185"/>
      <c r="Z55" s="185"/>
      <c r="AA55" s="185"/>
      <c r="AB55" s="185"/>
      <c r="AC55" s="185"/>
      <c r="AD55" s="185"/>
      <c r="AE55" s="185">
        <f t="shared" si="27"/>
        <v>0.44999999999999996</v>
      </c>
      <c r="AF55" s="185">
        <v>0.01</v>
      </c>
      <c r="AG55" s="185"/>
      <c r="AH55" s="185">
        <v>0.03</v>
      </c>
      <c r="AI55" s="185"/>
      <c r="AJ55" s="185"/>
      <c r="AK55" s="185"/>
      <c r="AL55" s="185">
        <v>0.41</v>
      </c>
      <c r="AM55" s="185"/>
      <c r="AN55" s="185"/>
      <c r="AO55" s="185"/>
      <c r="AP55" s="185"/>
      <c r="AQ55" s="185"/>
      <c r="AR55" s="185"/>
      <c r="AS55" s="185"/>
      <c r="AT55" s="185"/>
      <c r="AU55" s="185">
        <v>0.37</v>
      </c>
      <c r="AV55" s="185"/>
      <c r="AW55" s="185"/>
      <c r="AX55" s="185"/>
      <c r="AY55" s="185"/>
      <c r="AZ55" s="185">
        <f>D55-BL55</f>
        <v>7.26</v>
      </c>
      <c r="BA55" s="185"/>
      <c r="BB55" s="185"/>
      <c r="BC55" s="185">
        <v>0.03</v>
      </c>
      <c r="BD55" s="185"/>
      <c r="BE55" s="185"/>
      <c r="BF55" s="185"/>
      <c r="BG55" s="185"/>
      <c r="BH55" s="185">
        <f t="shared" si="22"/>
        <v>0</v>
      </c>
      <c r="BI55" s="185"/>
      <c r="BJ55" s="185"/>
      <c r="BK55" s="185"/>
      <c r="BL55" s="185">
        <f>E55+W55+X55+Y55+Z55+AA55+AB55+AC55+AD55+AE55+AQ55+AR55+AS55+AT55+AU55+AV55+AW55+AX55+AY55+BA55+BB55+BC55+BD55+BE55+BF55+BG55+BH55</f>
        <v>0.85</v>
      </c>
      <c r="BM55" s="185">
        <f>AZ67-BL55</f>
        <v>-0.85</v>
      </c>
      <c r="BN55" s="185">
        <f t="shared" si="29"/>
        <v>7.26</v>
      </c>
      <c r="BP55" s="123"/>
    </row>
    <row r="56" spans="1:68" ht="20.100000000000001" customHeight="1">
      <c r="A56" s="19" t="s">
        <v>102</v>
      </c>
      <c r="B56" s="19" t="s">
        <v>103</v>
      </c>
      <c r="C56" s="30" t="s">
        <v>104</v>
      </c>
      <c r="D56" s="185">
        <f>#REF!</f>
        <v>1.0208999999999999</v>
      </c>
      <c r="E56" s="185">
        <f t="shared" si="4"/>
        <v>0</v>
      </c>
      <c r="F56" s="185">
        <f t="shared" si="21"/>
        <v>0</v>
      </c>
      <c r="G56" s="185">
        <f t="shared" si="8"/>
        <v>0</v>
      </c>
      <c r="H56" s="185">
        <f t="shared" si="12"/>
        <v>0</v>
      </c>
      <c r="I56" s="185"/>
      <c r="J56" s="185"/>
      <c r="K56" s="185"/>
      <c r="L56" s="185"/>
      <c r="M56" s="185"/>
      <c r="N56" s="185"/>
      <c r="O56" s="185"/>
      <c r="P56" s="185"/>
      <c r="Q56" s="185"/>
      <c r="R56" s="185"/>
      <c r="S56" s="185"/>
      <c r="T56" s="185"/>
      <c r="U56" s="185"/>
      <c r="V56" s="185">
        <f t="shared" si="13"/>
        <v>1.0208999999999999</v>
      </c>
      <c r="W56" s="185"/>
      <c r="X56" s="185"/>
      <c r="Y56" s="185"/>
      <c r="Z56" s="185"/>
      <c r="AA56" s="185"/>
      <c r="AB56" s="185"/>
      <c r="AC56" s="185"/>
      <c r="AD56" s="185"/>
      <c r="AE56" s="185">
        <f t="shared" si="27"/>
        <v>0</v>
      </c>
      <c r="AF56" s="185"/>
      <c r="AG56" s="185"/>
      <c r="AH56" s="185"/>
      <c r="AI56" s="185"/>
      <c r="AJ56" s="185"/>
      <c r="AK56" s="185"/>
      <c r="AL56" s="185"/>
      <c r="AM56" s="185"/>
      <c r="AN56" s="185"/>
      <c r="AO56" s="185"/>
      <c r="AP56" s="185"/>
      <c r="AQ56" s="185"/>
      <c r="AR56" s="185"/>
      <c r="AS56" s="185"/>
      <c r="AT56" s="185"/>
      <c r="AU56" s="185"/>
      <c r="AV56" s="185"/>
      <c r="AW56" s="185"/>
      <c r="AX56" s="185"/>
      <c r="AY56" s="185"/>
      <c r="AZ56" s="185"/>
      <c r="BA56" s="185">
        <f>D56-BL56</f>
        <v>1.0208999999999999</v>
      </c>
      <c r="BB56" s="185"/>
      <c r="BC56" s="185"/>
      <c r="BD56" s="185"/>
      <c r="BE56" s="185"/>
      <c r="BF56" s="185"/>
      <c r="BG56" s="185"/>
      <c r="BH56" s="185">
        <f t="shared" si="22"/>
        <v>0</v>
      </c>
      <c r="BI56" s="185"/>
      <c r="BJ56" s="185"/>
      <c r="BK56" s="185"/>
      <c r="BL56" s="185">
        <f>E56+W56+X56+Y56+Z56+AA56+AB56+AC56+AD56+AE56+AQ56+AR56+AS56+AT56+AU56+AV56+AW56+AX56+AY56+AZ56+BB56+BC56+BD56+BE56+BF56+BG56+BH56</f>
        <v>0</v>
      </c>
      <c r="BM56" s="185">
        <f>BA67-BL56</f>
        <v>2.7199999999999998</v>
      </c>
      <c r="BN56" s="185">
        <f t="shared" si="29"/>
        <v>3.7408999999999999</v>
      </c>
      <c r="BP56" s="123"/>
    </row>
    <row r="57" spans="1:68" ht="20.100000000000001" customHeight="1">
      <c r="A57" s="19" t="s">
        <v>105</v>
      </c>
      <c r="B57" s="19" t="s">
        <v>106</v>
      </c>
      <c r="C57" s="30" t="s">
        <v>107</v>
      </c>
      <c r="D57" s="185">
        <f>#REF!</f>
        <v>1.0900000000000001</v>
      </c>
      <c r="E57" s="185">
        <f t="shared" si="4"/>
        <v>0</v>
      </c>
      <c r="F57" s="185">
        <f t="shared" si="21"/>
        <v>0</v>
      </c>
      <c r="G57" s="185">
        <f t="shared" si="8"/>
        <v>0</v>
      </c>
      <c r="H57" s="185">
        <f t="shared" si="12"/>
        <v>0</v>
      </c>
      <c r="I57" s="185"/>
      <c r="J57" s="185"/>
      <c r="K57" s="185"/>
      <c r="L57" s="185"/>
      <c r="M57" s="185"/>
      <c r="N57" s="185"/>
      <c r="O57" s="185"/>
      <c r="P57" s="185"/>
      <c r="Q57" s="185"/>
      <c r="R57" s="185"/>
      <c r="S57" s="185"/>
      <c r="T57" s="185"/>
      <c r="U57" s="185"/>
      <c r="V57" s="185">
        <f t="shared" si="13"/>
        <v>1.0900000000000001</v>
      </c>
      <c r="W57" s="185"/>
      <c r="X57" s="185"/>
      <c r="Y57" s="185"/>
      <c r="Z57" s="185"/>
      <c r="AA57" s="185"/>
      <c r="AB57" s="185"/>
      <c r="AC57" s="185"/>
      <c r="AD57" s="185"/>
      <c r="AE57" s="185">
        <f>SUM(AF57:AP57)</f>
        <v>0</v>
      </c>
      <c r="AF57" s="185"/>
      <c r="AG57" s="185"/>
      <c r="AH57" s="185"/>
      <c r="AI57" s="185"/>
      <c r="AJ57" s="185"/>
      <c r="AK57" s="185"/>
      <c r="AL57" s="185"/>
      <c r="AM57" s="185"/>
      <c r="AN57" s="185"/>
      <c r="AO57" s="185"/>
      <c r="AP57" s="185"/>
      <c r="AQ57" s="185"/>
      <c r="AR57" s="185"/>
      <c r="AS57" s="185"/>
      <c r="AT57" s="185"/>
      <c r="AU57" s="185"/>
      <c r="AV57" s="185"/>
      <c r="AW57" s="185"/>
      <c r="AX57" s="185"/>
      <c r="AY57" s="185"/>
      <c r="AZ57" s="185"/>
      <c r="BA57" s="185"/>
      <c r="BB57" s="185">
        <f>D57-BL57</f>
        <v>1.0900000000000001</v>
      </c>
      <c r="BC57" s="185"/>
      <c r="BD57" s="185"/>
      <c r="BE57" s="185"/>
      <c r="BF57" s="185"/>
      <c r="BG57" s="185"/>
      <c r="BH57" s="185">
        <f t="shared" si="22"/>
        <v>0</v>
      </c>
      <c r="BI57" s="185"/>
      <c r="BJ57" s="185"/>
      <c r="BK57" s="185"/>
      <c r="BL57" s="185">
        <f>E57+W57+X57+Y57+Z57+AA57+AB57+AC57+AD57+AE57+AQ57+AR57+AS57+AT57+AU57+AV57+AW57+AX57+AY57+AZ57+BA57+BC57+BD57+BE57+BF57+BG57+BH57</f>
        <v>0</v>
      </c>
      <c r="BM57" s="185">
        <f>BB67-BL57</f>
        <v>0</v>
      </c>
      <c r="BN57" s="185">
        <f t="shared" si="29"/>
        <v>1.0900000000000001</v>
      </c>
      <c r="BP57" s="123"/>
    </row>
    <row r="58" spans="1:68" ht="20.100000000000001" customHeight="1">
      <c r="A58" s="19" t="s">
        <v>108</v>
      </c>
      <c r="B58" s="19" t="s">
        <v>491</v>
      </c>
      <c r="C58" s="30" t="s">
        <v>110</v>
      </c>
      <c r="D58" s="185">
        <f>#REF!</f>
        <v>2.02</v>
      </c>
      <c r="E58" s="185">
        <f t="shared" si="4"/>
        <v>0</v>
      </c>
      <c r="F58" s="185">
        <f t="shared" si="21"/>
        <v>0</v>
      </c>
      <c r="G58" s="185">
        <f t="shared" si="8"/>
        <v>0</v>
      </c>
      <c r="H58" s="185">
        <f t="shared" si="12"/>
        <v>0</v>
      </c>
      <c r="I58" s="185"/>
      <c r="J58" s="185"/>
      <c r="K58" s="185"/>
      <c r="L58" s="185"/>
      <c r="M58" s="185"/>
      <c r="N58" s="185"/>
      <c r="O58" s="185"/>
      <c r="P58" s="185"/>
      <c r="Q58" s="185"/>
      <c r="R58" s="185"/>
      <c r="S58" s="185"/>
      <c r="T58" s="185"/>
      <c r="U58" s="185"/>
      <c r="V58" s="185">
        <f t="shared" si="13"/>
        <v>2.02</v>
      </c>
      <c r="W58" s="185"/>
      <c r="X58" s="185"/>
      <c r="Y58" s="185"/>
      <c r="Z58" s="185"/>
      <c r="AA58" s="185"/>
      <c r="AB58" s="185"/>
      <c r="AC58" s="185"/>
      <c r="AD58" s="185"/>
      <c r="AE58" s="185">
        <f t="shared" si="27"/>
        <v>0</v>
      </c>
      <c r="AF58" s="185"/>
      <c r="AG58" s="185"/>
      <c r="AH58" s="185"/>
      <c r="AI58" s="185"/>
      <c r="AJ58" s="185"/>
      <c r="AK58" s="185"/>
      <c r="AL58" s="185"/>
      <c r="AM58" s="185"/>
      <c r="AN58" s="185"/>
      <c r="AO58" s="185"/>
      <c r="AP58" s="185"/>
      <c r="AQ58" s="185"/>
      <c r="AR58" s="185"/>
      <c r="AS58" s="185"/>
      <c r="AT58" s="185"/>
      <c r="AU58" s="185"/>
      <c r="AV58" s="185"/>
      <c r="AW58" s="185"/>
      <c r="AX58" s="185"/>
      <c r="AY58" s="185"/>
      <c r="AZ58" s="185"/>
      <c r="BA58" s="185"/>
      <c r="BB58" s="185"/>
      <c r="BC58" s="185">
        <f>D58-BL58</f>
        <v>2.02</v>
      </c>
      <c r="BD58" s="185"/>
      <c r="BE58" s="185"/>
      <c r="BF58" s="185"/>
      <c r="BG58" s="185"/>
      <c r="BH58" s="185">
        <f t="shared" si="22"/>
        <v>0</v>
      </c>
      <c r="BI58" s="185"/>
      <c r="BJ58" s="185"/>
      <c r="BK58" s="185"/>
      <c r="BL58" s="185">
        <f>E58+W58+X58+Y58+Z58+AA58+AB58+AC58+AD58+AE58+AQ58+AR58+AS58+AT58+AU58+AV58+AW58+AX58+AY58+AZ58+BA58+BB58+BD58+BE58+BF58+BG58+BH58</f>
        <v>0</v>
      </c>
      <c r="BM58" s="185">
        <f>BC67-BL58</f>
        <v>0.8</v>
      </c>
      <c r="BN58" s="185">
        <f t="shared" si="29"/>
        <v>2.8200000000000003</v>
      </c>
      <c r="BP58" s="123"/>
    </row>
    <row r="59" spans="1:68" ht="20.100000000000001" customHeight="1">
      <c r="A59" s="19" t="s">
        <v>111</v>
      </c>
      <c r="B59" s="19" t="s">
        <v>112</v>
      </c>
      <c r="C59" s="30" t="s">
        <v>113</v>
      </c>
      <c r="D59" s="185">
        <f>#REF!</f>
        <v>0.16</v>
      </c>
      <c r="E59" s="185">
        <f t="shared" si="4"/>
        <v>0</v>
      </c>
      <c r="F59" s="185">
        <f t="shared" si="21"/>
        <v>0</v>
      </c>
      <c r="G59" s="185">
        <f t="shared" si="8"/>
        <v>0</v>
      </c>
      <c r="H59" s="185">
        <f t="shared" si="12"/>
        <v>0</v>
      </c>
      <c r="I59" s="185"/>
      <c r="J59" s="185"/>
      <c r="K59" s="185"/>
      <c r="L59" s="185"/>
      <c r="M59" s="185"/>
      <c r="N59" s="185"/>
      <c r="O59" s="185"/>
      <c r="P59" s="185"/>
      <c r="Q59" s="185"/>
      <c r="R59" s="185"/>
      <c r="S59" s="185"/>
      <c r="T59" s="185"/>
      <c r="U59" s="185"/>
      <c r="V59" s="185">
        <f t="shared" si="13"/>
        <v>0.16</v>
      </c>
      <c r="W59" s="185"/>
      <c r="X59" s="185"/>
      <c r="Y59" s="185"/>
      <c r="Z59" s="185"/>
      <c r="AA59" s="185"/>
      <c r="AB59" s="185"/>
      <c r="AC59" s="185"/>
      <c r="AD59" s="185"/>
      <c r="AE59" s="185">
        <f t="shared" si="27"/>
        <v>0</v>
      </c>
      <c r="AF59" s="185"/>
      <c r="AG59" s="185"/>
      <c r="AH59" s="185"/>
      <c r="AI59" s="185"/>
      <c r="AJ59" s="185"/>
      <c r="AK59" s="185"/>
      <c r="AL59" s="185"/>
      <c r="AM59" s="185"/>
      <c r="AN59" s="185"/>
      <c r="AO59" s="185"/>
      <c r="AP59" s="185"/>
      <c r="AQ59" s="185"/>
      <c r="AR59" s="185"/>
      <c r="AS59" s="185"/>
      <c r="AT59" s="185"/>
      <c r="AU59" s="185"/>
      <c r="AV59" s="185"/>
      <c r="AW59" s="185"/>
      <c r="AX59" s="185"/>
      <c r="AY59" s="185"/>
      <c r="AZ59" s="185"/>
      <c r="BA59" s="185"/>
      <c r="BB59" s="185"/>
      <c r="BC59" s="185"/>
      <c r="BD59" s="185">
        <f>D59-BL59</f>
        <v>0.16</v>
      </c>
      <c r="BE59" s="185"/>
      <c r="BF59" s="185"/>
      <c r="BG59" s="185"/>
      <c r="BH59" s="185">
        <f t="shared" si="22"/>
        <v>0</v>
      </c>
      <c r="BI59" s="185"/>
      <c r="BJ59" s="185"/>
      <c r="BK59" s="185"/>
      <c r="BL59" s="185">
        <f>E59+W59+X59+Y59+Z59+AA59+AB59+AC59+AD59+AE59+AQ59+AR59+AS59+AT59+AU59+AV59+AW59+AX59+AY59+AZ59+BA59+BB59+BC59+BE59+BF59+BG59+BH59</f>
        <v>0</v>
      </c>
      <c r="BM59" s="185">
        <f>BD67-BL59</f>
        <v>0</v>
      </c>
      <c r="BN59" s="185">
        <f t="shared" si="29"/>
        <v>0.16</v>
      </c>
      <c r="BP59" s="123"/>
    </row>
    <row r="60" spans="1:68" ht="20.100000000000001" customHeight="1">
      <c r="A60" s="19" t="s">
        <v>114</v>
      </c>
      <c r="B60" s="19" t="s">
        <v>115</v>
      </c>
      <c r="C60" s="30" t="s">
        <v>116</v>
      </c>
      <c r="D60" s="185">
        <f>#REF!</f>
        <v>92</v>
      </c>
      <c r="E60" s="185">
        <f t="shared" si="4"/>
        <v>2.1</v>
      </c>
      <c r="F60" s="185">
        <f t="shared" si="21"/>
        <v>0</v>
      </c>
      <c r="G60" s="185">
        <f t="shared" si="8"/>
        <v>0</v>
      </c>
      <c r="H60" s="185">
        <f t="shared" si="12"/>
        <v>0</v>
      </c>
      <c r="I60" s="185"/>
      <c r="J60" s="185"/>
      <c r="K60" s="185"/>
      <c r="L60" s="185"/>
      <c r="M60" s="185"/>
      <c r="N60" s="185"/>
      <c r="O60" s="185"/>
      <c r="P60" s="185"/>
      <c r="Q60" s="185"/>
      <c r="R60" s="185"/>
      <c r="S60" s="185">
        <v>2.1</v>
      </c>
      <c r="T60" s="185"/>
      <c r="U60" s="185"/>
      <c r="V60" s="185">
        <f t="shared" si="13"/>
        <v>89.9</v>
      </c>
      <c r="W60" s="185"/>
      <c r="X60" s="185"/>
      <c r="Y60" s="185"/>
      <c r="Z60" s="185"/>
      <c r="AA60" s="185"/>
      <c r="AB60" s="185"/>
      <c r="AC60" s="185"/>
      <c r="AD60" s="185"/>
      <c r="AE60" s="185">
        <f t="shared" si="27"/>
        <v>1.28</v>
      </c>
      <c r="AF60" s="185"/>
      <c r="AG60" s="185"/>
      <c r="AH60" s="185"/>
      <c r="AI60" s="185"/>
      <c r="AJ60" s="185"/>
      <c r="AK60" s="185"/>
      <c r="AL60" s="185">
        <v>0.02</v>
      </c>
      <c r="AM60" s="185">
        <v>1.26</v>
      </c>
      <c r="AN60" s="185"/>
      <c r="AO60" s="185"/>
      <c r="AP60" s="185"/>
      <c r="AQ60" s="185"/>
      <c r="AR60" s="185"/>
      <c r="AS60" s="185"/>
      <c r="AT60" s="185"/>
      <c r="AU60" s="185"/>
      <c r="AV60" s="185"/>
      <c r="AW60" s="185"/>
      <c r="AX60" s="185"/>
      <c r="AY60" s="185"/>
      <c r="AZ60" s="185"/>
      <c r="BA60" s="185"/>
      <c r="BB60" s="185"/>
      <c r="BC60" s="185"/>
      <c r="BD60" s="185"/>
      <c r="BE60" s="185">
        <f>D60-BL60</f>
        <v>88.62</v>
      </c>
      <c r="BF60" s="185"/>
      <c r="BG60" s="185"/>
      <c r="BH60" s="185">
        <f t="shared" si="22"/>
        <v>0</v>
      </c>
      <c r="BI60" s="185"/>
      <c r="BJ60" s="185"/>
      <c r="BK60" s="185"/>
      <c r="BL60" s="185">
        <f>E60+W60+X60+Y60+Z60+AA60+AB60+AC60+AD60+AE60+AQ60+AR60+AS60+AT60+AU60+AV60+AW60+AX60+AY60+AZ60+BA60+BB60+BC60+BD60+BF60+BG60+BH60</f>
        <v>3.38</v>
      </c>
      <c r="BM60" s="185">
        <f>BE67-BL60</f>
        <v>-3.38</v>
      </c>
      <c r="BN60" s="185">
        <f t="shared" si="29"/>
        <v>88.62</v>
      </c>
      <c r="BP60" s="123"/>
    </row>
    <row r="61" spans="1:68" ht="20.100000000000001" customHeight="1">
      <c r="A61" s="19" t="s">
        <v>117</v>
      </c>
      <c r="B61" s="19" t="s">
        <v>118</v>
      </c>
      <c r="C61" s="30" t="s">
        <v>119</v>
      </c>
      <c r="D61" s="185">
        <f>#REF!</f>
        <v>14.21</v>
      </c>
      <c r="E61" s="185">
        <f t="shared" si="4"/>
        <v>0</v>
      </c>
      <c r="F61" s="185">
        <f t="shared" si="21"/>
        <v>0</v>
      </c>
      <c r="G61" s="185">
        <f t="shared" si="8"/>
        <v>0</v>
      </c>
      <c r="H61" s="185">
        <f t="shared" si="12"/>
        <v>0</v>
      </c>
      <c r="I61" s="185"/>
      <c r="J61" s="185"/>
      <c r="K61" s="185"/>
      <c r="L61" s="185"/>
      <c r="M61" s="185"/>
      <c r="N61" s="185"/>
      <c r="O61" s="185"/>
      <c r="P61" s="185"/>
      <c r="Q61" s="185"/>
      <c r="R61" s="185"/>
      <c r="S61" s="185"/>
      <c r="T61" s="185"/>
      <c r="U61" s="185"/>
      <c r="V61" s="185">
        <f t="shared" si="13"/>
        <v>14.21</v>
      </c>
      <c r="W61" s="185"/>
      <c r="X61" s="185"/>
      <c r="Y61" s="185"/>
      <c r="Z61" s="185"/>
      <c r="AA61" s="185"/>
      <c r="AB61" s="185"/>
      <c r="AC61" s="185"/>
      <c r="AD61" s="185"/>
      <c r="AE61" s="185">
        <f t="shared" si="27"/>
        <v>0.17</v>
      </c>
      <c r="AF61" s="185"/>
      <c r="AG61" s="185"/>
      <c r="AH61" s="185"/>
      <c r="AI61" s="185"/>
      <c r="AJ61" s="185"/>
      <c r="AK61" s="185"/>
      <c r="AL61" s="185">
        <v>0.17</v>
      </c>
      <c r="AM61" s="185"/>
      <c r="AN61" s="185"/>
      <c r="AO61" s="185"/>
      <c r="AP61" s="185"/>
      <c r="AQ61" s="185"/>
      <c r="AR61" s="185"/>
      <c r="AS61" s="185"/>
      <c r="AT61" s="185"/>
      <c r="AU61" s="185"/>
      <c r="AV61" s="185"/>
      <c r="AW61" s="185"/>
      <c r="AX61" s="185"/>
      <c r="AY61" s="185"/>
      <c r="AZ61" s="185"/>
      <c r="BA61" s="185">
        <v>2.3199999999999998</v>
      </c>
      <c r="BB61" s="185"/>
      <c r="BC61" s="185"/>
      <c r="BD61" s="185"/>
      <c r="BE61" s="185"/>
      <c r="BF61" s="185">
        <f>D61-BL61</f>
        <v>11.72</v>
      </c>
      <c r="BG61" s="185"/>
      <c r="BH61" s="185">
        <f t="shared" si="22"/>
        <v>0</v>
      </c>
      <c r="BI61" s="185"/>
      <c r="BJ61" s="185"/>
      <c r="BK61" s="185"/>
      <c r="BL61" s="185">
        <f>E61+W61+X61+Y61+Z61+AA61+AB61+AC61+AD61+AE61+AQ61+AR61+AS61+AT61+AU61+AV61+AW61+AX61+AY61+AZ61+BA61+BB61+BC61+BD61+BE61+BG61+BH61</f>
        <v>2.4899999999999998</v>
      </c>
      <c r="BM61" s="185">
        <f>BF67-BL61</f>
        <v>-2.4699999999999998</v>
      </c>
      <c r="BN61" s="185">
        <f t="shared" si="29"/>
        <v>11.740000000000002</v>
      </c>
      <c r="BP61" s="123"/>
    </row>
    <row r="62" spans="1:68" ht="20.100000000000001" customHeight="1">
      <c r="A62" s="19" t="s">
        <v>120</v>
      </c>
      <c r="B62" s="19" t="s">
        <v>121</v>
      </c>
      <c r="C62" s="30" t="s">
        <v>122</v>
      </c>
      <c r="D62" s="185"/>
      <c r="E62" s="185">
        <f t="shared" si="4"/>
        <v>0</v>
      </c>
      <c r="F62" s="185">
        <f t="shared" si="21"/>
        <v>0</v>
      </c>
      <c r="G62" s="185">
        <f t="shared" si="8"/>
        <v>0</v>
      </c>
      <c r="H62" s="185">
        <f t="shared" si="12"/>
        <v>0</v>
      </c>
      <c r="I62" s="185"/>
      <c r="J62" s="185"/>
      <c r="K62" s="185"/>
      <c r="L62" s="185"/>
      <c r="M62" s="185"/>
      <c r="N62" s="185"/>
      <c r="O62" s="185"/>
      <c r="P62" s="185"/>
      <c r="Q62" s="185"/>
      <c r="R62" s="185"/>
      <c r="S62" s="185"/>
      <c r="T62" s="185"/>
      <c r="U62" s="185"/>
      <c r="V62" s="185">
        <f t="shared" si="13"/>
        <v>0</v>
      </c>
      <c r="W62" s="185"/>
      <c r="X62" s="185"/>
      <c r="Y62" s="185"/>
      <c r="Z62" s="185"/>
      <c r="AA62" s="185"/>
      <c r="AB62" s="185"/>
      <c r="AC62" s="185"/>
      <c r="AD62" s="185"/>
      <c r="AE62" s="185">
        <f t="shared" si="27"/>
        <v>0</v>
      </c>
      <c r="AF62" s="185"/>
      <c r="AG62" s="185"/>
      <c r="AH62" s="185"/>
      <c r="AI62" s="185"/>
      <c r="AJ62" s="185"/>
      <c r="AK62" s="185"/>
      <c r="AL62" s="185"/>
      <c r="AM62" s="185"/>
      <c r="AN62" s="185"/>
      <c r="AO62" s="185"/>
      <c r="AP62" s="185"/>
      <c r="AQ62" s="185"/>
      <c r="AR62" s="185"/>
      <c r="AS62" s="185"/>
      <c r="AT62" s="185"/>
      <c r="AU62" s="185"/>
      <c r="AV62" s="185"/>
      <c r="AW62" s="185"/>
      <c r="AX62" s="185"/>
      <c r="AY62" s="185"/>
      <c r="AZ62" s="185"/>
      <c r="BA62" s="185"/>
      <c r="BB62" s="185"/>
      <c r="BC62" s="185"/>
      <c r="BD62" s="185"/>
      <c r="BE62" s="185"/>
      <c r="BF62" s="185"/>
      <c r="BG62" s="185">
        <f>D62-BL62</f>
        <v>0</v>
      </c>
      <c r="BH62" s="185">
        <f t="shared" si="22"/>
        <v>0</v>
      </c>
      <c r="BI62" s="185"/>
      <c r="BJ62" s="185"/>
      <c r="BK62" s="185"/>
      <c r="BL62" s="185">
        <f>E62+W62+X62+Y62+Z62+AA62+AB62+AC62+AD62+AE62+AQ62+AR62+AS62+AT62+AU62+AV62+AW62+AX62+AY62+AZ62+BA62+BB62+BC62+BD62+BE62+BF62+BH62</f>
        <v>0</v>
      </c>
      <c r="BM62" s="185">
        <f>BG67-BL62</f>
        <v>0</v>
      </c>
      <c r="BN62" s="185">
        <f t="shared" si="29"/>
        <v>0</v>
      </c>
      <c r="BP62" s="123"/>
    </row>
    <row r="63" spans="1:68" s="115" customFormat="1" ht="21.75" customHeight="1">
      <c r="A63" s="15">
        <v>3</v>
      </c>
      <c r="B63" s="15" t="s">
        <v>123</v>
      </c>
      <c r="C63" s="158" t="s">
        <v>124</v>
      </c>
      <c r="D63" s="420">
        <f>D64+D65+D66</f>
        <v>42.9131</v>
      </c>
      <c r="E63" s="420">
        <f>E64+E65+E66</f>
        <v>1.65</v>
      </c>
      <c r="F63" s="420">
        <f t="shared" ref="F63:U63" si="30">F64+F65+F66</f>
        <v>0</v>
      </c>
      <c r="G63" s="420">
        <f t="shared" si="30"/>
        <v>0</v>
      </c>
      <c r="H63" s="420">
        <f t="shared" si="30"/>
        <v>0</v>
      </c>
      <c r="I63" s="420">
        <f t="shared" si="30"/>
        <v>0</v>
      </c>
      <c r="J63" s="420">
        <f t="shared" si="30"/>
        <v>0</v>
      </c>
      <c r="K63" s="420">
        <f t="shared" si="30"/>
        <v>0</v>
      </c>
      <c r="L63" s="420">
        <f t="shared" si="30"/>
        <v>0</v>
      </c>
      <c r="M63" s="420">
        <f t="shared" si="30"/>
        <v>0</v>
      </c>
      <c r="N63" s="420">
        <f t="shared" si="30"/>
        <v>0</v>
      </c>
      <c r="O63" s="420">
        <f t="shared" si="30"/>
        <v>0</v>
      </c>
      <c r="P63" s="420">
        <f t="shared" si="30"/>
        <v>0</v>
      </c>
      <c r="Q63" s="420">
        <f t="shared" si="30"/>
        <v>0</v>
      </c>
      <c r="R63" s="420">
        <f t="shared" si="30"/>
        <v>0</v>
      </c>
      <c r="S63" s="420">
        <f t="shared" si="30"/>
        <v>1.65</v>
      </c>
      <c r="T63" s="420">
        <f t="shared" si="30"/>
        <v>0</v>
      </c>
      <c r="U63" s="420">
        <f t="shared" si="30"/>
        <v>0</v>
      </c>
      <c r="V63" s="420">
        <f>V64+V65+V66</f>
        <v>0.15999999999999998</v>
      </c>
      <c r="W63" s="420">
        <f t="shared" ref="W63:BG63" si="31">W64+W65+W66</f>
        <v>0</v>
      </c>
      <c r="X63" s="420">
        <f t="shared" si="31"/>
        <v>0</v>
      </c>
      <c r="Y63" s="420">
        <f t="shared" si="31"/>
        <v>0</v>
      </c>
      <c r="Z63" s="420">
        <f t="shared" si="31"/>
        <v>0</v>
      </c>
      <c r="AA63" s="420">
        <f t="shared" si="31"/>
        <v>0</v>
      </c>
      <c r="AB63" s="420">
        <f t="shared" si="31"/>
        <v>0</v>
      </c>
      <c r="AC63" s="420">
        <f t="shared" si="31"/>
        <v>0</v>
      </c>
      <c r="AD63" s="420">
        <f t="shared" si="31"/>
        <v>0</v>
      </c>
      <c r="AE63" s="420">
        <f t="shared" si="31"/>
        <v>0.13999999999999999</v>
      </c>
      <c r="AF63" s="420">
        <f t="shared" si="31"/>
        <v>0</v>
      </c>
      <c r="AG63" s="420">
        <f t="shared" si="31"/>
        <v>0</v>
      </c>
      <c r="AH63" s="420">
        <f t="shared" si="31"/>
        <v>0</v>
      </c>
      <c r="AI63" s="420">
        <f t="shared" si="31"/>
        <v>0</v>
      </c>
      <c r="AJ63" s="420">
        <f t="shared" si="31"/>
        <v>0</v>
      </c>
      <c r="AK63" s="420">
        <f t="shared" si="31"/>
        <v>0</v>
      </c>
      <c r="AL63" s="420">
        <f t="shared" si="31"/>
        <v>0.12</v>
      </c>
      <c r="AM63" s="420">
        <f t="shared" si="31"/>
        <v>0.02</v>
      </c>
      <c r="AN63" s="420">
        <f t="shared" si="31"/>
        <v>0</v>
      </c>
      <c r="AO63" s="420">
        <f t="shared" si="31"/>
        <v>0</v>
      </c>
      <c r="AP63" s="420">
        <f t="shared" si="31"/>
        <v>0</v>
      </c>
      <c r="AQ63" s="420">
        <f t="shared" si="31"/>
        <v>0</v>
      </c>
      <c r="AR63" s="420">
        <f t="shared" si="31"/>
        <v>0</v>
      </c>
      <c r="AS63" s="420">
        <f t="shared" si="31"/>
        <v>0</v>
      </c>
      <c r="AT63" s="420">
        <f t="shared" si="31"/>
        <v>0</v>
      </c>
      <c r="AU63" s="420">
        <f t="shared" si="31"/>
        <v>0.02</v>
      </c>
      <c r="AV63" s="420">
        <f t="shared" si="31"/>
        <v>0</v>
      </c>
      <c r="AW63" s="420">
        <f t="shared" si="31"/>
        <v>0</v>
      </c>
      <c r="AX63" s="420">
        <f t="shared" si="31"/>
        <v>0</v>
      </c>
      <c r="AY63" s="420">
        <f t="shared" si="31"/>
        <v>0</v>
      </c>
      <c r="AZ63" s="420">
        <f t="shared" si="31"/>
        <v>0</v>
      </c>
      <c r="BA63" s="420">
        <f t="shared" si="31"/>
        <v>0</v>
      </c>
      <c r="BB63" s="420">
        <f t="shared" si="31"/>
        <v>0</v>
      </c>
      <c r="BC63" s="420">
        <f t="shared" si="31"/>
        <v>0</v>
      </c>
      <c r="BD63" s="420">
        <f t="shared" si="31"/>
        <v>0</v>
      </c>
      <c r="BE63" s="420">
        <f t="shared" si="31"/>
        <v>0</v>
      </c>
      <c r="BF63" s="420">
        <f t="shared" si="31"/>
        <v>0</v>
      </c>
      <c r="BG63" s="420">
        <f t="shared" si="31"/>
        <v>0</v>
      </c>
      <c r="BH63" s="420">
        <f>D63-BL63</f>
        <v>41.103099999999998</v>
      </c>
      <c r="BI63" s="420">
        <f t="shared" ref="BI63:BN63" si="32">BI64+BI65+BI66</f>
        <v>38.653099999999995</v>
      </c>
      <c r="BJ63" s="420">
        <f t="shared" si="32"/>
        <v>2.4500000000000002</v>
      </c>
      <c r="BK63" s="420">
        <f t="shared" si="32"/>
        <v>0</v>
      </c>
      <c r="BL63" s="420">
        <f>E63+V63</f>
        <v>1.8099999999999998</v>
      </c>
      <c r="BM63" s="420">
        <f t="shared" si="32"/>
        <v>-1.8099999999999998</v>
      </c>
      <c r="BN63" s="420">
        <f t="shared" si="32"/>
        <v>41.103099999999998</v>
      </c>
    </row>
    <row r="64" spans="1:68" ht="21.75" customHeight="1">
      <c r="A64" s="14" t="s">
        <v>220</v>
      </c>
      <c r="B64" s="14" t="s">
        <v>461</v>
      </c>
      <c r="C64" s="30" t="s">
        <v>209</v>
      </c>
      <c r="D64" s="185">
        <f>#REF!</f>
        <v>40.463099999999997</v>
      </c>
      <c r="E64" s="185">
        <f t="shared" si="4"/>
        <v>1.65</v>
      </c>
      <c r="F64" s="185">
        <f t="shared" si="21"/>
        <v>0</v>
      </c>
      <c r="G64" s="185">
        <f t="shared" si="8"/>
        <v>0</v>
      </c>
      <c r="H64" s="185">
        <f t="shared" si="12"/>
        <v>0</v>
      </c>
      <c r="I64" s="185"/>
      <c r="J64" s="185"/>
      <c r="K64" s="185"/>
      <c r="L64" s="185"/>
      <c r="M64" s="185"/>
      <c r="N64" s="185"/>
      <c r="O64" s="185">
        <f>SUM(P64:R64)</f>
        <v>0</v>
      </c>
      <c r="P64" s="185"/>
      <c r="Q64" s="185"/>
      <c r="R64" s="185"/>
      <c r="S64" s="185">
        <v>1.65</v>
      </c>
      <c r="T64" s="185"/>
      <c r="U64" s="185"/>
      <c r="V64" s="185">
        <f t="shared" si="13"/>
        <v>0.15999999999999998</v>
      </c>
      <c r="W64" s="185"/>
      <c r="X64" s="185"/>
      <c r="Y64" s="185"/>
      <c r="Z64" s="185"/>
      <c r="AA64" s="185"/>
      <c r="AB64" s="185"/>
      <c r="AC64" s="185"/>
      <c r="AD64" s="185"/>
      <c r="AE64" s="185">
        <f t="shared" si="27"/>
        <v>0.13999999999999999</v>
      </c>
      <c r="AF64" s="185"/>
      <c r="AG64" s="185"/>
      <c r="AH64" s="185"/>
      <c r="AI64" s="185"/>
      <c r="AJ64" s="185"/>
      <c r="AK64" s="185"/>
      <c r="AL64" s="185">
        <v>0.12</v>
      </c>
      <c r="AM64" s="185">
        <v>0.02</v>
      </c>
      <c r="AN64" s="185"/>
      <c r="AO64" s="185"/>
      <c r="AP64" s="185"/>
      <c r="AQ64" s="185"/>
      <c r="AR64" s="185"/>
      <c r="AS64" s="185"/>
      <c r="AT64" s="185"/>
      <c r="AU64" s="185">
        <v>0.02</v>
      </c>
      <c r="AV64" s="185"/>
      <c r="AW64" s="185"/>
      <c r="AX64" s="185"/>
      <c r="AY64" s="185"/>
      <c r="AZ64" s="185"/>
      <c r="BA64" s="185"/>
      <c r="BB64" s="185"/>
      <c r="BC64" s="185"/>
      <c r="BD64" s="185"/>
      <c r="BE64" s="185"/>
      <c r="BF64" s="185"/>
      <c r="BG64" s="185"/>
      <c r="BH64" s="185">
        <f>BI64+BJ64+BK64</f>
        <v>38.653099999999995</v>
      </c>
      <c r="BI64" s="185">
        <f>D64-BL64</f>
        <v>38.653099999999995</v>
      </c>
      <c r="BJ64" s="185"/>
      <c r="BK64" s="185"/>
      <c r="BL64" s="185">
        <f>E64+V64</f>
        <v>1.8099999999999998</v>
      </c>
      <c r="BM64" s="185">
        <f>BI67-BL64</f>
        <v>-1.8099999999999998</v>
      </c>
      <c r="BN64" s="185">
        <f>D64+BM64</f>
        <v>38.653099999999995</v>
      </c>
      <c r="BP64" s="123"/>
    </row>
    <row r="65" spans="1:68" ht="21.75" customHeight="1">
      <c r="A65" s="14" t="s">
        <v>221</v>
      </c>
      <c r="B65" s="14" t="s">
        <v>462</v>
      </c>
      <c r="C65" s="30" t="s">
        <v>210</v>
      </c>
      <c r="D65" s="185">
        <f>#REF!</f>
        <v>2.4500000000000002</v>
      </c>
      <c r="E65" s="185">
        <f t="shared" si="4"/>
        <v>0</v>
      </c>
      <c r="F65" s="185">
        <f t="shared" si="21"/>
        <v>0</v>
      </c>
      <c r="G65" s="185">
        <f t="shared" si="8"/>
        <v>0</v>
      </c>
      <c r="H65" s="185">
        <f t="shared" si="12"/>
        <v>0</v>
      </c>
      <c r="I65" s="185"/>
      <c r="J65" s="185"/>
      <c r="K65" s="185"/>
      <c r="L65" s="185"/>
      <c r="M65" s="185"/>
      <c r="N65" s="185"/>
      <c r="O65" s="185">
        <f>SUM(P65:R65)</f>
        <v>0</v>
      </c>
      <c r="P65" s="185"/>
      <c r="Q65" s="185"/>
      <c r="R65" s="185"/>
      <c r="S65" s="185"/>
      <c r="T65" s="185"/>
      <c r="U65" s="185"/>
      <c r="V65" s="185">
        <f t="shared" si="13"/>
        <v>0</v>
      </c>
      <c r="W65" s="185"/>
      <c r="X65" s="185"/>
      <c r="Y65" s="185"/>
      <c r="Z65" s="185"/>
      <c r="AA65" s="185"/>
      <c r="AB65" s="185"/>
      <c r="AC65" s="185"/>
      <c r="AD65" s="185"/>
      <c r="AE65" s="185">
        <f t="shared" si="27"/>
        <v>0</v>
      </c>
      <c r="AF65" s="185"/>
      <c r="AG65" s="185"/>
      <c r="AH65" s="185"/>
      <c r="AI65" s="185"/>
      <c r="AJ65" s="185"/>
      <c r="AK65" s="185"/>
      <c r="AL65" s="185"/>
      <c r="AM65" s="185"/>
      <c r="AN65" s="185"/>
      <c r="AO65" s="185"/>
      <c r="AP65" s="185"/>
      <c r="AQ65" s="185"/>
      <c r="AR65" s="185"/>
      <c r="AS65" s="185"/>
      <c r="AT65" s="185"/>
      <c r="AU65" s="185"/>
      <c r="AV65" s="185"/>
      <c r="AW65" s="185"/>
      <c r="AX65" s="185"/>
      <c r="AY65" s="185"/>
      <c r="AZ65" s="185"/>
      <c r="BA65" s="185"/>
      <c r="BB65" s="185"/>
      <c r="BC65" s="185"/>
      <c r="BD65" s="185"/>
      <c r="BE65" s="185"/>
      <c r="BF65" s="185"/>
      <c r="BG65" s="185"/>
      <c r="BH65" s="185">
        <f>BI65+BJ65+BK65</f>
        <v>2.4500000000000002</v>
      </c>
      <c r="BI65" s="185"/>
      <c r="BJ65" s="185">
        <f>D65-BL65</f>
        <v>2.4500000000000002</v>
      </c>
      <c r="BK65" s="185"/>
      <c r="BL65" s="185">
        <f>E65+V65</f>
        <v>0</v>
      </c>
      <c r="BM65" s="185">
        <f>BJ67-BL65</f>
        <v>0</v>
      </c>
      <c r="BN65" s="185">
        <f>D65+BM65</f>
        <v>2.4500000000000002</v>
      </c>
      <c r="BP65" s="123"/>
    </row>
    <row r="66" spans="1:68" ht="21.75" customHeight="1">
      <c r="A66" s="16" t="s">
        <v>222</v>
      </c>
      <c r="B66" s="16" t="s">
        <v>492</v>
      </c>
      <c r="C66" s="156" t="s">
        <v>211</v>
      </c>
      <c r="D66" s="455"/>
      <c r="E66" s="455">
        <f t="shared" si="4"/>
        <v>0</v>
      </c>
      <c r="F66" s="455">
        <f t="shared" si="21"/>
        <v>0</v>
      </c>
      <c r="G66" s="455">
        <f t="shared" si="8"/>
        <v>0</v>
      </c>
      <c r="H66" s="455">
        <f t="shared" si="12"/>
        <v>0</v>
      </c>
      <c r="I66" s="455"/>
      <c r="J66" s="455"/>
      <c r="K66" s="455"/>
      <c r="L66" s="455"/>
      <c r="M66" s="455"/>
      <c r="N66" s="455"/>
      <c r="O66" s="455"/>
      <c r="P66" s="455"/>
      <c r="Q66" s="455"/>
      <c r="R66" s="455"/>
      <c r="S66" s="455"/>
      <c r="T66" s="455"/>
      <c r="U66" s="455"/>
      <c r="V66" s="455">
        <f t="shared" si="13"/>
        <v>0</v>
      </c>
      <c r="W66" s="455"/>
      <c r="X66" s="455"/>
      <c r="Y66" s="455"/>
      <c r="Z66" s="736"/>
      <c r="AA66" s="736"/>
      <c r="AB66" s="736"/>
      <c r="AC66" s="736"/>
      <c r="AD66" s="736"/>
      <c r="AE66" s="736">
        <f t="shared" si="27"/>
        <v>0</v>
      </c>
      <c r="AF66" s="736"/>
      <c r="AG66" s="736"/>
      <c r="AH66" s="736"/>
      <c r="AI66" s="736"/>
      <c r="AJ66" s="736"/>
      <c r="AK66" s="736"/>
      <c r="AL66" s="736"/>
      <c r="AM66" s="736"/>
      <c r="AN66" s="736"/>
      <c r="AO66" s="736"/>
      <c r="AP66" s="736"/>
      <c r="AQ66" s="736"/>
      <c r="AR66" s="736"/>
      <c r="AS66" s="736"/>
      <c r="AT66" s="736"/>
      <c r="AU66" s="736"/>
      <c r="AV66" s="736"/>
      <c r="AW66" s="736"/>
      <c r="AX66" s="736"/>
      <c r="AY66" s="736"/>
      <c r="AZ66" s="736"/>
      <c r="BA66" s="736"/>
      <c r="BB66" s="736"/>
      <c r="BC66" s="736"/>
      <c r="BD66" s="736"/>
      <c r="BE66" s="736"/>
      <c r="BF66" s="736"/>
      <c r="BG66" s="736"/>
      <c r="BH66" s="736">
        <f>BI66+BJ66+BK66</f>
        <v>0</v>
      </c>
      <c r="BI66" s="736"/>
      <c r="BJ66" s="736"/>
      <c r="BK66" s="736">
        <f>D66-BL66</f>
        <v>0</v>
      </c>
      <c r="BL66" s="736">
        <f>E66+V66</f>
        <v>0</v>
      </c>
      <c r="BM66" s="736">
        <f>D66-BL66</f>
        <v>0</v>
      </c>
      <c r="BN66" s="736">
        <f>D66+BM66</f>
        <v>0</v>
      </c>
      <c r="BP66" s="123"/>
    </row>
    <row r="67" spans="1:68" s="113" customFormat="1" ht="24.75" customHeight="1">
      <c r="A67" s="17"/>
      <c r="B67" s="17" t="s">
        <v>190</v>
      </c>
      <c r="C67" s="17"/>
      <c r="D67" s="399"/>
      <c r="E67" s="399">
        <f>E25+E63</f>
        <v>3.75</v>
      </c>
      <c r="F67" s="399">
        <f>F18+F22+F23+F24+F25+F63</f>
        <v>0</v>
      </c>
      <c r="G67" s="399">
        <f>G17+G18+G22+G23+G24+G25+G63</f>
        <v>0</v>
      </c>
      <c r="H67" s="399">
        <f>H15+H16+H17+H18+H22+H23+H24+H25+H63</f>
        <v>0</v>
      </c>
      <c r="I67" s="399">
        <f>I13+I14+I15+I16+I17+I18+I22+I23+I24+I25+I63</f>
        <v>0</v>
      </c>
      <c r="J67" s="399">
        <f>J12+J14+J15+J16+J17+J18+J22+J23+J24+J25+J63</f>
        <v>0</v>
      </c>
      <c r="K67" s="399">
        <f>K12+K13+K15+K16+K17+K18+K22+K23+K24+K25+K63</f>
        <v>0</v>
      </c>
      <c r="L67" s="399">
        <f>L12+L13+L14+L16+L17+L18+L22+L23+L24+L25+L63</f>
        <v>0</v>
      </c>
      <c r="M67" s="399">
        <f>M12+M13+M14+M15+M17+M18+M22+M23+M24+M25+M63</f>
        <v>0</v>
      </c>
      <c r="N67" s="399">
        <f>N12+N13+N14+N15+N16+N18+N22+N23+N24+N25+N63</f>
        <v>0</v>
      </c>
      <c r="O67" s="399">
        <f>O9+O22+O23+O24+O25+O63</f>
        <v>0</v>
      </c>
      <c r="P67" s="399">
        <f>P10+P17+P20+P21+P22+P23+P24+P25+P63</f>
        <v>0</v>
      </c>
      <c r="Q67" s="399">
        <f>Q12+Q13+Q14+Q15+Q16+Q17+Q19+Q21+Q22+Q23+Q24+Q25+Q63</f>
        <v>0</v>
      </c>
      <c r="R67" s="399">
        <f>R12+R13+R14+R15+R16+R17+R19+R20+R22+R23+R24+R25+R63</f>
        <v>0</v>
      </c>
      <c r="S67" s="729">
        <f>S9+S18+S23+S24+S25+S63</f>
        <v>4.05</v>
      </c>
      <c r="T67" s="399">
        <f>T9+T18+T22+T24+T25+T63</f>
        <v>0</v>
      </c>
      <c r="U67" s="399">
        <f>U9+U18+U22+U23+U25+U63</f>
        <v>0</v>
      </c>
      <c r="V67" s="399">
        <f>V8+V63</f>
        <v>24.680000000000003</v>
      </c>
      <c r="W67" s="399">
        <f>W8+W27+W28+W29+W30+W31+W32+W33+W34+W46+W47+W48+W49+W50+W51+W52+W53+W54+W55+W56+W57+W58+W59+W60+W61+W62+W63</f>
        <v>0</v>
      </c>
      <c r="X67" s="399">
        <f>X8+X26+X28+X29+X30+X31+X32+X33+X34+X46+X47+X48+X49+X50+X51+X52+X53+X54+X55+X56+X57+X58+X59+X60+X61+X62+X63</f>
        <v>0</v>
      </c>
      <c r="Y67" s="399">
        <f>Y8+Y26+Y27+Y29+Y30+Y31+Y32+Y33+Y34+Y46+Y47+Y48+Y49+Y50+Y51+Y52+Y53+Y54+Y55+Y56+Y57+Y58+Y59+Y60+Y61+Y62+Y63</f>
        <v>0</v>
      </c>
      <c r="Z67" s="733">
        <f>Z8+Z26+Z27+Z28+Z30+Z31+Z32+Z33+Z34+Z46+Z47+Z48+Z49+Z50+Z51+Z52+Z53+Z54+Z55+Z56+Z57+Z58+Z59+Z60+Z61+Z62+Z63</f>
        <v>0</v>
      </c>
      <c r="AA67" s="733">
        <f>AA8+AA26+AA27+AA28+AA29+AA31+AA32+AA33+AA34+AA46+AA47+AA48+AA49+AA50+AA51+AA52+AA53+AA54+AA55+AA56+AA57+AA58+AA59+AA60+AA61+AA62+AA63</f>
        <v>0</v>
      </c>
      <c r="AB67" s="729">
        <f>AB8+AB26+AB27+AB28+AB29+AB30+AB32+AB33+AB34+AB46+AB47+AB48+AB49+AB50+AB51+AB52+AB53+AB54+AB55+AB56+AB57+AB58+AB59+AB60+AB61+AB62+AB63</f>
        <v>1.2500000000000002</v>
      </c>
      <c r="AC67" s="729">
        <f>AC8+AC26+AC27+AC28+AC29+AC30+AC31+AC33+AC34+AC46+AC47+AC48+AC49+AC50+AC51+AC52+AC53+AC54+AC55+AC56+AC57+AC58+AC59+AC60+AC61+AC62+AC63</f>
        <v>0</v>
      </c>
      <c r="AD67" s="733">
        <f>AD8+AD26+AD27+AD28+AD29+AD30+AD31+AD32+AD34+AD46+AD47+AD48+AD49+AD50+AD51+AD52+AD53+AD54+AD55+AD56+AD57+AD58+AD59+AD60+AD61+AD62+AD63</f>
        <v>0</v>
      </c>
      <c r="AE67" s="733">
        <f>AE8+AE26+AE27+AE28+AE29+AE30+AE31+AE32+AE33+AE46+AE47+AE48+AE49+AE50+AE51+AE52+AE53+AE54+AE55+AE56+AE57+AE58+AE59+AE60+AE61+AE62+AE63</f>
        <v>16.860000000000003</v>
      </c>
      <c r="AF67" s="729">
        <f>AF8+AF26+AF27+AF28+AF29+AF30+AF31+AF32+AF33+AF3+AF36+AF37+AF38+AF39+AF40+AF41+AF42+AF43+AF44+AF45+AF46+AF47+AF48+AF49+AF50+AF51+AF52+AF53+AF54+AF55+AF56+AF57+AF58+AF59+AF60+AF61+AF62+AF63</f>
        <v>0.58000000000000007</v>
      </c>
      <c r="AG67" s="733">
        <f>AG8+AG26+AG27+AG28+AG29+AG30+AG31+AG32+AG33+AG35+AG37+AG38+AG39+AG40+AG41+AG42+AG43+AG44+AG45+AG46+AG47+AG48+AG49+AG50+AG51+AG52+AG53+AG54+AG55+AG56+AG57+AG58+AG59+AG60+AG61+AG62+AG63</f>
        <v>0</v>
      </c>
      <c r="AH67" s="729">
        <f>AH8+AH26+AH27+AH28+AH29+AH30+AH31+AH32+AH33+AH35+AH36+AH38+AH39+AH40+AH41+AH42+AH43+AH44+AH45+AH46+AH47+AH48+AH49+AH50+AH51+AH52+AH53+AH54+AH55+AH56+AH57+AH58+AH59+AH60+AH61+AH62+AH63</f>
        <v>0.63000000000000012</v>
      </c>
      <c r="AI67" s="729">
        <f>AI8+AI26+AI27+AI28+AI29+AI30+AI31+AI32+AI33+AI35+AI36+AI37+AI39+AI40+AI41+AI42+AI43+AI44+AI45+AI46+AI47+AI48+AI49+AI50+AI51+AI52+AI53+AI54+AI55+AI56+AI57+AI58+AI59+AI60+AI61+AI62+AI63</f>
        <v>0.02</v>
      </c>
      <c r="AJ67" s="733">
        <f>AJ8+AJ26+AJ27+AJ28+AJ29+AJ30+AJ31+AJ32+AJ33+AJ35+AJ36+AJ37+AJ38+AJ40+AJ41+AJ42+AJ43+AJ44+AJ45+AJ46+AJ47+AJ48+AJ49+AJ50+AJ51+AJ52+AJ53+AJ54+AJ55+AJ56+AJ57+AJ58+AJ59+AJ60+AJ61+AJ62+AJ63</f>
        <v>0</v>
      </c>
      <c r="AK67" s="733">
        <f>AK8+AK26+AK27+AK28+AK29+AK30+AK31+AK32+AK33+AK35+AK36+AK37+AK38+AK39+AK41+AK42+AK43+AK44+AK45+AK46+AK47+AK48+AK49+AK50+AK51+AK52+AK53+AK54+AK55+AK56+AK57+AK58+AK59+AK60+AK61+AK62+AK63</f>
        <v>0</v>
      </c>
      <c r="AL67" s="729">
        <f>AL8+AL26+AL27+AL28+AL29+AL30+AL31+AL32+AL33+AL35+AL36+AL37+AL38+AL39+AL40+AL42+AL43+AL44+AL45+AL46+AL47+AL48+AL49+AL50+AL51+AL52+AL53+AL54+AL55+AL56+AL57+AL58+AL59+AL60+AL61+AL62+AL63</f>
        <v>14.099999999999998</v>
      </c>
      <c r="AM67" s="729">
        <f>AM8+AM26+AM27+AM28+AM29+AM30+AM31+AM32+AM33+AM35+AM36+AM37+AM38+AM39+AM40+AM41+AM43+AM44+AM45+AM46+AM47+AM48+AM49+AM50+AM51+AM52+AM53+AM54+AM55+AM56+AM57+AM58+AM59+AM60+AM61+AM62+AM63</f>
        <v>1.82</v>
      </c>
      <c r="AN67" s="733">
        <f>AN8+AN26+AN27+AN28+AN29+AN30+AN31+AN32+AN33+AN35+AN36+AN37+AN38+AN39+AN40+AN41+AN42+AN44+AN45+AN46+AN47+AN48+AN49+AN50+AN51+AN52+AN53+AN54+AN55+AN56+AN57+AN58+AN59+AN60+AN61+AN62+AN63</f>
        <v>0</v>
      </c>
      <c r="AO67" s="733">
        <f>AO8+AO26+AO27+AO28+AO29+AO30+AO31+AO32+AO33+AO35+AO36+AO37+AO38+AO39+AO40+AO41+AO42+AO43+AO45+AO46+AO47+AO48+AO49+AO50+AO51+AO52+AO53+AO54+AO55+AO56+AO57+AO58+AO59+AO60+AO61+AO62+AO63</f>
        <v>0</v>
      </c>
      <c r="AP67" s="733">
        <f>AP8+AP26+AP27+AP28+AP29+AP30+AP31+AP32+AP33+AP35+AP36+AP37+AP38+AP39+AP40+AP41+AP42+AP43+AP44+AP46+AP47+AP48+AP49+AP50+AP51+AP52+AP53+AP54+AP55+AP56+AP57+AP58+AP59+AP60+AP61+AP62+AP63</f>
        <v>0</v>
      </c>
      <c r="AQ67" s="733">
        <f>AQ8+AQ26+AQ27+AQ28+AQ29+AQ30+AQ31+AQ32+AQ33+AQ34+AQ47+AQ48+AQ49+AQ50+AQ51+AQ52+AQ53+AQ54+AQ55+AQ56+AQ57+AQ58+AQ59+AQ60+AQ61+AQ62+AQ63</f>
        <v>0</v>
      </c>
      <c r="AR67" s="733">
        <f>AR8+AR26+AR27+AR28+AR29+AR30+AR31+AR32+AR33+AR34+AR46+AR48+AR49+AR50+AR51+AR52+AR53+AR54+AR55+AR56+AR57+AR58+AR59+AR60+AR61+AR62+AR63</f>
        <v>0</v>
      </c>
      <c r="AS67" s="733">
        <f>AS8+AS26+AS27+AS28+AS29+AS30+AS31+AS32+AS33+AS34+AS46+AS47+AS49+AS50+AS51+AS52+AS53+AS54+AS55+AS56+AS57+AS58+AS59+AS60+AS61+AS62+AS63</f>
        <v>0</v>
      </c>
      <c r="AT67" s="733">
        <f>AT8+AT26+AT27+AT28+AT29+AT30+AT31+AT32+AT33+AT34+AT46+AT47+AT48+AT50+AT51+AT52+AT53+AT54+AT55+AT56+AT57+AT58+AT59+AT60+AT61+AT62+AT63</f>
        <v>0</v>
      </c>
      <c r="AU67" s="729">
        <f>AU8+AU26+AU27+AU28+AU29+AU30+AU31+AU32+AU33+AU34+AU46+AU47+AU48+AU49+AU51+AU52+AU53+AU54+AU55+AU56+AU57+AU58+AU59+AU60+AU61+AU62+AU63</f>
        <v>10.61</v>
      </c>
      <c r="AV67" s="733">
        <f>AV8+AV26+AV27+AV28+AV29+AV30+AV31+AV32+AV33+AV34+AV46+AV47+AV48+AV49+AV50+AV52+AV53+AV54+AV55+AV56+AV57+AV58+AV59+AV60+AV61+AV62+AV63</f>
        <v>0</v>
      </c>
      <c r="AW67" s="733">
        <f>AW8+AW26+AW27+AW28+AW29+AW30+AW31+AW32+AW33+AW34+AW46+AW47+AW48+AW49+AW50+AW51+AW53+AW54+AW55+AW56+AW57+AW58+AW59+AW60+AW61+AW62+AW63</f>
        <v>0</v>
      </c>
      <c r="AX67" s="733">
        <f>AX8+AX26+AX27+AX28+AX29+AX30+AX31+AX32+AX33+AX34+AX46+AX47+AX48+AX49+AX50+AX51+AX52+AX54+AX55+AX56+AX57+AX58+AX59+AX60+AX61+AX62+AX63</f>
        <v>0</v>
      </c>
      <c r="AY67" s="733">
        <f>AY8+AY26+AY27+AY28+AY29+AY30+AY31+AY32+AY33+AY34+AY46+AY47+AY48+AY49+AY50+AY51+AY52+AY53+AY55+AY56+AY57+AY58+AY59+AY60+AY61+AY62+AY63</f>
        <v>0</v>
      </c>
      <c r="AZ67" s="733">
        <f>AZ8+AZ26+AZ27+AZ28+AZ29+AZ30+AZ31+AZ32+AZ33+AZ34+AZ46+AZ47+AZ48+AZ49+AZ50+AZ51+AZ52+AZ53+AZ54+AZ56+AZ57+AZ58+AZ59+AZ60+AZ61+AZ62+AZ63</f>
        <v>0</v>
      </c>
      <c r="BA67" s="729">
        <f>BA8+BA26+BA27+BA28+BA29+BA30+BA31+BA32+BA33+BA34+BA46+BA47+BA48+BA49+BA50+BA51+BA52+BA53+BA54+BA55+BA57+BA58+BA59+BA60+BA61+BA62+BA63</f>
        <v>2.7199999999999998</v>
      </c>
      <c r="BB67" s="733">
        <f>BB8+BB26+BB27+BB28+BB29+BB30+BB31+BB32+BB33+BB34+BB46+BB47+BB48+BB49+BB50+BB51+BB52+BB53+BB54+BB55+BB56+BB58+BB59+BB60+BB61+BB62+BB63</f>
        <v>0</v>
      </c>
      <c r="BC67" s="729">
        <f>BC8+BC26+BC27+BC28+BC29+BC30+BC31+BC32+BC33+BC34+BC46+BC47+BC48+BC49+BC50+BC51+BC52+BC53+BC54+BC55+BC56+BC57+BC59+BC60+BC61+BC62+BC63</f>
        <v>0.8</v>
      </c>
      <c r="BD67" s="733">
        <f>BD8+BD26+BD27+BD28+BD29+BD30+BD31+BD32+BD33+BD34+BD46+BD47+BD48+BD49+BD50+BD51+BD52+BD53+BD54+BD55+BD56+BD57+BD58+BD60+BD61+BD62+BD63</f>
        <v>0</v>
      </c>
      <c r="BE67" s="733">
        <f>BE8+BE26+BE27+BE28+BE29+BE30+BE31+BE32+BE33+BE34+BE46+BE47+BE48+BE49+BE50+BE51+BE52+BE53+BE54+BE55+BE56+BE57+BE58+BE59+BE61+BE62+BE63</f>
        <v>0</v>
      </c>
      <c r="BF67" s="729">
        <f>BF8+BF26+BF27+BF28+BF29+BF30+BF31+BF32+BF33+BF34+BF46+BF47+BF48+BF49+BF50+BF51+BF52+BF53+BF54+BF55+BF56+BF57+BF58+BF59+BF60+BF62+BF63</f>
        <v>0.02</v>
      </c>
      <c r="BG67" s="733">
        <f>BG8+BG26+BG27+BG28+BG29+BG30+BG31+BG32+BG33+BG34+BG46+BG47+BG48+BG49+BG50+BG51+BG52+BG53+BG54+BG55+BG56+BG57+BG58+BG59+BG60+BG61+BG63</f>
        <v>0</v>
      </c>
      <c r="BH67" s="733">
        <f>BH8+BH25</f>
        <v>0</v>
      </c>
      <c r="BI67" s="733">
        <f>BI8+BI25+BI65+BI66</f>
        <v>0</v>
      </c>
      <c r="BJ67" s="733">
        <f>BJ8+BJ25+BJ64+BJ66</f>
        <v>0</v>
      </c>
      <c r="BK67" s="733">
        <f>BK8+BK25+BK64+BK65</f>
        <v>0</v>
      </c>
      <c r="BL67" s="733"/>
      <c r="BM67" s="733"/>
      <c r="BN67" s="733"/>
    </row>
    <row r="68" spans="1:68" s="103" customFormat="1" ht="31.5" customHeight="1">
      <c r="A68" s="18"/>
      <c r="B68" s="157" t="s">
        <v>695</v>
      </c>
      <c r="C68" s="157"/>
      <c r="D68" s="456">
        <f>BN7</f>
        <v>1129.7995000000001</v>
      </c>
      <c r="E68" s="456">
        <f>BN8</f>
        <v>681.01200000000006</v>
      </c>
      <c r="F68" s="456">
        <f>BN9</f>
        <v>371.31200000000001</v>
      </c>
      <c r="G68" s="456">
        <f>BN10</f>
        <v>261.94200000000001</v>
      </c>
      <c r="H68" s="456">
        <f>BN11</f>
        <v>234.18289999999999</v>
      </c>
      <c r="I68" s="456">
        <f>BN12</f>
        <v>90.982900000000001</v>
      </c>
      <c r="J68" s="456">
        <f>BN13</f>
        <v>143.19999999999999</v>
      </c>
      <c r="K68" s="456">
        <f>BN14</f>
        <v>0</v>
      </c>
      <c r="L68" s="456">
        <f>BN15</f>
        <v>0</v>
      </c>
      <c r="M68" s="456">
        <f>BN16</f>
        <v>27.7591</v>
      </c>
      <c r="N68" s="456">
        <f>BN17</f>
        <v>109.37</v>
      </c>
      <c r="O68" s="456">
        <f>BN18</f>
        <v>128.85</v>
      </c>
      <c r="P68" s="456">
        <f>BN19</f>
        <v>13.91</v>
      </c>
      <c r="Q68" s="456">
        <f>BN20</f>
        <v>0</v>
      </c>
      <c r="R68" s="456">
        <f>BN21</f>
        <v>114.94</v>
      </c>
      <c r="S68" s="456">
        <f>BN22</f>
        <v>180.78</v>
      </c>
      <c r="T68" s="456">
        <f>BN23</f>
        <v>0</v>
      </c>
      <c r="U68" s="456">
        <f>BN24</f>
        <v>7.0000000000000007E-2</v>
      </c>
      <c r="V68" s="456">
        <f>BN25</f>
        <v>407.68440000000004</v>
      </c>
      <c r="W68" s="456">
        <f>BN26</f>
        <v>14.43</v>
      </c>
      <c r="X68" s="456">
        <f>BN27</f>
        <v>0.16</v>
      </c>
      <c r="Y68" s="456">
        <f>BN28</f>
        <v>0</v>
      </c>
      <c r="Z68" s="456">
        <f>BN29</f>
        <v>0</v>
      </c>
      <c r="AA68" s="456">
        <f>BN30</f>
        <v>0</v>
      </c>
      <c r="AB68" s="456">
        <f>BN31</f>
        <v>17.664200000000001</v>
      </c>
      <c r="AC68" s="456">
        <f>BN32</f>
        <v>60.28</v>
      </c>
      <c r="AD68" s="456">
        <f>BN33</f>
        <v>0</v>
      </c>
      <c r="AE68" s="456">
        <f>BN34</f>
        <v>137.05279999999999</v>
      </c>
      <c r="AF68" s="456">
        <f>BN35</f>
        <v>0.58000000000000007</v>
      </c>
      <c r="AG68" s="456">
        <f>BN36</f>
        <v>5.7237</v>
      </c>
      <c r="AH68" s="456">
        <f>BN37</f>
        <v>7.88</v>
      </c>
      <c r="AI68" s="456">
        <f>BN38</f>
        <v>2.9395000000000002</v>
      </c>
      <c r="AJ68" s="456">
        <f>BN39</f>
        <v>0</v>
      </c>
      <c r="AK68" s="456">
        <f>BN40</f>
        <v>0</v>
      </c>
      <c r="AL68" s="456">
        <f>BN41</f>
        <v>103.5535</v>
      </c>
      <c r="AM68" s="456">
        <f>BN42</f>
        <v>14.536100000000001</v>
      </c>
      <c r="AN68" s="456">
        <f>BN43</f>
        <v>1.4</v>
      </c>
      <c r="AO68" s="456">
        <f>BN44</f>
        <v>0.01</v>
      </c>
      <c r="AP68" s="456">
        <f>BN45</f>
        <v>0.43</v>
      </c>
      <c r="AQ68" s="456">
        <f>BN46</f>
        <v>0</v>
      </c>
      <c r="AR68" s="456">
        <f>BN47</f>
        <v>0</v>
      </c>
      <c r="AS68" s="456">
        <f>BN48</f>
        <v>0</v>
      </c>
      <c r="AT68" s="456">
        <f>BN49</f>
        <v>0</v>
      </c>
      <c r="AU68" s="456">
        <f>BN50</f>
        <v>60.9465</v>
      </c>
      <c r="AV68" s="456">
        <f>BN51</f>
        <v>0.51</v>
      </c>
      <c r="AW68" s="456">
        <f>BN52</f>
        <v>0.67</v>
      </c>
      <c r="AX68" s="456">
        <f>BN53</f>
        <v>0</v>
      </c>
      <c r="AY68" s="456">
        <f>BN54</f>
        <v>0.54</v>
      </c>
      <c r="AZ68" s="456">
        <f>BN55</f>
        <v>7.26</v>
      </c>
      <c r="BA68" s="456">
        <f>BN56</f>
        <v>3.7408999999999999</v>
      </c>
      <c r="BB68" s="456">
        <f>BN57</f>
        <v>1.0900000000000001</v>
      </c>
      <c r="BC68" s="456">
        <f>BN58</f>
        <v>2.8200000000000003</v>
      </c>
      <c r="BD68" s="456">
        <f>BN59</f>
        <v>0.16</v>
      </c>
      <c r="BE68" s="456">
        <f>BN60</f>
        <v>88.62</v>
      </c>
      <c r="BF68" s="456">
        <f>BN61</f>
        <v>11.740000000000002</v>
      </c>
      <c r="BG68" s="456">
        <f>BN62</f>
        <v>0</v>
      </c>
      <c r="BH68" s="456">
        <f>BN63</f>
        <v>41.103099999999998</v>
      </c>
      <c r="BI68" s="456">
        <f>BN64</f>
        <v>38.653099999999995</v>
      </c>
      <c r="BJ68" s="456">
        <f>BN65</f>
        <v>2.4500000000000002</v>
      </c>
      <c r="BK68" s="456">
        <f>BN66</f>
        <v>0</v>
      </c>
      <c r="BL68" s="456"/>
      <c r="BM68" s="456"/>
      <c r="BN68" s="456"/>
    </row>
    <row r="69" spans="1:68" ht="24.95" customHeight="1">
      <c r="Y69">
        <f>Y68+'Hai Son'!Y70+'Quang Nghia'!Y68+'Hai Dong'!Y68</f>
        <v>0.95</v>
      </c>
    </row>
    <row r="70" spans="1:68" ht="18" customHeight="1">
      <c r="A70" s="1300" t="s">
        <v>10</v>
      </c>
      <c r="B70" s="1300"/>
      <c r="Y70">
        <v>714</v>
      </c>
    </row>
    <row r="71" spans="1:68" ht="28.5" customHeight="1">
      <c r="A71" s="1300" t="s">
        <v>321</v>
      </c>
      <c r="B71" s="1300"/>
      <c r="C71" s="1300"/>
      <c r="D71" s="1300"/>
      <c r="E71" s="1300"/>
      <c r="F71" s="1300"/>
      <c r="G71" s="1300"/>
      <c r="H71" s="1300"/>
      <c r="I71" s="1300"/>
      <c r="J71" s="1300"/>
      <c r="K71" s="1300"/>
      <c r="L71" s="1300"/>
      <c r="M71" s="1300"/>
      <c r="N71" s="1300"/>
      <c r="O71" s="1300"/>
      <c r="P71" s="1300"/>
      <c r="Q71" s="1300"/>
      <c r="R71" s="1300"/>
      <c r="S71" s="1300"/>
      <c r="T71" s="1300"/>
      <c r="U71" s="1300"/>
      <c r="V71" s="1300"/>
      <c r="W71" s="1300"/>
      <c r="X71" s="1300"/>
      <c r="Y71" s="1300"/>
      <c r="Z71" s="1300"/>
      <c r="AA71" s="1300"/>
      <c r="AB71" s="1300"/>
      <c r="AC71" s="1300"/>
      <c r="AD71" s="1300"/>
      <c r="AE71" s="1300"/>
      <c r="AF71" s="1300"/>
      <c r="AG71" s="1300"/>
      <c r="AH71" s="1300"/>
      <c r="AI71" s="1300"/>
      <c r="AJ71" s="1300"/>
      <c r="AK71" s="1300"/>
      <c r="AL71" s="1300"/>
      <c r="AM71" s="1300"/>
      <c r="AN71" s="1300"/>
      <c r="AO71" s="1300"/>
      <c r="AP71" s="1300"/>
      <c r="AQ71" s="1300"/>
      <c r="AR71" s="1300"/>
      <c r="AS71" s="1300"/>
    </row>
    <row r="72" spans="1:68" ht="24.75" customHeight="1">
      <c r="A72" s="1300" t="s">
        <v>322</v>
      </c>
      <c r="B72" s="1300"/>
      <c r="C72" s="1300"/>
      <c r="D72" s="1300"/>
      <c r="E72" s="1300"/>
      <c r="F72" s="1300"/>
      <c r="G72" s="1300"/>
      <c r="H72" s="1300"/>
      <c r="I72" s="1300"/>
      <c r="J72" s="1300"/>
      <c r="K72" s="1300"/>
      <c r="L72" s="1300"/>
      <c r="M72" s="1300"/>
      <c r="N72" s="1300"/>
      <c r="O72" s="1300"/>
      <c r="P72" s="1300"/>
      <c r="Q72" s="1300"/>
      <c r="R72" s="1300"/>
      <c r="S72" s="1300"/>
      <c r="T72" s="1300"/>
      <c r="U72" s="1300"/>
      <c r="V72" s="1300"/>
      <c r="W72" s="1300"/>
      <c r="X72" s="1300"/>
      <c r="Y72" s="1300"/>
      <c r="Z72" s="1300"/>
      <c r="AA72" s="1300"/>
      <c r="AB72" s="1300"/>
      <c r="AC72" s="1300"/>
      <c r="AD72" s="1300"/>
      <c r="AE72" s="1300"/>
      <c r="AF72" s="1300"/>
      <c r="AG72" s="1300"/>
      <c r="AH72" s="1300"/>
      <c r="AI72" s="1300"/>
      <c r="AJ72" s="1300"/>
      <c r="AK72" s="1300"/>
      <c r="AL72" s="1300"/>
      <c r="AM72" s="1300"/>
      <c r="AN72" s="1300"/>
      <c r="AO72" s="1300"/>
      <c r="AP72" s="1300"/>
      <c r="AQ72" s="1300"/>
      <c r="AR72" s="1300"/>
      <c r="AS72" s="1300"/>
    </row>
    <row r="73" spans="1:68" ht="21.75" customHeight="1">
      <c r="AR73" s="1300" t="s">
        <v>138</v>
      </c>
      <c r="AS73" s="1300"/>
    </row>
    <row r="74" spans="1:68" ht="31.5" customHeight="1">
      <c r="A74" s="1300" t="s">
        <v>0</v>
      </c>
      <c r="B74" s="1300" t="s">
        <v>12</v>
      </c>
      <c r="C74" s="1300" t="s">
        <v>13</v>
      </c>
      <c r="D74" s="1300" t="s">
        <v>324</v>
      </c>
      <c r="E74" s="1300" t="s">
        <v>326</v>
      </c>
      <c r="F74" s="1300"/>
      <c r="G74" s="1300"/>
      <c r="H74" s="1300"/>
      <c r="I74" s="1300"/>
      <c r="J74" s="1300"/>
      <c r="K74" s="1300"/>
      <c r="L74" s="1300"/>
      <c r="M74" s="1300"/>
      <c r="N74" s="1300"/>
      <c r="O74" s="1300"/>
      <c r="P74" s="1300"/>
      <c r="Q74" s="1300"/>
      <c r="R74" s="1300"/>
      <c r="S74" s="1300"/>
      <c r="T74" s="1300"/>
      <c r="U74" s="1300"/>
      <c r="V74" s="1300"/>
      <c r="W74" s="1300"/>
      <c r="X74" s="1300"/>
      <c r="Y74" s="1300"/>
      <c r="Z74" s="1300"/>
      <c r="AA74" s="1300"/>
      <c r="AB74" s="1300"/>
      <c r="AC74" s="1300"/>
      <c r="AD74" s="1300"/>
      <c r="AE74" s="1300"/>
      <c r="AF74" s="1300"/>
      <c r="AG74" s="1300"/>
      <c r="AH74" s="1300"/>
      <c r="AI74" s="1300"/>
      <c r="AJ74" s="1300"/>
      <c r="AK74" s="1300"/>
      <c r="AL74" s="1300"/>
      <c r="AM74" s="1300"/>
      <c r="AN74" s="1300"/>
      <c r="AO74" s="1300"/>
      <c r="AP74" s="1300"/>
      <c r="AQ74" s="1300"/>
      <c r="AR74" s="1300" t="s">
        <v>191</v>
      </c>
      <c r="AS74" s="1300" t="s">
        <v>323</v>
      </c>
    </row>
    <row r="75" spans="1:68" ht="30" customHeight="1">
      <c r="A75" s="1300"/>
      <c r="B75" s="1300"/>
      <c r="C75" s="1300"/>
      <c r="D75" s="1300"/>
      <c r="E75" t="s">
        <v>15</v>
      </c>
      <c r="F75" t="s">
        <v>18</v>
      </c>
      <c r="G75" t="s">
        <v>20</v>
      </c>
      <c r="H75" t="s">
        <v>23</v>
      </c>
      <c r="I75" t="s">
        <v>26</v>
      </c>
      <c r="J75" t="s">
        <v>29</v>
      </c>
      <c r="K75" t="s">
        <v>32</v>
      </c>
      <c r="L75" t="s">
        <v>35</v>
      </c>
      <c r="M75" t="s">
        <v>38</v>
      </c>
      <c r="N75" t="s">
        <v>41</v>
      </c>
      <c r="O75" t="s">
        <v>44</v>
      </c>
      <c r="P75" t="s">
        <v>46</v>
      </c>
      <c r="Q75" t="s">
        <v>49</v>
      </c>
      <c r="R75" t="s">
        <v>52</v>
      </c>
      <c r="S75" t="s">
        <v>55</v>
      </c>
      <c r="T75" t="s">
        <v>58</v>
      </c>
      <c r="U75" t="s">
        <v>61</v>
      </c>
      <c r="V75" t="s">
        <v>64</v>
      </c>
      <c r="W75" t="s">
        <v>67</v>
      </c>
      <c r="X75" t="s">
        <v>70</v>
      </c>
      <c r="Y75" t="s">
        <v>72</v>
      </c>
      <c r="Z75" t="s">
        <v>75</v>
      </c>
      <c r="AA75" t="s">
        <v>78</v>
      </c>
      <c r="AB75" t="s">
        <v>81</v>
      </c>
      <c r="AC75" t="s">
        <v>84</v>
      </c>
      <c r="AD75" t="s">
        <v>87</v>
      </c>
      <c r="AE75" t="s">
        <v>90</v>
      </c>
      <c r="AF75" t="s">
        <v>93</v>
      </c>
      <c r="AG75" t="s">
        <v>96</v>
      </c>
      <c r="AH75" t="s">
        <v>99</v>
      </c>
      <c r="AI75" t="s">
        <v>101</v>
      </c>
      <c r="AJ75" t="s">
        <v>104</v>
      </c>
      <c r="AK75" t="s">
        <v>107</v>
      </c>
      <c r="AL75" t="s">
        <v>110</v>
      </c>
      <c r="AM75" t="s">
        <v>113</v>
      </c>
      <c r="AN75" t="s">
        <v>116</v>
      </c>
      <c r="AO75" t="s">
        <v>119</v>
      </c>
      <c r="AP75" t="s">
        <v>122</v>
      </c>
      <c r="AQ75" t="s">
        <v>124</v>
      </c>
      <c r="AR75" s="1300"/>
      <c r="AS75" s="1300"/>
    </row>
    <row r="76" spans="1:68" ht="27.75" customHeight="1">
      <c r="B76" t="s">
        <v>189</v>
      </c>
      <c r="D76">
        <f>D77+D88+D115</f>
        <v>1129.7995000000001</v>
      </c>
      <c r="E76">
        <f t="shared" ref="E76:AS76" si="33">E77+E88+E115</f>
        <v>681.01200000000006</v>
      </c>
      <c r="F76">
        <f t="shared" si="33"/>
        <v>234.18289999999999</v>
      </c>
      <c r="G76">
        <f t="shared" si="33"/>
        <v>0</v>
      </c>
      <c r="H76">
        <f t="shared" si="33"/>
        <v>27.7591</v>
      </c>
      <c r="I76">
        <f t="shared" si="33"/>
        <v>109.37</v>
      </c>
      <c r="J76">
        <f>J77+J88+J115</f>
        <v>13.91</v>
      </c>
      <c r="K76">
        <f t="shared" si="33"/>
        <v>-0.89999999999999991</v>
      </c>
      <c r="L76">
        <f t="shared" si="33"/>
        <v>115.84</v>
      </c>
      <c r="M76">
        <f t="shared" si="33"/>
        <v>180.78</v>
      </c>
      <c r="N76">
        <f t="shared" si="33"/>
        <v>0</v>
      </c>
      <c r="O76">
        <f t="shared" si="33"/>
        <v>7.0000000000000007E-2</v>
      </c>
      <c r="P76">
        <f t="shared" si="33"/>
        <v>407.68439999999998</v>
      </c>
      <c r="Q76">
        <f t="shared" si="33"/>
        <v>14.43</v>
      </c>
      <c r="R76">
        <f t="shared" si="33"/>
        <v>0.16</v>
      </c>
      <c r="S76">
        <f t="shared" si="33"/>
        <v>0</v>
      </c>
      <c r="T76">
        <f t="shared" si="33"/>
        <v>0</v>
      </c>
      <c r="U76">
        <f t="shared" si="33"/>
        <v>0</v>
      </c>
      <c r="V76">
        <f t="shared" si="33"/>
        <v>17.664200000000001</v>
      </c>
      <c r="W76">
        <f t="shared" si="33"/>
        <v>60.28</v>
      </c>
      <c r="X76">
        <f t="shared" si="33"/>
        <v>0</v>
      </c>
      <c r="Y76">
        <f t="shared" si="33"/>
        <v>137.05280000000002</v>
      </c>
      <c r="Z76">
        <f t="shared" si="33"/>
        <v>0</v>
      </c>
      <c r="AA76">
        <f t="shared" si="33"/>
        <v>0</v>
      </c>
      <c r="AB76">
        <f t="shared" si="33"/>
        <v>0</v>
      </c>
      <c r="AC76">
        <f t="shared" si="33"/>
        <v>0</v>
      </c>
      <c r="AD76">
        <f t="shared" si="33"/>
        <v>60.9465</v>
      </c>
      <c r="AE76">
        <f t="shared" si="33"/>
        <v>0.51</v>
      </c>
      <c r="AF76">
        <f t="shared" si="33"/>
        <v>0.67</v>
      </c>
      <c r="AG76">
        <f t="shared" si="33"/>
        <v>0</v>
      </c>
      <c r="AH76">
        <f t="shared" si="33"/>
        <v>0.54</v>
      </c>
      <c r="AI76">
        <f t="shared" si="33"/>
        <v>7.26</v>
      </c>
      <c r="AJ76">
        <f t="shared" si="33"/>
        <v>3.7408999999999994</v>
      </c>
      <c r="AK76">
        <f t="shared" si="33"/>
        <v>1.0900000000000001</v>
      </c>
      <c r="AL76">
        <f t="shared" si="33"/>
        <v>2.8200000000000003</v>
      </c>
      <c r="AM76">
        <f t="shared" si="33"/>
        <v>0.16</v>
      </c>
      <c r="AN76">
        <f t="shared" si="33"/>
        <v>88.62</v>
      </c>
      <c r="AO76">
        <f t="shared" si="33"/>
        <v>11.74</v>
      </c>
      <c r="AP76">
        <f t="shared" si="33"/>
        <v>0</v>
      </c>
      <c r="AQ76">
        <f t="shared" si="33"/>
        <v>1.8099999999999998</v>
      </c>
      <c r="AS76">
        <f t="shared" si="33"/>
        <v>1129.7995000000003</v>
      </c>
    </row>
    <row r="77" spans="1:68" ht="20.25" customHeight="1">
      <c r="A77">
        <v>1</v>
      </c>
      <c r="B77" t="s">
        <v>14</v>
      </c>
      <c r="C77" t="s">
        <v>15</v>
      </c>
      <c r="D77">
        <f>D78+D80+D81+D82+D83+D84+D85+D86+D87</f>
        <v>701.78200000000004</v>
      </c>
      <c r="E77">
        <f t="shared" ref="E77:AS77" si="34">E78+E80+E81+E82+E83+E84+E85+E86+E87</f>
        <v>677.26200000000006</v>
      </c>
      <c r="F77">
        <f t="shared" si="34"/>
        <v>234.18289999999999</v>
      </c>
      <c r="G77">
        <f t="shared" si="34"/>
        <v>0</v>
      </c>
      <c r="H77">
        <f t="shared" si="34"/>
        <v>27.7591</v>
      </c>
      <c r="I77">
        <f t="shared" si="34"/>
        <v>109.37</v>
      </c>
      <c r="J77">
        <f t="shared" si="34"/>
        <v>13.91</v>
      </c>
      <c r="K77">
        <f t="shared" si="34"/>
        <v>-0.89999999999999991</v>
      </c>
      <c r="L77">
        <f t="shared" si="34"/>
        <v>115.84</v>
      </c>
      <c r="M77">
        <f t="shared" si="34"/>
        <v>177.03</v>
      </c>
      <c r="N77">
        <f t="shared" si="34"/>
        <v>0</v>
      </c>
      <c r="O77">
        <f t="shared" si="34"/>
        <v>7.0000000000000007E-2</v>
      </c>
      <c r="P77">
        <f>P78+P80+P81+P82+P83+P84+P85+P86+P87</f>
        <v>24.520000000000003</v>
      </c>
      <c r="Q77">
        <f t="shared" si="34"/>
        <v>0</v>
      </c>
      <c r="R77">
        <f t="shared" si="34"/>
        <v>0</v>
      </c>
      <c r="S77">
        <f t="shared" si="34"/>
        <v>0</v>
      </c>
      <c r="T77">
        <f t="shared" si="34"/>
        <v>0</v>
      </c>
      <c r="U77">
        <f t="shared" si="34"/>
        <v>0</v>
      </c>
      <c r="V77">
        <f t="shared" si="34"/>
        <v>1.1400000000000001</v>
      </c>
      <c r="W77">
        <f t="shared" si="34"/>
        <v>0</v>
      </c>
      <c r="X77">
        <f t="shared" si="34"/>
        <v>0</v>
      </c>
      <c r="Y77">
        <f t="shared" si="34"/>
        <v>12.740000000000002</v>
      </c>
      <c r="Z77">
        <f t="shared" si="34"/>
        <v>0</v>
      </c>
      <c r="AA77">
        <f t="shared" si="34"/>
        <v>0</v>
      </c>
      <c r="AB77">
        <f t="shared" si="34"/>
        <v>0</v>
      </c>
      <c r="AC77">
        <f t="shared" si="34"/>
        <v>0</v>
      </c>
      <c r="AD77">
        <f t="shared" si="34"/>
        <v>9.74</v>
      </c>
      <c r="AE77">
        <f t="shared" si="34"/>
        <v>0</v>
      </c>
      <c r="AF77">
        <f t="shared" si="34"/>
        <v>0</v>
      </c>
      <c r="AG77">
        <f t="shared" si="34"/>
        <v>0</v>
      </c>
      <c r="AH77">
        <f t="shared" si="34"/>
        <v>0</v>
      </c>
      <c r="AI77">
        <f t="shared" si="34"/>
        <v>0</v>
      </c>
      <c r="AJ77">
        <f t="shared" si="34"/>
        <v>0.19</v>
      </c>
      <c r="AK77">
        <f t="shared" si="34"/>
        <v>0</v>
      </c>
      <c r="AL77">
        <f t="shared" si="34"/>
        <v>0.70000000000000007</v>
      </c>
      <c r="AM77">
        <f t="shared" si="34"/>
        <v>0</v>
      </c>
      <c r="AN77">
        <f t="shared" si="34"/>
        <v>0</v>
      </c>
      <c r="AO77">
        <f t="shared" si="34"/>
        <v>0.01</v>
      </c>
      <c r="AP77">
        <f t="shared" si="34"/>
        <v>0</v>
      </c>
      <c r="AQ77">
        <f t="shared" si="34"/>
        <v>0</v>
      </c>
      <c r="AR77">
        <f>P77</f>
        <v>24.520000000000003</v>
      </c>
      <c r="AS77">
        <f t="shared" si="34"/>
        <v>681.01200000000006</v>
      </c>
    </row>
    <row r="78" spans="1:68" ht="20.25" customHeight="1">
      <c r="A78" t="s">
        <v>16</v>
      </c>
      <c r="B78" t="s">
        <v>17</v>
      </c>
      <c r="C78" t="s">
        <v>18</v>
      </c>
      <c r="D78">
        <f>D11</f>
        <v>252.77289999999999</v>
      </c>
      <c r="E78">
        <f>F78+H78+I78+J78+K78+L78+M78+N78+O78</f>
        <v>234.18289999999999</v>
      </c>
      <c r="F78">
        <f>D78-AR78</f>
        <v>234.18289999999999</v>
      </c>
      <c r="G78">
        <f>I13</f>
        <v>0</v>
      </c>
      <c r="H78">
        <f>M11</f>
        <v>0</v>
      </c>
      <c r="I78">
        <f>N11</f>
        <v>0</v>
      </c>
      <c r="J78">
        <f t="shared" ref="J78:O79" si="35">P11</f>
        <v>0</v>
      </c>
      <c r="K78">
        <f t="shared" si="35"/>
        <v>0</v>
      </c>
      <c r="L78">
        <f t="shared" si="35"/>
        <v>0</v>
      </c>
      <c r="M78">
        <f t="shared" si="35"/>
        <v>0</v>
      </c>
      <c r="N78">
        <f t="shared" si="35"/>
        <v>0</v>
      </c>
      <c r="O78">
        <f t="shared" si="35"/>
        <v>0</v>
      </c>
      <c r="P78">
        <f>SUM(Q78:AP78)</f>
        <v>18.59</v>
      </c>
      <c r="Q78">
        <f t="shared" ref="Q78:Y79" si="36">W11</f>
        <v>0</v>
      </c>
      <c r="R78">
        <f t="shared" si="36"/>
        <v>0</v>
      </c>
      <c r="S78">
        <f t="shared" si="36"/>
        <v>0</v>
      </c>
      <c r="T78">
        <f t="shared" si="36"/>
        <v>0</v>
      </c>
      <c r="U78">
        <f t="shared" si="36"/>
        <v>0</v>
      </c>
      <c r="V78">
        <f t="shared" si="36"/>
        <v>0.77</v>
      </c>
      <c r="W78">
        <f t="shared" si="36"/>
        <v>0</v>
      </c>
      <c r="X78">
        <f t="shared" si="36"/>
        <v>0</v>
      </c>
      <c r="Y78">
        <f t="shared" si="36"/>
        <v>9.56</v>
      </c>
      <c r="Z78">
        <f>AQ11</f>
        <v>0</v>
      </c>
      <c r="AA78">
        <f t="shared" ref="AA78:AQ79" si="37">AR11</f>
        <v>0</v>
      </c>
      <c r="AB78">
        <f t="shared" si="37"/>
        <v>0</v>
      </c>
      <c r="AC78">
        <f t="shared" si="37"/>
        <v>0</v>
      </c>
      <c r="AD78">
        <f t="shared" si="37"/>
        <v>7.68</v>
      </c>
      <c r="AE78">
        <f t="shared" si="37"/>
        <v>0</v>
      </c>
      <c r="AF78">
        <f t="shared" si="37"/>
        <v>0</v>
      </c>
      <c r="AG78">
        <f t="shared" si="37"/>
        <v>0</v>
      </c>
      <c r="AH78">
        <f t="shared" si="37"/>
        <v>0</v>
      </c>
      <c r="AI78">
        <f t="shared" si="37"/>
        <v>0</v>
      </c>
      <c r="AJ78">
        <f t="shared" si="37"/>
        <v>0</v>
      </c>
      <c r="AK78">
        <f t="shared" si="37"/>
        <v>0</v>
      </c>
      <c r="AL78">
        <f t="shared" si="37"/>
        <v>0.57000000000000006</v>
      </c>
      <c r="AM78">
        <f t="shared" si="37"/>
        <v>0</v>
      </c>
      <c r="AN78">
        <f t="shared" si="37"/>
        <v>0</v>
      </c>
      <c r="AO78">
        <f t="shared" si="37"/>
        <v>0.01</v>
      </c>
      <c r="AP78">
        <f t="shared" si="37"/>
        <v>0</v>
      </c>
      <c r="AQ78">
        <f t="shared" si="37"/>
        <v>0</v>
      </c>
      <c r="AR78">
        <f>H78+I78+J78+K78+L78+M78+N78+O78+P78+AQ78</f>
        <v>18.59</v>
      </c>
      <c r="AS78">
        <f>D78+F116-AR78</f>
        <v>234.18289999999999</v>
      </c>
    </row>
    <row r="79" spans="1:68" ht="20.25" customHeight="1">
      <c r="B79" t="s">
        <v>19</v>
      </c>
      <c r="C79" t="s">
        <v>20</v>
      </c>
      <c r="D79">
        <f>D12</f>
        <v>102.16290000000001</v>
      </c>
      <c r="E79">
        <f t="shared" ref="E79:E114" si="38">F79+H79+I79+J79+K79+L79+M79+N79+O79</f>
        <v>0</v>
      </c>
      <c r="G79">
        <f>D79-AR79</f>
        <v>90.982900000000001</v>
      </c>
      <c r="H79">
        <f>M12</f>
        <v>0</v>
      </c>
      <c r="I79">
        <f>N12</f>
        <v>0</v>
      </c>
      <c r="J79">
        <f t="shared" si="35"/>
        <v>0</v>
      </c>
      <c r="K79">
        <f t="shared" si="35"/>
        <v>0</v>
      </c>
      <c r="L79">
        <f t="shared" si="35"/>
        <v>0</v>
      </c>
      <c r="M79">
        <f t="shared" si="35"/>
        <v>0</v>
      </c>
      <c r="N79">
        <f t="shared" si="35"/>
        <v>0</v>
      </c>
      <c r="O79">
        <f t="shared" si="35"/>
        <v>0</v>
      </c>
      <c r="P79">
        <f t="shared" ref="P79:P87" si="39">SUM(Q79:AP79)</f>
        <v>11.18</v>
      </c>
      <c r="Q79">
        <f t="shared" si="36"/>
        <v>0</v>
      </c>
      <c r="R79">
        <f t="shared" si="36"/>
        <v>0</v>
      </c>
      <c r="S79">
        <f t="shared" si="36"/>
        <v>0</v>
      </c>
      <c r="T79">
        <f t="shared" si="36"/>
        <v>0</v>
      </c>
      <c r="U79">
        <f t="shared" si="36"/>
        <v>0</v>
      </c>
      <c r="V79">
        <f t="shared" si="36"/>
        <v>0.72</v>
      </c>
      <c r="W79">
        <f t="shared" si="36"/>
        <v>0</v>
      </c>
      <c r="X79">
        <f t="shared" si="36"/>
        <v>0</v>
      </c>
      <c r="Y79">
        <f t="shared" si="36"/>
        <v>5.88</v>
      </c>
      <c r="Z79">
        <f>AQ12</f>
        <v>0</v>
      </c>
      <c r="AA79">
        <f t="shared" si="37"/>
        <v>0</v>
      </c>
      <c r="AB79">
        <f t="shared" si="37"/>
        <v>0</v>
      </c>
      <c r="AC79">
        <f t="shared" si="37"/>
        <v>0</v>
      </c>
      <c r="AD79">
        <f t="shared" si="37"/>
        <v>4.2699999999999996</v>
      </c>
      <c r="AE79">
        <f t="shared" si="37"/>
        <v>0</v>
      </c>
      <c r="AF79">
        <f t="shared" si="37"/>
        <v>0</v>
      </c>
      <c r="AG79">
        <f t="shared" si="37"/>
        <v>0</v>
      </c>
      <c r="AH79">
        <f t="shared" si="37"/>
        <v>0</v>
      </c>
      <c r="AI79">
        <f t="shared" si="37"/>
        <v>0</v>
      </c>
      <c r="AJ79">
        <f t="shared" si="37"/>
        <v>0</v>
      </c>
      <c r="AK79">
        <f t="shared" si="37"/>
        <v>0</v>
      </c>
      <c r="AL79">
        <f t="shared" si="37"/>
        <v>0.3</v>
      </c>
      <c r="AM79">
        <f t="shared" si="37"/>
        <v>0</v>
      </c>
      <c r="AN79">
        <f t="shared" si="37"/>
        <v>0</v>
      </c>
      <c r="AO79">
        <f t="shared" si="37"/>
        <v>0.01</v>
      </c>
      <c r="AP79">
        <f t="shared" si="37"/>
        <v>0</v>
      </c>
      <c r="AQ79">
        <f t="shared" si="37"/>
        <v>0</v>
      </c>
      <c r="AR79">
        <f>F79+H79+I79+J79+K79+L79+M79+N79+O79+P79</f>
        <v>11.18</v>
      </c>
      <c r="AS79">
        <f>D79+G116-AR79</f>
        <v>90.982900000000001</v>
      </c>
    </row>
    <row r="80" spans="1:68" ht="20.25" customHeight="1">
      <c r="A80" t="s">
        <v>21</v>
      </c>
      <c r="B80" t="s">
        <v>22</v>
      </c>
      <c r="C80" t="s">
        <v>23</v>
      </c>
      <c r="D80">
        <f>D16</f>
        <v>31.289100000000001</v>
      </c>
      <c r="E80">
        <f t="shared" si="38"/>
        <v>27.7591</v>
      </c>
      <c r="F80">
        <f>H16</f>
        <v>0</v>
      </c>
      <c r="G80">
        <f>I16</f>
        <v>0</v>
      </c>
      <c r="H80">
        <f>D80-AR80</f>
        <v>27.7591</v>
      </c>
      <c r="I80">
        <f>N16</f>
        <v>0</v>
      </c>
      <c r="J80">
        <f t="shared" ref="J80:O81" si="40">P16</f>
        <v>0</v>
      </c>
      <c r="K80">
        <f t="shared" si="40"/>
        <v>0</v>
      </c>
      <c r="L80">
        <f t="shared" si="40"/>
        <v>0</v>
      </c>
      <c r="M80">
        <f t="shared" si="40"/>
        <v>0</v>
      </c>
      <c r="N80">
        <f t="shared" si="40"/>
        <v>0</v>
      </c>
      <c r="O80">
        <f t="shared" si="40"/>
        <v>0</v>
      </c>
      <c r="P80">
        <f t="shared" si="39"/>
        <v>3.5300000000000002</v>
      </c>
      <c r="Q80">
        <f t="shared" ref="Q80:Y81" si="41">W16</f>
        <v>0</v>
      </c>
      <c r="R80">
        <f t="shared" si="41"/>
        <v>0</v>
      </c>
      <c r="S80">
        <f t="shared" si="41"/>
        <v>0</v>
      </c>
      <c r="T80">
        <f t="shared" si="41"/>
        <v>0</v>
      </c>
      <c r="U80">
        <f t="shared" si="41"/>
        <v>0</v>
      </c>
      <c r="V80">
        <f t="shared" si="41"/>
        <v>0.33</v>
      </c>
      <c r="W80">
        <f t="shared" si="41"/>
        <v>0</v>
      </c>
      <c r="X80">
        <f t="shared" si="41"/>
        <v>0</v>
      </c>
      <c r="Y80">
        <f t="shared" si="41"/>
        <v>2</v>
      </c>
      <c r="Z80">
        <f>AQ16</f>
        <v>0</v>
      </c>
      <c r="AA80">
        <f t="shared" ref="AA80:AQ81" si="42">AR16</f>
        <v>0</v>
      </c>
      <c r="AB80">
        <f t="shared" si="42"/>
        <v>0</v>
      </c>
      <c r="AC80">
        <f t="shared" si="42"/>
        <v>0</v>
      </c>
      <c r="AD80">
        <f t="shared" si="42"/>
        <v>1.08</v>
      </c>
      <c r="AE80">
        <f t="shared" si="42"/>
        <v>0</v>
      </c>
      <c r="AF80">
        <f t="shared" si="42"/>
        <v>0</v>
      </c>
      <c r="AG80">
        <f t="shared" si="42"/>
        <v>0</v>
      </c>
      <c r="AH80">
        <f t="shared" si="42"/>
        <v>0</v>
      </c>
      <c r="AI80">
        <f t="shared" si="42"/>
        <v>0</v>
      </c>
      <c r="AJ80">
        <f t="shared" si="42"/>
        <v>0</v>
      </c>
      <c r="AK80">
        <f t="shared" si="42"/>
        <v>0</v>
      </c>
      <c r="AL80">
        <f t="shared" si="42"/>
        <v>0.12</v>
      </c>
      <c r="AM80">
        <f t="shared" si="42"/>
        <v>0</v>
      </c>
      <c r="AN80">
        <f t="shared" si="42"/>
        <v>0</v>
      </c>
      <c r="AO80">
        <f t="shared" si="42"/>
        <v>0</v>
      </c>
      <c r="AP80">
        <f t="shared" si="42"/>
        <v>0</v>
      </c>
      <c r="AQ80">
        <f t="shared" si="42"/>
        <v>0</v>
      </c>
      <c r="AR80">
        <f>F80+I80+J80+K80+L80+M80+N80+O80+P80</f>
        <v>3.5300000000000002</v>
      </c>
      <c r="AS80">
        <f>D80+H116-AR80</f>
        <v>27.7591</v>
      </c>
    </row>
    <row r="81" spans="1:45" ht="20.25" customHeight="1">
      <c r="A81" t="s">
        <v>24</v>
      </c>
      <c r="B81" t="s">
        <v>25</v>
      </c>
      <c r="C81" t="s">
        <v>26</v>
      </c>
      <c r="D81">
        <f>D17</f>
        <v>110.37</v>
      </c>
      <c r="E81">
        <f t="shared" si="38"/>
        <v>109.37</v>
      </c>
      <c r="F81">
        <f>H17</f>
        <v>0</v>
      </c>
      <c r="G81">
        <f>I17</f>
        <v>0</v>
      </c>
      <c r="H81">
        <f>M17</f>
        <v>0</v>
      </c>
      <c r="I81">
        <f>D81-AR81</f>
        <v>109.37</v>
      </c>
      <c r="J81">
        <f t="shared" si="40"/>
        <v>0</v>
      </c>
      <c r="K81">
        <f t="shared" si="40"/>
        <v>0</v>
      </c>
      <c r="L81">
        <f t="shared" si="40"/>
        <v>0</v>
      </c>
      <c r="M81">
        <f t="shared" si="40"/>
        <v>0</v>
      </c>
      <c r="N81">
        <f t="shared" si="40"/>
        <v>0</v>
      </c>
      <c r="O81">
        <f t="shared" si="40"/>
        <v>0</v>
      </c>
      <c r="P81">
        <f t="shared" si="39"/>
        <v>1</v>
      </c>
      <c r="Q81">
        <f t="shared" si="41"/>
        <v>0</v>
      </c>
      <c r="R81">
        <f t="shared" si="41"/>
        <v>0</v>
      </c>
      <c r="S81">
        <f t="shared" si="41"/>
        <v>0</v>
      </c>
      <c r="T81">
        <f t="shared" si="41"/>
        <v>0</v>
      </c>
      <c r="U81">
        <f t="shared" si="41"/>
        <v>0</v>
      </c>
      <c r="V81">
        <f t="shared" si="41"/>
        <v>0.04</v>
      </c>
      <c r="W81">
        <f t="shared" si="41"/>
        <v>0</v>
      </c>
      <c r="X81">
        <f t="shared" si="41"/>
        <v>0</v>
      </c>
      <c r="Y81">
        <f t="shared" si="41"/>
        <v>0.13</v>
      </c>
      <c r="Z81">
        <f>AQ17</f>
        <v>0</v>
      </c>
      <c r="AA81">
        <f t="shared" si="42"/>
        <v>0</v>
      </c>
      <c r="AB81">
        <f t="shared" si="42"/>
        <v>0</v>
      </c>
      <c r="AC81">
        <f t="shared" si="42"/>
        <v>0</v>
      </c>
      <c r="AD81">
        <f t="shared" si="42"/>
        <v>0.83</v>
      </c>
      <c r="AE81">
        <f t="shared" si="42"/>
        <v>0</v>
      </c>
      <c r="AF81">
        <f t="shared" si="42"/>
        <v>0</v>
      </c>
      <c r="AG81">
        <f t="shared" si="42"/>
        <v>0</v>
      </c>
      <c r="AH81">
        <f t="shared" si="42"/>
        <v>0</v>
      </c>
      <c r="AI81">
        <f t="shared" si="42"/>
        <v>0</v>
      </c>
      <c r="AJ81">
        <f t="shared" si="42"/>
        <v>0</v>
      </c>
      <c r="AK81">
        <f t="shared" si="42"/>
        <v>0</v>
      </c>
      <c r="AL81">
        <f t="shared" si="42"/>
        <v>0</v>
      </c>
      <c r="AM81">
        <f t="shared" si="42"/>
        <v>0</v>
      </c>
      <c r="AN81">
        <f t="shared" si="42"/>
        <v>0</v>
      </c>
      <c r="AO81">
        <f t="shared" si="42"/>
        <v>0</v>
      </c>
      <c r="AP81">
        <f t="shared" si="42"/>
        <v>0</v>
      </c>
      <c r="AQ81">
        <f t="shared" si="42"/>
        <v>0</v>
      </c>
      <c r="AR81">
        <f>F81+H81+J81+K81+L81+M81+N81+O81+P81</f>
        <v>1</v>
      </c>
      <c r="AS81">
        <f>D81+I116-AR81</f>
        <v>109.37</v>
      </c>
    </row>
    <row r="82" spans="1:45" ht="20.25" customHeight="1">
      <c r="A82" t="s">
        <v>27</v>
      </c>
      <c r="B82" t="s">
        <v>28</v>
      </c>
      <c r="C82" t="s">
        <v>29</v>
      </c>
      <c r="D82">
        <f t="shared" ref="D82:D87" si="43">D19</f>
        <v>13.91</v>
      </c>
      <c r="E82">
        <f t="shared" si="38"/>
        <v>13.91</v>
      </c>
      <c r="F82">
        <f>H20</f>
        <v>0</v>
      </c>
      <c r="G82">
        <f>I20</f>
        <v>0</v>
      </c>
      <c r="H82">
        <f>M20</f>
        <v>0</v>
      </c>
      <c r="I82">
        <f>N20</f>
        <v>0</v>
      </c>
      <c r="J82">
        <f>D82-AR82</f>
        <v>13.91</v>
      </c>
      <c r="K82">
        <f>Q19</f>
        <v>0</v>
      </c>
      <c r="L82">
        <f>R19</f>
        <v>0</v>
      </c>
      <c r="M82">
        <f t="shared" ref="M82:O83" si="44">S20</f>
        <v>0</v>
      </c>
      <c r="N82">
        <f t="shared" si="44"/>
        <v>0</v>
      </c>
      <c r="O82">
        <f t="shared" si="44"/>
        <v>0</v>
      </c>
      <c r="P82">
        <f t="shared" si="39"/>
        <v>0</v>
      </c>
      <c r="Q82">
        <f>W20</f>
        <v>0</v>
      </c>
      <c r="R82">
        <f>X20</f>
        <v>0</v>
      </c>
      <c r="S82">
        <f>Z20</f>
        <v>0</v>
      </c>
      <c r="T82">
        <f t="shared" ref="T82:Y83" si="45">Z20</f>
        <v>0</v>
      </c>
      <c r="U82">
        <f t="shared" si="45"/>
        <v>0</v>
      </c>
      <c r="V82">
        <f t="shared" si="45"/>
        <v>0</v>
      </c>
      <c r="W82">
        <f t="shared" si="45"/>
        <v>0</v>
      </c>
      <c r="X82">
        <f t="shared" si="45"/>
        <v>0</v>
      </c>
      <c r="Y82">
        <f t="shared" si="45"/>
        <v>0</v>
      </c>
      <c r="Z82">
        <f>AQ20</f>
        <v>0</v>
      </c>
      <c r="AA82">
        <f t="shared" ref="AA82:AQ83" si="46">AR20</f>
        <v>0</v>
      </c>
      <c r="AB82">
        <f t="shared" si="46"/>
        <v>0</v>
      </c>
      <c r="AC82">
        <f t="shared" si="46"/>
        <v>0</v>
      </c>
      <c r="AD82">
        <f t="shared" si="46"/>
        <v>0</v>
      </c>
      <c r="AE82">
        <f t="shared" si="46"/>
        <v>0</v>
      </c>
      <c r="AF82">
        <f t="shared" si="46"/>
        <v>0</v>
      </c>
      <c r="AG82">
        <f t="shared" si="46"/>
        <v>0</v>
      </c>
      <c r="AH82">
        <f t="shared" si="46"/>
        <v>0</v>
      </c>
      <c r="AI82">
        <f t="shared" si="46"/>
        <v>0</v>
      </c>
      <c r="AJ82">
        <f t="shared" si="46"/>
        <v>0</v>
      </c>
      <c r="AK82">
        <f t="shared" si="46"/>
        <v>0</v>
      </c>
      <c r="AL82">
        <f t="shared" si="46"/>
        <v>0</v>
      </c>
      <c r="AM82">
        <f t="shared" si="46"/>
        <v>0</v>
      </c>
      <c r="AN82">
        <f t="shared" si="46"/>
        <v>0</v>
      </c>
      <c r="AO82">
        <f t="shared" si="46"/>
        <v>0</v>
      </c>
      <c r="AP82">
        <f t="shared" si="46"/>
        <v>0</v>
      </c>
      <c r="AQ82">
        <f t="shared" si="46"/>
        <v>0</v>
      </c>
      <c r="AR82">
        <f>F82+H82+I82+K82+L82+M82+N82+O82+P82</f>
        <v>0</v>
      </c>
      <c r="AS82">
        <f>D82+J116-AR82</f>
        <v>13.91</v>
      </c>
    </row>
    <row r="83" spans="1:45" ht="20.25" customHeight="1">
      <c r="A83" t="s">
        <v>30</v>
      </c>
      <c r="B83" t="s">
        <v>31</v>
      </c>
      <c r="C83" t="s">
        <v>32</v>
      </c>
      <c r="D83">
        <f t="shared" si="43"/>
        <v>0</v>
      </c>
      <c r="E83">
        <f t="shared" si="38"/>
        <v>-0.59999999999999987</v>
      </c>
      <c r="F83">
        <f>H21</f>
        <v>0</v>
      </c>
      <c r="G83">
        <f>I21</f>
        <v>0</v>
      </c>
      <c r="H83">
        <f>M21</f>
        <v>0</v>
      </c>
      <c r="I83">
        <f>N21</f>
        <v>0</v>
      </c>
      <c r="J83">
        <f>P20</f>
        <v>0</v>
      </c>
      <c r="K83">
        <f>D83-AR83</f>
        <v>-0.89999999999999991</v>
      </c>
      <c r="L83">
        <f>R20</f>
        <v>0</v>
      </c>
      <c r="M83">
        <f t="shared" si="44"/>
        <v>0.3</v>
      </c>
      <c r="N83">
        <f t="shared" si="44"/>
        <v>0</v>
      </c>
      <c r="O83">
        <f t="shared" si="44"/>
        <v>0</v>
      </c>
      <c r="P83">
        <f t="shared" si="39"/>
        <v>0.6</v>
      </c>
      <c r="Q83">
        <f>W21</f>
        <v>0</v>
      </c>
      <c r="R83">
        <f>X21</f>
        <v>0</v>
      </c>
      <c r="S83">
        <f>Z21</f>
        <v>0</v>
      </c>
      <c r="T83">
        <f t="shared" si="45"/>
        <v>0</v>
      </c>
      <c r="U83">
        <f t="shared" si="45"/>
        <v>0</v>
      </c>
      <c r="V83">
        <f t="shared" si="45"/>
        <v>0</v>
      </c>
      <c r="W83">
        <f t="shared" si="45"/>
        <v>0</v>
      </c>
      <c r="X83">
        <f t="shared" si="45"/>
        <v>0</v>
      </c>
      <c r="Y83">
        <f t="shared" si="45"/>
        <v>0.41</v>
      </c>
      <c r="Z83">
        <f>AQ21</f>
        <v>0</v>
      </c>
      <c r="AA83">
        <f t="shared" si="46"/>
        <v>0</v>
      </c>
      <c r="AB83">
        <f t="shared" si="46"/>
        <v>0</v>
      </c>
      <c r="AC83">
        <f t="shared" si="46"/>
        <v>0</v>
      </c>
      <c r="AD83">
        <f t="shared" si="46"/>
        <v>0</v>
      </c>
      <c r="AE83">
        <f t="shared" si="46"/>
        <v>0</v>
      </c>
      <c r="AF83">
        <f t="shared" si="46"/>
        <v>0</v>
      </c>
      <c r="AG83">
        <f t="shared" si="46"/>
        <v>0</v>
      </c>
      <c r="AH83">
        <f t="shared" si="46"/>
        <v>0</v>
      </c>
      <c r="AI83">
        <f t="shared" si="46"/>
        <v>0</v>
      </c>
      <c r="AJ83">
        <f t="shared" si="46"/>
        <v>0.19</v>
      </c>
      <c r="AK83">
        <f t="shared" si="46"/>
        <v>0</v>
      </c>
      <c r="AL83">
        <f t="shared" si="46"/>
        <v>0</v>
      </c>
      <c r="AM83">
        <f t="shared" si="46"/>
        <v>0</v>
      </c>
      <c r="AN83">
        <f t="shared" si="46"/>
        <v>0</v>
      </c>
      <c r="AO83">
        <f t="shared" si="46"/>
        <v>0</v>
      </c>
      <c r="AP83">
        <f t="shared" si="46"/>
        <v>0</v>
      </c>
      <c r="AQ83">
        <f t="shared" si="46"/>
        <v>0</v>
      </c>
      <c r="AR83">
        <f>F83+H83+I83+J83+L83+M83+N83+O83+P83</f>
        <v>0.89999999999999991</v>
      </c>
      <c r="AS83">
        <f>D83+K116-AR83</f>
        <v>-0.89999999999999991</v>
      </c>
    </row>
    <row r="84" spans="1:45" ht="20.25" customHeight="1">
      <c r="A84" t="s">
        <v>33</v>
      </c>
      <c r="B84" t="s">
        <v>34</v>
      </c>
      <c r="C84" t="s">
        <v>35</v>
      </c>
      <c r="D84">
        <f t="shared" si="43"/>
        <v>115.84</v>
      </c>
      <c r="E84">
        <f t="shared" si="38"/>
        <v>115.84</v>
      </c>
      <c r="F84">
        <f>H19</f>
        <v>0</v>
      </c>
      <c r="G84">
        <f>I19</f>
        <v>0</v>
      </c>
      <c r="H84">
        <f>M19</f>
        <v>0</v>
      </c>
      <c r="I84">
        <f>N19</f>
        <v>0</v>
      </c>
      <c r="J84">
        <f>P21</f>
        <v>0</v>
      </c>
      <c r="K84">
        <f>Q21</f>
        <v>0</v>
      </c>
      <c r="L84">
        <f>D84-AR84</f>
        <v>115.84</v>
      </c>
      <c r="M84">
        <f>S19</f>
        <v>0</v>
      </c>
      <c r="N84">
        <f>T19</f>
        <v>0</v>
      </c>
      <c r="O84">
        <f>U19</f>
        <v>0</v>
      </c>
      <c r="P84">
        <f t="shared" si="39"/>
        <v>0</v>
      </c>
      <c r="Q84">
        <f t="shared" ref="Q84:Y84" si="47">W19</f>
        <v>0</v>
      </c>
      <c r="R84">
        <f t="shared" si="47"/>
        <v>0</v>
      </c>
      <c r="S84">
        <f t="shared" si="47"/>
        <v>0</v>
      </c>
      <c r="T84">
        <f t="shared" si="47"/>
        <v>0</v>
      </c>
      <c r="U84">
        <f t="shared" si="47"/>
        <v>0</v>
      </c>
      <c r="V84">
        <f t="shared" si="47"/>
        <v>0</v>
      </c>
      <c r="W84">
        <f t="shared" si="47"/>
        <v>0</v>
      </c>
      <c r="X84">
        <f t="shared" si="47"/>
        <v>0</v>
      </c>
      <c r="Y84">
        <f t="shared" si="47"/>
        <v>0</v>
      </c>
      <c r="Z84">
        <f>AQ19</f>
        <v>0</v>
      </c>
      <c r="AA84">
        <f t="shared" ref="AA84:AQ84" si="48">AR19</f>
        <v>0</v>
      </c>
      <c r="AB84">
        <f t="shared" si="48"/>
        <v>0</v>
      </c>
      <c r="AC84">
        <f t="shared" si="48"/>
        <v>0</v>
      </c>
      <c r="AD84">
        <f t="shared" si="48"/>
        <v>0</v>
      </c>
      <c r="AE84">
        <f t="shared" si="48"/>
        <v>0</v>
      </c>
      <c r="AF84">
        <f t="shared" si="48"/>
        <v>0</v>
      </c>
      <c r="AG84">
        <f t="shared" si="48"/>
        <v>0</v>
      </c>
      <c r="AH84">
        <f t="shared" si="48"/>
        <v>0</v>
      </c>
      <c r="AI84">
        <f t="shared" si="48"/>
        <v>0</v>
      </c>
      <c r="AJ84">
        <f t="shared" si="48"/>
        <v>0</v>
      </c>
      <c r="AK84">
        <f t="shared" si="48"/>
        <v>0</v>
      </c>
      <c r="AL84">
        <f t="shared" si="48"/>
        <v>0</v>
      </c>
      <c r="AM84">
        <f t="shared" si="48"/>
        <v>0</v>
      </c>
      <c r="AN84">
        <f t="shared" si="48"/>
        <v>0</v>
      </c>
      <c r="AO84">
        <f t="shared" si="48"/>
        <v>0</v>
      </c>
      <c r="AP84">
        <f t="shared" si="48"/>
        <v>0</v>
      </c>
      <c r="AQ84">
        <f t="shared" si="48"/>
        <v>0</v>
      </c>
      <c r="AR84">
        <f>F84+H84+I84+J84+K84+M84+N84+O84+P84</f>
        <v>0</v>
      </c>
      <c r="AS84">
        <f>D84+L116-AR84</f>
        <v>115.84</v>
      </c>
    </row>
    <row r="85" spans="1:45" ht="20.25" customHeight="1">
      <c r="A85" t="s">
        <v>36</v>
      </c>
      <c r="B85" t="s">
        <v>37</v>
      </c>
      <c r="C85" t="s">
        <v>38</v>
      </c>
      <c r="D85">
        <f t="shared" si="43"/>
        <v>177.53</v>
      </c>
      <c r="E85">
        <f t="shared" si="38"/>
        <v>176.73</v>
      </c>
      <c r="F85">
        <f t="shared" ref="F85:G87" si="49">H22</f>
        <v>0</v>
      </c>
      <c r="G85">
        <f t="shared" si="49"/>
        <v>0</v>
      </c>
      <c r="H85">
        <f t="shared" ref="H85:I87" si="50">M22</f>
        <v>0</v>
      </c>
      <c r="I85">
        <f t="shared" si="50"/>
        <v>0</v>
      </c>
      <c r="J85">
        <f>P22</f>
        <v>0</v>
      </c>
      <c r="K85">
        <f>Q22</f>
        <v>0</v>
      </c>
      <c r="L85">
        <f>R22</f>
        <v>0</v>
      </c>
      <c r="M85">
        <f>D85-AR85</f>
        <v>176.73</v>
      </c>
      <c r="N85">
        <f>T22</f>
        <v>0</v>
      </c>
      <c r="O85">
        <f>U22</f>
        <v>0</v>
      </c>
      <c r="P85">
        <f>SUM(Q85:AP85)</f>
        <v>0.8</v>
      </c>
      <c r="Q85">
        <f t="shared" ref="Q85:Y87" si="51">W22</f>
        <v>0</v>
      </c>
      <c r="R85">
        <f t="shared" si="51"/>
        <v>0</v>
      </c>
      <c r="S85">
        <f t="shared" si="51"/>
        <v>0</v>
      </c>
      <c r="T85">
        <f t="shared" si="51"/>
        <v>0</v>
      </c>
      <c r="U85">
        <f t="shared" si="51"/>
        <v>0</v>
      </c>
      <c r="V85">
        <f t="shared" si="51"/>
        <v>0</v>
      </c>
      <c r="W85">
        <f t="shared" si="51"/>
        <v>0</v>
      </c>
      <c r="X85">
        <f t="shared" si="51"/>
        <v>0</v>
      </c>
      <c r="Y85">
        <f t="shared" si="51"/>
        <v>0.64</v>
      </c>
      <c r="Z85">
        <f t="shared" ref="Z85:AP85" si="52">AQ22</f>
        <v>0</v>
      </c>
      <c r="AA85">
        <f t="shared" si="52"/>
        <v>0</v>
      </c>
      <c r="AB85">
        <f t="shared" si="52"/>
        <v>0</v>
      </c>
      <c r="AC85">
        <f t="shared" si="52"/>
        <v>0</v>
      </c>
      <c r="AD85">
        <f t="shared" si="52"/>
        <v>0.15</v>
      </c>
      <c r="AE85">
        <f t="shared" si="52"/>
        <v>0</v>
      </c>
      <c r="AF85">
        <f t="shared" si="52"/>
        <v>0</v>
      </c>
      <c r="AG85">
        <f t="shared" si="52"/>
        <v>0</v>
      </c>
      <c r="AH85">
        <f t="shared" si="52"/>
        <v>0</v>
      </c>
      <c r="AI85">
        <f t="shared" si="52"/>
        <v>0</v>
      </c>
      <c r="AJ85">
        <f t="shared" si="52"/>
        <v>0</v>
      </c>
      <c r="AK85">
        <f t="shared" si="52"/>
        <v>0</v>
      </c>
      <c r="AL85">
        <f t="shared" si="52"/>
        <v>0.01</v>
      </c>
      <c r="AM85">
        <f t="shared" si="52"/>
        <v>0</v>
      </c>
      <c r="AN85">
        <f t="shared" si="52"/>
        <v>0</v>
      </c>
      <c r="AO85">
        <f t="shared" si="52"/>
        <v>0</v>
      </c>
      <c r="AP85">
        <f t="shared" si="52"/>
        <v>0</v>
      </c>
      <c r="AQ85">
        <f t="shared" ref="AA85:AQ87" si="53">BH22</f>
        <v>0</v>
      </c>
      <c r="AR85">
        <f>F85+H85+I85+J85+K85+L85+N85+O85+P85</f>
        <v>0.8</v>
      </c>
      <c r="AS85">
        <f>D85+M116-AR85</f>
        <v>180.78</v>
      </c>
    </row>
    <row r="86" spans="1:45" ht="20.25" customHeight="1">
      <c r="A86" t="s">
        <v>39</v>
      </c>
      <c r="B86" t="s">
        <v>40</v>
      </c>
      <c r="C86" t="s">
        <v>41</v>
      </c>
      <c r="D86">
        <f t="shared" si="43"/>
        <v>0</v>
      </c>
      <c r="E86">
        <f t="shared" si="38"/>
        <v>0</v>
      </c>
      <c r="F86">
        <f t="shared" si="49"/>
        <v>0</v>
      </c>
      <c r="G86">
        <f t="shared" si="49"/>
        <v>0</v>
      </c>
      <c r="H86">
        <f t="shared" si="50"/>
        <v>0</v>
      </c>
      <c r="I86">
        <f t="shared" si="50"/>
        <v>0</v>
      </c>
      <c r="J86">
        <f>P23</f>
        <v>0</v>
      </c>
      <c r="K86">
        <f>Q23</f>
        <v>0</v>
      </c>
      <c r="L86">
        <f>R23</f>
        <v>0</v>
      </c>
      <c r="M86">
        <f>S23</f>
        <v>0</v>
      </c>
      <c r="N86">
        <f>D86-AR86</f>
        <v>0</v>
      </c>
      <c r="O86">
        <f>U23</f>
        <v>0</v>
      </c>
      <c r="P86">
        <f t="shared" si="39"/>
        <v>0</v>
      </c>
      <c r="Q86">
        <f t="shared" si="51"/>
        <v>0</v>
      </c>
      <c r="R86">
        <f t="shared" si="51"/>
        <v>0</v>
      </c>
      <c r="S86">
        <f t="shared" si="51"/>
        <v>0</v>
      </c>
      <c r="T86">
        <f t="shared" si="51"/>
        <v>0</v>
      </c>
      <c r="U86">
        <f t="shared" si="51"/>
        <v>0</v>
      </c>
      <c r="V86">
        <f t="shared" si="51"/>
        <v>0</v>
      </c>
      <c r="W86">
        <f t="shared" si="51"/>
        <v>0</v>
      </c>
      <c r="X86">
        <f t="shared" si="51"/>
        <v>0</v>
      </c>
      <c r="Y86">
        <f t="shared" si="51"/>
        <v>0</v>
      </c>
      <c r="Z86">
        <f>AQ23</f>
        <v>0</v>
      </c>
      <c r="AA86">
        <f t="shared" si="53"/>
        <v>0</v>
      </c>
      <c r="AB86">
        <f t="shared" si="53"/>
        <v>0</v>
      </c>
      <c r="AC86">
        <f t="shared" si="53"/>
        <v>0</v>
      </c>
      <c r="AD86">
        <f t="shared" si="53"/>
        <v>0</v>
      </c>
      <c r="AE86">
        <f t="shared" si="53"/>
        <v>0</v>
      </c>
      <c r="AF86">
        <f t="shared" si="53"/>
        <v>0</v>
      </c>
      <c r="AG86">
        <f t="shared" si="53"/>
        <v>0</v>
      </c>
      <c r="AH86">
        <f t="shared" si="53"/>
        <v>0</v>
      </c>
      <c r="AI86">
        <f t="shared" si="53"/>
        <v>0</v>
      </c>
      <c r="AJ86">
        <f t="shared" si="53"/>
        <v>0</v>
      </c>
      <c r="AK86">
        <f t="shared" si="53"/>
        <v>0</v>
      </c>
      <c r="AL86">
        <f t="shared" si="53"/>
        <v>0</v>
      </c>
      <c r="AM86">
        <f t="shared" si="53"/>
        <v>0</v>
      </c>
      <c r="AN86">
        <f t="shared" si="53"/>
        <v>0</v>
      </c>
      <c r="AO86">
        <f t="shared" si="53"/>
        <v>0</v>
      </c>
      <c r="AP86">
        <f t="shared" si="53"/>
        <v>0</v>
      </c>
      <c r="AQ86">
        <f t="shared" si="53"/>
        <v>0</v>
      </c>
      <c r="AR86">
        <f>F86+H86+I86+J86+K86+L86+M86+O86+P86</f>
        <v>0</v>
      </c>
      <c r="AS86">
        <f>D86+N116-AR86</f>
        <v>0</v>
      </c>
    </row>
    <row r="87" spans="1:45" ht="20.25" customHeight="1">
      <c r="A87">
        <v>2</v>
      </c>
      <c r="B87" t="s">
        <v>43</v>
      </c>
      <c r="C87" t="s">
        <v>44</v>
      </c>
      <c r="D87">
        <f t="shared" si="43"/>
        <v>7.0000000000000007E-2</v>
      </c>
      <c r="E87">
        <f t="shared" si="38"/>
        <v>7.0000000000000007E-2</v>
      </c>
      <c r="F87">
        <f t="shared" si="49"/>
        <v>0</v>
      </c>
      <c r="G87">
        <f t="shared" si="49"/>
        <v>0</v>
      </c>
      <c r="H87">
        <f t="shared" si="50"/>
        <v>0</v>
      </c>
      <c r="I87">
        <f t="shared" si="50"/>
        <v>0</v>
      </c>
      <c r="J87">
        <f>P24</f>
        <v>0</v>
      </c>
      <c r="K87">
        <f>Q24</f>
        <v>0</v>
      </c>
      <c r="L87">
        <f>R24</f>
        <v>0</v>
      </c>
      <c r="M87">
        <f>S24</f>
        <v>0</v>
      </c>
      <c r="N87">
        <f>T24</f>
        <v>0</v>
      </c>
      <c r="O87">
        <f>D87-AR87</f>
        <v>7.0000000000000007E-2</v>
      </c>
      <c r="P87">
        <f t="shared" si="39"/>
        <v>0</v>
      </c>
      <c r="Q87">
        <f t="shared" si="51"/>
        <v>0</v>
      </c>
      <c r="R87">
        <f t="shared" si="51"/>
        <v>0</v>
      </c>
      <c r="S87">
        <f t="shared" si="51"/>
        <v>0</v>
      </c>
      <c r="T87">
        <f t="shared" si="51"/>
        <v>0</v>
      </c>
      <c r="U87">
        <f t="shared" si="51"/>
        <v>0</v>
      </c>
      <c r="V87">
        <f t="shared" si="51"/>
        <v>0</v>
      </c>
      <c r="W87">
        <f t="shared" si="51"/>
        <v>0</v>
      </c>
      <c r="X87">
        <f t="shared" si="51"/>
        <v>0</v>
      </c>
      <c r="Y87">
        <f t="shared" si="51"/>
        <v>0</v>
      </c>
      <c r="Z87">
        <f>AQ24</f>
        <v>0</v>
      </c>
      <c r="AA87">
        <f t="shared" si="53"/>
        <v>0</v>
      </c>
      <c r="AB87">
        <f t="shared" si="53"/>
        <v>0</v>
      </c>
      <c r="AC87">
        <f t="shared" si="53"/>
        <v>0</v>
      </c>
      <c r="AD87">
        <f t="shared" si="53"/>
        <v>0</v>
      </c>
      <c r="AE87">
        <f t="shared" si="53"/>
        <v>0</v>
      </c>
      <c r="AF87">
        <f t="shared" si="53"/>
        <v>0</v>
      </c>
      <c r="AG87">
        <f t="shared" si="53"/>
        <v>0</v>
      </c>
      <c r="AH87">
        <f t="shared" si="53"/>
        <v>0</v>
      </c>
      <c r="AI87">
        <f t="shared" si="53"/>
        <v>0</v>
      </c>
      <c r="AJ87">
        <f t="shared" si="53"/>
        <v>0</v>
      </c>
      <c r="AK87">
        <f t="shared" si="53"/>
        <v>0</v>
      </c>
      <c r="AL87">
        <f t="shared" si="53"/>
        <v>0</v>
      </c>
      <c r="AM87">
        <f t="shared" si="53"/>
        <v>0</v>
      </c>
      <c r="AN87">
        <f t="shared" si="53"/>
        <v>0</v>
      </c>
      <c r="AO87">
        <f t="shared" si="53"/>
        <v>0</v>
      </c>
      <c r="AP87">
        <f t="shared" si="53"/>
        <v>0</v>
      </c>
      <c r="AQ87">
        <f t="shared" si="53"/>
        <v>0</v>
      </c>
      <c r="AR87">
        <f>F87+H87+I87+J87+K87+L87+M87+N87+P87</f>
        <v>0</v>
      </c>
      <c r="AS87">
        <f>D87+O116-AR87</f>
        <v>7.0000000000000007E-2</v>
      </c>
    </row>
    <row r="88" spans="1:45" ht="20.25" customHeight="1">
      <c r="A88">
        <v>2</v>
      </c>
      <c r="B88" t="s">
        <v>45</v>
      </c>
      <c r="C88" t="s">
        <v>46</v>
      </c>
      <c r="D88">
        <f>SUM(D89:D114)</f>
        <v>385.1044</v>
      </c>
      <c r="E88">
        <f t="shared" ref="E88:AS88" si="54">SUM(E89:E114)</f>
        <v>2.1</v>
      </c>
      <c r="F88">
        <f t="shared" si="54"/>
        <v>0</v>
      </c>
      <c r="G88">
        <f t="shared" si="54"/>
        <v>0</v>
      </c>
      <c r="H88">
        <f t="shared" si="54"/>
        <v>0</v>
      </c>
      <c r="I88">
        <f t="shared" si="54"/>
        <v>0</v>
      </c>
      <c r="J88">
        <f t="shared" si="54"/>
        <v>0</v>
      </c>
      <c r="K88">
        <f t="shared" si="54"/>
        <v>0</v>
      </c>
      <c r="L88">
        <f t="shared" si="54"/>
        <v>0</v>
      </c>
      <c r="M88">
        <f t="shared" si="54"/>
        <v>2.1</v>
      </c>
      <c r="N88">
        <f t="shared" si="54"/>
        <v>0</v>
      </c>
      <c r="O88">
        <f t="shared" si="54"/>
        <v>0</v>
      </c>
      <c r="P88">
        <f t="shared" si="54"/>
        <v>383.00439999999998</v>
      </c>
      <c r="Q88">
        <f t="shared" si="54"/>
        <v>14.43</v>
      </c>
      <c r="R88">
        <f t="shared" si="54"/>
        <v>0.16</v>
      </c>
      <c r="S88">
        <f t="shared" si="54"/>
        <v>0</v>
      </c>
      <c r="T88">
        <f t="shared" si="54"/>
        <v>0</v>
      </c>
      <c r="U88">
        <f t="shared" si="54"/>
        <v>0</v>
      </c>
      <c r="V88">
        <f t="shared" si="54"/>
        <v>16.5242</v>
      </c>
      <c r="W88">
        <f t="shared" si="54"/>
        <v>60.28</v>
      </c>
      <c r="X88">
        <f t="shared" si="54"/>
        <v>0</v>
      </c>
      <c r="Y88">
        <f t="shared" si="54"/>
        <v>124.17280000000004</v>
      </c>
      <c r="Z88">
        <f t="shared" si="54"/>
        <v>0</v>
      </c>
      <c r="AA88">
        <f t="shared" si="54"/>
        <v>0</v>
      </c>
      <c r="AB88">
        <f t="shared" si="54"/>
        <v>0</v>
      </c>
      <c r="AC88">
        <f t="shared" si="54"/>
        <v>0</v>
      </c>
      <c r="AD88">
        <f t="shared" si="54"/>
        <v>51.186499999999995</v>
      </c>
      <c r="AE88">
        <f t="shared" si="54"/>
        <v>0.51</v>
      </c>
      <c r="AF88">
        <f t="shared" si="54"/>
        <v>0.67</v>
      </c>
      <c r="AG88">
        <f t="shared" si="54"/>
        <v>0</v>
      </c>
      <c r="AH88">
        <f t="shared" si="54"/>
        <v>0.54</v>
      </c>
      <c r="AI88">
        <f t="shared" si="54"/>
        <v>7.26</v>
      </c>
      <c r="AJ88">
        <f t="shared" si="54"/>
        <v>3.5508999999999995</v>
      </c>
      <c r="AK88">
        <f t="shared" si="54"/>
        <v>1.0900000000000001</v>
      </c>
      <c r="AL88">
        <f t="shared" si="54"/>
        <v>2.12</v>
      </c>
      <c r="AM88">
        <f t="shared" si="54"/>
        <v>0.16</v>
      </c>
      <c r="AN88">
        <f t="shared" si="54"/>
        <v>88.62</v>
      </c>
      <c r="AO88">
        <f t="shared" si="54"/>
        <v>11.73</v>
      </c>
      <c r="AP88">
        <f t="shared" si="54"/>
        <v>0</v>
      </c>
      <c r="AQ88">
        <f t="shared" si="54"/>
        <v>0</v>
      </c>
      <c r="AR88">
        <f>E88+AQ88</f>
        <v>2.1</v>
      </c>
      <c r="AS88">
        <f t="shared" si="54"/>
        <v>407.6844000000001</v>
      </c>
    </row>
    <row r="89" spans="1:45" ht="20.25" customHeight="1">
      <c r="A89" t="s">
        <v>47</v>
      </c>
      <c r="B89" t="s">
        <v>48</v>
      </c>
      <c r="C89" t="s">
        <v>49</v>
      </c>
      <c r="D89">
        <f>D26</f>
        <v>14.43</v>
      </c>
      <c r="E89">
        <f t="shared" si="38"/>
        <v>0</v>
      </c>
      <c r="F89">
        <f>H26</f>
        <v>0</v>
      </c>
      <c r="G89">
        <f>I26</f>
        <v>0</v>
      </c>
      <c r="H89">
        <f>M26</f>
        <v>0</v>
      </c>
      <c r="I89">
        <f>N26</f>
        <v>0</v>
      </c>
      <c r="J89">
        <f t="shared" ref="J89:O97" si="55">P26</f>
        <v>0</v>
      </c>
      <c r="K89">
        <f t="shared" si="55"/>
        <v>0</v>
      </c>
      <c r="L89">
        <f t="shared" si="55"/>
        <v>0</v>
      </c>
      <c r="M89">
        <f t="shared" si="55"/>
        <v>0</v>
      </c>
      <c r="N89">
        <f t="shared" si="55"/>
        <v>0</v>
      </c>
      <c r="O89">
        <f t="shared" si="55"/>
        <v>0</v>
      </c>
      <c r="P89">
        <f>SUM(Q89:AP89)</f>
        <v>14.43</v>
      </c>
      <c r="Q89">
        <f>D89-AR89</f>
        <v>14.43</v>
      </c>
      <c r="R89">
        <f t="shared" ref="R89:Y89" si="56">X26</f>
        <v>0</v>
      </c>
      <c r="S89">
        <f t="shared" si="56"/>
        <v>0</v>
      </c>
      <c r="T89">
        <f t="shared" si="56"/>
        <v>0</v>
      </c>
      <c r="U89">
        <f t="shared" si="56"/>
        <v>0</v>
      </c>
      <c r="V89">
        <f t="shared" si="56"/>
        <v>0</v>
      </c>
      <c r="W89">
        <f t="shared" si="56"/>
        <v>0</v>
      </c>
      <c r="X89">
        <f t="shared" si="56"/>
        <v>0</v>
      </c>
      <c r="Y89">
        <f t="shared" si="56"/>
        <v>0</v>
      </c>
      <c r="Z89">
        <f t="shared" ref="Z89:AP89" si="57">AQ26</f>
        <v>0</v>
      </c>
      <c r="AA89">
        <f t="shared" si="57"/>
        <v>0</v>
      </c>
      <c r="AB89">
        <f t="shared" si="57"/>
        <v>0</v>
      </c>
      <c r="AC89">
        <f t="shared" si="57"/>
        <v>0</v>
      </c>
      <c r="AD89">
        <f t="shared" si="57"/>
        <v>0</v>
      </c>
      <c r="AE89">
        <f t="shared" si="57"/>
        <v>0</v>
      </c>
      <c r="AF89">
        <f t="shared" si="57"/>
        <v>0</v>
      </c>
      <c r="AG89">
        <f t="shared" si="57"/>
        <v>0</v>
      </c>
      <c r="AH89">
        <f t="shared" si="57"/>
        <v>0</v>
      </c>
      <c r="AI89">
        <f t="shared" si="57"/>
        <v>0</v>
      </c>
      <c r="AJ89">
        <f t="shared" si="57"/>
        <v>0</v>
      </c>
      <c r="AK89">
        <f t="shared" si="57"/>
        <v>0</v>
      </c>
      <c r="AL89">
        <f t="shared" si="57"/>
        <v>0</v>
      </c>
      <c r="AM89">
        <f t="shared" si="57"/>
        <v>0</v>
      </c>
      <c r="AN89">
        <f t="shared" si="57"/>
        <v>0</v>
      </c>
      <c r="AO89">
        <f t="shared" si="57"/>
        <v>0</v>
      </c>
      <c r="AP89">
        <f t="shared" si="57"/>
        <v>0</v>
      </c>
      <c r="AQ89">
        <f t="shared" ref="AA89:AQ97" si="58">BH26</f>
        <v>0</v>
      </c>
      <c r="AR89">
        <f>E89+R89+S89+T89+U89+V89+W89+X89+Y89+Z89+AA89+AB89+AC89+AD89+AE89+AF89+AG89+AH89+AI89+AJ89+AK89+AL89+AM89+AN89+AO89+AP89+AQ89</f>
        <v>0</v>
      </c>
      <c r="AS89">
        <f>D89+Q116-AR89</f>
        <v>14.43</v>
      </c>
    </row>
    <row r="90" spans="1:45" ht="20.25" customHeight="1">
      <c r="A90" t="s">
        <v>50</v>
      </c>
      <c r="B90" t="s">
        <v>51</v>
      </c>
      <c r="C90" t="s">
        <v>52</v>
      </c>
      <c r="D90">
        <f t="shared" ref="D90:D97" si="59">D27</f>
        <v>0.16</v>
      </c>
      <c r="E90">
        <f t="shared" si="38"/>
        <v>0</v>
      </c>
      <c r="F90">
        <f t="shared" ref="F90:G97" si="60">H27</f>
        <v>0</v>
      </c>
      <c r="G90">
        <f t="shared" si="60"/>
        <v>0</v>
      </c>
      <c r="H90">
        <f t="shared" ref="H90:I97" si="61">M27</f>
        <v>0</v>
      </c>
      <c r="I90">
        <f t="shared" si="61"/>
        <v>0</v>
      </c>
      <c r="J90">
        <f t="shared" si="55"/>
        <v>0</v>
      </c>
      <c r="K90">
        <f t="shared" si="55"/>
        <v>0</v>
      </c>
      <c r="L90">
        <f t="shared" si="55"/>
        <v>0</v>
      </c>
      <c r="M90">
        <f t="shared" si="55"/>
        <v>0</v>
      </c>
      <c r="N90">
        <f t="shared" si="55"/>
        <v>0</v>
      </c>
      <c r="O90">
        <f t="shared" si="55"/>
        <v>0</v>
      </c>
      <c r="P90">
        <f t="shared" ref="P90:P114" si="62">SUM(Q90:AP90)</f>
        <v>0.16</v>
      </c>
      <c r="Q90">
        <f>W27</f>
        <v>0</v>
      </c>
      <c r="R90">
        <f>D90-AR90</f>
        <v>0.16</v>
      </c>
      <c r="S90">
        <f t="shared" ref="S90:Y90" si="63">Y27</f>
        <v>0</v>
      </c>
      <c r="T90">
        <f t="shared" si="63"/>
        <v>0</v>
      </c>
      <c r="U90">
        <f t="shared" si="63"/>
        <v>0</v>
      </c>
      <c r="V90">
        <f t="shared" si="63"/>
        <v>0</v>
      </c>
      <c r="W90">
        <f t="shared" si="63"/>
        <v>0</v>
      </c>
      <c r="X90">
        <f t="shared" si="63"/>
        <v>0</v>
      </c>
      <c r="Y90">
        <f t="shared" si="63"/>
        <v>0</v>
      </c>
      <c r="Z90">
        <f t="shared" ref="Z90:Z97" si="64">AQ27</f>
        <v>0</v>
      </c>
      <c r="AA90">
        <f t="shared" si="58"/>
        <v>0</v>
      </c>
      <c r="AB90">
        <f t="shared" si="58"/>
        <v>0</v>
      </c>
      <c r="AC90">
        <f t="shared" si="58"/>
        <v>0</v>
      </c>
      <c r="AD90">
        <f t="shared" si="58"/>
        <v>0</v>
      </c>
      <c r="AE90">
        <f t="shared" si="58"/>
        <v>0</v>
      </c>
      <c r="AF90">
        <f t="shared" si="58"/>
        <v>0</v>
      </c>
      <c r="AG90">
        <f t="shared" si="58"/>
        <v>0</v>
      </c>
      <c r="AH90">
        <f t="shared" si="58"/>
        <v>0</v>
      </c>
      <c r="AI90">
        <f t="shared" si="58"/>
        <v>0</v>
      </c>
      <c r="AJ90">
        <f t="shared" si="58"/>
        <v>0</v>
      </c>
      <c r="AK90">
        <f t="shared" si="58"/>
        <v>0</v>
      </c>
      <c r="AL90">
        <f t="shared" si="58"/>
        <v>0</v>
      </c>
      <c r="AM90">
        <f t="shared" si="58"/>
        <v>0</v>
      </c>
      <c r="AN90">
        <f t="shared" si="58"/>
        <v>0</v>
      </c>
      <c r="AO90">
        <f t="shared" si="58"/>
        <v>0</v>
      </c>
      <c r="AP90">
        <f t="shared" si="58"/>
        <v>0</v>
      </c>
      <c r="AQ90">
        <f t="shared" si="58"/>
        <v>0</v>
      </c>
      <c r="AR90">
        <f>E90+Q90+S90+T90+U90+V90+W90+X90+Y90+Z90+AA90+AB90+AC90+AD90+AE90+AF90+AG90+AH90+AI90+AJ90+AK90+AL90+AM90+AN90+AO90+AP90+AQ90</f>
        <v>0</v>
      </c>
      <c r="AS90">
        <f>D90+R116-AR90</f>
        <v>0.16</v>
      </c>
    </row>
    <row r="91" spans="1:45" ht="20.25" customHeight="1">
      <c r="A91" t="s">
        <v>53</v>
      </c>
      <c r="B91" t="s">
        <v>54</v>
      </c>
      <c r="C91" t="s">
        <v>55</v>
      </c>
      <c r="D91">
        <f t="shared" si="59"/>
        <v>0</v>
      </c>
      <c r="E91">
        <f t="shared" si="38"/>
        <v>0</v>
      </c>
      <c r="F91">
        <f t="shared" si="60"/>
        <v>0</v>
      </c>
      <c r="G91">
        <f t="shared" si="60"/>
        <v>0</v>
      </c>
      <c r="H91">
        <f t="shared" si="61"/>
        <v>0</v>
      </c>
      <c r="I91">
        <f t="shared" si="61"/>
        <v>0</v>
      </c>
      <c r="J91">
        <f t="shared" si="55"/>
        <v>0</v>
      </c>
      <c r="K91">
        <f t="shared" si="55"/>
        <v>0</v>
      </c>
      <c r="L91">
        <f t="shared" si="55"/>
        <v>0</v>
      </c>
      <c r="M91">
        <f t="shared" si="55"/>
        <v>0</v>
      </c>
      <c r="N91">
        <f t="shared" si="55"/>
        <v>0</v>
      </c>
      <c r="O91">
        <f t="shared" si="55"/>
        <v>0</v>
      </c>
      <c r="P91">
        <f t="shared" si="62"/>
        <v>0</v>
      </c>
      <c r="Q91">
        <f t="shared" ref="Q91:S97" si="65">W28</f>
        <v>0</v>
      </c>
      <c r="R91">
        <f>X28</f>
        <v>0</v>
      </c>
      <c r="S91">
        <f>D91-AR91</f>
        <v>0</v>
      </c>
      <c r="T91">
        <f t="shared" ref="T91:Y91" si="66">Z28</f>
        <v>0</v>
      </c>
      <c r="U91">
        <f t="shared" si="66"/>
        <v>0</v>
      </c>
      <c r="V91">
        <f t="shared" si="66"/>
        <v>0</v>
      </c>
      <c r="W91">
        <f t="shared" si="66"/>
        <v>0</v>
      </c>
      <c r="X91">
        <f t="shared" si="66"/>
        <v>0</v>
      </c>
      <c r="Y91">
        <f t="shared" si="66"/>
        <v>0</v>
      </c>
      <c r="Z91">
        <f t="shared" si="64"/>
        <v>0</v>
      </c>
      <c r="AA91">
        <f t="shared" si="58"/>
        <v>0</v>
      </c>
      <c r="AB91">
        <f t="shared" si="58"/>
        <v>0</v>
      </c>
      <c r="AC91">
        <f t="shared" si="58"/>
        <v>0</v>
      </c>
      <c r="AD91">
        <f t="shared" si="58"/>
        <v>0</v>
      </c>
      <c r="AE91">
        <f t="shared" si="58"/>
        <v>0</v>
      </c>
      <c r="AF91">
        <f t="shared" si="58"/>
        <v>0</v>
      </c>
      <c r="AG91">
        <f t="shared" si="58"/>
        <v>0</v>
      </c>
      <c r="AH91">
        <f t="shared" si="58"/>
        <v>0</v>
      </c>
      <c r="AI91">
        <f t="shared" si="58"/>
        <v>0</v>
      </c>
      <c r="AJ91">
        <f t="shared" si="58"/>
        <v>0</v>
      </c>
      <c r="AK91">
        <f t="shared" si="58"/>
        <v>0</v>
      </c>
      <c r="AL91">
        <f t="shared" si="58"/>
        <v>0</v>
      </c>
      <c r="AM91">
        <f t="shared" si="58"/>
        <v>0</v>
      </c>
      <c r="AN91">
        <f t="shared" si="58"/>
        <v>0</v>
      </c>
      <c r="AO91">
        <f t="shared" si="58"/>
        <v>0</v>
      </c>
      <c r="AP91">
        <f t="shared" si="58"/>
        <v>0</v>
      </c>
      <c r="AQ91">
        <f t="shared" si="58"/>
        <v>0</v>
      </c>
      <c r="AR91">
        <f>E91+Q91+R91+T91+U91+V91+W91+X91+Y91+Z91+AA91+AB91+AC91+AD91+AE91+AF91+AG91+AH91+AI91+AJ91+AK91+AL91+AM91+AN91+AO91+AP91+AQ91</f>
        <v>0</v>
      </c>
      <c r="AS91">
        <f>D91+S116-AR91</f>
        <v>0</v>
      </c>
    </row>
    <row r="92" spans="1:45" ht="20.25" customHeight="1">
      <c r="A92" t="s">
        <v>56</v>
      </c>
      <c r="B92" t="s">
        <v>57</v>
      </c>
      <c r="C92" t="s">
        <v>58</v>
      </c>
      <c r="D92">
        <f t="shared" si="59"/>
        <v>0</v>
      </c>
      <c r="E92">
        <f t="shared" si="38"/>
        <v>0</v>
      </c>
      <c r="F92">
        <f t="shared" si="60"/>
        <v>0</v>
      </c>
      <c r="G92">
        <f t="shared" si="60"/>
        <v>0</v>
      </c>
      <c r="H92">
        <f t="shared" si="61"/>
        <v>0</v>
      </c>
      <c r="I92">
        <f t="shared" si="61"/>
        <v>0</v>
      </c>
      <c r="J92">
        <f t="shared" si="55"/>
        <v>0</v>
      </c>
      <c r="K92">
        <f t="shared" si="55"/>
        <v>0</v>
      </c>
      <c r="L92">
        <f t="shared" si="55"/>
        <v>0</v>
      </c>
      <c r="M92">
        <f t="shared" si="55"/>
        <v>0</v>
      </c>
      <c r="N92">
        <f t="shared" si="55"/>
        <v>0</v>
      </c>
      <c r="O92">
        <f t="shared" si="55"/>
        <v>0</v>
      </c>
      <c r="P92">
        <f t="shared" si="62"/>
        <v>0</v>
      </c>
      <c r="Q92">
        <f t="shared" si="65"/>
        <v>0</v>
      </c>
      <c r="R92">
        <f t="shared" si="65"/>
        <v>0</v>
      </c>
      <c r="S92">
        <f t="shared" si="65"/>
        <v>0</v>
      </c>
      <c r="T92">
        <f>D92-AR92</f>
        <v>0</v>
      </c>
      <c r="U92">
        <f>AA29</f>
        <v>0</v>
      </c>
      <c r="V92">
        <f>AB29</f>
        <v>0</v>
      </c>
      <c r="W92">
        <f>AC29</f>
        <v>0</v>
      </c>
      <c r="X92">
        <f>AD29</f>
        <v>0</v>
      </c>
      <c r="Y92">
        <f>AE29</f>
        <v>0</v>
      </c>
      <c r="Z92">
        <f t="shared" si="64"/>
        <v>0</v>
      </c>
      <c r="AA92">
        <f t="shared" si="58"/>
        <v>0</v>
      </c>
      <c r="AB92">
        <f t="shared" si="58"/>
        <v>0</v>
      </c>
      <c r="AC92">
        <f t="shared" si="58"/>
        <v>0</v>
      </c>
      <c r="AD92">
        <f t="shared" si="58"/>
        <v>0</v>
      </c>
      <c r="AE92">
        <f t="shared" si="58"/>
        <v>0</v>
      </c>
      <c r="AF92">
        <f t="shared" si="58"/>
        <v>0</v>
      </c>
      <c r="AG92">
        <f t="shared" si="58"/>
        <v>0</v>
      </c>
      <c r="AH92">
        <f t="shared" si="58"/>
        <v>0</v>
      </c>
      <c r="AI92">
        <f t="shared" si="58"/>
        <v>0</v>
      </c>
      <c r="AJ92">
        <f t="shared" si="58"/>
        <v>0</v>
      </c>
      <c r="AK92">
        <f t="shared" si="58"/>
        <v>0</v>
      </c>
      <c r="AL92">
        <f t="shared" si="58"/>
        <v>0</v>
      </c>
      <c r="AM92">
        <f t="shared" si="58"/>
        <v>0</v>
      </c>
      <c r="AN92">
        <f t="shared" si="58"/>
        <v>0</v>
      </c>
      <c r="AO92">
        <f t="shared" si="58"/>
        <v>0</v>
      </c>
      <c r="AP92">
        <f t="shared" si="58"/>
        <v>0</v>
      </c>
      <c r="AQ92">
        <f t="shared" si="58"/>
        <v>0</v>
      </c>
      <c r="AR92">
        <f>E92+Q92+R92+S92+U92+V92+W92+X92+Y92+Z92+AA92+AB92+AC92+AD92+AE92+AF92+AG92+AH92+AI92+AJ92+AK92+AL92+AM92+AN92+AO92+AP92+AQ92</f>
        <v>0</v>
      </c>
      <c r="AS92">
        <f>D92+T116-AR92</f>
        <v>0</v>
      </c>
    </row>
    <row r="93" spans="1:45" ht="20.25" customHeight="1">
      <c r="A93" t="s">
        <v>59</v>
      </c>
      <c r="B93" t="s">
        <v>60</v>
      </c>
      <c r="C93" t="s">
        <v>61</v>
      </c>
      <c r="D93">
        <f t="shared" si="59"/>
        <v>0</v>
      </c>
      <c r="E93">
        <f t="shared" si="38"/>
        <v>0</v>
      </c>
      <c r="F93">
        <f t="shared" si="60"/>
        <v>0</v>
      </c>
      <c r="G93">
        <f t="shared" si="60"/>
        <v>0</v>
      </c>
      <c r="H93">
        <f t="shared" si="61"/>
        <v>0</v>
      </c>
      <c r="I93">
        <f t="shared" si="61"/>
        <v>0</v>
      </c>
      <c r="J93">
        <f t="shared" si="55"/>
        <v>0</v>
      </c>
      <c r="K93">
        <f t="shared" si="55"/>
        <v>0</v>
      </c>
      <c r="L93">
        <f t="shared" si="55"/>
        <v>0</v>
      </c>
      <c r="M93">
        <f t="shared" si="55"/>
        <v>0</v>
      </c>
      <c r="N93">
        <f t="shared" si="55"/>
        <v>0</v>
      </c>
      <c r="O93">
        <f t="shared" si="55"/>
        <v>0</v>
      </c>
      <c r="P93">
        <f t="shared" si="62"/>
        <v>0</v>
      </c>
      <c r="Q93">
        <f t="shared" si="65"/>
        <v>0</v>
      </c>
      <c r="R93">
        <f t="shared" si="65"/>
        <v>0</v>
      </c>
      <c r="S93">
        <f t="shared" si="65"/>
        <v>0</v>
      </c>
      <c r="T93">
        <f>Z30</f>
        <v>0</v>
      </c>
      <c r="U93">
        <f>D93-AR93</f>
        <v>0</v>
      </c>
      <c r="V93">
        <f>AB30</f>
        <v>0</v>
      </c>
      <c r="W93">
        <f>AC30</f>
        <v>0</v>
      </c>
      <c r="X93">
        <f>AD30</f>
        <v>0</v>
      </c>
      <c r="Y93">
        <f>AE30</f>
        <v>0</v>
      </c>
      <c r="Z93">
        <f t="shared" si="64"/>
        <v>0</v>
      </c>
      <c r="AA93">
        <f t="shared" si="58"/>
        <v>0</v>
      </c>
      <c r="AB93">
        <f t="shared" si="58"/>
        <v>0</v>
      </c>
      <c r="AC93">
        <f t="shared" si="58"/>
        <v>0</v>
      </c>
      <c r="AD93">
        <f t="shared" si="58"/>
        <v>0</v>
      </c>
      <c r="AE93">
        <f t="shared" si="58"/>
        <v>0</v>
      </c>
      <c r="AF93">
        <f t="shared" si="58"/>
        <v>0</v>
      </c>
      <c r="AG93">
        <f t="shared" si="58"/>
        <v>0</v>
      </c>
      <c r="AH93">
        <f t="shared" si="58"/>
        <v>0</v>
      </c>
      <c r="AI93">
        <f t="shared" si="58"/>
        <v>0</v>
      </c>
      <c r="AJ93">
        <f t="shared" si="58"/>
        <v>0</v>
      </c>
      <c r="AK93">
        <f t="shared" si="58"/>
        <v>0</v>
      </c>
      <c r="AL93">
        <f t="shared" si="58"/>
        <v>0</v>
      </c>
      <c r="AM93">
        <f t="shared" si="58"/>
        <v>0</v>
      </c>
      <c r="AN93">
        <f t="shared" si="58"/>
        <v>0</v>
      </c>
      <c r="AO93">
        <f t="shared" si="58"/>
        <v>0</v>
      </c>
      <c r="AP93">
        <f t="shared" si="58"/>
        <v>0</v>
      </c>
      <c r="AQ93">
        <f t="shared" si="58"/>
        <v>0</v>
      </c>
      <c r="AR93">
        <f>E93+Q93+R93+S93+T93+V93+W93+X93+Y93+Z93+AA93+AB93+AC93+AD93+AE93+AF93+AG93+AH93+AI93+AJ93+AK93+AL93+AM93+AN93+AO93+AP93+AQ93</f>
        <v>0</v>
      </c>
      <c r="AS93">
        <f>D93+U116-AR93</f>
        <v>0</v>
      </c>
    </row>
    <row r="94" spans="1:45" ht="20.25" customHeight="1">
      <c r="A94" t="s">
        <v>62</v>
      </c>
      <c r="B94" t="s">
        <v>63</v>
      </c>
      <c r="C94" t="s">
        <v>64</v>
      </c>
      <c r="D94">
        <f t="shared" si="59"/>
        <v>16.494199999999999</v>
      </c>
      <c r="E94">
        <f t="shared" si="38"/>
        <v>0</v>
      </c>
      <c r="F94">
        <f t="shared" si="60"/>
        <v>0</v>
      </c>
      <c r="G94">
        <f t="shared" si="60"/>
        <v>0</v>
      </c>
      <c r="H94">
        <f t="shared" si="61"/>
        <v>0</v>
      </c>
      <c r="I94">
        <f t="shared" si="61"/>
        <v>0</v>
      </c>
      <c r="J94">
        <f t="shared" si="55"/>
        <v>0</v>
      </c>
      <c r="K94">
        <f t="shared" si="55"/>
        <v>0</v>
      </c>
      <c r="L94">
        <f t="shared" si="55"/>
        <v>0</v>
      </c>
      <c r="M94">
        <f t="shared" si="55"/>
        <v>0</v>
      </c>
      <c r="N94">
        <f t="shared" si="55"/>
        <v>0</v>
      </c>
      <c r="O94">
        <f t="shared" si="55"/>
        <v>0</v>
      </c>
      <c r="P94">
        <f t="shared" si="62"/>
        <v>16.494199999999999</v>
      </c>
      <c r="Q94">
        <f t="shared" si="65"/>
        <v>0</v>
      </c>
      <c r="R94">
        <f t="shared" si="65"/>
        <v>0</v>
      </c>
      <c r="S94">
        <f t="shared" si="65"/>
        <v>0</v>
      </c>
      <c r="T94">
        <f>Z31</f>
        <v>0</v>
      </c>
      <c r="U94">
        <f>AA31</f>
        <v>0</v>
      </c>
      <c r="V94">
        <f>D94-AR94</f>
        <v>16.414200000000001</v>
      </c>
      <c r="W94">
        <f>AC31</f>
        <v>0</v>
      </c>
      <c r="X94">
        <f>AD31</f>
        <v>0</v>
      </c>
      <c r="Y94">
        <f>AE31</f>
        <v>0.08</v>
      </c>
      <c r="Z94">
        <f t="shared" si="64"/>
        <v>0</v>
      </c>
      <c r="AA94">
        <f t="shared" si="58"/>
        <v>0</v>
      </c>
      <c r="AB94">
        <f t="shared" si="58"/>
        <v>0</v>
      </c>
      <c r="AC94">
        <f t="shared" si="58"/>
        <v>0</v>
      </c>
      <c r="AD94">
        <f t="shared" si="58"/>
        <v>0</v>
      </c>
      <c r="AE94">
        <f t="shared" si="58"/>
        <v>0</v>
      </c>
      <c r="AF94">
        <f t="shared" si="58"/>
        <v>0</v>
      </c>
      <c r="AG94">
        <f t="shared" si="58"/>
        <v>0</v>
      </c>
      <c r="AH94">
        <f t="shared" si="58"/>
        <v>0</v>
      </c>
      <c r="AI94">
        <f t="shared" si="58"/>
        <v>0</v>
      </c>
      <c r="AJ94">
        <f t="shared" si="58"/>
        <v>0</v>
      </c>
      <c r="AK94">
        <f t="shared" si="58"/>
        <v>0</v>
      </c>
      <c r="AL94">
        <f t="shared" si="58"/>
        <v>0</v>
      </c>
      <c r="AM94">
        <f t="shared" si="58"/>
        <v>0</v>
      </c>
      <c r="AN94">
        <f t="shared" si="58"/>
        <v>0</v>
      </c>
      <c r="AO94">
        <f t="shared" si="58"/>
        <v>0</v>
      </c>
      <c r="AP94">
        <f t="shared" si="58"/>
        <v>0</v>
      </c>
      <c r="AQ94">
        <f t="shared" si="58"/>
        <v>0</v>
      </c>
      <c r="AR94">
        <f>E94+Q94+R94+S94+T94+U94+W94+X94+Y94+Z94+AA94+AB94+AC94+AD94+AE94+AF94+AG94+AH94+AI94+AJ94+AK94+AL94+AM94+AN94+AO94+AP94+AQ94</f>
        <v>0.08</v>
      </c>
      <c r="AS94">
        <f>D94+V116-AR94</f>
        <v>17.664200000000001</v>
      </c>
    </row>
    <row r="95" spans="1:45" ht="20.25" customHeight="1">
      <c r="A95" t="s">
        <v>65</v>
      </c>
      <c r="B95" t="s">
        <v>66</v>
      </c>
      <c r="C95" t="s">
        <v>67</v>
      </c>
      <c r="D95">
        <f t="shared" si="59"/>
        <v>60.28</v>
      </c>
      <c r="E95">
        <f t="shared" si="38"/>
        <v>0</v>
      </c>
      <c r="F95">
        <f t="shared" si="60"/>
        <v>0</v>
      </c>
      <c r="G95">
        <f t="shared" si="60"/>
        <v>0</v>
      </c>
      <c r="H95">
        <f t="shared" si="61"/>
        <v>0</v>
      </c>
      <c r="I95">
        <f t="shared" si="61"/>
        <v>0</v>
      </c>
      <c r="J95">
        <f t="shared" si="55"/>
        <v>0</v>
      </c>
      <c r="K95">
        <f t="shared" si="55"/>
        <v>0</v>
      </c>
      <c r="L95">
        <f t="shared" si="55"/>
        <v>0</v>
      </c>
      <c r="M95">
        <f t="shared" si="55"/>
        <v>0</v>
      </c>
      <c r="N95">
        <f t="shared" si="55"/>
        <v>0</v>
      </c>
      <c r="O95">
        <f t="shared" si="55"/>
        <v>0</v>
      </c>
      <c r="P95">
        <f t="shared" si="62"/>
        <v>60.28</v>
      </c>
      <c r="Q95">
        <f t="shared" si="65"/>
        <v>0</v>
      </c>
      <c r="R95">
        <f t="shared" si="65"/>
        <v>0</v>
      </c>
      <c r="S95">
        <f t="shared" si="65"/>
        <v>0</v>
      </c>
      <c r="T95">
        <f>Z32</f>
        <v>0</v>
      </c>
      <c r="U95">
        <f>AA32</f>
        <v>0</v>
      </c>
      <c r="V95">
        <f>AB32</f>
        <v>0</v>
      </c>
      <c r="W95">
        <f>D95-AR95</f>
        <v>60.28</v>
      </c>
      <c r="X95">
        <f>AD32</f>
        <v>0</v>
      </c>
      <c r="Y95">
        <f>AE32</f>
        <v>0</v>
      </c>
      <c r="Z95">
        <f t="shared" si="64"/>
        <v>0</v>
      </c>
      <c r="AA95">
        <f t="shared" si="58"/>
        <v>0</v>
      </c>
      <c r="AB95">
        <f t="shared" si="58"/>
        <v>0</v>
      </c>
      <c r="AC95">
        <f t="shared" si="58"/>
        <v>0</v>
      </c>
      <c r="AD95">
        <f t="shared" si="58"/>
        <v>0</v>
      </c>
      <c r="AE95">
        <f t="shared" si="58"/>
        <v>0</v>
      </c>
      <c r="AF95">
        <f t="shared" si="58"/>
        <v>0</v>
      </c>
      <c r="AG95">
        <f t="shared" si="58"/>
        <v>0</v>
      </c>
      <c r="AH95">
        <f t="shared" si="58"/>
        <v>0</v>
      </c>
      <c r="AI95">
        <f t="shared" si="58"/>
        <v>0</v>
      </c>
      <c r="AJ95">
        <f t="shared" si="58"/>
        <v>0</v>
      </c>
      <c r="AK95">
        <f t="shared" si="58"/>
        <v>0</v>
      </c>
      <c r="AL95">
        <f t="shared" si="58"/>
        <v>0</v>
      </c>
      <c r="AM95">
        <f t="shared" si="58"/>
        <v>0</v>
      </c>
      <c r="AN95">
        <f t="shared" si="58"/>
        <v>0</v>
      </c>
      <c r="AO95">
        <f t="shared" si="58"/>
        <v>0</v>
      </c>
      <c r="AP95">
        <f t="shared" si="58"/>
        <v>0</v>
      </c>
      <c r="AQ95">
        <f t="shared" si="58"/>
        <v>0</v>
      </c>
      <c r="AR95">
        <f>E95+Q95+R95+S95+T95+U95+V95+X95+Y95+Z95+AA95+AB95+AC95+AD95+AE95+AF95+AG95+AH95+AI95+AJ95+AK95+AL95+AM95+AN95+AO95+AP95+AQ95</f>
        <v>0</v>
      </c>
      <c r="AS95">
        <f>D95+W116-AR95</f>
        <v>60.28</v>
      </c>
    </row>
    <row r="96" spans="1:45" ht="20.25" customHeight="1">
      <c r="A96" t="s">
        <v>68</v>
      </c>
      <c r="B96" t="s">
        <v>69</v>
      </c>
      <c r="C96" t="s">
        <v>70</v>
      </c>
      <c r="D96">
        <f t="shared" si="59"/>
        <v>0</v>
      </c>
      <c r="E96">
        <f t="shared" si="38"/>
        <v>0</v>
      </c>
      <c r="F96">
        <f t="shared" si="60"/>
        <v>0</v>
      </c>
      <c r="G96">
        <f t="shared" si="60"/>
        <v>0</v>
      </c>
      <c r="H96">
        <f t="shared" si="61"/>
        <v>0</v>
      </c>
      <c r="I96">
        <f t="shared" si="61"/>
        <v>0</v>
      </c>
      <c r="J96">
        <f t="shared" si="55"/>
        <v>0</v>
      </c>
      <c r="K96">
        <f t="shared" si="55"/>
        <v>0</v>
      </c>
      <c r="L96">
        <f t="shared" si="55"/>
        <v>0</v>
      </c>
      <c r="M96">
        <f t="shared" si="55"/>
        <v>0</v>
      </c>
      <c r="N96">
        <f t="shared" si="55"/>
        <v>0</v>
      </c>
      <c r="O96">
        <f t="shared" si="55"/>
        <v>0</v>
      </c>
      <c r="P96">
        <f t="shared" si="62"/>
        <v>0</v>
      </c>
      <c r="Q96">
        <f t="shared" si="65"/>
        <v>0</v>
      </c>
      <c r="R96">
        <f t="shared" si="65"/>
        <v>0</v>
      </c>
      <c r="S96">
        <f t="shared" si="65"/>
        <v>0</v>
      </c>
      <c r="T96">
        <f>Z33</f>
        <v>0</v>
      </c>
      <c r="U96">
        <f>AA33</f>
        <v>0</v>
      </c>
      <c r="V96">
        <f>AB33</f>
        <v>0</v>
      </c>
      <c r="W96">
        <f>AC33</f>
        <v>0</v>
      </c>
      <c r="X96">
        <f>D96-AR96</f>
        <v>0</v>
      </c>
      <c r="Y96">
        <f>AE33</f>
        <v>0</v>
      </c>
      <c r="Z96">
        <f t="shared" si="64"/>
        <v>0</v>
      </c>
      <c r="AA96">
        <f t="shared" si="58"/>
        <v>0</v>
      </c>
      <c r="AB96">
        <f t="shared" si="58"/>
        <v>0</v>
      </c>
      <c r="AC96">
        <f t="shared" si="58"/>
        <v>0</v>
      </c>
      <c r="AD96">
        <f t="shared" si="58"/>
        <v>0</v>
      </c>
      <c r="AE96">
        <f t="shared" si="58"/>
        <v>0</v>
      </c>
      <c r="AF96">
        <f t="shared" si="58"/>
        <v>0</v>
      </c>
      <c r="AG96">
        <f t="shared" si="58"/>
        <v>0</v>
      </c>
      <c r="AH96">
        <f t="shared" si="58"/>
        <v>0</v>
      </c>
      <c r="AI96">
        <f t="shared" si="58"/>
        <v>0</v>
      </c>
      <c r="AJ96">
        <f t="shared" si="58"/>
        <v>0</v>
      </c>
      <c r="AK96">
        <f t="shared" si="58"/>
        <v>0</v>
      </c>
      <c r="AL96">
        <f t="shared" si="58"/>
        <v>0</v>
      </c>
      <c r="AM96">
        <f t="shared" si="58"/>
        <v>0</v>
      </c>
      <c r="AN96">
        <f t="shared" si="58"/>
        <v>0</v>
      </c>
      <c r="AO96">
        <f t="shared" si="58"/>
        <v>0</v>
      </c>
      <c r="AP96">
        <f t="shared" si="58"/>
        <v>0</v>
      </c>
      <c r="AQ96">
        <f t="shared" si="58"/>
        <v>0</v>
      </c>
      <c r="AR96">
        <f>E96+Q96+R96+S96+T96+U96+V96+W96+Y96+Z96+AA96+AB96+AC96+AD96+AE96+AF96+AG96+AH96+AI96+AJ96+AK96+AL96+AM96+AN96+AO96+AP96+AQ96</f>
        <v>0</v>
      </c>
      <c r="AS96">
        <f>D96+X116-AR96</f>
        <v>0</v>
      </c>
    </row>
    <row r="97" spans="1:45" ht="38.25" customHeight="1">
      <c r="A97" t="s">
        <v>71</v>
      </c>
      <c r="B97" t="s">
        <v>135</v>
      </c>
      <c r="C97" t="s">
        <v>72</v>
      </c>
      <c r="D97">
        <f t="shared" si="59"/>
        <v>120.88280000000003</v>
      </c>
      <c r="E97">
        <f t="shared" si="38"/>
        <v>0</v>
      </c>
      <c r="F97">
        <f t="shared" si="60"/>
        <v>0</v>
      </c>
      <c r="G97">
        <f t="shared" si="60"/>
        <v>0</v>
      </c>
      <c r="H97">
        <f t="shared" si="61"/>
        <v>0</v>
      </c>
      <c r="I97">
        <f t="shared" si="61"/>
        <v>0</v>
      </c>
      <c r="J97">
        <f>P34</f>
        <v>0</v>
      </c>
      <c r="K97">
        <f t="shared" si="55"/>
        <v>0</v>
      </c>
      <c r="L97">
        <f t="shared" si="55"/>
        <v>0</v>
      </c>
      <c r="M97">
        <f t="shared" si="55"/>
        <v>0</v>
      </c>
      <c r="N97">
        <f t="shared" si="55"/>
        <v>0</v>
      </c>
      <c r="O97">
        <f t="shared" si="55"/>
        <v>0</v>
      </c>
      <c r="P97">
        <f t="shared" si="62"/>
        <v>120.88280000000005</v>
      </c>
      <c r="Q97">
        <f t="shared" si="65"/>
        <v>0</v>
      </c>
      <c r="R97">
        <f t="shared" si="65"/>
        <v>0</v>
      </c>
      <c r="S97">
        <f t="shared" si="65"/>
        <v>0</v>
      </c>
      <c r="T97">
        <f>Z34</f>
        <v>0</v>
      </c>
      <c r="U97">
        <f>AA34</f>
        <v>0</v>
      </c>
      <c r="V97">
        <f>AB34</f>
        <v>0.06</v>
      </c>
      <c r="W97">
        <f>AC34</f>
        <v>0</v>
      </c>
      <c r="X97">
        <f>AD34</f>
        <v>0</v>
      </c>
      <c r="Y97">
        <f>D97-AR97</f>
        <v>120.19280000000003</v>
      </c>
      <c r="Z97">
        <f t="shared" si="64"/>
        <v>0</v>
      </c>
      <c r="AA97">
        <f t="shared" si="58"/>
        <v>0</v>
      </c>
      <c r="AB97">
        <f t="shared" si="58"/>
        <v>0</v>
      </c>
      <c r="AC97">
        <f t="shared" si="58"/>
        <v>0</v>
      </c>
      <c r="AD97">
        <f t="shared" si="58"/>
        <v>0.48</v>
      </c>
      <c r="AE97">
        <f t="shared" si="58"/>
        <v>0</v>
      </c>
      <c r="AF97">
        <f t="shared" si="58"/>
        <v>0</v>
      </c>
      <c r="AG97">
        <f t="shared" si="58"/>
        <v>0</v>
      </c>
      <c r="AH97">
        <f t="shared" si="58"/>
        <v>0</v>
      </c>
      <c r="AI97">
        <f t="shared" si="58"/>
        <v>0</v>
      </c>
      <c r="AJ97">
        <f t="shared" si="58"/>
        <v>0.14000000000000001</v>
      </c>
      <c r="AK97">
        <f t="shared" si="58"/>
        <v>0</v>
      </c>
      <c r="AL97">
        <f t="shared" si="58"/>
        <v>0</v>
      </c>
      <c r="AM97">
        <f t="shared" si="58"/>
        <v>0</v>
      </c>
      <c r="AN97">
        <f t="shared" si="58"/>
        <v>0</v>
      </c>
      <c r="AO97">
        <f t="shared" si="58"/>
        <v>0.01</v>
      </c>
      <c r="AP97">
        <f t="shared" si="58"/>
        <v>0</v>
      </c>
      <c r="AQ97">
        <f t="shared" si="58"/>
        <v>0</v>
      </c>
      <c r="AR97">
        <f>E97+Q97+R97+S97+T97+U97+V97+W97+X97+Z97+AA97+AB97+AC97+AD97+AE97+AF97+AG97+AH97+AI97+AJ97+AK97+AL97+AM97+AN97+AO97+AP97+AQ97</f>
        <v>0.69000000000000006</v>
      </c>
      <c r="AS97">
        <f>D97+Y116-AR97</f>
        <v>137.05280000000005</v>
      </c>
    </row>
    <row r="98" spans="1:45" ht="20.25" customHeight="1">
      <c r="A98" t="s">
        <v>73</v>
      </c>
      <c r="B98" t="s">
        <v>74</v>
      </c>
      <c r="C98" t="s">
        <v>75</v>
      </c>
      <c r="D98">
        <f>D46</f>
        <v>0</v>
      </c>
      <c r="E98">
        <f t="shared" si="38"/>
        <v>0</v>
      </c>
      <c r="F98">
        <f>H46</f>
        <v>0</v>
      </c>
      <c r="G98">
        <f>I46</f>
        <v>0</v>
      </c>
      <c r="H98">
        <f>M46</f>
        <v>0</v>
      </c>
      <c r="I98">
        <f>N46</f>
        <v>0</v>
      </c>
      <c r="J98">
        <f t="shared" ref="J98:O113" si="67">P46</f>
        <v>0</v>
      </c>
      <c r="K98">
        <f t="shared" si="67"/>
        <v>0</v>
      </c>
      <c r="L98">
        <f t="shared" si="67"/>
        <v>0</v>
      </c>
      <c r="M98">
        <f t="shared" si="67"/>
        <v>0</v>
      </c>
      <c r="N98">
        <f t="shared" si="67"/>
        <v>0</v>
      </c>
      <c r="O98">
        <f t="shared" si="67"/>
        <v>0</v>
      </c>
      <c r="P98">
        <f t="shared" si="62"/>
        <v>0</v>
      </c>
      <c r="Q98">
        <f t="shared" ref="Q98:Y113" si="68">W46</f>
        <v>0</v>
      </c>
      <c r="R98">
        <f t="shared" si="68"/>
        <v>0</v>
      </c>
      <c r="S98">
        <f t="shared" si="68"/>
        <v>0</v>
      </c>
      <c r="T98">
        <f t="shared" si="68"/>
        <v>0</v>
      </c>
      <c r="U98">
        <f t="shared" si="68"/>
        <v>0</v>
      </c>
      <c r="V98">
        <f t="shared" si="68"/>
        <v>0</v>
      </c>
      <c r="W98">
        <f t="shared" si="68"/>
        <v>0</v>
      </c>
      <c r="X98">
        <f t="shared" si="68"/>
        <v>0</v>
      </c>
      <c r="Y98">
        <f t="shared" si="68"/>
        <v>0</v>
      </c>
      <c r="Z98">
        <f>D98-AR98</f>
        <v>0</v>
      </c>
      <c r="AA98">
        <f>AR46</f>
        <v>0</v>
      </c>
      <c r="AB98">
        <f t="shared" ref="AB98:AQ109" si="69">AS46</f>
        <v>0</v>
      </c>
      <c r="AC98">
        <f t="shared" si="69"/>
        <v>0</v>
      </c>
      <c r="AD98">
        <f t="shared" si="69"/>
        <v>0</v>
      </c>
      <c r="AE98">
        <f t="shared" si="69"/>
        <v>0</v>
      </c>
      <c r="AF98">
        <f t="shared" si="69"/>
        <v>0</v>
      </c>
      <c r="AG98">
        <f t="shared" si="69"/>
        <v>0</v>
      </c>
      <c r="AH98">
        <f t="shared" si="69"/>
        <v>0</v>
      </c>
      <c r="AI98">
        <f t="shared" si="69"/>
        <v>0</v>
      </c>
      <c r="AJ98">
        <f t="shared" si="69"/>
        <v>0</v>
      </c>
      <c r="AK98">
        <f t="shared" si="69"/>
        <v>0</v>
      </c>
      <c r="AL98">
        <f t="shared" si="69"/>
        <v>0</v>
      </c>
      <c r="AM98">
        <f t="shared" si="69"/>
        <v>0</v>
      </c>
      <c r="AN98">
        <f t="shared" si="69"/>
        <v>0</v>
      </c>
      <c r="AO98">
        <f t="shared" si="69"/>
        <v>0</v>
      </c>
      <c r="AP98">
        <f t="shared" si="69"/>
        <v>0</v>
      </c>
      <c r="AQ98">
        <f t="shared" si="69"/>
        <v>0</v>
      </c>
      <c r="AR98">
        <f>E98+Q98+R98+S98+T98+U98+V98+W98+X98+Y98+AA98+AB98+AC98+AD98+AE98+AF98+AG98+AH98+AI98+AJ98+AK98+AL98+AM98+AN98+AO98+AP98+AQ98</f>
        <v>0</v>
      </c>
      <c r="AS98">
        <f>D98+Z116-AR98</f>
        <v>0</v>
      </c>
    </row>
    <row r="99" spans="1:45" ht="20.25" customHeight="1">
      <c r="A99" t="s">
        <v>76</v>
      </c>
      <c r="B99" t="s">
        <v>77</v>
      </c>
      <c r="C99" t="s">
        <v>78</v>
      </c>
      <c r="D99">
        <f t="shared" ref="D99:D114" si="70">D47</f>
        <v>0</v>
      </c>
      <c r="E99">
        <f t="shared" si="38"/>
        <v>0</v>
      </c>
      <c r="F99">
        <f t="shared" ref="F99:G115" si="71">H47</f>
        <v>0</v>
      </c>
      <c r="G99">
        <f t="shared" si="71"/>
        <v>0</v>
      </c>
      <c r="H99">
        <f t="shared" ref="H99:I115" si="72">M47</f>
        <v>0</v>
      </c>
      <c r="I99">
        <f t="shared" si="72"/>
        <v>0</v>
      </c>
      <c r="J99">
        <f t="shared" si="67"/>
        <v>0</v>
      </c>
      <c r="K99">
        <f t="shared" si="67"/>
        <v>0</v>
      </c>
      <c r="L99">
        <f t="shared" si="67"/>
        <v>0</v>
      </c>
      <c r="M99">
        <f t="shared" si="67"/>
        <v>0</v>
      </c>
      <c r="N99">
        <f t="shared" si="67"/>
        <v>0</v>
      </c>
      <c r="O99">
        <f t="shared" si="67"/>
        <v>0</v>
      </c>
      <c r="P99">
        <f t="shared" si="62"/>
        <v>0</v>
      </c>
      <c r="Q99">
        <f t="shared" si="68"/>
        <v>0</v>
      </c>
      <c r="R99">
        <f t="shared" si="68"/>
        <v>0</v>
      </c>
      <c r="S99">
        <f t="shared" si="68"/>
        <v>0</v>
      </c>
      <c r="T99">
        <f t="shared" si="68"/>
        <v>0</v>
      </c>
      <c r="U99">
        <f t="shared" si="68"/>
        <v>0</v>
      </c>
      <c r="V99">
        <f t="shared" si="68"/>
        <v>0</v>
      </c>
      <c r="W99">
        <f t="shared" si="68"/>
        <v>0</v>
      </c>
      <c r="X99">
        <f t="shared" si="68"/>
        <v>0</v>
      </c>
      <c r="Y99">
        <f t="shared" si="68"/>
        <v>0</v>
      </c>
      <c r="Z99">
        <f>AQ47</f>
        <v>0</v>
      </c>
      <c r="AA99">
        <f>D99-AR99</f>
        <v>0</v>
      </c>
      <c r="AB99">
        <f>AS47</f>
        <v>0</v>
      </c>
      <c r="AC99">
        <f t="shared" si="69"/>
        <v>0</v>
      </c>
      <c r="AD99">
        <f t="shared" si="69"/>
        <v>0</v>
      </c>
      <c r="AE99">
        <f t="shared" si="69"/>
        <v>0</v>
      </c>
      <c r="AF99">
        <f t="shared" si="69"/>
        <v>0</v>
      </c>
      <c r="AG99">
        <f t="shared" si="69"/>
        <v>0</v>
      </c>
      <c r="AH99">
        <f t="shared" si="69"/>
        <v>0</v>
      </c>
      <c r="AI99">
        <f t="shared" si="69"/>
        <v>0</v>
      </c>
      <c r="AJ99">
        <f t="shared" si="69"/>
        <v>0</v>
      </c>
      <c r="AK99">
        <f t="shared" si="69"/>
        <v>0</v>
      </c>
      <c r="AL99">
        <f t="shared" si="69"/>
        <v>0</v>
      </c>
      <c r="AM99">
        <f t="shared" si="69"/>
        <v>0</v>
      </c>
      <c r="AN99">
        <f t="shared" si="69"/>
        <v>0</v>
      </c>
      <c r="AO99">
        <f t="shared" si="69"/>
        <v>0</v>
      </c>
      <c r="AP99">
        <f t="shared" si="69"/>
        <v>0</v>
      </c>
      <c r="AQ99">
        <f t="shared" si="69"/>
        <v>0</v>
      </c>
      <c r="AR99">
        <f>E99+Q99+R99+S99+T99+U99+V99+W99+X99+Y99+Z99+AB99+AC99+AD99+AE99+AF99+AG99+AH99+AI99+AJ99+AK99+AL99+AM99+AN99+AO99+AP99+AQ99</f>
        <v>0</v>
      </c>
      <c r="AS99">
        <f>D99+AA116-AR99</f>
        <v>0</v>
      </c>
    </row>
    <row r="100" spans="1:45" ht="20.25" customHeight="1">
      <c r="A100" t="s">
        <v>79</v>
      </c>
      <c r="B100" t="s">
        <v>80</v>
      </c>
      <c r="C100" t="s">
        <v>81</v>
      </c>
      <c r="D100">
        <f t="shared" si="70"/>
        <v>0</v>
      </c>
      <c r="E100">
        <f t="shared" si="38"/>
        <v>0</v>
      </c>
      <c r="F100">
        <f t="shared" si="71"/>
        <v>0</v>
      </c>
      <c r="G100">
        <f t="shared" si="71"/>
        <v>0</v>
      </c>
      <c r="H100">
        <f t="shared" si="72"/>
        <v>0</v>
      </c>
      <c r="I100">
        <f t="shared" si="72"/>
        <v>0</v>
      </c>
      <c r="J100">
        <f t="shared" si="67"/>
        <v>0</v>
      </c>
      <c r="K100">
        <f t="shared" si="67"/>
        <v>0</v>
      </c>
      <c r="L100">
        <f t="shared" si="67"/>
        <v>0</v>
      </c>
      <c r="M100">
        <f t="shared" si="67"/>
        <v>0</v>
      </c>
      <c r="N100">
        <f t="shared" si="67"/>
        <v>0</v>
      </c>
      <c r="O100">
        <f t="shared" si="67"/>
        <v>0</v>
      </c>
      <c r="P100">
        <f t="shared" si="62"/>
        <v>0</v>
      </c>
      <c r="Q100">
        <f t="shared" si="68"/>
        <v>0</v>
      </c>
      <c r="R100">
        <f t="shared" si="68"/>
        <v>0</v>
      </c>
      <c r="S100">
        <f t="shared" si="68"/>
        <v>0</v>
      </c>
      <c r="T100">
        <f t="shared" si="68"/>
        <v>0</v>
      </c>
      <c r="U100">
        <f t="shared" si="68"/>
        <v>0</v>
      </c>
      <c r="V100">
        <f t="shared" si="68"/>
        <v>0</v>
      </c>
      <c r="W100">
        <f t="shared" si="68"/>
        <v>0</v>
      </c>
      <c r="X100">
        <f t="shared" si="68"/>
        <v>0</v>
      </c>
      <c r="Y100">
        <f t="shared" si="68"/>
        <v>0</v>
      </c>
      <c r="Z100">
        <f t="shared" ref="Z100:AK115" si="73">AQ48</f>
        <v>0</v>
      </c>
      <c r="AA100">
        <f t="shared" si="73"/>
        <v>0</v>
      </c>
      <c r="AB100">
        <f>D100-AR100</f>
        <v>0</v>
      </c>
      <c r="AC100">
        <f>AT48</f>
        <v>0</v>
      </c>
      <c r="AD100">
        <f t="shared" si="69"/>
        <v>0</v>
      </c>
      <c r="AE100">
        <f t="shared" si="69"/>
        <v>0</v>
      </c>
      <c r="AF100">
        <f t="shared" si="69"/>
        <v>0</v>
      </c>
      <c r="AG100">
        <f t="shared" si="69"/>
        <v>0</v>
      </c>
      <c r="AH100">
        <f t="shared" si="69"/>
        <v>0</v>
      </c>
      <c r="AI100">
        <f t="shared" si="69"/>
        <v>0</v>
      </c>
      <c r="AJ100">
        <f t="shared" si="69"/>
        <v>0</v>
      </c>
      <c r="AK100">
        <f t="shared" si="69"/>
        <v>0</v>
      </c>
      <c r="AL100">
        <f t="shared" si="69"/>
        <v>0</v>
      </c>
      <c r="AM100">
        <f t="shared" si="69"/>
        <v>0</v>
      </c>
      <c r="AN100">
        <f t="shared" si="69"/>
        <v>0</v>
      </c>
      <c r="AO100">
        <f t="shared" si="69"/>
        <v>0</v>
      </c>
      <c r="AP100">
        <f t="shared" si="69"/>
        <v>0</v>
      </c>
      <c r="AQ100">
        <f t="shared" si="69"/>
        <v>0</v>
      </c>
      <c r="AR100">
        <f>E100+Q100+R100+S100+T100+U100+V100+W100+X100+Y100+Z100+AA100+AC100+AD100+AE100+AF100+AG100+AH100+AI100+AJ100+AK100+AL100+AM100+AN100+AO100+AP100+AQ100</f>
        <v>0</v>
      </c>
      <c r="AS100">
        <f>D100+AB116-AR100</f>
        <v>0</v>
      </c>
    </row>
    <row r="101" spans="1:45" ht="20.25" customHeight="1">
      <c r="A101" t="s">
        <v>82</v>
      </c>
      <c r="B101" t="s">
        <v>83</v>
      </c>
      <c r="C101" t="s">
        <v>84</v>
      </c>
      <c r="D101">
        <f t="shared" si="70"/>
        <v>0</v>
      </c>
      <c r="E101">
        <f t="shared" si="38"/>
        <v>0</v>
      </c>
      <c r="F101">
        <f t="shared" si="71"/>
        <v>0</v>
      </c>
      <c r="G101">
        <f t="shared" si="71"/>
        <v>0</v>
      </c>
      <c r="H101">
        <f t="shared" si="72"/>
        <v>0</v>
      </c>
      <c r="I101">
        <f t="shared" si="72"/>
        <v>0</v>
      </c>
      <c r="J101">
        <f t="shared" si="67"/>
        <v>0</v>
      </c>
      <c r="K101">
        <f t="shared" si="67"/>
        <v>0</v>
      </c>
      <c r="L101">
        <f t="shared" si="67"/>
        <v>0</v>
      </c>
      <c r="M101">
        <f t="shared" si="67"/>
        <v>0</v>
      </c>
      <c r="N101">
        <f t="shared" si="67"/>
        <v>0</v>
      </c>
      <c r="O101">
        <f t="shared" si="67"/>
        <v>0</v>
      </c>
      <c r="P101">
        <f t="shared" si="62"/>
        <v>0</v>
      </c>
      <c r="Q101">
        <f t="shared" si="68"/>
        <v>0</v>
      </c>
      <c r="R101">
        <f t="shared" si="68"/>
        <v>0</v>
      </c>
      <c r="S101">
        <f t="shared" si="68"/>
        <v>0</v>
      </c>
      <c r="T101">
        <f t="shared" si="68"/>
        <v>0</v>
      </c>
      <c r="U101">
        <f t="shared" si="68"/>
        <v>0</v>
      </c>
      <c r="V101">
        <f t="shared" si="68"/>
        <v>0</v>
      </c>
      <c r="W101">
        <f t="shared" si="68"/>
        <v>0</v>
      </c>
      <c r="X101">
        <f t="shared" si="68"/>
        <v>0</v>
      </c>
      <c r="Y101">
        <f t="shared" si="68"/>
        <v>0</v>
      </c>
      <c r="Z101">
        <f t="shared" si="73"/>
        <v>0</v>
      </c>
      <c r="AA101">
        <f t="shared" si="73"/>
        <v>0</v>
      </c>
      <c r="AB101">
        <f t="shared" si="73"/>
        <v>0</v>
      </c>
      <c r="AC101">
        <f>D101-AR101</f>
        <v>0</v>
      </c>
      <c r="AD101">
        <f>AU49</f>
        <v>0</v>
      </c>
      <c r="AE101">
        <f t="shared" si="69"/>
        <v>0</v>
      </c>
      <c r="AF101">
        <f t="shared" si="69"/>
        <v>0</v>
      </c>
      <c r="AG101">
        <f t="shared" si="69"/>
        <v>0</v>
      </c>
      <c r="AH101">
        <f t="shared" si="69"/>
        <v>0</v>
      </c>
      <c r="AI101">
        <f t="shared" si="69"/>
        <v>0</v>
      </c>
      <c r="AJ101">
        <f t="shared" si="69"/>
        <v>0</v>
      </c>
      <c r="AK101">
        <f t="shared" si="69"/>
        <v>0</v>
      </c>
      <c r="AL101">
        <f t="shared" si="69"/>
        <v>0</v>
      </c>
      <c r="AM101">
        <f t="shared" si="69"/>
        <v>0</v>
      </c>
      <c r="AN101">
        <f t="shared" si="69"/>
        <v>0</v>
      </c>
      <c r="AO101">
        <f t="shared" si="69"/>
        <v>0</v>
      </c>
      <c r="AP101">
        <f t="shared" si="69"/>
        <v>0</v>
      </c>
      <c r="AQ101">
        <f t="shared" si="69"/>
        <v>0</v>
      </c>
      <c r="AR101">
        <f>E101+Q101+R101+S101+T101+U101+V101+W101+X101+Y101+Z101+AA101+AB101+AD101+AE101+AF101+AG101+AH101+AI101+AJ101+AK101+AL101+AM101+AN101+AO101+AP101+AQ101</f>
        <v>0</v>
      </c>
      <c r="AS101">
        <f>D101+AC116-AR101</f>
        <v>0</v>
      </c>
    </row>
    <row r="102" spans="1:45" ht="20.25" customHeight="1">
      <c r="A102" t="s">
        <v>85</v>
      </c>
      <c r="B102" t="s">
        <v>86</v>
      </c>
      <c r="C102" t="s">
        <v>87</v>
      </c>
      <c r="D102">
        <f t="shared" si="70"/>
        <v>52.526499999999999</v>
      </c>
      <c r="E102">
        <f t="shared" si="38"/>
        <v>0</v>
      </c>
      <c r="F102">
        <f t="shared" si="71"/>
        <v>0</v>
      </c>
      <c r="G102">
        <f t="shared" si="71"/>
        <v>0</v>
      </c>
      <c r="H102">
        <f t="shared" si="72"/>
        <v>0</v>
      </c>
      <c r="I102">
        <f t="shared" si="72"/>
        <v>0</v>
      </c>
      <c r="J102">
        <f t="shared" si="67"/>
        <v>0</v>
      </c>
      <c r="K102">
        <f t="shared" si="67"/>
        <v>0</v>
      </c>
      <c r="L102">
        <f t="shared" si="67"/>
        <v>0</v>
      </c>
      <c r="M102">
        <f t="shared" si="67"/>
        <v>0</v>
      </c>
      <c r="N102">
        <f t="shared" si="67"/>
        <v>0</v>
      </c>
      <c r="O102">
        <f t="shared" si="67"/>
        <v>0</v>
      </c>
      <c r="P102">
        <f t="shared" si="62"/>
        <v>52.526499999999999</v>
      </c>
      <c r="Q102">
        <f t="shared" si="68"/>
        <v>0</v>
      </c>
      <c r="R102">
        <f t="shared" si="68"/>
        <v>0</v>
      </c>
      <c r="S102">
        <f t="shared" si="68"/>
        <v>0</v>
      </c>
      <c r="T102">
        <f t="shared" si="68"/>
        <v>0</v>
      </c>
      <c r="U102">
        <f t="shared" si="68"/>
        <v>0</v>
      </c>
      <c r="V102">
        <f t="shared" si="68"/>
        <v>0.05</v>
      </c>
      <c r="W102">
        <f t="shared" si="68"/>
        <v>0</v>
      </c>
      <c r="X102">
        <f t="shared" si="68"/>
        <v>0</v>
      </c>
      <c r="Y102">
        <f t="shared" si="68"/>
        <v>2</v>
      </c>
      <c r="Z102">
        <f t="shared" si="73"/>
        <v>0</v>
      </c>
      <c r="AA102">
        <f t="shared" si="73"/>
        <v>0</v>
      </c>
      <c r="AB102">
        <f t="shared" si="73"/>
        <v>0</v>
      </c>
      <c r="AC102">
        <f t="shared" si="73"/>
        <v>0</v>
      </c>
      <c r="AD102">
        <f>D102-AR102</f>
        <v>50.336500000000001</v>
      </c>
      <c r="AE102">
        <f>AV50</f>
        <v>0</v>
      </c>
      <c r="AF102">
        <f t="shared" si="69"/>
        <v>0</v>
      </c>
      <c r="AG102">
        <f t="shared" si="69"/>
        <v>0</v>
      </c>
      <c r="AH102">
        <f t="shared" si="69"/>
        <v>0</v>
      </c>
      <c r="AI102">
        <f t="shared" si="69"/>
        <v>0</v>
      </c>
      <c r="AJ102">
        <f t="shared" si="69"/>
        <v>7.0000000000000007E-2</v>
      </c>
      <c r="AK102">
        <f t="shared" si="69"/>
        <v>0</v>
      </c>
      <c r="AL102">
        <f t="shared" si="69"/>
        <v>7.0000000000000007E-2</v>
      </c>
      <c r="AM102">
        <f t="shared" si="69"/>
        <v>0</v>
      </c>
      <c r="AN102">
        <f t="shared" si="69"/>
        <v>0</v>
      </c>
      <c r="AO102">
        <f t="shared" si="69"/>
        <v>0</v>
      </c>
      <c r="AP102">
        <f t="shared" si="69"/>
        <v>0</v>
      </c>
      <c r="AQ102">
        <f t="shared" si="69"/>
        <v>0</v>
      </c>
      <c r="AR102">
        <f>E102+Q102+R102+S102+T102+U102+V102+W102+X102+Y102+Z102+AA102+AB102+AC102+AE102+AF102+AG102+AH102+AI102+AJ102+AK102+AL102+AM102+AN102+AO102+AP102+AQ102</f>
        <v>2.1899999999999995</v>
      </c>
      <c r="AS102">
        <f>D102+AD116-AR102</f>
        <v>60.9465</v>
      </c>
    </row>
    <row r="103" spans="1:45" ht="20.25" customHeight="1">
      <c r="A103" t="s">
        <v>88</v>
      </c>
      <c r="B103" t="s">
        <v>89</v>
      </c>
      <c r="C103" t="s">
        <v>90</v>
      </c>
      <c r="D103">
        <f t="shared" si="70"/>
        <v>0.51</v>
      </c>
      <c r="E103">
        <f t="shared" si="38"/>
        <v>0</v>
      </c>
      <c r="F103">
        <f t="shared" si="71"/>
        <v>0</v>
      </c>
      <c r="G103">
        <f t="shared" si="71"/>
        <v>0</v>
      </c>
      <c r="H103">
        <f t="shared" si="72"/>
        <v>0</v>
      </c>
      <c r="I103">
        <f t="shared" si="72"/>
        <v>0</v>
      </c>
      <c r="J103">
        <f t="shared" si="67"/>
        <v>0</v>
      </c>
      <c r="K103">
        <f t="shared" si="67"/>
        <v>0</v>
      </c>
      <c r="L103">
        <f t="shared" si="67"/>
        <v>0</v>
      </c>
      <c r="M103">
        <f t="shared" si="67"/>
        <v>0</v>
      </c>
      <c r="N103">
        <f t="shared" si="67"/>
        <v>0</v>
      </c>
      <c r="O103">
        <f t="shared" si="67"/>
        <v>0</v>
      </c>
      <c r="P103">
        <f t="shared" si="62"/>
        <v>0.51</v>
      </c>
      <c r="Q103">
        <f t="shared" si="68"/>
        <v>0</v>
      </c>
      <c r="R103">
        <f t="shared" si="68"/>
        <v>0</v>
      </c>
      <c r="S103">
        <f t="shared" si="68"/>
        <v>0</v>
      </c>
      <c r="T103">
        <f t="shared" si="68"/>
        <v>0</v>
      </c>
      <c r="U103">
        <f t="shared" si="68"/>
        <v>0</v>
      </c>
      <c r="V103">
        <f t="shared" si="68"/>
        <v>0</v>
      </c>
      <c r="W103">
        <f t="shared" si="68"/>
        <v>0</v>
      </c>
      <c r="X103">
        <f t="shared" si="68"/>
        <v>0</v>
      </c>
      <c r="Y103">
        <f t="shared" si="68"/>
        <v>0</v>
      </c>
      <c r="Z103">
        <f t="shared" si="73"/>
        <v>0</v>
      </c>
      <c r="AA103">
        <f t="shared" si="73"/>
        <v>0</v>
      </c>
      <c r="AB103">
        <f t="shared" si="73"/>
        <v>0</v>
      </c>
      <c r="AC103">
        <f t="shared" si="73"/>
        <v>0</v>
      </c>
      <c r="AD103">
        <f t="shared" si="73"/>
        <v>0</v>
      </c>
      <c r="AE103">
        <f>D103-AR103</f>
        <v>0.51</v>
      </c>
      <c r="AF103">
        <f>AW51</f>
        <v>0</v>
      </c>
      <c r="AG103">
        <f t="shared" si="69"/>
        <v>0</v>
      </c>
      <c r="AH103">
        <f t="shared" si="69"/>
        <v>0</v>
      </c>
      <c r="AI103">
        <f t="shared" si="69"/>
        <v>0</v>
      </c>
      <c r="AJ103">
        <f t="shared" si="69"/>
        <v>0</v>
      </c>
      <c r="AK103">
        <f t="shared" si="69"/>
        <v>0</v>
      </c>
      <c r="AL103">
        <f t="shared" si="69"/>
        <v>0</v>
      </c>
      <c r="AM103">
        <f t="shared" si="69"/>
        <v>0</v>
      </c>
      <c r="AN103">
        <f t="shared" si="69"/>
        <v>0</v>
      </c>
      <c r="AO103">
        <f t="shared" si="69"/>
        <v>0</v>
      </c>
      <c r="AP103">
        <f t="shared" si="69"/>
        <v>0</v>
      </c>
      <c r="AQ103">
        <f t="shared" si="69"/>
        <v>0</v>
      </c>
      <c r="AR103">
        <f>E103+Q103+R103+S103+T103+U103+V103+W103+X103+Y103+Z103+AA103+AB103+AC103+AD103+AF103+AG103+AH103+AI103+AJ103+AK103+AL103+AM103+AN103+AO103+AP103+AQ103</f>
        <v>0</v>
      </c>
      <c r="AS103">
        <f>D103+AE116-AR103</f>
        <v>0.51</v>
      </c>
    </row>
    <row r="104" spans="1:45" ht="37.5" customHeight="1">
      <c r="A104" t="s">
        <v>91</v>
      </c>
      <c r="B104" t="s">
        <v>92</v>
      </c>
      <c r="C104" t="s">
        <v>93</v>
      </c>
      <c r="D104">
        <f t="shared" si="70"/>
        <v>0.67</v>
      </c>
      <c r="E104">
        <f t="shared" si="38"/>
        <v>0</v>
      </c>
      <c r="F104">
        <f t="shared" si="71"/>
        <v>0</v>
      </c>
      <c r="G104">
        <f t="shared" si="71"/>
        <v>0</v>
      </c>
      <c r="H104">
        <f t="shared" si="72"/>
        <v>0</v>
      </c>
      <c r="I104">
        <f t="shared" si="72"/>
        <v>0</v>
      </c>
      <c r="J104">
        <f t="shared" si="67"/>
        <v>0</v>
      </c>
      <c r="K104">
        <f t="shared" si="67"/>
        <v>0</v>
      </c>
      <c r="L104">
        <f t="shared" si="67"/>
        <v>0</v>
      </c>
      <c r="M104">
        <f t="shared" si="67"/>
        <v>0</v>
      </c>
      <c r="N104">
        <f t="shared" si="67"/>
        <v>0</v>
      </c>
      <c r="O104">
        <f t="shared" si="67"/>
        <v>0</v>
      </c>
      <c r="P104">
        <f t="shared" si="62"/>
        <v>0.67</v>
      </c>
      <c r="Q104">
        <f t="shared" si="68"/>
        <v>0</v>
      </c>
      <c r="R104">
        <f t="shared" si="68"/>
        <v>0</v>
      </c>
      <c r="S104">
        <f t="shared" si="68"/>
        <v>0</v>
      </c>
      <c r="T104">
        <f t="shared" si="68"/>
        <v>0</v>
      </c>
      <c r="U104">
        <f t="shared" si="68"/>
        <v>0</v>
      </c>
      <c r="V104">
        <f t="shared" si="68"/>
        <v>0</v>
      </c>
      <c r="W104">
        <f t="shared" si="68"/>
        <v>0</v>
      </c>
      <c r="X104">
        <f t="shared" si="68"/>
        <v>0</v>
      </c>
      <c r="Y104">
        <f t="shared" si="68"/>
        <v>0</v>
      </c>
      <c r="Z104">
        <f t="shared" si="73"/>
        <v>0</v>
      </c>
      <c r="AA104">
        <f t="shared" si="73"/>
        <v>0</v>
      </c>
      <c r="AB104">
        <f t="shared" si="73"/>
        <v>0</v>
      </c>
      <c r="AC104">
        <f t="shared" si="73"/>
        <v>0</v>
      </c>
      <c r="AD104">
        <f t="shared" si="73"/>
        <v>0</v>
      </c>
      <c r="AE104">
        <f t="shared" si="73"/>
        <v>0</v>
      </c>
      <c r="AF104">
        <f>D104-AR104</f>
        <v>0.67</v>
      </c>
      <c r="AG104">
        <f>AX52</f>
        <v>0</v>
      </c>
      <c r="AH104">
        <f t="shared" si="69"/>
        <v>0</v>
      </c>
      <c r="AI104">
        <f t="shared" si="69"/>
        <v>0</v>
      </c>
      <c r="AJ104">
        <f t="shared" si="69"/>
        <v>0</v>
      </c>
      <c r="AK104">
        <f t="shared" si="69"/>
        <v>0</v>
      </c>
      <c r="AL104">
        <f t="shared" si="69"/>
        <v>0</v>
      </c>
      <c r="AM104">
        <f t="shared" si="69"/>
        <v>0</v>
      </c>
      <c r="AN104">
        <f t="shared" si="69"/>
        <v>0</v>
      </c>
      <c r="AO104">
        <f t="shared" si="69"/>
        <v>0</v>
      </c>
      <c r="AP104">
        <f t="shared" si="69"/>
        <v>0</v>
      </c>
      <c r="AQ104">
        <f t="shared" si="69"/>
        <v>0</v>
      </c>
      <c r="AR104">
        <f>E104+Q104+R104+S104+T104+U104+V104+W104+X104+Y104+Z104+AA104+AB104+AC104+AD104+AE104+AG104+AH104+AI104+AJ104+AK104+AL104+AM104+AN104+AO104+AP104+AQ104</f>
        <v>0</v>
      </c>
      <c r="AS104">
        <f>D104+AF116-AR104</f>
        <v>0.67</v>
      </c>
    </row>
    <row r="105" spans="1:45" ht="20.25" customHeight="1">
      <c r="A105" t="s">
        <v>94</v>
      </c>
      <c r="B105" t="s">
        <v>95</v>
      </c>
      <c r="C105" t="s">
        <v>96</v>
      </c>
      <c r="D105">
        <f t="shared" si="70"/>
        <v>0</v>
      </c>
      <c r="E105">
        <f t="shared" si="38"/>
        <v>0</v>
      </c>
      <c r="F105">
        <f t="shared" si="71"/>
        <v>0</v>
      </c>
      <c r="G105">
        <f t="shared" si="71"/>
        <v>0</v>
      </c>
      <c r="H105">
        <f t="shared" si="72"/>
        <v>0</v>
      </c>
      <c r="I105">
        <f t="shared" si="72"/>
        <v>0</v>
      </c>
      <c r="J105">
        <f t="shared" si="67"/>
        <v>0</v>
      </c>
      <c r="K105">
        <f t="shared" si="67"/>
        <v>0</v>
      </c>
      <c r="L105">
        <f t="shared" si="67"/>
        <v>0</v>
      </c>
      <c r="M105">
        <f t="shared" si="67"/>
        <v>0</v>
      </c>
      <c r="N105">
        <f t="shared" si="67"/>
        <v>0</v>
      </c>
      <c r="O105">
        <f t="shared" si="67"/>
        <v>0</v>
      </c>
      <c r="P105">
        <f t="shared" si="62"/>
        <v>0</v>
      </c>
      <c r="Q105">
        <f t="shared" si="68"/>
        <v>0</v>
      </c>
      <c r="R105">
        <f t="shared" si="68"/>
        <v>0</v>
      </c>
      <c r="S105">
        <f t="shared" si="68"/>
        <v>0</v>
      </c>
      <c r="T105">
        <f t="shared" si="68"/>
        <v>0</v>
      </c>
      <c r="U105">
        <f t="shared" si="68"/>
        <v>0</v>
      </c>
      <c r="V105">
        <f t="shared" si="68"/>
        <v>0</v>
      </c>
      <c r="W105">
        <f t="shared" si="68"/>
        <v>0</v>
      </c>
      <c r="X105">
        <f t="shared" si="68"/>
        <v>0</v>
      </c>
      <c r="Y105">
        <f t="shared" si="68"/>
        <v>0</v>
      </c>
      <c r="Z105">
        <f t="shared" si="73"/>
        <v>0</v>
      </c>
      <c r="AA105">
        <f t="shared" si="73"/>
        <v>0</v>
      </c>
      <c r="AB105">
        <f t="shared" si="73"/>
        <v>0</v>
      </c>
      <c r="AC105">
        <f t="shared" si="73"/>
        <v>0</v>
      </c>
      <c r="AD105">
        <f t="shared" si="73"/>
        <v>0</v>
      </c>
      <c r="AE105">
        <f t="shared" si="73"/>
        <v>0</v>
      </c>
      <c r="AF105">
        <f t="shared" si="73"/>
        <v>0</v>
      </c>
      <c r="AG105">
        <f>D105-AR105</f>
        <v>0</v>
      </c>
      <c r="AH105">
        <f>AY53</f>
        <v>0</v>
      </c>
      <c r="AI105">
        <f t="shared" si="69"/>
        <v>0</v>
      </c>
      <c r="AJ105">
        <f t="shared" si="69"/>
        <v>0</v>
      </c>
      <c r="AK105">
        <f t="shared" si="69"/>
        <v>0</v>
      </c>
      <c r="AL105">
        <f t="shared" si="69"/>
        <v>0</v>
      </c>
      <c r="AM105">
        <f t="shared" si="69"/>
        <v>0</v>
      </c>
      <c r="AN105">
        <f t="shared" si="69"/>
        <v>0</v>
      </c>
      <c r="AO105">
        <f t="shared" si="69"/>
        <v>0</v>
      </c>
      <c r="AP105">
        <f t="shared" si="69"/>
        <v>0</v>
      </c>
      <c r="AQ105">
        <f t="shared" si="69"/>
        <v>0</v>
      </c>
      <c r="AR105">
        <f>E105+Q105+R105+S105+T105+U105+V105+W105+X105+Y105+Z105+AA105+AB105+AC105+AD105+AE105+AF105+AH105+AI105+AJ105+AK105+AL105+AM105+AN105+AO105+AP105+AQ105</f>
        <v>0</v>
      </c>
      <c r="AS105">
        <f>D105+AG116-AR105</f>
        <v>0</v>
      </c>
    </row>
    <row r="106" spans="1:45" ht="20.25" customHeight="1">
      <c r="A106" t="s">
        <v>97</v>
      </c>
      <c r="B106" t="s">
        <v>98</v>
      </c>
      <c r="C106" t="s">
        <v>99</v>
      </c>
      <c r="D106">
        <f t="shared" si="70"/>
        <v>0.54</v>
      </c>
      <c r="E106">
        <f t="shared" si="38"/>
        <v>0</v>
      </c>
      <c r="F106">
        <f t="shared" si="71"/>
        <v>0</v>
      </c>
      <c r="G106">
        <f t="shared" si="71"/>
        <v>0</v>
      </c>
      <c r="H106">
        <f t="shared" si="72"/>
        <v>0</v>
      </c>
      <c r="I106">
        <f t="shared" si="72"/>
        <v>0</v>
      </c>
      <c r="J106">
        <f t="shared" si="67"/>
        <v>0</v>
      </c>
      <c r="K106">
        <f t="shared" si="67"/>
        <v>0</v>
      </c>
      <c r="L106">
        <f t="shared" si="67"/>
        <v>0</v>
      </c>
      <c r="M106">
        <f t="shared" si="67"/>
        <v>0</v>
      </c>
      <c r="N106">
        <f t="shared" si="67"/>
        <v>0</v>
      </c>
      <c r="O106">
        <f t="shared" si="67"/>
        <v>0</v>
      </c>
      <c r="P106">
        <f t="shared" si="62"/>
        <v>0.54</v>
      </c>
      <c r="Q106">
        <f t="shared" si="68"/>
        <v>0</v>
      </c>
      <c r="R106">
        <f t="shared" si="68"/>
        <v>0</v>
      </c>
      <c r="S106">
        <f t="shared" si="68"/>
        <v>0</v>
      </c>
      <c r="T106">
        <f t="shared" si="68"/>
        <v>0</v>
      </c>
      <c r="U106">
        <f t="shared" si="68"/>
        <v>0</v>
      </c>
      <c r="V106">
        <f t="shared" si="68"/>
        <v>0</v>
      </c>
      <c r="W106">
        <f t="shared" si="68"/>
        <v>0</v>
      </c>
      <c r="X106">
        <f t="shared" si="68"/>
        <v>0</v>
      </c>
      <c r="Y106">
        <f t="shared" si="68"/>
        <v>0</v>
      </c>
      <c r="Z106">
        <f t="shared" si="73"/>
        <v>0</v>
      </c>
      <c r="AA106">
        <f t="shared" si="73"/>
        <v>0</v>
      </c>
      <c r="AB106">
        <f t="shared" si="73"/>
        <v>0</v>
      </c>
      <c r="AC106">
        <f t="shared" si="73"/>
        <v>0</v>
      </c>
      <c r="AD106">
        <f t="shared" si="73"/>
        <v>0</v>
      </c>
      <c r="AE106">
        <f t="shared" si="73"/>
        <v>0</v>
      </c>
      <c r="AF106">
        <f t="shared" si="73"/>
        <v>0</v>
      </c>
      <c r="AG106">
        <f t="shared" si="73"/>
        <v>0</v>
      </c>
      <c r="AH106">
        <f>D106-AR106</f>
        <v>0.54</v>
      </c>
      <c r="AI106">
        <f>AZ54</f>
        <v>0</v>
      </c>
      <c r="AJ106">
        <f t="shared" si="69"/>
        <v>0</v>
      </c>
      <c r="AK106">
        <f t="shared" si="69"/>
        <v>0</v>
      </c>
      <c r="AL106">
        <f t="shared" si="69"/>
        <v>0</v>
      </c>
      <c r="AM106">
        <f t="shared" si="69"/>
        <v>0</v>
      </c>
      <c r="AN106">
        <f t="shared" si="69"/>
        <v>0</v>
      </c>
      <c r="AO106">
        <f t="shared" si="69"/>
        <v>0</v>
      </c>
      <c r="AP106">
        <f t="shared" si="69"/>
        <v>0</v>
      </c>
      <c r="AQ106">
        <f t="shared" si="69"/>
        <v>0</v>
      </c>
      <c r="AR106">
        <f>E106+Q106+R106+S106+T106+U106+V106+W106+X106+Y106+Z106+AA106+AB106+AC106+AD106+AE106+AF106+AG106+AI106+AJ106+AK106+AL106+AM106+AN106+AO106+AP106+AQ106</f>
        <v>0</v>
      </c>
      <c r="AS106">
        <f>D106+AH116-AR106</f>
        <v>0.54</v>
      </c>
    </row>
    <row r="107" spans="1:45" ht="31.5" customHeight="1">
      <c r="A107" t="s">
        <v>100</v>
      </c>
      <c r="B107" t="s">
        <v>134</v>
      </c>
      <c r="C107" t="s">
        <v>101</v>
      </c>
      <c r="D107">
        <f t="shared" si="70"/>
        <v>8.11</v>
      </c>
      <c r="E107">
        <f t="shared" si="38"/>
        <v>0</v>
      </c>
      <c r="F107">
        <f t="shared" si="71"/>
        <v>0</v>
      </c>
      <c r="G107">
        <f t="shared" si="71"/>
        <v>0</v>
      </c>
      <c r="H107">
        <f t="shared" si="72"/>
        <v>0</v>
      </c>
      <c r="I107">
        <f t="shared" si="72"/>
        <v>0</v>
      </c>
      <c r="J107">
        <f t="shared" si="67"/>
        <v>0</v>
      </c>
      <c r="K107">
        <f t="shared" si="67"/>
        <v>0</v>
      </c>
      <c r="L107">
        <f t="shared" si="67"/>
        <v>0</v>
      </c>
      <c r="M107">
        <f t="shared" si="67"/>
        <v>0</v>
      </c>
      <c r="N107">
        <f t="shared" si="67"/>
        <v>0</v>
      </c>
      <c r="O107">
        <f t="shared" si="67"/>
        <v>0</v>
      </c>
      <c r="P107">
        <f t="shared" si="62"/>
        <v>8.11</v>
      </c>
      <c r="Q107">
        <f t="shared" si="68"/>
        <v>0</v>
      </c>
      <c r="R107">
        <f t="shared" si="68"/>
        <v>0</v>
      </c>
      <c r="S107">
        <f t="shared" si="68"/>
        <v>0</v>
      </c>
      <c r="T107">
        <f t="shared" si="68"/>
        <v>0</v>
      </c>
      <c r="U107">
        <f t="shared" si="68"/>
        <v>0</v>
      </c>
      <c r="V107">
        <f t="shared" si="68"/>
        <v>0</v>
      </c>
      <c r="W107">
        <f t="shared" si="68"/>
        <v>0</v>
      </c>
      <c r="X107">
        <f t="shared" si="68"/>
        <v>0</v>
      </c>
      <c r="Y107">
        <f t="shared" si="68"/>
        <v>0.44999999999999996</v>
      </c>
      <c r="Z107">
        <f t="shared" si="73"/>
        <v>0</v>
      </c>
      <c r="AA107">
        <f t="shared" si="73"/>
        <v>0</v>
      </c>
      <c r="AB107">
        <f t="shared" si="73"/>
        <v>0</v>
      </c>
      <c r="AC107">
        <f t="shared" si="73"/>
        <v>0</v>
      </c>
      <c r="AD107">
        <f t="shared" si="73"/>
        <v>0.37</v>
      </c>
      <c r="AE107">
        <f t="shared" si="73"/>
        <v>0</v>
      </c>
      <c r="AF107">
        <f t="shared" si="73"/>
        <v>0</v>
      </c>
      <c r="AG107">
        <f t="shared" si="73"/>
        <v>0</v>
      </c>
      <c r="AH107">
        <f t="shared" si="73"/>
        <v>0</v>
      </c>
      <c r="AI107">
        <f>D107-AR107</f>
        <v>7.26</v>
      </c>
      <c r="AJ107">
        <f>BA55</f>
        <v>0</v>
      </c>
      <c r="AK107">
        <f t="shared" si="69"/>
        <v>0</v>
      </c>
      <c r="AL107">
        <f t="shared" si="69"/>
        <v>0.03</v>
      </c>
      <c r="AM107">
        <f t="shared" si="69"/>
        <v>0</v>
      </c>
      <c r="AN107">
        <f t="shared" si="69"/>
        <v>0</v>
      </c>
      <c r="AO107">
        <f t="shared" si="69"/>
        <v>0</v>
      </c>
      <c r="AP107">
        <f t="shared" si="69"/>
        <v>0</v>
      </c>
      <c r="AQ107">
        <f t="shared" si="69"/>
        <v>0</v>
      </c>
      <c r="AR107">
        <f>E107+Q107+R107+S107+T107+U107+V107+W107+X107+Y107+Z107+AA107+AB107+AC107+AD107+AE107+AF107+AG107+AH107+AJ107+AK107+AL107+AM107+AN107+AO107+AP107+AQ107</f>
        <v>0.85</v>
      </c>
      <c r="AS107">
        <f>D107+AI116-AR107</f>
        <v>7.26</v>
      </c>
    </row>
    <row r="108" spans="1:45" ht="20.25" customHeight="1">
      <c r="A108" t="s">
        <v>102</v>
      </c>
      <c r="B108" t="s">
        <v>103</v>
      </c>
      <c r="C108" t="s">
        <v>104</v>
      </c>
      <c r="D108">
        <f t="shared" si="70"/>
        <v>1.0208999999999999</v>
      </c>
      <c r="E108">
        <f t="shared" si="38"/>
        <v>0</v>
      </c>
      <c r="F108">
        <f t="shared" si="71"/>
        <v>0</v>
      </c>
      <c r="G108">
        <f t="shared" si="71"/>
        <v>0</v>
      </c>
      <c r="H108">
        <f t="shared" si="72"/>
        <v>0</v>
      </c>
      <c r="I108">
        <f t="shared" si="72"/>
        <v>0</v>
      </c>
      <c r="J108">
        <f t="shared" si="67"/>
        <v>0</v>
      </c>
      <c r="K108">
        <f t="shared" si="67"/>
        <v>0</v>
      </c>
      <c r="L108">
        <f t="shared" si="67"/>
        <v>0</v>
      </c>
      <c r="M108">
        <f t="shared" si="67"/>
        <v>0</v>
      </c>
      <c r="N108">
        <f t="shared" si="67"/>
        <v>0</v>
      </c>
      <c r="O108">
        <f t="shared" si="67"/>
        <v>0</v>
      </c>
      <c r="P108">
        <f t="shared" si="62"/>
        <v>1.0208999999999999</v>
      </c>
      <c r="Q108">
        <f t="shared" si="68"/>
        <v>0</v>
      </c>
      <c r="R108">
        <f t="shared" si="68"/>
        <v>0</v>
      </c>
      <c r="S108">
        <f t="shared" si="68"/>
        <v>0</v>
      </c>
      <c r="T108">
        <f t="shared" si="68"/>
        <v>0</v>
      </c>
      <c r="U108">
        <f t="shared" si="68"/>
        <v>0</v>
      </c>
      <c r="V108">
        <f t="shared" si="68"/>
        <v>0</v>
      </c>
      <c r="W108">
        <f t="shared" si="68"/>
        <v>0</v>
      </c>
      <c r="X108">
        <f t="shared" si="68"/>
        <v>0</v>
      </c>
      <c r="Y108">
        <f t="shared" si="68"/>
        <v>0</v>
      </c>
      <c r="Z108">
        <f t="shared" si="73"/>
        <v>0</v>
      </c>
      <c r="AA108">
        <f t="shared" si="73"/>
        <v>0</v>
      </c>
      <c r="AB108">
        <f t="shared" si="73"/>
        <v>0</v>
      </c>
      <c r="AC108">
        <f t="shared" si="73"/>
        <v>0</v>
      </c>
      <c r="AD108">
        <f t="shared" si="73"/>
        <v>0</v>
      </c>
      <c r="AE108">
        <f t="shared" si="73"/>
        <v>0</v>
      </c>
      <c r="AF108">
        <f t="shared" si="73"/>
        <v>0</v>
      </c>
      <c r="AG108">
        <f t="shared" si="73"/>
        <v>0</v>
      </c>
      <c r="AH108">
        <f t="shared" si="73"/>
        <v>0</v>
      </c>
      <c r="AI108">
        <f t="shared" si="73"/>
        <v>0</v>
      </c>
      <c r="AJ108">
        <f>D108-AR108</f>
        <v>1.0208999999999999</v>
      </c>
      <c r="AK108">
        <f>BB56</f>
        <v>0</v>
      </c>
      <c r="AL108">
        <f t="shared" si="69"/>
        <v>0</v>
      </c>
      <c r="AM108">
        <f t="shared" si="69"/>
        <v>0</v>
      </c>
      <c r="AN108">
        <f t="shared" si="69"/>
        <v>0</v>
      </c>
      <c r="AO108">
        <f t="shared" si="69"/>
        <v>0</v>
      </c>
      <c r="AP108">
        <f t="shared" si="69"/>
        <v>0</v>
      </c>
      <c r="AQ108">
        <f t="shared" si="69"/>
        <v>0</v>
      </c>
      <c r="AR108">
        <f>E108+Q108+R108+S108+T108+U108+V108+W108+X108+Y108+Z108+AA108+AB108+AC108+AD108+AE108+AF108+AG108+AH108+AI108+AK108+AL108+AM108+AN108+AO108+AP108+AQ108</f>
        <v>0</v>
      </c>
      <c r="AS108">
        <f>D108+AJ116-AR108</f>
        <v>3.7408999999999999</v>
      </c>
    </row>
    <row r="109" spans="1:45" ht="20.25" customHeight="1">
      <c r="A109" t="s">
        <v>105</v>
      </c>
      <c r="B109" t="s">
        <v>106</v>
      </c>
      <c r="C109" t="s">
        <v>107</v>
      </c>
      <c r="D109">
        <f t="shared" si="70"/>
        <v>1.0900000000000001</v>
      </c>
      <c r="E109">
        <f t="shared" si="38"/>
        <v>0</v>
      </c>
      <c r="F109">
        <f t="shared" si="71"/>
        <v>0</v>
      </c>
      <c r="G109">
        <f t="shared" si="71"/>
        <v>0</v>
      </c>
      <c r="H109">
        <f t="shared" si="72"/>
        <v>0</v>
      </c>
      <c r="I109">
        <f t="shared" si="72"/>
        <v>0</v>
      </c>
      <c r="J109">
        <f t="shared" si="67"/>
        <v>0</v>
      </c>
      <c r="K109">
        <f t="shared" si="67"/>
        <v>0</v>
      </c>
      <c r="L109">
        <f t="shared" si="67"/>
        <v>0</v>
      </c>
      <c r="M109">
        <f t="shared" si="67"/>
        <v>0</v>
      </c>
      <c r="N109">
        <f t="shared" si="67"/>
        <v>0</v>
      </c>
      <c r="O109">
        <f t="shared" si="67"/>
        <v>0</v>
      </c>
      <c r="P109">
        <f t="shared" si="62"/>
        <v>1.0900000000000001</v>
      </c>
      <c r="Q109">
        <f t="shared" si="68"/>
        <v>0</v>
      </c>
      <c r="R109">
        <f t="shared" si="68"/>
        <v>0</v>
      </c>
      <c r="S109">
        <f t="shared" si="68"/>
        <v>0</v>
      </c>
      <c r="T109">
        <f t="shared" si="68"/>
        <v>0</v>
      </c>
      <c r="U109">
        <f t="shared" si="68"/>
        <v>0</v>
      </c>
      <c r="V109">
        <f t="shared" si="68"/>
        <v>0</v>
      </c>
      <c r="W109">
        <f t="shared" si="68"/>
        <v>0</v>
      </c>
      <c r="X109">
        <f t="shared" si="68"/>
        <v>0</v>
      </c>
      <c r="Y109">
        <f t="shared" si="68"/>
        <v>0</v>
      </c>
      <c r="Z109">
        <f t="shared" si="73"/>
        <v>0</v>
      </c>
      <c r="AA109">
        <f t="shared" si="73"/>
        <v>0</v>
      </c>
      <c r="AB109">
        <f t="shared" si="73"/>
        <v>0</v>
      </c>
      <c r="AC109">
        <f t="shared" si="73"/>
        <v>0</v>
      </c>
      <c r="AD109">
        <f t="shared" si="73"/>
        <v>0</v>
      </c>
      <c r="AE109">
        <f t="shared" si="73"/>
        <v>0</v>
      </c>
      <c r="AF109">
        <f t="shared" si="73"/>
        <v>0</v>
      </c>
      <c r="AG109">
        <f t="shared" si="73"/>
        <v>0</v>
      </c>
      <c r="AH109">
        <f t="shared" si="73"/>
        <v>0</v>
      </c>
      <c r="AI109">
        <f t="shared" si="73"/>
        <v>0</v>
      </c>
      <c r="AJ109">
        <f t="shared" si="73"/>
        <v>0</v>
      </c>
      <c r="AK109">
        <f>D109-AR109</f>
        <v>1.0900000000000001</v>
      </c>
      <c r="AL109">
        <f t="shared" si="69"/>
        <v>0</v>
      </c>
      <c r="AM109">
        <f t="shared" si="69"/>
        <v>0</v>
      </c>
      <c r="AN109">
        <f t="shared" si="69"/>
        <v>0</v>
      </c>
      <c r="AO109">
        <f t="shared" si="69"/>
        <v>0</v>
      </c>
      <c r="AP109">
        <f t="shared" si="69"/>
        <v>0</v>
      </c>
      <c r="AQ109">
        <f t="shared" si="69"/>
        <v>0</v>
      </c>
      <c r="AR109">
        <f>E109+Q109+R109+S109+T109+U109+V109+W109+X109+Y109+Z109+AA109+AB109+AC109+AD109+AE109+AF109+AG109+AH109+AI109+AJ109+AL109+AM109+AN109+AO109+AP109+AQ109</f>
        <v>0</v>
      </c>
      <c r="AS109">
        <f>D109+AK116-AR109</f>
        <v>1.0900000000000001</v>
      </c>
    </row>
    <row r="110" spans="1:45" ht="20.25" customHeight="1">
      <c r="A110" t="s">
        <v>108</v>
      </c>
      <c r="B110" t="s">
        <v>109</v>
      </c>
      <c r="C110" t="s">
        <v>110</v>
      </c>
      <c r="D110">
        <f t="shared" si="70"/>
        <v>2.02</v>
      </c>
      <c r="E110">
        <f t="shared" si="38"/>
        <v>0</v>
      </c>
      <c r="F110">
        <f t="shared" si="71"/>
        <v>0</v>
      </c>
      <c r="G110">
        <f t="shared" si="71"/>
        <v>0</v>
      </c>
      <c r="H110">
        <f t="shared" si="72"/>
        <v>0</v>
      </c>
      <c r="I110">
        <f t="shared" si="72"/>
        <v>0</v>
      </c>
      <c r="J110">
        <f t="shared" si="67"/>
        <v>0</v>
      </c>
      <c r="K110">
        <f t="shared" si="67"/>
        <v>0</v>
      </c>
      <c r="L110">
        <f t="shared" si="67"/>
        <v>0</v>
      </c>
      <c r="M110">
        <f t="shared" si="67"/>
        <v>0</v>
      </c>
      <c r="N110">
        <f t="shared" si="67"/>
        <v>0</v>
      </c>
      <c r="O110">
        <f t="shared" si="67"/>
        <v>0</v>
      </c>
      <c r="P110">
        <f t="shared" si="62"/>
        <v>2.02</v>
      </c>
      <c r="Q110">
        <f t="shared" si="68"/>
        <v>0</v>
      </c>
      <c r="R110">
        <f t="shared" si="68"/>
        <v>0</v>
      </c>
      <c r="S110">
        <f t="shared" si="68"/>
        <v>0</v>
      </c>
      <c r="T110">
        <f t="shared" si="68"/>
        <v>0</v>
      </c>
      <c r="U110">
        <f t="shared" si="68"/>
        <v>0</v>
      </c>
      <c r="V110">
        <f t="shared" si="68"/>
        <v>0</v>
      </c>
      <c r="W110">
        <f t="shared" si="68"/>
        <v>0</v>
      </c>
      <c r="X110">
        <f t="shared" si="68"/>
        <v>0</v>
      </c>
      <c r="Y110">
        <f t="shared" si="68"/>
        <v>0</v>
      </c>
      <c r="Z110">
        <f t="shared" si="73"/>
        <v>0</v>
      </c>
      <c r="AA110">
        <f t="shared" si="73"/>
        <v>0</v>
      </c>
      <c r="AB110">
        <f t="shared" si="73"/>
        <v>0</v>
      </c>
      <c r="AC110">
        <f t="shared" si="73"/>
        <v>0</v>
      </c>
      <c r="AD110">
        <f t="shared" si="73"/>
        <v>0</v>
      </c>
      <c r="AE110">
        <f t="shared" si="73"/>
        <v>0</v>
      </c>
      <c r="AF110">
        <f t="shared" si="73"/>
        <v>0</v>
      </c>
      <c r="AG110">
        <f t="shared" si="73"/>
        <v>0</v>
      </c>
      <c r="AH110">
        <f t="shared" si="73"/>
        <v>0</v>
      </c>
      <c r="AI110">
        <f t="shared" si="73"/>
        <v>0</v>
      </c>
      <c r="AJ110">
        <f t="shared" si="73"/>
        <v>0</v>
      </c>
      <c r="AK110">
        <f t="shared" si="73"/>
        <v>0</v>
      </c>
      <c r="AL110">
        <f>D110-AR110</f>
        <v>2.02</v>
      </c>
      <c r="AM110">
        <f>BD58</f>
        <v>0</v>
      </c>
      <c r="AN110">
        <f>BE58</f>
        <v>0</v>
      </c>
      <c r="AO110">
        <f>BF58</f>
        <v>0</v>
      </c>
      <c r="AP110">
        <f>BG58</f>
        <v>0</v>
      </c>
      <c r="AQ110">
        <f>BH58</f>
        <v>0</v>
      </c>
      <c r="AR110">
        <f>E110+Q110+R110+S110+T110+U110+V110+W110+X110+Y110+Z110+AA110+AB110+AC110+AD110+AE110+AF110+AG110+AH110+AI110+AJ110+AK110+AM110+AN110+AO110+AP110+AQ110</f>
        <v>0</v>
      </c>
      <c r="AS110">
        <f>D110+AL116-AR110</f>
        <v>2.8200000000000003</v>
      </c>
    </row>
    <row r="111" spans="1:45" ht="20.25" customHeight="1">
      <c r="A111" t="s">
        <v>111</v>
      </c>
      <c r="B111" t="s">
        <v>112</v>
      </c>
      <c r="C111" t="s">
        <v>113</v>
      </c>
      <c r="D111">
        <f t="shared" si="70"/>
        <v>0.16</v>
      </c>
      <c r="E111">
        <f t="shared" si="38"/>
        <v>0</v>
      </c>
      <c r="F111">
        <f t="shared" si="71"/>
        <v>0</v>
      </c>
      <c r="G111">
        <f t="shared" si="71"/>
        <v>0</v>
      </c>
      <c r="H111">
        <f t="shared" si="72"/>
        <v>0</v>
      </c>
      <c r="I111">
        <f t="shared" si="72"/>
        <v>0</v>
      </c>
      <c r="J111">
        <f t="shared" si="67"/>
        <v>0</v>
      </c>
      <c r="K111">
        <f t="shared" si="67"/>
        <v>0</v>
      </c>
      <c r="L111">
        <f t="shared" si="67"/>
        <v>0</v>
      </c>
      <c r="M111">
        <f t="shared" si="67"/>
        <v>0</v>
      </c>
      <c r="N111">
        <f t="shared" si="67"/>
        <v>0</v>
      </c>
      <c r="O111">
        <f t="shared" si="67"/>
        <v>0</v>
      </c>
      <c r="P111">
        <f t="shared" si="62"/>
        <v>0.16</v>
      </c>
      <c r="Q111">
        <f t="shared" si="68"/>
        <v>0</v>
      </c>
      <c r="R111">
        <f t="shared" si="68"/>
        <v>0</v>
      </c>
      <c r="S111">
        <f t="shared" si="68"/>
        <v>0</v>
      </c>
      <c r="T111">
        <f t="shared" si="68"/>
        <v>0</v>
      </c>
      <c r="U111">
        <f t="shared" si="68"/>
        <v>0</v>
      </c>
      <c r="V111">
        <f t="shared" si="68"/>
        <v>0</v>
      </c>
      <c r="W111">
        <f t="shared" si="68"/>
        <v>0</v>
      </c>
      <c r="X111">
        <f t="shared" si="68"/>
        <v>0</v>
      </c>
      <c r="Y111">
        <f t="shared" si="68"/>
        <v>0</v>
      </c>
      <c r="Z111">
        <f t="shared" si="73"/>
        <v>0</v>
      </c>
      <c r="AA111">
        <f t="shared" si="73"/>
        <v>0</v>
      </c>
      <c r="AB111">
        <f t="shared" si="73"/>
        <v>0</v>
      </c>
      <c r="AC111">
        <f t="shared" si="73"/>
        <v>0</v>
      </c>
      <c r="AD111">
        <f t="shared" si="73"/>
        <v>0</v>
      </c>
      <c r="AE111">
        <f t="shared" si="73"/>
        <v>0</v>
      </c>
      <c r="AF111">
        <f t="shared" si="73"/>
        <v>0</v>
      </c>
      <c r="AG111">
        <f t="shared" si="73"/>
        <v>0</v>
      </c>
      <c r="AH111">
        <f t="shared" si="73"/>
        <v>0</v>
      </c>
      <c r="AI111">
        <f t="shared" si="73"/>
        <v>0</v>
      </c>
      <c r="AJ111">
        <f t="shared" si="73"/>
        <v>0</v>
      </c>
      <c r="AK111">
        <f t="shared" si="73"/>
        <v>0</v>
      </c>
      <c r="AL111">
        <f>BC59</f>
        <v>0</v>
      </c>
      <c r="AM111">
        <f>D111-AR111</f>
        <v>0.16</v>
      </c>
      <c r="AN111">
        <f>BE59</f>
        <v>0</v>
      </c>
      <c r="AO111">
        <f>BF59</f>
        <v>0</v>
      </c>
      <c r="AP111">
        <f>BG59</f>
        <v>0</v>
      </c>
      <c r="AQ111">
        <f>BH59</f>
        <v>0</v>
      </c>
      <c r="AR111">
        <f>E111+Q111+R111+S111+T111+U111+V111+W111+X111+Y111+Z111+AA111+AB111+AC111+AD111+AE111+AF111+AG111+AH111+AI111+AJ111+AK111+AL111+AN111+AO111+AP111+AQ111</f>
        <v>0</v>
      </c>
      <c r="AS111">
        <f>D111+AM116-AR111</f>
        <v>0.16</v>
      </c>
    </row>
    <row r="112" spans="1:45" ht="20.25" customHeight="1">
      <c r="A112" t="s">
        <v>114</v>
      </c>
      <c r="B112" t="s">
        <v>115</v>
      </c>
      <c r="C112" t="s">
        <v>116</v>
      </c>
      <c r="D112">
        <f t="shared" si="70"/>
        <v>92</v>
      </c>
      <c r="E112">
        <f t="shared" si="38"/>
        <v>2.1</v>
      </c>
      <c r="F112">
        <f t="shared" si="71"/>
        <v>0</v>
      </c>
      <c r="G112">
        <f t="shared" si="71"/>
        <v>0</v>
      </c>
      <c r="H112">
        <f t="shared" si="72"/>
        <v>0</v>
      </c>
      <c r="I112">
        <f t="shared" si="72"/>
        <v>0</v>
      </c>
      <c r="J112">
        <f t="shared" si="67"/>
        <v>0</v>
      </c>
      <c r="K112">
        <f t="shared" si="67"/>
        <v>0</v>
      </c>
      <c r="L112">
        <f t="shared" si="67"/>
        <v>0</v>
      </c>
      <c r="M112">
        <f t="shared" si="67"/>
        <v>2.1</v>
      </c>
      <c r="N112">
        <f t="shared" si="67"/>
        <v>0</v>
      </c>
      <c r="O112">
        <f t="shared" si="67"/>
        <v>0</v>
      </c>
      <c r="P112">
        <f t="shared" si="62"/>
        <v>89.9</v>
      </c>
      <c r="Q112">
        <f t="shared" si="68"/>
        <v>0</v>
      </c>
      <c r="R112">
        <f t="shared" si="68"/>
        <v>0</v>
      </c>
      <c r="S112">
        <f t="shared" si="68"/>
        <v>0</v>
      </c>
      <c r="T112">
        <f t="shared" si="68"/>
        <v>0</v>
      </c>
      <c r="U112">
        <f t="shared" si="68"/>
        <v>0</v>
      </c>
      <c r="V112">
        <f t="shared" si="68"/>
        <v>0</v>
      </c>
      <c r="W112">
        <f t="shared" si="68"/>
        <v>0</v>
      </c>
      <c r="X112">
        <f t="shared" si="68"/>
        <v>0</v>
      </c>
      <c r="Y112">
        <f t="shared" si="68"/>
        <v>1.28</v>
      </c>
      <c r="Z112">
        <f t="shared" si="73"/>
        <v>0</v>
      </c>
      <c r="AA112">
        <f t="shared" si="73"/>
        <v>0</v>
      </c>
      <c r="AB112">
        <f t="shared" si="73"/>
        <v>0</v>
      </c>
      <c r="AC112">
        <f t="shared" si="73"/>
        <v>0</v>
      </c>
      <c r="AD112">
        <f t="shared" si="73"/>
        <v>0</v>
      </c>
      <c r="AE112">
        <f t="shared" si="73"/>
        <v>0</v>
      </c>
      <c r="AF112">
        <f t="shared" si="73"/>
        <v>0</v>
      </c>
      <c r="AG112">
        <f t="shared" si="73"/>
        <v>0</v>
      </c>
      <c r="AH112">
        <f t="shared" si="73"/>
        <v>0</v>
      </c>
      <c r="AI112">
        <f t="shared" si="73"/>
        <v>0</v>
      </c>
      <c r="AJ112">
        <f t="shared" si="73"/>
        <v>0</v>
      </c>
      <c r="AK112">
        <f t="shared" si="73"/>
        <v>0</v>
      </c>
      <c r="AL112">
        <f>BC60</f>
        <v>0</v>
      </c>
      <c r="AM112">
        <f>BD60</f>
        <v>0</v>
      </c>
      <c r="AN112">
        <f>D112-AR112</f>
        <v>88.62</v>
      </c>
      <c r="AO112">
        <f>BF60</f>
        <v>0</v>
      </c>
      <c r="AP112">
        <f>BG60</f>
        <v>0</v>
      </c>
      <c r="AQ112">
        <f>BH60</f>
        <v>0</v>
      </c>
      <c r="AR112">
        <f>E112+Q112+R112+S112+T112+U112+V112+W112+X112+Y112+Z112+AA112+AB112+AC112+AD112+AE112+AF112+AG112+AH112+AI112+AJ112+AK112+AL112+AM112+AO112+AP112+AQ112</f>
        <v>3.38</v>
      </c>
      <c r="AS112">
        <f>D112+AN116-AR112</f>
        <v>88.62</v>
      </c>
    </row>
    <row r="113" spans="1:45" ht="20.25" customHeight="1">
      <c r="A113" t="s">
        <v>117</v>
      </c>
      <c r="B113" t="s">
        <v>118</v>
      </c>
      <c r="C113" t="s">
        <v>119</v>
      </c>
      <c r="D113">
        <f t="shared" si="70"/>
        <v>14.21</v>
      </c>
      <c r="E113">
        <f t="shared" si="38"/>
        <v>0</v>
      </c>
      <c r="F113">
        <f t="shared" si="71"/>
        <v>0</v>
      </c>
      <c r="G113">
        <f t="shared" si="71"/>
        <v>0</v>
      </c>
      <c r="H113">
        <f t="shared" si="72"/>
        <v>0</v>
      </c>
      <c r="I113">
        <f t="shared" si="72"/>
        <v>0</v>
      </c>
      <c r="J113">
        <f t="shared" si="67"/>
        <v>0</v>
      </c>
      <c r="K113">
        <f t="shared" si="67"/>
        <v>0</v>
      </c>
      <c r="L113">
        <f t="shared" si="67"/>
        <v>0</v>
      </c>
      <c r="M113">
        <f t="shared" si="67"/>
        <v>0</v>
      </c>
      <c r="N113">
        <f t="shared" si="67"/>
        <v>0</v>
      </c>
      <c r="O113">
        <f t="shared" si="67"/>
        <v>0</v>
      </c>
      <c r="P113">
        <f t="shared" si="62"/>
        <v>14.21</v>
      </c>
      <c r="Q113">
        <f t="shared" si="68"/>
        <v>0</v>
      </c>
      <c r="R113">
        <f t="shared" si="68"/>
        <v>0</v>
      </c>
      <c r="S113">
        <f t="shared" si="68"/>
        <v>0</v>
      </c>
      <c r="T113">
        <f t="shared" si="68"/>
        <v>0</v>
      </c>
      <c r="U113">
        <f t="shared" si="68"/>
        <v>0</v>
      </c>
      <c r="V113">
        <f t="shared" si="68"/>
        <v>0</v>
      </c>
      <c r="W113">
        <f t="shared" si="68"/>
        <v>0</v>
      </c>
      <c r="X113">
        <f t="shared" si="68"/>
        <v>0</v>
      </c>
      <c r="Y113">
        <f t="shared" si="68"/>
        <v>0.17</v>
      </c>
      <c r="Z113">
        <f t="shared" si="73"/>
        <v>0</v>
      </c>
      <c r="AA113">
        <f t="shared" si="73"/>
        <v>0</v>
      </c>
      <c r="AB113">
        <f t="shared" si="73"/>
        <v>0</v>
      </c>
      <c r="AC113">
        <f t="shared" si="73"/>
        <v>0</v>
      </c>
      <c r="AD113">
        <f t="shared" si="73"/>
        <v>0</v>
      </c>
      <c r="AE113">
        <f t="shared" si="73"/>
        <v>0</v>
      </c>
      <c r="AF113">
        <f t="shared" si="73"/>
        <v>0</v>
      </c>
      <c r="AG113">
        <f t="shared" si="73"/>
        <v>0</v>
      </c>
      <c r="AH113">
        <f t="shared" si="73"/>
        <v>0</v>
      </c>
      <c r="AI113">
        <f t="shared" si="73"/>
        <v>0</v>
      </c>
      <c r="AJ113">
        <f t="shared" si="73"/>
        <v>2.3199999999999998</v>
      </c>
      <c r="AK113">
        <f t="shared" si="73"/>
        <v>0</v>
      </c>
      <c r="AL113">
        <f>BC61</f>
        <v>0</v>
      </c>
      <c r="AM113">
        <f>BD61</f>
        <v>0</v>
      </c>
      <c r="AN113">
        <f>BE61</f>
        <v>0</v>
      </c>
      <c r="AO113">
        <f>D113-AR113</f>
        <v>11.72</v>
      </c>
      <c r="AP113">
        <f>BG61</f>
        <v>0</v>
      </c>
      <c r="AQ113">
        <f>BH61</f>
        <v>0</v>
      </c>
      <c r="AR113">
        <f>E113+Q113+R113+S113+T113+U113+V113+W113+X113+Y113+Z113+AA113+AB113+AC113+AD113+AE113+AF113+AG113+AH113+AI113+AJ113+AK113+AL113+AM113+AN113+AP113+AQ113</f>
        <v>2.4899999999999998</v>
      </c>
      <c r="AS113">
        <f>D113+AO116-AR113</f>
        <v>11.74</v>
      </c>
    </row>
    <row r="114" spans="1:45" ht="20.25" customHeight="1">
      <c r="A114" t="s">
        <v>120</v>
      </c>
      <c r="B114" t="s">
        <v>121</v>
      </c>
      <c r="C114" t="s">
        <v>122</v>
      </c>
      <c r="D114">
        <f t="shared" si="70"/>
        <v>0</v>
      </c>
      <c r="E114">
        <f t="shared" si="38"/>
        <v>0</v>
      </c>
      <c r="F114">
        <f t="shared" si="71"/>
        <v>0</v>
      </c>
      <c r="G114">
        <f t="shared" si="71"/>
        <v>0</v>
      </c>
      <c r="H114">
        <f t="shared" si="72"/>
        <v>0</v>
      </c>
      <c r="I114">
        <f t="shared" si="72"/>
        <v>0</v>
      </c>
      <c r="J114">
        <f t="shared" ref="J114:O115" si="74">P62</f>
        <v>0</v>
      </c>
      <c r="K114">
        <f t="shared" si="74"/>
        <v>0</v>
      </c>
      <c r="L114">
        <f t="shared" si="74"/>
        <v>0</v>
      </c>
      <c r="M114">
        <f t="shared" si="74"/>
        <v>0</v>
      </c>
      <c r="N114">
        <f t="shared" si="74"/>
        <v>0</v>
      </c>
      <c r="O114">
        <f t="shared" si="74"/>
        <v>0</v>
      </c>
      <c r="P114">
        <f t="shared" si="62"/>
        <v>0</v>
      </c>
      <c r="Q114">
        <f t="shared" ref="Q114:Y115" si="75">W62</f>
        <v>0</v>
      </c>
      <c r="R114">
        <f t="shared" si="75"/>
        <v>0</v>
      </c>
      <c r="S114">
        <f t="shared" si="75"/>
        <v>0</v>
      </c>
      <c r="T114">
        <f t="shared" si="75"/>
        <v>0</v>
      </c>
      <c r="U114">
        <f t="shared" si="75"/>
        <v>0</v>
      </c>
      <c r="V114">
        <f t="shared" si="75"/>
        <v>0</v>
      </c>
      <c r="W114">
        <f t="shared" si="75"/>
        <v>0</v>
      </c>
      <c r="X114">
        <f t="shared" si="75"/>
        <v>0</v>
      </c>
      <c r="Y114">
        <f t="shared" si="75"/>
        <v>0</v>
      </c>
      <c r="Z114">
        <f t="shared" si="73"/>
        <v>0</v>
      </c>
      <c r="AA114">
        <f t="shared" si="73"/>
        <v>0</v>
      </c>
      <c r="AB114">
        <f t="shared" si="73"/>
        <v>0</v>
      </c>
      <c r="AC114">
        <f t="shared" si="73"/>
        <v>0</v>
      </c>
      <c r="AD114">
        <f t="shared" si="73"/>
        <v>0</v>
      </c>
      <c r="AE114">
        <f t="shared" si="73"/>
        <v>0</v>
      </c>
      <c r="AF114">
        <f t="shared" si="73"/>
        <v>0</v>
      </c>
      <c r="AG114">
        <f t="shared" si="73"/>
        <v>0</v>
      </c>
      <c r="AH114">
        <f t="shared" si="73"/>
        <v>0</v>
      </c>
      <c r="AI114">
        <f t="shared" si="73"/>
        <v>0</v>
      </c>
      <c r="AJ114">
        <f t="shared" si="73"/>
        <v>0</v>
      </c>
      <c r="AK114">
        <f t="shared" si="73"/>
        <v>0</v>
      </c>
      <c r="AL114">
        <f>BC62</f>
        <v>0</v>
      </c>
      <c r="AM114">
        <f>BD62</f>
        <v>0</v>
      </c>
      <c r="AN114">
        <f>BE62</f>
        <v>0</v>
      </c>
      <c r="AO114">
        <f>BF62</f>
        <v>0</v>
      </c>
      <c r="AP114">
        <f>D114-AR114</f>
        <v>0</v>
      </c>
      <c r="AQ114">
        <f>BH62</f>
        <v>0</v>
      </c>
      <c r="AR114">
        <f>E114+Q114+R114+S114+T114+U114+V114+W114+X114+Y114+Z114+AA114+AB114+AC114+AD114+AE114+AF114+AG114+AH114+AI114+AJ114+AK114+AL114+AM114+AN114+AO114+AQ114</f>
        <v>0</v>
      </c>
      <c r="AS114">
        <f>D114+AP116-AR114</f>
        <v>0</v>
      </c>
    </row>
    <row r="115" spans="1:45" ht="20.25" customHeight="1">
      <c r="A115">
        <v>3</v>
      </c>
      <c r="B115" t="s">
        <v>123</v>
      </c>
      <c r="C115" t="s">
        <v>124</v>
      </c>
      <c r="D115">
        <f>D63</f>
        <v>42.9131</v>
      </c>
      <c r="E115">
        <f>F115+H115+I115+J115+K115+L115+M115+N115+O115</f>
        <v>1.65</v>
      </c>
      <c r="F115">
        <f t="shared" si="71"/>
        <v>0</v>
      </c>
      <c r="G115">
        <f t="shared" si="71"/>
        <v>0</v>
      </c>
      <c r="H115">
        <f t="shared" si="72"/>
        <v>0</v>
      </c>
      <c r="I115">
        <f t="shared" si="72"/>
        <v>0</v>
      </c>
      <c r="J115">
        <f t="shared" si="74"/>
        <v>0</v>
      </c>
      <c r="K115">
        <f t="shared" si="74"/>
        <v>0</v>
      </c>
      <c r="L115">
        <f t="shared" si="74"/>
        <v>0</v>
      </c>
      <c r="M115">
        <f t="shared" si="74"/>
        <v>1.65</v>
      </c>
      <c r="N115">
        <f t="shared" si="74"/>
        <v>0</v>
      </c>
      <c r="O115">
        <f t="shared" si="74"/>
        <v>0</v>
      </c>
      <c r="P115">
        <f>SUM(Q115:AP115)</f>
        <v>0.15999999999999998</v>
      </c>
      <c r="Q115">
        <f t="shared" si="75"/>
        <v>0</v>
      </c>
      <c r="R115">
        <f t="shared" si="75"/>
        <v>0</v>
      </c>
      <c r="S115">
        <f t="shared" si="75"/>
        <v>0</v>
      </c>
      <c r="T115">
        <f t="shared" si="75"/>
        <v>0</v>
      </c>
      <c r="U115">
        <f t="shared" si="75"/>
        <v>0</v>
      </c>
      <c r="V115">
        <f t="shared" si="75"/>
        <v>0</v>
      </c>
      <c r="W115">
        <f t="shared" si="75"/>
        <v>0</v>
      </c>
      <c r="X115">
        <f t="shared" si="75"/>
        <v>0</v>
      </c>
      <c r="Y115">
        <f t="shared" si="75"/>
        <v>0.13999999999999999</v>
      </c>
      <c r="Z115">
        <f t="shared" si="73"/>
        <v>0</v>
      </c>
      <c r="AA115">
        <f t="shared" si="73"/>
        <v>0</v>
      </c>
      <c r="AB115">
        <f t="shared" si="73"/>
        <v>0</v>
      </c>
      <c r="AC115">
        <f t="shared" si="73"/>
        <v>0</v>
      </c>
      <c r="AD115">
        <f t="shared" si="73"/>
        <v>0.02</v>
      </c>
      <c r="AE115">
        <f t="shared" si="73"/>
        <v>0</v>
      </c>
      <c r="AF115">
        <f t="shared" si="73"/>
        <v>0</v>
      </c>
      <c r="AG115">
        <f t="shared" si="73"/>
        <v>0</v>
      </c>
      <c r="AH115">
        <f t="shared" si="73"/>
        <v>0</v>
      </c>
      <c r="AI115">
        <f t="shared" si="73"/>
        <v>0</v>
      </c>
      <c r="AJ115">
        <f t="shared" si="73"/>
        <v>0</v>
      </c>
      <c r="AK115">
        <f t="shared" si="73"/>
        <v>0</v>
      </c>
      <c r="AL115">
        <f>BC63</f>
        <v>0</v>
      </c>
      <c r="AM115">
        <f>BD63</f>
        <v>0</v>
      </c>
      <c r="AN115">
        <f>BE63</f>
        <v>0</v>
      </c>
      <c r="AO115">
        <f>BF63</f>
        <v>0</v>
      </c>
      <c r="AP115">
        <f>BG63</f>
        <v>0</v>
      </c>
      <c r="AQ115">
        <f>AR115</f>
        <v>1.8099999999999998</v>
      </c>
      <c r="AR115">
        <f>E115+Q115+R115+S115+T115+U115+V115+W115+X115+Y115+Z115+AA115+AB115+AC115+AD115+AE115+AF115+AG115+AH115+AI115+AJ115+AL115+AM115+AN115+AO115+AP115</f>
        <v>1.8099999999999998</v>
      </c>
      <c r="AS115">
        <f>D115+AQ116-AR115</f>
        <v>41.103099999999998</v>
      </c>
    </row>
    <row r="116" spans="1:45" ht="20.25" customHeight="1">
      <c r="B116" t="s">
        <v>190</v>
      </c>
      <c r="E116">
        <f>E88+E115</f>
        <v>3.75</v>
      </c>
      <c r="F116">
        <f>F80+F81+F82+F83+F84+F85+F86+F87+F88+F115</f>
        <v>0</v>
      </c>
      <c r="G116">
        <f>G78+G80+G81+G82+G83+G84+G85+G86+G87+G88+G115</f>
        <v>0</v>
      </c>
      <c r="H116">
        <f>H78+H81+H82+H83+H84+H85+H86+H87+H88+H115</f>
        <v>0</v>
      </c>
      <c r="I116">
        <f>I78+I80+I82+I83+I84+I85+I86+I87+I88+I115</f>
        <v>0</v>
      </c>
      <c r="J116">
        <f>J78+J80+J81+J83+J84+J85+J86+J87+J88+J115</f>
        <v>0</v>
      </c>
      <c r="K116">
        <f>K78+K80+K81+K82+K84+K85+K86+K87+K88+K115</f>
        <v>0</v>
      </c>
      <c r="L116">
        <f>L78+L80+L81+L82+L83+L85+L86+L87+L88+L115</f>
        <v>0</v>
      </c>
      <c r="M116">
        <f>M78+M80+M81+M82+M83+M84+M86+M87+M88+M115</f>
        <v>4.05</v>
      </c>
      <c r="N116">
        <f>N78+N80+N81+N82+N83+N84+N85+N87+N88+N115</f>
        <v>0</v>
      </c>
      <c r="O116">
        <f>O78+O80+O81+O82+O83+O84+O85+O86+O88+O115</f>
        <v>0</v>
      </c>
      <c r="P116">
        <f>P77+P115</f>
        <v>24.680000000000003</v>
      </c>
      <c r="Q116">
        <f>Q77+Q90+Q91+Q92+Q93+Q94+Q95+Q96+Q97+Q98+Q99+Q100+Q101+Q102+Q103+Q104+Q105+Q106+Q107+Q108+Q109+Q110+Q111+Q112+Q113+Q114+Q115</f>
        <v>0</v>
      </c>
      <c r="R116">
        <f>R77+R89+R91+R92+R93+R94+R95+R96+R97+R98+R99+R100+R101+R102+R103+R104+R105+R106+R107+R108+R109+R110+R111+R112+R113+R114+R115</f>
        <v>0</v>
      </c>
      <c r="S116">
        <f>S77+S89+S90+S92+S93+S94+S95+S96+S97+S98+S99+S100+S101+S102+S103+S104+S105+S106+S107+S108+S109+S110+S111+S112+S113+S114+S115</f>
        <v>0</v>
      </c>
      <c r="T116">
        <f>T77+T89+T90+T91+T93+T94+T95+T96+T97+T98+T99+T100+T101+T102+T103+T104+T105+T106+T107+T108+T109+T110+T111+T112+T113+T114+T115</f>
        <v>0</v>
      </c>
      <c r="U116">
        <f>U77+U89+U90+U91+U92+U94+U95+U96+U97+U98+U99+U100+U101+U102+U103+U104+U105+U106+U107+U108+U109+U110+U111+U112+U113+U114+U115</f>
        <v>0</v>
      </c>
      <c r="V116">
        <f>V77+V89+V90+V91+V92+V93+V95+V96+V97+V98+V99+V100+V101+V102+V103+V104+V105+V106+V107+V108+V109+V110+V111+V112+V113+V114+V115</f>
        <v>1.2500000000000002</v>
      </c>
      <c r="W116">
        <f>W77+W89+W90+W91+W92+W93+W94+W96+W97+W98+W99+W100+W101+W102+W103+W104+W105+W106+W107+W108+W109+W110+W111+W112+W113+W114+W115</f>
        <v>0</v>
      </c>
      <c r="X116">
        <f>X77+X89+X90+X91+X92+X93+X94+X95+X97+X98+X99+X100+X101+X102+X103+X104+X105+X106+X107+X108+X109+X110+X111+X112+X113+X114+X115</f>
        <v>0</v>
      </c>
      <c r="Y116">
        <f>Y77+Y89+Y90+Y91+Y92+Y93+Y94+Y95+Y96+Y98+Y99+Y100+Y101+Y102+Y103+Y104+Y105+Y106+Y107+Y108+Y109+Y110+Y111+Y112+Y113+Y114+Y115</f>
        <v>16.860000000000003</v>
      </c>
      <c r="Z116">
        <f>Z77+Z89+Z90+Z91+Z92+Z93+Z94+Z95+Z96+Z97+Z99+Z100+Z101+Z102+Z103+Z104+Z105+Z106+Z107+Z108+Z109+Z110+Z111+Z112+Z113+Z114+Z115</f>
        <v>0</v>
      </c>
      <c r="AA116">
        <f>AA77+AA89+AA90+AA91+AA92+AA93+AA94+AA95+AA96+AA97+AA98+AA100+AA101+AA102+AA103+AA104+AA105+AA106+AA107+AA108+AA109+AA110+AA111+AA112+AA113+AA114+AA115</f>
        <v>0</v>
      </c>
      <c r="AB116">
        <f>AB77+AB89+AB90+AB91+AB92+AB93+AB94+AB95+AB96+AB97+AB98+AB99+AB101+AB102+AB103+AB104+AB105+AB106+AB107+AB108+AB109+AB110+AB111+AB112+AB113+AB114+AB115</f>
        <v>0</v>
      </c>
      <c r="AC116">
        <f>AC77+AC89+AC90+AC91+AC92+AC93+AC94+AC95+AC96+AC97+AC98+AC99+AC100+AC102+AC103+AC104+AC105+AC106+AC107+AC108+AC109+AC110+AC111+AC112+AC113+AC114+AC115</f>
        <v>0</v>
      </c>
      <c r="AD116">
        <f>AD77+AD89+AD90+AD91+AD92+AD93+AD94+AD95+AD96+AD97+AD98+AD99+AD100+AD101+AD103+AD104+AD105+AD106+AD107+AD108+AD109+AD110+AD111+AD112+AD113+AD114+AD115</f>
        <v>10.61</v>
      </c>
      <c r="AE116">
        <f>AE77+AE89+AE90+AE91+AE92+AE93+AE94+AE95+AE96+AE97+AE98+AE99+AE100+AE101+AE102+AE104+AE105+AE106+AE107+AE108+AE109+AE110+AE111+AE112+AE113+AE114+AE115</f>
        <v>0</v>
      </c>
      <c r="AF116">
        <f>AF77+AF89+AF90+AF91+AF92+AF93+AF94+AF95+AF96+AF97+AF98+AF99+AF100+AF101+AF102+AF103+AF105+AF106+AF107+AF108+AF109+AF110+AF111+AF112+AF113+AF114+AF115</f>
        <v>0</v>
      </c>
      <c r="AG116">
        <f>AG77+AG89+AG90+AG91+AG92+AG93+AG94+AG95+AG96+AG97+AG98+AG99+AG100+AG101+AG102+AG103+AG104+AG106+AG107+AG108+AG109+AG110+AG111+AG112+AG113+AG114+AG115</f>
        <v>0</v>
      </c>
      <c r="AH116">
        <f>AH77+AH89+AH90+AH91+AH92+AH93+AH94+AH95+AH96+AH97+AH98+AH99+AH100+AH101+AH102+AH103+AH104+AH105+AH107+AH108+AH109+AH110+AH111+AH112+AH113+AH114+AH115</f>
        <v>0</v>
      </c>
      <c r="AI116">
        <f>AI77+AI89+AI90+AI91+AI92+AI93+AI94+AI95+AI96+AI97+AI98+AI99+AI100+AI101+AI102+AI103+AI104+AI105+AI106+AI108+AI109+AI110+AI111+AI112+AI113+AI114+AI115</f>
        <v>0</v>
      </c>
      <c r="AJ116">
        <f>AJ77+AJ89+AJ90+AJ91+AJ92+AJ93+AJ94+AJ95+AJ96+AJ97+AJ98+AJ99+AJ100+AJ101+AJ102+AJ103+AJ104+AJ105+AJ106+AJ107+AJ109+AJ110+AJ111+AJ112+AJ113+AJ114+AJ115</f>
        <v>2.7199999999999998</v>
      </c>
      <c r="AK116">
        <f>AK77+AK89+AK90+AK91+AK92+AK93+AK94+AK95+AK96+AK97+AK98+AK99+AK100+AK101+AK102+AK103+AK104+AK105+AK106+AK107+AK108+AK110+AK111+AK112+AK113+AK114+AK115</f>
        <v>0</v>
      </c>
      <c r="AL116">
        <f>AL77+AL89+AL90+AL91+AL92+AL93+AL94+AL95+AL96+AL97+AL98+AL99+AL100+AL101+AL102+AL103+AL104+AL105+AL106+AL107+AL108+AL109+AL111+AL112+AL113+AL114+AL115</f>
        <v>0.8</v>
      </c>
      <c r="AM116">
        <f>AM77+AM89+AM90+AM91+AM92+AM93+AM94+AM95+AM96+AM97+AM98+AM99+AM100+AM101+AM102+AM103+AM104+AM105+AM106+AM107+AM108+AM109+AM110+AM112+AM113+AM114+AM115</f>
        <v>0</v>
      </c>
      <c r="AN116">
        <f>AN77+AN89+AN90+AN91+AN92+AN93+AN94+AN95+AN96+AN97+AN98+AN99+AN100+AN101+AN102+AN103+AN104+AN105+AN106+AN107+AN108+AN109+AN110+AN111+AN113+AN114+AN115</f>
        <v>0</v>
      </c>
      <c r="AO116">
        <f>AO77+AO89+AO90+AO91+AO92+AO93+AO94+AO95+AO96+AO97+AO98+AO99+AO100+AO101+AO102+AO103+AO104+AO105+AO106+AO107+AO108+AO109+AO110+AO111+AO112+AO114+AO115</f>
        <v>0.02</v>
      </c>
      <c r="AP116">
        <f>AP77+AP89+AP90+AP91+AP92+AP93+AP94+AP95+AP96+AP97+AP98+AP99+AP100+AP101+AP102+AP103+AP104+AP105+AP106+AP107+AP108+AP109+AP110+AP111+AP112+AP113+AP115</f>
        <v>0</v>
      </c>
      <c r="AQ116">
        <f>AQ77+AQ88</f>
        <v>0</v>
      </c>
    </row>
    <row r="117" spans="1:45" ht="25.5" customHeight="1">
      <c r="B117" t="s">
        <v>325</v>
      </c>
      <c r="D117">
        <f>AS76</f>
        <v>1129.7995000000003</v>
      </c>
      <c r="E117">
        <f>AS77</f>
        <v>681.01200000000006</v>
      </c>
      <c r="F117">
        <f>AS78</f>
        <v>234.18289999999999</v>
      </c>
      <c r="G117">
        <f>AS79</f>
        <v>90.982900000000001</v>
      </c>
      <c r="H117">
        <f>AS80</f>
        <v>27.7591</v>
      </c>
      <c r="I117">
        <f>AS81</f>
        <v>109.37</v>
      </c>
      <c r="J117">
        <f>AS82</f>
        <v>13.91</v>
      </c>
      <c r="K117">
        <f>AS83</f>
        <v>-0.89999999999999991</v>
      </c>
      <c r="L117">
        <f>AS84</f>
        <v>115.84</v>
      </c>
      <c r="M117">
        <f>AS85</f>
        <v>180.78</v>
      </c>
      <c r="N117">
        <f>AS86</f>
        <v>0</v>
      </c>
      <c r="O117">
        <f>AS87</f>
        <v>7.0000000000000007E-2</v>
      </c>
      <c r="P117">
        <f>AS88</f>
        <v>407.6844000000001</v>
      </c>
      <c r="Q117">
        <f>AS89</f>
        <v>14.43</v>
      </c>
      <c r="R117">
        <f>AS90</f>
        <v>0.16</v>
      </c>
      <c r="S117">
        <f>AS91</f>
        <v>0</v>
      </c>
      <c r="T117">
        <f>AS92</f>
        <v>0</v>
      </c>
      <c r="U117">
        <f>AS93</f>
        <v>0</v>
      </c>
      <c r="V117">
        <f>AS94</f>
        <v>17.664200000000001</v>
      </c>
      <c r="W117">
        <f>AS95</f>
        <v>60.28</v>
      </c>
      <c r="X117">
        <f>AS96</f>
        <v>0</v>
      </c>
      <c r="Y117">
        <f>AS97</f>
        <v>137.05280000000005</v>
      </c>
      <c r="Z117">
        <f>AS98</f>
        <v>0</v>
      </c>
      <c r="AA117">
        <f>AS99</f>
        <v>0</v>
      </c>
      <c r="AB117">
        <f>AS100</f>
        <v>0</v>
      </c>
      <c r="AC117">
        <f>AS101</f>
        <v>0</v>
      </c>
      <c r="AD117">
        <f>AS102</f>
        <v>60.9465</v>
      </c>
      <c r="AE117">
        <f>AS103</f>
        <v>0.51</v>
      </c>
      <c r="AF117">
        <f>AS104</f>
        <v>0.67</v>
      </c>
      <c r="AG117">
        <f>AS105</f>
        <v>0</v>
      </c>
      <c r="AH117">
        <f>AS106</f>
        <v>0.54</v>
      </c>
      <c r="AI117">
        <f>AS107</f>
        <v>7.26</v>
      </c>
      <c r="AJ117">
        <f>AS108</f>
        <v>3.7408999999999999</v>
      </c>
      <c r="AK117">
        <f>AS109</f>
        <v>1.0900000000000001</v>
      </c>
      <c r="AL117">
        <f>AS110</f>
        <v>2.8200000000000003</v>
      </c>
      <c r="AM117">
        <f>AS111</f>
        <v>0.16</v>
      </c>
      <c r="AN117">
        <f>AS112</f>
        <v>88.62</v>
      </c>
      <c r="AO117">
        <f>AS113</f>
        <v>11.74</v>
      </c>
      <c r="AP117">
        <f>AS114</f>
        <v>0</v>
      </c>
      <c r="AQ117">
        <f>AS115</f>
        <v>41.103099999999998</v>
      </c>
    </row>
  </sheetData>
  <mergeCells count="21">
    <mergeCell ref="A1:B1"/>
    <mergeCell ref="A2:BN2"/>
    <mergeCell ref="A4:A5"/>
    <mergeCell ref="B4:B5"/>
    <mergeCell ref="C4:C5"/>
    <mergeCell ref="A74:A75"/>
    <mergeCell ref="BN4:BN5"/>
    <mergeCell ref="A70:B70"/>
    <mergeCell ref="BM4:BM5"/>
    <mergeCell ref="A72:AS72"/>
    <mergeCell ref="AS74:AS75"/>
    <mergeCell ref="D4:D5"/>
    <mergeCell ref="C74:C75"/>
    <mergeCell ref="A71:AS71"/>
    <mergeCell ref="E74:AQ74"/>
    <mergeCell ref="D74:D75"/>
    <mergeCell ref="E4:BK4"/>
    <mergeCell ref="AR73:AS73"/>
    <mergeCell ref="BL4:BL5"/>
    <mergeCell ref="B74:B75"/>
    <mergeCell ref="AR74:AR75"/>
  </mergeCells>
  <phoneticPr fontId="4" type="noConversion"/>
  <pageMargins left="0.75" right="0.75" top="1" bottom="1" header="0.5" footer="0.5"/>
  <pageSetup paperSize="9" scale="45" orientation="portrait" r:id="rId1"/>
  <headerFooter alignWithMargins="0"/>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BP117"/>
  <sheetViews>
    <sheetView showZeros="0" topLeftCell="B4" zoomScale="75" workbookViewId="0">
      <pane xSplit="3" ySplit="4" topLeftCell="AU56" activePane="bottomRight" state="frozen"/>
      <selection activeCell="B4" sqref="B4"/>
      <selection pane="topRight" activeCell="E4" sqref="E4"/>
      <selection pane="bottomLeft" activeCell="B8" sqref="B8"/>
      <selection pane="bottomRight" activeCell="AU52" sqref="AU52"/>
    </sheetView>
  </sheetViews>
  <sheetFormatPr defaultRowHeight="24.95" customHeight="1"/>
  <cols>
    <col min="1" max="1" width="10" customWidth="1"/>
    <col min="2" max="2" width="47.140625" customWidth="1"/>
    <col min="3" max="3" width="8.28515625" customWidth="1"/>
    <col min="4" max="4" width="13.5703125" customWidth="1"/>
    <col min="5" max="6" width="11.85546875" customWidth="1"/>
    <col min="7" max="7" width="11.28515625" customWidth="1"/>
    <col min="8" max="8" width="10.85546875" customWidth="1"/>
    <col min="9" max="9" width="11.140625" customWidth="1"/>
    <col min="10" max="10" width="11" customWidth="1"/>
    <col min="11" max="11" width="10" customWidth="1"/>
    <col min="12" max="12" width="11.140625" customWidth="1"/>
    <col min="13" max="13" width="11.85546875" customWidth="1"/>
    <col min="14" max="15" width="11.28515625" customWidth="1"/>
    <col min="16" max="16" width="12.85546875" customWidth="1"/>
    <col min="17" max="17" width="12.28515625" customWidth="1"/>
    <col min="18" max="18" width="10.85546875" customWidth="1"/>
    <col min="20" max="20" width="10.140625" customWidth="1"/>
    <col min="21" max="21" width="9.85546875" customWidth="1"/>
    <col min="22" max="22" width="11.5703125" customWidth="1"/>
    <col min="23" max="23" width="11.140625" customWidth="1"/>
    <col min="24" max="24" width="10.7109375" customWidth="1"/>
    <col min="25" max="25" width="10.42578125" customWidth="1"/>
    <col min="26" max="26" width="11.140625" customWidth="1"/>
    <col min="27" max="27" width="9.85546875" customWidth="1"/>
    <col min="28" max="39" width="10.42578125" customWidth="1"/>
    <col min="40" max="40" width="11" customWidth="1"/>
    <col min="41" max="43" width="9.42578125" customWidth="1"/>
    <col min="44" max="44" width="10.85546875" customWidth="1"/>
    <col min="45" max="45" width="12.7109375" customWidth="1"/>
    <col min="46" max="47" width="9.42578125" customWidth="1"/>
    <col min="48" max="48" width="11.5703125" customWidth="1"/>
    <col min="49" max="59" width="9" customWidth="1"/>
    <col min="60" max="60" width="10.140625" customWidth="1"/>
    <col min="61" max="62" width="9.85546875" customWidth="1"/>
    <col min="64" max="64" width="10.5703125" customWidth="1"/>
    <col min="65" max="65" width="12.140625" customWidth="1"/>
    <col min="66" max="66" width="13" customWidth="1"/>
    <col min="67" max="67" width="9.5703125" bestFit="1" customWidth="1"/>
  </cols>
  <sheetData>
    <row r="1" spans="1:68" ht="24.95" customHeight="1">
      <c r="A1" s="1300" t="s">
        <v>301</v>
      </c>
      <c r="B1" s="1300"/>
    </row>
    <row r="2" spans="1:68" ht="36.75" customHeight="1">
      <c r="A2" s="1282" t="s">
        <v>968</v>
      </c>
      <c r="B2" s="1282"/>
      <c r="C2" s="1282"/>
      <c r="D2" s="1282"/>
      <c r="E2" s="1282"/>
      <c r="F2" s="1282"/>
      <c r="G2" s="1282"/>
      <c r="H2" s="1282"/>
      <c r="I2" s="1282"/>
      <c r="J2" s="1282"/>
      <c r="K2" s="1282"/>
      <c r="L2" s="1282"/>
      <c r="M2" s="1282"/>
      <c r="N2" s="1282"/>
      <c r="O2" s="1282"/>
      <c r="P2" s="1282"/>
      <c r="Q2" s="1282"/>
      <c r="R2" s="1282"/>
      <c r="S2" s="1282"/>
      <c r="T2" s="1282"/>
      <c r="U2" s="1282"/>
      <c r="V2" s="1282"/>
      <c r="W2" s="1282"/>
      <c r="X2" s="1282"/>
      <c r="Y2" s="1282"/>
      <c r="Z2" s="1282"/>
      <c r="AA2" s="1282"/>
      <c r="AB2" s="1282"/>
      <c r="AC2" s="1282"/>
      <c r="AD2" s="1282"/>
      <c r="AE2" s="1282"/>
      <c r="AF2" s="1282"/>
      <c r="AG2" s="1282"/>
      <c r="AH2" s="1282"/>
      <c r="AI2" s="1282"/>
      <c r="AJ2" s="1282"/>
      <c r="AK2" s="1282"/>
      <c r="AL2" s="1282"/>
      <c r="AM2" s="1282"/>
      <c r="AN2" s="1282"/>
      <c r="AO2" s="1282"/>
      <c r="AP2" s="1282"/>
      <c r="AQ2" s="1282"/>
      <c r="AR2" s="1282"/>
      <c r="AS2" s="1282"/>
      <c r="AT2" s="1282"/>
      <c r="AU2" s="1282"/>
      <c r="AV2" s="1282"/>
      <c r="AW2" s="1282"/>
      <c r="AX2" s="1282"/>
      <c r="AY2" s="1282"/>
      <c r="AZ2" s="1282"/>
      <c r="BA2" s="1282"/>
      <c r="BB2" s="1282"/>
      <c r="BC2" s="1282"/>
      <c r="BD2" s="1282"/>
      <c r="BE2" s="1282"/>
      <c r="BF2" s="1282"/>
      <c r="BG2" s="1282"/>
      <c r="BH2" s="1282"/>
      <c r="BI2" s="1282"/>
      <c r="BJ2" s="1282"/>
      <c r="BK2" s="1282"/>
      <c r="BL2" s="1282"/>
      <c r="BM2" s="1282"/>
      <c r="BN2" s="1282"/>
    </row>
    <row r="4" spans="1:68" ht="33" customHeight="1">
      <c r="A4" s="1275" t="s">
        <v>136</v>
      </c>
      <c r="B4" s="1275" t="s">
        <v>469</v>
      </c>
      <c r="C4" s="1275" t="s">
        <v>13</v>
      </c>
      <c r="D4" s="1275" t="s">
        <v>693</v>
      </c>
      <c r="E4" s="1368" t="s">
        <v>694</v>
      </c>
      <c r="F4" s="1368"/>
      <c r="G4" s="1368"/>
      <c r="H4" s="1368"/>
      <c r="I4" s="1368"/>
      <c r="J4" s="1368"/>
      <c r="K4" s="1368"/>
      <c r="L4" s="1368"/>
      <c r="M4" s="1368"/>
      <c r="N4" s="1368"/>
      <c r="O4" s="1368"/>
      <c r="P4" s="1368"/>
      <c r="Q4" s="1368"/>
      <c r="R4" s="1368"/>
      <c r="S4" s="1368"/>
      <c r="T4" s="1368"/>
      <c r="U4" s="1368"/>
      <c r="V4" s="1368"/>
      <c r="W4" s="1368"/>
      <c r="X4" s="1368"/>
      <c r="Y4" s="1368"/>
      <c r="Z4" s="1368"/>
      <c r="AA4" s="1368"/>
      <c r="AB4" s="1368"/>
      <c r="AC4" s="1368"/>
      <c r="AD4" s="1368"/>
      <c r="AE4" s="1368"/>
      <c r="AF4" s="1368"/>
      <c r="AG4" s="1368"/>
      <c r="AH4" s="1368"/>
      <c r="AI4" s="1368"/>
      <c r="AJ4" s="1368"/>
      <c r="AK4" s="1368"/>
      <c r="AL4" s="1368"/>
      <c r="AM4" s="1368"/>
      <c r="AN4" s="1368"/>
      <c r="AO4" s="1368"/>
      <c r="AP4" s="1368"/>
      <c r="AQ4" s="1368"/>
      <c r="AR4" s="1368"/>
      <c r="AS4" s="1368"/>
      <c r="AT4" s="1368"/>
      <c r="AU4" s="1368"/>
      <c r="AV4" s="1368"/>
      <c r="AW4" s="1368"/>
      <c r="AX4" s="1368"/>
      <c r="AY4" s="1368"/>
      <c r="AZ4" s="1368"/>
      <c r="BA4" s="1368"/>
      <c r="BB4" s="1368"/>
      <c r="BC4" s="1368"/>
      <c r="BD4" s="1368"/>
      <c r="BE4" s="1368"/>
      <c r="BF4" s="1368"/>
      <c r="BG4" s="1368"/>
      <c r="BH4" s="1368"/>
      <c r="BI4" s="1368"/>
      <c r="BJ4" s="1368"/>
      <c r="BK4" s="1368"/>
      <c r="BL4" s="1365" t="s">
        <v>191</v>
      </c>
      <c r="BM4" s="1365" t="s">
        <v>493</v>
      </c>
      <c r="BN4" s="1365" t="s">
        <v>695</v>
      </c>
    </row>
    <row r="5" spans="1:68" ht="35.25" customHeight="1">
      <c r="A5" s="1275"/>
      <c r="B5" s="1275"/>
      <c r="C5" s="1275"/>
      <c r="D5" s="1275"/>
      <c r="E5" s="128" t="s">
        <v>15</v>
      </c>
      <c r="F5" s="128" t="s">
        <v>193</v>
      </c>
      <c r="G5" s="128" t="s">
        <v>194</v>
      </c>
      <c r="H5" s="128" t="s">
        <v>18</v>
      </c>
      <c r="I5" s="128" t="s">
        <v>20</v>
      </c>
      <c r="J5" s="128" t="s">
        <v>195</v>
      </c>
      <c r="K5" s="128" t="s">
        <v>196</v>
      </c>
      <c r="L5" s="128" t="s">
        <v>197</v>
      </c>
      <c r="M5" s="128" t="s">
        <v>23</v>
      </c>
      <c r="N5" s="128" t="s">
        <v>26</v>
      </c>
      <c r="O5" s="128" t="s">
        <v>198</v>
      </c>
      <c r="P5" s="128" t="s">
        <v>29</v>
      </c>
      <c r="Q5" s="128" t="s">
        <v>32</v>
      </c>
      <c r="R5" s="128" t="s">
        <v>35</v>
      </c>
      <c r="S5" s="128" t="s">
        <v>38</v>
      </c>
      <c r="T5" s="128" t="s">
        <v>41</v>
      </c>
      <c r="U5" s="128" t="s">
        <v>44</v>
      </c>
      <c r="V5" s="128" t="s">
        <v>46</v>
      </c>
      <c r="W5" s="128" t="s">
        <v>49</v>
      </c>
      <c r="X5" s="128" t="s">
        <v>52</v>
      </c>
      <c r="Y5" s="128" t="s">
        <v>55</v>
      </c>
      <c r="Z5" s="128" t="s">
        <v>58</v>
      </c>
      <c r="AA5" s="128" t="s">
        <v>61</v>
      </c>
      <c r="AB5" s="128" t="s">
        <v>64</v>
      </c>
      <c r="AC5" s="128" t="s">
        <v>67</v>
      </c>
      <c r="AD5" s="128" t="s">
        <v>70</v>
      </c>
      <c r="AE5" s="128" t="s">
        <v>72</v>
      </c>
      <c r="AF5" s="128" t="s">
        <v>202</v>
      </c>
      <c r="AG5" s="128" t="s">
        <v>203</v>
      </c>
      <c r="AH5" s="128" t="s">
        <v>204</v>
      </c>
      <c r="AI5" s="128" t="s">
        <v>205</v>
      </c>
      <c r="AJ5" s="128" t="s">
        <v>206</v>
      </c>
      <c r="AK5" s="128" t="s">
        <v>207</v>
      </c>
      <c r="AL5" s="128" t="s">
        <v>199</v>
      </c>
      <c r="AM5" s="128" t="s">
        <v>200</v>
      </c>
      <c r="AN5" s="128" t="s">
        <v>223</v>
      </c>
      <c r="AO5" s="128" t="s">
        <v>201</v>
      </c>
      <c r="AP5" s="128" t="s">
        <v>208</v>
      </c>
      <c r="AQ5" s="128" t="s">
        <v>75</v>
      </c>
      <c r="AR5" s="128" t="s">
        <v>78</v>
      </c>
      <c r="AS5" s="128" t="s">
        <v>81</v>
      </c>
      <c r="AT5" s="128" t="s">
        <v>84</v>
      </c>
      <c r="AU5" s="128" t="s">
        <v>87</v>
      </c>
      <c r="AV5" s="128" t="s">
        <v>90</v>
      </c>
      <c r="AW5" s="128" t="s">
        <v>93</v>
      </c>
      <c r="AX5" s="128" t="s">
        <v>96</v>
      </c>
      <c r="AY5" s="128" t="s">
        <v>99</v>
      </c>
      <c r="AZ5" s="128" t="s">
        <v>101</v>
      </c>
      <c r="BA5" s="128" t="s">
        <v>104</v>
      </c>
      <c r="BB5" s="128" t="s">
        <v>107</v>
      </c>
      <c r="BC5" s="128" t="s">
        <v>110</v>
      </c>
      <c r="BD5" s="128" t="s">
        <v>113</v>
      </c>
      <c r="BE5" s="128" t="s">
        <v>116</v>
      </c>
      <c r="BF5" s="128" t="s">
        <v>119</v>
      </c>
      <c r="BG5" s="128" t="s">
        <v>122</v>
      </c>
      <c r="BH5" s="128" t="s">
        <v>124</v>
      </c>
      <c r="BI5" s="128" t="s">
        <v>209</v>
      </c>
      <c r="BJ5" s="128" t="s">
        <v>210</v>
      </c>
      <c r="BK5" s="128" t="s">
        <v>211</v>
      </c>
      <c r="BL5" s="1366"/>
      <c r="BM5" s="1366"/>
      <c r="BN5" s="1366"/>
    </row>
    <row r="6" spans="1:68" ht="24.95" customHeight="1">
      <c r="A6" s="128" t="s">
        <v>235</v>
      </c>
      <c r="B6" s="128" t="s">
        <v>236</v>
      </c>
      <c r="C6" s="128" t="s">
        <v>237</v>
      </c>
      <c r="D6" s="128" t="s">
        <v>238</v>
      </c>
      <c r="E6" s="128" t="s">
        <v>239</v>
      </c>
      <c r="F6" s="128" t="s">
        <v>240</v>
      </c>
      <c r="G6" s="128" t="s">
        <v>241</v>
      </c>
      <c r="H6" s="128" t="s">
        <v>242</v>
      </c>
      <c r="I6" s="128" t="s">
        <v>243</v>
      </c>
      <c r="J6" s="128" t="s">
        <v>244</v>
      </c>
      <c r="K6" s="128" t="s">
        <v>245</v>
      </c>
      <c r="L6" s="128" t="s">
        <v>246</v>
      </c>
      <c r="M6" s="128" t="s">
        <v>247</v>
      </c>
      <c r="N6" s="128" t="s">
        <v>248</v>
      </c>
      <c r="O6" s="128" t="s">
        <v>249</v>
      </c>
      <c r="P6" s="128" t="s">
        <v>250</v>
      </c>
      <c r="Q6" s="128" t="s">
        <v>251</v>
      </c>
      <c r="R6" s="128" t="s">
        <v>252</v>
      </c>
      <c r="S6" s="128" t="s">
        <v>253</v>
      </c>
      <c r="T6" s="128" t="s">
        <v>254</v>
      </c>
      <c r="U6" s="128" t="s">
        <v>255</v>
      </c>
      <c r="V6" s="128" t="s">
        <v>256</v>
      </c>
      <c r="W6" s="128" t="s">
        <v>257</v>
      </c>
      <c r="X6" s="128" t="s">
        <v>258</v>
      </c>
      <c r="Y6" s="128" t="s">
        <v>259</v>
      </c>
      <c r="Z6" s="128" t="s">
        <v>260</v>
      </c>
      <c r="AA6" s="128" t="s">
        <v>261</v>
      </c>
      <c r="AB6" s="128" t="s">
        <v>262</v>
      </c>
      <c r="AC6" s="128" t="s">
        <v>263</v>
      </c>
      <c r="AD6" s="128" t="s">
        <v>264</v>
      </c>
      <c r="AE6" s="128" t="s">
        <v>265</v>
      </c>
      <c r="AF6" s="128" t="s">
        <v>266</v>
      </c>
      <c r="AG6" s="128" t="s">
        <v>267</v>
      </c>
      <c r="AH6" s="128" t="s">
        <v>268</v>
      </c>
      <c r="AI6" s="128" t="s">
        <v>269</v>
      </c>
      <c r="AJ6" s="128" t="s">
        <v>270</v>
      </c>
      <c r="AK6" s="128" t="s">
        <v>271</v>
      </c>
      <c r="AL6" s="128" t="s">
        <v>272</v>
      </c>
      <c r="AM6" s="128" t="s">
        <v>273</v>
      </c>
      <c r="AN6" s="128" t="s">
        <v>274</v>
      </c>
      <c r="AO6" s="128" t="s">
        <v>275</v>
      </c>
      <c r="AP6" s="128" t="s">
        <v>276</v>
      </c>
      <c r="AQ6" s="128" t="s">
        <v>277</v>
      </c>
      <c r="AR6" s="128" t="s">
        <v>278</v>
      </c>
      <c r="AS6" s="128" t="s">
        <v>279</v>
      </c>
      <c r="AT6" s="128" t="s">
        <v>280</v>
      </c>
      <c r="AU6" s="128" t="s">
        <v>281</v>
      </c>
      <c r="AV6" s="128" t="s">
        <v>282</v>
      </c>
      <c r="AW6" s="128" t="s">
        <v>283</v>
      </c>
      <c r="AX6" s="128" t="s">
        <v>284</v>
      </c>
      <c r="AY6" s="128" t="s">
        <v>285</v>
      </c>
      <c r="AZ6" s="128" t="s">
        <v>286</v>
      </c>
      <c r="BA6" s="128" t="s">
        <v>287</v>
      </c>
      <c r="BB6" s="128" t="s">
        <v>288</v>
      </c>
      <c r="BC6" s="128" t="s">
        <v>289</v>
      </c>
      <c r="BD6" s="128" t="s">
        <v>290</v>
      </c>
      <c r="BE6" s="128" t="s">
        <v>291</v>
      </c>
      <c r="BF6" s="128" t="s">
        <v>292</v>
      </c>
      <c r="BG6" s="128" t="s">
        <v>293</v>
      </c>
      <c r="BH6" s="128" t="s">
        <v>294</v>
      </c>
      <c r="BI6" s="128" t="s">
        <v>295</v>
      </c>
      <c r="BJ6" s="128" t="s">
        <v>296</v>
      </c>
      <c r="BK6" s="128" t="s">
        <v>297</v>
      </c>
      <c r="BL6" s="128" t="s">
        <v>298</v>
      </c>
      <c r="BM6" s="128" t="s">
        <v>299</v>
      </c>
      <c r="BN6" s="128" t="s">
        <v>300</v>
      </c>
    </row>
    <row r="7" spans="1:68" s="117" customFormat="1" ht="31.5" customHeight="1">
      <c r="A7" s="152"/>
      <c r="B7" s="150" t="s">
        <v>470</v>
      </c>
      <c r="C7" s="150"/>
      <c r="D7" s="151">
        <f>D8+D25+D63</f>
        <v>72.409500000000008</v>
      </c>
      <c r="E7" s="151">
        <f>E8+E25+E63</f>
        <v>0</v>
      </c>
      <c r="F7" s="151">
        <f t="shared" ref="F7:BN7" si="0">F8+F25+F63</f>
        <v>0</v>
      </c>
      <c r="G7" s="151">
        <f t="shared" si="0"/>
        <v>0</v>
      </c>
      <c r="H7" s="151">
        <f t="shared" si="0"/>
        <v>0</v>
      </c>
      <c r="I7" s="151">
        <f t="shared" si="0"/>
        <v>0</v>
      </c>
      <c r="J7" s="151">
        <f t="shared" si="0"/>
        <v>0</v>
      </c>
      <c r="K7" s="151">
        <f t="shared" si="0"/>
        <v>0</v>
      </c>
      <c r="L7" s="151">
        <f t="shared" si="0"/>
        <v>0</v>
      </c>
      <c r="M7" s="151">
        <f t="shared" si="0"/>
        <v>0</v>
      </c>
      <c r="N7" s="151">
        <f t="shared" si="0"/>
        <v>0</v>
      </c>
      <c r="O7" s="151">
        <f t="shared" si="0"/>
        <v>0</v>
      </c>
      <c r="P7" s="151">
        <f t="shared" si="0"/>
        <v>0</v>
      </c>
      <c r="Q7" s="151">
        <f t="shared" si="0"/>
        <v>0</v>
      </c>
      <c r="R7" s="151">
        <f t="shared" si="0"/>
        <v>0</v>
      </c>
      <c r="S7" s="151">
        <f t="shared" si="0"/>
        <v>0</v>
      </c>
      <c r="T7" s="151">
        <f t="shared" si="0"/>
        <v>0</v>
      </c>
      <c r="U7" s="151">
        <f t="shared" si="0"/>
        <v>0</v>
      </c>
      <c r="V7" s="151">
        <f t="shared" si="0"/>
        <v>71.789500000000004</v>
      </c>
      <c r="W7" s="151">
        <f t="shared" si="0"/>
        <v>5.47</v>
      </c>
      <c r="X7" s="151">
        <f t="shared" si="0"/>
        <v>0.43</v>
      </c>
      <c r="Y7" s="151">
        <f t="shared" si="0"/>
        <v>0</v>
      </c>
      <c r="Z7" s="151">
        <f t="shared" si="0"/>
        <v>0</v>
      </c>
      <c r="AA7" s="151">
        <f t="shared" si="0"/>
        <v>0</v>
      </c>
      <c r="AB7" s="151">
        <f t="shared" si="0"/>
        <v>2.67</v>
      </c>
      <c r="AC7" s="151">
        <f t="shared" si="0"/>
        <v>0</v>
      </c>
      <c r="AD7" s="151">
        <f t="shared" si="0"/>
        <v>0</v>
      </c>
      <c r="AE7" s="151">
        <f t="shared" si="0"/>
        <v>29.960000000000004</v>
      </c>
      <c r="AF7" s="151">
        <f t="shared" si="0"/>
        <v>2.35</v>
      </c>
      <c r="AG7" s="151">
        <f t="shared" si="0"/>
        <v>0.02</v>
      </c>
      <c r="AH7" s="151">
        <f t="shared" si="0"/>
        <v>1.95</v>
      </c>
      <c r="AI7" s="151">
        <f t="shared" si="0"/>
        <v>0</v>
      </c>
      <c r="AJ7" s="151">
        <f t="shared" si="0"/>
        <v>0</v>
      </c>
      <c r="AK7" s="151">
        <f t="shared" si="0"/>
        <v>0</v>
      </c>
      <c r="AL7" s="151">
        <f t="shared" si="0"/>
        <v>22.84</v>
      </c>
      <c r="AM7" s="151">
        <f t="shared" si="0"/>
        <v>1.66</v>
      </c>
      <c r="AN7" s="151">
        <f t="shared" si="0"/>
        <v>0</v>
      </c>
      <c r="AO7" s="151">
        <f t="shared" si="0"/>
        <v>0.17</v>
      </c>
      <c r="AP7" s="151">
        <f t="shared" si="0"/>
        <v>0.6</v>
      </c>
      <c r="AQ7" s="151">
        <f t="shared" si="0"/>
        <v>0</v>
      </c>
      <c r="AR7" s="151">
        <f t="shared" si="0"/>
        <v>0</v>
      </c>
      <c r="AS7" s="151">
        <f t="shared" si="0"/>
        <v>0</v>
      </c>
      <c r="AT7" s="151">
        <f t="shared" si="0"/>
        <v>0</v>
      </c>
      <c r="AU7" s="151">
        <f t="shared" si="0"/>
        <v>14.13</v>
      </c>
      <c r="AV7" s="151">
        <f t="shared" si="0"/>
        <v>3.7095000000000002</v>
      </c>
      <c r="AW7" s="151">
        <f t="shared" si="0"/>
        <v>0</v>
      </c>
      <c r="AX7" s="151">
        <f t="shared" si="0"/>
        <v>0</v>
      </c>
      <c r="AY7" s="151">
        <f t="shared" si="0"/>
        <v>0</v>
      </c>
      <c r="AZ7" s="151">
        <f t="shared" si="0"/>
        <v>0</v>
      </c>
      <c r="BA7" s="151">
        <f t="shared" si="0"/>
        <v>0</v>
      </c>
      <c r="BB7" s="151">
        <f t="shared" si="0"/>
        <v>0.28000000000000003</v>
      </c>
      <c r="BC7" s="151">
        <f t="shared" si="0"/>
        <v>5.46</v>
      </c>
      <c r="BD7" s="151">
        <f t="shared" si="0"/>
        <v>0.01</v>
      </c>
      <c r="BE7" s="151">
        <f t="shared" si="0"/>
        <v>9.67</v>
      </c>
      <c r="BF7" s="151">
        <f t="shared" si="0"/>
        <v>0</v>
      </c>
      <c r="BG7" s="151">
        <f t="shared" si="0"/>
        <v>0</v>
      </c>
      <c r="BH7" s="151">
        <f t="shared" si="0"/>
        <v>0.62</v>
      </c>
      <c r="BI7" s="151">
        <f t="shared" si="0"/>
        <v>0.62</v>
      </c>
      <c r="BJ7" s="151">
        <f t="shared" si="0"/>
        <v>0</v>
      </c>
      <c r="BK7" s="151">
        <f t="shared" si="0"/>
        <v>0</v>
      </c>
      <c r="BL7" s="151"/>
      <c r="BM7" s="151">
        <f t="shared" si="0"/>
        <v>0</v>
      </c>
      <c r="BN7" s="151">
        <f t="shared" si="0"/>
        <v>72.409500000000008</v>
      </c>
    </row>
    <row r="8" spans="1:68" s="115" customFormat="1" ht="21.75" customHeight="1">
      <c r="A8" s="15">
        <v>1</v>
      </c>
      <c r="B8" s="142" t="s">
        <v>14</v>
      </c>
      <c r="C8" s="6" t="s">
        <v>15</v>
      </c>
      <c r="D8" s="175">
        <f>D9+D18+D22+D23+D24</f>
        <v>0</v>
      </c>
      <c r="E8" s="175">
        <f>D8-BL8</f>
        <v>0</v>
      </c>
      <c r="F8" s="175">
        <f>G8+N8</f>
        <v>0</v>
      </c>
      <c r="G8" s="175">
        <f>H8+L8+M8</f>
        <v>0</v>
      </c>
      <c r="H8" s="175">
        <f>I8+J8+K8</f>
        <v>0</v>
      </c>
      <c r="I8" s="175">
        <f>I9+I18+I22+I23+I24</f>
        <v>0</v>
      </c>
      <c r="J8" s="175">
        <f t="shared" ref="J8:BG8" si="1">J9+J18+J22+J23+J24</f>
        <v>0</v>
      </c>
      <c r="K8" s="175">
        <f t="shared" si="1"/>
        <v>0</v>
      </c>
      <c r="L8" s="175">
        <f t="shared" si="1"/>
        <v>0</v>
      </c>
      <c r="M8" s="175">
        <f t="shared" si="1"/>
        <v>0</v>
      </c>
      <c r="N8" s="175">
        <f t="shared" si="1"/>
        <v>0</v>
      </c>
      <c r="O8" s="175">
        <f>P8+Q8+R8</f>
        <v>0</v>
      </c>
      <c r="P8" s="175">
        <f t="shared" si="1"/>
        <v>0</v>
      </c>
      <c r="Q8" s="175">
        <f t="shared" si="1"/>
        <v>0</v>
      </c>
      <c r="R8" s="175">
        <f t="shared" si="1"/>
        <v>0</v>
      </c>
      <c r="S8" s="175">
        <f t="shared" si="1"/>
        <v>0</v>
      </c>
      <c r="T8" s="175">
        <f t="shared" si="1"/>
        <v>0</v>
      </c>
      <c r="U8" s="175">
        <f t="shared" si="1"/>
        <v>0</v>
      </c>
      <c r="V8" s="175">
        <f t="shared" si="1"/>
        <v>0</v>
      </c>
      <c r="W8" s="175">
        <f t="shared" si="1"/>
        <v>0</v>
      </c>
      <c r="X8" s="175">
        <f t="shared" si="1"/>
        <v>0</v>
      </c>
      <c r="Y8" s="175">
        <f t="shared" si="1"/>
        <v>0</v>
      </c>
      <c r="Z8" s="175">
        <f t="shared" si="1"/>
        <v>0</v>
      </c>
      <c r="AA8" s="175">
        <f t="shared" si="1"/>
        <v>0</v>
      </c>
      <c r="AB8" s="175">
        <f t="shared" si="1"/>
        <v>0</v>
      </c>
      <c r="AC8" s="175">
        <f t="shared" si="1"/>
        <v>0</v>
      </c>
      <c r="AD8" s="175">
        <f t="shared" si="1"/>
        <v>0</v>
      </c>
      <c r="AE8" s="175">
        <f t="shared" si="1"/>
        <v>0</v>
      </c>
      <c r="AF8" s="175">
        <f t="shared" si="1"/>
        <v>0</v>
      </c>
      <c r="AG8" s="175">
        <f t="shared" si="1"/>
        <v>0</v>
      </c>
      <c r="AH8" s="175">
        <f t="shared" si="1"/>
        <v>0</v>
      </c>
      <c r="AI8" s="175">
        <f t="shared" si="1"/>
        <v>0</v>
      </c>
      <c r="AJ8" s="175">
        <f t="shared" si="1"/>
        <v>0</v>
      </c>
      <c r="AK8" s="175">
        <f t="shared" si="1"/>
        <v>0</v>
      </c>
      <c r="AL8" s="175">
        <f t="shared" si="1"/>
        <v>0</v>
      </c>
      <c r="AM8" s="175">
        <f t="shared" si="1"/>
        <v>0</v>
      </c>
      <c r="AN8" s="175">
        <f t="shared" si="1"/>
        <v>0</v>
      </c>
      <c r="AO8" s="175">
        <f t="shared" si="1"/>
        <v>0</v>
      </c>
      <c r="AP8" s="175">
        <f t="shared" si="1"/>
        <v>0</v>
      </c>
      <c r="AQ8" s="175">
        <f t="shared" si="1"/>
        <v>0</v>
      </c>
      <c r="AR8" s="175">
        <f t="shared" si="1"/>
        <v>0</v>
      </c>
      <c r="AS8" s="175">
        <f t="shared" si="1"/>
        <v>0</v>
      </c>
      <c r="AT8" s="175">
        <f t="shared" si="1"/>
        <v>0</v>
      </c>
      <c r="AU8" s="175">
        <f t="shared" si="1"/>
        <v>0</v>
      </c>
      <c r="AV8" s="175">
        <f t="shared" si="1"/>
        <v>0</v>
      </c>
      <c r="AW8" s="175">
        <f t="shared" si="1"/>
        <v>0</v>
      </c>
      <c r="AX8" s="175">
        <f t="shared" si="1"/>
        <v>0</v>
      </c>
      <c r="AY8" s="175">
        <f t="shared" si="1"/>
        <v>0</v>
      </c>
      <c r="AZ8" s="175">
        <f t="shared" si="1"/>
        <v>0</v>
      </c>
      <c r="BA8" s="175">
        <f t="shared" si="1"/>
        <v>0</v>
      </c>
      <c r="BB8" s="175">
        <f t="shared" si="1"/>
        <v>0</v>
      </c>
      <c r="BC8" s="175">
        <f t="shared" si="1"/>
        <v>0</v>
      </c>
      <c r="BD8" s="175">
        <f t="shared" si="1"/>
        <v>0</v>
      </c>
      <c r="BE8" s="175">
        <f t="shared" si="1"/>
        <v>0</v>
      </c>
      <c r="BF8" s="175">
        <f t="shared" si="1"/>
        <v>0</v>
      </c>
      <c r="BG8" s="175">
        <f t="shared" si="1"/>
        <v>0</v>
      </c>
      <c r="BH8" s="175">
        <f>BH9+BH18+BH22+BH23+BH24</f>
        <v>0</v>
      </c>
      <c r="BI8" s="175">
        <f>BI9+BI18+BI22+BI23+BI24</f>
        <v>0</v>
      </c>
      <c r="BJ8" s="175">
        <f>BJ9+BJ18+BJ22+BJ23+BJ24</f>
        <v>0</v>
      </c>
      <c r="BK8" s="175">
        <f>BK9+BK18+BK22+BK23+BK24</f>
        <v>0</v>
      </c>
      <c r="BL8" s="175">
        <f>V8+BH8</f>
        <v>0</v>
      </c>
      <c r="BM8" s="175">
        <f>BM9+BM18+BM22+BM23+BM24</f>
        <v>0</v>
      </c>
      <c r="BN8" s="175">
        <f>BN9+BN18+BN22+BN23+BN24</f>
        <v>0</v>
      </c>
    </row>
    <row r="9" spans="1:68" ht="21.75" customHeight="1">
      <c r="A9" s="14" t="s">
        <v>16</v>
      </c>
      <c r="B9" s="143" t="s">
        <v>471</v>
      </c>
      <c r="C9" s="5" t="s">
        <v>193</v>
      </c>
      <c r="D9" s="100">
        <f>D10+D17</f>
        <v>0</v>
      </c>
      <c r="E9" s="100">
        <f>F9+O9+S9+T9+U9</f>
        <v>0</v>
      </c>
      <c r="F9" s="100">
        <f>D9-BK9</f>
        <v>0</v>
      </c>
      <c r="G9" s="100">
        <f>H9+L9+M9</f>
        <v>0</v>
      </c>
      <c r="H9" s="100">
        <f>I9+J9+K9</f>
        <v>0</v>
      </c>
      <c r="I9" s="100">
        <f>I10+I17</f>
        <v>0</v>
      </c>
      <c r="J9" s="100">
        <f t="shared" ref="J9:BG9" si="2">J10+J17</f>
        <v>0</v>
      </c>
      <c r="K9" s="100">
        <f t="shared" si="2"/>
        <v>0</v>
      </c>
      <c r="L9" s="100">
        <f t="shared" si="2"/>
        <v>0</v>
      </c>
      <c r="M9" s="100">
        <f t="shared" si="2"/>
        <v>0</v>
      </c>
      <c r="N9" s="100">
        <f t="shared" si="2"/>
        <v>0</v>
      </c>
      <c r="O9" s="100">
        <f t="shared" ref="O9:O17" si="3">P9+Q9+R9</f>
        <v>0</v>
      </c>
      <c r="P9" s="100">
        <f t="shared" si="2"/>
        <v>0</v>
      </c>
      <c r="Q9" s="100">
        <f t="shared" si="2"/>
        <v>0</v>
      </c>
      <c r="R9" s="100">
        <f t="shared" si="2"/>
        <v>0</v>
      </c>
      <c r="S9" s="100">
        <f t="shared" si="2"/>
        <v>0</v>
      </c>
      <c r="T9" s="100">
        <f t="shared" si="2"/>
        <v>0</v>
      </c>
      <c r="U9" s="100">
        <f t="shared" si="2"/>
        <v>0</v>
      </c>
      <c r="V9" s="100">
        <f t="shared" si="2"/>
        <v>0</v>
      </c>
      <c r="W9" s="100">
        <f t="shared" si="2"/>
        <v>0</v>
      </c>
      <c r="X9" s="100">
        <f t="shared" si="2"/>
        <v>0</v>
      </c>
      <c r="Y9" s="100">
        <f t="shared" si="2"/>
        <v>0</v>
      </c>
      <c r="Z9" s="100">
        <f t="shared" si="2"/>
        <v>0</v>
      </c>
      <c r="AA9" s="100">
        <f t="shared" si="2"/>
        <v>0</v>
      </c>
      <c r="AB9" s="100">
        <f t="shared" si="2"/>
        <v>0</v>
      </c>
      <c r="AC9" s="100">
        <f t="shared" si="2"/>
        <v>0</v>
      </c>
      <c r="AD9" s="100">
        <f t="shared" si="2"/>
        <v>0</v>
      </c>
      <c r="AE9" s="100">
        <f t="shared" si="2"/>
        <v>0</v>
      </c>
      <c r="AF9" s="100">
        <f t="shared" si="2"/>
        <v>0</v>
      </c>
      <c r="AG9" s="100">
        <f t="shared" si="2"/>
        <v>0</v>
      </c>
      <c r="AH9" s="100">
        <f t="shared" si="2"/>
        <v>0</v>
      </c>
      <c r="AI9" s="100">
        <f t="shared" si="2"/>
        <v>0</v>
      </c>
      <c r="AJ9" s="100">
        <f t="shared" si="2"/>
        <v>0</v>
      </c>
      <c r="AK9" s="100">
        <f t="shared" si="2"/>
        <v>0</v>
      </c>
      <c r="AL9" s="100">
        <f t="shared" si="2"/>
        <v>0</v>
      </c>
      <c r="AM9" s="100">
        <f t="shared" si="2"/>
        <v>0</v>
      </c>
      <c r="AN9" s="100">
        <f t="shared" si="2"/>
        <v>0</v>
      </c>
      <c r="AO9" s="100">
        <f t="shared" si="2"/>
        <v>0</v>
      </c>
      <c r="AP9" s="100">
        <f t="shared" si="2"/>
        <v>0</v>
      </c>
      <c r="AQ9" s="100">
        <f t="shared" si="2"/>
        <v>0</v>
      </c>
      <c r="AR9" s="100">
        <f t="shared" si="2"/>
        <v>0</v>
      </c>
      <c r="AS9" s="100">
        <f t="shared" si="2"/>
        <v>0</v>
      </c>
      <c r="AT9" s="100">
        <f t="shared" si="2"/>
        <v>0</v>
      </c>
      <c r="AU9" s="100">
        <f t="shared" si="2"/>
        <v>0</v>
      </c>
      <c r="AV9" s="100">
        <f t="shared" si="2"/>
        <v>0</v>
      </c>
      <c r="AW9" s="100">
        <f t="shared" si="2"/>
        <v>0</v>
      </c>
      <c r="AX9" s="100">
        <f t="shared" si="2"/>
        <v>0</v>
      </c>
      <c r="AY9" s="100">
        <f t="shared" si="2"/>
        <v>0</v>
      </c>
      <c r="AZ9" s="100">
        <f t="shared" si="2"/>
        <v>0</v>
      </c>
      <c r="BA9" s="100">
        <f t="shared" si="2"/>
        <v>0</v>
      </c>
      <c r="BB9" s="100">
        <f t="shared" si="2"/>
        <v>0</v>
      </c>
      <c r="BC9" s="100">
        <f t="shared" si="2"/>
        <v>0</v>
      </c>
      <c r="BD9" s="100">
        <f t="shared" si="2"/>
        <v>0</v>
      </c>
      <c r="BE9" s="100">
        <f t="shared" si="2"/>
        <v>0</v>
      </c>
      <c r="BF9" s="100">
        <f t="shared" si="2"/>
        <v>0</v>
      </c>
      <c r="BG9" s="100">
        <f t="shared" si="2"/>
        <v>0</v>
      </c>
      <c r="BH9" s="100">
        <f>BH10+BH17</f>
        <v>0</v>
      </c>
      <c r="BI9" s="100">
        <f>BI10+BI17</f>
        <v>0</v>
      </c>
      <c r="BJ9" s="100">
        <f>BJ10+BJ17</f>
        <v>0</v>
      </c>
      <c r="BK9" s="100">
        <f>BK10+BK17</f>
        <v>0</v>
      </c>
      <c r="BL9" s="100">
        <f>O9+S9+T9+U9+V9+BH9</f>
        <v>0</v>
      </c>
      <c r="BM9" s="100">
        <f>BM10+BM17</f>
        <v>0</v>
      </c>
      <c r="BN9" s="100">
        <f>D9+BM9</f>
        <v>0</v>
      </c>
      <c r="BP9" s="123"/>
    </row>
    <row r="10" spans="1:68" ht="20.100000000000001" customHeight="1">
      <c r="A10" s="14" t="s">
        <v>212</v>
      </c>
      <c r="B10" s="143" t="s">
        <v>472</v>
      </c>
      <c r="C10" s="5" t="s">
        <v>194</v>
      </c>
      <c r="D10" s="100">
        <f>D11+D15+D16</f>
        <v>0</v>
      </c>
      <c r="E10" s="100">
        <f t="shared" ref="E10:E66" si="4">F10+O10+S10+T10+U10</f>
        <v>0</v>
      </c>
      <c r="F10" s="100">
        <f>G10+N10</f>
        <v>0</v>
      </c>
      <c r="G10" s="100">
        <f>D10-BL10</f>
        <v>0</v>
      </c>
      <c r="H10" s="100">
        <f>I10+J10+K10</f>
        <v>0</v>
      </c>
      <c r="I10" s="100">
        <f>I11+I15+I16</f>
        <v>0</v>
      </c>
      <c r="J10" s="100">
        <f t="shared" ref="J10:BG10" si="5">J11+J15+J16</f>
        <v>0</v>
      </c>
      <c r="K10" s="100">
        <f t="shared" si="5"/>
        <v>0</v>
      </c>
      <c r="L10" s="100">
        <f t="shared" si="5"/>
        <v>0</v>
      </c>
      <c r="M10" s="100">
        <f t="shared" si="5"/>
        <v>0</v>
      </c>
      <c r="N10" s="100">
        <f t="shared" si="5"/>
        <v>0</v>
      </c>
      <c r="O10" s="100">
        <f t="shared" si="3"/>
        <v>0</v>
      </c>
      <c r="P10" s="100">
        <f t="shared" si="5"/>
        <v>0</v>
      </c>
      <c r="Q10" s="100">
        <f t="shared" si="5"/>
        <v>0</v>
      </c>
      <c r="R10" s="100">
        <f t="shared" si="5"/>
        <v>0</v>
      </c>
      <c r="S10" s="100">
        <f t="shared" si="5"/>
        <v>0</v>
      </c>
      <c r="T10" s="100">
        <f t="shared" si="5"/>
        <v>0</v>
      </c>
      <c r="U10" s="100">
        <f t="shared" si="5"/>
        <v>0</v>
      </c>
      <c r="V10" s="100">
        <f t="shared" si="5"/>
        <v>0</v>
      </c>
      <c r="W10" s="100">
        <f t="shared" si="5"/>
        <v>0</v>
      </c>
      <c r="X10" s="100">
        <f t="shared" si="5"/>
        <v>0</v>
      </c>
      <c r="Y10" s="100">
        <f t="shared" si="5"/>
        <v>0</v>
      </c>
      <c r="Z10" s="100">
        <f t="shared" si="5"/>
        <v>0</v>
      </c>
      <c r="AA10" s="100">
        <f t="shared" si="5"/>
        <v>0</v>
      </c>
      <c r="AB10" s="100">
        <f t="shared" si="5"/>
        <v>0</v>
      </c>
      <c r="AC10" s="100">
        <f t="shared" si="5"/>
        <v>0</v>
      </c>
      <c r="AD10" s="100">
        <f t="shared" si="5"/>
        <v>0</v>
      </c>
      <c r="AE10" s="100">
        <f t="shared" si="5"/>
        <v>0</v>
      </c>
      <c r="AF10" s="100">
        <f t="shared" si="5"/>
        <v>0</v>
      </c>
      <c r="AG10" s="100">
        <f t="shared" si="5"/>
        <v>0</v>
      </c>
      <c r="AH10" s="100">
        <f t="shared" si="5"/>
        <v>0</v>
      </c>
      <c r="AI10" s="100">
        <f t="shared" si="5"/>
        <v>0</v>
      </c>
      <c r="AJ10" s="100">
        <f t="shared" si="5"/>
        <v>0</v>
      </c>
      <c r="AK10" s="100">
        <f t="shared" si="5"/>
        <v>0</v>
      </c>
      <c r="AL10" s="100">
        <f t="shared" si="5"/>
        <v>0</v>
      </c>
      <c r="AM10" s="100">
        <f t="shared" si="5"/>
        <v>0</v>
      </c>
      <c r="AN10" s="100">
        <f t="shared" si="5"/>
        <v>0</v>
      </c>
      <c r="AO10" s="100">
        <f t="shared" si="5"/>
        <v>0</v>
      </c>
      <c r="AP10" s="100">
        <f t="shared" si="5"/>
        <v>0</v>
      </c>
      <c r="AQ10" s="100">
        <f t="shared" si="5"/>
        <v>0</v>
      </c>
      <c r="AR10" s="100">
        <f t="shared" si="5"/>
        <v>0</v>
      </c>
      <c r="AS10" s="100">
        <f t="shared" si="5"/>
        <v>0</v>
      </c>
      <c r="AT10" s="100">
        <f t="shared" si="5"/>
        <v>0</v>
      </c>
      <c r="AU10" s="100">
        <f t="shared" si="5"/>
        <v>0</v>
      </c>
      <c r="AV10" s="100">
        <f t="shared" si="5"/>
        <v>0</v>
      </c>
      <c r="AW10" s="100">
        <f t="shared" si="5"/>
        <v>0</v>
      </c>
      <c r="AX10" s="100">
        <f t="shared" si="5"/>
        <v>0</v>
      </c>
      <c r="AY10" s="100">
        <f t="shared" si="5"/>
        <v>0</v>
      </c>
      <c r="AZ10" s="100">
        <f t="shared" si="5"/>
        <v>0</v>
      </c>
      <c r="BA10" s="100">
        <f t="shared" si="5"/>
        <v>0</v>
      </c>
      <c r="BB10" s="100">
        <f t="shared" si="5"/>
        <v>0</v>
      </c>
      <c r="BC10" s="100">
        <f t="shared" si="5"/>
        <v>0</v>
      </c>
      <c r="BD10" s="100">
        <f t="shared" si="5"/>
        <v>0</v>
      </c>
      <c r="BE10" s="100">
        <f t="shared" si="5"/>
        <v>0</v>
      </c>
      <c r="BF10" s="100">
        <f t="shared" si="5"/>
        <v>0</v>
      </c>
      <c r="BG10" s="100">
        <f t="shared" si="5"/>
        <v>0</v>
      </c>
      <c r="BH10" s="100">
        <f>BH11+BH15+BH16</f>
        <v>0</v>
      </c>
      <c r="BI10" s="100">
        <f>BI11+BI15+BI16</f>
        <v>0</v>
      </c>
      <c r="BJ10" s="100">
        <f>BJ11+BJ15+BJ16</f>
        <v>0</v>
      </c>
      <c r="BK10" s="100">
        <f>BK11+BK15+BK16</f>
        <v>0</v>
      </c>
      <c r="BL10" s="100">
        <f>N10+O10+S10+T10+U10+V10+BH10</f>
        <v>0</v>
      </c>
      <c r="BM10" s="100">
        <f>BM11+BM15+BM16</f>
        <v>0</v>
      </c>
      <c r="BN10" s="100">
        <f>BN11+BN15+BN16</f>
        <v>0</v>
      </c>
      <c r="BP10" s="123"/>
    </row>
    <row r="11" spans="1:68" ht="20.100000000000001" customHeight="1">
      <c r="A11" s="14" t="s">
        <v>213</v>
      </c>
      <c r="B11" s="143" t="s">
        <v>17</v>
      </c>
      <c r="C11" s="5" t="s">
        <v>18</v>
      </c>
      <c r="D11" s="100">
        <f>D12+D13+D14</f>
        <v>0</v>
      </c>
      <c r="E11" s="100">
        <f t="shared" si="4"/>
        <v>0</v>
      </c>
      <c r="F11" s="100">
        <f t="shared" ref="F11:F24" si="6">G11+N11</f>
        <v>0</v>
      </c>
      <c r="G11" s="100">
        <f>H11+L11+M11</f>
        <v>0</v>
      </c>
      <c r="H11" s="100">
        <f>D11-BL11</f>
        <v>0</v>
      </c>
      <c r="I11" s="100">
        <f>I12+I13+I14</f>
        <v>0</v>
      </c>
      <c r="J11" s="100">
        <f t="shared" ref="J11:BG11" si="7">J12+J13+J14</f>
        <v>0</v>
      </c>
      <c r="K11" s="100">
        <f t="shared" si="7"/>
        <v>0</v>
      </c>
      <c r="L11" s="100">
        <f t="shared" si="7"/>
        <v>0</v>
      </c>
      <c r="M11" s="100">
        <f t="shared" si="7"/>
        <v>0</v>
      </c>
      <c r="N11" s="100">
        <f t="shared" si="7"/>
        <v>0</v>
      </c>
      <c r="O11" s="100">
        <f t="shared" si="3"/>
        <v>0</v>
      </c>
      <c r="P11" s="100">
        <f t="shared" si="7"/>
        <v>0</v>
      </c>
      <c r="Q11" s="100">
        <f t="shared" si="7"/>
        <v>0</v>
      </c>
      <c r="R11" s="100">
        <f t="shared" si="7"/>
        <v>0</v>
      </c>
      <c r="S11" s="100">
        <f t="shared" si="7"/>
        <v>0</v>
      </c>
      <c r="T11" s="100">
        <f t="shared" si="7"/>
        <v>0</v>
      </c>
      <c r="U11" s="100">
        <f t="shared" si="7"/>
        <v>0</v>
      </c>
      <c r="V11" s="100">
        <f t="shared" si="7"/>
        <v>0</v>
      </c>
      <c r="W11" s="100">
        <f t="shared" si="7"/>
        <v>0</v>
      </c>
      <c r="X11" s="100">
        <f t="shared" si="7"/>
        <v>0</v>
      </c>
      <c r="Y11" s="100">
        <f t="shared" si="7"/>
        <v>0</v>
      </c>
      <c r="Z11" s="100">
        <f t="shared" si="7"/>
        <v>0</v>
      </c>
      <c r="AA11" s="100">
        <f t="shared" si="7"/>
        <v>0</v>
      </c>
      <c r="AB11" s="100">
        <f t="shared" si="7"/>
        <v>0</v>
      </c>
      <c r="AC11" s="100">
        <f t="shared" si="7"/>
        <v>0</v>
      </c>
      <c r="AD11" s="100">
        <f t="shared" si="7"/>
        <v>0</v>
      </c>
      <c r="AE11" s="100">
        <f t="shared" si="7"/>
        <v>0</v>
      </c>
      <c r="AF11" s="100">
        <f t="shared" si="7"/>
        <v>0</v>
      </c>
      <c r="AG11" s="100">
        <f t="shared" si="7"/>
        <v>0</v>
      </c>
      <c r="AH11" s="100">
        <f t="shared" si="7"/>
        <v>0</v>
      </c>
      <c r="AI11" s="100">
        <f t="shared" si="7"/>
        <v>0</v>
      </c>
      <c r="AJ11" s="100">
        <f t="shared" si="7"/>
        <v>0</v>
      </c>
      <c r="AK11" s="100">
        <f t="shared" si="7"/>
        <v>0</v>
      </c>
      <c r="AL11" s="100">
        <f t="shared" si="7"/>
        <v>0</v>
      </c>
      <c r="AM11" s="100">
        <f t="shared" si="7"/>
        <v>0</v>
      </c>
      <c r="AN11" s="100">
        <f t="shared" si="7"/>
        <v>0</v>
      </c>
      <c r="AO11" s="100">
        <f t="shared" si="7"/>
        <v>0</v>
      </c>
      <c r="AP11" s="100">
        <f t="shared" si="7"/>
        <v>0</v>
      </c>
      <c r="AQ11" s="100">
        <f t="shared" si="7"/>
        <v>0</v>
      </c>
      <c r="AR11" s="100">
        <f t="shared" si="7"/>
        <v>0</v>
      </c>
      <c r="AS11" s="100">
        <f t="shared" si="7"/>
        <v>0</v>
      </c>
      <c r="AT11" s="100">
        <f t="shared" si="7"/>
        <v>0</v>
      </c>
      <c r="AU11" s="100">
        <f t="shared" si="7"/>
        <v>0</v>
      </c>
      <c r="AV11" s="100">
        <f t="shared" si="7"/>
        <v>0</v>
      </c>
      <c r="AW11" s="100">
        <f t="shared" si="7"/>
        <v>0</v>
      </c>
      <c r="AX11" s="100">
        <f t="shared" si="7"/>
        <v>0</v>
      </c>
      <c r="AY11" s="100">
        <f t="shared" si="7"/>
        <v>0</v>
      </c>
      <c r="AZ11" s="100">
        <f t="shared" si="7"/>
        <v>0</v>
      </c>
      <c r="BA11" s="100">
        <f t="shared" si="7"/>
        <v>0</v>
      </c>
      <c r="BB11" s="100">
        <f t="shared" si="7"/>
        <v>0</v>
      </c>
      <c r="BC11" s="100">
        <f t="shared" si="7"/>
        <v>0</v>
      </c>
      <c r="BD11" s="100">
        <f t="shared" si="7"/>
        <v>0</v>
      </c>
      <c r="BE11" s="100">
        <f t="shared" si="7"/>
        <v>0</v>
      </c>
      <c r="BF11" s="100">
        <f t="shared" si="7"/>
        <v>0</v>
      </c>
      <c r="BG11" s="100">
        <f t="shared" si="7"/>
        <v>0</v>
      </c>
      <c r="BH11" s="100">
        <f>BH12+BH13+BH14</f>
        <v>0</v>
      </c>
      <c r="BI11" s="100">
        <f>BI12+BI13+BI14</f>
        <v>0</v>
      </c>
      <c r="BJ11" s="100">
        <f>BJ12+BJ13+BJ14</f>
        <v>0</v>
      </c>
      <c r="BK11" s="100">
        <f>BK12+BK13+BK14</f>
        <v>0</v>
      </c>
      <c r="BL11" s="100">
        <f>L11+M11+N11+S11+T11+U11+V11+BH11</f>
        <v>0</v>
      </c>
      <c r="BM11" s="100">
        <f>H67-BL11</f>
        <v>0</v>
      </c>
      <c r="BN11" s="100">
        <f>BN12+BN13+BN14</f>
        <v>0</v>
      </c>
      <c r="BP11" s="123"/>
    </row>
    <row r="12" spans="1:68" ht="20.100000000000001" customHeight="1">
      <c r="A12" s="14" t="s">
        <v>214</v>
      </c>
      <c r="B12" s="143" t="s">
        <v>473</v>
      </c>
      <c r="C12" s="5" t="s">
        <v>20</v>
      </c>
      <c r="D12" s="100"/>
      <c r="E12" s="100">
        <f t="shared" si="4"/>
        <v>0</v>
      </c>
      <c r="F12" s="100">
        <f t="shared" si="6"/>
        <v>0</v>
      </c>
      <c r="G12" s="100">
        <f t="shared" ref="G12:G66" si="8">H12+L12+M12</f>
        <v>0</v>
      </c>
      <c r="H12" s="100">
        <f>I12+J12+K12</f>
        <v>0</v>
      </c>
      <c r="I12" s="100">
        <f>D12-BL12</f>
        <v>0</v>
      </c>
      <c r="J12" s="100"/>
      <c r="K12" s="100"/>
      <c r="L12" s="100"/>
      <c r="M12" s="100"/>
      <c r="N12" s="100"/>
      <c r="O12" s="100">
        <f t="shared" si="3"/>
        <v>0</v>
      </c>
      <c r="P12" s="100"/>
      <c r="Q12" s="100"/>
      <c r="R12" s="100"/>
      <c r="S12" s="100"/>
      <c r="T12" s="100"/>
      <c r="U12" s="100"/>
      <c r="V12" s="100">
        <f>W12+X12+Y12+Z12+AA12+AB12+AC12+AD12+AE12+AQ12+AR12+AS12+AT12+AU12+AV12+AW12+AX12+AY12+AZ12+BA12+BB12+BC12+BD12+BE12+BF12+BG12</f>
        <v>0</v>
      </c>
      <c r="W12" s="100"/>
      <c r="X12" s="100"/>
      <c r="Y12" s="100"/>
      <c r="Z12" s="100"/>
      <c r="AA12" s="100"/>
      <c r="AB12" s="100"/>
      <c r="AC12" s="100"/>
      <c r="AD12" s="100"/>
      <c r="AE12" s="100">
        <f t="shared" ref="AE12:AE33" si="9">SUM(AF12:AP12)</f>
        <v>0</v>
      </c>
      <c r="AF12" s="100"/>
      <c r="AG12" s="100"/>
      <c r="AH12" s="100"/>
      <c r="AI12" s="100"/>
      <c r="AJ12" s="100"/>
      <c r="AK12" s="100"/>
      <c r="AL12" s="100"/>
      <c r="AM12" s="100"/>
      <c r="AN12" s="100"/>
      <c r="AO12" s="100"/>
      <c r="AP12" s="100"/>
      <c r="AQ12" s="100"/>
      <c r="AR12" s="100"/>
      <c r="AS12" s="100"/>
      <c r="AT12" s="100"/>
      <c r="AU12" s="100"/>
      <c r="AV12" s="100"/>
      <c r="AW12" s="100"/>
      <c r="AX12" s="100"/>
      <c r="AY12" s="100"/>
      <c r="AZ12" s="100"/>
      <c r="BA12" s="100"/>
      <c r="BB12" s="100"/>
      <c r="BC12" s="100"/>
      <c r="BD12" s="100"/>
      <c r="BE12" s="100"/>
      <c r="BF12" s="100"/>
      <c r="BG12" s="100"/>
      <c r="BH12" s="100">
        <f t="shared" ref="BH12:BH17" si="10">BI12+BJ12+BK12</f>
        <v>0</v>
      </c>
      <c r="BI12" s="100"/>
      <c r="BJ12" s="100"/>
      <c r="BK12" s="100"/>
      <c r="BL12" s="100">
        <f>J12+K12+L12+M12+N12+O12+S12+T12+U12+V12+BH12</f>
        <v>0</v>
      </c>
      <c r="BM12" s="100">
        <f>I67-BL12</f>
        <v>0</v>
      </c>
      <c r="BN12" s="100">
        <f t="shared" ref="BN12:BN17" si="11">D12+BM12</f>
        <v>0</v>
      </c>
      <c r="BP12" s="123"/>
    </row>
    <row r="13" spans="1:68" ht="20.100000000000001" customHeight="1">
      <c r="A13" s="14" t="s">
        <v>215</v>
      </c>
      <c r="B13" s="143" t="s">
        <v>474</v>
      </c>
      <c r="C13" s="5" t="s">
        <v>195</v>
      </c>
      <c r="D13" s="100"/>
      <c r="E13" s="100">
        <f t="shared" si="4"/>
        <v>0</v>
      </c>
      <c r="F13" s="100">
        <f t="shared" si="6"/>
        <v>0</v>
      </c>
      <c r="G13" s="100">
        <f t="shared" si="8"/>
        <v>0</v>
      </c>
      <c r="H13" s="100">
        <f t="shared" ref="H13:H66" si="12">I13+J13+K13</f>
        <v>0</v>
      </c>
      <c r="I13" s="100"/>
      <c r="J13" s="100">
        <f>D13-BL13</f>
        <v>0</v>
      </c>
      <c r="K13" s="100"/>
      <c r="L13" s="100"/>
      <c r="M13" s="100"/>
      <c r="N13" s="100"/>
      <c r="O13" s="100">
        <f t="shared" si="3"/>
        <v>0</v>
      </c>
      <c r="P13" s="100"/>
      <c r="Q13" s="100"/>
      <c r="R13" s="100"/>
      <c r="S13" s="100"/>
      <c r="T13" s="100"/>
      <c r="U13" s="100"/>
      <c r="V13" s="100">
        <f t="shared" ref="V13:V66" si="13">W13+X13+Y13+Z13+AA13+AB13+AC13+AD13+AE13+AQ13+AR13+AS13+AT13+AU13+AV13+AW13+AX13+AY13+AZ13+BA13+BB13+BC13+BD13+BE13+BF13+BG13</f>
        <v>0</v>
      </c>
      <c r="W13" s="100"/>
      <c r="X13" s="100"/>
      <c r="Y13" s="100"/>
      <c r="Z13" s="100"/>
      <c r="AA13" s="100"/>
      <c r="AB13" s="100"/>
      <c r="AC13" s="100"/>
      <c r="AD13" s="100"/>
      <c r="AE13" s="100">
        <f t="shared" si="9"/>
        <v>0</v>
      </c>
      <c r="AF13" s="100"/>
      <c r="AG13" s="100"/>
      <c r="AH13" s="100"/>
      <c r="AI13" s="100"/>
      <c r="AJ13" s="100"/>
      <c r="AK13" s="100"/>
      <c r="AL13" s="100"/>
      <c r="AM13" s="100"/>
      <c r="AN13" s="100"/>
      <c r="AO13" s="100"/>
      <c r="AP13" s="100"/>
      <c r="AQ13" s="100"/>
      <c r="AR13" s="100"/>
      <c r="AS13" s="100"/>
      <c r="AT13" s="100"/>
      <c r="AU13" s="100"/>
      <c r="AV13" s="100"/>
      <c r="AW13" s="100"/>
      <c r="AX13" s="100"/>
      <c r="AY13" s="100"/>
      <c r="AZ13" s="100"/>
      <c r="BA13" s="100"/>
      <c r="BB13" s="100"/>
      <c r="BC13" s="100"/>
      <c r="BD13" s="100"/>
      <c r="BE13" s="100"/>
      <c r="BF13" s="100"/>
      <c r="BG13" s="100"/>
      <c r="BH13" s="100">
        <f t="shared" si="10"/>
        <v>0</v>
      </c>
      <c r="BI13" s="100"/>
      <c r="BJ13" s="100"/>
      <c r="BK13" s="100"/>
      <c r="BL13" s="100">
        <f>I13+K13+L13+M13+N13+O13+S13+T13+U13+V13+BH13</f>
        <v>0</v>
      </c>
      <c r="BM13" s="100">
        <f>J67-BL13</f>
        <v>0</v>
      </c>
      <c r="BN13" s="100">
        <f t="shared" si="11"/>
        <v>0</v>
      </c>
      <c r="BP13" s="123"/>
    </row>
    <row r="14" spans="1:68" ht="20.100000000000001" customHeight="1">
      <c r="A14" s="14" t="s">
        <v>216</v>
      </c>
      <c r="B14" s="143" t="s">
        <v>475</v>
      </c>
      <c r="C14" s="5" t="s">
        <v>196</v>
      </c>
      <c r="D14" s="100"/>
      <c r="E14" s="100">
        <f t="shared" si="4"/>
        <v>0</v>
      </c>
      <c r="F14" s="100">
        <f t="shared" si="6"/>
        <v>0</v>
      </c>
      <c r="G14" s="100">
        <f t="shared" si="8"/>
        <v>0</v>
      </c>
      <c r="H14" s="100">
        <f t="shared" si="12"/>
        <v>0</v>
      </c>
      <c r="I14" s="100"/>
      <c r="J14" s="100"/>
      <c r="K14" s="100">
        <f>D14-BL14</f>
        <v>0</v>
      </c>
      <c r="L14" s="100"/>
      <c r="M14" s="100"/>
      <c r="N14" s="100"/>
      <c r="O14" s="100">
        <f t="shared" si="3"/>
        <v>0</v>
      </c>
      <c r="P14" s="100"/>
      <c r="Q14" s="100"/>
      <c r="R14" s="100"/>
      <c r="S14" s="100"/>
      <c r="T14" s="100"/>
      <c r="U14" s="100"/>
      <c r="V14" s="100">
        <f t="shared" si="13"/>
        <v>0</v>
      </c>
      <c r="W14" s="100"/>
      <c r="X14" s="100"/>
      <c r="Y14" s="100"/>
      <c r="Z14" s="100"/>
      <c r="AA14" s="100"/>
      <c r="AB14" s="100"/>
      <c r="AC14" s="100"/>
      <c r="AD14" s="100"/>
      <c r="AE14" s="100">
        <f t="shared" si="9"/>
        <v>0</v>
      </c>
      <c r="AF14" s="100"/>
      <c r="AG14" s="100"/>
      <c r="AH14" s="100"/>
      <c r="AI14" s="100"/>
      <c r="AJ14" s="100"/>
      <c r="AK14" s="100"/>
      <c r="AL14" s="100"/>
      <c r="AM14" s="100"/>
      <c r="AN14" s="100"/>
      <c r="AO14" s="100"/>
      <c r="AP14" s="100"/>
      <c r="AQ14" s="100"/>
      <c r="AR14" s="100"/>
      <c r="AS14" s="100"/>
      <c r="AT14" s="100"/>
      <c r="AU14" s="100"/>
      <c r="AV14" s="100"/>
      <c r="AW14" s="100"/>
      <c r="AX14" s="100"/>
      <c r="AY14" s="100"/>
      <c r="AZ14" s="100"/>
      <c r="BA14" s="100"/>
      <c r="BB14" s="100"/>
      <c r="BC14" s="100"/>
      <c r="BD14" s="100"/>
      <c r="BE14" s="100"/>
      <c r="BF14" s="100"/>
      <c r="BG14" s="100"/>
      <c r="BH14" s="100">
        <f t="shared" si="10"/>
        <v>0</v>
      </c>
      <c r="BI14" s="100"/>
      <c r="BJ14" s="100"/>
      <c r="BK14" s="100"/>
      <c r="BL14" s="100">
        <f>I14+J14+L14+M14+N14+O14+S14+T14+U14+V14+BH14</f>
        <v>0</v>
      </c>
      <c r="BM14" s="100">
        <f>K67-BL14</f>
        <v>0</v>
      </c>
      <c r="BN14" s="100">
        <f t="shared" si="11"/>
        <v>0</v>
      </c>
      <c r="BP14" s="123"/>
    </row>
    <row r="15" spans="1:68" ht="20.100000000000001" customHeight="1">
      <c r="A15" s="14" t="s">
        <v>217</v>
      </c>
      <c r="B15" s="143" t="s">
        <v>476</v>
      </c>
      <c r="C15" s="5" t="s">
        <v>197</v>
      </c>
      <c r="D15" s="100"/>
      <c r="E15" s="100">
        <f t="shared" si="4"/>
        <v>0</v>
      </c>
      <c r="F15" s="100">
        <f t="shared" si="6"/>
        <v>0</v>
      </c>
      <c r="G15" s="100">
        <f t="shared" si="8"/>
        <v>0</v>
      </c>
      <c r="H15" s="100">
        <f t="shared" si="12"/>
        <v>0</v>
      </c>
      <c r="I15" s="100"/>
      <c r="J15" s="100"/>
      <c r="K15" s="100"/>
      <c r="L15" s="100">
        <f>D15-BL15</f>
        <v>0</v>
      </c>
      <c r="M15" s="100"/>
      <c r="N15" s="100"/>
      <c r="O15" s="100">
        <f t="shared" si="3"/>
        <v>0</v>
      </c>
      <c r="P15" s="100"/>
      <c r="Q15" s="100"/>
      <c r="R15" s="100"/>
      <c r="S15" s="100"/>
      <c r="T15" s="100"/>
      <c r="U15" s="100"/>
      <c r="V15" s="100">
        <f t="shared" si="13"/>
        <v>0</v>
      </c>
      <c r="W15" s="100"/>
      <c r="X15" s="100"/>
      <c r="Y15" s="100"/>
      <c r="Z15" s="100"/>
      <c r="AA15" s="100"/>
      <c r="AB15" s="100"/>
      <c r="AC15" s="100"/>
      <c r="AD15" s="100"/>
      <c r="AE15" s="100">
        <f t="shared" si="9"/>
        <v>0</v>
      </c>
      <c r="AF15" s="100"/>
      <c r="AG15" s="100"/>
      <c r="AH15" s="100"/>
      <c r="AI15" s="100"/>
      <c r="AJ15" s="100"/>
      <c r="AK15" s="100"/>
      <c r="AL15" s="100"/>
      <c r="AM15" s="100"/>
      <c r="AN15" s="100"/>
      <c r="AO15" s="100"/>
      <c r="AP15" s="100"/>
      <c r="AQ15" s="100"/>
      <c r="AR15" s="100"/>
      <c r="AS15" s="100"/>
      <c r="AT15" s="100"/>
      <c r="AU15" s="100"/>
      <c r="AV15" s="100"/>
      <c r="AW15" s="100"/>
      <c r="AX15" s="100"/>
      <c r="AY15" s="100"/>
      <c r="AZ15" s="100"/>
      <c r="BA15" s="100"/>
      <c r="BB15" s="100"/>
      <c r="BC15" s="100"/>
      <c r="BD15" s="100"/>
      <c r="BE15" s="100"/>
      <c r="BF15" s="100"/>
      <c r="BG15" s="100"/>
      <c r="BH15" s="100">
        <f t="shared" si="10"/>
        <v>0</v>
      </c>
      <c r="BI15" s="100"/>
      <c r="BJ15" s="100"/>
      <c r="BK15" s="100"/>
      <c r="BL15" s="100">
        <f>H15+M15+N15+O15+S15+T15+U15+V15+BH15</f>
        <v>0</v>
      </c>
      <c r="BM15" s="100">
        <f>L67-BL15</f>
        <v>0</v>
      </c>
      <c r="BN15" s="100">
        <f t="shared" si="11"/>
        <v>0</v>
      </c>
      <c r="BP15" s="123"/>
    </row>
    <row r="16" spans="1:68" ht="20.100000000000001" customHeight="1">
      <c r="A16" s="14" t="s">
        <v>218</v>
      </c>
      <c r="B16" s="143" t="s">
        <v>22</v>
      </c>
      <c r="C16" s="5" t="s">
        <v>23</v>
      </c>
      <c r="D16" s="100"/>
      <c r="E16" s="100">
        <f t="shared" si="4"/>
        <v>0</v>
      </c>
      <c r="F16" s="100">
        <f t="shared" si="6"/>
        <v>0</v>
      </c>
      <c r="G16" s="100">
        <f t="shared" si="8"/>
        <v>0</v>
      </c>
      <c r="H16" s="100">
        <f t="shared" si="12"/>
        <v>0</v>
      </c>
      <c r="I16" s="100"/>
      <c r="J16" s="100"/>
      <c r="K16" s="100"/>
      <c r="L16" s="100"/>
      <c r="M16" s="100">
        <f>D16-BL16</f>
        <v>0</v>
      </c>
      <c r="N16" s="100"/>
      <c r="O16" s="100">
        <f t="shared" si="3"/>
        <v>0</v>
      </c>
      <c r="P16" s="100"/>
      <c r="Q16" s="100"/>
      <c r="R16" s="100"/>
      <c r="S16" s="100"/>
      <c r="T16" s="100"/>
      <c r="U16" s="100"/>
      <c r="V16" s="100">
        <f t="shared" si="13"/>
        <v>0</v>
      </c>
      <c r="W16" s="100"/>
      <c r="X16" s="100"/>
      <c r="Y16" s="100"/>
      <c r="Z16" s="100"/>
      <c r="AA16" s="100"/>
      <c r="AB16" s="100"/>
      <c r="AC16" s="100"/>
      <c r="AD16" s="100"/>
      <c r="AE16" s="100">
        <f t="shared" si="9"/>
        <v>0</v>
      </c>
      <c r="AF16" s="100"/>
      <c r="AG16" s="100"/>
      <c r="AH16" s="100"/>
      <c r="AI16" s="100"/>
      <c r="AJ16" s="100"/>
      <c r="AK16" s="100"/>
      <c r="AL16" s="100"/>
      <c r="AM16" s="100"/>
      <c r="AN16" s="100"/>
      <c r="AO16" s="100"/>
      <c r="AP16" s="100"/>
      <c r="AQ16" s="100"/>
      <c r="AR16" s="100"/>
      <c r="AS16" s="100"/>
      <c r="AT16" s="100"/>
      <c r="AU16" s="100"/>
      <c r="AV16" s="100"/>
      <c r="AW16" s="100"/>
      <c r="AX16" s="100"/>
      <c r="AY16" s="100"/>
      <c r="AZ16" s="100"/>
      <c r="BA16" s="100"/>
      <c r="BB16" s="100"/>
      <c r="BC16" s="100"/>
      <c r="BD16" s="100"/>
      <c r="BE16" s="100"/>
      <c r="BF16" s="100"/>
      <c r="BG16" s="100"/>
      <c r="BH16" s="100">
        <f t="shared" si="10"/>
        <v>0</v>
      </c>
      <c r="BI16" s="100"/>
      <c r="BJ16" s="100"/>
      <c r="BK16" s="100"/>
      <c r="BL16" s="100">
        <f>H16+L16+N16+S16+T16+U16+V16+BH16</f>
        <v>0</v>
      </c>
      <c r="BM16" s="100">
        <f>M67-BL16</f>
        <v>0</v>
      </c>
      <c r="BN16" s="100">
        <f t="shared" si="11"/>
        <v>0</v>
      </c>
      <c r="BP16" s="123"/>
    </row>
    <row r="17" spans="1:68" ht="20.100000000000001" customHeight="1">
      <c r="A17" s="14" t="s">
        <v>219</v>
      </c>
      <c r="B17" s="143" t="s">
        <v>25</v>
      </c>
      <c r="C17" s="5" t="s">
        <v>26</v>
      </c>
      <c r="D17" s="100"/>
      <c r="E17" s="100">
        <f t="shared" si="4"/>
        <v>0</v>
      </c>
      <c r="F17" s="100">
        <f t="shared" si="6"/>
        <v>0</v>
      </c>
      <c r="G17" s="100">
        <f t="shared" si="8"/>
        <v>0</v>
      </c>
      <c r="H17" s="100">
        <f t="shared" si="12"/>
        <v>0</v>
      </c>
      <c r="I17" s="100"/>
      <c r="J17" s="100"/>
      <c r="K17" s="100"/>
      <c r="L17" s="100"/>
      <c r="M17" s="100"/>
      <c r="N17" s="100">
        <f>D17-BL17</f>
        <v>0</v>
      </c>
      <c r="O17" s="100">
        <f t="shared" si="3"/>
        <v>0</v>
      </c>
      <c r="P17" s="100"/>
      <c r="Q17" s="100"/>
      <c r="R17" s="100"/>
      <c r="S17" s="100"/>
      <c r="T17" s="100"/>
      <c r="U17" s="100"/>
      <c r="V17" s="100">
        <f t="shared" si="13"/>
        <v>0</v>
      </c>
      <c r="W17" s="100"/>
      <c r="X17" s="100"/>
      <c r="Y17" s="100"/>
      <c r="Z17" s="100"/>
      <c r="AA17" s="100"/>
      <c r="AB17" s="100"/>
      <c r="AC17" s="100"/>
      <c r="AD17" s="100"/>
      <c r="AE17" s="100">
        <f t="shared" si="9"/>
        <v>0</v>
      </c>
      <c r="AF17" s="100"/>
      <c r="AG17" s="100"/>
      <c r="AH17" s="100"/>
      <c r="AI17" s="100"/>
      <c r="AJ17" s="100"/>
      <c r="AK17" s="100"/>
      <c r="AL17" s="100"/>
      <c r="AM17" s="100"/>
      <c r="AN17" s="100"/>
      <c r="AO17" s="100"/>
      <c r="AP17" s="100"/>
      <c r="AQ17" s="100"/>
      <c r="AR17" s="100"/>
      <c r="AS17" s="100"/>
      <c r="AT17" s="100"/>
      <c r="AU17" s="100"/>
      <c r="AV17" s="100"/>
      <c r="AW17" s="100"/>
      <c r="AX17" s="100"/>
      <c r="AY17" s="100"/>
      <c r="AZ17" s="100"/>
      <c r="BA17" s="100"/>
      <c r="BB17" s="100"/>
      <c r="BC17" s="100"/>
      <c r="BD17" s="100"/>
      <c r="BE17" s="100"/>
      <c r="BF17" s="100"/>
      <c r="BG17" s="100"/>
      <c r="BH17" s="100">
        <f t="shared" si="10"/>
        <v>0</v>
      </c>
      <c r="BI17" s="100"/>
      <c r="BJ17" s="100"/>
      <c r="BK17" s="100"/>
      <c r="BL17" s="100">
        <f>H17+L17+M17+O17+S17+T17+U17+V17+BH17</f>
        <v>0</v>
      </c>
      <c r="BM17" s="100">
        <f>N67-BL17</f>
        <v>0</v>
      </c>
      <c r="BN17" s="100">
        <f t="shared" si="11"/>
        <v>0</v>
      </c>
      <c r="BP17" s="123"/>
    </row>
    <row r="18" spans="1:68" ht="20.100000000000001" customHeight="1">
      <c r="A18" s="14" t="s">
        <v>21</v>
      </c>
      <c r="B18" s="143" t="s">
        <v>477</v>
      </c>
      <c r="C18" s="5" t="s">
        <v>198</v>
      </c>
      <c r="D18" s="100">
        <f>D19+D20+D21</f>
        <v>0</v>
      </c>
      <c r="E18" s="100">
        <f t="shared" si="4"/>
        <v>0</v>
      </c>
      <c r="F18" s="100">
        <f t="shared" si="6"/>
        <v>0</v>
      </c>
      <c r="G18" s="100">
        <f t="shared" si="8"/>
        <v>0</v>
      </c>
      <c r="H18" s="100">
        <f t="shared" si="12"/>
        <v>0</v>
      </c>
      <c r="I18" s="100">
        <f t="shared" ref="I18:N18" si="14">I19+I20+I21</f>
        <v>0</v>
      </c>
      <c r="J18" s="100">
        <f t="shared" si="14"/>
        <v>0</v>
      </c>
      <c r="K18" s="100">
        <f t="shared" si="14"/>
        <v>0</v>
      </c>
      <c r="L18" s="100">
        <f t="shared" si="14"/>
        <v>0</v>
      </c>
      <c r="M18" s="100">
        <f t="shared" si="14"/>
        <v>0</v>
      </c>
      <c r="N18" s="100">
        <f t="shared" si="14"/>
        <v>0</v>
      </c>
      <c r="O18" s="100">
        <f>D18-BL18</f>
        <v>0</v>
      </c>
      <c r="P18" s="100">
        <f t="shared" ref="P18:BG18" si="15">P19+P20+P21</f>
        <v>0</v>
      </c>
      <c r="Q18" s="100">
        <f t="shared" si="15"/>
        <v>0</v>
      </c>
      <c r="R18" s="100">
        <f t="shared" si="15"/>
        <v>0</v>
      </c>
      <c r="S18" s="100">
        <f t="shared" si="15"/>
        <v>0</v>
      </c>
      <c r="T18" s="100">
        <f t="shared" si="15"/>
        <v>0</v>
      </c>
      <c r="U18" s="100">
        <f t="shared" si="15"/>
        <v>0</v>
      </c>
      <c r="V18" s="100">
        <f t="shared" si="15"/>
        <v>0</v>
      </c>
      <c r="W18" s="100">
        <f t="shared" si="15"/>
        <v>0</v>
      </c>
      <c r="X18" s="100">
        <f t="shared" si="15"/>
        <v>0</v>
      </c>
      <c r="Y18" s="100">
        <f t="shared" si="15"/>
        <v>0</v>
      </c>
      <c r="Z18" s="100">
        <f t="shared" si="15"/>
        <v>0</v>
      </c>
      <c r="AA18" s="100">
        <f t="shared" si="15"/>
        <v>0</v>
      </c>
      <c r="AB18" s="100">
        <f t="shared" si="15"/>
        <v>0</v>
      </c>
      <c r="AC18" s="100">
        <f t="shared" si="15"/>
        <v>0</v>
      </c>
      <c r="AD18" s="100">
        <f t="shared" si="15"/>
        <v>0</v>
      </c>
      <c r="AE18" s="100">
        <f t="shared" si="15"/>
        <v>0</v>
      </c>
      <c r="AF18" s="100">
        <f t="shared" si="15"/>
        <v>0</v>
      </c>
      <c r="AG18" s="100">
        <f t="shared" si="15"/>
        <v>0</v>
      </c>
      <c r="AH18" s="100">
        <f t="shared" si="15"/>
        <v>0</v>
      </c>
      <c r="AI18" s="100">
        <f t="shared" si="15"/>
        <v>0</v>
      </c>
      <c r="AJ18" s="100">
        <f t="shared" si="15"/>
        <v>0</v>
      </c>
      <c r="AK18" s="100">
        <f t="shared" si="15"/>
        <v>0</v>
      </c>
      <c r="AL18" s="100">
        <f t="shared" si="15"/>
        <v>0</v>
      </c>
      <c r="AM18" s="100">
        <f t="shared" si="15"/>
        <v>0</v>
      </c>
      <c r="AN18" s="100">
        <f t="shared" si="15"/>
        <v>0</v>
      </c>
      <c r="AO18" s="100">
        <f t="shared" si="15"/>
        <v>0</v>
      </c>
      <c r="AP18" s="100">
        <f t="shared" si="15"/>
        <v>0</v>
      </c>
      <c r="AQ18" s="100">
        <f t="shared" si="15"/>
        <v>0</v>
      </c>
      <c r="AR18" s="100">
        <f t="shared" si="15"/>
        <v>0</v>
      </c>
      <c r="AS18" s="100">
        <f t="shared" si="15"/>
        <v>0</v>
      </c>
      <c r="AT18" s="100">
        <f t="shared" si="15"/>
        <v>0</v>
      </c>
      <c r="AU18" s="100">
        <f t="shared" si="15"/>
        <v>0</v>
      </c>
      <c r="AV18" s="100">
        <f t="shared" si="15"/>
        <v>0</v>
      </c>
      <c r="AW18" s="100">
        <f t="shared" si="15"/>
        <v>0</v>
      </c>
      <c r="AX18" s="100">
        <f t="shared" si="15"/>
        <v>0</v>
      </c>
      <c r="AY18" s="100">
        <f t="shared" si="15"/>
        <v>0</v>
      </c>
      <c r="AZ18" s="100">
        <f t="shared" si="15"/>
        <v>0</v>
      </c>
      <c r="BA18" s="100">
        <f t="shared" si="15"/>
        <v>0</v>
      </c>
      <c r="BB18" s="100">
        <f t="shared" si="15"/>
        <v>0</v>
      </c>
      <c r="BC18" s="100">
        <f t="shared" si="15"/>
        <v>0</v>
      </c>
      <c r="BD18" s="100">
        <f t="shared" si="15"/>
        <v>0</v>
      </c>
      <c r="BE18" s="100">
        <f t="shared" si="15"/>
        <v>0</v>
      </c>
      <c r="BF18" s="100">
        <f t="shared" si="15"/>
        <v>0</v>
      </c>
      <c r="BG18" s="100">
        <f t="shared" si="15"/>
        <v>0</v>
      </c>
      <c r="BH18" s="100">
        <f>BH19+BH20+BH21</f>
        <v>0</v>
      </c>
      <c r="BI18" s="100">
        <f>BI19+BI20+BI21</f>
        <v>0</v>
      </c>
      <c r="BJ18" s="100">
        <f>BJ19+BJ20+BJ21</f>
        <v>0</v>
      </c>
      <c r="BK18" s="100">
        <f>BK19+BK20+BK21</f>
        <v>0</v>
      </c>
      <c r="BL18" s="100">
        <f>F18+S18+T18+U18+BH18+V18</f>
        <v>0</v>
      </c>
      <c r="BM18" s="100">
        <f>O67-BL18</f>
        <v>0</v>
      </c>
      <c r="BN18" s="100">
        <f>BN19+BN20+BN21</f>
        <v>0</v>
      </c>
      <c r="BP18" s="123"/>
    </row>
    <row r="19" spans="1:68" ht="20.100000000000001" customHeight="1">
      <c r="A19" s="14" t="s">
        <v>182</v>
      </c>
      <c r="B19" s="143" t="s">
        <v>28</v>
      </c>
      <c r="C19" s="5" t="s">
        <v>29</v>
      </c>
      <c r="D19" s="100"/>
      <c r="E19" s="100">
        <f>F19+O19+S19+T19+U19</f>
        <v>0</v>
      </c>
      <c r="F19" s="100">
        <f>G19+N19</f>
        <v>0</v>
      </c>
      <c r="G19" s="100">
        <f>H19+L19+M19</f>
        <v>0</v>
      </c>
      <c r="H19" s="100">
        <f t="shared" si="12"/>
        <v>0</v>
      </c>
      <c r="I19" s="100"/>
      <c r="J19" s="100"/>
      <c r="K19" s="100"/>
      <c r="L19" s="100"/>
      <c r="M19" s="100"/>
      <c r="N19" s="100"/>
      <c r="O19" s="100">
        <f t="shared" ref="O19:O24" si="16">P19+Q19+R19</f>
        <v>0</v>
      </c>
      <c r="P19" s="100">
        <f>D19-BL19</f>
        <v>0</v>
      </c>
      <c r="Q19" s="100"/>
      <c r="R19" s="100"/>
      <c r="S19" s="100"/>
      <c r="T19" s="100"/>
      <c r="U19" s="100"/>
      <c r="V19" s="100">
        <f t="shared" si="13"/>
        <v>0</v>
      </c>
      <c r="W19" s="100"/>
      <c r="X19" s="100"/>
      <c r="Y19" s="100"/>
      <c r="Z19" s="100"/>
      <c r="AA19" s="100"/>
      <c r="AB19" s="100"/>
      <c r="AC19" s="100"/>
      <c r="AD19" s="100"/>
      <c r="AE19" s="100">
        <f t="shared" si="9"/>
        <v>0</v>
      </c>
      <c r="AF19" s="100"/>
      <c r="AG19" s="100"/>
      <c r="AH19" s="100"/>
      <c r="AI19" s="100"/>
      <c r="AJ19" s="100"/>
      <c r="AK19" s="100"/>
      <c r="AL19" s="100"/>
      <c r="AM19" s="100"/>
      <c r="AN19" s="100"/>
      <c r="AO19" s="100"/>
      <c r="AP19" s="100"/>
      <c r="AQ19" s="100"/>
      <c r="AR19" s="100"/>
      <c r="AS19" s="100"/>
      <c r="AT19" s="100"/>
      <c r="AU19" s="100"/>
      <c r="AV19" s="100"/>
      <c r="AW19" s="100"/>
      <c r="AX19" s="100"/>
      <c r="AY19" s="100"/>
      <c r="AZ19" s="100"/>
      <c r="BA19" s="100"/>
      <c r="BB19" s="100"/>
      <c r="BC19" s="100"/>
      <c r="BD19" s="100"/>
      <c r="BE19" s="100"/>
      <c r="BF19" s="100"/>
      <c r="BG19" s="100"/>
      <c r="BH19" s="100">
        <f t="shared" ref="BH19:BH24" si="17">BI19+BJ19+BK19</f>
        <v>0</v>
      </c>
      <c r="BI19" s="100"/>
      <c r="BJ19" s="100"/>
      <c r="BK19" s="100"/>
      <c r="BL19" s="100">
        <f>F19+Q19+R19+S19+T19+U19+V19+BH19</f>
        <v>0</v>
      </c>
      <c r="BM19" s="100">
        <f>P67-BL19</f>
        <v>0</v>
      </c>
      <c r="BN19" s="100">
        <f t="shared" ref="BN19:BN24" si="18">D19+BM19</f>
        <v>0</v>
      </c>
      <c r="BP19" s="123"/>
    </row>
    <row r="20" spans="1:68" ht="20.100000000000001" customHeight="1">
      <c r="A20" s="14" t="s">
        <v>183</v>
      </c>
      <c r="B20" s="143" t="s">
        <v>31</v>
      </c>
      <c r="C20" s="5" t="s">
        <v>32</v>
      </c>
      <c r="D20" s="100"/>
      <c r="E20" s="100">
        <f t="shared" si="4"/>
        <v>0</v>
      </c>
      <c r="F20" s="100">
        <f t="shared" si="6"/>
        <v>0</v>
      </c>
      <c r="G20" s="100">
        <f t="shared" si="8"/>
        <v>0</v>
      </c>
      <c r="H20" s="100">
        <f t="shared" si="12"/>
        <v>0</v>
      </c>
      <c r="I20" s="100"/>
      <c r="J20" s="100"/>
      <c r="K20" s="100"/>
      <c r="L20" s="100"/>
      <c r="M20" s="100"/>
      <c r="N20" s="100"/>
      <c r="O20" s="100">
        <f t="shared" si="16"/>
        <v>0</v>
      </c>
      <c r="P20" s="100"/>
      <c r="Q20" s="100">
        <f>D20-BL20</f>
        <v>0</v>
      </c>
      <c r="R20" s="100"/>
      <c r="S20" s="100"/>
      <c r="T20" s="100"/>
      <c r="U20" s="100"/>
      <c r="V20" s="100">
        <f t="shared" si="13"/>
        <v>0</v>
      </c>
      <c r="W20" s="100"/>
      <c r="X20" s="100"/>
      <c r="Y20" s="100"/>
      <c r="Z20" s="100"/>
      <c r="AA20" s="100"/>
      <c r="AB20" s="100"/>
      <c r="AC20" s="100"/>
      <c r="AD20" s="100"/>
      <c r="AE20" s="100">
        <f t="shared" si="9"/>
        <v>0</v>
      </c>
      <c r="AF20" s="100"/>
      <c r="AG20" s="100"/>
      <c r="AH20" s="100"/>
      <c r="AI20" s="100"/>
      <c r="AJ20" s="100"/>
      <c r="AK20" s="100"/>
      <c r="AL20" s="100"/>
      <c r="AM20" s="100"/>
      <c r="AN20" s="100"/>
      <c r="AO20" s="100"/>
      <c r="AP20" s="100"/>
      <c r="AQ20" s="100"/>
      <c r="AR20" s="100"/>
      <c r="AS20" s="100"/>
      <c r="AT20" s="100"/>
      <c r="AU20" s="100"/>
      <c r="AV20" s="100"/>
      <c r="AW20" s="100"/>
      <c r="AX20" s="100"/>
      <c r="AY20" s="100"/>
      <c r="AZ20" s="100"/>
      <c r="BA20" s="100"/>
      <c r="BB20" s="100"/>
      <c r="BC20" s="100"/>
      <c r="BD20" s="100"/>
      <c r="BE20" s="100"/>
      <c r="BF20" s="100"/>
      <c r="BG20" s="100"/>
      <c r="BH20" s="100">
        <f t="shared" si="17"/>
        <v>0</v>
      </c>
      <c r="BI20" s="100"/>
      <c r="BJ20" s="100"/>
      <c r="BK20" s="100"/>
      <c r="BL20" s="100">
        <f>F20+P20+R20+S20+T20+U20+V20+BH20</f>
        <v>0</v>
      </c>
      <c r="BM20" s="100">
        <f>Q67-BL20</f>
        <v>0</v>
      </c>
      <c r="BN20" s="100">
        <f t="shared" si="18"/>
        <v>0</v>
      </c>
      <c r="BP20" s="123"/>
    </row>
    <row r="21" spans="1:68" ht="20.100000000000001" customHeight="1">
      <c r="A21" s="14" t="s">
        <v>184</v>
      </c>
      <c r="B21" s="143" t="s">
        <v>34</v>
      </c>
      <c r="C21" s="5" t="s">
        <v>35</v>
      </c>
      <c r="D21" s="100"/>
      <c r="E21" s="100">
        <f t="shared" si="4"/>
        <v>0</v>
      </c>
      <c r="F21" s="100">
        <f>G21+N21</f>
        <v>0</v>
      </c>
      <c r="G21" s="100">
        <f t="shared" si="8"/>
        <v>0</v>
      </c>
      <c r="H21" s="100">
        <f t="shared" si="12"/>
        <v>0</v>
      </c>
      <c r="I21" s="100"/>
      <c r="J21" s="100"/>
      <c r="K21" s="100"/>
      <c r="L21" s="100"/>
      <c r="M21" s="100"/>
      <c r="N21" s="100"/>
      <c r="O21" s="100">
        <f t="shared" si="16"/>
        <v>0</v>
      </c>
      <c r="P21" s="100"/>
      <c r="Q21" s="100"/>
      <c r="R21" s="100">
        <f>D21-BL21</f>
        <v>0</v>
      </c>
      <c r="S21" s="100"/>
      <c r="T21" s="100"/>
      <c r="U21" s="100"/>
      <c r="V21" s="100">
        <f t="shared" si="13"/>
        <v>0</v>
      </c>
      <c r="W21" s="100"/>
      <c r="X21" s="100"/>
      <c r="Y21" s="100"/>
      <c r="Z21" s="100"/>
      <c r="AA21" s="100"/>
      <c r="AB21" s="100"/>
      <c r="AC21" s="100"/>
      <c r="AD21" s="100"/>
      <c r="AE21" s="100">
        <f t="shared" si="9"/>
        <v>0</v>
      </c>
      <c r="AF21" s="100"/>
      <c r="AG21" s="100"/>
      <c r="AH21" s="100"/>
      <c r="AI21" s="100"/>
      <c r="AJ21" s="100"/>
      <c r="AK21" s="100"/>
      <c r="AL21" s="100"/>
      <c r="AM21" s="100"/>
      <c r="AN21" s="100"/>
      <c r="AO21" s="100"/>
      <c r="AP21" s="100"/>
      <c r="AQ21" s="100"/>
      <c r="AR21" s="100"/>
      <c r="AS21" s="100"/>
      <c r="AT21" s="100"/>
      <c r="AU21" s="100"/>
      <c r="AV21" s="100"/>
      <c r="AW21" s="100"/>
      <c r="AX21" s="100"/>
      <c r="AY21" s="100"/>
      <c r="AZ21" s="100"/>
      <c r="BA21" s="100"/>
      <c r="BB21" s="100"/>
      <c r="BC21" s="100"/>
      <c r="BD21" s="100"/>
      <c r="BE21" s="100"/>
      <c r="BF21" s="100"/>
      <c r="BG21" s="100"/>
      <c r="BH21" s="100">
        <f t="shared" si="17"/>
        <v>0</v>
      </c>
      <c r="BI21" s="100"/>
      <c r="BJ21" s="100"/>
      <c r="BK21" s="100"/>
      <c r="BL21" s="100">
        <f>F21+P21+Q21+S21+T21+U21+V21+BH21</f>
        <v>0</v>
      </c>
      <c r="BM21" s="100">
        <f>R67-BL21</f>
        <v>0</v>
      </c>
      <c r="BN21" s="100">
        <f t="shared" si="18"/>
        <v>0</v>
      </c>
      <c r="BP21" s="123"/>
    </row>
    <row r="22" spans="1:68" ht="20.100000000000001" customHeight="1">
      <c r="A22" s="14" t="s">
        <v>24</v>
      </c>
      <c r="B22" s="143" t="s">
        <v>37</v>
      </c>
      <c r="C22" s="5" t="s">
        <v>38</v>
      </c>
      <c r="D22" s="100"/>
      <c r="E22" s="100">
        <f>F22+O22+S22+T22+U22</f>
        <v>0</v>
      </c>
      <c r="F22" s="100">
        <f t="shared" si="6"/>
        <v>0</v>
      </c>
      <c r="G22" s="100">
        <f t="shared" si="8"/>
        <v>0</v>
      </c>
      <c r="H22" s="100">
        <f t="shared" si="12"/>
        <v>0</v>
      </c>
      <c r="I22" s="100"/>
      <c r="J22" s="100"/>
      <c r="K22" s="100"/>
      <c r="L22" s="100"/>
      <c r="M22" s="100"/>
      <c r="N22" s="100"/>
      <c r="O22" s="100">
        <f t="shared" si="16"/>
        <v>0</v>
      </c>
      <c r="P22" s="100"/>
      <c r="Q22" s="100"/>
      <c r="R22" s="100"/>
      <c r="S22" s="100">
        <f>D22-BL22</f>
        <v>0</v>
      </c>
      <c r="T22" s="100"/>
      <c r="U22" s="100"/>
      <c r="V22" s="100">
        <f t="shared" si="13"/>
        <v>0</v>
      </c>
      <c r="W22" s="100"/>
      <c r="X22" s="100"/>
      <c r="Y22" s="100"/>
      <c r="Z22" s="100"/>
      <c r="AA22" s="100"/>
      <c r="AB22" s="100"/>
      <c r="AC22" s="100"/>
      <c r="AD22" s="100"/>
      <c r="AE22" s="100">
        <f t="shared" si="9"/>
        <v>0</v>
      </c>
      <c r="AF22" s="100"/>
      <c r="AG22" s="100"/>
      <c r="AH22" s="100"/>
      <c r="AI22" s="100"/>
      <c r="AJ22" s="100"/>
      <c r="AK22" s="100"/>
      <c r="AL22" s="100"/>
      <c r="AM22" s="100"/>
      <c r="AN22" s="100"/>
      <c r="AO22" s="100"/>
      <c r="AP22" s="100"/>
      <c r="AQ22" s="100"/>
      <c r="AR22" s="100"/>
      <c r="AS22" s="100"/>
      <c r="AT22" s="100"/>
      <c r="AU22" s="100"/>
      <c r="AV22" s="100"/>
      <c r="AW22" s="100"/>
      <c r="AX22" s="100"/>
      <c r="AY22" s="100"/>
      <c r="AZ22" s="100"/>
      <c r="BA22" s="100"/>
      <c r="BB22" s="100"/>
      <c r="BC22" s="100"/>
      <c r="BD22" s="100"/>
      <c r="BE22" s="100"/>
      <c r="BF22" s="100"/>
      <c r="BG22" s="100"/>
      <c r="BH22" s="100">
        <f t="shared" si="17"/>
        <v>0</v>
      </c>
      <c r="BI22" s="100"/>
      <c r="BJ22" s="100"/>
      <c r="BK22" s="100"/>
      <c r="BL22" s="100">
        <f>G22+O22+T22+U22+V22+BH22</f>
        <v>0</v>
      </c>
      <c r="BM22" s="100">
        <f>S67-BL22</f>
        <v>0</v>
      </c>
      <c r="BN22" s="100">
        <f t="shared" si="18"/>
        <v>0</v>
      </c>
      <c r="BP22" s="123"/>
    </row>
    <row r="23" spans="1:68" ht="20.100000000000001" customHeight="1">
      <c r="A23" s="14" t="s">
        <v>27</v>
      </c>
      <c r="B23" s="143" t="s">
        <v>40</v>
      </c>
      <c r="C23" s="5" t="s">
        <v>41</v>
      </c>
      <c r="D23" s="100"/>
      <c r="E23" s="100">
        <f t="shared" si="4"/>
        <v>0</v>
      </c>
      <c r="F23" s="100">
        <f t="shared" si="6"/>
        <v>0</v>
      </c>
      <c r="G23" s="100">
        <f t="shared" si="8"/>
        <v>0</v>
      </c>
      <c r="H23" s="100">
        <f t="shared" si="12"/>
        <v>0</v>
      </c>
      <c r="I23" s="100"/>
      <c r="J23" s="100"/>
      <c r="K23" s="100"/>
      <c r="L23" s="100"/>
      <c r="M23" s="100"/>
      <c r="N23" s="100"/>
      <c r="O23" s="100">
        <f t="shared" si="16"/>
        <v>0</v>
      </c>
      <c r="P23" s="100"/>
      <c r="Q23" s="100"/>
      <c r="R23" s="100"/>
      <c r="S23" s="100"/>
      <c r="T23" s="100">
        <f>D23-BL23</f>
        <v>0</v>
      </c>
      <c r="U23" s="100"/>
      <c r="V23" s="100">
        <f t="shared" si="13"/>
        <v>0</v>
      </c>
      <c r="W23" s="100"/>
      <c r="X23" s="100"/>
      <c r="Y23" s="100"/>
      <c r="Z23" s="100"/>
      <c r="AA23" s="100"/>
      <c r="AB23" s="100"/>
      <c r="AC23" s="100"/>
      <c r="AD23" s="100"/>
      <c r="AE23" s="100">
        <f t="shared" si="9"/>
        <v>0</v>
      </c>
      <c r="AF23" s="100"/>
      <c r="AG23" s="100"/>
      <c r="AH23" s="100"/>
      <c r="AI23" s="100"/>
      <c r="AJ23" s="100"/>
      <c r="AK23" s="100"/>
      <c r="AL23" s="100"/>
      <c r="AM23" s="100"/>
      <c r="AN23" s="100"/>
      <c r="AO23" s="100"/>
      <c r="AP23" s="100"/>
      <c r="AQ23" s="100"/>
      <c r="AR23" s="100"/>
      <c r="AS23" s="100"/>
      <c r="AT23" s="100"/>
      <c r="AU23" s="100"/>
      <c r="AV23" s="100"/>
      <c r="AW23" s="100"/>
      <c r="AX23" s="100"/>
      <c r="AY23" s="100"/>
      <c r="AZ23" s="100"/>
      <c r="BA23" s="100"/>
      <c r="BB23" s="100"/>
      <c r="BC23" s="100"/>
      <c r="BD23" s="100"/>
      <c r="BE23" s="100"/>
      <c r="BF23" s="100"/>
      <c r="BG23" s="100"/>
      <c r="BH23" s="100">
        <f t="shared" si="17"/>
        <v>0</v>
      </c>
      <c r="BI23" s="100"/>
      <c r="BJ23" s="100"/>
      <c r="BK23" s="100"/>
      <c r="BL23" s="100">
        <f>F23+O23+S23+U23+V23+BH23</f>
        <v>0</v>
      </c>
      <c r="BM23" s="100">
        <f>T67-BL23</f>
        <v>0</v>
      </c>
      <c r="BN23" s="100">
        <f t="shared" si="18"/>
        <v>0</v>
      </c>
      <c r="BP23" s="123"/>
    </row>
    <row r="24" spans="1:68" ht="19.5" customHeight="1">
      <c r="A24" s="14" t="s">
        <v>30</v>
      </c>
      <c r="B24" s="143" t="s">
        <v>43</v>
      </c>
      <c r="C24" s="5" t="s">
        <v>44</v>
      </c>
      <c r="D24" s="100"/>
      <c r="E24" s="100">
        <f t="shared" si="4"/>
        <v>0</v>
      </c>
      <c r="F24" s="100">
        <f t="shared" si="6"/>
        <v>0</v>
      </c>
      <c r="G24" s="100">
        <f t="shared" si="8"/>
        <v>0</v>
      </c>
      <c r="H24" s="100">
        <f t="shared" si="12"/>
        <v>0</v>
      </c>
      <c r="I24" s="100"/>
      <c r="J24" s="100"/>
      <c r="K24" s="100"/>
      <c r="L24" s="100"/>
      <c r="M24" s="100"/>
      <c r="N24" s="100"/>
      <c r="O24" s="100">
        <f t="shared" si="16"/>
        <v>0</v>
      </c>
      <c r="P24" s="100"/>
      <c r="Q24" s="100"/>
      <c r="R24" s="100"/>
      <c r="S24" s="100"/>
      <c r="T24" s="100"/>
      <c r="U24" s="100">
        <f>D24-BL24</f>
        <v>0</v>
      </c>
      <c r="V24" s="100">
        <f t="shared" si="13"/>
        <v>0</v>
      </c>
      <c r="W24" s="100"/>
      <c r="X24" s="100"/>
      <c r="Y24" s="100"/>
      <c r="Z24" s="100"/>
      <c r="AA24" s="100"/>
      <c r="AB24" s="100"/>
      <c r="AC24" s="100"/>
      <c r="AD24" s="100"/>
      <c r="AE24" s="100">
        <f t="shared" si="9"/>
        <v>0</v>
      </c>
      <c r="AF24" s="100"/>
      <c r="AG24" s="100"/>
      <c r="AH24" s="100"/>
      <c r="AI24" s="100"/>
      <c r="AJ24" s="100"/>
      <c r="AK24" s="100"/>
      <c r="AL24" s="100"/>
      <c r="AM24" s="100"/>
      <c r="AN24" s="100"/>
      <c r="AO24" s="100"/>
      <c r="AP24" s="100"/>
      <c r="AQ24" s="100"/>
      <c r="AR24" s="100"/>
      <c r="AS24" s="100"/>
      <c r="AT24" s="100"/>
      <c r="AU24" s="100"/>
      <c r="AV24" s="100"/>
      <c r="AW24" s="100"/>
      <c r="AX24" s="100"/>
      <c r="AY24" s="100"/>
      <c r="AZ24" s="100"/>
      <c r="BA24" s="100"/>
      <c r="BB24" s="100"/>
      <c r="BC24" s="100"/>
      <c r="BD24" s="100"/>
      <c r="BE24" s="100"/>
      <c r="BF24" s="100"/>
      <c r="BG24" s="100"/>
      <c r="BH24" s="100">
        <f t="shared" si="17"/>
        <v>0</v>
      </c>
      <c r="BI24" s="100"/>
      <c r="BJ24" s="100"/>
      <c r="BK24" s="100"/>
      <c r="BL24" s="100">
        <f>F24+O24+S24+T24+BH24</f>
        <v>0</v>
      </c>
      <c r="BM24" s="100">
        <f>U67-BL24</f>
        <v>0</v>
      </c>
      <c r="BN24" s="100">
        <f t="shared" si="18"/>
        <v>0</v>
      </c>
      <c r="BP24" s="123"/>
    </row>
    <row r="25" spans="1:68" s="115" customFormat="1" ht="25.5" customHeight="1">
      <c r="A25" s="15">
        <v>2</v>
      </c>
      <c r="B25" s="142" t="s">
        <v>45</v>
      </c>
      <c r="C25" s="6" t="s">
        <v>46</v>
      </c>
      <c r="D25" s="175">
        <f>D26+D27+D28+D29+D30+D31+D32+D33+D34+D46+D47+D48+D49+D50+D51+D52+D53+D54+D55+D56+D57+D58+D59+D60+D61+D62</f>
        <v>71.789500000000004</v>
      </c>
      <c r="E25" s="175">
        <f>E26+E27+E28+E29+E30+E31+E32+E33+E34+E46+E47+E48+E49+E50+E51+E52+E53+E54+E55+E56+E57+E58+E59+E60+E61+E62</f>
        <v>0</v>
      </c>
      <c r="F25" s="175">
        <f t="shared" ref="F25:U25" si="19">F26+F27+F28+F29+F30+F31+F32+F33+F34+F46+F47+F48+F49+F50+F51+F52+F53+F54+F55+F56+F57+F58+F59+F60+F61+F62</f>
        <v>0</v>
      </c>
      <c r="G25" s="175">
        <f t="shared" si="19"/>
        <v>0</v>
      </c>
      <c r="H25" s="175">
        <f t="shared" si="19"/>
        <v>0</v>
      </c>
      <c r="I25" s="175">
        <f t="shared" si="19"/>
        <v>0</v>
      </c>
      <c r="J25" s="175">
        <f t="shared" si="19"/>
        <v>0</v>
      </c>
      <c r="K25" s="175">
        <f t="shared" si="19"/>
        <v>0</v>
      </c>
      <c r="L25" s="175">
        <f t="shared" si="19"/>
        <v>0</v>
      </c>
      <c r="M25" s="175">
        <f t="shared" si="19"/>
        <v>0</v>
      </c>
      <c r="N25" s="175">
        <f t="shared" si="19"/>
        <v>0</v>
      </c>
      <c r="O25" s="175">
        <f t="shared" si="19"/>
        <v>0</v>
      </c>
      <c r="P25" s="175">
        <f t="shared" si="19"/>
        <v>0</v>
      </c>
      <c r="Q25" s="175">
        <f t="shared" si="19"/>
        <v>0</v>
      </c>
      <c r="R25" s="175">
        <f t="shared" si="19"/>
        <v>0</v>
      </c>
      <c r="S25" s="175">
        <f t="shared" si="19"/>
        <v>0</v>
      </c>
      <c r="T25" s="175">
        <f t="shared" si="19"/>
        <v>0</v>
      </c>
      <c r="U25" s="175">
        <f t="shared" si="19"/>
        <v>0</v>
      </c>
      <c r="V25" s="175">
        <f>D25-BL25</f>
        <v>71.789500000000004</v>
      </c>
      <c r="W25" s="175">
        <f>W26+W27+W28+W29+W30+W31+W32+W33+W34+W46+W47+W48+W49+W50+W51+W52+W53+W54+W55+W56+W57+W58+W59+W60+W61+W62</f>
        <v>5.47</v>
      </c>
      <c r="X25" s="175">
        <f t="shared" ref="X25:BK25" si="20">X26+X27+X28+X29+X30+X31+X32+X33+X34+X46+X47+X48+X49+X50+X51+X52+X53+X54+X55+X56+X57+X58+X59+X60+X61+X62</f>
        <v>0.43</v>
      </c>
      <c r="Y25" s="175">
        <f t="shared" si="20"/>
        <v>0</v>
      </c>
      <c r="Z25" s="175">
        <f t="shared" si="20"/>
        <v>0</v>
      </c>
      <c r="AA25" s="175">
        <f t="shared" si="20"/>
        <v>0</v>
      </c>
      <c r="AB25" s="175">
        <f t="shared" si="20"/>
        <v>2.67</v>
      </c>
      <c r="AC25" s="175">
        <f t="shared" si="20"/>
        <v>0</v>
      </c>
      <c r="AD25" s="175">
        <f t="shared" si="20"/>
        <v>0</v>
      </c>
      <c r="AE25" s="175">
        <f t="shared" si="20"/>
        <v>29.960000000000004</v>
      </c>
      <c r="AF25" s="175">
        <f t="shared" si="20"/>
        <v>2.35</v>
      </c>
      <c r="AG25" s="175">
        <f t="shared" si="20"/>
        <v>0.02</v>
      </c>
      <c r="AH25" s="175">
        <f t="shared" si="20"/>
        <v>1.95</v>
      </c>
      <c r="AI25" s="175">
        <f t="shared" si="20"/>
        <v>0</v>
      </c>
      <c r="AJ25" s="175">
        <f t="shared" si="20"/>
        <v>0</v>
      </c>
      <c r="AK25" s="175">
        <f t="shared" si="20"/>
        <v>0</v>
      </c>
      <c r="AL25" s="175">
        <f t="shared" si="20"/>
        <v>22.84</v>
      </c>
      <c r="AM25" s="175">
        <f t="shared" si="20"/>
        <v>1.66</v>
      </c>
      <c r="AN25" s="175">
        <f t="shared" si="20"/>
        <v>0</v>
      </c>
      <c r="AO25" s="175">
        <f t="shared" si="20"/>
        <v>0.17</v>
      </c>
      <c r="AP25" s="175">
        <f t="shared" si="20"/>
        <v>0.6</v>
      </c>
      <c r="AQ25" s="175">
        <f t="shared" si="20"/>
        <v>0</v>
      </c>
      <c r="AR25" s="175">
        <f t="shared" si="20"/>
        <v>0</v>
      </c>
      <c r="AS25" s="175">
        <f t="shared" si="20"/>
        <v>0</v>
      </c>
      <c r="AT25" s="175">
        <f t="shared" si="20"/>
        <v>0</v>
      </c>
      <c r="AU25" s="175">
        <f t="shared" si="20"/>
        <v>14.13</v>
      </c>
      <c r="AV25" s="175">
        <f t="shared" si="20"/>
        <v>3.7095000000000002</v>
      </c>
      <c r="AW25" s="175">
        <f t="shared" si="20"/>
        <v>0</v>
      </c>
      <c r="AX25" s="175">
        <f t="shared" si="20"/>
        <v>0</v>
      </c>
      <c r="AY25" s="175">
        <f t="shared" si="20"/>
        <v>0</v>
      </c>
      <c r="AZ25" s="175">
        <f t="shared" si="20"/>
        <v>0</v>
      </c>
      <c r="BA25" s="175">
        <f t="shared" si="20"/>
        <v>0</v>
      </c>
      <c r="BB25" s="175">
        <f t="shared" si="20"/>
        <v>0.28000000000000003</v>
      </c>
      <c r="BC25" s="175">
        <f t="shared" si="20"/>
        <v>5.46</v>
      </c>
      <c r="BD25" s="175">
        <f t="shared" si="20"/>
        <v>0.01</v>
      </c>
      <c r="BE25" s="175">
        <f t="shared" si="20"/>
        <v>9.67</v>
      </c>
      <c r="BF25" s="175">
        <f t="shared" si="20"/>
        <v>0</v>
      </c>
      <c r="BG25" s="175">
        <f t="shared" si="20"/>
        <v>0</v>
      </c>
      <c r="BH25" s="175">
        <f t="shared" si="20"/>
        <v>0</v>
      </c>
      <c r="BI25" s="175">
        <f t="shared" si="20"/>
        <v>0</v>
      </c>
      <c r="BJ25" s="175">
        <f t="shared" si="20"/>
        <v>0</v>
      </c>
      <c r="BK25" s="175">
        <f t="shared" si="20"/>
        <v>0</v>
      </c>
      <c r="BL25" s="175">
        <f>E25+BH25</f>
        <v>0</v>
      </c>
      <c r="BM25" s="175">
        <f>BM26+BM27+BM28+BM29+BM30+BM31+BM32+BM33+BM34+BM46+BM47+BM48+BM49+BM50+BM51+BM52+BM53+BM54+BM55+BM56+BM57+BM58+BM59+BM60+BM61+BM62</f>
        <v>0</v>
      </c>
      <c r="BN25" s="175">
        <f>BN26+BN27+BN28+BN29+BN30+BN31+BN32+BN33+BN34+BN46+BN47+BN48+BN49+BN50+BN51+BN52+BN53+BN54+BN55+BN56+BN57+BN58+BN59+BN60+BN61+BN62</f>
        <v>71.789500000000004</v>
      </c>
    </row>
    <row r="26" spans="1:68" ht="20.100000000000001" customHeight="1">
      <c r="A26" s="19" t="s">
        <v>47</v>
      </c>
      <c r="B26" s="144" t="s">
        <v>48</v>
      </c>
      <c r="C26" s="5" t="s">
        <v>49</v>
      </c>
      <c r="D26" s="100">
        <f>#REF!</f>
        <v>5.47</v>
      </c>
      <c r="E26" s="100">
        <f t="shared" si="4"/>
        <v>0</v>
      </c>
      <c r="F26" s="100">
        <f>G26+N26</f>
        <v>0</v>
      </c>
      <c r="G26" s="100">
        <f t="shared" si="8"/>
        <v>0</v>
      </c>
      <c r="H26" s="100">
        <f t="shared" si="12"/>
        <v>0</v>
      </c>
      <c r="I26" s="100"/>
      <c r="J26" s="100"/>
      <c r="K26" s="100"/>
      <c r="L26" s="100"/>
      <c r="M26" s="100"/>
      <c r="N26" s="100"/>
      <c r="O26" s="100"/>
      <c r="P26" s="100"/>
      <c r="Q26" s="100"/>
      <c r="R26" s="100"/>
      <c r="S26" s="100"/>
      <c r="T26" s="100"/>
      <c r="U26" s="100"/>
      <c r="V26" s="100">
        <f t="shared" si="13"/>
        <v>5.47</v>
      </c>
      <c r="W26" s="100">
        <f>D26-BL26</f>
        <v>5.47</v>
      </c>
      <c r="X26" s="100"/>
      <c r="Y26" s="100"/>
      <c r="Z26" s="100"/>
      <c r="AA26" s="100"/>
      <c r="AB26" s="100"/>
      <c r="AC26" s="100"/>
      <c r="AD26" s="100"/>
      <c r="AE26" s="100">
        <f t="shared" si="9"/>
        <v>0</v>
      </c>
      <c r="AF26" s="100"/>
      <c r="AG26" s="100"/>
      <c r="AH26" s="100"/>
      <c r="AI26" s="100"/>
      <c r="AJ26" s="100"/>
      <c r="AK26" s="100"/>
      <c r="AL26" s="100"/>
      <c r="AM26" s="100"/>
      <c r="AN26" s="100"/>
      <c r="AO26" s="100"/>
      <c r="AP26" s="100"/>
      <c r="AQ26" s="100"/>
      <c r="AR26" s="100"/>
      <c r="AS26" s="100"/>
      <c r="AT26" s="100"/>
      <c r="AU26" s="100"/>
      <c r="AV26" s="100"/>
      <c r="AW26" s="100"/>
      <c r="AX26" s="100"/>
      <c r="AY26" s="100"/>
      <c r="AZ26" s="100"/>
      <c r="BA26" s="100"/>
      <c r="BB26" s="100"/>
      <c r="BC26" s="100"/>
      <c r="BD26" s="100"/>
      <c r="BE26" s="100"/>
      <c r="BF26" s="100"/>
      <c r="BG26" s="100"/>
      <c r="BH26" s="100">
        <f>BI26+BJ26+BK26</f>
        <v>0</v>
      </c>
      <c r="BI26" s="100"/>
      <c r="BJ26" s="100"/>
      <c r="BK26" s="100"/>
      <c r="BL26" s="100">
        <f>X26+Y26+Z26+AA26+AB26+AC26+AD26+AE26+AQ26+AR26+AS26+AT26+AU26+AV26+AW26+AX26+AY26+AZ26+BA26+BB26+BC26+BD26+BE26+BF26+BG26+BH26</f>
        <v>0</v>
      </c>
      <c r="BM26" s="100">
        <f>W67-BL26</f>
        <v>0</v>
      </c>
      <c r="BN26" s="100">
        <f>D26+BM26</f>
        <v>5.47</v>
      </c>
      <c r="BP26" s="123"/>
    </row>
    <row r="27" spans="1:68" ht="20.100000000000001" customHeight="1">
      <c r="A27" s="19" t="s">
        <v>50</v>
      </c>
      <c r="B27" s="144" t="s">
        <v>51</v>
      </c>
      <c r="C27" s="5" t="s">
        <v>52</v>
      </c>
      <c r="D27" s="100">
        <f>#REF!</f>
        <v>0.43</v>
      </c>
      <c r="E27" s="100">
        <f t="shared" si="4"/>
        <v>0</v>
      </c>
      <c r="F27" s="100">
        <f t="shared" ref="F27:F66" si="21">G27+N27</f>
        <v>0</v>
      </c>
      <c r="G27" s="100">
        <f t="shared" si="8"/>
        <v>0</v>
      </c>
      <c r="H27" s="100">
        <f t="shared" si="12"/>
        <v>0</v>
      </c>
      <c r="I27" s="100"/>
      <c r="J27" s="100"/>
      <c r="K27" s="100"/>
      <c r="L27" s="100"/>
      <c r="M27" s="100"/>
      <c r="N27" s="100"/>
      <c r="O27" s="100"/>
      <c r="P27" s="100"/>
      <c r="Q27" s="100"/>
      <c r="R27" s="100"/>
      <c r="S27" s="100"/>
      <c r="T27" s="100"/>
      <c r="U27" s="100"/>
      <c r="V27" s="100">
        <f t="shared" si="13"/>
        <v>0.43</v>
      </c>
      <c r="W27" s="100"/>
      <c r="X27" s="100">
        <f>D27-BL27</f>
        <v>0.43</v>
      </c>
      <c r="Y27" s="100"/>
      <c r="Z27" s="100"/>
      <c r="AA27" s="100"/>
      <c r="AB27" s="100"/>
      <c r="AC27" s="100"/>
      <c r="AD27" s="100"/>
      <c r="AE27" s="100">
        <f t="shared" si="9"/>
        <v>0</v>
      </c>
      <c r="AF27" s="100"/>
      <c r="AG27" s="100"/>
      <c r="AH27" s="100"/>
      <c r="AI27" s="100"/>
      <c r="AJ27" s="100"/>
      <c r="AK27" s="100"/>
      <c r="AL27" s="100"/>
      <c r="AM27" s="100"/>
      <c r="AN27" s="100"/>
      <c r="AO27" s="100"/>
      <c r="AP27" s="100"/>
      <c r="AQ27" s="100"/>
      <c r="AR27" s="100"/>
      <c r="AS27" s="100"/>
      <c r="AT27" s="100"/>
      <c r="AU27" s="100"/>
      <c r="AV27" s="100"/>
      <c r="AW27" s="100"/>
      <c r="AX27" s="100"/>
      <c r="AY27" s="100"/>
      <c r="AZ27" s="100"/>
      <c r="BA27" s="100"/>
      <c r="BB27" s="100"/>
      <c r="BC27" s="100"/>
      <c r="BD27" s="100"/>
      <c r="BE27" s="100"/>
      <c r="BF27" s="100"/>
      <c r="BG27" s="100"/>
      <c r="BH27" s="100">
        <f t="shared" ref="BH27:BH62" si="22">BI27+BJ27+BK27</f>
        <v>0</v>
      </c>
      <c r="BI27" s="100"/>
      <c r="BJ27" s="100"/>
      <c r="BK27" s="100"/>
      <c r="BL27" s="100">
        <f>F27+W27+Y27+Z27+AA27+AB27+AC27+AD27+AE27+AQ27+AR27+AS27+AT27+AU27+AV27+AW27+AX27+AY27+AZ27+BA27+BB27+BC27+BD27+BE27+BF27+BG27+BH27</f>
        <v>0</v>
      </c>
      <c r="BM27" s="100">
        <f>X67-BL27</f>
        <v>0</v>
      </c>
      <c r="BN27" s="100">
        <f t="shared" ref="BN27:BN33" si="23">D27+BM27</f>
        <v>0.43</v>
      </c>
      <c r="BP27" s="123"/>
    </row>
    <row r="28" spans="1:68" ht="20.100000000000001" customHeight="1">
      <c r="A28" s="19" t="s">
        <v>53</v>
      </c>
      <c r="B28" s="144" t="s">
        <v>54</v>
      </c>
      <c r="C28" s="5" t="s">
        <v>55</v>
      </c>
      <c r="D28" s="100"/>
      <c r="E28" s="100">
        <f t="shared" si="4"/>
        <v>0</v>
      </c>
      <c r="F28" s="100">
        <f t="shared" si="21"/>
        <v>0</v>
      </c>
      <c r="G28" s="100">
        <f t="shared" si="8"/>
        <v>0</v>
      </c>
      <c r="H28" s="100">
        <f t="shared" si="12"/>
        <v>0</v>
      </c>
      <c r="I28" s="100"/>
      <c r="J28" s="100"/>
      <c r="K28" s="100"/>
      <c r="L28" s="100"/>
      <c r="M28" s="100"/>
      <c r="N28" s="100"/>
      <c r="O28" s="100"/>
      <c r="P28" s="100"/>
      <c r="Q28" s="100"/>
      <c r="R28" s="100"/>
      <c r="S28" s="100"/>
      <c r="T28" s="100"/>
      <c r="U28" s="100"/>
      <c r="V28" s="100">
        <f t="shared" si="13"/>
        <v>0</v>
      </c>
      <c r="W28" s="100"/>
      <c r="X28" s="100"/>
      <c r="Y28" s="100">
        <f>D28-BL28</f>
        <v>0</v>
      </c>
      <c r="Z28" s="100"/>
      <c r="AA28" s="100"/>
      <c r="AB28" s="100"/>
      <c r="AC28" s="100"/>
      <c r="AD28" s="100"/>
      <c r="AE28" s="100">
        <f t="shared" si="9"/>
        <v>0</v>
      </c>
      <c r="AF28" s="100"/>
      <c r="AG28" s="100"/>
      <c r="AH28" s="100"/>
      <c r="AI28" s="100"/>
      <c r="AJ28" s="100"/>
      <c r="AK28" s="100"/>
      <c r="AL28" s="100"/>
      <c r="AM28" s="100"/>
      <c r="AN28" s="100"/>
      <c r="AO28" s="100"/>
      <c r="AP28" s="100"/>
      <c r="AQ28" s="100"/>
      <c r="AR28" s="100"/>
      <c r="AS28" s="100"/>
      <c r="AT28" s="100"/>
      <c r="AU28" s="100"/>
      <c r="AV28" s="100"/>
      <c r="AW28" s="100"/>
      <c r="AX28" s="100"/>
      <c r="AY28" s="100"/>
      <c r="AZ28" s="100"/>
      <c r="BA28" s="100"/>
      <c r="BB28" s="100"/>
      <c r="BC28" s="100"/>
      <c r="BD28" s="100"/>
      <c r="BE28" s="100"/>
      <c r="BF28" s="100"/>
      <c r="BG28" s="100"/>
      <c r="BH28" s="100">
        <f t="shared" si="22"/>
        <v>0</v>
      </c>
      <c r="BI28" s="100"/>
      <c r="BJ28" s="100"/>
      <c r="BK28" s="100"/>
      <c r="BL28" s="100">
        <f>E28+W28+X28+Z28+AA28+AB28+AC28+AD28+AE28+AQ28+AR28+AS28+AT28+AU28+AV28+AW28+AX28+AY28+AZ28+BA28+BB28+BC28+BD28+BE28+BF28+BG28+BH28</f>
        <v>0</v>
      </c>
      <c r="BM28" s="100">
        <f>Y67-BL28</f>
        <v>0</v>
      </c>
      <c r="BN28" s="100">
        <f t="shared" si="23"/>
        <v>0</v>
      </c>
      <c r="BP28" s="123"/>
    </row>
    <row r="29" spans="1:68" ht="20.100000000000001" customHeight="1">
      <c r="A29" s="19" t="s">
        <v>56</v>
      </c>
      <c r="B29" s="144" t="s">
        <v>57</v>
      </c>
      <c r="C29" s="5" t="s">
        <v>58</v>
      </c>
      <c r="D29" s="100"/>
      <c r="E29" s="100">
        <f t="shared" si="4"/>
        <v>0</v>
      </c>
      <c r="F29" s="100">
        <f t="shared" si="21"/>
        <v>0</v>
      </c>
      <c r="G29" s="100">
        <f t="shared" si="8"/>
        <v>0</v>
      </c>
      <c r="H29" s="100">
        <f t="shared" si="12"/>
        <v>0</v>
      </c>
      <c r="I29" s="100"/>
      <c r="J29" s="100"/>
      <c r="K29" s="100"/>
      <c r="L29" s="100"/>
      <c r="M29" s="100"/>
      <c r="N29" s="100"/>
      <c r="O29" s="100"/>
      <c r="P29" s="100"/>
      <c r="Q29" s="100"/>
      <c r="R29" s="100"/>
      <c r="S29" s="100"/>
      <c r="T29" s="100"/>
      <c r="U29" s="100"/>
      <c r="V29" s="100">
        <f t="shared" si="13"/>
        <v>0</v>
      </c>
      <c r="W29" s="100"/>
      <c r="X29" s="100"/>
      <c r="Y29" s="100"/>
      <c r="Z29" s="100">
        <f>D29-BL29</f>
        <v>0</v>
      </c>
      <c r="AA29" s="100"/>
      <c r="AB29" s="100"/>
      <c r="AC29" s="100"/>
      <c r="AD29" s="100"/>
      <c r="AE29" s="100">
        <f t="shared" si="9"/>
        <v>0</v>
      </c>
      <c r="AF29" s="100"/>
      <c r="AG29" s="100"/>
      <c r="AH29" s="100"/>
      <c r="AI29" s="100"/>
      <c r="AJ29" s="100"/>
      <c r="AK29" s="100"/>
      <c r="AL29" s="100"/>
      <c r="AM29" s="100"/>
      <c r="AN29" s="100"/>
      <c r="AO29" s="100"/>
      <c r="AP29" s="100"/>
      <c r="AQ29" s="100"/>
      <c r="AR29" s="100"/>
      <c r="AS29" s="100"/>
      <c r="AT29" s="100"/>
      <c r="AU29" s="100"/>
      <c r="AV29" s="100"/>
      <c r="AW29" s="100"/>
      <c r="AX29" s="100"/>
      <c r="AY29" s="100"/>
      <c r="AZ29" s="100"/>
      <c r="BA29" s="100"/>
      <c r="BB29" s="100"/>
      <c r="BC29" s="100"/>
      <c r="BD29" s="100"/>
      <c r="BE29" s="100"/>
      <c r="BF29" s="100"/>
      <c r="BG29" s="100"/>
      <c r="BH29" s="100">
        <f t="shared" si="22"/>
        <v>0</v>
      </c>
      <c r="BI29" s="100"/>
      <c r="BJ29" s="100"/>
      <c r="BK29" s="100"/>
      <c r="BL29" s="100">
        <f>E29+W29+X29+Y29+AA29+AB29+AC29+AD29+AE29+AQ29+AR29+AS29+AT29+AU29+AV29+AW29+AX29+AY29+AZ29+BA29+BB29+BC29+BD29+BE29+BF29+BG29+BH29</f>
        <v>0</v>
      </c>
      <c r="BM29" s="100">
        <f>Z67-BL29</f>
        <v>0</v>
      </c>
      <c r="BN29" s="100">
        <f t="shared" si="23"/>
        <v>0</v>
      </c>
      <c r="BP29" s="123"/>
    </row>
    <row r="30" spans="1:68" ht="20.100000000000001" customHeight="1">
      <c r="A30" s="19" t="s">
        <v>59</v>
      </c>
      <c r="B30" s="144" t="s">
        <v>60</v>
      </c>
      <c r="C30" s="5" t="s">
        <v>61</v>
      </c>
      <c r="D30" s="100"/>
      <c r="E30" s="100">
        <f t="shared" si="4"/>
        <v>0</v>
      </c>
      <c r="F30" s="100">
        <f t="shared" si="21"/>
        <v>0</v>
      </c>
      <c r="G30" s="100">
        <f t="shared" si="8"/>
        <v>0</v>
      </c>
      <c r="H30" s="100">
        <f t="shared" si="12"/>
        <v>0</v>
      </c>
      <c r="I30" s="100"/>
      <c r="J30" s="100"/>
      <c r="K30" s="100"/>
      <c r="L30" s="100"/>
      <c r="M30" s="100"/>
      <c r="N30" s="100"/>
      <c r="O30" s="100"/>
      <c r="P30" s="100"/>
      <c r="Q30" s="100"/>
      <c r="R30" s="100"/>
      <c r="S30" s="100"/>
      <c r="T30" s="100"/>
      <c r="U30" s="100"/>
      <c r="V30" s="100">
        <f t="shared" si="13"/>
        <v>0</v>
      </c>
      <c r="W30" s="100"/>
      <c r="X30" s="100"/>
      <c r="Y30" s="100"/>
      <c r="Z30" s="100"/>
      <c r="AA30" s="100">
        <f>D30-BL30</f>
        <v>0</v>
      </c>
      <c r="AB30" s="100"/>
      <c r="AC30" s="100"/>
      <c r="AD30" s="100"/>
      <c r="AE30" s="100">
        <f t="shared" si="9"/>
        <v>0</v>
      </c>
      <c r="AF30" s="100"/>
      <c r="AG30" s="100"/>
      <c r="AH30" s="100"/>
      <c r="AI30" s="100"/>
      <c r="AJ30" s="100"/>
      <c r="AK30" s="100"/>
      <c r="AL30" s="100"/>
      <c r="AM30" s="100"/>
      <c r="AN30" s="100"/>
      <c r="AO30" s="100"/>
      <c r="AP30" s="100"/>
      <c r="AQ30" s="100"/>
      <c r="AR30" s="100"/>
      <c r="AS30" s="100"/>
      <c r="AT30" s="100"/>
      <c r="AU30" s="100"/>
      <c r="AV30" s="100"/>
      <c r="AW30" s="100"/>
      <c r="AX30" s="100"/>
      <c r="AY30" s="100"/>
      <c r="AZ30" s="100"/>
      <c r="BA30" s="100"/>
      <c r="BB30" s="100"/>
      <c r="BC30" s="100"/>
      <c r="BD30" s="100"/>
      <c r="BE30" s="100"/>
      <c r="BF30" s="100"/>
      <c r="BG30" s="100"/>
      <c r="BH30" s="100">
        <f t="shared" si="22"/>
        <v>0</v>
      </c>
      <c r="BI30" s="100"/>
      <c r="BJ30" s="100"/>
      <c r="BK30" s="100"/>
      <c r="BL30" s="100">
        <f>E30+W30+X30+Y30+Z30+AB30+AC30+AD30+AE30+AQ30+AR30+AS30+AT30+AU30+AV30+AW30+AX30+AY30+AZ30+BA30+BB30+BC30+BD30+BE30+BF30+BG30+BH30</f>
        <v>0</v>
      </c>
      <c r="BM30" s="100">
        <f>AA67-BL30</f>
        <v>0</v>
      </c>
      <c r="BN30" s="100">
        <f t="shared" si="23"/>
        <v>0</v>
      </c>
      <c r="BP30" s="123"/>
    </row>
    <row r="31" spans="1:68" ht="20.100000000000001" customHeight="1">
      <c r="A31" s="19" t="s">
        <v>62</v>
      </c>
      <c r="B31" s="144" t="s">
        <v>63</v>
      </c>
      <c r="C31" s="5" t="s">
        <v>64</v>
      </c>
      <c r="D31" s="100">
        <f>#REF!</f>
        <v>2.67</v>
      </c>
      <c r="E31" s="100">
        <f t="shared" si="4"/>
        <v>0</v>
      </c>
      <c r="F31" s="100">
        <f t="shared" si="21"/>
        <v>0</v>
      </c>
      <c r="G31" s="100">
        <f t="shared" si="8"/>
        <v>0</v>
      </c>
      <c r="H31" s="100">
        <f t="shared" si="12"/>
        <v>0</v>
      </c>
      <c r="I31" s="100"/>
      <c r="J31" s="100"/>
      <c r="K31" s="100"/>
      <c r="L31" s="100"/>
      <c r="M31" s="100"/>
      <c r="N31" s="100"/>
      <c r="O31" s="100"/>
      <c r="P31" s="100"/>
      <c r="Q31" s="100"/>
      <c r="R31" s="100"/>
      <c r="S31" s="100"/>
      <c r="T31" s="100"/>
      <c r="U31" s="100"/>
      <c r="V31" s="100">
        <f>W31+X31+Y31+Z31+AA31+AB31+AC31+AD31+AE31+AQ31+AR31+AS31+AT31+AU31+AV31+AW31+AX31+AY31+AZ31+BA31+BB31+BC31+BD31+BE31+BF31+BG31</f>
        <v>2.67</v>
      </c>
      <c r="W31" s="100"/>
      <c r="X31" s="100"/>
      <c r="Y31" s="100"/>
      <c r="Z31" s="100"/>
      <c r="AA31" s="100"/>
      <c r="AB31" s="100">
        <f>D31-BL31</f>
        <v>2.67</v>
      </c>
      <c r="AC31" s="100"/>
      <c r="AD31" s="100"/>
      <c r="AE31" s="100">
        <f t="shared" si="9"/>
        <v>0</v>
      </c>
      <c r="AF31" s="100"/>
      <c r="AG31" s="100"/>
      <c r="AH31" s="100"/>
      <c r="AI31" s="100"/>
      <c r="AJ31" s="100"/>
      <c r="AK31" s="100"/>
      <c r="AL31" s="100"/>
      <c r="AM31" s="100"/>
      <c r="AN31" s="100"/>
      <c r="AO31" s="100"/>
      <c r="AP31" s="100"/>
      <c r="AQ31" s="100"/>
      <c r="AR31" s="100"/>
      <c r="AS31" s="100"/>
      <c r="AT31" s="100"/>
      <c r="AU31" s="100"/>
      <c r="AV31" s="100"/>
      <c r="AW31" s="100"/>
      <c r="AX31" s="100"/>
      <c r="AY31" s="100"/>
      <c r="AZ31" s="100"/>
      <c r="BA31" s="100"/>
      <c r="BB31" s="100"/>
      <c r="BC31" s="100"/>
      <c r="BD31" s="100"/>
      <c r="BE31" s="100"/>
      <c r="BF31" s="100"/>
      <c r="BG31" s="100"/>
      <c r="BH31" s="100">
        <f>BI31+BJ31+BK31</f>
        <v>0</v>
      </c>
      <c r="BI31" s="100"/>
      <c r="BJ31" s="100"/>
      <c r="BK31" s="100"/>
      <c r="BL31" s="100">
        <f>E31+W31+X31+Y31+Z31+AA31+AC31+AD31+AE31+AQ31+AR31+AS31+AT31+AU31+AV31+AW31+AX31+AY31+AZ31+BA31+BB31+BC31+BD31+BE31+BF31+BG31+BH31</f>
        <v>0</v>
      </c>
      <c r="BM31" s="100">
        <f>AB67-BL31</f>
        <v>0</v>
      </c>
      <c r="BN31" s="100">
        <f t="shared" si="23"/>
        <v>2.67</v>
      </c>
      <c r="BP31" s="123"/>
    </row>
    <row r="32" spans="1:68" ht="20.100000000000001" customHeight="1">
      <c r="A32" s="19" t="s">
        <v>65</v>
      </c>
      <c r="B32" s="144" t="s">
        <v>66</v>
      </c>
      <c r="C32" s="5" t="s">
        <v>67</v>
      </c>
      <c r="D32" s="100"/>
      <c r="E32" s="100">
        <f t="shared" si="4"/>
        <v>0</v>
      </c>
      <c r="F32" s="100">
        <f t="shared" si="21"/>
        <v>0</v>
      </c>
      <c r="G32" s="100">
        <f t="shared" si="8"/>
        <v>0</v>
      </c>
      <c r="H32" s="100">
        <f t="shared" si="12"/>
        <v>0</v>
      </c>
      <c r="I32" s="100"/>
      <c r="J32" s="100"/>
      <c r="K32" s="100"/>
      <c r="L32" s="100"/>
      <c r="M32" s="100"/>
      <c r="N32" s="100"/>
      <c r="O32" s="100"/>
      <c r="P32" s="100"/>
      <c r="Q32" s="100"/>
      <c r="R32" s="100"/>
      <c r="S32" s="100"/>
      <c r="T32" s="100"/>
      <c r="U32" s="100"/>
      <c r="V32" s="100">
        <f t="shared" si="13"/>
        <v>0</v>
      </c>
      <c r="W32" s="100"/>
      <c r="X32" s="100"/>
      <c r="Y32" s="100"/>
      <c r="Z32" s="100"/>
      <c r="AA32" s="100"/>
      <c r="AB32" s="100"/>
      <c r="AC32" s="100">
        <f>D32-BL32</f>
        <v>0</v>
      </c>
      <c r="AD32" s="100"/>
      <c r="AE32" s="100">
        <f t="shared" si="9"/>
        <v>0</v>
      </c>
      <c r="AF32" s="100"/>
      <c r="AG32" s="100"/>
      <c r="AH32" s="100"/>
      <c r="AI32" s="100"/>
      <c r="AJ32" s="100"/>
      <c r="AK32" s="100"/>
      <c r="AL32" s="100"/>
      <c r="AM32" s="100"/>
      <c r="AN32" s="100"/>
      <c r="AO32" s="100"/>
      <c r="AP32" s="100"/>
      <c r="AQ32" s="100"/>
      <c r="AR32" s="100"/>
      <c r="AS32" s="100"/>
      <c r="AT32" s="100"/>
      <c r="AU32" s="100"/>
      <c r="AV32" s="100"/>
      <c r="AW32" s="100"/>
      <c r="AX32" s="100"/>
      <c r="AY32" s="100"/>
      <c r="AZ32" s="100"/>
      <c r="BA32" s="100"/>
      <c r="BB32" s="100"/>
      <c r="BC32" s="100"/>
      <c r="BD32" s="100"/>
      <c r="BE32" s="100"/>
      <c r="BF32" s="100"/>
      <c r="BG32" s="100"/>
      <c r="BH32" s="100">
        <f t="shared" si="22"/>
        <v>0</v>
      </c>
      <c r="BI32" s="100"/>
      <c r="BJ32" s="100"/>
      <c r="BK32" s="100"/>
      <c r="BL32" s="100">
        <f>E32+W32+X32+Y32+Z32+AA32+AB32+AD32+AE32+AQ32+AR32+AS32+AT32+AU32+AV32+AW32+AX32+AY32+AZ32+BA32+BB32+BC32+BD32+BE32+BF32+BG32+BH32</f>
        <v>0</v>
      </c>
      <c r="BM32" s="100">
        <f>AC67-BL32</f>
        <v>0</v>
      </c>
      <c r="BN32" s="100">
        <f t="shared" si="23"/>
        <v>0</v>
      </c>
      <c r="BP32" s="123"/>
    </row>
    <row r="33" spans="1:68" ht="20.100000000000001" customHeight="1">
      <c r="A33" s="19" t="s">
        <v>68</v>
      </c>
      <c r="B33" s="144" t="s">
        <v>69</v>
      </c>
      <c r="C33" s="5" t="s">
        <v>70</v>
      </c>
      <c r="D33" s="100"/>
      <c r="E33" s="100">
        <f t="shared" si="4"/>
        <v>0</v>
      </c>
      <c r="F33" s="100">
        <f t="shared" si="21"/>
        <v>0</v>
      </c>
      <c r="G33" s="100">
        <f t="shared" si="8"/>
        <v>0</v>
      </c>
      <c r="H33" s="100">
        <f t="shared" si="12"/>
        <v>0</v>
      </c>
      <c r="I33" s="100"/>
      <c r="J33" s="100"/>
      <c r="K33" s="100"/>
      <c r="L33" s="100"/>
      <c r="M33" s="100"/>
      <c r="N33" s="100"/>
      <c r="O33" s="100"/>
      <c r="P33" s="100"/>
      <c r="Q33" s="100"/>
      <c r="R33" s="100"/>
      <c r="S33" s="100"/>
      <c r="T33" s="100"/>
      <c r="U33" s="100"/>
      <c r="V33" s="100">
        <f t="shared" si="13"/>
        <v>0</v>
      </c>
      <c r="W33" s="100"/>
      <c r="X33" s="100"/>
      <c r="Y33" s="100"/>
      <c r="Z33" s="100"/>
      <c r="AA33" s="100"/>
      <c r="AB33" s="100"/>
      <c r="AC33" s="100"/>
      <c r="AD33" s="100">
        <f>D33-BL33</f>
        <v>0</v>
      </c>
      <c r="AE33" s="100">
        <f t="shared" si="9"/>
        <v>0</v>
      </c>
      <c r="AF33" s="100"/>
      <c r="AG33" s="100"/>
      <c r="AH33" s="100"/>
      <c r="AI33" s="100"/>
      <c r="AJ33" s="100"/>
      <c r="AK33" s="100"/>
      <c r="AL33" s="100"/>
      <c r="AM33" s="100"/>
      <c r="AN33" s="100"/>
      <c r="AO33" s="100"/>
      <c r="AP33" s="100"/>
      <c r="AQ33" s="100"/>
      <c r="AR33" s="100"/>
      <c r="AS33" s="100"/>
      <c r="AT33" s="100"/>
      <c r="AU33" s="100"/>
      <c r="AV33" s="100"/>
      <c r="AW33" s="100"/>
      <c r="AX33" s="100"/>
      <c r="AY33" s="100"/>
      <c r="AZ33" s="100"/>
      <c r="BA33" s="100"/>
      <c r="BB33" s="100"/>
      <c r="BC33" s="100"/>
      <c r="BD33" s="100"/>
      <c r="BE33" s="100"/>
      <c r="BF33" s="100"/>
      <c r="BG33" s="100"/>
      <c r="BH33" s="100">
        <f t="shared" si="22"/>
        <v>0</v>
      </c>
      <c r="BI33" s="100"/>
      <c r="BJ33" s="100"/>
      <c r="BK33" s="100"/>
      <c r="BL33" s="100">
        <f>E33+W33+X33+Y33+Z33+AA33+AB33+AC33+AE33+AQ33+AR33+AS33+AT33+AU33+AV33+AW33+AX33+AY33+AZ33+BA33+BB33+BC33+BD33+BE33+BF33+BG33+BH33</f>
        <v>0</v>
      </c>
      <c r="BM33" s="100">
        <f>AD67-BL33</f>
        <v>0</v>
      </c>
      <c r="BN33" s="100">
        <f t="shared" si="23"/>
        <v>0</v>
      </c>
      <c r="BP33" s="123"/>
    </row>
    <row r="34" spans="1:68" ht="40.5" customHeight="1">
      <c r="A34" s="19" t="s">
        <v>71</v>
      </c>
      <c r="B34" s="144" t="s">
        <v>135</v>
      </c>
      <c r="C34" s="5" t="s">
        <v>72</v>
      </c>
      <c r="D34" s="100">
        <f>SUM(D35:D45)</f>
        <v>29.960000000000004</v>
      </c>
      <c r="E34" s="100">
        <f>SUM(E35:E45)</f>
        <v>0</v>
      </c>
      <c r="F34" s="100">
        <f t="shared" ref="F34:U34" si="24">SUM(F35:F45)</f>
        <v>0</v>
      </c>
      <c r="G34" s="100">
        <f t="shared" si="24"/>
        <v>0</v>
      </c>
      <c r="H34" s="100">
        <f t="shared" si="24"/>
        <v>0</v>
      </c>
      <c r="I34" s="100">
        <f t="shared" si="24"/>
        <v>0</v>
      </c>
      <c r="J34" s="100">
        <f t="shared" si="24"/>
        <v>0</v>
      </c>
      <c r="K34" s="100">
        <f t="shared" si="24"/>
        <v>0</v>
      </c>
      <c r="L34" s="100">
        <f t="shared" si="24"/>
        <v>0</v>
      </c>
      <c r="M34" s="100">
        <f t="shared" si="24"/>
        <v>0</v>
      </c>
      <c r="N34" s="100">
        <f t="shared" si="24"/>
        <v>0</v>
      </c>
      <c r="O34" s="100">
        <f t="shared" si="24"/>
        <v>0</v>
      </c>
      <c r="P34" s="100">
        <f t="shared" si="24"/>
        <v>0</v>
      </c>
      <c r="Q34" s="100">
        <f t="shared" si="24"/>
        <v>0</v>
      </c>
      <c r="R34" s="100">
        <f t="shared" si="24"/>
        <v>0</v>
      </c>
      <c r="S34" s="100">
        <f t="shared" si="24"/>
        <v>0</v>
      </c>
      <c r="T34" s="100">
        <f t="shared" si="24"/>
        <v>0</v>
      </c>
      <c r="U34" s="100">
        <f t="shared" si="24"/>
        <v>0</v>
      </c>
      <c r="V34" s="100">
        <f>SUM(V35:V45)</f>
        <v>29.590000000000003</v>
      </c>
      <c r="W34" s="100">
        <f t="shared" ref="W34:AD34" si="25">SUM(W35:W45)</f>
        <v>0</v>
      </c>
      <c r="X34" s="100">
        <f t="shared" si="25"/>
        <v>0</v>
      </c>
      <c r="Y34" s="100">
        <f t="shared" si="25"/>
        <v>0</v>
      </c>
      <c r="Z34" s="100">
        <f t="shared" si="25"/>
        <v>0</v>
      </c>
      <c r="AA34" s="100">
        <f t="shared" si="25"/>
        <v>0</v>
      </c>
      <c r="AB34" s="100">
        <f t="shared" si="25"/>
        <v>0</v>
      </c>
      <c r="AC34" s="100">
        <f t="shared" si="25"/>
        <v>0</v>
      </c>
      <c r="AD34" s="100">
        <f t="shared" si="25"/>
        <v>0</v>
      </c>
      <c r="AE34" s="100">
        <f>D34-BL34</f>
        <v>29.960000000000004</v>
      </c>
      <c r="AF34" s="100">
        <f>SUM(AF35:AF45)</f>
        <v>2.35</v>
      </c>
      <c r="AG34" s="100">
        <f t="shared" ref="AG34:BE34" si="26">SUM(AG35:AG45)</f>
        <v>0.02</v>
      </c>
      <c r="AH34" s="100">
        <f t="shared" si="26"/>
        <v>1.95</v>
      </c>
      <c r="AI34" s="100">
        <f t="shared" si="26"/>
        <v>0</v>
      </c>
      <c r="AJ34" s="100">
        <f t="shared" si="26"/>
        <v>0</v>
      </c>
      <c r="AK34" s="100">
        <f t="shared" si="26"/>
        <v>0</v>
      </c>
      <c r="AL34" s="100">
        <f t="shared" si="26"/>
        <v>22.84</v>
      </c>
      <c r="AM34" s="100">
        <f t="shared" si="26"/>
        <v>1.66</v>
      </c>
      <c r="AN34" s="100">
        <f t="shared" si="26"/>
        <v>0</v>
      </c>
      <c r="AO34" s="100">
        <f t="shared" si="26"/>
        <v>0.17</v>
      </c>
      <c r="AP34" s="100">
        <f t="shared" si="26"/>
        <v>0.6</v>
      </c>
      <c r="AQ34" s="100">
        <f t="shared" si="26"/>
        <v>0</v>
      </c>
      <c r="AR34" s="100">
        <f t="shared" si="26"/>
        <v>0</v>
      </c>
      <c r="AS34" s="100">
        <f t="shared" si="26"/>
        <v>0</v>
      </c>
      <c r="AT34" s="100">
        <f t="shared" si="26"/>
        <v>0</v>
      </c>
      <c r="AU34" s="100">
        <f t="shared" si="26"/>
        <v>0</v>
      </c>
      <c r="AV34" s="100">
        <f t="shared" si="26"/>
        <v>0</v>
      </c>
      <c r="AW34" s="100">
        <f t="shared" si="26"/>
        <v>0</v>
      </c>
      <c r="AX34" s="100">
        <f t="shared" si="26"/>
        <v>0</v>
      </c>
      <c r="AY34" s="100">
        <f t="shared" si="26"/>
        <v>0</v>
      </c>
      <c r="AZ34" s="100">
        <f t="shared" si="26"/>
        <v>0</v>
      </c>
      <c r="BA34" s="100">
        <f t="shared" si="26"/>
        <v>0</v>
      </c>
      <c r="BB34" s="100">
        <f t="shared" si="26"/>
        <v>0</v>
      </c>
      <c r="BC34" s="100">
        <f t="shared" si="26"/>
        <v>0</v>
      </c>
      <c r="BD34" s="100">
        <f t="shared" si="26"/>
        <v>0</v>
      </c>
      <c r="BE34" s="100">
        <f t="shared" si="26"/>
        <v>0</v>
      </c>
      <c r="BF34" s="100">
        <f>SUM(BF35:BF45)</f>
        <v>0</v>
      </c>
      <c r="BG34" s="100">
        <f>SUM(BG35:BG45)</f>
        <v>0</v>
      </c>
      <c r="BH34" s="100">
        <f>BI34+BJ34+BK34</f>
        <v>0</v>
      </c>
      <c r="BI34" s="100">
        <f>SUM(BI35:BI45)</f>
        <v>0</v>
      </c>
      <c r="BJ34" s="100">
        <f>SUM(BJ35:BJ45)</f>
        <v>0</v>
      </c>
      <c r="BK34" s="100">
        <f>SUM(BK35:BK45)</f>
        <v>0</v>
      </c>
      <c r="BL34" s="100">
        <f>E34+W34+X34+Y34+Z34+AA34+AB34+AC34+AQ34+AR34+AS34+AT34+AU34+AV34+AW34+AX34+AY34+AZ34+BA34+BB34+BC34+BD34+BE34+BF34+BG34+BH34</f>
        <v>0</v>
      </c>
      <c r="BM34" s="100">
        <f>AE67-BL34</f>
        <v>0</v>
      </c>
      <c r="BN34" s="100">
        <f>SUM(BN35:BN45)</f>
        <v>29.960000000000004</v>
      </c>
      <c r="BP34" s="123"/>
    </row>
    <row r="35" spans="1:68" ht="20.100000000000001" customHeight="1">
      <c r="A35" s="14" t="s">
        <v>224</v>
      </c>
      <c r="B35" s="143" t="s">
        <v>478</v>
      </c>
      <c r="C35" s="5" t="s">
        <v>202</v>
      </c>
      <c r="D35" s="100">
        <f>#REF!</f>
        <v>2.35</v>
      </c>
      <c r="E35" s="100">
        <f t="shared" si="4"/>
        <v>0</v>
      </c>
      <c r="F35" s="100">
        <f t="shared" si="21"/>
        <v>0</v>
      </c>
      <c r="G35" s="100">
        <f t="shared" si="8"/>
        <v>0</v>
      </c>
      <c r="H35" s="100">
        <f t="shared" si="12"/>
        <v>0</v>
      </c>
      <c r="I35" s="100"/>
      <c r="J35" s="100"/>
      <c r="K35" s="100"/>
      <c r="L35" s="100"/>
      <c r="M35" s="100"/>
      <c r="N35" s="100"/>
      <c r="O35" s="100"/>
      <c r="P35" s="100"/>
      <c r="Q35" s="100"/>
      <c r="R35" s="100"/>
      <c r="S35" s="100"/>
      <c r="T35" s="100"/>
      <c r="U35" s="100"/>
      <c r="V35" s="100">
        <f t="shared" si="13"/>
        <v>2.35</v>
      </c>
      <c r="W35" s="100"/>
      <c r="X35" s="100"/>
      <c r="Y35" s="100"/>
      <c r="Z35" s="100"/>
      <c r="AA35" s="100"/>
      <c r="AB35" s="100"/>
      <c r="AC35" s="100"/>
      <c r="AD35" s="100"/>
      <c r="AE35" s="100">
        <f>SUM(AF35:AP35)</f>
        <v>2.35</v>
      </c>
      <c r="AF35" s="100">
        <f>D35-BL35</f>
        <v>2.35</v>
      </c>
      <c r="AG35" s="100"/>
      <c r="AH35" s="100"/>
      <c r="AI35" s="100"/>
      <c r="AJ35" s="100"/>
      <c r="AK35" s="100"/>
      <c r="AL35" s="100"/>
      <c r="AM35" s="100"/>
      <c r="AN35" s="100"/>
      <c r="AO35" s="100"/>
      <c r="AP35" s="100"/>
      <c r="AQ35" s="100"/>
      <c r="AR35" s="100"/>
      <c r="AS35" s="100"/>
      <c r="AT35" s="100"/>
      <c r="AU35" s="100"/>
      <c r="AV35" s="100"/>
      <c r="AW35" s="100"/>
      <c r="AX35" s="100"/>
      <c r="AY35" s="100"/>
      <c r="AZ35" s="100"/>
      <c r="BA35" s="100"/>
      <c r="BB35" s="100"/>
      <c r="BC35" s="100"/>
      <c r="BD35" s="100"/>
      <c r="BE35" s="100"/>
      <c r="BF35" s="100"/>
      <c r="BG35" s="100"/>
      <c r="BH35" s="100">
        <f t="shared" si="22"/>
        <v>0</v>
      </c>
      <c r="BI35" s="100"/>
      <c r="BJ35" s="100"/>
      <c r="BK35" s="100"/>
      <c r="BL35" s="100">
        <f>E35+W35+X35+Y35+Z35+AA35+AB35+AC35+AD35+AG35+AH35+AI35+AJ35+AK35+AL35+AM35+AN35+AO35+AP35+AQ35+AR35+AS35+AT35+AU35+AV35+AW35+AX35+AY35+AZ35+BA35+BB35+BC35+BD35</f>
        <v>0</v>
      </c>
      <c r="BM35" s="100">
        <f>AF67-BL35</f>
        <v>0</v>
      </c>
      <c r="BN35" s="100">
        <f>D35+BM35</f>
        <v>2.35</v>
      </c>
      <c r="BP35" s="123"/>
    </row>
    <row r="36" spans="1:68" ht="20.100000000000001" customHeight="1">
      <c r="A36" s="14" t="s">
        <v>225</v>
      </c>
      <c r="B36" s="143" t="s">
        <v>479</v>
      </c>
      <c r="C36" s="5" t="s">
        <v>203</v>
      </c>
      <c r="D36" s="100">
        <f>#REF!</f>
        <v>0.02</v>
      </c>
      <c r="E36" s="100">
        <f t="shared" si="4"/>
        <v>0</v>
      </c>
      <c r="F36" s="100">
        <f t="shared" si="21"/>
        <v>0</v>
      </c>
      <c r="G36" s="100">
        <f t="shared" si="8"/>
        <v>0</v>
      </c>
      <c r="H36" s="100">
        <f t="shared" si="12"/>
        <v>0</v>
      </c>
      <c r="I36" s="100"/>
      <c r="J36" s="100"/>
      <c r="K36" s="100"/>
      <c r="L36" s="100"/>
      <c r="M36" s="100"/>
      <c r="N36" s="100"/>
      <c r="O36" s="100"/>
      <c r="P36" s="100"/>
      <c r="Q36" s="100"/>
      <c r="R36" s="100"/>
      <c r="S36" s="100"/>
      <c r="T36" s="100"/>
      <c r="U36" s="100"/>
      <c r="V36" s="100">
        <f t="shared" si="13"/>
        <v>0.02</v>
      </c>
      <c r="W36" s="100"/>
      <c r="X36" s="100"/>
      <c r="Y36" s="100"/>
      <c r="Z36" s="100"/>
      <c r="AA36" s="100"/>
      <c r="AB36" s="100"/>
      <c r="AC36" s="100"/>
      <c r="AD36" s="100"/>
      <c r="AE36" s="100">
        <f t="shared" ref="AE36:AE66" si="27">SUM(AF36:AP36)</f>
        <v>0.02</v>
      </c>
      <c r="AF36" s="100"/>
      <c r="AG36" s="100">
        <f>D36-BL36</f>
        <v>0.02</v>
      </c>
      <c r="AH36" s="100"/>
      <c r="AI36" s="100"/>
      <c r="AJ36" s="100"/>
      <c r="AK36" s="100"/>
      <c r="AL36" s="100"/>
      <c r="AM36" s="100"/>
      <c r="AN36" s="100"/>
      <c r="AO36" s="100"/>
      <c r="AP36" s="100"/>
      <c r="AQ36" s="100"/>
      <c r="AR36" s="100"/>
      <c r="AS36" s="100"/>
      <c r="AT36" s="100"/>
      <c r="AU36" s="100"/>
      <c r="AV36" s="100"/>
      <c r="AW36" s="100"/>
      <c r="AX36" s="100"/>
      <c r="AY36" s="100"/>
      <c r="AZ36" s="100"/>
      <c r="BA36" s="100"/>
      <c r="BB36" s="100"/>
      <c r="BC36" s="100"/>
      <c r="BD36" s="100"/>
      <c r="BE36" s="100"/>
      <c r="BF36" s="100"/>
      <c r="BG36" s="100"/>
      <c r="BH36" s="100">
        <f t="shared" si="22"/>
        <v>0</v>
      </c>
      <c r="BI36" s="100"/>
      <c r="BJ36" s="100"/>
      <c r="BK36" s="100"/>
      <c r="BL36" s="100">
        <f>E36+W36+X36+Y36+Z36+AA36+AB36+AC36+AD36+AF36+AH36+AI36+AJ36+AK36+AL36+AM36+AN36+AO36+AP36+AQ36+AR36+AS36+AT36+AU36+AV36+AW36+AX36+AY36+AZ36+BA36+BB36+BC36+BD36+BE36+BF36+BG36+BH36</f>
        <v>0</v>
      </c>
      <c r="BM36" s="100">
        <f>AG67-BL36</f>
        <v>0</v>
      </c>
      <c r="BN36" s="100">
        <f t="shared" ref="BN36:BN45" si="28">D36+BM36</f>
        <v>0.02</v>
      </c>
      <c r="BP36" s="123"/>
    </row>
    <row r="37" spans="1:68" ht="20.100000000000001" customHeight="1">
      <c r="A37" s="14" t="s">
        <v>226</v>
      </c>
      <c r="B37" s="143" t="s">
        <v>480</v>
      </c>
      <c r="C37" s="5" t="s">
        <v>204</v>
      </c>
      <c r="D37" s="100">
        <f>#REF!</f>
        <v>1.95</v>
      </c>
      <c r="E37" s="100">
        <f t="shared" si="4"/>
        <v>0</v>
      </c>
      <c r="F37" s="100">
        <f t="shared" si="21"/>
        <v>0</v>
      </c>
      <c r="G37" s="100">
        <f t="shared" si="8"/>
        <v>0</v>
      </c>
      <c r="H37" s="100">
        <f t="shared" si="12"/>
        <v>0</v>
      </c>
      <c r="I37" s="100"/>
      <c r="J37" s="100"/>
      <c r="K37" s="100"/>
      <c r="L37" s="100"/>
      <c r="M37" s="100"/>
      <c r="N37" s="100"/>
      <c r="O37" s="100"/>
      <c r="P37" s="100"/>
      <c r="Q37" s="100"/>
      <c r="R37" s="100"/>
      <c r="S37" s="100"/>
      <c r="T37" s="100"/>
      <c r="U37" s="100"/>
      <c r="V37" s="100">
        <f t="shared" si="13"/>
        <v>1.95</v>
      </c>
      <c r="W37" s="100"/>
      <c r="X37" s="100"/>
      <c r="Y37" s="100"/>
      <c r="Z37" s="100"/>
      <c r="AA37" s="100"/>
      <c r="AB37" s="100"/>
      <c r="AC37" s="100"/>
      <c r="AD37" s="100"/>
      <c r="AE37" s="100">
        <f t="shared" si="27"/>
        <v>1.95</v>
      </c>
      <c r="AF37" s="100"/>
      <c r="AG37" s="100"/>
      <c r="AH37" s="100">
        <f>D37-BL37</f>
        <v>1.95</v>
      </c>
      <c r="AI37" s="100"/>
      <c r="AJ37" s="100"/>
      <c r="AK37" s="100"/>
      <c r="AL37" s="100"/>
      <c r="AM37" s="100"/>
      <c r="AN37" s="100"/>
      <c r="AO37" s="100"/>
      <c r="AP37" s="100"/>
      <c r="AQ37" s="100"/>
      <c r="AR37" s="100"/>
      <c r="AS37" s="100"/>
      <c r="AT37" s="100"/>
      <c r="AU37" s="100"/>
      <c r="AV37" s="100"/>
      <c r="AW37" s="100"/>
      <c r="AX37" s="100"/>
      <c r="AY37" s="100"/>
      <c r="AZ37" s="100"/>
      <c r="BA37" s="100"/>
      <c r="BB37" s="100"/>
      <c r="BC37" s="100"/>
      <c r="BD37" s="100"/>
      <c r="BE37" s="100"/>
      <c r="BF37" s="100"/>
      <c r="BG37" s="100"/>
      <c r="BH37" s="100">
        <f t="shared" si="22"/>
        <v>0</v>
      </c>
      <c r="BI37" s="100"/>
      <c r="BJ37" s="100"/>
      <c r="BK37" s="100"/>
      <c r="BL37" s="100">
        <f>E37+W37+X37+Y37+Z37+AA37+AB37+AC37+AD37+AF37+AG37+AI37+AJ37+AK37+AL37+AM37+AN37+AO37+AP37+AQ37+AR37+AS37+AT37+AU37+AV37+AW37+AX37+AY37+AZ37+BA37+BB37+BC37+BD37+BE37+BF37+BG37+BH37</f>
        <v>0</v>
      </c>
      <c r="BM37" s="100">
        <f>AH67-BL37</f>
        <v>0</v>
      </c>
      <c r="BN37" s="100">
        <f t="shared" si="28"/>
        <v>1.95</v>
      </c>
      <c r="BP37" s="123"/>
    </row>
    <row r="38" spans="1:68" ht="20.100000000000001" customHeight="1">
      <c r="A38" s="14" t="s">
        <v>227</v>
      </c>
      <c r="B38" s="143" t="s">
        <v>481</v>
      </c>
      <c r="C38" s="5" t="s">
        <v>205</v>
      </c>
      <c r="D38" s="100">
        <f>#REF!</f>
        <v>0.37</v>
      </c>
      <c r="E38" s="100">
        <f t="shared" si="4"/>
        <v>0</v>
      </c>
      <c r="F38" s="100">
        <f t="shared" si="21"/>
        <v>0</v>
      </c>
      <c r="G38" s="100">
        <f t="shared" si="8"/>
        <v>0</v>
      </c>
      <c r="H38" s="100">
        <f t="shared" si="12"/>
        <v>0</v>
      </c>
      <c r="I38" s="100"/>
      <c r="J38" s="100"/>
      <c r="K38" s="100"/>
      <c r="L38" s="100"/>
      <c r="M38" s="100"/>
      <c r="N38" s="100"/>
      <c r="O38" s="100"/>
      <c r="P38" s="100"/>
      <c r="Q38" s="100"/>
      <c r="R38" s="100"/>
      <c r="S38" s="100"/>
      <c r="T38" s="100"/>
      <c r="U38" s="100"/>
      <c r="V38" s="100">
        <f t="shared" si="13"/>
        <v>0</v>
      </c>
      <c r="W38" s="100"/>
      <c r="X38" s="100"/>
      <c r="Y38" s="100"/>
      <c r="Z38" s="100"/>
      <c r="AA38" s="100"/>
      <c r="AB38" s="100"/>
      <c r="AC38" s="100"/>
      <c r="AD38" s="100"/>
      <c r="AE38" s="100">
        <f t="shared" si="27"/>
        <v>0</v>
      </c>
      <c r="AF38" s="100"/>
      <c r="AG38" s="100"/>
      <c r="AH38" s="100"/>
      <c r="AI38" s="100"/>
      <c r="AJ38" s="100"/>
      <c r="AK38" s="100"/>
      <c r="AL38" s="100"/>
      <c r="AM38" s="100"/>
      <c r="AN38" s="100"/>
      <c r="AO38" s="100"/>
      <c r="AP38" s="100"/>
      <c r="AQ38" s="100"/>
      <c r="AR38" s="100"/>
      <c r="AS38" s="100"/>
      <c r="AT38" s="100"/>
      <c r="AU38" s="100"/>
      <c r="AV38" s="100"/>
      <c r="AW38" s="100"/>
      <c r="AX38" s="100"/>
      <c r="AY38" s="100"/>
      <c r="AZ38" s="100"/>
      <c r="BA38" s="100"/>
      <c r="BB38" s="100"/>
      <c r="BC38" s="100"/>
      <c r="BD38" s="100"/>
      <c r="BE38" s="100"/>
      <c r="BF38" s="100"/>
      <c r="BG38" s="100"/>
      <c r="BH38" s="100">
        <f t="shared" si="22"/>
        <v>0</v>
      </c>
      <c r="BI38" s="100"/>
      <c r="BJ38" s="100"/>
      <c r="BK38" s="100"/>
      <c r="BL38" s="100">
        <f>E38+W38+X38+Y38+Z38+AA38+AB38+AC38+AD38+AF38+AG38+AH38+AJ38+AK38+AL38+AM38+AN38+AO38+AP38+AQ38+AR38+AS38+AT38+AU38+AV38+AW38+AX38+AY38+AZ38+BA38+BB38+BC38+BD38+BE38+BF38+BG38+BH38</f>
        <v>0</v>
      </c>
      <c r="BM38" s="100">
        <f>AI67-BL38</f>
        <v>0</v>
      </c>
      <c r="BN38" s="100">
        <f t="shared" si="28"/>
        <v>0.37</v>
      </c>
      <c r="BP38" s="123"/>
    </row>
    <row r="39" spans="1:68" ht="20.100000000000001" customHeight="1">
      <c r="A39" s="14" t="s">
        <v>228</v>
      </c>
      <c r="B39" s="143" t="s">
        <v>482</v>
      </c>
      <c r="C39" s="5" t="s">
        <v>206</v>
      </c>
      <c r="D39" s="100"/>
      <c r="E39" s="100">
        <f t="shared" si="4"/>
        <v>0</v>
      </c>
      <c r="F39" s="100">
        <f t="shared" si="21"/>
        <v>0</v>
      </c>
      <c r="G39" s="100">
        <f t="shared" si="8"/>
        <v>0</v>
      </c>
      <c r="H39" s="100">
        <f t="shared" si="12"/>
        <v>0</v>
      </c>
      <c r="I39" s="100"/>
      <c r="J39" s="100"/>
      <c r="K39" s="100"/>
      <c r="L39" s="100"/>
      <c r="M39" s="100"/>
      <c r="N39" s="100"/>
      <c r="O39" s="100"/>
      <c r="P39" s="100"/>
      <c r="Q39" s="100"/>
      <c r="R39" s="100"/>
      <c r="S39" s="100"/>
      <c r="T39" s="100"/>
      <c r="U39" s="100"/>
      <c r="V39" s="100">
        <f t="shared" si="13"/>
        <v>0</v>
      </c>
      <c r="W39" s="100"/>
      <c r="X39" s="100"/>
      <c r="Y39" s="100"/>
      <c r="Z39" s="100"/>
      <c r="AA39" s="100"/>
      <c r="AB39" s="100"/>
      <c r="AC39" s="100"/>
      <c r="AD39" s="100"/>
      <c r="AE39" s="100">
        <f t="shared" si="27"/>
        <v>0</v>
      </c>
      <c r="AF39" s="100"/>
      <c r="AG39" s="100"/>
      <c r="AH39" s="100"/>
      <c r="AI39" s="100"/>
      <c r="AJ39" s="100">
        <f>D39-BL39</f>
        <v>0</v>
      </c>
      <c r="AK39" s="100"/>
      <c r="AL39" s="100"/>
      <c r="AM39" s="100"/>
      <c r="AN39" s="100"/>
      <c r="AO39" s="100"/>
      <c r="AP39" s="100"/>
      <c r="AQ39" s="100"/>
      <c r="AR39" s="100"/>
      <c r="AS39" s="100"/>
      <c r="AT39" s="100"/>
      <c r="AU39" s="100"/>
      <c r="AV39" s="100"/>
      <c r="AW39" s="100"/>
      <c r="AX39" s="100"/>
      <c r="AY39" s="100"/>
      <c r="AZ39" s="100"/>
      <c r="BA39" s="100"/>
      <c r="BB39" s="100"/>
      <c r="BC39" s="100"/>
      <c r="BD39" s="100"/>
      <c r="BE39" s="100"/>
      <c r="BF39" s="100"/>
      <c r="BG39" s="100"/>
      <c r="BH39" s="100">
        <f t="shared" si="22"/>
        <v>0</v>
      </c>
      <c r="BI39" s="100"/>
      <c r="BJ39" s="100"/>
      <c r="BK39" s="100"/>
      <c r="BL39" s="100">
        <f>E39+W39+X39+Y39+Z39+AA39+AB39+AC39+AD39+AQ39+AR39+AS39+AT39+AU39+AV39+AW39+AX39+AY39+AZ39+BA39+BB39+BC39+BD39+BE39+BF39+BG39+BH39+AF39+AG39+AH39+AI39+AK39+AL39+AM39+AN39+AO39+AP39</f>
        <v>0</v>
      </c>
      <c r="BM39" s="100">
        <f>AJ67-BL39</f>
        <v>0</v>
      </c>
      <c r="BN39" s="100">
        <f t="shared" si="28"/>
        <v>0</v>
      </c>
      <c r="BP39" s="123"/>
    </row>
    <row r="40" spans="1:68" ht="20.100000000000001" customHeight="1">
      <c r="A40" s="14" t="s">
        <v>229</v>
      </c>
      <c r="B40" s="143" t="s">
        <v>483</v>
      </c>
      <c r="C40" s="5" t="s">
        <v>207</v>
      </c>
      <c r="D40" s="100"/>
      <c r="E40" s="100">
        <f t="shared" si="4"/>
        <v>0</v>
      </c>
      <c r="F40" s="100">
        <f t="shared" si="21"/>
        <v>0</v>
      </c>
      <c r="G40" s="100">
        <f t="shared" si="8"/>
        <v>0</v>
      </c>
      <c r="H40" s="100">
        <f t="shared" si="12"/>
        <v>0</v>
      </c>
      <c r="I40" s="100"/>
      <c r="J40" s="100"/>
      <c r="K40" s="100"/>
      <c r="L40" s="100"/>
      <c r="M40" s="100"/>
      <c r="N40" s="100"/>
      <c r="O40" s="100"/>
      <c r="P40" s="100"/>
      <c r="Q40" s="100"/>
      <c r="R40" s="100"/>
      <c r="S40" s="100"/>
      <c r="T40" s="100"/>
      <c r="U40" s="100"/>
      <c r="V40" s="100">
        <f t="shared" si="13"/>
        <v>0</v>
      </c>
      <c r="W40" s="100"/>
      <c r="X40" s="100"/>
      <c r="Y40" s="100"/>
      <c r="Z40" s="100"/>
      <c r="AA40" s="100"/>
      <c r="AB40" s="100"/>
      <c r="AC40" s="100"/>
      <c r="AD40" s="100"/>
      <c r="AE40" s="100">
        <f t="shared" si="27"/>
        <v>0</v>
      </c>
      <c r="AF40" s="100"/>
      <c r="AG40" s="100"/>
      <c r="AH40" s="100"/>
      <c r="AI40" s="100"/>
      <c r="AJ40" s="100"/>
      <c r="AK40" s="100">
        <f>D40-BL40</f>
        <v>0</v>
      </c>
      <c r="AL40" s="100"/>
      <c r="AM40" s="100"/>
      <c r="AN40" s="100"/>
      <c r="AO40" s="100"/>
      <c r="AP40" s="100"/>
      <c r="AQ40" s="100"/>
      <c r="AR40" s="100"/>
      <c r="AS40" s="100"/>
      <c r="AT40" s="100"/>
      <c r="AU40" s="100"/>
      <c r="AV40" s="100"/>
      <c r="AW40" s="100"/>
      <c r="AX40" s="100"/>
      <c r="AY40" s="100"/>
      <c r="AZ40" s="100"/>
      <c r="BA40" s="100"/>
      <c r="BB40" s="100"/>
      <c r="BC40" s="100"/>
      <c r="BD40" s="100"/>
      <c r="BE40" s="100"/>
      <c r="BF40" s="100"/>
      <c r="BG40" s="100"/>
      <c r="BH40" s="100">
        <f t="shared" si="22"/>
        <v>0</v>
      </c>
      <c r="BI40" s="100"/>
      <c r="BJ40" s="100"/>
      <c r="BK40" s="100"/>
      <c r="BL40" s="100">
        <f>E40+W40+X40+Y40+Z40+AA40+AB40+AC40+AD40+AF40+AG40+AH40+AI40+AJ40+AL40+AM40+AN40+AO40+AP40+AQ40+AR40+AS40+AT40+AU40+AV40+AW40+AX40+AY40+AZ40+BA40+BB40+BC40+BD40+BE40+BF40+BG40+BH40</f>
        <v>0</v>
      </c>
      <c r="BM40" s="100">
        <f>AK67-BL40</f>
        <v>0</v>
      </c>
      <c r="BN40" s="100">
        <f t="shared" si="28"/>
        <v>0</v>
      </c>
      <c r="BP40" s="123"/>
    </row>
    <row r="41" spans="1:68" ht="20.100000000000001" customHeight="1">
      <c r="A41" s="14" t="s">
        <v>230</v>
      </c>
      <c r="B41" s="143" t="s">
        <v>484</v>
      </c>
      <c r="C41" s="5" t="s">
        <v>199</v>
      </c>
      <c r="D41" s="100">
        <f>#REF!</f>
        <v>22.84</v>
      </c>
      <c r="E41" s="100">
        <f t="shared" si="4"/>
        <v>0</v>
      </c>
      <c r="F41" s="100">
        <f t="shared" si="21"/>
        <v>0</v>
      </c>
      <c r="G41" s="100">
        <f t="shared" si="8"/>
        <v>0</v>
      </c>
      <c r="H41" s="100">
        <f t="shared" si="12"/>
        <v>0</v>
      </c>
      <c r="I41" s="100"/>
      <c r="J41" s="100"/>
      <c r="K41" s="100"/>
      <c r="L41" s="100"/>
      <c r="M41" s="100"/>
      <c r="N41" s="100"/>
      <c r="O41" s="100"/>
      <c r="P41" s="100"/>
      <c r="Q41" s="100"/>
      <c r="R41" s="100"/>
      <c r="S41" s="100"/>
      <c r="T41" s="100"/>
      <c r="U41" s="100"/>
      <c r="V41" s="100">
        <f t="shared" si="13"/>
        <v>22.84</v>
      </c>
      <c r="W41" s="100"/>
      <c r="X41" s="100"/>
      <c r="Y41" s="100"/>
      <c r="Z41" s="100"/>
      <c r="AA41" s="100"/>
      <c r="AB41" s="100"/>
      <c r="AC41" s="100"/>
      <c r="AD41" s="100"/>
      <c r="AE41" s="100">
        <f t="shared" si="27"/>
        <v>22.84</v>
      </c>
      <c r="AF41" s="100"/>
      <c r="AG41" s="100"/>
      <c r="AH41" s="100"/>
      <c r="AI41" s="100"/>
      <c r="AJ41" s="100"/>
      <c r="AK41" s="100"/>
      <c r="AL41" s="100">
        <f>D41-BL41</f>
        <v>22.84</v>
      </c>
      <c r="AM41" s="100"/>
      <c r="AN41" s="100"/>
      <c r="AO41" s="100"/>
      <c r="AP41" s="100"/>
      <c r="AQ41" s="100"/>
      <c r="AR41" s="100"/>
      <c r="AS41" s="100"/>
      <c r="AT41" s="100"/>
      <c r="AU41" s="100"/>
      <c r="AV41" s="100"/>
      <c r="AW41" s="100"/>
      <c r="AX41" s="100"/>
      <c r="AY41" s="100"/>
      <c r="AZ41" s="100"/>
      <c r="BA41" s="100"/>
      <c r="BB41" s="100"/>
      <c r="BC41" s="100"/>
      <c r="BD41" s="100"/>
      <c r="BE41" s="100"/>
      <c r="BF41" s="100"/>
      <c r="BG41" s="100"/>
      <c r="BH41" s="100">
        <f t="shared" si="22"/>
        <v>0</v>
      </c>
      <c r="BI41" s="100"/>
      <c r="BJ41" s="100"/>
      <c r="BK41" s="100"/>
      <c r="BL41" s="100">
        <f>E41+W41+X41+Y41+Z41+AA41+AB41+AC41+AD41+AF41+AG41+AH41+AI41+AJ41+AK41+AM41+AN41+AO41+AP41+AQ41+AR41+AS41+AT41+AU41+AV41+AW41+AX41+AY41+AZ41+BA41+BB41+BC41+BD41+BE41+BF41+BG41+BH41</f>
        <v>0</v>
      </c>
      <c r="BM41" s="100">
        <f>AL67-BL41</f>
        <v>0</v>
      </c>
      <c r="BN41" s="100">
        <f t="shared" si="28"/>
        <v>22.84</v>
      </c>
      <c r="BP41" s="123"/>
    </row>
    <row r="42" spans="1:68" ht="20.100000000000001" customHeight="1">
      <c r="A42" s="14" t="s">
        <v>231</v>
      </c>
      <c r="B42" s="143" t="s">
        <v>485</v>
      </c>
      <c r="C42" s="5" t="s">
        <v>200</v>
      </c>
      <c r="D42" s="100">
        <f>#REF!</f>
        <v>1.66</v>
      </c>
      <c r="E42" s="100">
        <f t="shared" si="4"/>
        <v>0</v>
      </c>
      <c r="F42" s="100">
        <f t="shared" si="21"/>
        <v>0</v>
      </c>
      <c r="G42" s="100">
        <f t="shared" si="8"/>
        <v>0</v>
      </c>
      <c r="H42" s="100">
        <f t="shared" si="12"/>
        <v>0</v>
      </c>
      <c r="I42" s="100"/>
      <c r="J42" s="100"/>
      <c r="K42" s="100"/>
      <c r="L42" s="100"/>
      <c r="M42" s="100"/>
      <c r="N42" s="100"/>
      <c r="O42" s="100"/>
      <c r="P42" s="100"/>
      <c r="Q42" s="100"/>
      <c r="R42" s="100"/>
      <c r="S42" s="100"/>
      <c r="T42" s="100"/>
      <c r="U42" s="100"/>
      <c r="V42" s="100">
        <f t="shared" si="13"/>
        <v>1.66</v>
      </c>
      <c r="W42" s="100"/>
      <c r="X42" s="100"/>
      <c r="Y42" s="100"/>
      <c r="Z42" s="100"/>
      <c r="AA42" s="100"/>
      <c r="AB42" s="100"/>
      <c r="AC42" s="100"/>
      <c r="AD42" s="100"/>
      <c r="AE42" s="100">
        <f t="shared" si="27"/>
        <v>1.66</v>
      </c>
      <c r="AF42" s="100"/>
      <c r="AG42" s="100"/>
      <c r="AH42" s="100"/>
      <c r="AI42" s="100"/>
      <c r="AJ42" s="100"/>
      <c r="AK42" s="100"/>
      <c r="AL42" s="100"/>
      <c r="AM42" s="100">
        <f>D42-BL42</f>
        <v>1.66</v>
      </c>
      <c r="AN42" s="100"/>
      <c r="AO42" s="100"/>
      <c r="AP42" s="100"/>
      <c r="AQ42" s="100"/>
      <c r="AR42" s="100"/>
      <c r="AS42" s="100"/>
      <c r="AT42" s="100"/>
      <c r="AU42" s="100"/>
      <c r="AV42" s="100"/>
      <c r="AW42" s="100"/>
      <c r="AX42" s="100"/>
      <c r="AY42" s="100"/>
      <c r="AZ42" s="100"/>
      <c r="BA42" s="100"/>
      <c r="BB42" s="100"/>
      <c r="BC42" s="100"/>
      <c r="BD42" s="100"/>
      <c r="BE42" s="100"/>
      <c r="BF42" s="100"/>
      <c r="BG42" s="100"/>
      <c r="BH42" s="100">
        <f t="shared" si="22"/>
        <v>0</v>
      </c>
      <c r="BI42" s="100"/>
      <c r="BJ42" s="100"/>
      <c r="BK42" s="100"/>
      <c r="BL42" s="100">
        <f>E42+W42+X42+Y42+Z42+AA42+AB42+AC42+AD42+AF42+AG42+AH42+AI42+AJ42+AK42+AL42+AN42+AO42+AP42+AQ42+AR42+AS42+AT42+AU42+AV42+AW42+AX42+AY42+AZ42+BA42+BB42+BC42+BD42+BE42+BF42+BG42+BH42</f>
        <v>0</v>
      </c>
      <c r="BM42" s="100">
        <f>AM67-BL42</f>
        <v>0</v>
      </c>
      <c r="BN42" s="100">
        <f t="shared" si="28"/>
        <v>1.66</v>
      </c>
      <c r="BP42" s="123"/>
    </row>
    <row r="43" spans="1:68" ht="20.100000000000001" customHeight="1">
      <c r="A43" s="14" t="s">
        <v>232</v>
      </c>
      <c r="B43" s="143" t="s">
        <v>486</v>
      </c>
      <c r="C43" s="5" t="s">
        <v>223</v>
      </c>
      <c r="D43" s="100"/>
      <c r="E43" s="100">
        <f t="shared" si="4"/>
        <v>0</v>
      </c>
      <c r="F43" s="100">
        <f t="shared" si="21"/>
        <v>0</v>
      </c>
      <c r="G43" s="100">
        <f t="shared" si="8"/>
        <v>0</v>
      </c>
      <c r="H43" s="100">
        <f t="shared" si="12"/>
        <v>0</v>
      </c>
      <c r="I43" s="100"/>
      <c r="J43" s="100"/>
      <c r="K43" s="100"/>
      <c r="L43" s="100"/>
      <c r="M43" s="100"/>
      <c r="N43" s="100"/>
      <c r="O43" s="100"/>
      <c r="P43" s="100"/>
      <c r="Q43" s="100"/>
      <c r="R43" s="100"/>
      <c r="S43" s="100"/>
      <c r="T43" s="100"/>
      <c r="U43" s="100"/>
      <c r="V43" s="100">
        <f t="shared" si="13"/>
        <v>0</v>
      </c>
      <c r="W43" s="100"/>
      <c r="X43" s="100"/>
      <c r="Y43" s="100"/>
      <c r="Z43" s="100"/>
      <c r="AA43" s="100"/>
      <c r="AB43" s="100"/>
      <c r="AC43" s="100"/>
      <c r="AD43" s="100"/>
      <c r="AE43" s="100">
        <f t="shared" si="27"/>
        <v>0</v>
      </c>
      <c r="AF43" s="100"/>
      <c r="AG43" s="100"/>
      <c r="AH43" s="100"/>
      <c r="AI43" s="100"/>
      <c r="AJ43" s="100"/>
      <c r="AK43" s="100"/>
      <c r="AL43" s="100"/>
      <c r="AM43" s="100"/>
      <c r="AN43" s="100">
        <f>D43-BL43</f>
        <v>0</v>
      </c>
      <c r="AO43" s="100"/>
      <c r="AP43" s="100"/>
      <c r="AQ43" s="100"/>
      <c r="AR43" s="100"/>
      <c r="AS43" s="100"/>
      <c r="AT43" s="100"/>
      <c r="AU43" s="100"/>
      <c r="AV43" s="100"/>
      <c r="AW43" s="100"/>
      <c r="AX43" s="100"/>
      <c r="AY43" s="100"/>
      <c r="AZ43" s="100"/>
      <c r="BA43" s="100"/>
      <c r="BB43" s="100"/>
      <c r="BC43" s="100"/>
      <c r="BD43" s="100"/>
      <c r="BE43" s="100"/>
      <c r="BF43" s="100"/>
      <c r="BG43" s="100"/>
      <c r="BH43" s="100">
        <f t="shared" si="22"/>
        <v>0</v>
      </c>
      <c r="BI43" s="100"/>
      <c r="BJ43" s="100"/>
      <c r="BK43" s="100"/>
      <c r="BL43" s="100">
        <f>E43+W43+X43+Y43+Z43+AA43+AB43+AC43+AD43+AF43+AG43+AH43+AI43+AJ43+AK43+AL43+AM43+AO43+AP43+AQ43+AR43+AS43+AT43+AU43+AV43+AW43+AX43+AY43+AZ43+BA43+BB43+BC43+BD43+BE43+BF43+BG43+BH43</f>
        <v>0</v>
      </c>
      <c r="BM43" s="100">
        <f>AN67-BL43</f>
        <v>0</v>
      </c>
      <c r="BN43" s="100">
        <f t="shared" si="28"/>
        <v>0</v>
      </c>
      <c r="BP43" s="123"/>
    </row>
    <row r="44" spans="1:68" ht="20.100000000000001" customHeight="1">
      <c r="A44" s="14" t="s">
        <v>233</v>
      </c>
      <c r="B44" s="143" t="s">
        <v>487</v>
      </c>
      <c r="C44" s="5" t="s">
        <v>201</v>
      </c>
      <c r="D44" s="100">
        <f>#REF!</f>
        <v>0.17</v>
      </c>
      <c r="E44" s="100">
        <f t="shared" si="4"/>
        <v>0</v>
      </c>
      <c r="F44" s="100">
        <f t="shared" si="21"/>
        <v>0</v>
      </c>
      <c r="G44" s="100">
        <f t="shared" si="8"/>
        <v>0</v>
      </c>
      <c r="H44" s="100">
        <f t="shared" si="12"/>
        <v>0</v>
      </c>
      <c r="I44" s="100"/>
      <c r="J44" s="100"/>
      <c r="K44" s="100"/>
      <c r="L44" s="100"/>
      <c r="M44" s="100"/>
      <c r="N44" s="100"/>
      <c r="O44" s="100"/>
      <c r="P44" s="100"/>
      <c r="Q44" s="100"/>
      <c r="R44" s="100"/>
      <c r="S44" s="100"/>
      <c r="T44" s="100"/>
      <c r="U44" s="100"/>
      <c r="V44" s="100">
        <f t="shared" si="13"/>
        <v>0.17</v>
      </c>
      <c r="W44" s="100"/>
      <c r="X44" s="100"/>
      <c r="Y44" s="100"/>
      <c r="Z44" s="100"/>
      <c r="AA44" s="100"/>
      <c r="AB44" s="100"/>
      <c r="AC44" s="100"/>
      <c r="AD44" s="100"/>
      <c r="AE44" s="100">
        <f t="shared" si="27"/>
        <v>0.17</v>
      </c>
      <c r="AF44" s="100"/>
      <c r="AG44" s="100"/>
      <c r="AH44" s="100"/>
      <c r="AI44" s="100"/>
      <c r="AJ44" s="100"/>
      <c r="AK44" s="100"/>
      <c r="AL44" s="100"/>
      <c r="AM44" s="100"/>
      <c r="AN44" s="100"/>
      <c r="AO44" s="100">
        <f>D44-BL44</f>
        <v>0.17</v>
      </c>
      <c r="AP44" s="100"/>
      <c r="AQ44" s="100"/>
      <c r="AR44" s="100"/>
      <c r="AS44" s="100"/>
      <c r="AT44" s="100"/>
      <c r="AU44" s="100"/>
      <c r="AV44" s="100"/>
      <c r="AW44" s="100"/>
      <c r="AX44" s="100"/>
      <c r="AY44" s="100"/>
      <c r="AZ44" s="100"/>
      <c r="BA44" s="100"/>
      <c r="BB44" s="100"/>
      <c r="BC44" s="100"/>
      <c r="BD44" s="100"/>
      <c r="BE44" s="100"/>
      <c r="BF44" s="100"/>
      <c r="BG44" s="100"/>
      <c r="BH44" s="100">
        <f t="shared" si="22"/>
        <v>0</v>
      </c>
      <c r="BI44" s="100"/>
      <c r="BJ44" s="100"/>
      <c r="BK44" s="100"/>
      <c r="BL44" s="100">
        <f>E44+W44+X44+Y44+Z44+AA44+AB44+AC44+AD44+AF44+AG44+AH44+AI44+AJ44+AK44+AL44+AM44+AN44+AP44+AQ44+AR44+AS44+AT44+AU44+AV44+AW44+AX44+AY44+AZ44+BA44+BB44+BC44+BD44+BE44+BF44+BG44+BH44</f>
        <v>0</v>
      </c>
      <c r="BM44" s="100">
        <f>AO67-BL44</f>
        <v>0</v>
      </c>
      <c r="BN44" s="100">
        <f t="shared" si="28"/>
        <v>0.17</v>
      </c>
      <c r="BP44" s="123"/>
    </row>
    <row r="45" spans="1:68" ht="20.100000000000001" customHeight="1">
      <c r="A45" s="14" t="s">
        <v>234</v>
      </c>
      <c r="B45" s="143" t="s">
        <v>488</v>
      </c>
      <c r="C45" s="5" t="s">
        <v>208</v>
      </c>
      <c r="D45" s="100">
        <f>#REF!</f>
        <v>0.6</v>
      </c>
      <c r="E45" s="100">
        <f t="shared" si="4"/>
        <v>0</v>
      </c>
      <c r="F45" s="100">
        <f t="shared" si="21"/>
        <v>0</v>
      </c>
      <c r="G45" s="100">
        <f t="shared" si="8"/>
        <v>0</v>
      </c>
      <c r="H45" s="100">
        <f t="shared" si="12"/>
        <v>0</v>
      </c>
      <c r="I45" s="100"/>
      <c r="J45" s="100"/>
      <c r="K45" s="100"/>
      <c r="L45" s="100"/>
      <c r="M45" s="100"/>
      <c r="N45" s="100"/>
      <c r="O45" s="100"/>
      <c r="P45" s="100"/>
      <c r="Q45" s="100"/>
      <c r="R45" s="100"/>
      <c r="S45" s="100"/>
      <c r="T45" s="100"/>
      <c r="U45" s="100"/>
      <c r="V45" s="100">
        <f t="shared" si="13"/>
        <v>0.6</v>
      </c>
      <c r="W45" s="100"/>
      <c r="X45" s="100"/>
      <c r="Y45" s="100"/>
      <c r="Z45" s="100"/>
      <c r="AA45" s="100"/>
      <c r="AB45" s="100"/>
      <c r="AC45" s="100"/>
      <c r="AD45" s="100"/>
      <c r="AE45" s="100">
        <f t="shared" si="27"/>
        <v>0.6</v>
      </c>
      <c r="AF45" s="100"/>
      <c r="AG45" s="100"/>
      <c r="AH45" s="100"/>
      <c r="AI45" s="100"/>
      <c r="AJ45" s="100"/>
      <c r="AK45" s="100"/>
      <c r="AL45" s="100"/>
      <c r="AM45" s="100"/>
      <c r="AN45" s="100"/>
      <c r="AO45" s="100"/>
      <c r="AP45" s="100">
        <f>D45-BL45</f>
        <v>0.6</v>
      </c>
      <c r="AQ45" s="100"/>
      <c r="AR45" s="100"/>
      <c r="AS45" s="100"/>
      <c r="AT45" s="100"/>
      <c r="AU45" s="100"/>
      <c r="AV45" s="100"/>
      <c r="AW45" s="100"/>
      <c r="AX45" s="100"/>
      <c r="AY45" s="100"/>
      <c r="AZ45" s="100"/>
      <c r="BA45" s="100"/>
      <c r="BB45" s="100"/>
      <c r="BC45" s="100"/>
      <c r="BD45" s="100"/>
      <c r="BE45" s="100"/>
      <c r="BF45" s="100"/>
      <c r="BG45" s="100"/>
      <c r="BH45" s="100">
        <f t="shared" si="22"/>
        <v>0</v>
      </c>
      <c r="BI45" s="100"/>
      <c r="BJ45" s="100"/>
      <c r="BK45" s="100"/>
      <c r="BL45" s="100">
        <f>E45+W45+X45+Y45+Z45+AA45+AB45+AC45+AD45+AF45+AG45+AH45+AI45+AJ45+AK45+AL45+AM45+AN45+AO45+AQ45+AR45+AS45+AT45+AU45+AV45+AW45+AX45+AY45+AZ45+BA45+BB45+BC45+BD45+BE45+BF45+BG45+BH45</f>
        <v>0</v>
      </c>
      <c r="BM45" s="100">
        <f>AP67-BL45</f>
        <v>0</v>
      </c>
      <c r="BN45" s="100">
        <f t="shared" si="28"/>
        <v>0.6</v>
      </c>
      <c r="BP45" s="123"/>
    </row>
    <row r="46" spans="1:68" ht="20.100000000000001" customHeight="1">
      <c r="A46" s="19" t="s">
        <v>73</v>
      </c>
      <c r="B46" s="144" t="s">
        <v>74</v>
      </c>
      <c r="C46" s="5" t="s">
        <v>75</v>
      </c>
      <c r="D46" s="100"/>
      <c r="E46" s="100">
        <f t="shared" si="4"/>
        <v>0</v>
      </c>
      <c r="F46" s="100">
        <f t="shared" si="21"/>
        <v>0</v>
      </c>
      <c r="G46" s="100">
        <f t="shared" si="8"/>
        <v>0</v>
      </c>
      <c r="H46" s="100">
        <f t="shared" si="12"/>
        <v>0</v>
      </c>
      <c r="I46" s="100"/>
      <c r="J46" s="100"/>
      <c r="K46" s="100"/>
      <c r="L46" s="100"/>
      <c r="M46" s="100"/>
      <c r="N46" s="100"/>
      <c r="O46" s="100"/>
      <c r="P46" s="100"/>
      <c r="Q46" s="100"/>
      <c r="R46" s="100"/>
      <c r="S46" s="100"/>
      <c r="T46" s="100"/>
      <c r="U46" s="100"/>
      <c r="V46" s="100">
        <f t="shared" si="13"/>
        <v>0</v>
      </c>
      <c r="W46" s="100"/>
      <c r="X46" s="100"/>
      <c r="Y46" s="100"/>
      <c r="Z46" s="100"/>
      <c r="AA46" s="100"/>
      <c r="AB46" s="100"/>
      <c r="AC46" s="100"/>
      <c r="AD46" s="100"/>
      <c r="AE46" s="100">
        <f t="shared" si="27"/>
        <v>0</v>
      </c>
      <c r="AF46" s="100"/>
      <c r="AG46" s="100"/>
      <c r="AH46" s="100"/>
      <c r="AI46" s="100"/>
      <c r="AJ46" s="100"/>
      <c r="AK46" s="100"/>
      <c r="AL46" s="100"/>
      <c r="AM46" s="100"/>
      <c r="AN46" s="100"/>
      <c r="AO46" s="100"/>
      <c r="AP46" s="100"/>
      <c r="AQ46" s="100">
        <f>D46-BL46</f>
        <v>0</v>
      </c>
      <c r="AR46" s="100"/>
      <c r="AS46" s="100"/>
      <c r="AT46" s="100"/>
      <c r="AU46" s="100"/>
      <c r="AV46" s="100"/>
      <c r="AW46" s="100"/>
      <c r="AX46" s="100"/>
      <c r="AY46" s="100"/>
      <c r="AZ46" s="100"/>
      <c r="BA46" s="100"/>
      <c r="BB46" s="100"/>
      <c r="BC46" s="100"/>
      <c r="BD46" s="100"/>
      <c r="BE46" s="100"/>
      <c r="BF46" s="100"/>
      <c r="BG46" s="100"/>
      <c r="BH46" s="100">
        <f t="shared" si="22"/>
        <v>0</v>
      </c>
      <c r="BI46" s="100"/>
      <c r="BJ46" s="100"/>
      <c r="BK46" s="100"/>
      <c r="BL46" s="100">
        <f>E46+W46+X46+Y46+Z46+AA46+AB46+AC46+AD46+AE46+AR46+AS46+AT46+AU46+AV46+AW46+AX46+AY46+AZ46+BA46+BB46+BC46+BD46+BE46+BF46+BG46+BH46</f>
        <v>0</v>
      </c>
      <c r="BM46" s="100">
        <f>AQ67-BL46</f>
        <v>0</v>
      </c>
      <c r="BN46" s="100">
        <f>D46+BM46</f>
        <v>0</v>
      </c>
      <c r="BP46" s="123"/>
    </row>
    <row r="47" spans="1:68" ht="20.100000000000001" customHeight="1">
      <c r="A47" s="19" t="s">
        <v>76</v>
      </c>
      <c r="B47" s="144" t="s">
        <v>77</v>
      </c>
      <c r="C47" s="5" t="s">
        <v>78</v>
      </c>
      <c r="D47" s="100"/>
      <c r="E47" s="100">
        <f t="shared" si="4"/>
        <v>0</v>
      </c>
      <c r="F47" s="100">
        <f t="shared" si="21"/>
        <v>0</v>
      </c>
      <c r="G47" s="100">
        <f t="shared" si="8"/>
        <v>0</v>
      </c>
      <c r="H47" s="100">
        <f t="shared" si="12"/>
        <v>0</v>
      </c>
      <c r="I47" s="100"/>
      <c r="J47" s="100"/>
      <c r="K47" s="100"/>
      <c r="L47" s="100"/>
      <c r="M47" s="100"/>
      <c r="N47" s="100"/>
      <c r="O47" s="100"/>
      <c r="P47" s="100"/>
      <c r="Q47" s="100"/>
      <c r="R47" s="100"/>
      <c r="S47" s="100"/>
      <c r="T47" s="100"/>
      <c r="U47" s="100"/>
      <c r="V47" s="100">
        <f t="shared" si="13"/>
        <v>0</v>
      </c>
      <c r="W47" s="100"/>
      <c r="X47" s="100"/>
      <c r="Y47" s="100"/>
      <c r="Z47" s="100"/>
      <c r="AA47" s="100"/>
      <c r="AB47" s="100"/>
      <c r="AC47" s="100"/>
      <c r="AD47" s="100"/>
      <c r="AE47" s="100">
        <f t="shared" si="27"/>
        <v>0</v>
      </c>
      <c r="AF47" s="100"/>
      <c r="AG47" s="100"/>
      <c r="AH47" s="100"/>
      <c r="AI47" s="100"/>
      <c r="AJ47" s="100"/>
      <c r="AK47" s="100"/>
      <c r="AL47" s="100"/>
      <c r="AM47" s="100"/>
      <c r="AN47" s="100"/>
      <c r="AO47" s="100"/>
      <c r="AP47" s="100"/>
      <c r="AQ47" s="100"/>
      <c r="AR47" s="100">
        <f>D47-BL47</f>
        <v>0</v>
      </c>
      <c r="AS47" s="100"/>
      <c r="AT47" s="100"/>
      <c r="AU47" s="100"/>
      <c r="AV47" s="100"/>
      <c r="AW47" s="100"/>
      <c r="AX47" s="100"/>
      <c r="AY47" s="100"/>
      <c r="AZ47" s="100"/>
      <c r="BA47" s="100"/>
      <c r="BB47" s="100"/>
      <c r="BC47" s="100"/>
      <c r="BD47" s="100"/>
      <c r="BE47" s="100"/>
      <c r="BF47" s="100"/>
      <c r="BG47" s="100"/>
      <c r="BH47" s="100">
        <f t="shared" si="22"/>
        <v>0</v>
      </c>
      <c r="BI47" s="100"/>
      <c r="BJ47" s="100"/>
      <c r="BK47" s="100"/>
      <c r="BL47" s="100">
        <f>E47+W47+X47+Y47+Z47+AA47+AB47+AC47+AD47+AE47+AQ47+AS47+AT47+AU47+AV47+AW47+AX47+AY47+AZ47+BA47+BB47+BC47+BD47+BE47+BF47+BG47+BH47</f>
        <v>0</v>
      </c>
      <c r="BM47" s="100">
        <f>AR67-BL47</f>
        <v>0</v>
      </c>
      <c r="BN47" s="100">
        <f t="shared" ref="BN47:BN62" si="29">D47+BM47</f>
        <v>0</v>
      </c>
      <c r="BP47" s="123"/>
    </row>
    <row r="48" spans="1:68" ht="20.100000000000001" customHeight="1">
      <c r="A48" s="19" t="s">
        <v>79</v>
      </c>
      <c r="B48" s="144" t="s">
        <v>80</v>
      </c>
      <c r="C48" s="5" t="s">
        <v>81</v>
      </c>
      <c r="D48" s="100"/>
      <c r="E48" s="100">
        <f t="shared" si="4"/>
        <v>0</v>
      </c>
      <c r="F48" s="100">
        <f t="shared" si="21"/>
        <v>0</v>
      </c>
      <c r="G48" s="100">
        <f t="shared" si="8"/>
        <v>0</v>
      </c>
      <c r="H48" s="100">
        <f t="shared" si="12"/>
        <v>0</v>
      </c>
      <c r="I48" s="100"/>
      <c r="J48" s="100"/>
      <c r="K48" s="100"/>
      <c r="L48" s="100"/>
      <c r="M48" s="100"/>
      <c r="N48" s="100"/>
      <c r="O48" s="100"/>
      <c r="P48" s="100"/>
      <c r="Q48" s="100"/>
      <c r="R48" s="100"/>
      <c r="S48" s="100"/>
      <c r="T48" s="100"/>
      <c r="U48" s="100"/>
      <c r="V48" s="100">
        <f t="shared" si="13"/>
        <v>0</v>
      </c>
      <c r="W48" s="100"/>
      <c r="X48" s="100"/>
      <c r="Y48" s="100"/>
      <c r="Z48" s="100"/>
      <c r="AA48" s="100"/>
      <c r="AB48" s="100"/>
      <c r="AC48" s="100"/>
      <c r="AD48" s="100"/>
      <c r="AE48" s="100">
        <f t="shared" si="27"/>
        <v>0</v>
      </c>
      <c r="AF48" s="100"/>
      <c r="AG48" s="100"/>
      <c r="AH48" s="100"/>
      <c r="AI48" s="100"/>
      <c r="AJ48" s="100"/>
      <c r="AK48" s="100"/>
      <c r="AL48" s="100"/>
      <c r="AM48" s="100"/>
      <c r="AN48" s="100"/>
      <c r="AO48" s="100"/>
      <c r="AP48" s="100"/>
      <c r="AQ48" s="100"/>
      <c r="AR48" s="100"/>
      <c r="AS48" s="100">
        <f>D48-BL48</f>
        <v>0</v>
      </c>
      <c r="AT48" s="100"/>
      <c r="AU48" s="100"/>
      <c r="AV48" s="100"/>
      <c r="AW48" s="100"/>
      <c r="AX48" s="100"/>
      <c r="AY48" s="100"/>
      <c r="AZ48" s="100"/>
      <c r="BA48" s="100"/>
      <c r="BB48" s="100"/>
      <c r="BC48" s="100"/>
      <c r="BD48" s="100"/>
      <c r="BE48" s="100"/>
      <c r="BF48" s="100"/>
      <c r="BG48" s="100"/>
      <c r="BH48" s="100">
        <f t="shared" si="22"/>
        <v>0</v>
      </c>
      <c r="BI48" s="100"/>
      <c r="BJ48" s="100"/>
      <c r="BK48" s="100"/>
      <c r="BL48" s="100">
        <f>E48+W48+X48+Y48+Z48+AA48+AB48+AC48+AD48+AQ48+AR48+AT48+AU48+AV48+AW48+AX48+AY48+AZ48+BA48+BB48+BC48+BD48+BE48+BF48+BG48+BH48</f>
        <v>0</v>
      </c>
      <c r="BM48" s="100">
        <f>AS67-BL48</f>
        <v>0</v>
      </c>
      <c r="BN48" s="100">
        <f t="shared" si="29"/>
        <v>0</v>
      </c>
      <c r="BP48" s="123"/>
    </row>
    <row r="49" spans="1:68" ht="20.100000000000001" customHeight="1">
      <c r="A49" s="19" t="s">
        <v>82</v>
      </c>
      <c r="B49" s="144" t="s">
        <v>83</v>
      </c>
      <c r="C49" s="5" t="s">
        <v>84</v>
      </c>
      <c r="D49" s="100"/>
      <c r="E49" s="100">
        <f t="shared" si="4"/>
        <v>0</v>
      </c>
      <c r="F49" s="100">
        <f t="shared" si="21"/>
        <v>0</v>
      </c>
      <c r="G49" s="100">
        <f t="shared" si="8"/>
        <v>0</v>
      </c>
      <c r="H49" s="100">
        <f t="shared" si="12"/>
        <v>0</v>
      </c>
      <c r="I49" s="100"/>
      <c r="J49" s="100"/>
      <c r="K49" s="100"/>
      <c r="L49" s="100"/>
      <c r="M49" s="100"/>
      <c r="N49" s="100"/>
      <c r="O49" s="100"/>
      <c r="P49" s="100"/>
      <c r="Q49" s="100"/>
      <c r="R49" s="100"/>
      <c r="S49" s="100"/>
      <c r="T49" s="100"/>
      <c r="U49" s="100"/>
      <c r="V49" s="100">
        <f t="shared" si="13"/>
        <v>0</v>
      </c>
      <c r="W49" s="100"/>
      <c r="X49" s="100"/>
      <c r="Y49" s="100"/>
      <c r="Z49" s="100"/>
      <c r="AA49" s="100"/>
      <c r="AB49" s="100"/>
      <c r="AC49" s="100"/>
      <c r="AD49" s="100"/>
      <c r="AE49" s="100">
        <f t="shared" si="27"/>
        <v>0</v>
      </c>
      <c r="AF49" s="100"/>
      <c r="AG49" s="100"/>
      <c r="AH49" s="100"/>
      <c r="AI49" s="100"/>
      <c r="AJ49" s="100"/>
      <c r="AK49" s="100"/>
      <c r="AL49" s="100"/>
      <c r="AM49" s="100"/>
      <c r="AN49" s="100"/>
      <c r="AO49" s="100"/>
      <c r="AP49" s="100"/>
      <c r="AQ49" s="100"/>
      <c r="AR49" s="100"/>
      <c r="AS49" s="100"/>
      <c r="AT49" s="100">
        <f>D49-BL49</f>
        <v>0</v>
      </c>
      <c r="AU49" s="100"/>
      <c r="AV49" s="100"/>
      <c r="AW49" s="100"/>
      <c r="AX49" s="100"/>
      <c r="AY49" s="100"/>
      <c r="AZ49" s="100"/>
      <c r="BA49" s="100"/>
      <c r="BB49" s="100"/>
      <c r="BC49" s="100"/>
      <c r="BD49" s="100"/>
      <c r="BE49" s="100"/>
      <c r="BF49" s="100"/>
      <c r="BG49" s="100"/>
      <c r="BH49" s="100">
        <f t="shared" si="22"/>
        <v>0</v>
      </c>
      <c r="BI49" s="100"/>
      <c r="BJ49" s="100"/>
      <c r="BK49" s="100"/>
      <c r="BL49" s="100">
        <f>E49+W49+X49+Y49+Z49+AA49+AB49+AC49+AD49+AE49+AQ49+AR49+AS49+AU49+AV49+AW49+AX49+AY49+AZ49+BA49+BB49+BC49+BD49+BE49+BF49+BG49+BH49</f>
        <v>0</v>
      </c>
      <c r="BM49" s="100">
        <f>AT67-BL49</f>
        <v>0</v>
      </c>
      <c r="BN49" s="100">
        <f t="shared" si="29"/>
        <v>0</v>
      </c>
      <c r="BP49" s="123"/>
    </row>
    <row r="50" spans="1:68" ht="20.100000000000001" customHeight="1">
      <c r="A50" s="19" t="s">
        <v>85</v>
      </c>
      <c r="B50" s="144" t="s">
        <v>86</v>
      </c>
      <c r="C50" s="5" t="s">
        <v>87</v>
      </c>
      <c r="D50" s="100">
        <f>#REF!</f>
        <v>13.67</v>
      </c>
      <c r="E50" s="100">
        <f t="shared" si="4"/>
        <v>0</v>
      </c>
      <c r="F50" s="100">
        <f t="shared" si="21"/>
        <v>0</v>
      </c>
      <c r="G50" s="100">
        <f t="shared" si="8"/>
        <v>0</v>
      </c>
      <c r="H50" s="100">
        <f t="shared" si="12"/>
        <v>0</v>
      </c>
      <c r="I50" s="100"/>
      <c r="J50" s="100"/>
      <c r="K50" s="100"/>
      <c r="L50" s="100"/>
      <c r="M50" s="100"/>
      <c r="N50" s="100"/>
      <c r="O50" s="100"/>
      <c r="P50" s="100"/>
      <c r="Q50" s="100"/>
      <c r="R50" s="100"/>
      <c r="S50" s="100"/>
      <c r="T50" s="100"/>
      <c r="U50" s="100"/>
      <c r="V50" s="100">
        <f t="shared" si="13"/>
        <v>13.67</v>
      </c>
      <c r="W50" s="100"/>
      <c r="X50" s="100"/>
      <c r="Y50" s="100"/>
      <c r="Z50" s="100"/>
      <c r="AA50" s="100"/>
      <c r="AB50" s="100"/>
      <c r="AC50" s="100"/>
      <c r="AD50" s="100"/>
      <c r="AE50" s="100">
        <f t="shared" si="27"/>
        <v>0</v>
      </c>
      <c r="AF50" s="100"/>
      <c r="AG50" s="100"/>
      <c r="AH50" s="100"/>
      <c r="AI50" s="100"/>
      <c r="AJ50" s="100"/>
      <c r="AK50" s="100"/>
      <c r="AL50" s="100"/>
      <c r="AM50" s="100"/>
      <c r="AN50" s="100"/>
      <c r="AO50" s="100"/>
      <c r="AP50" s="100"/>
      <c r="AQ50" s="100"/>
      <c r="AR50" s="100"/>
      <c r="AS50" s="100"/>
      <c r="AT50" s="100"/>
      <c r="AU50" s="100">
        <f>D50-BL50</f>
        <v>13.67</v>
      </c>
      <c r="AV50" s="100"/>
      <c r="AW50" s="100"/>
      <c r="AX50" s="100"/>
      <c r="AY50" s="100"/>
      <c r="AZ50" s="100"/>
      <c r="BA50" s="100"/>
      <c r="BB50" s="100"/>
      <c r="BC50" s="100"/>
      <c r="BD50" s="100"/>
      <c r="BE50" s="100"/>
      <c r="BF50" s="100"/>
      <c r="BG50" s="100"/>
      <c r="BH50" s="100">
        <f t="shared" si="22"/>
        <v>0</v>
      </c>
      <c r="BI50" s="100"/>
      <c r="BJ50" s="100"/>
      <c r="BK50" s="100"/>
      <c r="BL50" s="100">
        <f>E50+W50+X50+Y50+Z50+AA50+AB50+AC50+AD50+AE50+AQ50+AR50+AS50+AT50+AV50+AW50+AX50+AY50+AZ50+BA50+BB50+BC50+BD50+BE50+BF50+BG50+BH50</f>
        <v>0</v>
      </c>
      <c r="BM50" s="100">
        <f>AU67-BL50</f>
        <v>0.46</v>
      </c>
      <c r="BN50" s="100">
        <f t="shared" si="29"/>
        <v>14.13</v>
      </c>
      <c r="BP50" s="123"/>
    </row>
    <row r="51" spans="1:68" ht="20.100000000000001" customHeight="1">
      <c r="A51" s="19" t="s">
        <v>88</v>
      </c>
      <c r="B51" s="144" t="s">
        <v>89</v>
      </c>
      <c r="C51" s="5" t="s">
        <v>90</v>
      </c>
      <c r="D51" s="100">
        <f>#REF!</f>
        <v>4.1695000000000002</v>
      </c>
      <c r="E51" s="100">
        <f t="shared" si="4"/>
        <v>0</v>
      </c>
      <c r="F51" s="100">
        <f t="shared" si="21"/>
        <v>0</v>
      </c>
      <c r="G51" s="100">
        <f t="shared" si="8"/>
        <v>0</v>
      </c>
      <c r="H51" s="100">
        <f t="shared" si="12"/>
        <v>0</v>
      </c>
      <c r="I51" s="100"/>
      <c r="J51" s="100"/>
      <c r="K51" s="100"/>
      <c r="L51" s="100"/>
      <c r="M51" s="100"/>
      <c r="N51" s="100"/>
      <c r="O51" s="100"/>
      <c r="P51" s="100"/>
      <c r="Q51" s="100"/>
      <c r="R51" s="100"/>
      <c r="S51" s="100"/>
      <c r="T51" s="100"/>
      <c r="U51" s="100"/>
      <c r="V51" s="100">
        <f t="shared" si="13"/>
        <v>4.1695000000000002</v>
      </c>
      <c r="W51" s="100"/>
      <c r="X51" s="100"/>
      <c r="Y51" s="100"/>
      <c r="Z51" s="100"/>
      <c r="AA51" s="100"/>
      <c r="AB51" s="100"/>
      <c r="AC51" s="100"/>
      <c r="AD51" s="100"/>
      <c r="AE51" s="100">
        <f t="shared" si="27"/>
        <v>0</v>
      </c>
      <c r="AF51" s="100"/>
      <c r="AG51" s="100"/>
      <c r="AH51" s="100"/>
      <c r="AI51" s="100"/>
      <c r="AJ51" s="100"/>
      <c r="AK51" s="100"/>
      <c r="AL51" s="100"/>
      <c r="AM51" s="100"/>
      <c r="AN51" s="100"/>
      <c r="AO51" s="100"/>
      <c r="AP51" s="100"/>
      <c r="AQ51" s="100"/>
      <c r="AR51" s="100"/>
      <c r="AS51" s="100"/>
      <c r="AT51" s="100"/>
      <c r="AU51" s="100">
        <v>0.46</v>
      </c>
      <c r="AV51" s="100">
        <f>D51-BL51</f>
        <v>3.7095000000000002</v>
      </c>
      <c r="AW51" s="100"/>
      <c r="AX51" s="100"/>
      <c r="AY51" s="100"/>
      <c r="AZ51" s="100"/>
      <c r="BA51" s="100"/>
      <c r="BB51" s="100"/>
      <c r="BC51" s="100"/>
      <c r="BD51" s="100"/>
      <c r="BE51" s="100"/>
      <c r="BF51" s="100"/>
      <c r="BG51" s="100"/>
      <c r="BH51" s="100">
        <f t="shared" si="22"/>
        <v>0</v>
      </c>
      <c r="BI51" s="100"/>
      <c r="BJ51" s="100"/>
      <c r="BK51" s="100"/>
      <c r="BL51" s="100">
        <f>E51+W51+X51+Y51+Z51+AA51+AB51+AC51+AD51+AE51+AQ51+AR51+AS51+AT51+AU51+AW51+AX51+AY51+AZ51+BA51+BB51+BC51+BD51+BE51+BF51+BG51+BH51</f>
        <v>0.46</v>
      </c>
      <c r="BM51" s="100">
        <f>AV67-BL51</f>
        <v>-0.46</v>
      </c>
      <c r="BN51" s="100">
        <f t="shared" si="29"/>
        <v>3.7095000000000002</v>
      </c>
      <c r="BP51" s="123"/>
    </row>
    <row r="52" spans="1:68" ht="20.100000000000001" customHeight="1">
      <c r="A52" s="19" t="s">
        <v>91</v>
      </c>
      <c r="B52" s="144" t="s">
        <v>489</v>
      </c>
      <c r="C52" s="5" t="s">
        <v>93</v>
      </c>
      <c r="D52" s="100"/>
      <c r="E52" s="100">
        <f t="shared" si="4"/>
        <v>0</v>
      </c>
      <c r="F52" s="100">
        <f t="shared" si="21"/>
        <v>0</v>
      </c>
      <c r="G52" s="100">
        <f t="shared" si="8"/>
        <v>0</v>
      </c>
      <c r="H52" s="100">
        <f t="shared" si="12"/>
        <v>0</v>
      </c>
      <c r="I52" s="100"/>
      <c r="J52" s="100"/>
      <c r="K52" s="100"/>
      <c r="L52" s="100"/>
      <c r="M52" s="100"/>
      <c r="N52" s="100"/>
      <c r="O52" s="100"/>
      <c r="P52" s="100"/>
      <c r="Q52" s="100"/>
      <c r="R52" s="100"/>
      <c r="S52" s="100"/>
      <c r="T52" s="100"/>
      <c r="U52" s="100"/>
      <c r="V52" s="100">
        <f t="shared" si="13"/>
        <v>0</v>
      </c>
      <c r="W52" s="100"/>
      <c r="X52" s="100"/>
      <c r="Y52" s="100"/>
      <c r="Z52" s="100"/>
      <c r="AA52" s="100"/>
      <c r="AB52" s="100"/>
      <c r="AC52" s="100"/>
      <c r="AD52" s="100"/>
      <c r="AE52" s="100">
        <f t="shared" si="27"/>
        <v>0</v>
      </c>
      <c r="AF52" s="100"/>
      <c r="AG52" s="100"/>
      <c r="AH52" s="100"/>
      <c r="AI52" s="100"/>
      <c r="AJ52" s="100"/>
      <c r="AK52" s="100"/>
      <c r="AL52" s="100"/>
      <c r="AM52" s="100"/>
      <c r="AN52" s="100"/>
      <c r="AO52" s="100"/>
      <c r="AP52" s="100"/>
      <c r="AQ52" s="100"/>
      <c r="AR52" s="100"/>
      <c r="AS52" s="100"/>
      <c r="AT52" s="100"/>
      <c r="AU52" s="100"/>
      <c r="AV52" s="100"/>
      <c r="AW52" s="100">
        <f>D52-BL52</f>
        <v>0</v>
      </c>
      <c r="AX52" s="100"/>
      <c r="AY52" s="100"/>
      <c r="AZ52" s="100"/>
      <c r="BA52" s="100"/>
      <c r="BB52" s="100"/>
      <c r="BC52" s="100"/>
      <c r="BD52" s="100"/>
      <c r="BE52" s="100"/>
      <c r="BF52" s="100"/>
      <c r="BG52" s="100"/>
      <c r="BH52" s="100">
        <f t="shared" si="22"/>
        <v>0</v>
      </c>
      <c r="BI52" s="100"/>
      <c r="BJ52" s="100"/>
      <c r="BK52" s="100"/>
      <c r="BL52" s="100">
        <f>E52+W52+X52+Y52+Z52+AA52+AB52+AC52+AD52+AE52+AQ52+AR52+AS52+AT52+AU52+AV52+AX52+AY52+AZ52+BA52+BB52+BC52+BD52+BE52+BF52+BG52+BH52</f>
        <v>0</v>
      </c>
      <c r="BM52" s="100">
        <f>AW67-BL52</f>
        <v>0</v>
      </c>
      <c r="BN52" s="100">
        <f t="shared" si="29"/>
        <v>0</v>
      </c>
      <c r="BP52" s="123"/>
    </row>
    <row r="53" spans="1:68" ht="20.100000000000001" customHeight="1">
      <c r="A53" s="19" t="s">
        <v>94</v>
      </c>
      <c r="B53" s="144" t="s">
        <v>95</v>
      </c>
      <c r="C53" s="5" t="s">
        <v>96</v>
      </c>
      <c r="D53" s="100"/>
      <c r="E53" s="100">
        <f t="shared" si="4"/>
        <v>0</v>
      </c>
      <c r="F53" s="100">
        <f t="shared" si="21"/>
        <v>0</v>
      </c>
      <c r="G53" s="100">
        <f t="shared" si="8"/>
        <v>0</v>
      </c>
      <c r="H53" s="100">
        <f t="shared" si="12"/>
        <v>0</v>
      </c>
      <c r="I53" s="100"/>
      <c r="J53" s="100"/>
      <c r="K53" s="100"/>
      <c r="L53" s="100"/>
      <c r="M53" s="100"/>
      <c r="N53" s="100"/>
      <c r="O53" s="100"/>
      <c r="P53" s="100"/>
      <c r="Q53" s="100"/>
      <c r="R53" s="100"/>
      <c r="S53" s="100"/>
      <c r="T53" s="100"/>
      <c r="U53" s="100"/>
      <c r="V53" s="100">
        <f t="shared" si="13"/>
        <v>0</v>
      </c>
      <c r="W53" s="100"/>
      <c r="X53" s="100"/>
      <c r="Y53" s="100"/>
      <c r="Z53" s="100"/>
      <c r="AA53" s="100"/>
      <c r="AB53" s="100"/>
      <c r="AC53" s="100"/>
      <c r="AD53" s="100"/>
      <c r="AE53" s="100">
        <f t="shared" si="27"/>
        <v>0</v>
      </c>
      <c r="AF53" s="100"/>
      <c r="AG53" s="100"/>
      <c r="AH53" s="100"/>
      <c r="AI53" s="100"/>
      <c r="AJ53" s="100"/>
      <c r="AK53" s="100"/>
      <c r="AL53" s="100"/>
      <c r="AM53" s="100"/>
      <c r="AN53" s="100"/>
      <c r="AO53" s="100"/>
      <c r="AP53" s="100"/>
      <c r="AQ53" s="100"/>
      <c r="AR53" s="100"/>
      <c r="AS53" s="100"/>
      <c r="AT53" s="100"/>
      <c r="AU53" s="100"/>
      <c r="AV53" s="100"/>
      <c r="AW53" s="100"/>
      <c r="AX53" s="100">
        <f>D53-BL53</f>
        <v>0</v>
      </c>
      <c r="AY53" s="100"/>
      <c r="AZ53" s="100"/>
      <c r="BA53" s="100"/>
      <c r="BB53" s="100"/>
      <c r="BC53" s="100"/>
      <c r="BD53" s="100"/>
      <c r="BE53" s="100"/>
      <c r="BF53" s="100"/>
      <c r="BG53" s="100"/>
      <c r="BH53" s="100">
        <f t="shared" si="22"/>
        <v>0</v>
      </c>
      <c r="BI53" s="100"/>
      <c r="BJ53" s="100"/>
      <c r="BK53" s="100"/>
      <c r="BL53" s="100">
        <f>E53+W53+X53+Y53+Z53+AA53+AB53+AC53+AD53+AE53+AQ53+AR53+AS53+AT53+AU53+AV53+AW53+AY53+AZ53+BA53+BB53+BC53+BD53+BE53+BF53+BG53+BH53</f>
        <v>0</v>
      </c>
      <c r="BM53" s="100">
        <f>AX67-BL53</f>
        <v>0</v>
      </c>
      <c r="BN53" s="100">
        <f t="shared" si="29"/>
        <v>0</v>
      </c>
      <c r="BP53" s="123"/>
    </row>
    <row r="54" spans="1:68" ht="20.100000000000001" customHeight="1">
      <c r="A54" s="19" t="s">
        <v>97</v>
      </c>
      <c r="B54" s="144" t="s">
        <v>98</v>
      </c>
      <c r="C54" s="5" t="s">
        <v>99</v>
      </c>
      <c r="D54" s="100"/>
      <c r="E54" s="100">
        <f t="shared" si="4"/>
        <v>0</v>
      </c>
      <c r="F54" s="100">
        <f t="shared" si="21"/>
        <v>0</v>
      </c>
      <c r="G54" s="100">
        <f t="shared" si="8"/>
        <v>0</v>
      </c>
      <c r="H54" s="100">
        <f t="shared" si="12"/>
        <v>0</v>
      </c>
      <c r="I54" s="100"/>
      <c r="J54" s="100"/>
      <c r="K54" s="100"/>
      <c r="L54" s="100"/>
      <c r="M54" s="100"/>
      <c r="N54" s="100"/>
      <c r="O54" s="100"/>
      <c r="P54" s="100"/>
      <c r="Q54" s="100"/>
      <c r="R54" s="100"/>
      <c r="S54" s="100"/>
      <c r="T54" s="100"/>
      <c r="U54" s="100"/>
      <c r="V54" s="100">
        <f t="shared" si="13"/>
        <v>0</v>
      </c>
      <c r="W54" s="100"/>
      <c r="X54" s="100"/>
      <c r="Y54" s="100"/>
      <c r="Z54" s="100"/>
      <c r="AA54" s="100"/>
      <c r="AB54" s="100"/>
      <c r="AC54" s="100"/>
      <c r="AD54" s="100"/>
      <c r="AE54" s="100">
        <f t="shared" si="27"/>
        <v>0</v>
      </c>
      <c r="AF54" s="100"/>
      <c r="AG54" s="100"/>
      <c r="AH54" s="100"/>
      <c r="AI54" s="100"/>
      <c r="AJ54" s="100"/>
      <c r="AK54" s="100"/>
      <c r="AL54" s="100"/>
      <c r="AM54" s="100"/>
      <c r="AN54" s="100"/>
      <c r="AO54" s="100"/>
      <c r="AP54" s="100"/>
      <c r="AQ54" s="100"/>
      <c r="AR54" s="100"/>
      <c r="AS54" s="100"/>
      <c r="AT54" s="100"/>
      <c r="AU54" s="100"/>
      <c r="AV54" s="100"/>
      <c r="AW54" s="100"/>
      <c r="AX54" s="100"/>
      <c r="AY54" s="100">
        <f>D54-BL54</f>
        <v>0</v>
      </c>
      <c r="AZ54" s="100"/>
      <c r="BA54" s="100"/>
      <c r="BB54" s="100"/>
      <c r="BC54" s="100"/>
      <c r="BD54" s="100"/>
      <c r="BE54" s="100"/>
      <c r="BF54" s="100"/>
      <c r="BG54" s="100"/>
      <c r="BH54" s="100">
        <f t="shared" si="22"/>
        <v>0</v>
      </c>
      <c r="BI54" s="100"/>
      <c r="BJ54" s="100"/>
      <c r="BK54" s="100"/>
      <c r="BL54" s="100">
        <f>E54+W54+X54+Y54+Z54+AA54+AB54+AC54+AD54+AE54+AQ54+AR54+AS54+AT54+AU54+AV54+AW54+AX54+AZ54+BA54+BB54+BC54+BD54+BE54+BF54+BG54+BH54</f>
        <v>0</v>
      </c>
      <c r="BM54" s="100">
        <f>AY67-BL54</f>
        <v>0</v>
      </c>
      <c r="BN54" s="100">
        <f t="shared" si="29"/>
        <v>0</v>
      </c>
      <c r="BP54" s="123"/>
    </row>
    <row r="55" spans="1:68" ht="35.25" customHeight="1">
      <c r="A55" s="19" t="s">
        <v>100</v>
      </c>
      <c r="B55" s="144" t="s">
        <v>490</v>
      </c>
      <c r="C55" s="5" t="s">
        <v>101</v>
      </c>
      <c r="D55" s="100"/>
      <c r="E55" s="100">
        <f t="shared" si="4"/>
        <v>0</v>
      </c>
      <c r="F55" s="100">
        <f t="shared" si="21"/>
        <v>0</v>
      </c>
      <c r="G55" s="100">
        <f t="shared" si="8"/>
        <v>0</v>
      </c>
      <c r="H55" s="100">
        <f t="shared" si="12"/>
        <v>0</v>
      </c>
      <c r="I55" s="100"/>
      <c r="J55" s="100"/>
      <c r="K55" s="100"/>
      <c r="L55" s="100"/>
      <c r="M55" s="100"/>
      <c r="N55" s="100"/>
      <c r="O55" s="100"/>
      <c r="P55" s="100"/>
      <c r="Q55" s="100"/>
      <c r="R55" s="100"/>
      <c r="S55" s="100"/>
      <c r="T55" s="100"/>
      <c r="U55" s="100"/>
      <c r="V55" s="100">
        <f t="shared" si="13"/>
        <v>0</v>
      </c>
      <c r="W55" s="100"/>
      <c r="X55" s="100"/>
      <c r="Y55" s="100"/>
      <c r="Z55" s="100"/>
      <c r="AA55" s="100"/>
      <c r="AB55" s="100"/>
      <c r="AC55" s="100"/>
      <c r="AD55" s="100"/>
      <c r="AE55" s="100">
        <f t="shared" si="27"/>
        <v>0</v>
      </c>
      <c r="AF55" s="100"/>
      <c r="AG55" s="100"/>
      <c r="AH55" s="100"/>
      <c r="AI55" s="100"/>
      <c r="AJ55" s="100"/>
      <c r="AK55" s="100"/>
      <c r="AL55" s="100"/>
      <c r="AM55" s="100"/>
      <c r="AN55" s="100"/>
      <c r="AO55" s="100"/>
      <c r="AP55" s="100"/>
      <c r="AQ55" s="100"/>
      <c r="AR55" s="100"/>
      <c r="AS55" s="100"/>
      <c r="AT55" s="100"/>
      <c r="AU55" s="100"/>
      <c r="AV55" s="100"/>
      <c r="AW55" s="100"/>
      <c r="AX55" s="100"/>
      <c r="AY55" s="100"/>
      <c r="AZ55" s="100">
        <f>D55-BL55</f>
        <v>0</v>
      </c>
      <c r="BA55" s="100"/>
      <c r="BB55" s="100"/>
      <c r="BC55" s="100"/>
      <c r="BD55" s="100"/>
      <c r="BE55" s="100"/>
      <c r="BF55" s="100"/>
      <c r="BG55" s="100"/>
      <c r="BH55" s="100">
        <f t="shared" si="22"/>
        <v>0</v>
      </c>
      <c r="BI55" s="100"/>
      <c r="BJ55" s="100"/>
      <c r="BK55" s="100"/>
      <c r="BL55" s="100">
        <f>E55+W55+X55+Y55+Z55+AA55+AB55+AC55+AD55+AE55+AQ55+AR55+AS55+AT55+AU55+AV55+AW55+AX55+AY55+BA55+BB55+BC55+BD55+BE55+BF55+BG55+BH55</f>
        <v>0</v>
      </c>
      <c r="BM55" s="100">
        <f>AZ67-BL55</f>
        <v>0</v>
      </c>
      <c r="BN55" s="100">
        <f t="shared" si="29"/>
        <v>0</v>
      </c>
      <c r="BP55" s="123"/>
    </row>
    <row r="56" spans="1:68" ht="20.100000000000001" customHeight="1">
      <c r="A56" s="19" t="s">
        <v>102</v>
      </c>
      <c r="B56" s="144" t="s">
        <v>103</v>
      </c>
      <c r="C56" s="5" t="s">
        <v>104</v>
      </c>
      <c r="D56" s="100"/>
      <c r="E56" s="100">
        <f t="shared" si="4"/>
        <v>0</v>
      </c>
      <c r="F56" s="100">
        <f t="shared" si="21"/>
        <v>0</v>
      </c>
      <c r="G56" s="100">
        <f t="shared" si="8"/>
        <v>0</v>
      </c>
      <c r="H56" s="100">
        <f t="shared" si="12"/>
        <v>0</v>
      </c>
      <c r="I56" s="100"/>
      <c r="J56" s="100"/>
      <c r="K56" s="100"/>
      <c r="L56" s="100"/>
      <c r="M56" s="100"/>
      <c r="N56" s="100"/>
      <c r="O56" s="100"/>
      <c r="P56" s="100"/>
      <c r="Q56" s="100"/>
      <c r="R56" s="100"/>
      <c r="S56" s="100"/>
      <c r="T56" s="100"/>
      <c r="U56" s="100"/>
      <c r="V56" s="100">
        <f t="shared" si="13"/>
        <v>0</v>
      </c>
      <c r="W56" s="100"/>
      <c r="X56" s="100"/>
      <c r="Y56" s="100"/>
      <c r="Z56" s="100"/>
      <c r="AA56" s="100"/>
      <c r="AB56" s="100"/>
      <c r="AC56" s="100"/>
      <c r="AD56" s="100"/>
      <c r="AE56" s="100">
        <f t="shared" si="27"/>
        <v>0</v>
      </c>
      <c r="AF56" s="100"/>
      <c r="AG56" s="100"/>
      <c r="AH56" s="100"/>
      <c r="AI56" s="100"/>
      <c r="AJ56" s="100"/>
      <c r="AK56" s="100"/>
      <c r="AL56" s="100"/>
      <c r="AM56" s="100"/>
      <c r="AN56" s="100"/>
      <c r="AO56" s="100"/>
      <c r="AP56" s="100"/>
      <c r="AQ56" s="100"/>
      <c r="AR56" s="100"/>
      <c r="AS56" s="100"/>
      <c r="AT56" s="100"/>
      <c r="AU56" s="100"/>
      <c r="AV56" s="100"/>
      <c r="AW56" s="100"/>
      <c r="AX56" s="100"/>
      <c r="AY56" s="100"/>
      <c r="AZ56" s="100"/>
      <c r="BA56" s="100">
        <f>D56-BL56</f>
        <v>0</v>
      </c>
      <c r="BB56" s="100"/>
      <c r="BC56" s="100"/>
      <c r="BD56" s="100"/>
      <c r="BE56" s="100"/>
      <c r="BF56" s="100"/>
      <c r="BG56" s="100"/>
      <c r="BH56" s="100">
        <f t="shared" si="22"/>
        <v>0</v>
      </c>
      <c r="BI56" s="100"/>
      <c r="BJ56" s="100"/>
      <c r="BK56" s="100"/>
      <c r="BL56" s="100">
        <f>E56+W56+X56+Y56+Z56+AA56+AB56+AC56+AD56+AE56+AQ56+AR56+AS56+AT56+AU56+AV56+AW56+AX56+AY56+AZ56+BB56+BC56+BD56+BE56+BF56+BG56+BH56</f>
        <v>0</v>
      </c>
      <c r="BM56" s="100">
        <f>BA67-BL56</f>
        <v>0</v>
      </c>
      <c r="BN56" s="100">
        <f t="shared" si="29"/>
        <v>0</v>
      </c>
      <c r="BP56" s="123"/>
    </row>
    <row r="57" spans="1:68" ht="20.100000000000001" customHeight="1">
      <c r="A57" s="19" t="s">
        <v>105</v>
      </c>
      <c r="B57" s="144" t="s">
        <v>106</v>
      </c>
      <c r="C57" s="5" t="s">
        <v>107</v>
      </c>
      <c r="D57" s="100">
        <f>#REF!</f>
        <v>0.28000000000000003</v>
      </c>
      <c r="E57" s="100">
        <f t="shared" si="4"/>
        <v>0</v>
      </c>
      <c r="F57" s="100">
        <f t="shared" si="21"/>
        <v>0</v>
      </c>
      <c r="G57" s="100">
        <f t="shared" si="8"/>
        <v>0</v>
      </c>
      <c r="H57" s="100">
        <f t="shared" si="12"/>
        <v>0</v>
      </c>
      <c r="I57" s="100"/>
      <c r="J57" s="100"/>
      <c r="K57" s="100"/>
      <c r="L57" s="100"/>
      <c r="M57" s="100"/>
      <c r="N57" s="100"/>
      <c r="O57" s="100"/>
      <c r="P57" s="100"/>
      <c r="Q57" s="100"/>
      <c r="R57" s="100"/>
      <c r="S57" s="100"/>
      <c r="T57" s="100"/>
      <c r="U57" s="100"/>
      <c r="V57" s="100">
        <f t="shared" si="13"/>
        <v>0.28000000000000003</v>
      </c>
      <c r="W57" s="100"/>
      <c r="X57" s="100"/>
      <c r="Y57" s="100"/>
      <c r="Z57" s="100"/>
      <c r="AA57" s="100"/>
      <c r="AB57" s="100"/>
      <c r="AC57" s="100"/>
      <c r="AD57" s="100"/>
      <c r="AE57" s="100">
        <f>SUM(AF57:AP57)</f>
        <v>0</v>
      </c>
      <c r="AF57" s="100"/>
      <c r="AG57" s="100"/>
      <c r="AH57" s="100"/>
      <c r="AI57" s="100"/>
      <c r="AJ57" s="100"/>
      <c r="AK57" s="100"/>
      <c r="AL57" s="100"/>
      <c r="AM57" s="100"/>
      <c r="AN57" s="100"/>
      <c r="AO57" s="100"/>
      <c r="AP57" s="100"/>
      <c r="AQ57" s="100"/>
      <c r="AR57" s="100"/>
      <c r="AS57" s="100"/>
      <c r="AT57" s="100"/>
      <c r="AU57" s="100"/>
      <c r="AV57" s="100"/>
      <c r="AW57" s="100"/>
      <c r="AX57" s="100"/>
      <c r="AY57" s="100"/>
      <c r="AZ57" s="100"/>
      <c r="BA57" s="100"/>
      <c r="BB57" s="100">
        <f>D57-BL57</f>
        <v>0.28000000000000003</v>
      </c>
      <c r="BC57" s="100"/>
      <c r="BD57" s="100"/>
      <c r="BE57" s="100"/>
      <c r="BF57" s="100"/>
      <c r="BG57" s="100"/>
      <c r="BH57" s="100">
        <f t="shared" si="22"/>
        <v>0</v>
      </c>
      <c r="BI57" s="100"/>
      <c r="BJ57" s="100"/>
      <c r="BK57" s="100"/>
      <c r="BL57" s="100">
        <f>E57+W57+X57+Y57+Z57+AA57+AB57+AC57+AD57+AE57+AQ57+AR57+AS57+AT57+AU57+AV57+AW57+AX57+AY57+AZ57+BA57+BC57+BD57+BE57+BF57+BG57+BH57</f>
        <v>0</v>
      </c>
      <c r="BM57" s="100">
        <f>BB67-BL57</f>
        <v>0</v>
      </c>
      <c r="BN57" s="100">
        <f t="shared" si="29"/>
        <v>0.28000000000000003</v>
      </c>
      <c r="BP57" s="123"/>
    </row>
    <row r="58" spans="1:68" ht="20.100000000000001" customHeight="1">
      <c r="A58" s="19" t="s">
        <v>108</v>
      </c>
      <c r="B58" s="144" t="s">
        <v>491</v>
      </c>
      <c r="C58" s="5" t="s">
        <v>110</v>
      </c>
      <c r="D58" s="100">
        <f>#REF!</f>
        <v>5.46</v>
      </c>
      <c r="E58" s="100">
        <f t="shared" si="4"/>
        <v>0</v>
      </c>
      <c r="F58" s="100">
        <f t="shared" si="21"/>
        <v>0</v>
      </c>
      <c r="G58" s="100">
        <f t="shared" si="8"/>
        <v>0</v>
      </c>
      <c r="H58" s="100">
        <f t="shared" si="12"/>
        <v>0</v>
      </c>
      <c r="I58" s="100"/>
      <c r="J58" s="100"/>
      <c r="K58" s="100"/>
      <c r="L58" s="100"/>
      <c r="M58" s="100"/>
      <c r="N58" s="100"/>
      <c r="O58" s="100"/>
      <c r="P58" s="100"/>
      <c r="Q58" s="100"/>
      <c r="R58" s="100"/>
      <c r="S58" s="100"/>
      <c r="T58" s="100"/>
      <c r="U58" s="100"/>
      <c r="V58" s="100">
        <f t="shared" si="13"/>
        <v>5.46</v>
      </c>
      <c r="W58" s="100"/>
      <c r="X58" s="100"/>
      <c r="Y58" s="100"/>
      <c r="Z58" s="100"/>
      <c r="AA58" s="100"/>
      <c r="AB58" s="100"/>
      <c r="AC58" s="100"/>
      <c r="AD58" s="100"/>
      <c r="AE58" s="100">
        <f t="shared" si="27"/>
        <v>0</v>
      </c>
      <c r="AF58" s="100"/>
      <c r="AG58" s="100"/>
      <c r="AH58" s="100"/>
      <c r="AI58" s="100"/>
      <c r="AJ58" s="100"/>
      <c r="AK58" s="100"/>
      <c r="AL58" s="100"/>
      <c r="AM58" s="100"/>
      <c r="AN58" s="100"/>
      <c r="AO58" s="100"/>
      <c r="AP58" s="100"/>
      <c r="AQ58" s="100"/>
      <c r="AR58" s="100"/>
      <c r="AS58" s="100"/>
      <c r="AT58" s="100"/>
      <c r="AU58" s="100"/>
      <c r="AV58" s="100"/>
      <c r="AW58" s="100"/>
      <c r="AX58" s="100"/>
      <c r="AY58" s="100"/>
      <c r="AZ58" s="100"/>
      <c r="BA58" s="100"/>
      <c r="BB58" s="100"/>
      <c r="BC58" s="100">
        <f>D58-BL58</f>
        <v>5.46</v>
      </c>
      <c r="BD58" s="100"/>
      <c r="BE58" s="100"/>
      <c r="BF58" s="100"/>
      <c r="BG58" s="100"/>
      <c r="BH58" s="100">
        <f t="shared" si="22"/>
        <v>0</v>
      </c>
      <c r="BI58" s="100"/>
      <c r="BJ58" s="100"/>
      <c r="BK58" s="100"/>
      <c r="BL58" s="100">
        <f>E58+W58+X58+Y58+Z58+AA58+AB58+AC58+AD58+AE58+AQ58+AR58+AS58+AT58+AU58+AV58+AW58+AX58+AY58+AZ58+BA58+BB58+BD58+BE58+BF58+BG58+BH58</f>
        <v>0</v>
      </c>
      <c r="BM58" s="100">
        <f>BC67-BL58</f>
        <v>0</v>
      </c>
      <c r="BN58" s="100">
        <f t="shared" si="29"/>
        <v>5.46</v>
      </c>
      <c r="BP58" s="123"/>
    </row>
    <row r="59" spans="1:68" ht="20.100000000000001" customHeight="1">
      <c r="A59" s="19" t="s">
        <v>111</v>
      </c>
      <c r="B59" s="144" t="s">
        <v>112</v>
      </c>
      <c r="C59" s="5" t="s">
        <v>113</v>
      </c>
      <c r="D59" s="100">
        <f>#REF!</f>
        <v>0.01</v>
      </c>
      <c r="E59" s="100">
        <f t="shared" si="4"/>
        <v>0</v>
      </c>
      <c r="F59" s="100">
        <f t="shared" si="21"/>
        <v>0</v>
      </c>
      <c r="G59" s="100">
        <f t="shared" si="8"/>
        <v>0</v>
      </c>
      <c r="H59" s="100">
        <f t="shared" si="12"/>
        <v>0</v>
      </c>
      <c r="I59" s="100"/>
      <c r="J59" s="100"/>
      <c r="K59" s="100"/>
      <c r="L59" s="100"/>
      <c r="M59" s="100"/>
      <c r="N59" s="100"/>
      <c r="O59" s="100"/>
      <c r="P59" s="100"/>
      <c r="Q59" s="100"/>
      <c r="R59" s="100"/>
      <c r="S59" s="100"/>
      <c r="T59" s="100"/>
      <c r="U59" s="100"/>
      <c r="V59" s="100">
        <f t="shared" si="13"/>
        <v>0.01</v>
      </c>
      <c r="W59" s="100"/>
      <c r="X59" s="100"/>
      <c r="Y59" s="100"/>
      <c r="Z59" s="100"/>
      <c r="AA59" s="100"/>
      <c r="AB59" s="100"/>
      <c r="AC59" s="100"/>
      <c r="AD59" s="100"/>
      <c r="AE59" s="100">
        <f t="shared" si="27"/>
        <v>0</v>
      </c>
      <c r="AF59" s="100"/>
      <c r="AG59" s="100"/>
      <c r="AH59" s="100"/>
      <c r="AI59" s="100"/>
      <c r="AJ59" s="100"/>
      <c r="AK59" s="100"/>
      <c r="AL59" s="100"/>
      <c r="AM59" s="100"/>
      <c r="AN59" s="100"/>
      <c r="AO59" s="100"/>
      <c r="AP59" s="100"/>
      <c r="AQ59" s="100"/>
      <c r="AR59" s="100"/>
      <c r="AS59" s="100"/>
      <c r="AT59" s="100"/>
      <c r="AU59" s="100"/>
      <c r="AV59" s="100"/>
      <c r="AW59" s="100"/>
      <c r="AX59" s="100"/>
      <c r="AY59" s="100"/>
      <c r="AZ59" s="100"/>
      <c r="BA59" s="100"/>
      <c r="BB59" s="100"/>
      <c r="BC59" s="100"/>
      <c r="BD59" s="100">
        <f>D59-BL59</f>
        <v>0.01</v>
      </c>
      <c r="BE59" s="100"/>
      <c r="BF59" s="100"/>
      <c r="BG59" s="100"/>
      <c r="BH59" s="100">
        <f t="shared" si="22"/>
        <v>0</v>
      </c>
      <c r="BI59" s="100"/>
      <c r="BJ59" s="100"/>
      <c r="BK59" s="100"/>
      <c r="BL59" s="100">
        <f>E59+W59+X59+Y59+Z59+AA59+AB59+AC59+AD59+AE59+AQ59+AR59+AS59+AT59+AU59+AV59+AW59+AX59+AY59+AZ59+BA59+BB59+BC59+BE59+BF59+BG59+BH59</f>
        <v>0</v>
      </c>
      <c r="BM59" s="100">
        <f>BD67-BL59</f>
        <v>0</v>
      </c>
      <c r="BN59" s="100">
        <f t="shared" si="29"/>
        <v>0.01</v>
      </c>
      <c r="BP59" s="123"/>
    </row>
    <row r="60" spans="1:68" ht="20.100000000000001" customHeight="1">
      <c r="A60" s="19" t="s">
        <v>114</v>
      </c>
      <c r="B60" s="144" t="s">
        <v>115</v>
      </c>
      <c r="C60" s="5" t="s">
        <v>116</v>
      </c>
      <c r="D60" s="100">
        <f>#REF!</f>
        <v>9.67</v>
      </c>
      <c r="E60" s="100">
        <f t="shared" si="4"/>
        <v>0</v>
      </c>
      <c r="F60" s="100">
        <f t="shared" si="21"/>
        <v>0</v>
      </c>
      <c r="G60" s="100">
        <f t="shared" si="8"/>
        <v>0</v>
      </c>
      <c r="H60" s="100">
        <f t="shared" si="12"/>
        <v>0</v>
      </c>
      <c r="I60" s="100"/>
      <c r="J60" s="100"/>
      <c r="K60" s="100"/>
      <c r="L60" s="100"/>
      <c r="M60" s="100"/>
      <c r="N60" s="100"/>
      <c r="O60" s="100"/>
      <c r="P60" s="100"/>
      <c r="Q60" s="100"/>
      <c r="R60" s="100"/>
      <c r="S60" s="100"/>
      <c r="T60" s="100"/>
      <c r="U60" s="100"/>
      <c r="V60" s="100">
        <f t="shared" si="13"/>
        <v>9.67</v>
      </c>
      <c r="W60" s="100"/>
      <c r="X60" s="100"/>
      <c r="Y60" s="100"/>
      <c r="Z60" s="100"/>
      <c r="AA60" s="100"/>
      <c r="AB60" s="100"/>
      <c r="AC60" s="100"/>
      <c r="AD60" s="100"/>
      <c r="AE60" s="100">
        <f t="shared" si="27"/>
        <v>0</v>
      </c>
      <c r="AF60" s="100"/>
      <c r="AG60" s="100"/>
      <c r="AH60" s="100"/>
      <c r="AI60" s="100"/>
      <c r="AJ60" s="100"/>
      <c r="AK60" s="100"/>
      <c r="AL60" s="100"/>
      <c r="AM60" s="100"/>
      <c r="AN60" s="100"/>
      <c r="AO60" s="100"/>
      <c r="AP60" s="100"/>
      <c r="AQ60" s="100"/>
      <c r="AR60" s="100"/>
      <c r="AS60" s="100"/>
      <c r="AT60" s="100"/>
      <c r="AU60" s="100"/>
      <c r="AV60" s="100"/>
      <c r="AW60" s="100"/>
      <c r="AX60" s="100"/>
      <c r="AY60" s="100"/>
      <c r="AZ60" s="100"/>
      <c r="BA60" s="100"/>
      <c r="BB60" s="100"/>
      <c r="BC60" s="100"/>
      <c r="BD60" s="100"/>
      <c r="BE60" s="100">
        <f>D60-BL60</f>
        <v>9.67</v>
      </c>
      <c r="BF60" s="100"/>
      <c r="BG60" s="100"/>
      <c r="BH60" s="100">
        <f t="shared" si="22"/>
        <v>0</v>
      </c>
      <c r="BI60" s="100"/>
      <c r="BJ60" s="100"/>
      <c r="BK60" s="100"/>
      <c r="BL60" s="100">
        <f>E60+W60+X60+Y60+Z60+AA60+AB60+AC60+AD60+AE60+AQ60+AR60+AS60+AT60+AU60+AV60+AW60+AX60+AY60+AZ60+BA60+BB60+BC60+BD60+BF60+BG60+BH60</f>
        <v>0</v>
      </c>
      <c r="BM60" s="100">
        <f>BE67-BL60</f>
        <v>0</v>
      </c>
      <c r="BN60" s="100">
        <f t="shared" si="29"/>
        <v>9.67</v>
      </c>
      <c r="BP60" s="123"/>
    </row>
    <row r="61" spans="1:68" ht="20.100000000000001" customHeight="1">
      <c r="A61" s="19" t="s">
        <v>117</v>
      </c>
      <c r="B61" s="144" t="s">
        <v>118</v>
      </c>
      <c r="C61" s="5" t="s">
        <v>119</v>
      </c>
      <c r="D61" s="100"/>
      <c r="E61" s="100">
        <f t="shared" si="4"/>
        <v>0</v>
      </c>
      <c r="F61" s="100">
        <f t="shared" si="21"/>
        <v>0</v>
      </c>
      <c r="G61" s="100">
        <f t="shared" si="8"/>
        <v>0</v>
      </c>
      <c r="H61" s="100">
        <f t="shared" si="12"/>
        <v>0</v>
      </c>
      <c r="I61" s="100"/>
      <c r="J61" s="100"/>
      <c r="K61" s="100"/>
      <c r="L61" s="100"/>
      <c r="M61" s="100"/>
      <c r="N61" s="100"/>
      <c r="O61" s="100"/>
      <c r="P61" s="100"/>
      <c r="Q61" s="100"/>
      <c r="R61" s="100"/>
      <c r="S61" s="100"/>
      <c r="T61" s="100"/>
      <c r="U61" s="100"/>
      <c r="V61" s="100">
        <f t="shared" si="13"/>
        <v>0</v>
      </c>
      <c r="W61" s="100"/>
      <c r="X61" s="100"/>
      <c r="Y61" s="100"/>
      <c r="Z61" s="100"/>
      <c r="AA61" s="100"/>
      <c r="AB61" s="100"/>
      <c r="AC61" s="100"/>
      <c r="AD61" s="100"/>
      <c r="AE61" s="100">
        <f t="shared" si="27"/>
        <v>0</v>
      </c>
      <c r="AF61" s="100"/>
      <c r="AG61" s="100"/>
      <c r="AH61" s="100"/>
      <c r="AI61" s="100"/>
      <c r="AJ61" s="100"/>
      <c r="AK61" s="100"/>
      <c r="AL61" s="100"/>
      <c r="AM61" s="100"/>
      <c r="AN61" s="100"/>
      <c r="AO61" s="100"/>
      <c r="AP61" s="100"/>
      <c r="AQ61" s="100"/>
      <c r="AR61" s="100"/>
      <c r="AS61" s="100"/>
      <c r="AT61" s="100"/>
      <c r="AU61" s="100"/>
      <c r="AV61" s="100"/>
      <c r="AW61" s="100"/>
      <c r="AX61" s="100"/>
      <c r="AY61" s="100"/>
      <c r="AZ61" s="100"/>
      <c r="BA61" s="100"/>
      <c r="BB61" s="100"/>
      <c r="BC61" s="100"/>
      <c r="BD61" s="100"/>
      <c r="BE61" s="100"/>
      <c r="BF61" s="100">
        <f>D61-BL61</f>
        <v>0</v>
      </c>
      <c r="BG61" s="100"/>
      <c r="BH61" s="100">
        <f t="shared" si="22"/>
        <v>0</v>
      </c>
      <c r="BI61" s="100"/>
      <c r="BJ61" s="100"/>
      <c r="BK61" s="100"/>
      <c r="BL61" s="100">
        <f>E61+W61+X61+Y61+Z61+AA61+AB61+AC61+AD61+AE61+AQ61+AR61+AS61+AT61+AU61+AV61+AW61+AX61+AY61+AZ61+BA61+BB61+BC61+BD61+BE61+BG61+BH61</f>
        <v>0</v>
      </c>
      <c r="BM61" s="100">
        <f>BF67-BL61</f>
        <v>0</v>
      </c>
      <c r="BN61" s="100">
        <f t="shared" si="29"/>
        <v>0</v>
      </c>
      <c r="BP61" s="123"/>
    </row>
    <row r="62" spans="1:68" ht="20.100000000000001" customHeight="1">
      <c r="A62" s="19" t="s">
        <v>120</v>
      </c>
      <c r="B62" s="144" t="s">
        <v>121</v>
      </c>
      <c r="C62" s="5" t="s">
        <v>122</v>
      </c>
      <c r="D62" s="100"/>
      <c r="E62" s="100">
        <f t="shared" si="4"/>
        <v>0</v>
      </c>
      <c r="F62" s="100">
        <f t="shared" si="21"/>
        <v>0</v>
      </c>
      <c r="G62" s="100">
        <f t="shared" si="8"/>
        <v>0</v>
      </c>
      <c r="H62" s="100">
        <f t="shared" si="12"/>
        <v>0</v>
      </c>
      <c r="I62" s="100"/>
      <c r="J62" s="100"/>
      <c r="K62" s="100"/>
      <c r="L62" s="100"/>
      <c r="M62" s="100"/>
      <c r="N62" s="100"/>
      <c r="O62" s="100"/>
      <c r="P62" s="100"/>
      <c r="Q62" s="100"/>
      <c r="R62" s="100"/>
      <c r="S62" s="100"/>
      <c r="T62" s="100"/>
      <c r="U62" s="100"/>
      <c r="V62" s="100">
        <f t="shared" si="13"/>
        <v>0</v>
      </c>
      <c r="W62" s="100"/>
      <c r="X62" s="100"/>
      <c r="Y62" s="100"/>
      <c r="Z62" s="100"/>
      <c r="AA62" s="100"/>
      <c r="AB62" s="100"/>
      <c r="AC62" s="100"/>
      <c r="AD62" s="100"/>
      <c r="AE62" s="100">
        <f t="shared" si="27"/>
        <v>0</v>
      </c>
      <c r="AF62" s="100"/>
      <c r="AG62" s="100"/>
      <c r="AH62" s="100"/>
      <c r="AI62" s="100"/>
      <c r="AJ62" s="100"/>
      <c r="AK62" s="100"/>
      <c r="AL62" s="100"/>
      <c r="AM62" s="100"/>
      <c r="AN62" s="100"/>
      <c r="AO62" s="100"/>
      <c r="AP62" s="100"/>
      <c r="AQ62" s="100"/>
      <c r="AR62" s="100"/>
      <c r="AS62" s="100"/>
      <c r="AT62" s="100"/>
      <c r="AU62" s="100"/>
      <c r="AV62" s="100"/>
      <c r="AW62" s="100"/>
      <c r="AX62" s="100"/>
      <c r="AY62" s="100"/>
      <c r="AZ62" s="100"/>
      <c r="BA62" s="100"/>
      <c r="BB62" s="100"/>
      <c r="BC62" s="100"/>
      <c r="BD62" s="100"/>
      <c r="BE62" s="100"/>
      <c r="BF62" s="100"/>
      <c r="BG62" s="100">
        <f>D62-BL62</f>
        <v>0</v>
      </c>
      <c r="BH62" s="100">
        <f t="shared" si="22"/>
        <v>0</v>
      </c>
      <c r="BI62" s="100"/>
      <c r="BJ62" s="100"/>
      <c r="BK62" s="100"/>
      <c r="BL62" s="100">
        <f>E62+W62+X62+Y62+Z62+AA62+AB62+AC62+AD62+AE62+AQ62+AR62+AS62+AT62+AU62+AV62+AW62+AX62+AY62+AZ62+BA62+BB62+BC62+BD62+BE62+BF62+BH62</f>
        <v>0</v>
      </c>
      <c r="BM62" s="100">
        <f>BG67-BL62</f>
        <v>0</v>
      </c>
      <c r="BN62" s="100">
        <f t="shared" si="29"/>
        <v>0</v>
      </c>
      <c r="BP62" s="123"/>
    </row>
    <row r="63" spans="1:68" s="115" customFormat="1" ht="21.75" customHeight="1">
      <c r="A63" s="15">
        <v>3</v>
      </c>
      <c r="B63" s="142" t="s">
        <v>123</v>
      </c>
      <c r="C63" s="6" t="s">
        <v>124</v>
      </c>
      <c r="D63" s="175">
        <f>D64+D65+D66</f>
        <v>0.62</v>
      </c>
      <c r="E63" s="175">
        <f>E64+E65+E66</f>
        <v>0</v>
      </c>
      <c r="F63" s="175">
        <f t="shared" ref="F63:U63" si="30">F64+F65+F66</f>
        <v>0</v>
      </c>
      <c r="G63" s="175">
        <f t="shared" si="30"/>
        <v>0</v>
      </c>
      <c r="H63" s="175">
        <f t="shared" si="30"/>
        <v>0</v>
      </c>
      <c r="I63" s="175">
        <f t="shared" si="30"/>
        <v>0</v>
      </c>
      <c r="J63" s="175">
        <f t="shared" si="30"/>
        <v>0</v>
      </c>
      <c r="K63" s="175">
        <f t="shared" si="30"/>
        <v>0</v>
      </c>
      <c r="L63" s="175">
        <f t="shared" si="30"/>
        <v>0</v>
      </c>
      <c r="M63" s="175">
        <f t="shared" si="30"/>
        <v>0</v>
      </c>
      <c r="N63" s="175">
        <f t="shared" si="30"/>
        <v>0</v>
      </c>
      <c r="O63" s="175">
        <f t="shared" si="30"/>
        <v>0</v>
      </c>
      <c r="P63" s="175">
        <f t="shared" si="30"/>
        <v>0</v>
      </c>
      <c r="Q63" s="175">
        <f t="shared" si="30"/>
        <v>0</v>
      </c>
      <c r="R63" s="175">
        <f t="shared" si="30"/>
        <v>0</v>
      </c>
      <c r="S63" s="175">
        <f t="shared" si="30"/>
        <v>0</v>
      </c>
      <c r="T63" s="175">
        <f t="shared" si="30"/>
        <v>0</v>
      </c>
      <c r="U63" s="175">
        <f t="shared" si="30"/>
        <v>0</v>
      </c>
      <c r="V63" s="175">
        <f>V64+V65+V66</f>
        <v>0</v>
      </c>
      <c r="W63" s="175">
        <f t="shared" ref="W63:BG63" si="31">W64+W65+W66</f>
        <v>0</v>
      </c>
      <c r="X63" s="175">
        <f t="shared" si="31"/>
        <v>0</v>
      </c>
      <c r="Y63" s="175">
        <f t="shared" si="31"/>
        <v>0</v>
      </c>
      <c r="Z63" s="175">
        <f t="shared" si="31"/>
        <v>0</v>
      </c>
      <c r="AA63" s="175">
        <f t="shared" si="31"/>
        <v>0</v>
      </c>
      <c r="AB63" s="175">
        <f t="shared" si="31"/>
        <v>0</v>
      </c>
      <c r="AC63" s="175">
        <f t="shared" si="31"/>
        <v>0</v>
      </c>
      <c r="AD63" s="175">
        <f t="shared" si="31"/>
        <v>0</v>
      </c>
      <c r="AE63" s="175">
        <f t="shared" si="31"/>
        <v>0</v>
      </c>
      <c r="AF63" s="175">
        <f t="shared" si="31"/>
        <v>0</v>
      </c>
      <c r="AG63" s="175">
        <f t="shared" si="31"/>
        <v>0</v>
      </c>
      <c r="AH63" s="175">
        <f t="shared" si="31"/>
        <v>0</v>
      </c>
      <c r="AI63" s="175">
        <f t="shared" si="31"/>
        <v>0</v>
      </c>
      <c r="AJ63" s="175">
        <f t="shared" si="31"/>
        <v>0</v>
      </c>
      <c r="AK63" s="175">
        <f t="shared" si="31"/>
        <v>0</v>
      </c>
      <c r="AL63" s="175">
        <f t="shared" si="31"/>
        <v>0</v>
      </c>
      <c r="AM63" s="175">
        <f t="shared" si="31"/>
        <v>0</v>
      </c>
      <c r="AN63" s="175">
        <f t="shared" si="31"/>
        <v>0</v>
      </c>
      <c r="AO63" s="175">
        <f t="shared" si="31"/>
        <v>0</v>
      </c>
      <c r="AP63" s="175">
        <f t="shared" si="31"/>
        <v>0</v>
      </c>
      <c r="AQ63" s="175">
        <f t="shared" si="31"/>
        <v>0</v>
      </c>
      <c r="AR63" s="175">
        <f t="shared" si="31"/>
        <v>0</v>
      </c>
      <c r="AS63" s="175">
        <f t="shared" si="31"/>
        <v>0</v>
      </c>
      <c r="AT63" s="175">
        <f t="shared" si="31"/>
        <v>0</v>
      </c>
      <c r="AU63" s="175">
        <f t="shared" si="31"/>
        <v>0</v>
      </c>
      <c r="AV63" s="175">
        <f t="shared" si="31"/>
        <v>0</v>
      </c>
      <c r="AW63" s="175">
        <f t="shared" si="31"/>
        <v>0</v>
      </c>
      <c r="AX63" s="175">
        <f t="shared" si="31"/>
        <v>0</v>
      </c>
      <c r="AY63" s="175">
        <f t="shared" si="31"/>
        <v>0</v>
      </c>
      <c r="AZ63" s="175">
        <f t="shared" si="31"/>
        <v>0</v>
      </c>
      <c r="BA63" s="175">
        <f t="shared" si="31"/>
        <v>0</v>
      </c>
      <c r="BB63" s="175">
        <f t="shared" si="31"/>
        <v>0</v>
      </c>
      <c r="BC63" s="175">
        <f t="shared" si="31"/>
        <v>0</v>
      </c>
      <c r="BD63" s="175">
        <f t="shared" si="31"/>
        <v>0</v>
      </c>
      <c r="BE63" s="175">
        <f t="shared" si="31"/>
        <v>0</v>
      </c>
      <c r="BF63" s="175">
        <f t="shared" si="31"/>
        <v>0</v>
      </c>
      <c r="BG63" s="175">
        <f t="shared" si="31"/>
        <v>0</v>
      </c>
      <c r="BH63" s="175">
        <f>D63-BL63</f>
        <v>0.62</v>
      </c>
      <c r="BI63" s="175">
        <f t="shared" ref="BI63:BN63" si="32">BI64+BI65+BI66</f>
        <v>0.62</v>
      </c>
      <c r="BJ63" s="175">
        <f t="shared" si="32"/>
        <v>0</v>
      </c>
      <c r="BK63" s="175">
        <f t="shared" si="32"/>
        <v>0</v>
      </c>
      <c r="BL63" s="175">
        <f t="shared" si="32"/>
        <v>0</v>
      </c>
      <c r="BM63" s="175">
        <f t="shared" si="32"/>
        <v>0</v>
      </c>
      <c r="BN63" s="175">
        <f t="shared" si="32"/>
        <v>0.62</v>
      </c>
    </row>
    <row r="64" spans="1:68" ht="21.75" customHeight="1">
      <c r="A64" s="14" t="s">
        <v>220</v>
      </c>
      <c r="B64" s="143" t="s">
        <v>461</v>
      </c>
      <c r="C64" s="5" t="s">
        <v>209</v>
      </c>
      <c r="D64" s="100">
        <f>#REF!</f>
        <v>0.62</v>
      </c>
      <c r="E64" s="100">
        <f t="shared" si="4"/>
        <v>0</v>
      </c>
      <c r="F64" s="100">
        <f t="shared" si="21"/>
        <v>0</v>
      </c>
      <c r="G64" s="100">
        <f t="shared" si="8"/>
        <v>0</v>
      </c>
      <c r="H64" s="100">
        <f t="shared" si="12"/>
        <v>0</v>
      </c>
      <c r="I64" s="100"/>
      <c r="J64" s="100"/>
      <c r="K64" s="100"/>
      <c r="L64" s="100"/>
      <c r="M64" s="100"/>
      <c r="N64" s="100"/>
      <c r="O64" s="100"/>
      <c r="P64" s="100"/>
      <c r="Q64" s="100"/>
      <c r="R64" s="100"/>
      <c r="S64" s="100"/>
      <c r="T64" s="100"/>
      <c r="U64" s="100"/>
      <c r="V64" s="100">
        <f t="shared" si="13"/>
        <v>0</v>
      </c>
      <c r="W64" s="100"/>
      <c r="X64" s="100"/>
      <c r="Y64" s="100"/>
      <c r="Z64" s="100"/>
      <c r="AA64" s="100"/>
      <c r="AB64" s="100"/>
      <c r="AC64" s="100"/>
      <c r="AD64" s="100"/>
      <c r="AE64" s="100">
        <f t="shared" si="27"/>
        <v>0</v>
      </c>
      <c r="AF64" s="100"/>
      <c r="AG64" s="100"/>
      <c r="AH64" s="100"/>
      <c r="AI64" s="100"/>
      <c r="AJ64" s="100"/>
      <c r="AK64" s="100"/>
      <c r="AL64" s="100"/>
      <c r="AM64" s="100"/>
      <c r="AN64" s="100"/>
      <c r="AO64" s="100"/>
      <c r="AP64" s="100"/>
      <c r="AQ64" s="100"/>
      <c r="AR64" s="100"/>
      <c r="AS64" s="100"/>
      <c r="AT64" s="100"/>
      <c r="AU64" s="100"/>
      <c r="AV64" s="100"/>
      <c r="AW64" s="100"/>
      <c r="AX64" s="100"/>
      <c r="AY64" s="100"/>
      <c r="AZ64" s="100"/>
      <c r="BA64" s="100"/>
      <c r="BB64" s="100"/>
      <c r="BC64" s="100"/>
      <c r="BD64" s="100"/>
      <c r="BE64" s="100"/>
      <c r="BF64" s="100"/>
      <c r="BG64" s="100"/>
      <c r="BH64" s="100">
        <f>BI64+BJ64+BK64</f>
        <v>0.62</v>
      </c>
      <c r="BI64" s="100">
        <f>D64-BL64</f>
        <v>0.62</v>
      </c>
      <c r="BJ64" s="100"/>
      <c r="BK64" s="100"/>
      <c r="BL64" s="100">
        <f>E64+V64</f>
        <v>0</v>
      </c>
      <c r="BM64" s="100">
        <f>BI67-BL64</f>
        <v>0</v>
      </c>
      <c r="BN64" s="100">
        <f>D64+BM64</f>
        <v>0.62</v>
      </c>
      <c r="BP64" s="123"/>
    </row>
    <row r="65" spans="1:68" ht="21.75" customHeight="1">
      <c r="A65" s="14" t="s">
        <v>221</v>
      </c>
      <c r="B65" s="143" t="s">
        <v>462</v>
      </c>
      <c r="C65" s="5" t="s">
        <v>210</v>
      </c>
      <c r="D65" s="100"/>
      <c r="E65" s="100">
        <f t="shared" si="4"/>
        <v>0</v>
      </c>
      <c r="F65" s="100">
        <f t="shared" si="21"/>
        <v>0</v>
      </c>
      <c r="G65" s="100">
        <f t="shared" si="8"/>
        <v>0</v>
      </c>
      <c r="H65" s="100">
        <f t="shared" si="12"/>
        <v>0</v>
      </c>
      <c r="I65" s="100"/>
      <c r="J65" s="100"/>
      <c r="K65" s="100"/>
      <c r="L65" s="100"/>
      <c r="M65" s="100"/>
      <c r="N65" s="100"/>
      <c r="O65" s="100"/>
      <c r="P65" s="100"/>
      <c r="Q65" s="100"/>
      <c r="R65" s="100"/>
      <c r="S65" s="100"/>
      <c r="T65" s="100"/>
      <c r="U65" s="100"/>
      <c r="V65" s="100">
        <f t="shared" si="13"/>
        <v>0</v>
      </c>
      <c r="W65" s="100"/>
      <c r="X65" s="100"/>
      <c r="Y65" s="100"/>
      <c r="Z65" s="100"/>
      <c r="AA65" s="100"/>
      <c r="AB65" s="100"/>
      <c r="AC65" s="100"/>
      <c r="AD65" s="100"/>
      <c r="AE65" s="100">
        <f t="shared" si="27"/>
        <v>0</v>
      </c>
      <c r="AF65" s="100"/>
      <c r="AG65" s="100"/>
      <c r="AH65" s="100"/>
      <c r="AI65" s="100"/>
      <c r="AJ65" s="100"/>
      <c r="AK65" s="100"/>
      <c r="AL65" s="100"/>
      <c r="AM65" s="100"/>
      <c r="AN65" s="100"/>
      <c r="AO65" s="100"/>
      <c r="AP65" s="100"/>
      <c r="AQ65" s="100"/>
      <c r="AR65" s="100"/>
      <c r="AS65" s="100"/>
      <c r="AT65" s="100"/>
      <c r="AU65" s="100"/>
      <c r="AV65" s="100"/>
      <c r="AW65" s="100"/>
      <c r="AX65" s="100"/>
      <c r="AY65" s="100"/>
      <c r="AZ65" s="100"/>
      <c r="BA65" s="100"/>
      <c r="BB65" s="100"/>
      <c r="BC65" s="100"/>
      <c r="BD65" s="100"/>
      <c r="BE65" s="100"/>
      <c r="BF65" s="100"/>
      <c r="BG65" s="100"/>
      <c r="BH65" s="100">
        <f>BI65+BJ65+BK65</f>
        <v>0</v>
      </c>
      <c r="BI65" s="100"/>
      <c r="BJ65" s="100">
        <f>D65-BL65</f>
        <v>0</v>
      </c>
      <c r="BK65" s="100"/>
      <c r="BL65" s="100">
        <f>E65+V65</f>
        <v>0</v>
      </c>
      <c r="BM65" s="100">
        <f>BJ67-BL65</f>
        <v>0</v>
      </c>
      <c r="BN65" s="100">
        <f>D65+BM65</f>
        <v>0</v>
      </c>
      <c r="BP65" s="123"/>
    </row>
    <row r="66" spans="1:68" ht="21.75" customHeight="1">
      <c r="A66" s="16" t="s">
        <v>222</v>
      </c>
      <c r="B66" s="145" t="s">
        <v>492</v>
      </c>
      <c r="C66" s="9" t="s">
        <v>211</v>
      </c>
      <c r="D66" s="280"/>
      <c r="E66" s="280">
        <f t="shared" si="4"/>
        <v>0</v>
      </c>
      <c r="F66" s="280">
        <f t="shared" si="21"/>
        <v>0</v>
      </c>
      <c r="G66" s="280">
        <f t="shared" si="8"/>
        <v>0</v>
      </c>
      <c r="H66" s="280">
        <f t="shared" si="12"/>
        <v>0</v>
      </c>
      <c r="I66" s="280"/>
      <c r="J66" s="280"/>
      <c r="K66" s="280"/>
      <c r="L66" s="280"/>
      <c r="M66" s="280"/>
      <c r="N66" s="280"/>
      <c r="O66" s="280"/>
      <c r="P66" s="280"/>
      <c r="Q66" s="280"/>
      <c r="R66" s="280"/>
      <c r="S66" s="280"/>
      <c r="T66" s="280"/>
      <c r="U66" s="280"/>
      <c r="V66" s="280">
        <f t="shared" si="13"/>
        <v>0</v>
      </c>
      <c r="W66" s="280"/>
      <c r="X66" s="280"/>
      <c r="Y66" s="280"/>
      <c r="Z66" s="280"/>
      <c r="AA66" s="280"/>
      <c r="AB66" s="280"/>
      <c r="AC66" s="280"/>
      <c r="AD66" s="280"/>
      <c r="AE66" s="280">
        <f t="shared" si="27"/>
        <v>0</v>
      </c>
      <c r="AF66" s="280"/>
      <c r="AG66" s="280"/>
      <c r="AH66" s="280"/>
      <c r="AI66" s="280"/>
      <c r="AJ66" s="280"/>
      <c r="AK66" s="280"/>
      <c r="AL66" s="280"/>
      <c r="AM66" s="280"/>
      <c r="AN66" s="280"/>
      <c r="AO66" s="280"/>
      <c r="AP66" s="280"/>
      <c r="AQ66" s="280"/>
      <c r="AR66" s="280"/>
      <c r="AS66" s="280"/>
      <c r="AT66" s="280"/>
      <c r="AU66" s="280"/>
      <c r="AV66" s="280"/>
      <c r="AW66" s="280"/>
      <c r="AX66" s="280"/>
      <c r="AY66" s="280"/>
      <c r="AZ66" s="280"/>
      <c r="BA66" s="280"/>
      <c r="BB66" s="280"/>
      <c r="BC66" s="280"/>
      <c r="BD66" s="280"/>
      <c r="BE66" s="280"/>
      <c r="BF66" s="280"/>
      <c r="BG66" s="280"/>
      <c r="BH66" s="280">
        <f>BI66+BJ66+BK66</f>
        <v>0</v>
      </c>
      <c r="BI66" s="280"/>
      <c r="BJ66" s="280"/>
      <c r="BK66" s="280">
        <f>D66-BL66</f>
        <v>0</v>
      </c>
      <c r="BL66" s="280">
        <f>E66+V66</f>
        <v>0</v>
      </c>
      <c r="BM66" s="280">
        <f>D66-BL66</f>
        <v>0</v>
      </c>
      <c r="BN66" s="280">
        <f>D66+BM66</f>
        <v>0</v>
      </c>
      <c r="BP66" s="123"/>
    </row>
    <row r="67" spans="1:68" s="113" customFormat="1" ht="24.75" customHeight="1">
      <c r="A67" s="17"/>
      <c r="B67" s="146" t="s">
        <v>190</v>
      </c>
      <c r="C67" s="11"/>
      <c r="D67" s="189"/>
      <c r="E67" s="189">
        <f>E25+E63</f>
        <v>0</v>
      </c>
      <c r="F67" s="189">
        <f>F18+F22+F23+F24+F25+F63</f>
        <v>0</v>
      </c>
      <c r="G67" s="189">
        <f>G17+G18+G22+G23+G24+G25+G63</f>
        <v>0</v>
      </c>
      <c r="H67" s="189">
        <f>H15+H16+H17+H18+H22+H23+H24+H25+H63</f>
        <v>0</v>
      </c>
      <c r="I67" s="189">
        <f>I13+I14+I15+I16+I17+I18+I22+I23+I24+I25+I63</f>
        <v>0</v>
      </c>
      <c r="J67" s="189">
        <f>J12+J14+J15+J16+J17+J18+J22+J23+J24+J25+J63</f>
        <v>0</v>
      </c>
      <c r="K67" s="189">
        <f>K12+K13+K15+K16+K17+K18+K22+K23+K24+K25+K63</f>
        <v>0</v>
      </c>
      <c r="L67" s="189">
        <f>L12+L13+L14+L16+L17+L18+L22+L23+L24+L25+L63</f>
        <v>0</v>
      </c>
      <c r="M67" s="189">
        <f>M12+M13+M14+M15+M17+M18+M22+M23+M24+M25+M63</f>
        <v>0</v>
      </c>
      <c r="N67" s="189">
        <f>N12+N13+N14+N15+N16+N18+N22+N23+N24+N25+N63</f>
        <v>0</v>
      </c>
      <c r="O67" s="189">
        <f>O9+O22+O23+O24+O25+O63</f>
        <v>0</v>
      </c>
      <c r="P67" s="189">
        <f>P10+P17+P20+P21+P22+P23+P24+P25+P63</f>
        <v>0</v>
      </c>
      <c r="Q67" s="189">
        <f>Q12+Q13+Q14+Q15+Q16+Q17+Q19+Q21+Q22+Q23+Q24+Q25+Q63</f>
        <v>0</v>
      </c>
      <c r="R67" s="189">
        <f>R12+R13+R14+R15+R16+R17+R19+R20+R22+R23+R24+R25+R63</f>
        <v>0</v>
      </c>
      <c r="S67" s="189">
        <f>S9+S18+S23+S24+S25+S63</f>
        <v>0</v>
      </c>
      <c r="T67" s="189">
        <f>T9+T18+T22+T24+T25+T63</f>
        <v>0</v>
      </c>
      <c r="U67" s="189">
        <f>U9+U18+U22+U23+U25+U63</f>
        <v>0</v>
      </c>
      <c r="V67" s="189">
        <f>V8+V63</f>
        <v>0</v>
      </c>
      <c r="W67" s="189">
        <f>W8+W27+W28+W29+W30+W31+W32+W33+W34+W46+W47+W48+W49+W50+W51+W52+W53+W54+W55+W56+W57+W58+W59+W60+W61+W62+W63</f>
        <v>0</v>
      </c>
      <c r="X67" s="189">
        <f>X8+X26+X28+X29+X30+X31+X32+X33+X34+X46+X47+X48+X49+X50+X51+X52+X53+X54+X55+X56+X57+X58+X59+X60+X61+X62+X63</f>
        <v>0</v>
      </c>
      <c r="Y67" s="189">
        <f>Y8+Y26+Y27+Y29+Y30+Y31+Y32+Y33+Y34+Y46+Y47+Y48+Y49+Y50+Y51+Y52+Y53+Y54+Y55+Y56+Y57+Y58+Y59+Y60+Y61+Y62+Y63</f>
        <v>0</v>
      </c>
      <c r="Z67" s="189">
        <f>Z8+Z26+Z27+Z28+Z30+Z31+Z32+Z33+Z34+Z46+Z47+Z48+Z49+Z50+Z51+Z52+Z53+Z54+Z55+Z56+Z57+Z58+Z59+Z60+Z61+Z62+Z63</f>
        <v>0</v>
      </c>
      <c r="AA67" s="189">
        <f>AA8+AA26+AA27+AA28+AA29+AA31+AA32+AA33+AA34+AA46+AA47+AA48+AA49+AA50+AA51+AA52+AA53+AA54+AA55+AA56+AA57+AA58+AA59+AA60+AA61+AA62+AA63</f>
        <v>0</v>
      </c>
      <c r="AB67" s="731">
        <f>AB8+AB26+AB27+AB28+AB29+AB30+AB32+AB33+AB34+AB46+AB47+AB48+AB49+AB50+AB51+AB52+AB53+AB54+AB55+AB56+AB57+AB58+AB59+AB60+AB61+AB62+AB63</f>
        <v>0</v>
      </c>
      <c r="AC67" s="189">
        <f>AC8+AC26+AC27+AC28+AC29+AC30+AC31+AC33+AC34+AC46+AC47+AC48+AC49+AC50+AC51+AC52+AC53+AC54+AC55+AC56+AC57+AC58+AC59+AC60+AC61+AC62+AC63</f>
        <v>0</v>
      </c>
      <c r="AD67" s="189">
        <f>AD8+AD26+AD27+AD28+AD29+AD30+AD31+AD32+AD34+AD46+AD47+AD48+AD49+AD50+AD51+AD52+AD53+AD54+AD55+AD56+AD57+AD58+AD59+AD60+AD61+AD62+AD63</f>
        <v>0</v>
      </c>
      <c r="AE67" s="189">
        <f>AE8+AE26+AE27+AE28+AE29+AE30+AE31+AE32+AE33+AE46+AE47+AE48+AE49+AE50+AE51+AE52+AE53+AE54+AE55+AE56+AE57+AE58+AE59+AE60+AE61+AE62+AE63</f>
        <v>0</v>
      </c>
      <c r="AF67" s="189">
        <f>AF8+AF26+AF27+AF28+AF29+AF30+AF31+AF32+AF33+AF3+AF36+AF37+AF38+AF39+AF40+AF41+AF42+AF43+AF44+AF45+AF46+AF47+AF48+AF49+AF50+AF51+AF52+AF53+AF54+AF55+AF56+AF57+AF58+AF59+AF60+AF61+AF62+AF63</f>
        <v>0</v>
      </c>
      <c r="AG67" s="189">
        <f>AG8+AG26+AG27+AG28+AG29+AG30+AG31+AG32+AG33+AG35+AG37+AG38+AG39+AG40+AG41+AG42+AG43+AG44+AG45+AG46+AG47+AG48+AG49+AG50+AG51+AG52+AG53+AG54+AG55+AG56+AG57+AG58+AG59+AG60+AG61+AG62+AG63</f>
        <v>0</v>
      </c>
      <c r="AH67" s="189">
        <f>AH8+AH26+AH27+AH28+AH29+AH30+AH31+AH32+AH33+AH35+AH36+AH38+AH39+AH40+AH41+AH42+AH43+AH44+AH45+AH46+AH47+AH48+AH49+AH50+AH51+AH52+AH53+AH54+AH55+AH56+AH57+AH58+AH59+AH60+AH61+AH62+AH63</f>
        <v>0</v>
      </c>
      <c r="AI67" s="189">
        <f>AI8+AI26+AI27+AI28+AI29+AI30+AI31+AI32+AI33+AI35+AI36+AI37+AI39+AI40+AI41+AI42+AI43+AI44+AI45+AI46+AI47+AI48+AI49+AI50+AI51+AI52+AI53+AI54+AI55+AI56+AI57+AI58+AI59+AI60+AI61+AI62+AI63</f>
        <v>0</v>
      </c>
      <c r="AJ67" s="189">
        <f>AJ8+AJ26+AJ27+AJ28+AJ29+AJ30+AJ31+AJ32+AJ33+AJ35+AJ36+AJ37+AJ38+AJ40+AJ41+AJ42+AJ43+AJ44+AJ45+AJ46+AJ47+AJ48+AJ49+AJ50+AJ51+AJ52+AJ53+AJ54+AJ55+AJ56+AJ57+AJ58+AJ59+AJ60+AJ61+AJ62+AJ63</f>
        <v>0</v>
      </c>
      <c r="AK67" s="189">
        <f>AK8+AK26+AK27+AK28+AK29+AK30+AK31+AK32+AK33+AK35+AK36+AK37+AK38+AK39+AK41+AK42+AK43+AK44+AK45+AK46+AK47+AK48+AK49+AK50+AK51+AK52+AK53+AK54+AK55+AK56+AK57+AK58+AK59+AK60+AK61+AK62+AK63</f>
        <v>0</v>
      </c>
      <c r="AL67" s="189">
        <f>AL8+AL26+AL27+AL28+AL29+AL30+AL31+AL32+AL33+AL35+AL36+AL37+AL38+AL39+AL40+AL42+AL43+AL44+AL45+AL46+AL47+AL48+AL49+AL50+AL51+AL52+AL53+AL54+AL55+AL56+AL57+AL58+AL59+AL60+AL61+AL62+AL63</f>
        <v>0</v>
      </c>
      <c r="AM67" s="189">
        <f>AM8+AM26+AM27+AM28+AM29+AM30+AM31+AM32+AM33+AM35+AM36+AM37+AM38+AM39+AM40+AM41+AM43+AM44+AM45+AM46+AM47+AM48+AM49+AM50+AM51+AM52+AM53+AM54+AM55+AM56+AM57+AM58+AM59+AM60+AM61+AM62+AM63</f>
        <v>0</v>
      </c>
      <c r="AN67" s="189">
        <f>AN8+AN26+AN27+AN28+AN29+AN30+AN31+AN32+AN33+AN35+AN36+AN37+AN38+AN39+AN40+AN41+AN42+AN44+AN45+AN46+AN47+AN48+AN49+AN50+AN51+AN52+AN53+AN54+AN55+AN56+AN57+AN58+AN59+AN60+AN61+AN62+AN63</f>
        <v>0</v>
      </c>
      <c r="AO67" s="189">
        <f>AO8+AO26+AO27+AO28+AO29+AO30+AO31+AO32+AO33+AO35+AO36+AO37+AO38+AO39+AO40+AO41+AO42+AO43+AO45+AO46+AO47+AO48+AO49+AO50+AO51+AO52+AO53+AO54+AO55+AO56+AO57+AO58+AO59+AO60+AO61+AO62+AO63</f>
        <v>0</v>
      </c>
      <c r="AP67" s="189">
        <f>AP8+AP26+AP27+AP28+AP29+AP30+AP31+AP32+AP33+AP35+AP36+AP37+AP38+AP39+AP40+AP41+AP42+AP43+AP44+AP46+AP47+AP48+AP49+AP50+AP51+AP52+AP53+AP54+AP55+AP56+AP57+AP58+AP59+AP60+AP61+AP62+AP63</f>
        <v>0</v>
      </c>
      <c r="AQ67" s="189">
        <f>AQ8+AQ26+AQ27+AQ28+AQ29+AQ30+AQ31+AQ32+AQ33+AQ34+AQ47+AQ48+AQ49+AQ50+AQ51+AQ52+AQ53+AQ54+AQ55+AQ56+AQ57+AQ58+AQ59+AQ60+AQ61+AQ62+AQ63</f>
        <v>0</v>
      </c>
      <c r="AR67" s="189">
        <f>AR8+AR26+AR27+AR28+AR29+AR30+AR31+AR32+AR33+AR34+AR46+AR48+AR49+AR50+AR51+AR52+AR53+AR54+AR55+AR56+AR57+AR58+AR59+AR60+AR61+AR62+AR63</f>
        <v>0</v>
      </c>
      <c r="AS67" s="189">
        <f>AS8+AS26+AS27+AS28+AS29+AS30+AS31+AS32+AS33+AS34+AS46+AS47+AS49+AS50+AS51+AS52+AS53+AS54+AS55+AS56+AS57+AS58+AS59+AS60+AS61+AS62+AS63</f>
        <v>0</v>
      </c>
      <c r="AT67" s="189">
        <f>AT8+AT26+AT27+AT28+AT29+AT30+AT31+AT32+AT33+AT34+AT46+AT47+AT48+AT50+AT51+AT52+AT53+AT54+AT55+AT56+AT57+AT58+AT59+AT60+AT61+AT62+AT63</f>
        <v>0</v>
      </c>
      <c r="AU67" s="189">
        <f>AU8+AU26+AU27+AU28+AU29+AU30+AU31+AU32+AU33+AU34+AU46+AU47+AU48+AU49+AU51+AU52+AU53+AU54+AU55+AU56+AU57+AU58+AU59+AU60+AU61+AU62+AU63</f>
        <v>0.46</v>
      </c>
      <c r="AV67" s="189">
        <f>AV8+AV26+AV27+AV28+AV29+AV30+AV31+AV32+AV33+AV34+AV46+AV47+AV48+AV49+AV50+AV52+AV53+AV54+AV55+AV56+AV57+AV58+AV59+AV60+AV61+AV62+AV63</f>
        <v>0</v>
      </c>
      <c r="AW67" s="731">
        <f>AW8+AW26+AW27+AW28+AW29+AW30+AW31+AW32+AW33+AW34+AW46+AW47+AW48+AW49+AW50+AW51+AW53+AW54+AW55+AW56+AW57+AW58+AW59+AW60+AW61+AW62+AW63</f>
        <v>0</v>
      </c>
      <c r="AX67" s="189">
        <f>AX8+AX26+AX27+AX28+AX29+AX30+AX31+AX32+AX33+AX34+AX46+AX47+AX48+AX49+AX50+AX51+AX52+AX54+AX55+AX56+AX57+AX58+AX59+AX60+AX61+AX62+AX63</f>
        <v>0</v>
      </c>
      <c r="AY67" s="189">
        <f>AY8+AY26+AY27+AY28+AY29+AY30+AY31+AY32+AY33+AY34+AY46+AY47+AY48+AY49+AY50+AY51+AY52+AY53+AY55+AY56+AY57+AY58+AY59+AY60+AY61+AY62+AY63</f>
        <v>0</v>
      </c>
      <c r="AZ67" s="189">
        <f>AZ8+AZ26+AZ27+AZ28+AZ29+AZ30+AZ31+AZ32+AZ33+AZ34+AZ46+AZ47+AZ48+AZ49+AZ50+AZ51+AZ52+AZ53+AZ54+AZ56+AZ57+AZ58+AZ59+AZ60+AZ61+AZ62+AZ63</f>
        <v>0</v>
      </c>
      <c r="BA67" s="189">
        <f>BA8+BA26+BA27+BA28+BA29+BA30+BA31+BA32+BA33+BA34+BA46+BA47+BA48+BA49+BA50+BA51+BA52+BA53+BA54+BA55+BA57+BA58+BA59+BA60+BA61+BA62+BA63</f>
        <v>0</v>
      </c>
      <c r="BB67" s="189">
        <f>BB8+BB26+BB27+BB28+BB29+BB30+BB31+BB32+BB33+BB34+BB46+BB47+BB48+BB49+BB50+BB51+BB52+BB53+BB54+BB55+BB56+BB58+BB59+BB60+BB61+BB62+BB63</f>
        <v>0</v>
      </c>
      <c r="BC67" s="189">
        <f>BC8+BC26+BC27+BC28+BC29+BC30+BC31+BC32+BC33+BC34+BC46+BC47+BC48+BC49+BC50+BC51+BC52+BC53+BC54+BC55+BC56+BC57+BC59+BC60+BC61+BC62+BC63</f>
        <v>0</v>
      </c>
      <c r="BD67" s="189">
        <f>BD8+BD26+BD27+BD28+BD29+BD30+BD31+BD32+BD33+BD34+BD46+BD47+BD48+BD49+BD50+BD51+BD52+BD53+BD54+BD55+BD56+BD57+BD58+BD60+BD61+BD62+BD63</f>
        <v>0</v>
      </c>
      <c r="BE67" s="189">
        <f>BE8+BE26+BE27+BE28+BE29+BE30+BE31+BE32+BE33+BE34+BE46+BE47+BE48+BE49+BE50+BE51+BE52+BE53+BE54+BE55+BE56+BE57+BE58+BE59+BE61+BE62+BE63</f>
        <v>0</v>
      </c>
      <c r="BF67" s="189">
        <f>BF8+BF26+BF27+BF28+BF29+BF30+BF31+BF32+BF33+BF34+BF46+BF47+BF48+BF49+BF50+BF51+BF52+BF53+BF54+BF55+BF56+BF57+BF58+BF59+BF60+BF62+BF63</f>
        <v>0</v>
      </c>
      <c r="BG67" s="189">
        <f>BG8+BG26+BG27+BG28+BG29+BG30+BG31+BG32+BG33+BG34+BG46+BG47+BG48+BG49+BG50+BG51+BG52+BG53+BG54+BG55+BG56+BG57+BG58+BG59+BG60+BG61+BG63</f>
        <v>0</v>
      </c>
      <c r="BH67" s="189">
        <f>BH8+BH25</f>
        <v>0</v>
      </c>
      <c r="BI67" s="189">
        <f>BI8+BI25+BI65+BI66</f>
        <v>0</v>
      </c>
      <c r="BJ67" s="189">
        <f>BJ8+BJ25+BJ64+BJ66</f>
        <v>0</v>
      </c>
      <c r="BK67" s="189">
        <f>BK8+BK25+BK64+BK65</f>
        <v>0</v>
      </c>
      <c r="BL67" s="189"/>
      <c r="BM67" s="189"/>
      <c r="BN67" s="189"/>
    </row>
    <row r="68" spans="1:68" s="103" customFormat="1" ht="31.5" customHeight="1">
      <c r="A68" s="18"/>
      <c r="B68" s="149" t="s">
        <v>695</v>
      </c>
      <c r="C68" s="10"/>
      <c r="D68" s="458">
        <f>BN7</f>
        <v>72.409500000000008</v>
      </c>
      <c r="E68" s="458">
        <f>BN8</f>
        <v>0</v>
      </c>
      <c r="F68" s="458">
        <f>BN9</f>
        <v>0</v>
      </c>
      <c r="G68" s="458">
        <f>BN10</f>
        <v>0</v>
      </c>
      <c r="H68" s="458">
        <f>BN11</f>
        <v>0</v>
      </c>
      <c r="I68" s="458">
        <f>BN12</f>
        <v>0</v>
      </c>
      <c r="J68" s="458">
        <f>BN13</f>
        <v>0</v>
      </c>
      <c r="K68" s="458">
        <f>BN14</f>
        <v>0</v>
      </c>
      <c r="L68" s="458">
        <f>BN15</f>
        <v>0</v>
      </c>
      <c r="M68" s="458">
        <f>BN16</f>
        <v>0</v>
      </c>
      <c r="N68" s="458">
        <f>BN17</f>
        <v>0</v>
      </c>
      <c r="O68" s="458">
        <f>BN18</f>
        <v>0</v>
      </c>
      <c r="P68" s="458">
        <f>BN19</f>
        <v>0</v>
      </c>
      <c r="Q68" s="458">
        <f>BN20</f>
        <v>0</v>
      </c>
      <c r="R68" s="458">
        <f>BN21</f>
        <v>0</v>
      </c>
      <c r="S68" s="458">
        <f>BN22</f>
        <v>0</v>
      </c>
      <c r="T68" s="458">
        <f>BN23</f>
        <v>0</v>
      </c>
      <c r="U68" s="458">
        <f>BN24</f>
        <v>0</v>
      </c>
      <c r="V68" s="458">
        <f>BN25</f>
        <v>71.789500000000004</v>
      </c>
      <c r="W68" s="458">
        <f>BN26</f>
        <v>5.47</v>
      </c>
      <c r="X68" s="458">
        <f>BN27</f>
        <v>0.43</v>
      </c>
      <c r="Y68" s="458">
        <f>BN28</f>
        <v>0</v>
      </c>
      <c r="Z68" s="458">
        <f>BN29</f>
        <v>0</v>
      </c>
      <c r="AA68" s="458">
        <f>BN30</f>
        <v>0</v>
      </c>
      <c r="AB68" s="458">
        <f>BN31</f>
        <v>2.67</v>
      </c>
      <c r="AC68" s="458">
        <f>BN32</f>
        <v>0</v>
      </c>
      <c r="AD68" s="458">
        <f>BN33</f>
        <v>0</v>
      </c>
      <c r="AE68" s="458">
        <f>BN34</f>
        <v>29.960000000000004</v>
      </c>
      <c r="AF68" s="458">
        <f>BN35</f>
        <v>2.35</v>
      </c>
      <c r="AG68" s="458">
        <f>BN36</f>
        <v>0.02</v>
      </c>
      <c r="AH68" s="458">
        <f>BN37</f>
        <v>1.95</v>
      </c>
      <c r="AI68" s="458">
        <f>BN38</f>
        <v>0.37</v>
      </c>
      <c r="AJ68" s="458">
        <f>BN39</f>
        <v>0</v>
      </c>
      <c r="AK68" s="458">
        <f>BN40</f>
        <v>0</v>
      </c>
      <c r="AL68" s="458">
        <f>BN41</f>
        <v>22.84</v>
      </c>
      <c r="AM68" s="458">
        <f>BN42</f>
        <v>1.66</v>
      </c>
      <c r="AN68" s="458">
        <f>BN43</f>
        <v>0</v>
      </c>
      <c r="AO68" s="458">
        <f>BN44</f>
        <v>0.17</v>
      </c>
      <c r="AP68" s="458">
        <f>BN45</f>
        <v>0.6</v>
      </c>
      <c r="AQ68" s="458">
        <f>BN46</f>
        <v>0</v>
      </c>
      <c r="AR68" s="458">
        <f>BN47</f>
        <v>0</v>
      </c>
      <c r="AS68" s="458">
        <f>BN48</f>
        <v>0</v>
      </c>
      <c r="AT68" s="458">
        <f>BN49</f>
        <v>0</v>
      </c>
      <c r="AU68" s="458">
        <f>BN50</f>
        <v>14.13</v>
      </c>
      <c r="AV68" s="458">
        <f>BN51</f>
        <v>3.7095000000000002</v>
      </c>
      <c r="AW68" s="458">
        <f>BN52</f>
        <v>0</v>
      </c>
      <c r="AX68" s="458">
        <f>BN53</f>
        <v>0</v>
      </c>
      <c r="AY68" s="458">
        <f>BN54</f>
        <v>0</v>
      </c>
      <c r="AZ68" s="458">
        <f>BN55</f>
        <v>0</v>
      </c>
      <c r="BA68" s="458">
        <f>BN56</f>
        <v>0</v>
      </c>
      <c r="BB68" s="458">
        <f>BN57</f>
        <v>0.28000000000000003</v>
      </c>
      <c r="BC68" s="458">
        <f>BN58</f>
        <v>5.46</v>
      </c>
      <c r="BD68" s="458">
        <f>BN59</f>
        <v>0.01</v>
      </c>
      <c r="BE68" s="458">
        <f>BN60</f>
        <v>9.67</v>
      </c>
      <c r="BF68" s="458">
        <f>BN61</f>
        <v>0</v>
      </c>
      <c r="BG68" s="458">
        <f>BN62</f>
        <v>0</v>
      </c>
      <c r="BH68" s="458">
        <f>BN63</f>
        <v>0.62</v>
      </c>
      <c r="BI68" s="458">
        <f>BN64</f>
        <v>0.62</v>
      </c>
      <c r="BJ68" s="458">
        <f>BN65</f>
        <v>0</v>
      </c>
      <c r="BK68" s="458">
        <f>BN66</f>
        <v>0</v>
      </c>
      <c r="BL68" s="458"/>
      <c r="BM68" s="458"/>
      <c r="BN68" s="458"/>
    </row>
    <row r="69" spans="1:68" ht="24.95" customHeight="1">
      <c r="A69">
        <f>0.42+10.37</f>
        <v>10.79</v>
      </c>
      <c r="X69">
        <v>79.17</v>
      </c>
    </row>
    <row r="70" spans="1:68" ht="18" customHeight="1">
      <c r="A70" s="1300" t="s">
        <v>10</v>
      </c>
      <c r="B70" s="1300"/>
      <c r="X70">
        <f>X67-X69</f>
        <v>-79.17</v>
      </c>
    </row>
    <row r="71" spans="1:68" ht="28.5" customHeight="1">
      <c r="A71" s="1300" t="s">
        <v>321</v>
      </c>
      <c r="B71" s="1300"/>
      <c r="C71" s="1300"/>
      <c r="D71" s="1300"/>
      <c r="E71" s="1300"/>
      <c r="F71" s="1300"/>
      <c r="G71" s="1300"/>
      <c r="H71" s="1300"/>
      <c r="I71" s="1300"/>
      <c r="J71" s="1300"/>
      <c r="K71" s="1300"/>
      <c r="L71" s="1300"/>
      <c r="M71" s="1300"/>
      <c r="N71" s="1300"/>
      <c r="O71" s="1300"/>
      <c r="P71" s="1300"/>
      <c r="Q71" s="1300"/>
      <c r="R71" s="1300"/>
      <c r="S71" s="1300"/>
      <c r="T71" s="1300"/>
      <c r="U71" s="1300"/>
      <c r="V71" s="1300"/>
      <c r="W71" s="1300"/>
      <c r="X71" s="1300"/>
      <c r="Y71" s="1300"/>
      <c r="Z71" s="1300"/>
      <c r="AA71" s="1300"/>
      <c r="AB71" s="1300"/>
      <c r="AC71" s="1300"/>
      <c r="AD71" s="1300"/>
      <c r="AE71" s="1300"/>
      <c r="AF71" s="1300"/>
      <c r="AG71" s="1300"/>
      <c r="AH71" s="1300"/>
      <c r="AI71" s="1300"/>
      <c r="AJ71" s="1300"/>
      <c r="AK71" s="1300"/>
      <c r="AL71" s="1300"/>
      <c r="AM71" s="1300"/>
      <c r="AN71" s="1300"/>
      <c r="AO71" s="1300"/>
      <c r="AP71" s="1300"/>
      <c r="AQ71" s="1300"/>
      <c r="AR71" s="1300"/>
      <c r="AS71" s="1300"/>
    </row>
    <row r="72" spans="1:68" ht="24.75" customHeight="1">
      <c r="A72" s="1300" t="s">
        <v>322</v>
      </c>
      <c r="B72" s="1300"/>
      <c r="C72" s="1300"/>
      <c r="D72" s="1300"/>
      <c r="E72" s="1300"/>
      <c r="F72" s="1300"/>
      <c r="G72" s="1300"/>
      <c r="H72" s="1300"/>
      <c r="I72" s="1300"/>
      <c r="J72" s="1300"/>
      <c r="K72" s="1300"/>
      <c r="L72" s="1300"/>
      <c r="M72" s="1300"/>
      <c r="N72" s="1300"/>
      <c r="O72" s="1300"/>
      <c r="P72" s="1300"/>
      <c r="Q72" s="1300"/>
      <c r="R72" s="1300"/>
      <c r="S72" s="1300"/>
      <c r="T72" s="1300"/>
      <c r="U72" s="1300"/>
      <c r="V72" s="1300"/>
      <c r="W72" s="1300"/>
      <c r="X72" s="1300"/>
      <c r="Y72" s="1300"/>
      <c r="Z72" s="1300"/>
      <c r="AA72" s="1300"/>
      <c r="AB72" s="1300"/>
      <c r="AC72" s="1300"/>
      <c r="AD72" s="1300"/>
      <c r="AE72" s="1300"/>
      <c r="AF72" s="1300"/>
      <c r="AG72" s="1300"/>
      <c r="AH72" s="1300"/>
      <c r="AI72" s="1300"/>
      <c r="AJ72" s="1300"/>
      <c r="AK72" s="1300"/>
      <c r="AL72" s="1300"/>
      <c r="AM72" s="1300"/>
      <c r="AN72" s="1300"/>
      <c r="AO72" s="1300"/>
      <c r="AP72" s="1300"/>
      <c r="AQ72" s="1300"/>
      <c r="AR72" s="1300"/>
      <c r="AS72" s="1300"/>
    </row>
    <row r="73" spans="1:68" ht="21.75" customHeight="1">
      <c r="AR73" s="1300" t="s">
        <v>138</v>
      </c>
      <c r="AS73" s="1300"/>
    </row>
    <row r="74" spans="1:68" ht="31.5" customHeight="1">
      <c r="A74" s="1300" t="s">
        <v>0</v>
      </c>
      <c r="B74" s="1300" t="s">
        <v>12</v>
      </c>
      <c r="C74" s="1300" t="s">
        <v>13</v>
      </c>
      <c r="D74" s="1300" t="s">
        <v>324</v>
      </c>
      <c r="E74" s="1300" t="s">
        <v>326</v>
      </c>
      <c r="F74" s="1300"/>
      <c r="G74" s="1300"/>
      <c r="H74" s="1300"/>
      <c r="I74" s="1300"/>
      <c r="J74" s="1300"/>
      <c r="K74" s="1300"/>
      <c r="L74" s="1300"/>
      <c r="M74" s="1300"/>
      <c r="N74" s="1300"/>
      <c r="O74" s="1300"/>
      <c r="P74" s="1300"/>
      <c r="Q74" s="1300"/>
      <c r="R74" s="1300"/>
      <c r="S74" s="1300"/>
      <c r="T74" s="1300"/>
      <c r="U74" s="1300"/>
      <c r="V74" s="1300"/>
      <c r="W74" s="1300"/>
      <c r="X74" s="1300"/>
      <c r="Y74" s="1300"/>
      <c r="Z74" s="1300"/>
      <c r="AA74" s="1300"/>
      <c r="AB74" s="1300"/>
      <c r="AC74" s="1300"/>
      <c r="AD74" s="1300"/>
      <c r="AE74" s="1300"/>
      <c r="AF74" s="1300"/>
      <c r="AG74" s="1300"/>
      <c r="AH74" s="1300"/>
      <c r="AI74" s="1300"/>
      <c r="AJ74" s="1300"/>
      <c r="AK74" s="1300"/>
      <c r="AL74" s="1300"/>
      <c r="AM74" s="1300"/>
      <c r="AN74" s="1300"/>
      <c r="AO74" s="1300"/>
      <c r="AP74" s="1300"/>
      <c r="AQ74" s="1300"/>
      <c r="AR74" s="1300" t="s">
        <v>191</v>
      </c>
      <c r="AS74" s="1300" t="s">
        <v>323</v>
      </c>
    </row>
    <row r="75" spans="1:68" ht="30" customHeight="1">
      <c r="A75" s="1300"/>
      <c r="B75" s="1300"/>
      <c r="C75" s="1300"/>
      <c r="D75" s="1300"/>
      <c r="E75" t="s">
        <v>15</v>
      </c>
      <c r="F75" t="s">
        <v>18</v>
      </c>
      <c r="G75" t="s">
        <v>20</v>
      </c>
      <c r="H75" t="s">
        <v>23</v>
      </c>
      <c r="I75" t="s">
        <v>26</v>
      </c>
      <c r="J75" t="s">
        <v>29</v>
      </c>
      <c r="K75" t="s">
        <v>32</v>
      </c>
      <c r="L75" t="s">
        <v>35</v>
      </c>
      <c r="M75" t="s">
        <v>38</v>
      </c>
      <c r="N75" t="s">
        <v>41</v>
      </c>
      <c r="O75" t="s">
        <v>44</v>
      </c>
      <c r="P75" t="s">
        <v>46</v>
      </c>
      <c r="Q75" t="s">
        <v>49</v>
      </c>
      <c r="R75" t="s">
        <v>52</v>
      </c>
      <c r="S75" t="s">
        <v>55</v>
      </c>
      <c r="T75" t="s">
        <v>58</v>
      </c>
      <c r="U75" t="s">
        <v>61</v>
      </c>
      <c r="V75" t="s">
        <v>64</v>
      </c>
      <c r="W75" t="s">
        <v>67</v>
      </c>
      <c r="X75" t="s">
        <v>70</v>
      </c>
      <c r="Y75" t="s">
        <v>72</v>
      </c>
      <c r="Z75" t="s">
        <v>75</v>
      </c>
      <c r="AA75" t="s">
        <v>78</v>
      </c>
      <c r="AB75" t="s">
        <v>81</v>
      </c>
      <c r="AC75" t="s">
        <v>84</v>
      </c>
      <c r="AD75" t="s">
        <v>87</v>
      </c>
      <c r="AE75" t="s">
        <v>90</v>
      </c>
      <c r="AF75" t="s">
        <v>93</v>
      </c>
      <c r="AG75" t="s">
        <v>96</v>
      </c>
      <c r="AH75" t="s">
        <v>99</v>
      </c>
      <c r="AI75" t="s">
        <v>101</v>
      </c>
      <c r="AJ75" t="s">
        <v>104</v>
      </c>
      <c r="AK75" t="s">
        <v>107</v>
      </c>
      <c r="AL75" t="s">
        <v>110</v>
      </c>
      <c r="AM75" t="s">
        <v>113</v>
      </c>
      <c r="AN75" t="s">
        <v>116</v>
      </c>
      <c r="AO75" t="s">
        <v>119</v>
      </c>
      <c r="AP75" t="s">
        <v>122</v>
      </c>
      <c r="AQ75" t="s">
        <v>124</v>
      </c>
      <c r="AR75" s="1300"/>
      <c r="AS75" s="1300"/>
    </row>
    <row r="76" spans="1:68" ht="27.75" customHeight="1">
      <c r="B76" t="s">
        <v>189</v>
      </c>
      <c r="D76">
        <f>D77+D88+D115</f>
        <v>72.409500000000008</v>
      </c>
      <c r="E76">
        <f t="shared" ref="E76:AS76" si="33">E77+E88+E115</f>
        <v>0</v>
      </c>
      <c r="F76">
        <f t="shared" si="33"/>
        <v>0</v>
      </c>
      <c r="G76">
        <f t="shared" si="33"/>
        <v>0</v>
      </c>
      <c r="H76">
        <f t="shared" si="33"/>
        <v>0</v>
      </c>
      <c r="I76">
        <f t="shared" si="33"/>
        <v>0</v>
      </c>
      <c r="J76">
        <f>J77+J88+J115</f>
        <v>0</v>
      </c>
      <c r="K76">
        <f t="shared" si="33"/>
        <v>0</v>
      </c>
      <c r="L76">
        <f t="shared" si="33"/>
        <v>0</v>
      </c>
      <c r="M76">
        <f t="shared" si="33"/>
        <v>0</v>
      </c>
      <c r="N76">
        <f t="shared" si="33"/>
        <v>0</v>
      </c>
      <c r="O76">
        <f t="shared" si="33"/>
        <v>0</v>
      </c>
      <c r="P76">
        <f t="shared" si="33"/>
        <v>71.789500000000004</v>
      </c>
      <c r="Q76">
        <f t="shared" si="33"/>
        <v>5.47</v>
      </c>
      <c r="R76">
        <f t="shared" si="33"/>
        <v>0.43</v>
      </c>
      <c r="S76">
        <f t="shared" si="33"/>
        <v>0</v>
      </c>
      <c r="T76">
        <f t="shared" si="33"/>
        <v>0</v>
      </c>
      <c r="U76">
        <f t="shared" si="33"/>
        <v>0</v>
      </c>
      <c r="V76">
        <f t="shared" si="33"/>
        <v>2.67</v>
      </c>
      <c r="W76">
        <f t="shared" si="33"/>
        <v>0</v>
      </c>
      <c r="X76">
        <f t="shared" si="33"/>
        <v>0</v>
      </c>
      <c r="Y76">
        <f t="shared" si="33"/>
        <v>29.960000000000004</v>
      </c>
      <c r="Z76">
        <f t="shared" si="33"/>
        <v>0</v>
      </c>
      <c r="AA76">
        <f t="shared" si="33"/>
        <v>0</v>
      </c>
      <c r="AB76">
        <f t="shared" si="33"/>
        <v>0</v>
      </c>
      <c r="AC76">
        <f t="shared" si="33"/>
        <v>0</v>
      </c>
      <c r="AD76">
        <f t="shared" si="33"/>
        <v>14.13</v>
      </c>
      <c r="AE76">
        <f t="shared" si="33"/>
        <v>3.7095000000000002</v>
      </c>
      <c r="AF76">
        <f t="shared" si="33"/>
        <v>0</v>
      </c>
      <c r="AG76">
        <f t="shared" si="33"/>
        <v>0</v>
      </c>
      <c r="AH76">
        <f t="shared" si="33"/>
        <v>0</v>
      </c>
      <c r="AI76">
        <f t="shared" si="33"/>
        <v>0</v>
      </c>
      <c r="AJ76">
        <f t="shared" si="33"/>
        <v>0</v>
      </c>
      <c r="AK76">
        <f t="shared" si="33"/>
        <v>0.28000000000000003</v>
      </c>
      <c r="AL76">
        <f t="shared" si="33"/>
        <v>5.46</v>
      </c>
      <c r="AM76">
        <f t="shared" si="33"/>
        <v>0.01</v>
      </c>
      <c r="AN76">
        <f t="shared" si="33"/>
        <v>9.67</v>
      </c>
      <c r="AO76">
        <f t="shared" si="33"/>
        <v>0</v>
      </c>
      <c r="AP76">
        <f t="shared" si="33"/>
        <v>0</v>
      </c>
      <c r="AQ76">
        <f t="shared" si="33"/>
        <v>0</v>
      </c>
      <c r="AS76">
        <f t="shared" si="33"/>
        <v>72.409500000000008</v>
      </c>
    </row>
    <row r="77" spans="1:68" ht="20.25" customHeight="1">
      <c r="A77">
        <v>1</v>
      </c>
      <c r="B77" t="s">
        <v>14</v>
      </c>
      <c r="C77" t="s">
        <v>15</v>
      </c>
      <c r="D77">
        <f>D78+D80+D81+D82+D83+D84+D85+D86+D87</f>
        <v>0</v>
      </c>
      <c r="E77">
        <f t="shared" ref="E77:AS77" si="34">E78+E80+E81+E82+E83+E84+E85+E86+E87</f>
        <v>0</v>
      </c>
      <c r="F77">
        <f t="shared" si="34"/>
        <v>0</v>
      </c>
      <c r="G77">
        <f t="shared" si="34"/>
        <v>0</v>
      </c>
      <c r="H77">
        <f t="shared" si="34"/>
        <v>0</v>
      </c>
      <c r="I77">
        <f t="shared" si="34"/>
        <v>0</v>
      </c>
      <c r="J77">
        <f t="shared" si="34"/>
        <v>0</v>
      </c>
      <c r="K77">
        <f t="shared" si="34"/>
        <v>0</v>
      </c>
      <c r="L77">
        <f t="shared" si="34"/>
        <v>0</v>
      </c>
      <c r="M77">
        <f t="shared" si="34"/>
        <v>0</v>
      </c>
      <c r="N77">
        <f t="shared" si="34"/>
        <v>0</v>
      </c>
      <c r="O77">
        <f t="shared" si="34"/>
        <v>0</v>
      </c>
      <c r="P77">
        <f>P78+P80+P81+P82+P83+P84+P85+P86+P87</f>
        <v>0</v>
      </c>
      <c r="Q77">
        <f t="shared" si="34"/>
        <v>0</v>
      </c>
      <c r="R77">
        <f t="shared" si="34"/>
        <v>0</v>
      </c>
      <c r="S77">
        <f t="shared" si="34"/>
        <v>0</v>
      </c>
      <c r="T77">
        <f t="shared" si="34"/>
        <v>0</v>
      </c>
      <c r="U77">
        <f t="shared" si="34"/>
        <v>0</v>
      </c>
      <c r="V77">
        <f t="shared" si="34"/>
        <v>0</v>
      </c>
      <c r="W77">
        <f t="shared" si="34"/>
        <v>0</v>
      </c>
      <c r="X77">
        <f t="shared" si="34"/>
        <v>0</v>
      </c>
      <c r="Y77">
        <f t="shared" si="34"/>
        <v>0</v>
      </c>
      <c r="Z77">
        <f t="shared" si="34"/>
        <v>0</v>
      </c>
      <c r="AA77">
        <f t="shared" si="34"/>
        <v>0</v>
      </c>
      <c r="AB77">
        <f t="shared" si="34"/>
        <v>0</v>
      </c>
      <c r="AC77">
        <f t="shared" si="34"/>
        <v>0</v>
      </c>
      <c r="AD77">
        <f t="shared" si="34"/>
        <v>0</v>
      </c>
      <c r="AE77">
        <f t="shared" si="34"/>
        <v>0</v>
      </c>
      <c r="AF77">
        <f t="shared" si="34"/>
        <v>0</v>
      </c>
      <c r="AG77">
        <f t="shared" si="34"/>
        <v>0</v>
      </c>
      <c r="AH77">
        <f t="shared" si="34"/>
        <v>0</v>
      </c>
      <c r="AI77">
        <f t="shared" si="34"/>
        <v>0</v>
      </c>
      <c r="AJ77">
        <f t="shared" si="34"/>
        <v>0</v>
      </c>
      <c r="AK77">
        <f t="shared" si="34"/>
        <v>0</v>
      </c>
      <c r="AL77">
        <f t="shared" si="34"/>
        <v>0</v>
      </c>
      <c r="AM77">
        <f t="shared" si="34"/>
        <v>0</v>
      </c>
      <c r="AN77">
        <f t="shared" si="34"/>
        <v>0</v>
      </c>
      <c r="AO77">
        <f t="shared" si="34"/>
        <v>0</v>
      </c>
      <c r="AP77">
        <f t="shared" si="34"/>
        <v>0</v>
      </c>
      <c r="AQ77">
        <f t="shared" si="34"/>
        <v>0</v>
      </c>
      <c r="AR77">
        <f>P77</f>
        <v>0</v>
      </c>
      <c r="AS77">
        <f t="shared" si="34"/>
        <v>0</v>
      </c>
    </row>
    <row r="78" spans="1:68" ht="20.25" customHeight="1">
      <c r="A78" t="s">
        <v>16</v>
      </c>
      <c r="B78" t="s">
        <v>17</v>
      </c>
      <c r="C78" t="s">
        <v>18</v>
      </c>
      <c r="D78">
        <f>D11</f>
        <v>0</v>
      </c>
      <c r="E78">
        <f>F78+H78+I78+J78+K78+L78+M78+N78+O78</f>
        <v>0</v>
      </c>
      <c r="F78">
        <f>D78-AR78</f>
        <v>0</v>
      </c>
      <c r="G78">
        <f>I13</f>
        <v>0</v>
      </c>
      <c r="H78">
        <f>M11</f>
        <v>0</v>
      </c>
      <c r="I78">
        <f>N11</f>
        <v>0</v>
      </c>
      <c r="J78">
        <f t="shared" ref="J78:O79" si="35">P11</f>
        <v>0</v>
      </c>
      <c r="K78">
        <f t="shared" si="35"/>
        <v>0</v>
      </c>
      <c r="L78">
        <f t="shared" si="35"/>
        <v>0</v>
      </c>
      <c r="M78">
        <f t="shared" si="35"/>
        <v>0</v>
      </c>
      <c r="N78">
        <f t="shared" si="35"/>
        <v>0</v>
      </c>
      <c r="O78">
        <f t="shared" si="35"/>
        <v>0</v>
      </c>
      <c r="P78">
        <f>SUM(Q78:AP78)</f>
        <v>0</v>
      </c>
      <c r="Q78">
        <f t="shared" ref="Q78:Y79" si="36">W11</f>
        <v>0</v>
      </c>
      <c r="R78">
        <f t="shared" si="36"/>
        <v>0</v>
      </c>
      <c r="S78">
        <f t="shared" si="36"/>
        <v>0</v>
      </c>
      <c r="T78">
        <f t="shared" si="36"/>
        <v>0</v>
      </c>
      <c r="U78">
        <f t="shared" si="36"/>
        <v>0</v>
      </c>
      <c r="V78">
        <f t="shared" si="36"/>
        <v>0</v>
      </c>
      <c r="W78">
        <f t="shared" si="36"/>
        <v>0</v>
      </c>
      <c r="X78">
        <f t="shared" si="36"/>
        <v>0</v>
      </c>
      <c r="Y78">
        <f t="shared" si="36"/>
        <v>0</v>
      </c>
      <c r="Z78">
        <f>AQ11</f>
        <v>0</v>
      </c>
      <c r="AA78">
        <f t="shared" ref="AA78:AQ79" si="37">AR11</f>
        <v>0</v>
      </c>
      <c r="AB78">
        <f t="shared" si="37"/>
        <v>0</v>
      </c>
      <c r="AC78">
        <f t="shared" si="37"/>
        <v>0</v>
      </c>
      <c r="AD78">
        <f t="shared" si="37"/>
        <v>0</v>
      </c>
      <c r="AE78">
        <f t="shared" si="37"/>
        <v>0</v>
      </c>
      <c r="AF78">
        <f t="shared" si="37"/>
        <v>0</v>
      </c>
      <c r="AG78">
        <f t="shared" si="37"/>
        <v>0</v>
      </c>
      <c r="AH78">
        <f t="shared" si="37"/>
        <v>0</v>
      </c>
      <c r="AI78">
        <f t="shared" si="37"/>
        <v>0</v>
      </c>
      <c r="AJ78">
        <f t="shared" si="37"/>
        <v>0</v>
      </c>
      <c r="AK78">
        <f t="shared" si="37"/>
        <v>0</v>
      </c>
      <c r="AL78">
        <f t="shared" si="37"/>
        <v>0</v>
      </c>
      <c r="AM78">
        <f t="shared" si="37"/>
        <v>0</v>
      </c>
      <c r="AN78">
        <f t="shared" si="37"/>
        <v>0</v>
      </c>
      <c r="AO78">
        <f t="shared" si="37"/>
        <v>0</v>
      </c>
      <c r="AP78">
        <f t="shared" si="37"/>
        <v>0</v>
      </c>
      <c r="AQ78">
        <f t="shared" si="37"/>
        <v>0</v>
      </c>
      <c r="AR78">
        <f>H78+I78+J78+K78+L78+M78+N78+O78+P78+AQ78</f>
        <v>0</v>
      </c>
      <c r="AS78">
        <f>D78+F116-AR78</f>
        <v>0</v>
      </c>
    </row>
    <row r="79" spans="1:68" ht="20.25" customHeight="1">
      <c r="B79" t="s">
        <v>19</v>
      </c>
      <c r="C79" t="s">
        <v>20</v>
      </c>
      <c r="D79">
        <f>D12</f>
        <v>0</v>
      </c>
      <c r="E79">
        <f t="shared" ref="E79:E114" si="38">F79+H79+I79+J79+K79+L79+M79+N79+O79</f>
        <v>0</v>
      </c>
      <c r="G79">
        <f>D79-AR79</f>
        <v>0</v>
      </c>
      <c r="H79">
        <f>M12</f>
        <v>0</v>
      </c>
      <c r="I79">
        <f>N12</f>
        <v>0</v>
      </c>
      <c r="J79">
        <f t="shared" si="35"/>
        <v>0</v>
      </c>
      <c r="K79">
        <f t="shared" si="35"/>
        <v>0</v>
      </c>
      <c r="L79">
        <f t="shared" si="35"/>
        <v>0</v>
      </c>
      <c r="M79">
        <f t="shared" si="35"/>
        <v>0</v>
      </c>
      <c r="N79">
        <f t="shared" si="35"/>
        <v>0</v>
      </c>
      <c r="O79">
        <f t="shared" si="35"/>
        <v>0</v>
      </c>
      <c r="P79">
        <f t="shared" ref="P79:P87" si="39">SUM(Q79:AP79)</f>
        <v>0</v>
      </c>
      <c r="Q79">
        <f t="shared" si="36"/>
        <v>0</v>
      </c>
      <c r="R79">
        <f t="shared" si="36"/>
        <v>0</v>
      </c>
      <c r="S79">
        <f t="shared" si="36"/>
        <v>0</v>
      </c>
      <c r="T79">
        <f t="shared" si="36"/>
        <v>0</v>
      </c>
      <c r="U79">
        <f t="shared" si="36"/>
        <v>0</v>
      </c>
      <c r="V79">
        <f t="shared" si="36"/>
        <v>0</v>
      </c>
      <c r="W79">
        <f t="shared" si="36"/>
        <v>0</v>
      </c>
      <c r="X79">
        <f t="shared" si="36"/>
        <v>0</v>
      </c>
      <c r="Y79">
        <f t="shared" si="36"/>
        <v>0</v>
      </c>
      <c r="Z79">
        <f>AQ12</f>
        <v>0</v>
      </c>
      <c r="AA79">
        <f t="shared" si="37"/>
        <v>0</v>
      </c>
      <c r="AB79">
        <f t="shared" si="37"/>
        <v>0</v>
      </c>
      <c r="AC79">
        <f t="shared" si="37"/>
        <v>0</v>
      </c>
      <c r="AD79">
        <f t="shared" si="37"/>
        <v>0</v>
      </c>
      <c r="AE79">
        <f t="shared" si="37"/>
        <v>0</v>
      </c>
      <c r="AF79">
        <f t="shared" si="37"/>
        <v>0</v>
      </c>
      <c r="AG79">
        <f t="shared" si="37"/>
        <v>0</v>
      </c>
      <c r="AH79">
        <f t="shared" si="37"/>
        <v>0</v>
      </c>
      <c r="AI79">
        <f t="shared" si="37"/>
        <v>0</v>
      </c>
      <c r="AJ79">
        <f t="shared" si="37"/>
        <v>0</v>
      </c>
      <c r="AK79">
        <f t="shared" si="37"/>
        <v>0</v>
      </c>
      <c r="AL79">
        <f t="shared" si="37"/>
        <v>0</v>
      </c>
      <c r="AM79">
        <f t="shared" si="37"/>
        <v>0</v>
      </c>
      <c r="AN79">
        <f t="shared" si="37"/>
        <v>0</v>
      </c>
      <c r="AO79">
        <f t="shared" si="37"/>
        <v>0</v>
      </c>
      <c r="AP79">
        <f t="shared" si="37"/>
        <v>0</v>
      </c>
      <c r="AQ79">
        <f t="shared" si="37"/>
        <v>0</v>
      </c>
      <c r="AR79">
        <f>F79+H79+I79+J79+K79+L79+M79+N79+O79+P79</f>
        <v>0</v>
      </c>
      <c r="AS79">
        <f>D79+G116-AR79</f>
        <v>0</v>
      </c>
    </row>
    <row r="80" spans="1:68" ht="20.25" customHeight="1">
      <c r="A80" t="s">
        <v>21</v>
      </c>
      <c r="B80" t="s">
        <v>22</v>
      </c>
      <c r="C80" t="s">
        <v>23</v>
      </c>
      <c r="D80">
        <f>D16</f>
        <v>0</v>
      </c>
      <c r="E80">
        <f t="shared" si="38"/>
        <v>0</v>
      </c>
      <c r="F80">
        <f>H16</f>
        <v>0</v>
      </c>
      <c r="G80">
        <f>I16</f>
        <v>0</v>
      </c>
      <c r="H80">
        <f>D80-AR80</f>
        <v>0</v>
      </c>
      <c r="I80">
        <f>N16</f>
        <v>0</v>
      </c>
      <c r="J80">
        <f t="shared" ref="J80:O81" si="40">P16</f>
        <v>0</v>
      </c>
      <c r="K80">
        <f t="shared" si="40"/>
        <v>0</v>
      </c>
      <c r="L80">
        <f t="shared" si="40"/>
        <v>0</v>
      </c>
      <c r="M80">
        <f t="shared" si="40"/>
        <v>0</v>
      </c>
      <c r="N80">
        <f t="shared" si="40"/>
        <v>0</v>
      </c>
      <c r="O80">
        <f t="shared" si="40"/>
        <v>0</v>
      </c>
      <c r="P80">
        <f t="shared" si="39"/>
        <v>0</v>
      </c>
      <c r="Q80">
        <f t="shared" ref="Q80:Y81" si="41">W16</f>
        <v>0</v>
      </c>
      <c r="R80">
        <f t="shared" si="41"/>
        <v>0</v>
      </c>
      <c r="S80">
        <f t="shared" si="41"/>
        <v>0</v>
      </c>
      <c r="T80">
        <f t="shared" si="41"/>
        <v>0</v>
      </c>
      <c r="U80">
        <f t="shared" si="41"/>
        <v>0</v>
      </c>
      <c r="V80">
        <f t="shared" si="41"/>
        <v>0</v>
      </c>
      <c r="W80">
        <f t="shared" si="41"/>
        <v>0</v>
      </c>
      <c r="X80">
        <f t="shared" si="41"/>
        <v>0</v>
      </c>
      <c r="Y80">
        <f t="shared" si="41"/>
        <v>0</v>
      </c>
      <c r="Z80">
        <f>AQ16</f>
        <v>0</v>
      </c>
      <c r="AA80">
        <f t="shared" ref="AA80:AQ81" si="42">AR16</f>
        <v>0</v>
      </c>
      <c r="AB80">
        <f t="shared" si="42"/>
        <v>0</v>
      </c>
      <c r="AC80">
        <f t="shared" si="42"/>
        <v>0</v>
      </c>
      <c r="AD80">
        <f t="shared" si="42"/>
        <v>0</v>
      </c>
      <c r="AE80">
        <f t="shared" si="42"/>
        <v>0</v>
      </c>
      <c r="AF80">
        <f t="shared" si="42"/>
        <v>0</v>
      </c>
      <c r="AG80">
        <f t="shared" si="42"/>
        <v>0</v>
      </c>
      <c r="AH80">
        <f t="shared" si="42"/>
        <v>0</v>
      </c>
      <c r="AI80">
        <f t="shared" si="42"/>
        <v>0</v>
      </c>
      <c r="AJ80">
        <f t="shared" si="42"/>
        <v>0</v>
      </c>
      <c r="AK80">
        <f t="shared" si="42"/>
        <v>0</v>
      </c>
      <c r="AL80">
        <f t="shared" si="42"/>
        <v>0</v>
      </c>
      <c r="AM80">
        <f t="shared" si="42"/>
        <v>0</v>
      </c>
      <c r="AN80">
        <f t="shared" si="42"/>
        <v>0</v>
      </c>
      <c r="AO80">
        <f t="shared" si="42"/>
        <v>0</v>
      </c>
      <c r="AP80">
        <f t="shared" si="42"/>
        <v>0</v>
      </c>
      <c r="AQ80">
        <f t="shared" si="42"/>
        <v>0</v>
      </c>
      <c r="AR80">
        <f>F80+I80+J80+K80+L80+M80+N80+O80+P80</f>
        <v>0</v>
      </c>
      <c r="AS80">
        <f>D80+H116-AR80</f>
        <v>0</v>
      </c>
    </row>
    <row r="81" spans="1:45" ht="20.25" customHeight="1">
      <c r="A81" t="s">
        <v>24</v>
      </c>
      <c r="B81" t="s">
        <v>25</v>
      </c>
      <c r="C81" t="s">
        <v>26</v>
      </c>
      <c r="D81">
        <f>D17</f>
        <v>0</v>
      </c>
      <c r="E81">
        <f t="shared" si="38"/>
        <v>0</v>
      </c>
      <c r="F81">
        <f>H17</f>
        <v>0</v>
      </c>
      <c r="G81">
        <f>I17</f>
        <v>0</v>
      </c>
      <c r="H81">
        <f>M17</f>
        <v>0</v>
      </c>
      <c r="I81">
        <f>D81-AR81</f>
        <v>0</v>
      </c>
      <c r="J81">
        <f t="shared" si="40"/>
        <v>0</v>
      </c>
      <c r="K81">
        <f t="shared" si="40"/>
        <v>0</v>
      </c>
      <c r="L81">
        <f t="shared" si="40"/>
        <v>0</v>
      </c>
      <c r="M81">
        <f t="shared" si="40"/>
        <v>0</v>
      </c>
      <c r="N81">
        <f t="shared" si="40"/>
        <v>0</v>
      </c>
      <c r="O81">
        <f t="shared" si="40"/>
        <v>0</v>
      </c>
      <c r="P81">
        <f t="shared" si="39"/>
        <v>0</v>
      </c>
      <c r="Q81">
        <f t="shared" si="41"/>
        <v>0</v>
      </c>
      <c r="R81">
        <f t="shared" si="41"/>
        <v>0</v>
      </c>
      <c r="S81">
        <f t="shared" si="41"/>
        <v>0</v>
      </c>
      <c r="T81">
        <f t="shared" si="41"/>
        <v>0</v>
      </c>
      <c r="U81">
        <f t="shared" si="41"/>
        <v>0</v>
      </c>
      <c r="V81">
        <f t="shared" si="41"/>
        <v>0</v>
      </c>
      <c r="W81">
        <f t="shared" si="41"/>
        <v>0</v>
      </c>
      <c r="X81">
        <f t="shared" si="41"/>
        <v>0</v>
      </c>
      <c r="Y81">
        <f t="shared" si="41"/>
        <v>0</v>
      </c>
      <c r="Z81">
        <f>AQ17</f>
        <v>0</v>
      </c>
      <c r="AA81">
        <f t="shared" si="42"/>
        <v>0</v>
      </c>
      <c r="AB81">
        <f t="shared" si="42"/>
        <v>0</v>
      </c>
      <c r="AC81">
        <f t="shared" si="42"/>
        <v>0</v>
      </c>
      <c r="AD81">
        <f t="shared" si="42"/>
        <v>0</v>
      </c>
      <c r="AE81">
        <f t="shared" si="42"/>
        <v>0</v>
      </c>
      <c r="AF81">
        <f t="shared" si="42"/>
        <v>0</v>
      </c>
      <c r="AG81">
        <f t="shared" si="42"/>
        <v>0</v>
      </c>
      <c r="AH81">
        <f t="shared" si="42"/>
        <v>0</v>
      </c>
      <c r="AI81">
        <f t="shared" si="42"/>
        <v>0</v>
      </c>
      <c r="AJ81">
        <f t="shared" si="42"/>
        <v>0</v>
      </c>
      <c r="AK81">
        <f t="shared" si="42"/>
        <v>0</v>
      </c>
      <c r="AL81">
        <f t="shared" si="42"/>
        <v>0</v>
      </c>
      <c r="AM81">
        <f t="shared" si="42"/>
        <v>0</v>
      </c>
      <c r="AN81">
        <f t="shared" si="42"/>
        <v>0</v>
      </c>
      <c r="AO81">
        <f t="shared" si="42"/>
        <v>0</v>
      </c>
      <c r="AP81">
        <f t="shared" si="42"/>
        <v>0</v>
      </c>
      <c r="AQ81">
        <f t="shared" si="42"/>
        <v>0</v>
      </c>
      <c r="AR81">
        <f>F81+H81+J81+K81+L81+M81+N81+O81+P81</f>
        <v>0</v>
      </c>
      <c r="AS81">
        <f>D81+I116-AR81</f>
        <v>0</v>
      </c>
    </row>
    <row r="82" spans="1:45" ht="20.25" customHeight="1">
      <c r="A82" t="s">
        <v>27</v>
      </c>
      <c r="B82" t="s">
        <v>28</v>
      </c>
      <c r="C82" t="s">
        <v>29</v>
      </c>
      <c r="D82">
        <f t="shared" ref="D82:D87" si="43">D19</f>
        <v>0</v>
      </c>
      <c r="E82">
        <f t="shared" si="38"/>
        <v>0</v>
      </c>
      <c r="F82">
        <f>H20</f>
        <v>0</v>
      </c>
      <c r="G82">
        <f>I20</f>
        <v>0</v>
      </c>
      <c r="H82">
        <f>M20</f>
        <v>0</v>
      </c>
      <c r="I82">
        <f>N20</f>
        <v>0</v>
      </c>
      <c r="J82">
        <f>D82-AR82</f>
        <v>0</v>
      </c>
      <c r="K82">
        <f>Q19</f>
        <v>0</v>
      </c>
      <c r="L82">
        <f>R19</f>
        <v>0</v>
      </c>
      <c r="M82">
        <f t="shared" ref="M82:O83" si="44">S20</f>
        <v>0</v>
      </c>
      <c r="N82">
        <f t="shared" si="44"/>
        <v>0</v>
      </c>
      <c r="O82">
        <f t="shared" si="44"/>
        <v>0</v>
      </c>
      <c r="P82">
        <f t="shared" si="39"/>
        <v>0</v>
      </c>
      <c r="Q82">
        <f>W20</f>
        <v>0</v>
      </c>
      <c r="R82">
        <f>X20</f>
        <v>0</v>
      </c>
      <c r="S82">
        <f>Z20</f>
        <v>0</v>
      </c>
      <c r="T82">
        <f t="shared" ref="T82:Y83" si="45">Z20</f>
        <v>0</v>
      </c>
      <c r="U82">
        <f t="shared" si="45"/>
        <v>0</v>
      </c>
      <c r="V82">
        <f t="shared" si="45"/>
        <v>0</v>
      </c>
      <c r="W82">
        <f t="shared" si="45"/>
        <v>0</v>
      </c>
      <c r="X82">
        <f t="shared" si="45"/>
        <v>0</v>
      </c>
      <c r="Y82">
        <f t="shared" si="45"/>
        <v>0</v>
      </c>
      <c r="Z82">
        <f>AQ20</f>
        <v>0</v>
      </c>
      <c r="AA82">
        <f t="shared" ref="AA82:AQ83" si="46">AR20</f>
        <v>0</v>
      </c>
      <c r="AB82">
        <f t="shared" si="46"/>
        <v>0</v>
      </c>
      <c r="AC82">
        <f t="shared" si="46"/>
        <v>0</v>
      </c>
      <c r="AD82">
        <f t="shared" si="46"/>
        <v>0</v>
      </c>
      <c r="AE82">
        <f t="shared" si="46"/>
        <v>0</v>
      </c>
      <c r="AF82">
        <f t="shared" si="46"/>
        <v>0</v>
      </c>
      <c r="AG82">
        <f t="shared" si="46"/>
        <v>0</v>
      </c>
      <c r="AH82">
        <f t="shared" si="46"/>
        <v>0</v>
      </c>
      <c r="AI82">
        <f t="shared" si="46"/>
        <v>0</v>
      </c>
      <c r="AJ82">
        <f t="shared" si="46"/>
        <v>0</v>
      </c>
      <c r="AK82">
        <f t="shared" si="46"/>
        <v>0</v>
      </c>
      <c r="AL82">
        <f t="shared" si="46"/>
        <v>0</v>
      </c>
      <c r="AM82">
        <f t="shared" si="46"/>
        <v>0</v>
      </c>
      <c r="AN82">
        <f t="shared" si="46"/>
        <v>0</v>
      </c>
      <c r="AO82">
        <f t="shared" si="46"/>
        <v>0</v>
      </c>
      <c r="AP82">
        <f t="shared" si="46"/>
        <v>0</v>
      </c>
      <c r="AQ82">
        <f t="shared" si="46"/>
        <v>0</v>
      </c>
      <c r="AR82">
        <f>F82+H82+I82+K82+L82+M82+N82+O82+P82</f>
        <v>0</v>
      </c>
      <c r="AS82">
        <f>D82+J116-AR82</f>
        <v>0</v>
      </c>
    </row>
    <row r="83" spans="1:45" ht="20.25" customHeight="1">
      <c r="A83" t="s">
        <v>30</v>
      </c>
      <c r="B83" t="s">
        <v>31</v>
      </c>
      <c r="C83" t="s">
        <v>32</v>
      </c>
      <c r="D83">
        <f t="shared" si="43"/>
        <v>0</v>
      </c>
      <c r="E83">
        <f t="shared" si="38"/>
        <v>0</v>
      </c>
      <c r="F83">
        <f>H21</f>
        <v>0</v>
      </c>
      <c r="G83">
        <f>I21</f>
        <v>0</v>
      </c>
      <c r="H83">
        <f>M21</f>
        <v>0</v>
      </c>
      <c r="I83">
        <f>N21</f>
        <v>0</v>
      </c>
      <c r="J83">
        <f>P20</f>
        <v>0</v>
      </c>
      <c r="K83">
        <f>D83-AR83</f>
        <v>0</v>
      </c>
      <c r="L83">
        <f>R20</f>
        <v>0</v>
      </c>
      <c r="M83">
        <f t="shared" si="44"/>
        <v>0</v>
      </c>
      <c r="N83">
        <f t="shared" si="44"/>
        <v>0</v>
      </c>
      <c r="O83">
        <f t="shared" si="44"/>
        <v>0</v>
      </c>
      <c r="P83">
        <f t="shared" si="39"/>
        <v>0</v>
      </c>
      <c r="Q83">
        <f>W21</f>
        <v>0</v>
      </c>
      <c r="R83">
        <f>X21</f>
        <v>0</v>
      </c>
      <c r="S83">
        <f>Z21</f>
        <v>0</v>
      </c>
      <c r="T83">
        <f t="shared" si="45"/>
        <v>0</v>
      </c>
      <c r="U83">
        <f t="shared" si="45"/>
        <v>0</v>
      </c>
      <c r="V83">
        <f t="shared" si="45"/>
        <v>0</v>
      </c>
      <c r="W83">
        <f t="shared" si="45"/>
        <v>0</v>
      </c>
      <c r="X83">
        <f t="shared" si="45"/>
        <v>0</v>
      </c>
      <c r="Y83">
        <f t="shared" si="45"/>
        <v>0</v>
      </c>
      <c r="Z83">
        <f>AQ21</f>
        <v>0</v>
      </c>
      <c r="AA83">
        <f t="shared" si="46"/>
        <v>0</v>
      </c>
      <c r="AB83">
        <f t="shared" si="46"/>
        <v>0</v>
      </c>
      <c r="AC83">
        <f t="shared" si="46"/>
        <v>0</v>
      </c>
      <c r="AD83">
        <f t="shared" si="46"/>
        <v>0</v>
      </c>
      <c r="AE83">
        <f t="shared" si="46"/>
        <v>0</v>
      </c>
      <c r="AF83">
        <f t="shared" si="46"/>
        <v>0</v>
      </c>
      <c r="AG83">
        <f t="shared" si="46"/>
        <v>0</v>
      </c>
      <c r="AH83">
        <f t="shared" si="46"/>
        <v>0</v>
      </c>
      <c r="AI83">
        <f t="shared" si="46"/>
        <v>0</v>
      </c>
      <c r="AJ83">
        <f t="shared" si="46"/>
        <v>0</v>
      </c>
      <c r="AK83">
        <f t="shared" si="46"/>
        <v>0</v>
      </c>
      <c r="AL83">
        <f t="shared" si="46"/>
        <v>0</v>
      </c>
      <c r="AM83">
        <f t="shared" si="46"/>
        <v>0</v>
      </c>
      <c r="AN83">
        <f t="shared" si="46"/>
        <v>0</v>
      </c>
      <c r="AO83">
        <f t="shared" si="46"/>
        <v>0</v>
      </c>
      <c r="AP83">
        <f t="shared" si="46"/>
        <v>0</v>
      </c>
      <c r="AQ83">
        <f t="shared" si="46"/>
        <v>0</v>
      </c>
      <c r="AR83">
        <f>F83+H83+I83+J83+L83+M83+N83+O83+P83</f>
        <v>0</v>
      </c>
      <c r="AS83">
        <f>D83+K116-AR83</f>
        <v>0</v>
      </c>
    </row>
    <row r="84" spans="1:45" ht="20.25" customHeight="1">
      <c r="A84" t="s">
        <v>33</v>
      </c>
      <c r="B84" t="s">
        <v>34</v>
      </c>
      <c r="C84" t="s">
        <v>35</v>
      </c>
      <c r="D84">
        <f t="shared" si="43"/>
        <v>0</v>
      </c>
      <c r="E84">
        <f t="shared" si="38"/>
        <v>0</v>
      </c>
      <c r="F84">
        <f>H19</f>
        <v>0</v>
      </c>
      <c r="G84">
        <f>I19</f>
        <v>0</v>
      </c>
      <c r="H84">
        <f>M19</f>
        <v>0</v>
      </c>
      <c r="I84">
        <f>N19</f>
        <v>0</v>
      </c>
      <c r="J84">
        <f>P21</f>
        <v>0</v>
      </c>
      <c r="K84">
        <f>Q21</f>
        <v>0</v>
      </c>
      <c r="L84">
        <f>D84-AR84</f>
        <v>0</v>
      </c>
      <c r="M84">
        <f>S19</f>
        <v>0</v>
      </c>
      <c r="N84">
        <f>T19</f>
        <v>0</v>
      </c>
      <c r="O84">
        <f>U19</f>
        <v>0</v>
      </c>
      <c r="P84">
        <f t="shared" si="39"/>
        <v>0</v>
      </c>
      <c r="Q84">
        <f t="shared" ref="Q84:Y84" si="47">W19</f>
        <v>0</v>
      </c>
      <c r="R84">
        <f t="shared" si="47"/>
        <v>0</v>
      </c>
      <c r="S84">
        <f t="shared" si="47"/>
        <v>0</v>
      </c>
      <c r="T84">
        <f t="shared" si="47"/>
        <v>0</v>
      </c>
      <c r="U84">
        <f t="shared" si="47"/>
        <v>0</v>
      </c>
      <c r="V84">
        <f t="shared" si="47"/>
        <v>0</v>
      </c>
      <c r="W84">
        <f t="shared" si="47"/>
        <v>0</v>
      </c>
      <c r="X84">
        <f t="shared" si="47"/>
        <v>0</v>
      </c>
      <c r="Y84">
        <f t="shared" si="47"/>
        <v>0</v>
      </c>
      <c r="Z84">
        <f>AQ19</f>
        <v>0</v>
      </c>
      <c r="AA84">
        <f t="shared" ref="AA84:AQ84" si="48">AR19</f>
        <v>0</v>
      </c>
      <c r="AB84">
        <f t="shared" si="48"/>
        <v>0</v>
      </c>
      <c r="AC84">
        <f t="shared" si="48"/>
        <v>0</v>
      </c>
      <c r="AD84">
        <f t="shared" si="48"/>
        <v>0</v>
      </c>
      <c r="AE84">
        <f t="shared" si="48"/>
        <v>0</v>
      </c>
      <c r="AF84">
        <f t="shared" si="48"/>
        <v>0</v>
      </c>
      <c r="AG84">
        <f t="shared" si="48"/>
        <v>0</v>
      </c>
      <c r="AH84">
        <f t="shared" si="48"/>
        <v>0</v>
      </c>
      <c r="AI84">
        <f t="shared" si="48"/>
        <v>0</v>
      </c>
      <c r="AJ84">
        <f t="shared" si="48"/>
        <v>0</v>
      </c>
      <c r="AK84">
        <f t="shared" si="48"/>
        <v>0</v>
      </c>
      <c r="AL84">
        <f t="shared" si="48"/>
        <v>0</v>
      </c>
      <c r="AM84">
        <f t="shared" si="48"/>
        <v>0</v>
      </c>
      <c r="AN84">
        <f t="shared" si="48"/>
        <v>0</v>
      </c>
      <c r="AO84">
        <f t="shared" si="48"/>
        <v>0</v>
      </c>
      <c r="AP84">
        <f t="shared" si="48"/>
        <v>0</v>
      </c>
      <c r="AQ84">
        <f t="shared" si="48"/>
        <v>0</v>
      </c>
      <c r="AR84">
        <f>F84+H84+I84+J84+K84+M84+N84+O84+P84</f>
        <v>0</v>
      </c>
      <c r="AS84">
        <f>D84+L116-AR84</f>
        <v>0</v>
      </c>
    </row>
    <row r="85" spans="1:45" ht="20.25" customHeight="1">
      <c r="A85" t="s">
        <v>36</v>
      </c>
      <c r="B85" t="s">
        <v>37</v>
      </c>
      <c r="C85" t="s">
        <v>38</v>
      </c>
      <c r="D85">
        <f t="shared" si="43"/>
        <v>0</v>
      </c>
      <c r="E85">
        <f t="shared" si="38"/>
        <v>0</v>
      </c>
      <c r="F85">
        <f t="shared" ref="F85:G87" si="49">H22</f>
        <v>0</v>
      </c>
      <c r="G85">
        <f t="shared" si="49"/>
        <v>0</v>
      </c>
      <c r="H85">
        <f t="shared" ref="H85:I87" si="50">M22</f>
        <v>0</v>
      </c>
      <c r="I85">
        <f t="shared" si="50"/>
        <v>0</v>
      </c>
      <c r="J85">
        <f>P22</f>
        <v>0</v>
      </c>
      <c r="K85">
        <f>Q22</f>
        <v>0</v>
      </c>
      <c r="L85">
        <f>R22</f>
        <v>0</v>
      </c>
      <c r="M85">
        <f>D85-AR85</f>
        <v>0</v>
      </c>
      <c r="N85">
        <f>T22</f>
        <v>0</v>
      </c>
      <c r="O85">
        <f>U22</f>
        <v>0</v>
      </c>
      <c r="P85">
        <f>SUM(Q85:AP85)</f>
        <v>0</v>
      </c>
      <c r="Q85">
        <f t="shared" ref="Q85:Y87" si="51">W22</f>
        <v>0</v>
      </c>
      <c r="R85">
        <f t="shared" si="51"/>
        <v>0</v>
      </c>
      <c r="S85">
        <f t="shared" si="51"/>
        <v>0</v>
      </c>
      <c r="T85">
        <f t="shared" si="51"/>
        <v>0</v>
      </c>
      <c r="U85">
        <f t="shared" si="51"/>
        <v>0</v>
      </c>
      <c r="V85">
        <f t="shared" si="51"/>
        <v>0</v>
      </c>
      <c r="W85">
        <f t="shared" si="51"/>
        <v>0</v>
      </c>
      <c r="X85">
        <f t="shared" si="51"/>
        <v>0</v>
      </c>
      <c r="Y85">
        <f t="shared" si="51"/>
        <v>0</v>
      </c>
      <c r="Z85">
        <f t="shared" ref="Z85:AP85" si="52">AQ22</f>
        <v>0</v>
      </c>
      <c r="AA85">
        <f t="shared" si="52"/>
        <v>0</v>
      </c>
      <c r="AB85">
        <f t="shared" si="52"/>
        <v>0</v>
      </c>
      <c r="AC85">
        <f t="shared" si="52"/>
        <v>0</v>
      </c>
      <c r="AD85">
        <f t="shared" si="52"/>
        <v>0</v>
      </c>
      <c r="AE85">
        <f t="shared" si="52"/>
        <v>0</v>
      </c>
      <c r="AF85">
        <f t="shared" si="52"/>
        <v>0</v>
      </c>
      <c r="AG85">
        <f t="shared" si="52"/>
        <v>0</v>
      </c>
      <c r="AH85">
        <f t="shared" si="52"/>
        <v>0</v>
      </c>
      <c r="AI85">
        <f t="shared" si="52"/>
        <v>0</v>
      </c>
      <c r="AJ85">
        <f t="shared" si="52"/>
        <v>0</v>
      </c>
      <c r="AK85">
        <f t="shared" si="52"/>
        <v>0</v>
      </c>
      <c r="AL85">
        <f t="shared" si="52"/>
        <v>0</v>
      </c>
      <c r="AM85">
        <f t="shared" si="52"/>
        <v>0</v>
      </c>
      <c r="AN85">
        <f t="shared" si="52"/>
        <v>0</v>
      </c>
      <c r="AO85">
        <f t="shared" si="52"/>
        <v>0</v>
      </c>
      <c r="AP85">
        <f t="shared" si="52"/>
        <v>0</v>
      </c>
      <c r="AQ85">
        <f t="shared" ref="AA85:AQ87" si="53">BH22</f>
        <v>0</v>
      </c>
      <c r="AR85">
        <f>F85+H85+I85+J85+K85+L85+N85+O85+P85</f>
        <v>0</v>
      </c>
      <c r="AS85">
        <f>D85+M116-AR85</f>
        <v>0</v>
      </c>
    </row>
    <row r="86" spans="1:45" ht="20.25" customHeight="1">
      <c r="A86" t="s">
        <v>39</v>
      </c>
      <c r="B86" t="s">
        <v>40</v>
      </c>
      <c r="C86" t="s">
        <v>41</v>
      </c>
      <c r="D86">
        <f t="shared" si="43"/>
        <v>0</v>
      </c>
      <c r="E86">
        <f t="shared" si="38"/>
        <v>0</v>
      </c>
      <c r="F86">
        <f t="shared" si="49"/>
        <v>0</v>
      </c>
      <c r="G86">
        <f t="shared" si="49"/>
        <v>0</v>
      </c>
      <c r="H86">
        <f t="shared" si="50"/>
        <v>0</v>
      </c>
      <c r="I86">
        <f t="shared" si="50"/>
        <v>0</v>
      </c>
      <c r="J86">
        <f>P23</f>
        <v>0</v>
      </c>
      <c r="K86">
        <f>Q23</f>
        <v>0</v>
      </c>
      <c r="L86">
        <f>R23</f>
        <v>0</v>
      </c>
      <c r="M86">
        <f>S23</f>
        <v>0</v>
      </c>
      <c r="N86">
        <f>D86-AR86</f>
        <v>0</v>
      </c>
      <c r="O86">
        <f>U23</f>
        <v>0</v>
      </c>
      <c r="P86">
        <f t="shared" si="39"/>
        <v>0</v>
      </c>
      <c r="Q86">
        <f t="shared" si="51"/>
        <v>0</v>
      </c>
      <c r="R86">
        <f t="shared" si="51"/>
        <v>0</v>
      </c>
      <c r="S86">
        <f t="shared" si="51"/>
        <v>0</v>
      </c>
      <c r="T86">
        <f t="shared" si="51"/>
        <v>0</v>
      </c>
      <c r="U86">
        <f t="shared" si="51"/>
        <v>0</v>
      </c>
      <c r="V86">
        <f t="shared" si="51"/>
        <v>0</v>
      </c>
      <c r="W86">
        <f t="shared" si="51"/>
        <v>0</v>
      </c>
      <c r="X86">
        <f t="shared" si="51"/>
        <v>0</v>
      </c>
      <c r="Y86">
        <f t="shared" si="51"/>
        <v>0</v>
      </c>
      <c r="Z86">
        <f>AQ23</f>
        <v>0</v>
      </c>
      <c r="AA86">
        <f t="shared" si="53"/>
        <v>0</v>
      </c>
      <c r="AB86">
        <f t="shared" si="53"/>
        <v>0</v>
      </c>
      <c r="AC86">
        <f t="shared" si="53"/>
        <v>0</v>
      </c>
      <c r="AD86">
        <f t="shared" si="53"/>
        <v>0</v>
      </c>
      <c r="AE86">
        <f t="shared" si="53"/>
        <v>0</v>
      </c>
      <c r="AF86">
        <f t="shared" si="53"/>
        <v>0</v>
      </c>
      <c r="AG86">
        <f t="shared" si="53"/>
        <v>0</v>
      </c>
      <c r="AH86">
        <f t="shared" si="53"/>
        <v>0</v>
      </c>
      <c r="AI86">
        <f t="shared" si="53"/>
        <v>0</v>
      </c>
      <c r="AJ86">
        <f t="shared" si="53"/>
        <v>0</v>
      </c>
      <c r="AK86">
        <f t="shared" si="53"/>
        <v>0</v>
      </c>
      <c r="AL86">
        <f t="shared" si="53"/>
        <v>0</v>
      </c>
      <c r="AM86">
        <f t="shared" si="53"/>
        <v>0</v>
      </c>
      <c r="AN86">
        <f t="shared" si="53"/>
        <v>0</v>
      </c>
      <c r="AO86">
        <f t="shared" si="53"/>
        <v>0</v>
      </c>
      <c r="AP86">
        <f t="shared" si="53"/>
        <v>0</v>
      </c>
      <c r="AQ86">
        <f t="shared" si="53"/>
        <v>0</v>
      </c>
      <c r="AR86">
        <f>F86+H86+I86+J86+K86+L86+M86+O86+P86</f>
        <v>0</v>
      </c>
      <c r="AS86">
        <f>D86+N116-AR86</f>
        <v>0</v>
      </c>
    </row>
    <row r="87" spans="1:45" ht="20.25" customHeight="1">
      <c r="A87">
        <v>2</v>
      </c>
      <c r="B87" t="s">
        <v>43</v>
      </c>
      <c r="C87" t="s">
        <v>44</v>
      </c>
      <c r="D87">
        <f t="shared" si="43"/>
        <v>0</v>
      </c>
      <c r="E87">
        <f t="shared" si="38"/>
        <v>0</v>
      </c>
      <c r="F87">
        <f t="shared" si="49"/>
        <v>0</v>
      </c>
      <c r="G87">
        <f t="shared" si="49"/>
        <v>0</v>
      </c>
      <c r="H87">
        <f t="shared" si="50"/>
        <v>0</v>
      </c>
      <c r="I87">
        <f t="shared" si="50"/>
        <v>0</v>
      </c>
      <c r="J87">
        <f>P24</f>
        <v>0</v>
      </c>
      <c r="K87">
        <f>Q24</f>
        <v>0</v>
      </c>
      <c r="L87">
        <f>R24</f>
        <v>0</v>
      </c>
      <c r="M87">
        <f>S24</f>
        <v>0</v>
      </c>
      <c r="N87">
        <f>T24</f>
        <v>0</v>
      </c>
      <c r="O87">
        <f>D87-AR87</f>
        <v>0</v>
      </c>
      <c r="P87">
        <f t="shared" si="39"/>
        <v>0</v>
      </c>
      <c r="Q87">
        <f t="shared" si="51"/>
        <v>0</v>
      </c>
      <c r="R87">
        <f t="shared" si="51"/>
        <v>0</v>
      </c>
      <c r="S87">
        <f t="shared" si="51"/>
        <v>0</v>
      </c>
      <c r="T87">
        <f t="shared" si="51"/>
        <v>0</v>
      </c>
      <c r="U87">
        <f t="shared" si="51"/>
        <v>0</v>
      </c>
      <c r="V87">
        <f t="shared" si="51"/>
        <v>0</v>
      </c>
      <c r="W87">
        <f t="shared" si="51"/>
        <v>0</v>
      </c>
      <c r="X87">
        <f t="shared" si="51"/>
        <v>0</v>
      </c>
      <c r="Y87">
        <f t="shared" si="51"/>
        <v>0</v>
      </c>
      <c r="Z87">
        <f>AQ24</f>
        <v>0</v>
      </c>
      <c r="AA87">
        <f t="shared" si="53"/>
        <v>0</v>
      </c>
      <c r="AB87">
        <f t="shared" si="53"/>
        <v>0</v>
      </c>
      <c r="AC87">
        <f t="shared" si="53"/>
        <v>0</v>
      </c>
      <c r="AD87">
        <f t="shared" si="53"/>
        <v>0</v>
      </c>
      <c r="AE87">
        <f t="shared" si="53"/>
        <v>0</v>
      </c>
      <c r="AF87">
        <f t="shared" si="53"/>
        <v>0</v>
      </c>
      <c r="AG87">
        <f t="shared" si="53"/>
        <v>0</v>
      </c>
      <c r="AH87">
        <f t="shared" si="53"/>
        <v>0</v>
      </c>
      <c r="AI87">
        <f t="shared" si="53"/>
        <v>0</v>
      </c>
      <c r="AJ87">
        <f t="shared" si="53"/>
        <v>0</v>
      </c>
      <c r="AK87">
        <f t="shared" si="53"/>
        <v>0</v>
      </c>
      <c r="AL87">
        <f t="shared" si="53"/>
        <v>0</v>
      </c>
      <c r="AM87">
        <f t="shared" si="53"/>
        <v>0</v>
      </c>
      <c r="AN87">
        <f t="shared" si="53"/>
        <v>0</v>
      </c>
      <c r="AO87">
        <f t="shared" si="53"/>
        <v>0</v>
      </c>
      <c r="AP87">
        <f t="shared" si="53"/>
        <v>0</v>
      </c>
      <c r="AQ87">
        <f t="shared" si="53"/>
        <v>0</v>
      </c>
      <c r="AR87">
        <f>F87+H87+I87+J87+K87+L87+M87+N87+P87</f>
        <v>0</v>
      </c>
      <c r="AS87">
        <f>D87+O116-AR87</f>
        <v>0</v>
      </c>
    </row>
    <row r="88" spans="1:45" ht="20.25" customHeight="1">
      <c r="A88">
        <v>2</v>
      </c>
      <c r="B88" t="s">
        <v>45</v>
      </c>
      <c r="C88" t="s">
        <v>46</v>
      </c>
      <c r="D88">
        <f>SUM(D89:D114)</f>
        <v>71.789500000000004</v>
      </c>
      <c r="E88">
        <f t="shared" ref="E88:AS88" si="54">SUM(E89:E114)</f>
        <v>0</v>
      </c>
      <c r="F88">
        <f t="shared" si="54"/>
        <v>0</v>
      </c>
      <c r="G88">
        <f t="shared" si="54"/>
        <v>0</v>
      </c>
      <c r="H88">
        <f t="shared" si="54"/>
        <v>0</v>
      </c>
      <c r="I88">
        <f t="shared" si="54"/>
        <v>0</v>
      </c>
      <c r="J88">
        <f t="shared" si="54"/>
        <v>0</v>
      </c>
      <c r="K88">
        <f t="shared" si="54"/>
        <v>0</v>
      </c>
      <c r="L88">
        <f t="shared" si="54"/>
        <v>0</v>
      </c>
      <c r="M88">
        <f t="shared" si="54"/>
        <v>0</v>
      </c>
      <c r="N88">
        <f t="shared" si="54"/>
        <v>0</v>
      </c>
      <c r="O88">
        <f t="shared" si="54"/>
        <v>0</v>
      </c>
      <c r="P88">
        <f t="shared" si="54"/>
        <v>71.789500000000004</v>
      </c>
      <c r="Q88">
        <f t="shared" si="54"/>
        <v>5.47</v>
      </c>
      <c r="R88">
        <f t="shared" si="54"/>
        <v>0.43</v>
      </c>
      <c r="S88">
        <f t="shared" si="54"/>
        <v>0</v>
      </c>
      <c r="T88">
        <f t="shared" si="54"/>
        <v>0</v>
      </c>
      <c r="U88">
        <f t="shared" si="54"/>
        <v>0</v>
      </c>
      <c r="V88">
        <f t="shared" si="54"/>
        <v>2.67</v>
      </c>
      <c r="W88">
        <f t="shared" si="54"/>
        <v>0</v>
      </c>
      <c r="X88">
        <f t="shared" si="54"/>
        <v>0</v>
      </c>
      <c r="Y88">
        <f t="shared" si="54"/>
        <v>29.960000000000004</v>
      </c>
      <c r="Z88">
        <f t="shared" si="54"/>
        <v>0</v>
      </c>
      <c r="AA88">
        <f t="shared" si="54"/>
        <v>0</v>
      </c>
      <c r="AB88">
        <f t="shared" si="54"/>
        <v>0</v>
      </c>
      <c r="AC88">
        <f t="shared" si="54"/>
        <v>0</v>
      </c>
      <c r="AD88">
        <f t="shared" si="54"/>
        <v>14.13</v>
      </c>
      <c r="AE88">
        <f t="shared" si="54"/>
        <v>3.7095000000000002</v>
      </c>
      <c r="AF88">
        <f t="shared" si="54"/>
        <v>0</v>
      </c>
      <c r="AG88">
        <f t="shared" si="54"/>
        <v>0</v>
      </c>
      <c r="AH88">
        <f t="shared" si="54"/>
        <v>0</v>
      </c>
      <c r="AI88">
        <f t="shared" si="54"/>
        <v>0</v>
      </c>
      <c r="AJ88">
        <f t="shared" si="54"/>
        <v>0</v>
      </c>
      <c r="AK88">
        <f t="shared" si="54"/>
        <v>0.28000000000000003</v>
      </c>
      <c r="AL88">
        <f t="shared" si="54"/>
        <v>5.46</v>
      </c>
      <c r="AM88">
        <f t="shared" si="54"/>
        <v>0.01</v>
      </c>
      <c r="AN88">
        <f t="shared" si="54"/>
        <v>9.67</v>
      </c>
      <c r="AO88">
        <f t="shared" si="54"/>
        <v>0</v>
      </c>
      <c r="AP88">
        <f t="shared" si="54"/>
        <v>0</v>
      </c>
      <c r="AQ88">
        <f t="shared" si="54"/>
        <v>0</v>
      </c>
      <c r="AR88">
        <f>E88+AQ88</f>
        <v>0</v>
      </c>
      <c r="AS88">
        <f t="shared" si="54"/>
        <v>71.789500000000004</v>
      </c>
    </row>
    <row r="89" spans="1:45" ht="20.25" customHeight="1">
      <c r="A89" t="s">
        <v>47</v>
      </c>
      <c r="B89" t="s">
        <v>48</v>
      </c>
      <c r="C89" t="s">
        <v>49</v>
      </c>
      <c r="D89">
        <f>D26</f>
        <v>5.47</v>
      </c>
      <c r="E89">
        <f t="shared" si="38"/>
        <v>0</v>
      </c>
      <c r="F89">
        <f>H26</f>
        <v>0</v>
      </c>
      <c r="G89">
        <f>I26</f>
        <v>0</v>
      </c>
      <c r="H89">
        <f>M26</f>
        <v>0</v>
      </c>
      <c r="I89">
        <f>N26</f>
        <v>0</v>
      </c>
      <c r="J89">
        <f t="shared" ref="J89:O97" si="55">P26</f>
        <v>0</v>
      </c>
      <c r="K89">
        <f t="shared" si="55"/>
        <v>0</v>
      </c>
      <c r="L89">
        <f t="shared" si="55"/>
        <v>0</v>
      </c>
      <c r="M89">
        <f t="shared" si="55"/>
        <v>0</v>
      </c>
      <c r="N89">
        <f t="shared" si="55"/>
        <v>0</v>
      </c>
      <c r="O89">
        <f t="shared" si="55"/>
        <v>0</v>
      </c>
      <c r="P89">
        <f>SUM(Q89:AP89)</f>
        <v>5.47</v>
      </c>
      <c r="Q89">
        <f>D89-AR89</f>
        <v>5.47</v>
      </c>
      <c r="R89">
        <f t="shared" ref="R89:Y89" si="56">X26</f>
        <v>0</v>
      </c>
      <c r="S89">
        <f t="shared" si="56"/>
        <v>0</v>
      </c>
      <c r="T89">
        <f t="shared" si="56"/>
        <v>0</v>
      </c>
      <c r="U89">
        <f t="shared" si="56"/>
        <v>0</v>
      </c>
      <c r="V89">
        <f t="shared" si="56"/>
        <v>0</v>
      </c>
      <c r="W89">
        <f t="shared" si="56"/>
        <v>0</v>
      </c>
      <c r="X89">
        <f t="shared" si="56"/>
        <v>0</v>
      </c>
      <c r="Y89">
        <f t="shared" si="56"/>
        <v>0</v>
      </c>
      <c r="Z89">
        <f t="shared" ref="Z89:AP89" si="57">AQ26</f>
        <v>0</v>
      </c>
      <c r="AA89">
        <f t="shared" si="57"/>
        <v>0</v>
      </c>
      <c r="AB89">
        <f t="shared" si="57"/>
        <v>0</v>
      </c>
      <c r="AC89">
        <f t="shared" si="57"/>
        <v>0</v>
      </c>
      <c r="AD89">
        <f t="shared" si="57"/>
        <v>0</v>
      </c>
      <c r="AE89">
        <f t="shared" si="57"/>
        <v>0</v>
      </c>
      <c r="AF89">
        <f t="shared" si="57"/>
        <v>0</v>
      </c>
      <c r="AG89">
        <f t="shared" si="57"/>
        <v>0</v>
      </c>
      <c r="AH89">
        <f t="shared" si="57"/>
        <v>0</v>
      </c>
      <c r="AI89">
        <f t="shared" si="57"/>
        <v>0</v>
      </c>
      <c r="AJ89">
        <f t="shared" si="57"/>
        <v>0</v>
      </c>
      <c r="AK89">
        <f t="shared" si="57"/>
        <v>0</v>
      </c>
      <c r="AL89">
        <f t="shared" si="57"/>
        <v>0</v>
      </c>
      <c r="AM89">
        <f t="shared" si="57"/>
        <v>0</v>
      </c>
      <c r="AN89">
        <f t="shared" si="57"/>
        <v>0</v>
      </c>
      <c r="AO89">
        <f t="shared" si="57"/>
        <v>0</v>
      </c>
      <c r="AP89">
        <f t="shared" si="57"/>
        <v>0</v>
      </c>
      <c r="AQ89">
        <f t="shared" ref="AA89:AQ97" si="58">BH26</f>
        <v>0</v>
      </c>
      <c r="AR89">
        <f>E89+R89+S89+T89+U89+V89+W89+X89+Y89+Z89+AA89+AB89+AC89+AD89+AE89+AF89+AG89+AH89+AI89+AJ89+AK89+AL89+AM89+AN89+AO89+AP89+AQ89</f>
        <v>0</v>
      </c>
      <c r="AS89">
        <f>D89+Q116-AR89</f>
        <v>5.47</v>
      </c>
    </row>
    <row r="90" spans="1:45" ht="20.25" customHeight="1">
      <c r="A90" t="s">
        <v>50</v>
      </c>
      <c r="B90" t="s">
        <v>51</v>
      </c>
      <c r="C90" t="s">
        <v>52</v>
      </c>
      <c r="D90">
        <f t="shared" ref="D90:D97" si="59">D27</f>
        <v>0.43</v>
      </c>
      <c r="E90">
        <f t="shared" si="38"/>
        <v>0</v>
      </c>
      <c r="F90">
        <f t="shared" ref="F90:G97" si="60">H27</f>
        <v>0</v>
      </c>
      <c r="G90">
        <f t="shared" si="60"/>
        <v>0</v>
      </c>
      <c r="H90">
        <f t="shared" ref="H90:I97" si="61">M27</f>
        <v>0</v>
      </c>
      <c r="I90">
        <f t="shared" si="61"/>
        <v>0</v>
      </c>
      <c r="J90">
        <f t="shared" si="55"/>
        <v>0</v>
      </c>
      <c r="K90">
        <f t="shared" si="55"/>
        <v>0</v>
      </c>
      <c r="L90">
        <f t="shared" si="55"/>
        <v>0</v>
      </c>
      <c r="M90">
        <f t="shared" si="55"/>
        <v>0</v>
      </c>
      <c r="N90">
        <f t="shared" si="55"/>
        <v>0</v>
      </c>
      <c r="O90">
        <f t="shared" si="55"/>
        <v>0</v>
      </c>
      <c r="P90">
        <f t="shared" ref="P90:P114" si="62">SUM(Q90:AP90)</f>
        <v>0.43</v>
      </c>
      <c r="Q90">
        <f>W27</f>
        <v>0</v>
      </c>
      <c r="R90">
        <f>D90-AR90</f>
        <v>0.43</v>
      </c>
      <c r="S90">
        <f t="shared" ref="S90:Y90" si="63">Y27</f>
        <v>0</v>
      </c>
      <c r="T90">
        <f t="shared" si="63"/>
        <v>0</v>
      </c>
      <c r="U90">
        <f t="shared" si="63"/>
        <v>0</v>
      </c>
      <c r="V90">
        <f t="shared" si="63"/>
        <v>0</v>
      </c>
      <c r="W90">
        <f t="shared" si="63"/>
        <v>0</v>
      </c>
      <c r="X90">
        <f t="shared" si="63"/>
        <v>0</v>
      </c>
      <c r="Y90">
        <f t="shared" si="63"/>
        <v>0</v>
      </c>
      <c r="Z90">
        <f t="shared" ref="Z90:Z97" si="64">AQ27</f>
        <v>0</v>
      </c>
      <c r="AA90">
        <f t="shared" si="58"/>
        <v>0</v>
      </c>
      <c r="AB90">
        <f t="shared" si="58"/>
        <v>0</v>
      </c>
      <c r="AC90">
        <f t="shared" si="58"/>
        <v>0</v>
      </c>
      <c r="AD90">
        <f t="shared" si="58"/>
        <v>0</v>
      </c>
      <c r="AE90">
        <f t="shared" si="58"/>
        <v>0</v>
      </c>
      <c r="AF90">
        <f t="shared" si="58"/>
        <v>0</v>
      </c>
      <c r="AG90">
        <f t="shared" si="58"/>
        <v>0</v>
      </c>
      <c r="AH90">
        <f t="shared" si="58"/>
        <v>0</v>
      </c>
      <c r="AI90">
        <f t="shared" si="58"/>
        <v>0</v>
      </c>
      <c r="AJ90">
        <f t="shared" si="58"/>
        <v>0</v>
      </c>
      <c r="AK90">
        <f t="shared" si="58"/>
        <v>0</v>
      </c>
      <c r="AL90">
        <f t="shared" si="58"/>
        <v>0</v>
      </c>
      <c r="AM90">
        <f t="shared" si="58"/>
        <v>0</v>
      </c>
      <c r="AN90">
        <f t="shared" si="58"/>
        <v>0</v>
      </c>
      <c r="AO90">
        <f t="shared" si="58"/>
        <v>0</v>
      </c>
      <c r="AP90">
        <f t="shared" si="58"/>
        <v>0</v>
      </c>
      <c r="AQ90">
        <f t="shared" si="58"/>
        <v>0</v>
      </c>
      <c r="AR90">
        <f>E90+Q90+S90+T90+U90+V90+W90+X90+Y90+Z90+AA90+AB90+AC90+AD90+AE90+AF90+AG90+AH90+AI90+AJ90+AK90+AL90+AM90+AN90+AO90+AP90+AQ90</f>
        <v>0</v>
      </c>
      <c r="AS90">
        <f>D90+R116-AR90</f>
        <v>0.43</v>
      </c>
    </row>
    <row r="91" spans="1:45" ht="20.25" customHeight="1">
      <c r="A91" t="s">
        <v>53</v>
      </c>
      <c r="B91" t="s">
        <v>54</v>
      </c>
      <c r="C91" t="s">
        <v>55</v>
      </c>
      <c r="D91">
        <f t="shared" si="59"/>
        <v>0</v>
      </c>
      <c r="E91">
        <f t="shared" si="38"/>
        <v>0</v>
      </c>
      <c r="F91">
        <f t="shared" si="60"/>
        <v>0</v>
      </c>
      <c r="G91">
        <f t="shared" si="60"/>
        <v>0</v>
      </c>
      <c r="H91">
        <f t="shared" si="61"/>
        <v>0</v>
      </c>
      <c r="I91">
        <f t="shared" si="61"/>
        <v>0</v>
      </c>
      <c r="J91">
        <f t="shared" si="55"/>
        <v>0</v>
      </c>
      <c r="K91">
        <f t="shared" si="55"/>
        <v>0</v>
      </c>
      <c r="L91">
        <f t="shared" si="55"/>
        <v>0</v>
      </c>
      <c r="M91">
        <f t="shared" si="55"/>
        <v>0</v>
      </c>
      <c r="N91">
        <f t="shared" si="55"/>
        <v>0</v>
      </c>
      <c r="O91">
        <f t="shared" si="55"/>
        <v>0</v>
      </c>
      <c r="P91">
        <f t="shared" si="62"/>
        <v>0</v>
      </c>
      <c r="Q91">
        <f t="shared" ref="Q91:S97" si="65">W28</f>
        <v>0</v>
      </c>
      <c r="R91">
        <f>X28</f>
        <v>0</v>
      </c>
      <c r="S91">
        <f>D91-AR91</f>
        <v>0</v>
      </c>
      <c r="T91">
        <f t="shared" ref="T91:Y91" si="66">Z28</f>
        <v>0</v>
      </c>
      <c r="U91">
        <f t="shared" si="66"/>
        <v>0</v>
      </c>
      <c r="V91">
        <f t="shared" si="66"/>
        <v>0</v>
      </c>
      <c r="W91">
        <f t="shared" si="66"/>
        <v>0</v>
      </c>
      <c r="X91">
        <f t="shared" si="66"/>
        <v>0</v>
      </c>
      <c r="Y91">
        <f t="shared" si="66"/>
        <v>0</v>
      </c>
      <c r="Z91">
        <f t="shared" si="64"/>
        <v>0</v>
      </c>
      <c r="AA91">
        <f t="shared" si="58"/>
        <v>0</v>
      </c>
      <c r="AB91">
        <f t="shared" si="58"/>
        <v>0</v>
      </c>
      <c r="AC91">
        <f t="shared" si="58"/>
        <v>0</v>
      </c>
      <c r="AD91">
        <f t="shared" si="58"/>
        <v>0</v>
      </c>
      <c r="AE91">
        <f t="shared" si="58"/>
        <v>0</v>
      </c>
      <c r="AF91">
        <f t="shared" si="58"/>
        <v>0</v>
      </c>
      <c r="AG91">
        <f t="shared" si="58"/>
        <v>0</v>
      </c>
      <c r="AH91">
        <f t="shared" si="58"/>
        <v>0</v>
      </c>
      <c r="AI91">
        <f t="shared" si="58"/>
        <v>0</v>
      </c>
      <c r="AJ91">
        <f t="shared" si="58"/>
        <v>0</v>
      </c>
      <c r="AK91">
        <f t="shared" si="58"/>
        <v>0</v>
      </c>
      <c r="AL91">
        <f t="shared" si="58"/>
        <v>0</v>
      </c>
      <c r="AM91">
        <f t="shared" si="58"/>
        <v>0</v>
      </c>
      <c r="AN91">
        <f t="shared" si="58"/>
        <v>0</v>
      </c>
      <c r="AO91">
        <f t="shared" si="58"/>
        <v>0</v>
      </c>
      <c r="AP91">
        <f t="shared" si="58"/>
        <v>0</v>
      </c>
      <c r="AQ91">
        <f t="shared" si="58"/>
        <v>0</v>
      </c>
      <c r="AR91">
        <f>E91+Q91+R91+T91+U91+V91+W91+X91+Y91+Z91+AA91+AB91+AC91+AD91+AE91+AF91+AG91+AH91+AI91+AJ91+AK91+AL91+AM91+AN91+AO91+AP91+AQ91</f>
        <v>0</v>
      </c>
      <c r="AS91">
        <f>D91+S116-AR91</f>
        <v>0</v>
      </c>
    </row>
    <row r="92" spans="1:45" ht="20.25" customHeight="1">
      <c r="A92" t="s">
        <v>56</v>
      </c>
      <c r="B92" t="s">
        <v>57</v>
      </c>
      <c r="C92" t="s">
        <v>58</v>
      </c>
      <c r="D92">
        <f t="shared" si="59"/>
        <v>0</v>
      </c>
      <c r="E92">
        <f t="shared" si="38"/>
        <v>0</v>
      </c>
      <c r="F92">
        <f t="shared" si="60"/>
        <v>0</v>
      </c>
      <c r="G92">
        <f t="shared" si="60"/>
        <v>0</v>
      </c>
      <c r="H92">
        <f t="shared" si="61"/>
        <v>0</v>
      </c>
      <c r="I92">
        <f t="shared" si="61"/>
        <v>0</v>
      </c>
      <c r="J92">
        <f t="shared" si="55"/>
        <v>0</v>
      </c>
      <c r="K92">
        <f t="shared" si="55"/>
        <v>0</v>
      </c>
      <c r="L92">
        <f t="shared" si="55"/>
        <v>0</v>
      </c>
      <c r="M92">
        <f t="shared" si="55"/>
        <v>0</v>
      </c>
      <c r="N92">
        <f t="shared" si="55"/>
        <v>0</v>
      </c>
      <c r="O92">
        <f t="shared" si="55"/>
        <v>0</v>
      </c>
      <c r="P92">
        <f t="shared" si="62"/>
        <v>0</v>
      </c>
      <c r="Q92">
        <f t="shared" si="65"/>
        <v>0</v>
      </c>
      <c r="R92">
        <f t="shared" si="65"/>
        <v>0</v>
      </c>
      <c r="S92">
        <f t="shared" si="65"/>
        <v>0</v>
      </c>
      <c r="T92">
        <f>D92-AR92</f>
        <v>0</v>
      </c>
      <c r="U92">
        <f>AA29</f>
        <v>0</v>
      </c>
      <c r="V92">
        <f>AB29</f>
        <v>0</v>
      </c>
      <c r="W92">
        <f>AC29</f>
        <v>0</v>
      </c>
      <c r="X92">
        <f>AD29</f>
        <v>0</v>
      </c>
      <c r="Y92">
        <f>AE29</f>
        <v>0</v>
      </c>
      <c r="Z92">
        <f t="shared" si="64"/>
        <v>0</v>
      </c>
      <c r="AA92">
        <f t="shared" si="58"/>
        <v>0</v>
      </c>
      <c r="AB92">
        <f t="shared" si="58"/>
        <v>0</v>
      </c>
      <c r="AC92">
        <f t="shared" si="58"/>
        <v>0</v>
      </c>
      <c r="AD92">
        <f t="shared" si="58"/>
        <v>0</v>
      </c>
      <c r="AE92">
        <f t="shared" si="58"/>
        <v>0</v>
      </c>
      <c r="AF92">
        <f t="shared" si="58"/>
        <v>0</v>
      </c>
      <c r="AG92">
        <f t="shared" si="58"/>
        <v>0</v>
      </c>
      <c r="AH92">
        <f t="shared" si="58"/>
        <v>0</v>
      </c>
      <c r="AI92">
        <f t="shared" si="58"/>
        <v>0</v>
      </c>
      <c r="AJ92">
        <f t="shared" si="58"/>
        <v>0</v>
      </c>
      <c r="AK92">
        <f t="shared" si="58"/>
        <v>0</v>
      </c>
      <c r="AL92">
        <f t="shared" si="58"/>
        <v>0</v>
      </c>
      <c r="AM92">
        <f t="shared" si="58"/>
        <v>0</v>
      </c>
      <c r="AN92">
        <f t="shared" si="58"/>
        <v>0</v>
      </c>
      <c r="AO92">
        <f t="shared" si="58"/>
        <v>0</v>
      </c>
      <c r="AP92">
        <f t="shared" si="58"/>
        <v>0</v>
      </c>
      <c r="AQ92">
        <f t="shared" si="58"/>
        <v>0</v>
      </c>
      <c r="AR92">
        <f>E92+Q92+R92+S92+U92+V92+W92+X92+Y92+Z92+AA92+AB92+AC92+AD92+AE92+AF92+AG92+AH92+AI92+AJ92+AK92+AL92+AM92+AN92+AO92+AP92+AQ92</f>
        <v>0</v>
      </c>
      <c r="AS92">
        <f>D92+T116-AR92</f>
        <v>0</v>
      </c>
    </row>
    <row r="93" spans="1:45" ht="20.25" customHeight="1">
      <c r="A93" t="s">
        <v>59</v>
      </c>
      <c r="B93" t="s">
        <v>60</v>
      </c>
      <c r="C93" t="s">
        <v>61</v>
      </c>
      <c r="D93">
        <f t="shared" si="59"/>
        <v>0</v>
      </c>
      <c r="E93">
        <f t="shared" si="38"/>
        <v>0</v>
      </c>
      <c r="F93">
        <f t="shared" si="60"/>
        <v>0</v>
      </c>
      <c r="G93">
        <f t="shared" si="60"/>
        <v>0</v>
      </c>
      <c r="H93">
        <f t="shared" si="61"/>
        <v>0</v>
      </c>
      <c r="I93">
        <f t="shared" si="61"/>
        <v>0</v>
      </c>
      <c r="J93">
        <f t="shared" si="55"/>
        <v>0</v>
      </c>
      <c r="K93">
        <f t="shared" si="55"/>
        <v>0</v>
      </c>
      <c r="L93">
        <f t="shared" si="55"/>
        <v>0</v>
      </c>
      <c r="M93">
        <f t="shared" si="55"/>
        <v>0</v>
      </c>
      <c r="N93">
        <f t="shared" si="55"/>
        <v>0</v>
      </c>
      <c r="O93">
        <f t="shared" si="55"/>
        <v>0</v>
      </c>
      <c r="P93">
        <f t="shared" si="62"/>
        <v>0</v>
      </c>
      <c r="Q93">
        <f t="shared" si="65"/>
        <v>0</v>
      </c>
      <c r="R93">
        <f t="shared" si="65"/>
        <v>0</v>
      </c>
      <c r="S93">
        <f t="shared" si="65"/>
        <v>0</v>
      </c>
      <c r="T93">
        <f>Z30</f>
        <v>0</v>
      </c>
      <c r="U93">
        <f>D93-AR93</f>
        <v>0</v>
      </c>
      <c r="V93">
        <f>AB30</f>
        <v>0</v>
      </c>
      <c r="W93">
        <f>AC30</f>
        <v>0</v>
      </c>
      <c r="X93">
        <f>AD30</f>
        <v>0</v>
      </c>
      <c r="Y93">
        <f>AE30</f>
        <v>0</v>
      </c>
      <c r="Z93">
        <f t="shared" si="64"/>
        <v>0</v>
      </c>
      <c r="AA93">
        <f t="shared" si="58"/>
        <v>0</v>
      </c>
      <c r="AB93">
        <f t="shared" si="58"/>
        <v>0</v>
      </c>
      <c r="AC93">
        <f t="shared" si="58"/>
        <v>0</v>
      </c>
      <c r="AD93">
        <f t="shared" si="58"/>
        <v>0</v>
      </c>
      <c r="AE93">
        <f t="shared" si="58"/>
        <v>0</v>
      </c>
      <c r="AF93">
        <f t="shared" si="58"/>
        <v>0</v>
      </c>
      <c r="AG93">
        <f t="shared" si="58"/>
        <v>0</v>
      </c>
      <c r="AH93">
        <f t="shared" si="58"/>
        <v>0</v>
      </c>
      <c r="AI93">
        <f t="shared" si="58"/>
        <v>0</v>
      </c>
      <c r="AJ93">
        <f t="shared" si="58"/>
        <v>0</v>
      </c>
      <c r="AK93">
        <f t="shared" si="58"/>
        <v>0</v>
      </c>
      <c r="AL93">
        <f t="shared" si="58"/>
        <v>0</v>
      </c>
      <c r="AM93">
        <f t="shared" si="58"/>
        <v>0</v>
      </c>
      <c r="AN93">
        <f t="shared" si="58"/>
        <v>0</v>
      </c>
      <c r="AO93">
        <f t="shared" si="58"/>
        <v>0</v>
      </c>
      <c r="AP93">
        <f t="shared" si="58"/>
        <v>0</v>
      </c>
      <c r="AQ93">
        <f t="shared" si="58"/>
        <v>0</v>
      </c>
      <c r="AR93">
        <f>E93+Q93+R93+S93+T93+V93+W93+X93+Y93+Z93+AA93+AB93+AC93+AD93+AE93+AF93+AG93+AH93+AI93+AJ93+AK93+AL93+AM93+AN93+AO93+AP93+AQ93</f>
        <v>0</v>
      </c>
      <c r="AS93">
        <f>D93+U116-AR93</f>
        <v>0</v>
      </c>
    </row>
    <row r="94" spans="1:45" ht="20.25" customHeight="1">
      <c r="A94" t="s">
        <v>62</v>
      </c>
      <c r="B94" t="s">
        <v>63</v>
      </c>
      <c r="C94" t="s">
        <v>64</v>
      </c>
      <c r="D94">
        <f t="shared" si="59"/>
        <v>2.67</v>
      </c>
      <c r="E94">
        <f t="shared" si="38"/>
        <v>0</v>
      </c>
      <c r="F94">
        <f t="shared" si="60"/>
        <v>0</v>
      </c>
      <c r="G94">
        <f t="shared" si="60"/>
        <v>0</v>
      </c>
      <c r="H94">
        <f t="shared" si="61"/>
        <v>0</v>
      </c>
      <c r="I94">
        <f t="shared" si="61"/>
        <v>0</v>
      </c>
      <c r="J94">
        <f t="shared" si="55"/>
        <v>0</v>
      </c>
      <c r="K94">
        <f t="shared" si="55"/>
        <v>0</v>
      </c>
      <c r="L94">
        <f t="shared" si="55"/>
        <v>0</v>
      </c>
      <c r="M94">
        <f t="shared" si="55"/>
        <v>0</v>
      </c>
      <c r="N94">
        <f t="shared" si="55"/>
        <v>0</v>
      </c>
      <c r="O94">
        <f t="shared" si="55"/>
        <v>0</v>
      </c>
      <c r="P94">
        <f t="shared" si="62"/>
        <v>2.67</v>
      </c>
      <c r="Q94">
        <f t="shared" si="65"/>
        <v>0</v>
      </c>
      <c r="R94">
        <f t="shared" si="65"/>
        <v>0</v>
      </c>
      <c r="S94">
        <f t="shared" si="65"/>
        <v>0</v>
      </c>
      <c r="T94">
        <f>Z31</f>
        <v>0</v>
      </c>
      <c r="U94">
        <f>AA31</f>
        <v>0</v>
      </c>
      <c r="V94">
        <f>D94-AR94</f>
        <v>2.67</v>
      </c>
      <c r="W94">
        <f>AC31</f>
        <v>0</v>
      </c>
      <c r="X94">
        <f>AD31</f>
        <v>0</v>
      </c>
      <c r="Y94">
        <f>AE31</f>
        <v>0</v>
      </c>
      <c r="Z94">
        <f t="shared" si="64"/>
        <v>0</v>
      </c>
      <c r="AA94">
        <f t="shared" si="58"/>
        <v>0</v>
      </c>
      <c r="AB94">
        <f t="shared" si="58"/>
        <v>0</v>
      </c>
      <c r="AC94">
        <f t="shared" si="58"/>
        <v>0</v>
      </c>
      <c r="AD94">
        <f t="shared" si="58"/>
        <v>0</v>
      </c>
      <c r="AE94">
        <f t="shared" si="58"/>
        <v>0</v>
      </c>
      <c r="AF94">
        <f t="shared" si="58"/>
        <v>0</v>
      </c>
      <c r="AG94">
        <f t="shared" si="58"/>
        <v>0</v>
      </c>
      <c r="AH94">
        <f t="shared" si="58"/>
        <v>0</v>
      </c>
      <c r="AI94">
        <f t="shared" si="58"/>
        <v>0</v>
      </c>
      <c r="AJ94">
        <f t="shared" si="58"/>
        <v>0</v>
      </c>
      <c r="AK94">
        <f t="shared" si="58"/>
        <v>0</v>
      </c>
      <c r="AL94">
        <f t="shared" si="58"/>
        <v>0</v>
      </c>
      <c r="AM94">
        <f t="shared" si="58"/>
        <v>0</v>
      </c>
      <c r="AN94">
        <f t="shared" si="58"/>
        <v>0</v>
      </c>
      <c r="AO94">
        <f t="shared" si="58"/>
        <v>0</v>
      </c>
      <c r="AP94">
        <f t="shared" si="58"/>
        <v>0</v>
      </c>
      <c r="AQ94">
        <f t="shared" si="58"/>
        <v>0</v>
      </c>
      <c r="AR94">
        <f>E94+Q94+R94+S94+T94+U94+W94+X94+Y94+Z94+AA94+AB94+AC94+AD94+AE94+AF94+AG94+AH94+AI94+AJ94+AK94+AL94+AM94+AN94+AO94+AP94+AQ94</f>
        <v>0</v>
      </c>
      <c r="AS94">
        <f>D94+V116-AR94</f>
        <v>2.67</v>
      </c>
    </row>
    <row r="95" spans="1:45" ht="20.25" customHeight="1">
      <c r="A95" t="s">
        <v>65</v>
      </c>
      <c r="B95" t="s">
        <v>66</v>
      </c>
      <c r="C95" t="s">
        <v>67</v>
      </c>
      <c r="D95">
        <f t="shared" si="59"/>
        <v>0</v>
      </c>
      <c r="E95">
        <f t="shared" si="38"/>
        <v>0</v>
      </c>
      <c r="F95">
        <f t="shared" si="60"/>
        <v>0</v>
      </c>
      <c r="G95">
        <f t="shared" si="60"/>
        <v>0</v>
      </c>
      <c r="H95">
        <f t="shared" si="61"/>
        <v>0</v>
      </c>
      <c r="I95">
        <f t="shared" si="61"/>
        <v>0</v>
      </c>
      <c r="J95">
        <f t="shared" si="55"/>
        <v>0</v>
      </c>
      <c r="K95">
        <f t="shared" si="55"/>
        <v>0</v>
      </c>
      <c r="L95">
        <f t="shared" si="55"/>
        <v>0</v>
      </c>
      <c r="M95">
        <f t="shared" si="55"/>
        <v>0</v>
      </c>
      <c r="N95">
        <f t="shared" si="55"/>
        <v>0</v>
      </c>
      <c r="O95">
        <f t="shared" si="55"/>
        <v>0</v>
      </c>
      <c r="P95">
        <f t="shared" si="62"/>
        <v>0</v>
      </c>
      <c r="Q95">
        <f t="shared" si="65"/>
        <v>0</v>
      </c>
      <c r="R95">
        <f t="shared" si="65"/>
        <v>0</v>
      </c>
      <c r="S95">
        <f t="shared" si="65"/>
        <v>0</v>
      </c>
      <c r="T95">
        <f>Z32</f>
        <v>0</v>
      </c>
      <c r="U95">
        <f>AA32</f>
        <v>0</v>
      </c>
      <c r="V95">
        <f>AB32</f>
        <v>0</v>
      </c>
      <c r="W95">
        <f>D95-AR95</f>
        <v>0</v>
      </c>
      <c r="X95">
        <f>AD32</f>
        <v>0</v>
      </c>
      <c r="Y95">
        <f>AE32</f>
        <v>0</v>
      </c>
      <c r="Z95">
        <f t="shared" si="64"/>
        <v>0</v>
      </c>
      <c r="AA95">
        <f t="shared" si="58"/>
        <v>0</v>
      </c>
      <c r="AB95">
        <f t="shared" si="58"/>
        <v>0</v>
      </c>
      <c r="AC95">
        <f t="shared" si="58"/>
        <v>0</v>
      </c>
      <c r="AD95">
        <f t="shared" si="58"/>
        <v>0</v>
      </c>
      <c r="AE95">
        <f t="shared" si="58"/>
        <v>0</v>
      </c>
      <c r="AF95">
        <f t="shared" si="58"/>
        <v>0</v>
      </c>
      <c r="AG95">
        <f t="shared" si="58"/>
        <v>0</v>
      </c>
      <c r="AH95">
        <f t="shared" si="58"/>
        <v>0</v>
      </c>
      <c r="AI95">
        <f t="shared" si="58"/>
        <v>0</v>
      </c>
      <c r="AJ95">
        <f t="shared" si="58"/>
        <v>0</v>
      </c>
      <c r="AK95">
        <f t="shared" si="58"/>
        <v>0</v>
      </c>
      <c r="AL95">
        <f t="shared" si="58"/>
        <v>0</v>
      </c>
      <c r="AM95">
        <f t="shared" si="58"/>
        <v>0</v>
      </c>
      <c r="AN95">
        <f t="shared" si="58"/>
        <v>0</v>
      </c>
      <c r="AO95">
        <f t="shared" si="58"/>
        <v>0</v>
      </c>
      <c r="AP95">
        <f t="shared" si="58"/>
        <v>0</v>
      </c>
      <c r="AQ95">
        <f t="shared" si="58"/>
        <v>0</v>
      </c>
      <c r="AR95">
        <f>E95+Q95+R95+S95+T95+U95+V95+X95+Y95+Z95+AA95+AB95+AC95+AD95+AE95+AF95+AG95+AH95+AI95+AJ95+AK95+AL95+AM95+AN95+AO95+AP95+AQ95</f>
        <v>0</v>
      </c>
      <c r="AS95">
        <f>D95+W116-AR95</f>
        <v>0</v>
      </c>
    </row>
    <row r="96" spans="1:45" ht="20.25" customHeight="1">
      <c r="A96" t="s">
        <v>68</v>
      </c>
      <c r="B96" t="s">
        <v>69</v>
      </c>
      <c r="C96" t="s">
        <v>70</v>
      </c>
      <c r="D96">
        <f t="shared" si="59"/>
        <v>0</v>
      </c>
      <c r="E96">
        <f t="shared" si="38"/>
        <v>0</v>
      </c>
      <c r="F96">
        <f t="shared" si="60"/>
        <v>0</v>
      </c>
      <c r="G96">
        <f t="shared" si="60"/>
        <v>0</v>
      </c>
      <c r="H96">
        <f t="shared" si="61"/>
        <v>0</v>
      </c>
      <c r="I96">
        <f t="shared" si="61"/>
        <v>0</v>
      </c>
      <c r="J96">
        <f t="shared" si="55"/>
        <v>0</v>
      </c>
      <c r="K96">
        <f t="shared" si="55"/>
        <v>0</v>
      </c>
      <c r="L96">
        <f t="shared" si="55"/>
        <v>0</v>
      </c>
      <c r="M96">
        <f t="shared" si="55"/>
        <v>0</v>
      </c>
      <c r="N96">
        <f t="shared" si="55"/>
        <v>0</v>
      </c>
      <c r="O96">
        <f t="shared" si="55"/>
        <v>0</v>
      </c>
      <c r="P96">
        <f t="shared" si="62"/>
        <v>0</v>
      </c>
      <c r="Q96">
        <f t="shared" si="65"/>
        <v>0</v>
      </c>
      <c r="R96">
        <f t="shared" si="65"/>
        <v>0</v>
      </c>
      <c r="S96">
        <f t="shared" si="65"/>
        <v>0</v>
      </c>
      <c r="T96">
        <f>Z33</f>
        <v>0</v>
      </c>
      <c r="U96">
        <f>AA33</f>
        <v>0</v>
      </c>
      <c r="V96">
        <f>AB33</f>
        <v>0</v>
      </c>
      <c r="W96">
        <f>AC33</f>
        <v>0</v>
      </c>
      <c r="X96">
        <f>D96-AR96</f>
        <v>0</v>
      </c>
      <c r="Y96">
        <f>AE33</f>
        <v>0</v>
      </c>
      <c r="Z96">
        <f t="shared" si="64"/>
        <v>0</v>
      </c>
      <c r="AA96">
        <f t="shared" si="58"/>
        <v>0</v>
      </c>
      <c r="AB96">
        <f t="shared" si="58"/>
        <v>0</v>
      </c>
      <c r="AC96">
        <f t="shared" si="58"/>
        <v>0</v>
      </c>
      <c r="AD96">
        <f t="shared" si="58"/>
        <v>0</v>
      </c>
      <c r="AE96">
        <f t="shared" si="58"/>
        <v>0</v>
      </c>
      <c r="AF96">
        <f t="shared" si="58"/>
        <v>0</v>
      </c>
      <c r="AG96">
        <f t="shared" si="58"/>
        <v>0</v>
      </c>
      <c r="AH96">
        <f t="shared" si="58"/>
        <v>0</v>
      </c>
      <c r="AI96">
        <f t="shared" si="58"/>
        <v>0</v>
      </c>
      <c r="AJ96">
        <f t="shared" si="58"/>
        <v>0</v>
      </c>
      <c r="AK96">
        <f t="shared" si="58"/>
        <v>0</v>
      </c>
      <c r="AL96">
        <f t="shared" si="58"/>
        <v>0</v>
      </c>
      <c r="AM96">
        <f t="shared" si="58"/>
        <v>0</v>
      </c>
      <c r="AN96">
        <f t="shared" si="58"/>
        <v>0</v>
      </c>
      <c r="AO96">
        <f t="shared" si="58"/>
        <v>0</v>
      </c>
      <c r="AP96">
        <f t="shared" si="58"/>
        <v>0</v>
      </c>
      <c r="AQ96">
        <f t="shared" si="58"/>
        <v>0</v>
      </c>
      <c r="AR96">
        <f>E96+Q96+R96+S96+T96+U96+V96+W96+Y96+Z96+AA96+AB96+AC96+AD96+AE96+AF96+AG96+AH96+AI96+AJ96+AK96+AL96+AM96+AN96+AO96+AP96+AQ96</f>
        <v>0</v>
      </c>
      <c r="AS96">
        <f>D96+X116-AR96</f>
        <v>0</v>
      </c>
    </row>
    <row r="97" spans="1:45" ht="38.25" customHeight="1">
      <c r="A97" t="s">
        <v>71</v>
      </c>
      <c r="B97" t="s">
        <v>135</v>
      </c>
      <c r="C97" t="s">
        <v>72</v>
      </c>
      <c r="D97">
        <f t="shared" si="59"/>
        <v>29.960000000000004</v>
      </c>
      <c r="E97">
        <f t="shared" si="38"/>
        <v>0</v>
      </c>
      <c r="F97">
        <f t="shared" si="60"/>
        <v>0</v>
      </c>
      <c r="G97">
        <f t="shared" si="60"/>
        <v>0</v>
      </c>
      <c r="H97">
        <f t="shared" si="61"/>
        <v>0</v>
      </c>
      <c r="I97">
        <f t="shared" si="61"/>
        <v>0</v>
      </c>
      <c r="J97">
        <f>P34</f>
        <v>0</v>
      </c>
      <c r="K97">
        <f t="shared" si="55"/>
        <v>0</v>
      </c>
      <c r="L97">
        <f t="shared" si="55"/>
        <v>0</v>
      </c>
      <c r="M97">
        <f t="shared" si="55"/>
        <v>0</v>
      </c>
      <c r="N97">
        <f t="shared" si="55"/>
        <v>0</v>
      </c>
      <c r="O97">
        <f t="shared" si="55"/>
        <v>0</v>
      </c>
      <c r="P97">
        <f t="shared" si="62"/>
        <v>29.960000000000004</v>
      </c>
      <c r="Q97">
        <f t="shared" si="65"/>
        <v>0</v>
      </c>
      <c r="R97">
        <f t="shared" si="65"/>
        <v>0</v>
      </c>
      <c r="S97">
        <f t="shared" si="65"/>
        <v>0</v>
      </c>
      <c r="T97">
        <f>Z34</f>
        <v>0</v>
      </c>
      <c r="U97">
        <f>AA34</f>
        <v>0</v>
      </c>
      <c r="V97">
        <f>AB34</f>
        <v>0</v>
      </c>
      <c r="W97">
        <f>AC34</f>
        <v>0</v>
      </c>
      <c r="X97">
        <f>AD34</f>
        <v>0</v>
      </c>
      <c r="Y97">
        <f>D97-AR97</f>
        <v>29.960000000000004</v>
      </c>
      <c r="Z97">
        <f t="shared" si="64"/>
        <v>0</v>
      </c>
      <c r="AA97">
        <f t="shared" si="58"/>
        <v>0</v>
      </c>
      <c r="AB97">
        <f t="shared" si="58"/>
        <v>0</v>
      </c>
      <c r="AC97">
        <f t="shared" si="58"/>
        <v>0</v>
      </c>
      <c r="AD97">
        <f t="shared" si="58"/>
        <v>0</v>
      </c>
      <c r="AE97">
        <f t="shared" si="58"/>
        <v>0</v>
      </c>
      <c r="AF97">
        <f t="shared" si="58"/>
        <v>0</v>
      </c>
      <c r="AG97">
        <f t="shared" si="58"/>
        <v>0</v>
      </c>
      <c r="AH97">
        <f t="shared" si="58"/>
        <v>0</v>
      </c>
      <c r="AI97">
        <f t="shared" si="58"/>
        <v>0</v>
      </c>
      <c r="AJ97">
        <f t="shared" si="58"/>
        <v>0</v>
      </c>
      <c r="AK97">
        <f t="shared" si="58"/>
        <v>0</v>
      </c>
      <c r="AL97">
        <f t="shared" si="58"/>
        <v>0</v>
      </c>
      <c r="AM97">
        <f t="shared" si="58"/>
        <v>0</v>
      </c>
      <c r="AN97">
        <f t="shared" si="58"/>
        <v>0</v>
      </c>
      <c r="AO97">
        <f t="shared" si="58"/>
        <v>0</v>
      </c>
      <c r="AP97">
        <f t="shared" si="58"/>
        <v>0</v>
      </c>
      <c r="AQ97">
        <f t="shared" si="58"/>
        <v>0</v>
      </c>
      <c r="AR97">
        <f>E97+Q97+R97+S97+T97+U97+V97+W97+X97+Z97+AA97+AB97+AC97+AD97+AE97+AF97+AG97+AH97+AI97+AJ97+AK97+AL97+AM97+AN97+AO97+AP97+AQ97</f>
        <v>0</v>
      </c>
      <c r="AS97">
        <f>D97+Y116-AR97</f>
        <v>29.960000000000004</v>
      </c>
    </row>
    <row r="98" spans="1:45" ht="20.25" customHeight="1">
      <c r="A98" t="s">
        <v>73</v>
      </c>
      <c r="B98" t="s">
        <v>74</v>
      </c>
      <c r="C98" t="s">
        <v>75</v>
      </c>
      <c r="D98">
        <f>D46</f>
        <v>0</v>
      </c>
      <c r="E98">
        <f t="shared" si="38"/>
        <v>0</v>
      </c>
      <c r="F98">
        <f>H46</f>
        <v>0</v>
      </c>
      <c r="G98">
        <f>I46</f>
        <v>0</v>
      </c>
      <c r="H98">
        <f>M46</f>
        <v>0</v>
      </c>
      <c r="I98">
        <f>N46</f>
        <v>0</v>
      </c>
      <c r="J98">
        <f t="shared" ref="J98:O113" si="67">P46</f>
        <v>0</v>
      </c>
      <c r="K98">
        <f t="shared" si="67"/>
        <v>0</v>
      </c>
      <c r="L98">
        <f t="shared" si="67"/>
        <v>0</v>
      </c>
      <c r="M98">
        <f t="shared" si="67"/>
        <v>0</v>
      </c>
      <c r="N98">
        <f t="shared" si="67"/>
        <v>0</v>
      </c>
      <c r="O98">
        <f t="shared" si="67"/>
        <v>0</v>
      </c>
      <c r="P98">
        <f t="shared" si="62"/>
        <v>0</v>
      </c>
      <c r="Q98">
        <f t="shared" ref="Q98:Y113" si="68">W46</f>
        <v>0</v>
      </c>
      <c r="R98">
        <f t="shared" si="68"/>
        <v>0</v>
      </c>
      <c r="S98">
        <f t="shared" si="68"/>
        <v>0</v>
      </c>
      <c r="T98">
        <f t="shared" si="68"/>
        <v>0</v>
      </c>
      <c r="U98">
        <f t="shared" si="68"/>
        <v>0</v>
      </c>
      <c r="V98">
        <f t="shared" si="68"/>
        <v>0</v>
      </c>
      <c r="W98">
        <f t="shared" si="68"/>
        <v>0</v>
      </c>
      <c r="X98">
        <f t="shared" si="68"/>
        <v>0</v>
      </c>
      <c r="Y98">
        <f t="shared" si="68"/>
        <v>0</v>
      </c>
      <c r="Z98">
        <f>D98-AR98</f>
        <v>0</v>
      </c>
      <c r="AA98">
        <f>AR46</f>
        <v>0</v>
      </c>
      <c r="AB98">
        <f t="shared" ref="AB98:AQ109" si="69">AS46</f>
        <v>0</v>
      </c>
      <c r="AC98">
        <f t="shared" si="69"/>
        <v>0</v>
      </c>
      <c r="AD98">
        <f t="shared" si="69"/>
        <v>0</v>
      </c>
      <c r="AE98">
        <f t="shared" si="69"/>
        <v>0</v>
      </c>
      <c r="AF98">
        <f t="shared" si="69"/>
        <v>0</v>
      </c>
      <c r="AG98">
        <f t="shared" si="69"/>
        <v>0</v>
      </c>
      <c r="AH98">
        <f t="shared" si="69"/>
        <v>0</v>
      </c>
      <c r="AI98">
        <f t="shared" si="69"/>
        <v>0</v>
      </c>
      <c r="AJ98">
        <f t="shared" si="69"/>
        <v>0</v>
      </c>
      <c r="AK98">
        <f t="shared" si="69"/>
        <v>0</v>
      </c>
      <c r="AL98">
        <f t="shared" si="69"/>
        <v>0</v>
      </c>
      <c r="AM98">
        <f t="shared" si="69"/>
        <v>0</v>
      </c>
      <c r="AN98">
        <f t="shared" si="69"/>
        <v>0</v>
      </c>
      <c r="AO98">
        <f t="shared" si="69"/>
        <v>0</v>
      </c>
      <c r="AP98">
        <f t="shared" si="69"/>
        <v>0</v>
      </c>
      <c r="AQ98">
        <f t="shared" si="69"/>
        <v>0</v>
      </c>
      <c r="AR98">
        <f>E98+Q98+R98+S98+T98+U98+V98+W98+X98+Y98+AA98+AB98+AC98+AD98+AE98+AF98+AG98+AH98+AI98+AJ98+AK98+AL98+AM98+AN98+AO98+AP98+AQ98</f>
        <v>0</v>
      </c>
      <c r="AS98">
        <f>D98+Z116-AR98</f>
        <v>0</v>
      </c>
    </row>
    <row r="99" spans="1:45" ht="20.25" customHeight="1">
      <c r="A99" t="s">
        <v>76</v>
      </c>
      <c r="B99" t="s">
        <v>77</v>
      </c>
      <c r="C99" t="s">
        <v>78</v>
      </c>
      <c r="D99">
        <f t="shared" ref="D99:D114" si="70">D47</f>
        <v>0</v>
      </c>
      <c r="E99">
        <f t="shared" si="38"/>
        <v>0</v>
      </c>
      <c r="F99">
        <f t="shared" ref="F99:G115" si="71">H47</f>
        <v>0</v>
      </c>
      <c r="G99">
        <f t="shared" si="71"/>
        <v>0</v>
      </c>
      <c r="H99">
        <f t="shared" ref="H99:I115" si="72">M47</f>
        <v>0</v>
      </c>
      <c r="I99">
        <f t="shared" si="72"/>
        <v>0</v>
      </c>
      <c r="J99">
        <f t="shared" si="67"/>
        <v>0</v>
      </c>
      <c r="K99">
        <f t="shared" si="67"/>
        <v>0</v>
      </c>
      <c r="L99">
        <f t="shared" si="67"/>
        <v>0</v>
      </c>
      <c r="M99">
        <f t="shared" si="67"/>
        <v>0</v>
      </c>
      <c r="N99">
        <f t="shared" si="67"/>
        <v>0</v>
      </c>
      <c r="O99">
        <f t="shared" si="67"/>
        <v>0</v>
      </c>
      <c r="P99">
        <f t="shared" si="62"/>
        <v>0</v>
      </c>
      <c r="Q99">
        <f t="shared" si="68"/>
        <v>0</v>
      </c>
      <c r="R99">
        <f t="shared" si="68"/>
        <v>0</v>
      </c>
      <c r="S99">
        <f t="shared" si="68"/>
        <v>0</v>
      </c>
      <c r="T99">
        <f t="shared" si="68"/>
        <v>0</v>
      </c>
      <c r="U99">
        <f t="shared" si="68"/>
        <v>0</v>
      </c>
      <c r="V99">
        <f t="shared" si="68"/>
        <v>0</v>
      </c>
      <c r="W99">
        <f t="shared" si="68"/>
        <v>0</v>
      </c>
      <c r="X99">
        <f t="shared" si="68"/>
        <v>0</v>
      </c>
      <c r="Y99">
        <f t="shared" si="68"/>
        <v>0</v>
      </c>
      <c r="Z99">
        <f>AQ47</f>
        <v>0</v>
      </c>
      <c r="AA99">
        <f>D99-AR99</f>
        <v>0</v>
      </c>
      <c r="AB99">
        <f>AS47</f>
        <v>0</v>
      </c>
      <c r="AC99">
        <f t="shared" si="69"/>
        <v>0</v>
      </c>
      <c r="AD99">
        <f t="shared" si="69"/>
        <v>0</v>
      </c>
      <c r="AE99">
        <f t="shared" si="69"/>
        <v>0</v>
      </c>
      <c r="AF99">
        <f t="shared" si="69"/>
        <v>0</v>
      </c>
      <c r="AG99">
        <f t="shared" si="69"/>
        <v>0</v>
      </c>
      <c r="AH99">
        <f t="shared" si="69"/>
        <v>0</v>
      </c>
      <c r="AI99">
        <f t="shared" si="69"/>
        <v>0</v>
      </c>
      <c r="AJ99">
        <f t="shared" si="69"/>
        <v>0</v>
      </c>
      <c r="AK99">
        <f t="shared" si="69"/>
        <v>0</v>
      </c>
      <c r="AL99">
        <f t="shared" si="69"/>
        <v>0</v>
      </c>
      <c r="AM99">
        <f t="shared" si="69"/>
        <v>0</v>
      </c>
      <c r="AN99">
        <f t="shared" si="69"/>
        <v>0</v>
      </c>
      <c r="AO99">
        <f t="shared" si="69"/>
        <v>0</v>
      </c>
      <c r="AP99">
        <f t="shared" si="69"/>
        <v>0</v>
      </c>
      <c r="AQ99">
        <f t="shared" si="69"/>
        <v>0</v>
      </c>
      <c r="AR99">
        <f>E99+Q99+R99+S99+T99+U99+V99+W99+X99+Y99+Z99+AB99+AC99+AD99+AE99+AF99+AG99+AH99+AI99+AJ99+AK99+AL99+AM99+AN99+AO99+AP99+AQ99</f>
        <v>0</v>
      </c>
      <c r="AS99">
        <f>D99+AA116-AR99</f>
        <v>0</v>
      </c>
    </row>
    <row r="100" spans="1:45" ht="20.25" customHeight="1">
      <c r="A100" t="s">
        <v>79</v>
      </c>
      <c r="B100" t="s">
        <v>80</v>
      </c>
      <c r="C100" t="s">
        <v>81</v>
      </c>
      <c r="D100">
        <f t="shared" si="70"/>
        <v>0</v>
      </c>
      <c r="E100">
        <f t="shared" si="38"/>
        <v>0</v>
      </c>
      <c r="F100">
        <f t="shared" si="71"/>
        <v>0</v>
      </c>
      <c r="G100">
        <f t="shared" si="71"/>
        <v>0</v>
      </c>
      <c r="H100">
        <f t="shared" si="72"/>
        <v>0</v>
      </c>
      <c r="I100">
        <f t="shared" si="72"/>
        <v>0</v>
      </c>
      <c r="J100">
        <f t="shared" si="67"/>
        <v>0</v>
      </c>
      <c r="K100">
        <f t="shared" si="67"/>
        <v>0</v>
      </c>
      <c r="L100">
        <f t="shared" si="67"/>
        <v>0</v>
      </c>
      <c r="M100">
        <f t="shared" si="67"/>
        <v>0</v>
      </c>
      <c r="N100">
        <f t="shared" si="67"/>
        <v>0</v>
      </c>
      <c r="O100">
        <f t="shared" si="67"/>
        <v>0</v>
      </c>
      <c r="P100">
        <f t="shared" si="62"/>
        <v>0</v>
      </c>
      <c r="Q100">
        <f t="shared" si="68"/>
        <v>0</v>
      </c>
      <c r="R100">
        <f t="shared" si="68"/>
        <v>0</v>
      </c>
      <c r="S100">
        <f t="shared" si="68"/>
        <v>0</v>
      </c>
      <c r="T100">
        <f t="shared" si="68"/>
        <v>0</v>
      </c>
      <c r="U100">
        <f t="shared" si="68"/>
        <v>0</v>
      </c>
      <c r="V100">
        <f t="shared" si="68"/>
        <v>0</v>
      </c>
      <c r="W100">
        <f t="shared" si="68"/>
        <v>0</v>
      </c>
      <c r="X100">
        <f t="shared" si="68"/>
        <v>0</v>
      </c>
      <c r="Y100">
        <f t="shared" si="68"/>
        <v>0</v>
      </c>
      <c r="Z100">
        <f t="shared" ref="Z100:AK115" si="73">AQ48</f>
        <v>0</v>
      </c>
      <c r="AA100">
        <f t="shared" si="73"/>
        <v>0</v>
      </c>
      <c r="AB100">
        <f>D100-AR100</f>
        <v>0</v>
      </c>
      <c r="AC100">
        <f>AT48</f>
        <v>0</v>
      </c>
      <c r="AD100">
        <f t="shared" si="69"/>
        <v>0</v>
      </c>
      <c r="AE100">
        <f t="shared" si="69"/>
        <v>0</v>
      </c>
      <c r="AF100">
        <f t="shared" si="69"/>
        <v>0</v>
      </c>
      <c r="AG100">
        <f t="shared" si="69"/>
        <v>0</v>
      </c>
      <c r="AH100">
        <f t="shared" si="69"/>
        <v>0</v>
      </c>
      <c r="AI100">
        <f t="shared" si="69"/>
        <v>0</v>
      </c>
      <c r="AJ100">
        <f t="shared" si="69"/>
        <v>0</v>
      </c>
      <c r="AK100">
        <f t="shared" si="69"/>
        <v>0</v>
      </c>
      <c r="AL100">
        <f t="shared" si="69"/>
        <v>0</v>
      </c>
      <c r="AM100">
        <f t="shared" si="69"/>
        <v>0</v>
      </c>
      <c r="AN100">
        <f t="shared" si="69"/>
        <v>0</v>
      </c>
      <c r="AO100">
        <f t="shared" si="69"/>
        <v>0</v>
      </c>
      <c r="AP100">
        <f t="shared" si="69"/>
        <v>0</v>
      </c>
      <c r="AQ100">
        <f t="shared" si="69"/>
        <v>0</v>
      </c>
      <c r="AR100">
        <f>E100+Q100+R100+S100+T100+U100+V100+W100+X100+Y100+Z100+AA100+AC100+AD100+AE100+AF100+AG100+AH100+AI100+AJ100+AK100+AL100+AM100+AN100+AO100+AP100+AQ100</f>
        <v>0</v>
      </c>
      <c r="AS100">
        <f>D100+AB116-AR100</f>
        <v>0</v>
      </c>
    </row>
    <row r="101" spans="1:45" ht="20.25" customHeight="1">
      <c r="A101" t="s">
        <v>82</v>
      </c>
      <c r="B101" t="s">
        <v>83</v>
      </c>
      <c r="C101" t="s">
        <v>84</v>
      </c>
      <c r="D101">
        <f t="shared" si="70"/>
        <v>0</v>
      </c>
      <c r="E101">
        <f t="shared" si="38"/>
        <v>0</v>
      </c>
      <c r="F101">
        <f t="shared" si="71"/>
        <v>0</v>
      </c>
      <c r="G101">
        <f t="shared" si="71"/>
        <v>0</v>
      </c>
      <c r="H101">
        <f t="shared" si="72"/>
        <v>0</v>
      </c>
      <c r="I101">
        <f t="shared" si="72"/>
        <v>0</v>
      </c>
      <c r="J101">
        <f t="shared" si="67"/>
        <v>0</v>
      </c>
      <c r="K101">
        <f t="shared" si="67"/>
        <v>0</v>
      </c>
      <c r="L101">
        <f t="shared" si="67"/>
        <v>0</v>
      </c>
      <c r="M101">
        <f t="shared" si="67"/>
        <v>0</v>
      </c>
      <c r="N101">
        <f t="shared" si="67"/>
        <v>0</v>
      </c>
      <c r="O101">
        <f t="shared" si="67"/>
        <v>0</v>
      </c>
      <c r="P101">
        <f t="shared" si="62"/>
        <v>0</v>
      </c>
      <c r="Q101">
        <f t="shared" si="68"/>
        <v>0</v>
      </c>
      <c r="R101">
        <f t="shared" si="68"/>
        <v>0</v>
      </c>
      <c r="S101">
        <f t="shared" si="68"/>
        <v>0</v>
      </c>
      <c r="T101">
        <f t="shared" si="68"/>
        <v>0</v>
      </c>
      <c r="U101">
        <f t="shared" si="68"/>
        <v>0</v>
      </c>
      <c r="V101">
        <f t="shared" si="68"/>
        <v>0</v>
      </c>
      <c r="W101">
        <f t="shared" si="68"/>
        <v>0</v>
      </c>
      <c r="X101">
        <f t="shared" si="68"/>
        <v>0</v>
      </c>
      <c r="Y101">
        <f t="shared" si="68"/>
        <v>0</v>
      </c>
      <c r="Z101">
        <f t="shared" si="73"/>
        <v>0</v>
      </c>
      <c r="AA101">
        <f t="shared" si="73"/>
        <v>0</v>
      </c>
      <c r="AB101">
        <f t="shared" si="73"/>
        <v>0</v>
      </c>
      <c r="AC101">
        <f>D101-AR101</f>
        <v>0</v>
      </c>
      <c r="AD101">
        <f>AU49</f>
        <v>0</v>
      </c>
      <c r="AE101">
        <f t="shared" si="69"/>
        <v>0</v>
      </c>
      <c r="AF101">
        <f t="shared" si="69"/>
        <v>0</v>
      </c>
      <c r="AG101">
        <f t="shared" si="69"/>
        <v>0</v>
      </c>
      <c r="AH101">
        <f t="shared" si="69"/>
        <v>0</v>
      </c>
      <c r="AI101">
        <f t="shared" si="69"/>
        <v>0</v>
      </c>
      <c r="AJ101">
        <f t="shared" si="69"/>
        <v>0</v>
      </c>
      <c r="AK101">
        <f t="shared" si="69"/>
        <v>0</v>
      </c>
      <c r="AL101">
        <f t="shared" si="69"/>
        <v>0</v>
      </c>
      <c r="AM101">
        <f t="shared" si="69"/>
        <v>0</v>
      </c>
      <c r="AN101">
        <f t="shared" si="69"/>
        <v>0</v>
      </c>
      <c r="AO101">
        <f t="shared" si="69"/>
        <v>0</v>
      </c>
      <c r="AP101">
        <f t="shared" si="69"/>
        <v>0</v>
      </c>
      <c r="AQ101">
        <f t="shared" si="69"/>
        <v>0</v>
      </c>
      <c r="AR101">
        <f>E101+Q101+R101+S101+T101+U101+V101+W101+X101+Y101+Z101+AA101+AB101+AD101+AE101+AF101+AG101+AH101+AI101+AJ101+AK101+AL101+AM101+AN101+AO101+AP101+AQ101</f>
        <v>0</v>
      </c>
      <c r="AS101">
        <f>D101+AC116-AR101</f>
        <v>0</v>
      </c>
    </row>
    <row r="102" spans="1:45" ht="20.25" customHeight="1">
      <c r="A102" t="s">
        <v>85</v>
      </c>
      <c r="B102" t="s">
        <v>86</v>
      </c>
      <c r="C102" t="s">
        <v>87</v>
      </c>
      <c r="D102">
        <f t="shared" si="70"/>
        <v>13.67</v>
      </c>
      <c r="E102">
        <f t="shared" si="38"/>
        <v>0</v>
      </c>
      <c r="F102">
        <f t="shared" si="71"/>
        <v>0</v>
      </c>
      <c r="G102">
        <f t="shared" si="71"/>
        <v>0</v>
      </c>
      <c r="H102">
        <f t="shared" si="72"/>
        <v>0</v>
      </c>
      <c r="I102">
        <f t="shared" si="72"/>
        <v>0</v>
      </c>
      <c r="J102">
        <f t="shared" si="67"/>
        <v>0</v>
      </c>
      <c r="K102">
        <f t="shared" si="67"/>
        <v>0</v>
      </c>
      <c r="L102">
        <f t="shared" si="67"/>
        <v>0</v>
      </c>
      <c r="M102">
        <f t="shared" si="67"/>
        <v>0</v>
      </c>
      <c r="N102">
        <f t="shared" si="67"/>
        <v>0</v>
      </c>
      <c r="O102">
        <f t="shared" si="67"/>
        <v>0</v>
      </c>
      <c r="P102">
        <f t="shared" si="62"/>
        <v>13.67</v>
      </c>
      <c r="Q102">
        <f t="shared" si="68"/>
        <v>0</v>
      </c>
      <c r="R102">
        <f t="shared" si="68"/>
        <v>0</v>
      </c>
      <c r="S102">
        <f t="shared" si="68"/>
        <v>0</v>
      </c>
      <c r="T102">
        <f t="shared" si="68"/>
        <v>0</v>
      </c>
      <c r="U102">
        <f t="shared" si="68"/>
        <v>0</v>
      </c>
      <c r="V102">
        <f t="shared" si="68"/>
        <v>0</v>
      </c>
      <c r="W102">
        <f t="shared" si="68"/>
        <v>0</v>
      </c>
      <c r="X102">
        <f t="shared" si="68"/>
        <v>0</v>
      </c>
      <c r="Y102">
        <f t="shared" si="68"/>
        <v>0</v>
      </c>
      <c r="Z102">
        <f t="shared" si="73"/>
        <v>0</v>
      </c>
      <c r="AA102">
        <f t="shared" si="73"/>
        <v>0</v>
      </c>
      <c r="AB102">
        <f t="shared" si="73"/>
        <v>0</v>
      </c>
      <c r="AC102">
        <f t="shared" si="73"/>
        <v>0</v>
      </c>
      <c r="AD102">
        <f>D102-AR102</f>
        <v>13.67</v>
      </c>
      <c r="AE102">
        <f>AV50</f>
        <v>0</v>
      </c>
      <c r="AF102">
        <f t="shared" si="69"/>
        <v>0</v>
      </c>
      <c r="AG102">
        <f t="shared" si="69"/>
        <v>0</v>
      </c>
      <c r="AH102">
        <f t="shared" si="69"/>
        <v>0</v>
      </c>
      <c r="AI102">
        <f t="shared" si="69"/>
        <v>0</v>
      </c>
      <c r="AJ102">
        <f t="shared" si="69"/>
        <v>0</v>
      </c>
      <c r="AK102">
        <f t="shared" si="69"/>
        <v>0</v>
      </c>
      <c r="AL102">
        <f t="shared" si="69"/>
        <v>0</v>
      </c>
      <c r="AM102">
        <f t="shared" si="69"/>
        <v>0</v>
      </c>
      <c r="AN102">
        <f t="shared" si="69"/>
        <v>0</v>
      </c>
      <c r="AO102">
        <f t="shared" si="69"/>
        <v>0</v>
      </c>
      <c r="AP102">
        <f t="shared" si="69"/>
        <v>0</v>
      </c>
      <c r="AQ102">
        <f t="shared" si="69"/>
        <v>0</v>
      </c>
      <c r="AR102">
        <f>E102+Q102+R102+S102+T102+U102+V102+W102+X102+Y102+Z102+AA102+AB102+AC102+AE102+AF102+AG102+AH102+AI102+AJ102+AK102+AL102+AM102+AN102+AO102+AP102+AQ102</f>
        <v>0</v>
      </c>
      <c r="AS102">
        <f>D102+AD116-AR102</f>
        <v>14.13</v>
      </c>
    </row>
    <row r="103" spans="1:45" ht="20.25" customHeight="1">
      <c r="A103" t="s">
        <v>88</v>
      </c>
      <c r="B103" t="s">
        <v>89</v>
      </c>
      <c r="C103" t="s">
        <v>90</v>
      </c>
      <c r="D103">
        <f t="shared" si="70"/>
        <v>4.1695000000000002</v>
      </c>
      <c r="E103">
        <f t="shared" si="38"/>
        <v>0</v>
      </c>
      <c r="F103">
        <f t="shared" si="71"/>
        <v>0</v>
      </c>
      <c r="G103">
        <f t="shared" si="71"/>
        <v>0</v>
      </c>
      <c r="H103">
        <f t="shared" si="72"/>
        <v>0</v>
      </c>
      <c r="I103">
        <f t="shared" si="72"/>
        <v>0</v>
      </c>
      <c r="J103">
        <f t="shared" si="67"/>
        <v>0</v>
      </c>
      <c r="K103">
        <f t="shared" si="67"/>
        <v>0</v>
      </c>
      <c r="L103">
        <f t="shared" si="67"/>
        <v>0</v>
      </c>
      <c r="M103">
        <f t="shared" si="67"/>
        <v>0</v>
      </c>
      <c r="N103">
        <f t="shared" si="67"/>
        <v>0</v>
      </c>
      <c r="O103">
        <f t="shared" si="67"/>
        <v>0</v>
      </c>
      <c r="P103">
        <f t="shared" si="62"/>
        <v>4.1695000000000002</v>
      </c>
      <c r="Q103">
        <f t="shared" si="68"/>
        <v>0</v>
      </c>
      <c r="R103">
        <f t="shared" si="68"/>
        <v>0</v>
      </c>
      <c r="S103">
        <f t="shared" si="68"/>
        <v>0</v>
      </c>
      <c r="T103">
        <f t="shared" si="68"/>
        <v>0</v>
      </c>
      <c r="U103">
        <f t="shared" si="68"/>
        <v>0</v>
      </c>
      <c r="V103">
        <f t="shared" si="68"/>
        <v>0</v>
      </c>
      <c r="W103">
        <f t="shared" si="68"/>
        <v>0</v>
      </c>
      <c r="X103">
        <f t="shared" si="68"/>
        <v>0</v>
      </c>
      <c r="Y103">
        <f t="shared" si="68"/>
        <v>0</v>
      </c>
      <c r="Z103">
        <f t="shared" si="73"/>
        <v>0</v>
      </c>
      <c r="AA103">
        <f t="shared" si="73"/>
        <v>0</v>
      </c>
      <c r="AB103">
        <f t="shared" si="73"/>
        <v>0</v>
      </c>
      <c r="AC103">
        <f t="shared" si="73"/>
        <v>0</v>
      </c>
      <c r="AD103">
        <f t="shared" si="73"/>
        <v>0.46</v>
      </c>
      <c r="AE103">
        <f>D103-AR103</f>
        <v>3.7095000000000002</v>
      </c>
      <c r="AF103">
        <f>AW51</f>
        <v>0</v>
      </c>
      <c r="AG103">
        <f t="shared" si="69"/>
        <v>0</v>
      </c>
      <c r="AH103">
        <f t="shared" si="69"/>
        <v>0</v>
      </c>
      <c r="AI103">
        <f t="shared" si="69"/>
        <v>0</v>
      </c>
      <c r="AJ103">
        <f t="shared" si="69"/>
        <v>0</v>
      </c>
      <c r="AK103">
        <f t="shared" si="69"/>
        <v>0</v>
      </c>
      <c r="AL103">
        <f t="shared" si="69"/>
        <v>0</v>
      </c>
      <c r="AM103">
        <f t="shared" si="69"/>
        <v>0</v>
      </c>
      <c r="AN103">
        <f t="shared" si="69"/>
        <v>0</v>
      </c>
      <c r="AO103">
        <f t="shared" si="69"/>
        <v>0</v>
      </c>
      <c r="AP103">
        <f t="shared" si="69"/>
        <v>0</v>
      </c>
      <c r="AQ103">
        <f t="shared" si="69"/>
        <v>0</v>
      </c>
      <c r="AR103">
        <f>E103+Q103+R103+S103+T103+U103+V103+W103+X103+Y103+Z103+AA103+AB103+AC103+AD103+AF103+AG103+AH103+AI103+AJ103+AK103+AL103+AM103+AN103+AO103+AP103+AQ103</f>
        <v>0.46</v>
      </c>
      <c r="AS103">
        <f>D103+AE116-AR103</f>
        <v>3.7095000000000002</v>
      </c>
    </row>
    <row r="104" spans="1:45" ht="37.5" customHeight="1">
      <c r="A104" t="s">
        <v>91</v>
      </c>
      <c r="B104" t="s">
        <v>92</v>
      </c>
      <c r="C104" t="s">
        <v>93</v>
      </c>
      <c r="D104">
        <f t="shared" si="70"/>
        <v>0</v>
      </c>
      <c r="E104">
        <f t="shared" si="38"/>
        <v>0</v>
      </c>
      <c r="F104">
        <f t="shared" si="71"/>
        <v>0</v>
      </c>
      <c r="G104">
        <f t="shared" si="71"/>
        <v>0</v>
      </c>
      <c r="H104">
        <f t="shared" si="72"/>
        <v>0</v>
      </c>
      <c r="I104">
        <f t="shared" si="72"/>
        <v>0</v>
      </c>
      <c r="J104">
        <f t="shared" si="67"/>
        <v>0</v>
      </c>
      <c r="K104">
        <f t="shared" si="67"/>
        <v>0</v>
      </c>
      <c r="L104">
        <f t="shared" si="67"/>
        <v>0</v>
      </c>
      <c r="M104">
        <f t="shared" si="67"/>
        <v>0</v>
      </c>
      <c r="N104">
        <f t="shared" si="67"/>
        <v>0</v>
      </c>
      <c r="O104">
        <f t="shared" si="67"/>
        <v>0</v>
      </c>
      <c r="P104">
        <f t="shared" si="62"/>
        <v>0</v>
      </c>
      <c r="Q104">
        <f t="shared" si="68"/>
        <v>0</v>
      </c>
      <c r="R104">
        <f t="shared" si="68"/>
        <v>0</v>
      </c>
      <c r="S104">
        <f t="shared" si="68"/>
        <v>0</v>
      </c>
      <c r="T104">
        <f t="shared" si="68"/>
        <v>0</v>
      </c>
      <c r="U104">
        <f t="shared" si="68"/>
        <v>0</v>
      </c>
      <c r="V104">
        <f t="shared" si="68"/>
        <v>0</v>
      </c>
      <c r="W104">
        <f t="shared" si="68"/>
        <v>0</v>
      </c>
      <c r="X104">
        <f t="shared" si="68"/>
        <v>0</v>
      </c>
      <c r="Y104">
        <f t="shared" si="68"/>
        <v>0</v>
      </c>
      <c r="Z104">
        <f t="shared" si="73"/>
        <v>0</v>
      </c>
      <c r="AA104">
        <f t="shared" si="73"/>
        <v>0</v>
      </c>
      <c r="AB104">
        <f t="shared" si="73"/>
        <v>0</v>
      </c>
      <c r="AC104">
        <f t="shared" si="73"/>
        <v>0</v>
      </c>
      <c r="AD104">
        <f t="shared" si="73"/>
        <v>0</v>
      </c>
      <c r="AE104">
        <f t="shared" si="73"/>
        <v>0</v>
      </c>
      <c r="AF104">
        <f>D104-AR104</f>
        <v>0</v>
      </c>
      <c r="AG104">
        <f>AX52</f>
        <v>0</v>
      </c>
      <c r="AH104">
        <f t="shared" si="69"/>
        <v>0</v>
      </c>
      <c r="AI104">
        <f t="shared" si="69"/>
        <v>0</v>
      </c>
      <c r="AJ104">
        <f t="shared" si="69"/>
        <v>0</v>
      </c>
      <c r="AK104">
        <f t="shared" si="69"/>
        <v>0</v>
      </c>
      <c r="AL104">
        <f t="shared" si="69"/>
        <v>0</v>
      </c>
      <c r="AM104">
        <f t="shared" si="69"/>
        <v>0</v>
      </c>
      <c r="AN104">
        <f t="shared" si="69"/>
        <v>0</v>
      </c>
      <c r="AO104">
        <f t="shared" si="69"/>
        <v>0</v>
      </c>
      <c r="AP104">
        <f t="shared" si="69"/>
        <v>0</v>
      </c>
      <c r="AQ104">
        <f t="shared" si="69"/>
        <v>0</v>
      </c>
      <c r="AR104">
        <f>E104+Q104+R104+S104+T104+U104+V104+W104+X104+Y104+Z104+AA104+AB104+AC104+AD104+AE104+AG104+AH104+AI104+AJ104+AK104+AL104+AM104+AN104+AO104+AP104+AQ104</f>
        <v>0</v>
      </c>
      <c r="AS104">
        <f>D104+AF116-AR104</f>
        <v>0</v>
      </c>
    </row>
    <row r="105" spans="1:45" ht="20.25" customHeight="1">
      <c r="A105" t="s">
        <v>94</v>
      </c>
      <c r="B105" t="s">
        <v>95</v>
      </c>
      <c r="C105" t="s">
        <v>96</v>
      </c>
      <c r="D105">
        <f t="shared" si="70"/>
        <v>0</v>
      </c>
      <c r="E105">
        <f t="shared" si="38"/>
        <v>0</v>
      </c>
      <c r="F105">
        <f t="shared" si="71"/>
        <v>0</v>
      </c>
      <c r="G105">
        <f t="shared" si="71"/>
        <v>0</v>
      </c>
      <c r="H105">
        <f t="shared" si="72"/>
        <v>0</v>
      </c>
      <c r="I105">
        <f t="shared" si="72"/>
        <v>0</v>
      </c>
      <c r="J105">
        <f t="shared" si="67"/>
        <v>0</v>
      </c>
      <c r="K105">
        <f t="shared" si="67"/>
        <v>0</v>
      </c>
      <c r="L105">
        <f t="shared" si="67"/>
        <v>0</v>
      </c>
      <c r="M105">
        <f t="shared" si="67"/>
        <v>0</v>
      </c>
      <c r="N105">
        <f t="shared" si="67"/>
        <v>0</v>
      </c>
      <c r="O105">
        <f t="shared" si="67"/>
        <v>0</v>
      </c>
      <c r="P105">
        <f t="shared" si="62"/>
        <v>0</v>
      </c>
      <c r="Q105">
        <f t="shared" si="68"/>
        <v>0</v>
      </c>
      <c r="R105">
        <f t="shared" si="68"/>
        <v>0</v>
      </c>
      <c r="S105">
        <f t="shared" si="68"/>
        <v>0</v>
      </c>
      <c r="T105">
        <f t="shared" si="68"/>
        <v>0</v>
      </c>
      <c r="U105">
        <f t="shared" si="68"/>
        <v>0</v>
      </c>
      <c r="V105">
        <f t="shared" si="68"/>
        <v>0</v>
      </c>
      <c r="W105">
        <f t="shared" si="68"/>
        <v>0</v>
      </c>
      <c r="X105">
        <f t="shared" si="68"/>
        <v>0</v>
      </c>
      <c r="Y105">
        <f t="shared" si="68"/>
        <v>0</v>
      </c>
      <c r="Z105">
        <f t="shared" si="73"/>
        <v>0</v>
      </c>
      <c r="AA105">
        <f t="shared" si="73"/>
        <v>0</v>
      </c>
      <c r="AB105">
        <f t="shared" si="73"/>
        <v>0</v>
      </c>
      <c r="AC105">
        <f t="shared" si="73"/>
        <v>0</v>
      </c>
      <c r="AD105">
        <f t="shared" si="73"/>
        <v>0</v>
      </c>
      <c r="AE105">
        <f t="shared" si="73"/>
        <v>0</v>
      </c>
      <c r="AF105">
        <f t="shared" si="73"/>
        <v>0</v>
      </c>
      <c r="AG105">
        <f>D105-AR105</f>
        <v>0</v>
      </c>
      <c r="AH105">
        <f>AY53</f>
        <v>0</v>
      </c>
      <c r="AI105">
        <f t="shared" si="69"/>
        <v>0</v>
      </c>
      <c r="AJ105">
        <f t="shared" si="69"/>
        <v>0</v>
      </c>
      <c r="AK105">
        <f t="shared" si="69"/>
        <v>0</v>
      </c>
      <c r="AL105">
        <f t="shared" si="69"/>
        <v>0</v>
      </c>
      <c r="AM105">
        <f t="shared" si="69"/>
        <v>0</v>
      </c>
      <c r="AN105">
        <f t="shared" si="69"/>
        <v>0</v>
      </c>
      <c r="AO105">
        <f t="shared" si="69"/>
        <v>0</v>
      </c>
      <c r="AP105">
        <f t="shared" si="69"/>
        <v>0</v>
      </c>
      <c r="AQ105">
        <f t="shared" si="69"/>
        <v>0</v>
      </c>
      <c r="AR105">
        <f>E105+Q105+R105+S105+T105+U105+V105+W105+X105+Y105+Z105+AA105+AB105+AC105+AD105+AE105+AF105+AH105+AI105+AJ105+AK105+AL105+AM105+AN105+AO105+AP105+AQ105</f>
        <v>0</v>
      </c>
      <c r="AS105">
        <f>D105+AG116-AR105</f>
        <v>0</v>
      </c>
    </row>
    <row r="106" spans="1:45" ht="20.25" customHeight="1">
      <c r="A106" t="s">
        <v>97</v>
      </c>
      <c r="B106" t="s">
        <v>98</v>
      </c>
      <c r="C106" t="s">
        <v>99</v>
      </c>
      <c r="D106">
        <f t="shared" si="70"/>
        <v>0</v>
      </c>
      <c r="E106">
        <f t="shared" si="38"/>
        <v>0</v>
      </c>
      <c r="F106">
        <f t="shared" si="71"/>
        <v>0</v>
      </c>
      <c r="G106">
        <f t="shared" si="71"/>
        <v>0</v>
      </c>
      <c r="H106">
        <f t="shared" si="72"/>
        <v>0</v>
      </c>
      <c r="I106">
        <f t="shared" si="72"/>
        <v>0</v>
      </c>
      <c r="J106">
        <f t="shared" si="67"/>
        <v>0</v>
      </c>
      <c r="K106">
        <f t="shared" si="67"/>
        <v>0</v>
      </c>
      <c r="L106">
        <f t="shared" si="67"/>
        <v>0</v>
      </c>
      <c r="M106">
        <f t="shared" si="67"/>
        <v>0</v>
      </c>
      <c r="N106">
        <f t="shared" si="67"/>
        <v>0</v>
      </c>
      <c r="O106">
        <f t="shared" si="67"/>
        <v>0</v>
      </c>
      <c r="P106">
        <f t="shared" si="62"/>
        <v>0</v>
      </c>
      <c r="Q106">
        <f t="shared" si="68"/>
        <v>0</v>
      </c>
      <c r="R106">
        <f t="shared" si="68"/>
        <v>0</v>
      </c>
      <c r="S106">
        <f t="shared" si="68"/>
        <v>0</v>
      </c>
      <c r="T106">
        <f t="shared" si="68"/>
        <v>0</v>
      </c>
      <c r="U106">
        <f t="shared" si="68"/>
        <v>0</v>
      </c>
      <c r="V106">
        <f t="shared" si="68"/>
        <v>0</v>
      </c>
      <c r="W106">
        <f t="shared" si="68"/>
        <v>0</v>
      </c>
      <c r="X106">
        <f t="shared" si="68"/>
        <v>0</v>
      </c>
      <c r="Y106">
        <f t="shared" si="68"/>
        <v>0</v>
      </c>
      <c r="Z106">
        <f t="shared" si="73"/>
        <v>0</v>
      </c>
      <c r="AA106">
        <f t="shared" si="73"/>
        <v>0</v>
      </c>
      <c r="AB106">
        <f t="shared" si="73"/>
        <v>0</v>
      </c>
      <c r="AC106">
        <f t="shared" si="73"/>
        <v>0</v>
      </c>
      <c r="AD106">
        <f t="shared" si="73"/>
        <v>0</v>
      </c>
      <c r="AE106">
        <f t="shared" si="73"/>
        <v>0</v>
      </c>
      <c r="AF106">
        <f t="shared" si="73"/>
        <v>0</v>
      </c>
      <c r="AG106">
        <f t="shared" si="73"/>
        <v>0</v>
      </c>
      <c r="AH106">
        <f>D106-AR106</f>
        <v>0</v>
      </c>
      <c r="AI106">
        <f>AZ54</f>
        <v>0</v>
      </c>
      <c r="AJ106">
        <f t="shared" si="69"/>
        <v>0</v>
      </c>
      <c r="AK106">
        <f t="shared" si="69"/>
        <v>0</v>
      </c>
      <c r="AL106">
        <f t="shared" si="69"/>
        <v>0</v>
      </c>
      <c r="AM106">
        <f t="shared" si="69"/>
        <v>0</v>
      </c>
      <c r="AN106">
        <f t="shared" si="69"/>
        <v>0</v>
      </c>
      <c r="AO106">
        <f t="shared" si="69"/>
        <v>0</v>
      </c>
      <c r="AP106">
        <f t="shared" si="69"/>
        <v>0</v>
      </c>
      <c r="AQ106">
        <f t="shared" si="69"/>
        <v>0</v>
      </c>
      <c r="AR106">
        <f>E106+Q106+R106+S106+T106+U106+V106+W106+X106+Y106+Z106+AA106+AB106+AC106+AD106+AE106+AF106+AG106+AI106+AJ106+AK106+AL106+AM106+AN106+AO106+AP106+AQ106</f>
        <v>0</v>
      </c>
      <c r="AS106">
        <f>D106+AH116-AR106</f>
        <v>0</v>
      </c>
    </row>
    <row r="107" spans="1:45" ht="31.5" customHeight="1">
      <c r="A107" t="s">
        <v>100</v>
      </c>
      <c r="B107" t="s">
        <v>134</v>
      </c>
      <c r="C107" t="s">
        <v>101</v>
      </c>
      <c r="D107">
        <f t="shared" si="70"/>
        <v>0</v>
      </c>
      <c r="E107">
        <f t="shared" si="38"/>
        <v>0</v>
      </c>
      <c r="F107">
        <f t="shared" si="71"/>
        <v>0</v>
      </c>
      <c r="G107">
        <f t="shared" si="71"/>
        <v>0</v>
      </c>
      <c r="H107">
        <f t="shared" si="72"/>
        <v>0</v>
      </c>
      <c r="I107">
        <f t="shared" si="72"/>
        <v>0</v>
      </c>
      <c r="J107">
        <f t="shared" si="67"/>
        <v>0</v>
      </c>
      <c r="K107">
        <f t="shared" si="67"/>
        <v>0</v>
      </c>
      <c r="L107">
        <f t="shared" si="67"/>
        <v>0</v>
      </c>
      <c r="M107">
        <f t="shared" si="67"/>
        <v>0</v>
      </c>
      <c r="N107">
        <f t="shared" si="67"/>
        <v>0</v>
      </c>
      <c r="O107">
        <f t="shared" si="67"/>
        <v>0</v>
      </c>
      <c r="P107">
        <f t="shared" si="62"/>
        <v>0</v>
      </c>
      <c r="Q107">
        <f t="shared" si="68"/>
        <v>0</v>
      </c>
      <c r="R107">
        <f t="shared" si="68"/>
        <v>0</v>
      </c>
      <c r="S107">
        <f t="shared" si="68"/>
        <v>0</v>
      </c>
      <c r="T107">
        <f t="shared" si="68"/>
        <v>0</v>
      </c>
      <c r="U107">
        <f t="shared" si="68"/>
        <v>0</v>
      </c>
      <c r="V107">
        <f t="shared" si="68"/>
        <v>0</v>
      </c>
      <c r="W107">
        <f t="shared" si="68"/>
        <v>0</v>
      </c>
      <c r="X107">
        <f t="shared" si="68"/>
        <v>0</v>
      </c>
      <c r="Y107">
        <f t="shared" si="68"/>
        <v>0</v>
      </c>
      <c r="Z107">
        <f t="shared" si="73"/>
        <v>0</v>
      </c>
      <c r="AA107">
        <f t="shared" si="73"/>
        <v>0</v>
      </c>
      <c r="AB107">
        <f t="shared" si="73"/>
        <v>0</v>
      </c>
      <c r="AC107">
        <f t="shared" si="73"/>
        <v>0</v>
      </c>
      <c r="AD107">
        <f t="shared" si="73"/>
        <v>0</v>
      </c>
      <c r="AE107">
        <f t="shared" si="73"/>
        <v>0</v>
      </c>
      <c r="AF107">
        <f t="shared" si="73"/>
        <v>0</v>
      </c>
      <c r="AG107">
        <f t="shared" si="73"/>
        <v>0</v>
      </c>
      <c r="AH107">
        <f t="shared" si="73"/>
        <v>0</v>
      </c>
      <c r="AI107">
        <f>D107-AR107</f>
        <v>0</v>
      </c>
      <c r="AJ107">
        <f>BA55</f>
        <v>0</v>
      </c>
      <c r="AK107">
        <f t="shared" si="69"/>
        <v>0</v>
      </c>
      <c r="AL107">
        <f t="shared" si="69"/>
        <v>0</v>
      </c>
      <c r="AM107">
        <f t="shared" si="69"/>
        <v>0</v>
      </c>
      <c r="AN107">
        <f t="shared" si="69"/>
        <v>0</v>
      </c>
      <c r="AO107">
        <f t="shared" si="69"/>
        <v>0</v>
      </c>
      <c r="AP107">
        <f t="shared" si="69"/>
        <v>0</v>
      </c>
      <c r="AQ107">
        <f t="shared" si="69"/>
        <v>0</v>
      </c>
      <c r="AR107">
        <f>E107+Q107+R107+S107+T107+U107+V107+W107+X107+Y107+Z107+AA107+AB107+AC107+AD107+AE107+AF107+AG107+AH107+AJ107+AK107+AL107+AM107+AN107+AO107+AP107+AQ107</f>
        <v>0</v>
      </c>
      <c r="AS107">
        <f>D107+AI116-AR107</f>
        <v>0</v>
      </c>
    </row>
    <row r="108" spans="1:45" ht="20.25" customHeight="1">
      <c r="A108" t="s">
        <v>102</v>
      </c>
      <c r="B108" t="s">
        <v>103</v>
      </c>
      <c r="C108" t="s">
        <v>104</v>
      </c>
      <c r="D108">
        <f t="shared" si="70"/>
        <v>0</v>
      </c>
      <c r="E108">
        <f t="shared" si="38"/>
        <v>0</v>
      </c>
      <c r="F108">
        <f t="shared" si="71"/>
        <v>0</v>
      </c>
      <c r="G108">
        <f t="shared" si="71"/>
        <v>0</v>
      </c>
      <c r="H108">
        <f t="shared" si="72"/>
        <v>0</v>
      </c>
      <c r="I108">
        <f t="shared" si="72"/>
        <v>0</v>
      </c>
      <c r="J108">
        <f t="shared" si="67"/>
        <v>0</v>
      </c>
      <c r="K108">
        <f t="shared" si="67"/>
        <v>0</v>
      </c>
      <c r="L108">
        <f t="shared" si="67"/>
        <v>0</v>
      </c>
      <c r="M108">
        <f t="shared" si="67"/>
        <v>0</v>
      </c>
      <c r="N108">
        <f t="shared" si="67"/>
        <v>0</v>
      </c>
      <c r="O108">
        <f t="shared" si="67"/>
        <v>0</v>
      </c>
      <c r="P108">
        <f t="shared" si="62"/>
        <v>0</v>
      </c>
      <c r="Q108">
        <f t="shared" si="68"/>
        <v>0</v>
      </c>
      <c r="R108">
        <f t="shared" si="68"/>
        <v>0</v>
      </c>
      <c r="S108">
        <f t="shared" si="68"/>
        <v>0</v>
      </c>
      <c r="T108">
        <f t="shared" si="68"/>
        <v>0</v>
      </c>
      <c r="U108">
        <f t="shared" si="68"/>
        <v>0</v>
      </c>
      <c r="V108">
        <f t="shared" si="68"/>
        <v>0</v>
      </c>
      <c r="W108">
        <f t="shared" si="68"/>
        <v>0</v>
      </c>
      <c r="X108">
        <f t="shared" si="68"/>
        <v>0</v>
      </c>
      <c r="Y108">
        <f t="shared" si="68"/>
        <v>0</v>
      </c>
      <c r="Z108">
        <f t="shared" si="73"/>
        <v>0</v>
      </c>
      <c r="AA108">
        <f t="shared" si="73"/>
        <v>0</v>
      </c>
      <c r="AB108">
        <f t="shared" si="73"/>
        <v>0</v>
      </c>
      <c r="AC108">
        <f t="shared" si="73"/>
        <v>0</v>
      </c>
      <c r="AD108">
        <f t="shared" si="73"/>
        <v>0</v>
      </c>
      <c r="AE108">
        <f t="shared" si="73"/>
        <v>0</v>
      </c>
      <c r="AF108">
        <f t="shared" si="73"/>
        <v>0</v>
      </c>
      <c r="AG108">
        <f t="shared" si="73"/>
        <v>0</v>
      </c>
      <c r="AH108">
        <f t="shared" si="73"/>
        <v>0</v>
      </c>
      <c r="AI108">
        <f t="shared" si="73"/>
        <v>0</v>
      </c>
      <c r="AJ108">
        <f>D108-AR108</f>
        <v>0</v>
      </c>
      <c r="AK108">
        <f>BB56</f>
        <v>0</v>
      </c>
      <c r="AL108">
        <f t="shared" si="69"/>
        <v>0</v>
      </c>
      <c r="AM108">
        <f t="shared" si="69"/>
        <v>0</v>
      </c>
      <c r="AN108">
        <f t="shared" si="69"/>
        <v>0</v>
      </c>
      <c r="AO108">
        <f t="shared" si="69"/>
        <v>0</v>
      </c>
      <c r="AP108">
        <f t="shared" si="69"/>
        <v>0</v>
      </c>
      <c r="AQ108">
        <f t="shared" si="69"/>
        <v>0</v>
      </c>
      <c r="AR108">
        <f>E108+Q108+R108+S108+T108+U108+V108+W108+X108+Y108+Z108+AA108+AB108+AC108+AD108+AE108+AF108+AG108+AH108+AI108+AK108+AL108+AM108+AN108+AO108+AP108+AQ108</f>
        <v>0</v>
      </c>
      <c r="AS108">
        <f>D108+AJ116-AR108</f>
        <v>0</v>
      </c>
    </row>
    <row r="109" spans="1:45" ht="20.25" customHeight="1">
      <c r="A109" t="s">
        <v>105</v>
      </c>
      <c r="B109" t="s">
        <v>106</v>
      </c>
      <c r="C109" t="s">
        <v>107</v>
      </c>
      <c r="D109">
        <f t="shared" si="70"/>
        <v>0.28000000000000003</v>
      </c>
      <c r="E109">
        <f t="shared" si="38"/>
        <v>0</v>
      </c>
      <c r="F109">
        <f t="shared" si="71"/>
        <v>0</v>
      </c>
      <c r="G109">
        <f t="shared" si="71"/>
        <v>0</v>
      </c>
      <c r="H109">
        <f t="shared" si="72"/>
        <v>0</v>
      </c>
      <c r="I109">
        <f t="shared" si="72"/>
        <v>0</v>
      </c>
      <c r="J109">
        <f t="shared" si="67"/>
        <v>0</v>
      </c>
      <c r="K109">
        <f t="shared" si="67"/>
        <v>0</v>
      </c>
      <c r="L109">
        <f t="shared" si="67"/>
        <v>0</v>
      </c>
      <c r="M109">
        <f t="shared" si="67"/>
        <v>0</v>
      </c>
      <c r="N109">
        <f t="shared" si="67"/>
        <v>0</v>
      </c>
      <c r="O109">
        <f t="shared" si="67"/>
        <v>0</v>
      </c>
      <c r="P109">
        <f t="shared" si="62"/>
        <v>0.28000000000000003</v>
      </c>
      <c r="Q109">
        <f t="shared" si="68"/>
        <v>0</v>
      </c>
      <c r="R109">
        <f t="shared" si="68"/>
        <v>0</v>
      </c>
      <c r="S109">
        <f t="shared" si="68"/>
        <v>0</v>
      </c>
      <c r="T109">
        <f t="shared" si="68"/>
        <v>0</v>
      </c>
      <c r="U109">
        <f t="shared" si="68"/>
        <v>0</v>
      </c>
      <c r="V109">
        <f t="shared" si="68"/>
        <v>0</v>
      </c>
      <c r="W109">
        <f t="shared" si="68"/>
        <v>0</v>
      </c>
      <c r="X109">
        <f t="shared" si="68"/>
        <v>0</v>
      </c>
      <c r="Y109">
        <f t="shared" si="68"/>
        <v>0</v>
      </c>
      <c r="Z109">
        <f t="shared" si="73"/>
        <v>0</v>
      </c>
      <c r="AA109">
        <f t="shared" si="73"/>
        <v>0</v>
      </c>
      <c r="AB109">
        <f t="shared" si="73"/>
        <v>0</v>
      </c>
      <c r="AC109">
        <f t="shared" si="73"/>
        <v>0</v>
      </c>
      <c r="AD109">
        <f t="shared" si="73"/>
        <v>0</v>
      </c>
      <c r="AE109">
        <f t="shared" si="73"/>
        <v>0</v>
      </c>
      <c r="AF109">
        <f t="shared" si="73"/>
        <v>0</v>
      </c>
      <c r="AG109">
        <f t="shared" si="73"/>
        <v>0</v>
      </c>
      <c r="AH109">
        <f t="shared" si="73"/>
        <v>0</v>
      </c>
      <c r="AI109">
        <f t="shared" si="73"/>
        <v>0</v>
      </c>
      <c r="AJ109">
        <f t="shared" si="73"/>
        <v>0</v>
      </c>
      <c r="AK109">
        <f>D109-AR109</f>
        <v>0.28000000000000003</v>
      </c>
      <c r="AL109">
        <f t="shared" si="69"/>
        <v>0</v>
      </c>
      <c r="AM109">
        <f t="shared" si="69"/>
        <v>0</v>
      </c>
      <c r="AN109">
        <f t="shared" si="69"/>
        <v>0</v>
      </c>
      <c r="AO109">
        <f t="shared" si="69"/>
        <v>0</v>
      </c>
      <c r="AP109">
        <f t="shared" si="69"/>
        <v>0</v>
      </c>
      <c r="AQ109">
        <f t="shared" si="69"/>
        <v>0</v>
      </c>
      <c r="AR109">
        <f>E109+Q109+R109+S109+T109+U109+V109+W109+X109+Y109+Z109+AA109+AB109+AC109+AD109+AE109+AF109+AG109+AH109+AI109+AJ109+AL109+AM109+AN109+AO109+AP109+AQ109</f>
        <v>0</v>
      </c>
      <c r="AS109">
        <f>D109+AK116-AR109</f>
        <v>0.28000000000000003</v>
      </c>
    </row>
    <row r="110" spans="1:45" ht="20.25" customHeight="1">
      <c r="A110" t="s">
        <v>108</v>
      </c>
      <c r="B110" t="s">
        <v>109</v>
      </c>
      <c r="C110" t="s">
        <v>110</v>
      </c>
      <c r="D110">
        <f t="shared" si="70"/>
        <v>5.46</v>
      </c>
      <c r="E110">
        <f t="shared" si="38"/>
        <v>0</v>
      </c>
      <c r="F110">
        <f t="shared" si="71"/>
        <v>0</v>
      </c>
      <c r="G110">
        <f t="shared" si="71"/>
        <v>0</v>
      </c>
      <c r="H110">
        <f t="shared" si="72"/>
        <v>0</v>
      </c>
      <c r="I110">
        <f t="shared" si="72"/>
        <v>0</v>
      </c>
      <c r="J110">
        <f t="shared" si="67"/>
        <v>0</v>
      </c>
      <c r="K110">
        <f t="shared" si="67"/>
        <v>0</v>
      </c>
      <c r="L110">
        <f t="shared" si="67"/>
        <v>0</v>
      </c>
      <c r="M110">
        <f t="shared" si="67"/>
        <v>0</v>
      </c>
      <c r="N110">
        <f t="shared" si="67"/>
        <v>0</v>
      </c>
      <c r="O110">
        <f t="shared" si="67"/>
        <v>0</v>
      </c>
      <c r="P110">
        <f t="shared" si="62"/>
        <v>5.46</v>
      </c>
      <c r="Q110">
        <f t="shared" si="68"/>
        <v>0</v>
      </c>
      <c r="R110">
        <f t="shared" si="68"/>
        <v>0</v>
      </c>
      <c r="S110">
        <f t="shared" si="68"/>
        <v>0</v>
      </c>
      <c r="T110">
        <f t="shared" si="68"/>
        <v>0</v>
      </c>
      <c r="U110">
        <f t="shared" si="68"/>
        <v>0</v>
      </c>
      <c r="V110">
        <f t="shared" si="68"/>
        <v>0</v>
      </c>
      <c r="W110">
        <f t="shared" si="68"/>
        <v>0</v>
      </c>
      <c r="X110">
        <f t="shared" si="68"/>
        <v>0</v>
      </c>
      <c r="Y110">
        <f t="shared" si="68"/>
        <v>0</v>
      </c>
      <c r="Z110">
        <f t="shared" si="73"/>
        <v>0</v>
      </c>
      <c r="AA110">
        <f t="shared" si="73"/>
        <v>0</v>
      </c>
      <c r="AB110">
        <f t="shared" si="73"/>
        <v>0</v>
      </c>
      <c r="AC110">
        <f t="shared" si="73"/>
        <v>0</v>
      </c>
      <c r="AD110">
        <f t="shared" si="73"/>
        <v>0</v>
      </c>
      <c r="AE110">
        <f t="shared" si="73"/>
        <v>0</v>
      </c>
      <c r="AF110">
        <f t="shared" si="73"/>
        <v>0</v>
      </c>
      <c r="AG110">
        <f t="shared" si="73"/>
        <v>0</v>
      </c>
      <c r="AH110">
        <f t="shared" si="73"/>
        <v>0</v>
      </c>
      <c r="AI110">
        <f t="shared" si="73"/>
        <v>0</v>
      </c>
      <c r="AJ110">
        <f t="shared" si="73"/>
        <v>0</v>
      </c>
      <c r="AK110">
        <f t="shared" si="73"/>
        <v>0</v>
      </c>
      <c r="AL110">
        <f>D110-AR110</f>
        <v>5.46</v>
      </c>
      <c r="AM110">
        <f>BD58</f>
        <v>0</v>
      </c>
      <c r="AN110">
        <f>BE58</f>
        <v>0</v>
      </c>
      <c r="AO110">
        <f>BF58</f>
        <v>0</v>
      </c>
      <c r="AP110">
        <f>BG58</f>
        <v>0</v>
      </c>
      <c r="AQ110">
        <f>BH58</f>
        <v>0</v>
      </c>
      <c r="AR110">
        <f>E110+Q110+R110+S110+T110+U110+V110+W110+X110+Y110+Z110+AA110+AB110+AC110+AD110+AE110+AF110+AG110+AH110+AI110+AJ110+AK110+AM110+AN110+AO110+AP110+AQ110</f>
        <v>0</v>
      </c>
      <c r="AS110">
        <f>D110+AL116-AR110</f>
        <v>5.46</v>
      </c>
    </row>
    <row r="111" spans="1:45" ht="20.25" customHeight="1">
      <c r="A111" t="s">
        <v>111</v>
      </c>
      <c r="B111" t="s">
        <v>112</v>
      </c>
      <c r="C111" t="s">
        <v>113</v>
      </c>
      <c r="D111">
        <f t="shared" si="70"/>
        <v>0.01</v>
      </c>
      <c r="E111">
        <f t="shared" si="38"/>
        <v>0</v>
      </c>
      <c r="F111">
        <f t="shared" si="71"/>
        <v>0</v>
      </c>
      <c r="G111">
        <f t="shared" si="71"/>
        <v>0</v>
      </c>
      <c r="H111">
        <f t="shared" si="72"/>
        <v>0</v>
      </c>
      <c r="I111">
        <f t="shared" si="72"/>
        <v>0</v>
      </c>
      <c r="J111">
        <f t="shared" si="67"/>
        <v>0</v>
      </c>
      <c r="K111">
        <f t="shared" si="67"/>
        <v>0</v>
      </c>
      <c r="L111">
        <f t="shared" si="67"/>
        <v>0</v>
      </c>
      <c r="M111">
        <f t="shared" si="67"/>
        <v>0</v>
      </c>
      <c r="N111">
        <f t="shared" si="67"/>
        <v>0</v>
      </c>
      <c r="O111">
        <f t="shared" si="67"/>
        <v>0</v>
      </c>
      <c r="P111">
        <f t="shared" si="62"/>
        <v>0.01</v>
      </c>
      <c r="Q111">
        <f t="shared" si="68"/>
        <v>0</v>
      </c>
      <c r="R111">
        <f t="shared" si="68"/>
        <v>0</v>
      </c>
      <c r="S111">
        <f t="shared" si="68"/>
        <v>0</v>
      </c>
      <c r="T111">
        <f t="shared" si="68"/>
        <v>0</v>
      </c>
      <c r="U111">
        <f t="shared" si="68"/>
        <v>0</v>
      </c>
      <c r="V111">
        <f t="shared" si="68"/>
        <v>0</v>
      </c>
      <c r="W111">
        <f t="shared" si="68"/>
        <v>0</v>
      </c>
      <c r="X111">
        <f t="shared" si="68"/>
        <v>0</v>
      </c>
      <c r="Y111">
        <f t="shared" si="68"/>
        <v>0</v>
      </c>
      <c r="Z111">
        <f t="shared" si="73"/>
        <v>0</v>
      </c>
      <c r="AA111">
        <f t="shared" si="73"/>
        <v>0</v>
      </c>
      <c r="AB111">
        <f t="shared" si="73"/>
        <v>0</v>
      </c>
      <c r="AC111">
        <f t="shared" si="73"/>
        <v>0</v>
      </c>
      <c r="AD111">
        <f t="shared" si="73"/>
        <v>0</v>
      </c>
      <c r="AE111">
        <f t="shared" si="73"/>
        <v>0</v>
      </c>
      <c r="AF111">
        <f t="shared" si="73"/>
        <v>0</v>
      </c>
      <c r="AG111">
        <f t="shared" si="73"/>
        <v>0</v>
      </c>
      <c r="AH111">
        <f t="shared" si="73"/>
        <v>0</v>
      </c>
      <c r="AI111">
        <f t="shared" si="73"/>
        <v>0</v>
      </c>
      <c r="AJ111">
        <f t="shared" si="73"/>
        <v>0</v>
      </c>
      <c r="AK111">
        <f t="shared" si="73"/>
        <v>0</v>
      </c>
      <c r="AL111">
        <f>BC59</f>
        <v>0</v>
      </c>
      <c r="AM111">
        <f>D111-AR111</f>
        <v>0.01</v>
      </c>
      <c r="AN111">
        <f>BE59</f>
        <v>0</v>
      </c>
      <c r="AO111">
        <f>BF59</f>
        <v>0</v>
      </c>
      <c r="AP111">
        <f>BG59</f>
        <v>0</v>
      </c>
      <c r="AQ111">
        <f>BH59</f>
        <v>0</v>
      </c>
      <c r="AR111">
        <f>E111+Q111+R111+S111+T111+U111+V111+W111+X111+Y111+Z111+AA111+AB111+AC111+AD111+AE111+AF111+AG111+AH111+AI111+AJ111+AK111+AL111+AN111+AO111+AP111+AQ111</f>
        <v>0</v>
      </c>
      <c r="AS111">
        <f>D111+AM116-AR111</f>
        <v>0.01</v>
      </c>
    </row>
    <row r="112" spans="1:45" ht="20.25" customHeight="1">
      <c r="A112" t="s">
        <v>114</v>
      </c>
      <c r="B112" t="s">
        <v>115</v>
      </c>
      <c r="C112" t="s">
        <v>116</v>
      </c>
      <c r="D112">
        <f t="shared" si="70"/>
        <v>9.67</v>
      </c>
      <c r="E112">
        <f t="shared" si="38"/>
        <v>0</v>
      </c>
      <c r="F112">
        <f t="shared" si="71"/>
        <v>0</v>
      </c>
      <c r="G112">
        <f t="shared" si="71"/>
        <v>0</v>
      </c>
      <c r="H112">
        <f t="shared" si="72"/>
        <v>0</v>
      </c>
      <c r="I112">
        <f t="shared" si="72"/>
        <v>0</v>
      </c>
      <c r="J112">
        <f t="shared" si="67"/>
        <v>0</v>
      </c>
      <c r="K112">
        <f t="shared" si="67"/>
        <v>0</v>
      </c>
      <c r="L112">
        <f t="shared" si="67"/>
        <v>0</v>
      </c>
      <c r="M112">
        <f t="shared" si="67"/>
        <v>0</v>
      </c>
      <c r="N112">
        <f t="shared" si="67"/>
        <v>0</v>
      </c>
      <c r="O112">
        <f t="shared" si="67"/>
        <v>0</v>
      </c>
      <c r="P112">
        <f t="shared" si="62"/>
        <v>9.67</v>
      </c>
      <c r="Q112">
        <f t="shared" si="68"/>
        <v>0</v>
      </c>
      <c r="R112">
        <f t="shared" si="68"/>
        <v>0</v>
      </c>
      <c r="S112">
        <f t="shared" si="68"/>
        <v>0</v>
      </c>
      <c r="T112">
        <f t="shared" si="68"/>
        <v>0</v>
      </c>
      <c r="U112">
        <f t="shared" si="68"/>
        <v>0</v>
      </c>
      <c r="V112">
        <f t="shared" si="68"/>
        <v>0</v>
      </c>
      <c r="W112">
        <f t="shared" si="68"/>
        <v>0</v>
      </c>
      <c r="X112">
        <f t="shared" si="68"/>
        <v>0</v>
      </c>
      <c r="Y112">
        <f t="shared" si="68"/>
        <v>0</v>
      </c>
      <c r="Z112">
        <f t="shared" si="73"/>
        <v>0</v>
      </c>
      <c r="AA112">
        <f t="shared" si="73"/>
        <v>0</v>
      </c>
      <c r="AB112">
        <f t="shared" si="73"/>
        <v>0</v>
      </c>
      <c r="AC112">
        <f t="shared" si="73"/>
        <v>0</v>
      </c>
      <c r="AD112">
        <f t="shared" si="73"/>
        <v>0</v>
      </c>
      <c r="AE112">
        <f t="shared" si="73"/>
        <v>0</v>
      </c>
      <c r="AF112">
        <f t="shared" si="73"/>
        <v>0</v>
      </c>
      <c r="AG112">
        <f t="shared" si="73"/>
        <v>0</v>
      </c>
      <c r="AH112">
        <f t="shared" si="73"/>
        <v>0</v>
      </c>
      <c r="AI112">
        <f t="shared" si="73"/>
        <v>0</v>
      </c>
      <c r="AJ112">
        <f t="shared" si="73"/>
        <v>0</v>
      </c>
      <c r="AK112">
        <f t="shared" si="73"/>
        <v>0</v>
      </c>
      <c r="AL112">
        <f>BC60</f>
        <v>0</v>
      </c>
      <c r="AM112">
        <f>BD60</f>
        <v>0</v>
      </c>
      <c r="AN112">
        <f>D112-AR112</f>
        <v>9.67</v>
      </c>
      <c r="AO112">
        <f>BF60</f>
        <v>0</v>
      </c>
      <c r="AP112">
        <f>BG60</f>
        <v>0</v>
      </c>
      <c r="AQ112">
        <f>BH60</f>
        <v>0</v>
      </c>
      <c r="AR112">
        <f>E112+Q112+R112+S112+T112+U112+V112+W112+X112+Y112+Z112+AA112+AB112+AC112+AD112+AE112+AF112+AG112+AH112+AI112+AJ112+AK112+AL112+AM112+AO112+AP112+AQ112</f>
        <v>0</v>
      </c>
      <c r="AS112">
        <f>D112+AN116-AR112</f>
        <v>9.67</v>
      </c>
    </row>
    <row r="113" spans="1:45" ht="20.25" customHeight="1">
      <c r="A113" t="s">
        <v>117</v>
      </c>
      <c r="B113" t="s">
        <v>118</v>
      </c>
      <c r="C113" t="s">
        <v>119</v>
      </c>
      <c r="D113">
        <f t="shared" si="70"/>
        <v>0</v>
      </c>
      <c r="E113">
        <f t="shared" si="38"/>
        <v>0</v>
      </c>
      <c r="F113">
        <f t="shared" si="71"/>
        <v>0</v>
      </c>
      <c r="G113">
        <f t="shared" si="71"/>
        <v>0</v>
      </c>
      <c r="H113">
        <f t="shared" si="72"/>
        <v>0</v>
      </c>
      <c r="I113">
        <f t="shared" si="72"/>
        <v>0</v>
      </c>
      <c r="J113">
        <f t="shared" si="67"/>
        <v>0</v>
      </c>
      <c r="K113">
        <f t="shared" si="67"/>
        <v>0</v>
      </c>
      <c r="L113">
        <f t="shared" si="67"/>
        <v>0</v>
      </c>
      <c r="M113">
        <f t="shared" si="67"/>
        <v>0</v>
      </c>
      <c r="N113">
        <f t="shared" si="67"/>
        <v>0</v>
      </c>
      <c r="O113">
        <f t="shared" si="67"/>
        <v>0</v>
      </c>
      <c r="P113">
        <f t="shared" si="62"/>
        <v>0</v>
      </c>
      <c r="Q113">
        <f t="shared" si="68"/>
        <v>0</v>
      </c>
      <c r="R113">
        <f t="shared" si="68"/>
        <v>0</v>
      </c>
      <c r="S113">
        <f t="shared" si="68"/>
        <v>0</v>
      </c>
      <c r="T113">
        <f t="shared" si="68"/>
        <v>0</v>
      </c>
      <c r="U113">
        <f t="shared" si="68"/>
        <v>0</v>
      </c>
      <c r="V113">
        <f t="shared" si="68"/>
        <v>0</v>
      </c>
      <c r="W113">
        <f t="shared" si="68"/>
        <v>0</v>
      </c>
      <c r="X113">
        <f t="shared" si="68"/>
        <v>0</v>
      </c>
      <c r="Y113">
        <f t="shared" si="68"/>
        <v>0</v>
      </c>
      <c r="Z113">
        <f t="shared" si="73"/>
        <v>0</v>
      </c>
      <c r="AA113">
        <f t="shared" si="73"/>
        <v>0</v>
      </c>
      <c r="AB113">
        <f t="shared" si="73"/>
        <v>0</v>
      </c>
      <c r="AC113">
        <f t="shared" si="73"/>
        <v>0</v>
      </c>
      <c r="AD113">
        <f t="shared" si="73"/>
        <v>0</v>
      </c>
      <c r="AE113">
        <f t="shared" si="73"/>
        <v>0</v>
      </c>
      <c r="AF113">
        <f t="shared" si="73"/>
        <v>0</v>
      </c>
      <c r="AG113">
        <f t="shared" si="73"/>
        <v>0</v>
      </c>
      <c r="AH113">
        <f t="shared" si="73"/>
        <v>0</v>
      </c>
      <c r="AI113">
        <f t="shared" si="73"/>
        <v>0</v>
      </c>
      <c r="AJ113">
        <f t="shared" si="73"/>
        <v>0</v>
      </c>
      <c r="AK113">
        <f t="shared" si="73"/>
        <v>0</v>
      </c>
      <c r="AL113">
        <f>BC61</f>
        <v>0</v>
      </c>
      <c r="AM113">
        <f>BD61</f>
        <v>0</v>
      </c>
      <c r="AN113">
        <f>BE61</f>
        <v>0</v>
      </c>
      <c r="AO113">
        <f>D113-AR113</f>
        <v>0</v>
      </c>
      <c r="AP113">
        <f>BG61</f>
        <v>0</v>
      </c>
      <c r="AQ113">
        <f>BH61</f>
        <v>0</v>
      </c>
      <c r="AR113">
        <f>E113+Q113+R113+S113+T113+U113+V113+W113+X113+Y113+Z113+AA113+AB113+AC113+AD113+AE113+AF113+AG113+AH113+AI113+AJ113+AK113+AL113+AM113+AN113+AP113+AQ113</f>
        <v>0</v>
      </c>
      <c r="AS113">
        <f>D113+AO116-AR113</f>
        <v>0</v>
      </c>
    </row>
    <row r="114" spans="1:45" ht="20.25" customHeight="1">
      <c r="A114" t="s">
        <v>120</v>
      </c>
      <c r="B114" t="s">
        <v>121</v>
      </c>
      <c r="C114" t="s">
        <v>122</v>
      </c>
      <c r="D114">
        <f t="shared" si="70"/>
        <v>0</v>
      </c>
      <c r="E114">
        <f t="shared" si="38"/>
        <v>0</v>
      </c>
      <c r="F114">
        <f t="shared" si="71"/>
        <v>0</v>
      </c>
      <c r="G114">
        <f t="shared" si="71"/>
        <v>0</v>
      </c>
      <c r="H114">
        <f t="shared" si="72"/>
        <v>0</v>
      </c>
      <c r="I114">
        <f t="shared" si="72"/>
        <v>0</v>
      </c>
      <c r="J114">
        <f t="shared" ref="J114:O115" si="74">P62</f>
        <v>0</v>
      </c>
      <c r="K114">
        <f t="shared" si="74"/>
        <v>0</v>
      </c>
      <c r="L114">
        <f t="shared" si="74"/>
        <v>0</v>
      </c>
      <c r="M114">
        <f t="shared" si="74"/>
        <v>0</v>
      </c>
      <c r="N114">
        <f t="shared" si="74"/>
        <v>0</v>
      </c>
      <c r="O114">
        <f t="shared" si="74"/>
        <v>0</v>
      </c>
      <c r="P114">
        <f t="shared" si="62"/>
        <v>0</v>
      </c>
      <c r="Q114">
        <f t="shared" ref="Q114:Y115" si="75">W62</f>
        <v>0</v>
      </c>
      <c r="R114">
        <f t="shared" si="75"/>
        <v>0</v>
      </c>
      <c r="S114">
        <f t="shared" si="75"/>
        <v>0</v>
      </c>
      <c r="T114">
        <f t="shared" si="75"/>
        <v>0</v>
      </c>
      <c r="U114">
        <f t="shared" si="75"/>
        <v>0</v>
      </c>
      <c r="V114">
        <f t="shared" si="75"/>
        <v>0</v>
      </c>
      <c r="W114">
        <f t="shared" si="75"/>
        <v>0</v>
      </c>
      <c r="X114">
        <f t="shared" si="75"/>
        <v>0</v>
      </c>
      <c r="Y114">
        <f t="shared" si="75"/>
        <v>0</v>
      </c>
      <c r="Z114">
        <f t="shared" si="73"/>
        <v>0</v>
      </c>
      <c r="AA114">
        <f t="shared" si="73"/>
        <v>0</v>
      </c>
      <c r="AB114">
        <f t="shared" si="73"/>
        <v>0</v>
      </c>
      <c r="AC114">
        <f t="shared" si="73"/>
        <v>0</v>
      </c>
      <c r="AD114">
        <f t="shared" si="73"/>
        <v>0</v>
      </c>
      <c r="AE114">
        <f t="shared" si="73"/>
        <v>0</v>
      </c>
      <c r="AF114">
        <f t="shared" si="73"/>
        <v>0</v>
      </c>
      <c r="AG114">
        <f t="shared" si="73"/>
        <v>0</v>
      </c>
      <c r="AH114">
        <f t="shared" si="73"/>
        <v>0</v>
      </c>
      <c r="AI114">
        <f t="shared" si="73"/>
        <v>0</v>
      </c>
      <c r="AJ114">
        <f t="shared" si="73"/>
        <v>0</v>
      </c>
      <c r="AK114">
        <f t="shared" si="73"/>
        <v>0</v>
      </c>
      <c r="AL114">
        <f>BC62</f>
        <v>0</v>
      </c>
      <c r="AM114">
        <f>BD62</f>
        <v>0</v>
      </c>
      <c r="AN114">
        <f>BE62</f>
        <v>0</v>
      </c>
      <c r="AO114">
        <f>BF62</f>
        <v>0</v>
      </c>
      <c r="AP114">
        <f>D114-AR114</f>
        <v>0</v>
      </c>
      <c r="AQ114">
        <f>BH62</f>
        <v>0</v>
      </c>
      <c r="AR114">
        <f>E114+Q114+R114+S114+T114+U114+V114+W114+X114+Y114+Z114+AA114+AB114+AC114+AD114+AE114+AF114+AG114+AH114+AI114+AJ114+AK114+AL114+AM114+AN114+AO114+AQ114</f>
        <v>0</v>
      </c>
      <c r="AS114">
        <f>D114+AP116-AR114</f>
        <v>0</v>
      </c>
    </row>
    <row r="115" spans="1:45" ht="20.25" customHeight="1">
      <c r="A115">
        <v>3</v>
      </c>
      <c r="B115" t="s">
        <v>123</v>
      </c>
      <c r="C115" t="s">
        <v>124</v>
      </c>
      <c r="D115">
        <f>D63</f>
        <v>0.62</v>
      </c>
      <c r="E115">
        <f>F115+H115+I115+J115+K115+L115+M115+N115+O115</f>
        <v>0</v>
      </c>
      <c r="F115">
        <f t="shared" si="71"/>
        <v>0</v>
      </c>
      <c r="G115">
        <f t="shared" si="71"/>
        <v>0</v>
      </c>
      <c r="H115">
        <f t="shared" si="72"/>
        <v>0</v>
      </c>
      <c r="I115">
        <f t="shared" si="72"/>
        <v>0</v>
      </c>
      <c r="J115">
        <f t="shared" si="74"/>
        <v>0</v>
      </c>
      <c r="K115">
        <f t="shared" si="74"/>
        <v>0</v>
      </c>
      <c r="L115">
        <f t="shared" si="74"/>
        <v>0</v>
      </c>
      <c r="M115">
        <f t="shared" si="74"/>
        <v>0</v>
      </c>
      <c r="N115">
        <f t="shared" si="74"/>
        <v>0</v>
      </c>
      <c r="O115">
        <f t="shared" si="74"/>
        <v>0</v>
      </c>
      <c r="P115">
        <f>SUM(Q115:AP115)</f>
        <v>0</v>
      </c>
      <c r="Q115">
        <f t="shared" si="75"/>
        <v>0</v>
      </c>
      <c r="R115">
        <f t="shared" si="75"/>
        <v>0</v>
      </c>
      <c r="S115">
        <f t="shared" si="75"/>
        <v>0</v>
      </c>
      <c r="T115">
        <f t="shared" si="75"/>
        <v>0</v>
      </c>
      <c r="U115">
        <f t="shared" si="75"/>
        <v>0</v>
      </c>
      <c r="V115">
        <f t="shared" si="75"/>
        <v>0</v>
      </c>
      <c r="W115">
        <f t="shared" si="75"/>
        <v>0</v>
      </c>
      <c r="X115">
        <f t="shared" si="75"/>
        <v>0</v>
      </c>
      <c r="Y115">
        <f t="shared" si="75"/>
        <v>0</v>
      </c>
      <c r="Z115">
        <f t="shared" si="73"/>
        <v>0</v>
      </c>
      <c r="AA115">
        <f t="shared" si="73"/>
        <v>0</v>
      </c>
      <c r="AB115">
        <f t="shared" si="73"/>
        <v>0</v>
      </c>
      <c r="AC115">
        <f t="shared" si="73"/>
        <v>0</v>
      </c>
      <c r="AD115">
        <f t="shared" si="73"/>
        <v>0</v>
      </c>
      <c r="AE115">
        <f t="shared" si="73"/>
        <v>0</v>
      </c>
      <c r="AF115">
        <f t="shared" si="73"/>
        <v>0</v>
      </c>
      <c r="AG115">
        <f t="shared" si="73"/>
        <v>0</v>
      </c>
      <c r="AH115">
        <f t="shared" si="73"/>
        <v>0</v>
      </c>
      <c r="AI115">
        <f t="shared" si="73"/>
        <v>0</v>
      </c>
      <c r="AJ115">
        <f t="shared" si="73"/>
        <v>0</v>
      </c>
      <c r="AK115">
        <f t="shared" si="73"/>
        <v>0</v>
      </c>
      <c r="AL115">
        <f>BC63</f>
        <v>0</v>
      </c>
      <c r="AM115">
        <f>BD63</f>
        <v>0</v>
      </c>
      <c r="AN115">
        <f>BE63</f>
        <v>0</v>
      </c>
      <c r="AO115">
        <f>BF63</f>
        <v>0</v>
      </c>
      <c r="AP115">
        <f>BG63</f>
        <v>0</v>
      </c>
      <c r="AQ115">
        <f>AR115</f>
        <v>0</v>
      </c>
      <c r="AR115">
        <f>E115+Q115+R115+S115+T115+U115+V115+W115+X115+Y115+Z115+AA115+AB115+AC115+AD115+AE115+AF115+AG115+AH115+AI115+AJ115+AL115+AM115+AN115+AO115+AP115</f>
        <v>0</v>
      </c>
      <c r="AS115">
        <f>D115+AQ116-AR115</f>
        <v>0.62</v>
      </c>
    </row>
    <row r="116" spans="1:45" ht="20.25" customHeight="1">
      <c r="B116" t="s">
        <v>190</v>
      </c>
      <c r="E116">
        <f>E88+E115</f>
        <v>0</v>
      </c>
      <c r="F116">
        <f>F80+F81+F82+F83+F84+F85+F86+F87+F88+F115</f>
        <v>0</v>
      </c>
      <c r="G116">
        <f>G78+G80+G81+G82+G83+G84+G85+G86+G87+G88+G115</f>
        <v>0</v>
      </c>
      <c r="H116">
        <f>H78+H81+H82+H83+H84+H85+H86+H87+H88+H115</f>
        <v>0</v>
      </c>
      <c r="I116">
        <f>I78+I80+I82+I83+I84+I85+I86+I87+I88+I115</f>
        <v>0</v>
      </c>
      <c r="J116">
        <f>J78+J80+J81+J83+J84+J85+J86+J87+J88+J115</f>
        <v>0</v>
      </c>
      <c r="K116">
        <f>K78+K80+K81+K82+K84+K85+K86+K87+K88+K115</f>
        <v>0</v>
      </c>
      <c r="L116">
        <f>L78+L80+L81+L82+L83+L85+L86+L87+L88+L115</f>
        <v>0</v>
      </c>
      <c r="M116">
        <f>M78+M80+M81+M82+M83+M84+M86+M87+M88+M115</f>
        <v>0</v>
      </c>
      <c r="N116">
        <f>N78+N80+N81+N82+N83+N84+N85+N87+N88+N115</f>
        <v>0</v>
      </c>
      <c r="O116">
        <f>O78+O80+O81+O82+O83+O84+O85+O86+O88+O115</f>
        <v>0</v>
      </c>
      <c r="P116">
        <f>P77+P115</f>
        <v>0</v>
      </c>
      <c r="Q116">
        <f>Q77+Q90+Q91+Q92+Q93+Q94+Q95+Q96+Q97+Q98+Q99+Q100+Q101+Q102+Q103+Q104+Q105+Q106+Q107+Q108+Q109+Q110+Q111+Q112+Q113+Q114+Q115</f>
        <v>0</v>
      </c>
      <c r="R116">
        <f>R77+R89+R91+R92+R93+R94+R95+R96+R97+R98+R99+R100+R101+R102+R103+R104+R105+R106+R107+R108+R109+R110+R111+R112+R113+R114+R115</f>
        <v>0</v>
      </c>
      <c r="S116">
        <f>S77+S89+S90+S92+S93+S94+S95+S96+S97+S98+S99+S100+S101+S102+S103+S104+S105+S106+S107+S108+S109+S110+S111+S112+S113+S114+S115</f>
        <v>0</v>
      </c>
      <c r="T116">
        <f>T77+T89+T90+T91+T93+T94+T95+T96+T97+T98+T99+T100+T101+T102+T103+T104+T105+T106+T107+T108+T109+T110+T111+T112+T113+T114+T115</f>
        <v>0</v>
      </c>
      <c r="U116">
        <f>U77+U89+U90+U91+U92+U94+U95+U96+U97+U98+U99+U100+U101+U102+U103+U104+U105+U106+U107+U108+U109+U110+U111+U112+U113+U114+U115</f>
        <v>0</v>
      </c>
      <c r="V116">
        <f>V77+V89+V90+V91+V92+V93+V95+V96+V97+V98+V99+V100+V101+V102+V103+V104+V105+V106+V107+V108+V109+V110+V111+V112+V113+V114+V115</f>
        <v>0</v>
      </c>
      <c r="W116">
        <f>W77+W89+W90+W91+W92+W93+W94+W96+W97+W98+W99+W100+W101+W102+W103+W104+W105+W106+W107+W108+W109+W110+W111+W112+W113+W114+W115</f>
        <v>0</v>
      </c>
      <c r="X116">
        <f>X77+X89+X90+X91+X92+X93+X94+X95+X97+X98+X99+X100+X101+X102+X103+X104+X105+X106+X107+X108+X109+X110+X111+X112+X113+X114+X115</f>
        <v>0</v>
      </c>
      <c r="Y116">
        <f>Y77+Y89+Y90+Y91+Y92+Y93+Y94+Y95+Y96+Y98+Y99+Y100+Y101+Y102+Y103+Y104+Y105+Y106+Y107+Y108+Y109+Y110+Y111+Y112+Y113+Y114+Y115</f>
        <v>0</v>
      </c>
      <c r="Z116">
        <f>Z77+Z89+Z90+Z91+Z92+Z93+Z94+Z95+Z96+Z97+Z99+Z100+Z101+Z102+Z103+Z104+Z105+Z106+Z107+Z108+Z109+Z110+Z111+Z112+Z113+Z114+Z115</f>
        <v>0</v>
      </c>
      <c r="AA116">
        <f>AA77+AA89+AA90+AA91+AA92+AA93+AA94+AA95+AA96+AA97+AA98+AA100+AA101+AA102+AA103+AA104+AA105+AA106+AA107+AA108+AA109+AA110+AA111+AA112+AA113+AA114+AA115</f>
        <v>0</v>
      </c>
      <c r="AB116">
        <f>AB77+AB89+AB90+AB91+AB92+AB93+AB94+AB95+AB96+AB97+AB98+AB99+AB101+AB102+AB103+AB104+AB105+AB106+AB107+AB108+AB109+AB110+AB111+AB112+AB113+AB114+AB115</f>
        <v>0</v>
      </c>
      <c r="AC116">
        <f>AC77+AC89+AC90+AC91+AC92+AC93+AC94+AC95+AC96+AC97+AC98+AC99+AC100+AC102+AC103+AC104+AC105+AC106+AC107+AC108+AC109+AC110+AC111+AC112+AC113+AC114+AC115</f>
        <v>0</v>
      </c>
      <c r="AD116">
        <f>AD77+AD89+AD90+AD91+AD92+AD93+AD94+AD95+AD96+AD97+AD98+AD99+AD100+AD101+AD103+AD104+AD105+AD106+AD107+AD108+AD109+AD110+AD111+AD112+AD113+AD114+AD115</f>
        <v>0.46</v>
      </c>
      <c r="AE116">
        <f>AE77+AE89+AE90+AE91+AE92+AE93+AE94+AE95+AE96+AE97+AE98+AE99+AE100+AE101+AE102+AE104+AE105+AE106+AE107+AE108+AE109+AE110+AE111+AE112+AE113+AE114+AE115</f>
        <v>0</v>
      </c>
      <c r="AF116">
        <f>AF77+AF89+AF90+AF91+AF92+AF93+AF94+AF95+AF96+AF97+AF98+AF99+AF100+AF101+AF102+AF103+AF105+AF106+AF107+AF108+AF109+AF110+AF111+AF112+AF113+AF114+AF115</f>
        <v>0</v>
      </c>
      <c r="AG116">
        <f>AG77+AG89+AG90+AG91+AG92+AG93+AG94+AG95+AG96+AG97+AG98+AG99+AG100+AG101+AG102+AG103+AG104+AG106+AG107+AG108+AG109+AG110+AG111+AG112+AG113+AG114+AG115</f>
        <v>0</v>
      </c>
      <c r="AH116">
        <f>AH77+AH89+AH90+AH91+AH92+AH93+AH94+AH95+AH96+AH97+AH98+AH99+AH100+AH101+AH102+AH103+AH104+AH105+AH107+AH108+AH109+AH110+AH111+AH112+AH113+AH114+AH115</f>
        <v>0</v>
      </c>
      <c r="AI116">
        <f>AI77+AI89+AI90+AI91+AI92+AI93+AI94+AI95+AI96+AI97+AI98+AI99+AI100+AI101+AI102+AI103+AI104+AI105+AI106+AI108+AI109+AI110+AI111+AI112+AI113+AI114+AI115</f>
        <v>0</v>
      </c>
      <c r="AJ116">
        <f>AJ77+AJ89+AJ90+AJ91+AJ92+AJ93+AJ94+AJ95+AJ96+AJ97+AJ98+AJ99+AJ100+AJ101+AJ102+AJ103+AJ104+AJ105+AJ106+AJ107+AJ109+AJ110+AJ111+AJ112+AJ113+AJ114+AJ115</f>
        <v>0</v>
      </c>
      <c r="AK116">
        <f>AK77+AK89+AK90+AK91+AK92+AK93+AK94+AK95+AK96+AK97+AK98+AK99+AK100+AK101+AK102+AK103+AK104+AK105+AK106+AK107+AK108+AK110+AK111+AK112+AK113+AK114+AK115</f>
        <v>0</v>
      </c>
      <c r="AL116">
        <f>AL77+AL89+AL90+AL91+AL92+AL93+AL94+AL95+AL96+AL97+AL98+AL99+AL100+AL101+AL102+AL103+AL104+AL105+AL106+AL107+AL108+AL109+AL111+AL112+AL113+AL114+AL115</f>
        <v>0</v>
      </c>
      <c r="AM116">
        <f>AM77+AM89+AM90+AM91+AM92+AM93+AM94+AM95+AM96+AM97+AM98+AM99+AM100+AM101+AM102+AM103+AM104+AM105+AM106+AM107+AM108+AM109+AM110+AM112+AM113+AM114+AM115</f>
        <v>0</v>
      </c>
      <c r="AN116">
        <f>AN77+AN89+AN90+AN91+AN92+AN93+AN94+AN95+AN96+AN97+AN98+AN99+AN100+AN101+AN102+AN103+AN104+AN105+AN106+AN107+AN108+AN109+AN110+AN111+AN113+AN114+AN115</f>
        <v>0</v>
      </c>
      <c r="AO116">
        <f>AO77+AO89+AO90+AO91+AO92+AO93+AO94+AO95+AO96+AO97+AO98+AO99+AO100+AO101+AO102+AO103+AO104+AO105+AO106+AO107+AO108+AO109+AO110+AO111+AO112+AO114+AO115</f>
        <v>0</v>
      </c>
      <c r="AP116">
        <f>AP77+AP89+AP90+AP91+AP92+AP93+AP94+AP95+AP96+AP97+AP98+AP99+AP100+AP101+AP102+AP103+AP104+AP105+AP106+AP107+AP108+AP109+AP110+AP111+AP112+AP113+AP115</f>
        <v>0</v>
      </c>
      <c r="AQ116">
        <f>AQ77+AQ88</f>
        <v>0</v>
      </c>
    </row>
    <row r="117" spans="1:45" ht="25.5" customHeight="1">
      <c r="B117" t="s">
        <v>325</v>
      </c>
      <c r="D117">
        <f>AS76</f>
        <v>72.409500000000008</v>
      </c>
      <c r="E117">
        <f>AS77</f>
        <v>0</v>
      </c>
      <c r="F117">
        <f>AS78</f>
        <v>0</v>
      </c>
      <c r="G117">
        <f>AS79</f>
        <v>0</v>
      </c>
      <c r="H117">
        <f>AS80</f>
        <v>0</v>
      </c>
      <c r="I117">
        <f>AS81</f>
        <v>0</v>
      </c>
      <c r="J117">
        <f>AS82</f>
        <v>0</v>
      </c>
      <c r="K117">
        <f>AS83</f>
        <v>0</v>
      </c>
      <c r="L117">
        <f>AS84</f>
        <v>0</v>
      </c>
      <c r="M117">
        <f>AS85</f>
        <v>0</v>
      </c>
      <c r="N117">
        <f>AS86</f>
        <v>0</v>
      </c>
      <c r="O117">
        <f>AS87</f>
        <v>0</v>
      </c>
      <c r="P117">
        <f>AS88</f>
        <v>71.789500000000004</v>
      </c>
      <c r="Q117">
        <f>AS89</f>
        <v>5.47</v>
      </c>
      <c r="R117">
        <f>AS90</f>
        <v>0.43</v>
      </c>
      <c r="S117">
        <f>AS91</f>
        <v>0</v>
      </c>
      <c r="T117">
        <f>AS92</f>
        <v>0</v>
      </c>
      <c r="U117">
        <f>AS93</f>
        <v>0</v>
      </c>
      <c r="V117">
        <f>AS94</f>
        <v>2.67</v>
      </c>
      <c r="W117">
        <f>AS95</f>
        <v>0</v>
      </c>
      <c r="X117">
        <f>AS96</f>
        <v>0</v>
      </c>
      <c r="Y117">
        <f>AS97</f>
        <v>29.960000000000004</v>
      </c>
      <c r="Z117">
        <f>AS98</f>
        <v>0</v>
      </c>
      <c r="AA117">
        <f>AS99</f>
        <v>0</v>
      </c>
      <c r="AB117">
        <f>AS100</f>
        <v>0</v>
      </c>
      <c r="AC117">
        <f>AS101</f>
        <v>0</v>
      </c>
      <c r="AD117">
        <f>AS102</f>
        <v>14.13</v>
      </c>
      <c r="AE117">
        <f>AS103</f>
        <v>3.7095000000000002</v>
      </c>
      <c r="AF117">
        <f>AS104</f>
        <v>0</v>
      </c>
      <c r="AG117">
        <f>AS105</f>
        <v>0</v>
      </c>
      <c r="AH117">
        <f>AS106</f>
        <v>0</v>
      </c>
      <c r="AI117">
        <f>AS107</f>
        <v>0</v>
      </c>
      <c r="AJ117">
        <f>AS108</f>
        <v>0</v>
      </c>
      <c r="AK117">
        <f>AS109</f>
        <v>0.28000000000000003</v>
      </c>
      <c r="AL117">
        <f>AS110</f>
        <v>5.46</v>
      </c>
      <c r="AM117">
        <f>AS111</f>
        <v>0.01</v>
      </c>
      <c r="AN117">
        <f>AS112</f>
        <v>9.67</v>
      </c>
      <c r="AO117">
        <f>AS113</f>
        <v>0</v>
      </c>
      <c r="AP117">
        <f>AS114</f>
        <v>0</v>
      </c>
      <c r="AQ117">
        <f>AS115</f>
        <v>0.62</v>
      </c>
    </row>
  </sheetData>
  <mergeCells count="21">
    <mergeCell ref="A1:B1"/>
    <mergeCell ref="A2:BN2"/>
    <mergeCell ref="A4:A5"/>
    <mergeCell ref="B4:B5"/>
    <mergeCell ref="C4:C5"/>
    <mergeCell ref="A74:A75"/>
    <mergeCell ref="BN4:BN5"/>
    <mergeCell ref="A70:B70"/>
    <mergeCell ref="BM4:BM5"/>
    <mergeCell ref="A72:AS72"/>
    <mergeCell ref="AS74:AS75"/>
    <mergeCell ref="D4:D5"/>
    <mergeCell ref="C74:C75"/>
    <mergeCell ref="A71:AS71"/>
    <mergeCell ref="E74:AQ74"/>
    <mergeCell ref="D74:D75"/>
    <mergeCell ref="E4:BK4"/>
    <mergeCell ref="AR73:AS73"/>
    <mergeCell ref="BL4:BL5"/>
    <mergeCell ref="B74:B75"/>
    <mergeCell ref="AR74:AR75"/>
  </mergeCells>
  <phoneticPr fontId="4" type="noConversion"/>
  <pageMargins left="0.75" right="0.75" top="1" bottom="1" header="0.5" footer="0.5"/>
  <pageSetup paperSize="8" scale="70" orientation="portrait" r:id="rId1"/>
  <headerFooter alignWithMargins="0"/>
  <legacyDrawing r:id="rId2"/>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BP117"/>
  <sheetViews>
    <sheetView showZeros="0" topLeftCell="B4" zoomScale="75" workbookViewId="0">
      <pane xSplit="3" ySplit="4" topLeftCell="AU56" activePane="bottomRight" state="frozen"/>
      <selection activeCell="B4" sqref="B4"/>
      <selection pane="topRight" activeCell="E4" sqref="E4"/>
      <selection pane="bottomLeft" activeCell="B8" sqref="B8"/>
      <selection pane="bottomRight" activeCell="AU52" sqref="AU52"/>
    </sheetView>
  </sheetViews>
  <sheetFormatPr defaultRowHeight="24.95" customHeight="1"/>
  <cols>
    <col min="1" max="1" width="10.140625" customWidth="1"/>
    <col min="2" max="2" width="47.140625" customWidth="1"/>
    <col min="3" max="3" width="8.28515625" customWidth="1"/>
    <col min="4" max="4" width="13.5703125" customWidth="1"/>
    <col min="5" max="6" width="11.85546875" customWidth="1"/>
    <col min="7" max="7" width="11.28515625" customWidth="1"/>
    <col min="8" max="8" width="10.85546875" customWidth="1"/>
    <col min="9" max="9" width="11.140625" customWidth="1"/>
    <col min="10" max="10" width="11" customWidth="1"/>
    <col min="11" max="11" width="10" customWidth="1"/>
    <col min="12" max="12" width="11.140625" customWidth="1"/>
    <col min="13" max="13" width="11.85546875" customWidth="1"/>
    <col min="14" max="15" width="11.28515625" customWidth="1"/>
    <col min="16" max="16" width="12.85546875" customWidth="1"/>
    <col min="17" max="17" width="12.28515625" customWidth="1"/>
    <col min="18" max="18" width="10.85546875" customWidth="1"/>
    <col min="19" max="19" width="12.7109375" customWidth="1"/>
    <col min="20" max="20" width="10.140625" customWidth="1"/>
    <col min="21" max="21" width="9.85546875" customWidth="1"/>
    <col min="22" max="22" width="11.5703125" customWidth="1"/>
    <col min="23" max="23" width="11.140625" customWidth="1"/>
    <col min="24" max="24" width="10.7109375" customWidth="1"/>
    <col min="25" max="25" width="10.42578125" customWidth="1"/>
    <col min="26" max="26" width="11.140625" customWidth="1"/>
    <col min="27" max="27" width="9.85546875" customWidth="1"/>
    <col min="28" max="39" width="10.42578125" customWidth="1"/>
    <col min="40" max="40" width="11" customWidth="1"/>
    <col min="41" max="43" width="9.42578125" customWidth="1"/>
    <col min="44" max="44" width="10.85546875" customWidth="1"/>
    <col min="45" max="45" width="13.7109375" customWidth="1"/>
    <col min="46" max="47" width="9.42578125" customWidth="1"/>
    <col min="48" max="48" width="11.5703125" customWidth="1"/>
    <col min="49" max="59" width="9" customWidth="1"/>
    <col min="60" max="60" width="10.140625" customWidth="1"/>
    <col min="61" max="62" width="9.85546875" customWidth="1"/>
    <col min="64" max="64" width="11.7109375" customWidth="1"/>
    <col min="65" max="65" width="12.140625" customWidth="1"/>
    <col min="66" max="66" width="13" customWidth="1"/>
    <col min="67" max="67" width="9.5703125" bestFit="1" customWidth="1"/>
  </cols>
  <sheetData>
    <row r="1" spans="1:68" ht="24.95" customHeight="1">
      <c r="A1" s="1300" t="s">
        <v>301</v>
      </c>
      <c r="B1" s="1300"/>
    </row>
    <row r="2" spans="1:68" ht="36.75" customHeight="1">
      <c r="A2" s="1282" t="s">
        <v>969</v>
      </c>
      <c r="B2" s="1282"/>
      <c r="C2" s="1282"/>
      <c r="D2" s="1282"/>
      <c r="E2" s="1282"/>
      <c r="F2" s="1282"/>
      <c r="G2" s="1282"/>
      <c r="H2" s="1282"/>
      <c r="I2" s="1282"/>
      <c r="J2" s="1282"/>
      <c r="K2" s="1282"/>
      <c r="L2" s="1282"/>
      <c r="M2" s="1282"/>
      <c r="N2" s="1282"/>
      <c r="O2" s="1282"/>
      <c r="P2" s="1282"/>
      <c r="Q2" s="1282"/>
      <c r="R2" s="1282"/>
      <c r="S2" s="1282"/>
      <c r="T2" s="1282"/>
      <c r="U2" s="1282"/>
      <c r="V2" s="1282"/>
      <c r="W2" s="1282"/>
      <c r="X2" s="1282"/>
      <c r="Y2" s="1282"/>
      <c r="Z2" s="1282"/>
      <c r="AA2" s="1282"/>
      <c r="AB2" s="1282"/>
      <c r="AC2" s="1282"/>
      <c r="AD2" s="1282"/>
      <c r="AE2" s="1282"/>
      <c r="AF2" s="1282"/>
      <c r="AG2" s="1282"/>
      <c r="AH2" s="1282"/>
      <c r="AI2" s="1282"/>
      <c r="AJ2" s="1282"/>
      <c r="AK2" s="1282"/>
      <c r="AL2" s="1282"/>
      <c r="AM2" s="1282"/>
      <c r="AN2" s="1282"/>
      <c r="AO2" s="1282"/>
      <c r="AP2" s="1282"/>
      <c r="AQ2" s="1282"/>
      <c r="AR2" s="1282"/>
      <c r="AS2" s="1282"/>
      <c r="AT2" s="1282"/>
      <c r="AU2" s="1282"/>
      <c r="AV2" s="1282"/>
      <c r="AW2" s="1282"/>
      <c r="AX2" s="1282"/>
      <c r="AY2" s="1282"/>
      <c r="AZ2" s="1282"/>
      <c r="BA2" s="1282"/>
      <c r="BB2" s="1282"/>
      <c r="BC2" s="1282"/>
      <c r="BD2" s="1282"/>
      <c r="BE2" s="1282"/>
      <c r="BF2" s="1282"/>
      <c r="BG2" s="1282"/>
      <c r="BH2" s="1282"/>
      <c r="BI2" s="1282"/>
      <c r="BJ2" s="1282"/>
      <c r="BK2" s="1282"/>
      <c r="BL2" s="1282"/>
      <c r="BM2" s="1282"/>
      <c r="BN2" s="1282"/>
    </row>
    <row r="4" spans="1:68" ht="33" customHeight="1">
      <c r="A4" s="1275" t="s">
        <v>136</v>
      </c>
      <c r="B4" s="1275" t="s">
        <v>469</v>
      </c>
      <c r="C4" s="1275" t="s">
        <v>192</v>
      </c>
      <c r="D4" s="1275" t="s">
        <v>693</v>
      </c>
      <c r="E4" s="1368" t="s">
        <v>694</v>
      </c>
      <c r="F4" s="1368"/>
      <c r="G4" s="1368"/>
      <c r="H4" s="1368"/>
      <c r="I4" s="1368"/>
      <c r="J4" s="1368"/>
      <c r="K4" s="1368"/>
      <c r="L4" s="1368"/>
      <c r="M4" s="1368"/>
      <c r="N4" s="1368"/>
      <c r="O4" s="1368"/>
      <c r="P4" s="1368"/>
      <c r="Q4" s="1368"/>
      <c r="R4" s="1368"/>
      <c r="S4" s="1368"/>
      <c r="T4" s="1368"/>
      <c r="U4" s="1368"/>
      <c r="V4" s="1368"/>
      <c r="W4" s="1368"/>
      <c r="X4" s="1368"/>
      <c r="Y4" s="1368"/>
      <c r="Z4" s="1368"/>
      <c r="AA4" s="1368"/>
      <c r="AB4" s="1368"/>
      <c r="AC4" s="1368"/>
      <c r="AD4" s="1368"/>
      <c r="AE4" s="1368"/>
      <c r="AF4" s="1368"/>
      <c r="AG4" s="1368"/>
      <c r="AH4" s="1368"/>
      <c r="AI4" s="1368"/>
      <c r="AJ4" s="1368"/>
      <c r="AK4" s="1368"/>
      <c r="AL4" s="1368"/>
      <c r="AM4" s="1368"/>
      <c r="AN4" s="1368"/>
      <c r="AO4" s="1368"/>
      <c r="AP4" s="1368"/>
      <c r="AQ4" s="1368"/>
      <c r="AR4" s="1368"/>
      <c r="AS4" s="1368"/>
      <c r="AT4" s="1368"/>
      <c r="AU4" s="1368"/>
      <c r="AV4" s="1368"/>
      <c r="AW4" s="1368"/>
      <c r="AX4" s="1368"/>
      <c r="AY4" s="1368"/>
      <c r="AZ4" s="1368"/>
      <c r="BA4" s="1368"/>
      <c r="BB4" s="1368"/>
      <c r="BC4" s="1368"/>
      <c r="BD4" s="1368"/>
      <c r="BE4" s="1368"/>
      <c r="BF4" s="1368"/>
      <c r="BG4" s="1368"/>
      <c r="BH4" s="1368"/>
      <c r="BI4" s="1368"/>
      <c r="BJ4" s="1368"/>
      <c r="BK4" s="1368"/>
      <c r="BL4" s="1365" t="s">
        <v>191</v>
      </c>
      <c r="BM4" s="1365" t="s">
        <v>493</v>
      </c>
      <c r="BN4" s="1365" t="s">
        <v>695</v>
      </c>
    </row>
    <row r="5" spans="1:68" ht="35.25" customHeight="1">
      <c r="A5" s="1275"/>
      <c r="B5" s="1275"/>
      <c r="C5" s="1275"/>
      <c r="D5" s="1275"/>
      <c r="E5" s="128" t="s">
        <v>15</v>
      </c>
      <c r="F5" s="128" t="s">
        <v>193</v>
      </c>
      <c r="G5" s="128" t="s">
        <v>194</v>
      </c>
      <c r="H5" s="128" t="s">
        <v>18</v>
      </c>
      <c r="I5" s="128" t="s">
        <v>20</v>
      </c>
      <c r="J5" s="128" t="s">
        <v>195</v>
      </c>
      <c r="K5" s="128" t="s">
        <v>196</v>
      </c>
      <c r="L5" s="128" t="s">
        <v>197</v>
      </c>
      <c r="M5" s="128" t="s">
        <v>23</v>
      </c>
      <c r="N5" s="128" t="s">
        <v>26</v>
      </c>
      <c r="O5" s="128" t="s">
        <v>198</v>
      </c>
      <c r="P5" s="128" t="s">
        <v>29</v>
      </c>
      <c r="Q5" s="128" t="s">
        <v>32</v>
      </c>
      <c r="R5" s="128" t="s">
        <v>35</v>
      </c>
      <c r="S5" s="128" t="s">
        <v>38</v>
      </c>
      <c r="T5" s="128" t="s">
        <v>41</v>
      </c>
      <c r="U5" s="128" t="s">
        <v>44</v>
      </c>
      <c r="V5" s="128" t="s">
        <v>46</v>
      </c>
      <c r="W5" s="128" t="s">
        <v>49</v>
      </c>
      <c r="X5" s="128" t="s">
        <v>52</v>
      </c>
      <c r="Y5" s="128" t="s">
        <v>55</v>
      </c>
      <c r="Z5" s="128" t="s">
        <v>58</v>
      </c>
      <c r="AA5" s="128" t="s">
        <v>61</v>
      </c>
      <c r="AB5" s="128" t="s">
        <v>64</v>
      </c>
      <c r="AC5" s="128" t="s">
        <v>67</v>
      </c>
      <c r="AD5" s="128" t="s">
        <v>70</v>
      </c>
      <c r="AE5" s="128" t="s">
        <v>72</v>
      </c>
      <c r="AF5" s="128" t="s">
        <v>202</v>
      </c>
      <c r="AG5" s="128" t="s">
        <v>203</v>
      </c>
      <c r="AH5" s="128" t="s">
        <v>204</v>
      </c>
      <c r="AI5" s="128" t="s">
        <v>205</v>
      </c>
      <c r="AJ5" s="128" t="s">
        <v>206</v>
      </c>
      <c r="AK5" s="128" t="s">
        <v>207</v>
      </c>
      <c r="AL5" s="128" t="s">
        <v>199</v>
      </c>
      <c r="AM5" s="128" t="s">
        <v>200</v>
      </c>
      <c r="AN5" s="128" t="s">
        <v>223</v>
      </c>
      <c r="AO5" s="128" t="s">
        <v>201</v>
      </c>
      <c r="AP5" s="128" t="s">
        <v>208</v>
      </c>
      <c r="AQ5" s="128" t="s">
        <v>75</v>
      </c>
      <c r="AR5" s="128" t="s">
        <v>78</v>
      </c>
      <c r="AS5" s="128" t="s">
        <v>81</v>
      </c>
      <c r="AT5" s="128" t="s">
        <v>84</v>
      </c>
      <c r="AU5" s="128" t="s">
        <v>87</v>
      </c>
      <c r="AV5" s="128" t="s">
        <v>90</v>
      </c>
      <c r="AW5" s="128" t="s">
        <v>93</v>
      </c>
      <c r="AX5" s="128" t="s">
        <v>96</v>
      </c>
      <c r="AY5" s="128" t="s">
        <v>99</v>
      </c>
      <c r="AZ5" s="128" t="s">
        <v>101</v>
      </c>
      <c r="BA5" s="128" t="s">
        <v>104</v>
      </c>
      <c r="BB5" s="128" t="s">
        <v>107</v>
      </c>
      <c r="BC5" s="128" t="s">
        <v>110</v>
      </c>
      <c r="BD5" s="128" t="s">
        <v>113</v>
      </c>
      <c r="BE5" s="128" t="s">
        <v>116</v>
      </c>
      <c r="BF5" s="128" t="s">
        <v>119</v>
      </c>
      <c r="BG5" s="128" t="s">
        <v>122</v>
      </c>
      <c r="BH5" s="128" t="s">
        <v>124</v>
      </c>
      <c r="BI5" s="128" t="s">
        <v>209</v>
      </c>
      <c r="BJ5" s="128" t="s">
        <v>210</v>
      </c>
      <c r="BK5" s="128" t="s">
        <v>211</v>
      </c>
      <c r="BL5" s="1366"/>
      <c r="BM5" s="1366"/>
      <c r="BN5" s="1366"/>
    </row>
    <row r="6" spans="1:68" ht="24.95" customHeight="1">
      <c r="A6" s="128" t="s">
        <v>235</v>
      </c>
      <c r="B6" s="128" t="s">
        <v>236</v>
      </c>
      <c r="C6" s="128" t="s">
        <v>237</v>
      </c>
      <c r="D6" s="128" t="s">
        <v>238</v>
      </c>
      <c r="E6" s="128" t="s">
        <v>239</v>
      </c>
      <c r="F6" s="128" t="s">
        <v>240</v>
      </c>
      <c r="G6" s="128" t="s">
        <v>241</v>
      </c>
      <c r="H6" s="128" t="s">
        <v>242</v>
      </c>
      <c r="I6" s="128" t="s">
        <v>243</v>
      </c>
      <c r="J6" s="128" t="s">
        <v>244</v>
      </c>
      <c r="K6" s="128" t="s">
        <v>245</v>
      </c>
      <c r="L6" s="128" t="s">
        <v>246</v>
      </c>
      <c r="M6" s="128" t="s">
        <v>247</v>
      </c>
      <c r="N6" s="128" t="s">
        <v>248</v>
      </c>
      <c r="O6" s="128" t="s">
        <v>249</v>
      </c>
      <c r="P6" s="128" t="s">
        <v>250</v>
      </c>
      <c r="Q6" s="128" t="s">
        <v>251</v>
      </c>
      <c r="R6" s="128" t="s">
        <v>252</v>
      </c>
      <c r="S6" s="128" t="s">
        <v>253</v>
      </c>
      <c r="T6" s="128" t="s">
        <v>254</v>
      </c>
      <c r="U6" s="128" t="s">
        <v>255</v>
      </c>
      <c r="V6" s="128" t="s">
        <v>256</v>
      </c>
      <c r="W6" s="128" t="s">
        <v>257</v>
      </c>
      <c r="X6" s="128" t="s">
        <v>258</v>
      </c>
      <c r="Y6" s="128" t="s">
        <v>259</v>
      </c>
      <c r="Z6" s="128" t="s">
        <v>260</v>
      </c>
      <c r="AA6" s="128" t="s">
        <v>261</v>
      </c>
      <c r="AB6" s="128" t="s">
        <v>262</v>
      </c>
      <c r="AC6" s="128" t="s">
        <v>263</v>
      </c>
      <c r="AD6" s="128" t="s">
        <v>264</v>
      </c>
      <c r="AE6" s="128" t="s">
        <v>265</v>
      </c>
      <c r="AF6" s="128" t="s">
        <v>266</v>
      </c>
      <c r="AG6" s="128" t="s">
        <v>267</v>
      </c>
      <c r="AH6" s="128" t="s">
        <v>268</v>
      </c>
      <c r="AI6" s="128" t="s">
        <v>269</v>
      </c>
      <c r="AJ6" s="128" t="s">
        <v>270</v>
      </c>
      <c r="AK6" s="128" t="s">
        <v>271</v>
      </c>
      <c r="AL6" s="128" t="s">
        <v>272</v>
      </c>
      <c r="AM6" s="128" t="s">
        <v>273</v>
      </c>
      <c r="AN6" s="128" t="s">
        <v>274</v>
      </c>
      <c r="AO6" s="128" t="s">
        <v>275</v>
      </c>
      <c r="AP6" s="128" t="s">
        <v>276</v>
      </c>
      <c r="AQ6" s="128" t="s">
        <v>277</v>
      </c>
      <c r="AR6" s="128" t="s">
        <v>278</v>
      </c>
      <c r="AS6" s="128" t="s">
        <v>279</v>
      </c>
      <c r="AT6" s="128" t="s">
        <v>280</v>
      </c>
      <c r="AU6" s="128" t="s">
        <v>281</v>
      </c>
      <c r="AV6" s="128" t="s">
        <v>282</v>
      </c>
      <c r="AW6" s="128" t="s">
        <v>283</v>
      </c>
      <c r="AX6" s="128" t="s">
        <v>284</v>
      </c>
      <c r="AY6" s="128" t="s">
        <v>285</v>
      </c>
      <c r="AZ6" s="128" t="s">
        <v>286</v>
      </c>
      <c r="BA6" s="128" t="s">
        <v>287</v>
      </c>
      <c r="BB6" s="128" t="s">
        <v>288</v>
      </c>
      <c r="BC6" s="128" t="s">
        <v>289</v>
      </c>
      <c r="BD6" s="128" t="s">
        <v>290</v>
      </c>
      <c r="BE6" s="128" t="s">
        <v>291</v>
      </c>
      <c r="BF6" s="128" t="s">
        <v>292</v>
      </c>
      <c r="BG6" s="128" t="s">
        <v>293</v>
      </c>
      <c r="BH6" s="128" t="s">
        <v>294</v>
      </c>
      <c r="BI6" s="128" t="s">
        <v>295</v>
      </c>
      <c r="BJ6" s="128" t="s">
        <v>296</v>
      </c>
      <c r="BK6" s="128" t="s">
        <v>297</v>
      </c>
      <c r="BL6" s="128" t="s">
        <v>298</v>
      </c>
      <c r="BM6" s="128" t="s">
        <v>299</v>
      </c>
      <c r="BN6" s="128" t="s">
        <v>300</v>
      </c>
    </row>
    <row r="7" spans="1:68" s="117" customFormat="1" ht="31.5" customHeight="1">
      <c r="A7" s="12"/>
      <c r="B7" s="148" t="s">
        <v>470</v>
      </c>
      <c r="C7" s="3"/>
      <c r="D7" s="174">
        <f>D8+D25+D63</f>
        <v>102.37</v>
      </c>
      <c r="E7" s="174">
        <f>E8+E25+E63</f>
        <v>0</v>
      </c>
      <c r="F7" s="174">
        <f t="shared" ref="F7:BN7" si="0">F8+F25+F63</f>
        <v>0</v>
      </c>
      <c r="G7" s="174">
        <f t="shared" si="0"/>
        <v>0</v>
      </c>
      <c r="H7" s="174">
        <f t="shared" si="0"/>
        <v>0</v>
      </c>
      <c r="I7" s="174">
        <f t="shared" si="0"/>
        <v>0</v>
      </c>
      <c r="J7" s="174">
        <f t="shared" si="0"/>
        <v>0</v>
      </c>
      <c r="K7" s="174">
        <f t="shared" si="0"/>
        <v>0</v>
      </c>
      <c r="L7" s="174">
        <f t="shared" si="0"/>
        <v>0</v>
      </c>
      <c r="M7" s="174">
        <f t="shared" si="0"/>
        <v>0</v>
      </c>
      <c r="N7" s="174">
        <f t="shared" si="0"/>
        <v>0</v>
      </c>
      <c r="O7" s="174">
        <f t="shared" si="0"/>
        <v>0</v>
      </c>
      <c r="P7" s="174">
        <f t="shared" si="0"/>
        <v>0</v>
      </c>
      <c r="Q7" s="174">
        <f t="shared" si="0"/>
        <v>0</v>
      </c>
      <c r="R7" s="174">
        <f t="shared" si="0"/>
        <v>0</v>
      </c>
      <c r="S7" s="174">
        <f t="shared" si="0"/>
        <v>0</v>
      </c>
      <c r="T7" s="174">
        <f t="shared" si="0"/>
        <v>0</v>
      </c>
      <c r="U7" s="174">
        <f t="shared" si="0"/>
        <v>0</v>
      </c>
      <c r="V7" s="174">
        <f t="shared" si="0"/>
        <v>102.05</v>
      </c>
      <c r="W7" s="174">
        <f t="shared" si="0"/>
        <v>19.940000000000001</v>
      </c>
      <c r="X7" s="174">
        <f t="shared" si="0"/>
        <v>0.46</v>
      </c>
      <c r="Y7" s="174">
        <f t="shared" si="0"/>
        <v>0</v>
      </c>
      <c r="Z7" s="174">
        <f t="shared" si="0"/>
        <v>0</v>
      </c>
      <c r="AA7" s="174">
        <f t="shared" si="0"/>
        <v>0</v>
      </c>
      <c r="AB7" s="174">
        <f t="shared" si="0"/>
        <v>16.920000000000002</v>
      </c>
      <c r="AC7" s="174">
        <f t="shared" si="0"/>
        <v>0</v>
      </c>
      <c r="AD7" s="174">
        <f t="shared" si="0"/>
        <v>0</v>
      </c>
      <c r="AE7" s="174">
        <f t="shared" si="0"/>
        <v>39.74</v>
      </c>
      <c r="AF7" s="174">
        <f t="shared" si="0"/>
        <v>0.05</v>
      </c>
      <c r="AG7" s="174">
        <f t="shared" si="0"/>
        <v>0.1</v>
      </c>
      <c r="AH7" s="174">
        <f t="shared" si="0"/>
        <v>3.36</v>
      </c>
      <c r="AI7" s="174">
        <f t="shared" si="0"/>
        <v>0.41</v>
      </c>
      <c r="AJ7" s="174">
        <f t="shared" si="0"/>
        <v>0</v>
      </c>
      <c r="AK7" s="174">
        <f t="shared" si="0"/>
        <v>0</v>
      </c>
      <c r="AL7" s="174">
        <f t="shared" si="0"/>
        <v>31.29</v>
      </c>
      <c r="AM7" s="174">
        <f t="shared" si="0"/>
        <v>0</v>
      </c>
      <c r="AN7" s="174">
        <f t="shared" si="0"/>
        <v>0.11</v>
      </c>
      <c r="AO7" s="174">
        <f t="shared" si="0"/>
        <v>0</v>
      </c>
      <c r="AP7" s="174">
        <f t="shared" si="0"/>
        <v>4.42</v>
      </c>
      <c r="AQ7" s="174">
        <f t="shared" si="0"/>
        <v>0</v>
      </c>
      <c r="AR7" s="174">
        <f t="shared" si="0"/>
        <v>0</v>
      </c>
      <c r="AS7" s="174">
        <f t="shared" si="0"/>
        <v>0</v>
      </c>
      <c r="AT7" s="174">
        <f t="shared" si="0"/>
        <v>0</v>
      </c>
      <c r="AU7" s="174">
        <f t="shared" si="0"/>
        <v>10.904999999999998</v>
      </c>
      <c r="AV7" s="174">
        <f t="shared" si="0"/>
        <v>4.8849999999999998</v>
      </c>
      <c r="AW7" s="174">
        <f t="shared" si="0"/>
        <v>0</v>
      </c>
      <c r="AX7" s="174">
        <f t="shared" si="0"/>
        <v>0</v>
      </c>
      <c r="AY7" s="174">
        <f t="shared" si="0"/>
        <v>0</v>
      </c>
      <c r="AZ7" s="174">
        <f t="shared" si="0"/>
        <v>0</v>
      </c>
      <c r="BA7" s="174">
        <f t="shared" si="0"/>
        <v>0</v>
      </c>
      <c r="BB7" s="174">
        <f t="shared" si="0"/>
        <v>0.45</v>
      </c>
      <c r="BC7" s="174">
        <f t="shared" si="0"/>
        <v>0.53</v>
      </c>
      <c r="BD7" s="174">
        <f t="shared" si="0"/>
        <v>0</v>
      </c>
      <c r="BE7" s="174">
        <f t="shared" si="0"/>
        <v>8.2200000000000006</v>
      </c>
      <c r="BF7" s="174">
        <f t="shared" si="0"/>
        <v>0</v>
      </c>
      <c r="BG7" s="174">
        <f t="shared" si="0"/>
        <v>0</v>
      </c>
      <c r="BH7" s="174">
        <f t="shared" si="0"/>
        <v>0.32000000000000006</v>
      </c>
      <c r="BI7" s="174">
        <f t="shared" si="0"/>
        <v>0.32000000000000006</v>
      </c>
      <c r="BJ7" s="174">
        <f t="shared" si="0"/>
        <v>0</v>
      </c>
      <c r="BK7" s="174">
        <f t="shared" si="0"/>
        <v>0</v>
      </c>
      <c r="BL7" s="174"/>
      <c r="BM7" s="174">
        <f t="shared" si="0"/>
        <v>0</v>
      </c>
      <c r="BN7" s="174">
        <f t="shared" si="0"/>
        <v>102.37</v>
      </c>
    </row>
    <row r="8" spans="1:68" s="115" customFormat="1" ht="21.75" customHeight="1">
      <c r="A8" s="15">
        <v>1</v>
      </c>
      <c r="B8" s="142" t="s">
        <v>14</v>
      </c>
      <c r="C8" s="6" t="s">
        <v>15</v>
      </c>
      <c r="D8" s="175">
        <f>D9+D18+D22+D23+D24</f>
        <v>0</v>
      </c>
      <c r="E8" s="175">
        <f>D8-BL8</f>
        <v>0</v>
      </c>
      <c r="F8" s="175">
        <f>G8+N8</f>
        <v>0</v>
      </c>
      <c r="G8" s="175">
        <f>H8+L8+M8</f>
        <v>0</v>
      </c>
      <c r="H8" s="175">
        <f>I8+J8+K8</f>
        <v>0</v>
      </c>
      <c r="I8" s="175">
        <f>I9+I18+I22+I23+I24</f>
        <v>0</v>
      </c>
      <c r="J8" s="175">
        <f t="shared" ref="J8:BG8" si="1">J9+J18+J22+J23+J24</f>
        <v>0</v>
      </c>
      <c r="K8" s="175">
        <f t="shared" si="1"/>
        <v>0</v>
      </c>
      <c r="L8" s="175">
        <f t="shared" si="1"/>
        <v>0</v>
      </c>
      <c r="M8" s="175">
        <f t="shared" si="1"/>
        <v>0</v>
      </c>
      <c r="N8" s="175">
        <f t="shared" si="1"/>
        <v>0</v>
      </c>
      <c r="O8" s="175">
        <f>P8+Q8+R8</f>
        <v>0</v>
      </c>
      <c r="P8" s="175">
        <f t="shared" si="1"/>
        <v>0</v>
      </c>
      <c r="Q8" s="175">
        <f t="shared" si="1"/>
        <v>0</v>
      </c>
      <c r="R8" s="175">
        <f t="shared" si="1"/>
        <v>0</v>
      </c>
      <c r="S8" s="175">
        <f t="shared" si="1"/>
        <v>0</v>
      </c>
      <c r="T8" s="175">
        <f t="shared" si="1"/>
        <v>0</v>
      </c>
      <c r="U8" s="175">
        <f t="shared" si="1"/>
        <v>0</v>
      </c>
      <c r="V8" s="175">
        <f t="shared" si="1"/>
        <v>0</v>
      </c>
      <c r="W8" s="175">
        <f t="shared" si="1"/>
        <v>0</v>
      </c>
      <c r="X8" s="175">
        <f t="shared" si="1"/>
        <v>0</v>
      </c>
      <c r="Y8" s="175">
        <f t="shared" si="1"/>
        <v>0</v>
      </c>
      <c r="Z8" s="175">
        <f t="shared" si="1"/>
        <v>0</v>
      </c>
      <c r="AA8" s="175">
        <f t="shared" si="1"/>
        <v>0</v>
      </c>
      <c r="AB8" s="175">
        <f t="shared" si="1"/>
        <v>0</v>
      </c>
      <c r="AC8" s="175">
        <f t="shared" si="1"/>
        <v>0</v>
      </c>
      <c r="AD8" s="175">
        <f t="shared" si="1"/>
        <v>0</v>
      </c>
      <c r="AE8" s="175">
        <f t="shared" si="1"/>
        <v>0</v>
      </c>
      <c r="AF8" s="175">
        <f t="shared" si="1"/>
        <v>0</v>
      </c>
      <c r="AG8" s="175">
        <f t="shared" si="1"/>
        <v>0</v>
      </c>
      <c r="AH8" s="175">
        <f t="shared" si="1"/>
        <v>0</v>
      </c>
      <c r="AI8" s="175">
        <f t="shared" si="1"/>
        <v>0</v>
      </c>
      <c r="AJ8" s="175">
        <f t="shared" si="1"/>
        <v>0</v>
      </c>
      <c r="AK8" s="175">
        <f t="shared" si="1"/>
        <v>0</v>
      </c>
      <c r="AL8" s="175">
        <f t="shared" si="1"/>
        <v>0</v>
      </c>
      <c r="AM8" s="175">
        <f t="shared" si="1"/>
        <v>0</v>
      </c>
      <c r="AN8" s="175">
        <f t="shared" si="1"/>
        <v>0</v>
      </c>
      <c r="AO8" s="175">
        <f t="shared" si="1"/>
        <v>0</v>
      </c>
      <c r="AP8" s="175">
        <f t="shared" si="1"/>
        <v>0</v>
      </c>
      <c r="AQ8" s="175">
        <f t="shared" si="1"/>
        <v>0</v>
      </c>
      <c r="AR8" s="175">
        <f t="shared" si="1"/>
        <v>0</v>
      </c>
      <c r="AS8" s="175">
        <f t="shared" si="1"/>
        <v>0</v>
      </c>
      <c r="AT8" s="175">
        <f t="shared" si="1"/>
        <v>0</v>
      </c>
      <c r="AU8" s="175">
        <f t="shared" si="1"/>
        <v>0</v>
      </c>
      <c r="AV8" s="175">
        <f t="shared" si="1"/>
        <v>0</v>
      </c>
      <c r="AW8" s="175">
        <f t="shared" si="1"/>
        <v>0</v>
      </c>
      <c r="AX8" s="175">
        <f t="shared" si="1"/>
        <v>0</v>
      </c>
      <c r="AY8" s="175">
        <f t="shared" si="1"/>
        <v>0</v>
      </c>
      <c r="AZ8" s="175">
        <f t="shared" si="1"/>
        <v>0</v>
      </c>
      <c r="BA8" s="175">
        <f t="shared" si="1"/>
        <v>0</v>
      </c>
      <c r="BB8" s="175">
        <f t="shared" si="1"/>
        <v>0</v>
      </c>
      <c r="BC8" s="175">
        <f t="shared" si="1"/>
        <v>0</v>
      </c>
      <c r="BD8" s="175">
        <f t="shared" si="1"/>
        <v>0</v>
      </c>
      <c r="BE8" s="175">
        <f t="shared" si="1"/>
        <v>0</v>
      </c>
      <c r="BF8" s="175">
        <f t="shared" si="1"/>
        <v>0</v>
      </c>
      <c r="BG8" s="175">
        <f t="shared" si="1"/>
        <v>0</v>
      </c>
      <c r="BH8" s="175">
        <f>BH9+BH18+BH22+BH23+BH24</f>
        <v>0</v>
      </c>
      <c r="BI8" s="175">
        <f>BI9+BI18+BI22+BI23+BI24</f>
        <v>0</v>
      </c>
      <c r="BJ8" s="175">
        <f>BJ9+BJ18+BJ22+BJ23+BJ24</f>
        <v>0</v>
      </c>
      <c r="BK8" s="175">
        <f>BK9+BK18+BK22+BK23+BK24</f>
        <v>0</v>
      </c>
      <c r="BL8" s="175">
        <f>V8+BH8</f>
        <v>0</v>
      </c>
      <c r="BM8" s="175">
        <f>BM9+BM18+BM22+BM23+BM24</f>
        <v>0</v>
      </c>
      <c r="BN8" s="175">
        <f>BN9+BN18+BN22+BN23+BN24</f>
        <v>0</v>
      </c>
    </row>
    <row r="9" spans="1:68" ht="21.75" customHeight="1">
      <c r="A9" s="14" t="s">
        <v>16</v>
      </c>
      <c r="B9" s="143" t="s">
        <v>471</v>
      </c>
      <c r="C9" s="5" t="s">
        <v>193</v>
      </c>
      <c r="D9" s="100">
        <f>D10+D17</f>
        <v>0</v>
      </c>
      <c r="E9" s="100">
        <f>F9+O9+S9+T9+U9</f>
        <v>0</v>
      </c>
      <c r="F9" s="100">
        <f>D9-BK9</f>
        <v>0</v>
      </c>
      <c r="G9" s="100">
        <f>H9+L9+M9</f>
        <v>0</v>
      </c>
      <c r="H9" s="100">
        <f>I9+J9+K9</f>
        <v>0</v>
      </c>
      <c r="I9" s="100">
        <f>I10+I17</f>
        <v>0</v>
      </c>
      <c r="J9" s="100">
        <f t="shared" ref="J9:BG9" si="2">J10+J17</f>
        <v>0</v>
      </c>
      <c r="K9" s="100">
        <f t="shared" si="2"/>
        <v>0</v>
      </c>
      <c r="L9" s="100">
        <f t="shared" si="2"/>
        <v>0</v>
      </c>
      <c r="M9" s="100">
        <f t="shared" si="2"/>
        <v>0</v>
      </c>
      <c r="N9" s="100">
        <f t="shared" si="2"/>
        <v>0</v>
      </c>
      <c r="O9" s="100">
        <f t="shared" ref="O9:O17" si="3">P9+Q9+R9</f>
        <v>0</v>
      </c>
      <c r="P9" s="100">
        <f t="shared" si="2"/>
        <v>0</v>
      </c>
      <c r="Q9" s="100">
        <f t="shared" si="2"/>
        <v>0</v>
      </c>
      <c r="R9" s="100">
        <f t="shared" si="2"/>
        <v>0</v>
      </c>
      <c r="S9" s="100">
        <f t="shared" si="2"/>
        <v>0</v>
      </c>
      <c r="T9" s="100">
        <f t="shared" si="2"/>
        <v>0</v>
      </c>
      <c r="U9" s="100">
        <f t="shared" si="2"/>
        <v>0</v>
      </c>
      <c r="V9" s="100">
        <f t="shared" si="2"/>
        <v>0</v>
      </c>
      <c r="W9" s="100">
        <f t="shared" si="2"/>
        <v>0</v>
      </c>
      <c r="X9" s="100">
        <f t="shared" si="2"/>
        <v>0</v>
      </c>
      <c r="Y9" s="100">
        <f t="shared" si="2"/>
        <v>0</v>
      </c>
      <c r="Z9" s="100">
        <f t="shared" si="2"/>
        <v>0</v>
      </c>
      <c r="AA9" s="100">
        <f t="shared" si="2"/>
        <v>0</v>
      </c>
      <c r="AB9" s="100">
        <f t="shared" si="2"/>
        <v>0</v>
      </c>
      <c r="AC9" s="100">
        <f t="shared" si="2"/>
        <v>0</v>
      </c>
      <c r="AD9" s="100">
        <f t="shared" si="2"/>
        <v>0</v>
      </c>
      <c r="AE9" s="100">
        <f t="shared" si="2"/>
        <v>0</v>
      </c>
      <c r="AF9" s="100">
        <f t="shared" si="2"/>
        <v>0</v>
      </c>
      <c r="AG9" s="100">
        <f t="shared" si="2"/>
        <v>0</v>
      </c>
      <c r="AH9" s="100">
        <f t="shared" si="2"/>
        <v>0</v>
      </c>
      <c r="AI9" s="100">
        <f t="shared" si="2"/>
        <v>0</v>
      </c>
      <c r="AJ9" s="100">
        <f t="shared" si="2"/>
        <v>0</v>
      </c>
      <c r="AK9" s="100">
        <f t="shared" si="2"/>
        <v>0</v>
      </c>
      <c r="AL9" s="100">
        <f t="shared" si="2"/>
        <v>0</v>
      </c>
      <c r="AM9" s="100">
        <f t="shared" si="2"/>
        <v>0</v>
      </c>
      <c r="AN9" s="100">
        <f t="shared" si="2"/>
        <v>0</v>
      </c>
      <c r="AO9" s="100">
        <f t="shared" si="2"/>
        <v>0</v>
      </c>
      <c r="AP9" s="100">
        <f t="shared" si="2"/>
        <v>0</v>
      </c>
      <c r="AQ9" s="100">
        <f t="shared" si="2"/>
        <v>0</v>
      </c>
      <c r="AR9" s="100">
        <f t="shared" si="2"/>
        <v>0</v>
      </c>
      <c r="AS9" s="100">
        <f t="shared" si="2"/>
        <v>0</v>
      </c>
      <c r="AT9" s="100">
        <f t="shared" si="2"/>
        <v>0</v>
      </c>
      <c r="AU9" s="100">
        <f t="shared" si="2"/>
        <v>0</v>
      </c>
      <c r="AV9" s="100">
        <f t="shared" si="2"/>
        <v>0</v>
      </c>
      <c r="AW9" s="100">
        <f t="shared" si="2"/>
        <v>0</v>
      </c>
      <c r="AX9" s="100">
        <f t="shared" si="2"/>
        <v>0</v>
      </c>
      <c r="AY9" s="100">
        <f t="shared" si="2"/>
        <v>0</v>
      </c>
      <c r="AZ9" s="100">
        <f t="shared" si="2"/>
        <v>0</v>
      </c>
      <c r="BA9" s="100">
        <f t="shared" si="2"/>
        <v>0</v>
      </c>
      <c r="BB9" s="100">
        <f t="shared" si="2"/>
        <v>0</v>
      </c>
      <c r="BC9" s="100">
        <f t="shared" si="2"/>
        <v>0</v>
      </c>
      <c r="BD9" s="100">
        <f t="shared" si="2"/>
        <v>0</v>
      </c>
      <c r="BE9" s="100">
        <f t="shared" si="2"/>
        <v>0</v>
      </c>
      <c r="BF9" s="100">
        <f t="shared" si="2"/>
        <v>0</v>
      </c>
      <c r="BG9" s="100">
        <f t="shared" si="2"/>
        <v>0</v>
      </c>
      <c r="BH9" s="100">
        <f>BH10+BH17</f>
        <v>0</v>
      </c>
      <c r="BI9" s="100">
        <f>BI10+BI17</f>
        <v>0</v>
      </c>
      <c r="BJ9" s="100">
        <f>BJ10+BJ17</f>
        <v>0</v>
      </c>
      <c r="BK9" s="100">
        <f>BK10+BK17</f>
        <v>0</v>
      </c>
      <c r="BL9" s="100">
        <f>O9+S9+T9+U9+V9+BH9</f>
        <v>0</v>
      </c>
      <c r="BM9" s="100">
        <f>BM10+BM17</f>
        <v>0</v>
      </c>
      <c r="BN9" s="100">
        <f>D9+BM9</f>
        <v>0</v>
      </c>
      <c r="BP9" s="123"/>
    </row>
    <row r="10" spans="1:68" ht="20.100000000000001" customHeight="1">
      <c r="A10" s="14" t="s">
        <v>212</v>
      </c>
      <c r="B10" s="143" t="s">
        <v>472</v>
      </c>
      <c r="C10" s="5" t="s">
        <v>194</v>
      </c>
      <c r="D10" s="100">
        <f>D11+D15+D16</f>
        <v>0</v>
      </c>
      <c r="E10" s="100">
        <f t="shared" ref="E10:E66" si="4">F10+O10+S10+T10+U10</f>
        <v>0</v>
      </c>
      <c r="F10" s="100">
        <f>G10+N10</f>
        <v>0</v>
      </c>
      <c r="G10" s="100">
        <f>D10-BL10</f>
        <v>0</v>
      </c>
      <c r="H10" s="100">
        <f>I10+J10+K10</f>
        <v>0</v>
      </c>
      <c r="I10" s="100">
        <f>I11+I15+I16</f>
        <v>0</v>
      </c>
      <c r="J10" s="100">
        <f t="shared" ref="J10:BG10" si="5">J11+J15+J16</f>
        <v>0</v>
      </c>
      <c r="K10" s="100">
        <f t="shared" si="5"/>
        <v>0</v>
      </c>
      <c r="L10" s="100">
        <f t="shared" si="5"/>
        <v>0</v>
      </c>
      <c r="M10" s="100">
        <f t="shared" si="5"/>
        <v>0</v>
      </c>
      <c r="N10" s="100">
        <f t="shared" si="5"/>
        <v>0</v>
      </c>
      <c r="O10" s="100">
        <f t="shared" si="3"/>
        <v>0</v>
      </c>
      <c r="P10" s="100">
        <f t="shared" si="5"/>
        <v>0</v>
      </c>
      <c r="Q10" s="100">
        <f t="shared" si="5"/>
        <v>0</v>
      </c>
      <c r="R10" s="100">
        <f t="shared" si="5"/>
        <v>0</v>
      </c>
      <c r="S10" s="100">
        <f t="shared" si="5"/>
        <v>0</v>
      </c>
      <c r="T10" s="100">
        <f t="shared" si="5"/>
        <v>0</v>
      </c>
      <c r="U10" s="100">
        <f t="shared" si="5"/>
        <v>0</v>
      </c>
      <c r="V10" s="100">
        <f t="shared" si="5"/>
        <v>0</v>
      </c>
      <c r="W10" s="100">
        <f t="shared" si="5"/>
        <v>0</v>
      </c>
      <c r="X10" s="100">
        <f t="shared" si="5"/>
        <v>0</v>
      </c>
      <c r="Y10" s="100">
        <f t="shared" si="5"/>
        <v>0</v>
      </c>
      <c r="Z10" s="100">
        <f t="shared" si="5"/>
        <v>0</v>
      </c>
      <c r="AA10" s="100">
        <f t="shared" si="5"/>
        <v>0</v>
      </c>
      <c r="AB10" s="100">
        <f t="shared" si="5"/>
        <v>0</v>
      </c>
      <c r="AC10" s="100">
        <f t="shared" si="5"/>
        <v>0</v>
      </c>
      <c r="AD10" s="100">
        <f t="shared" si="5"/>
        <v>0</v>
      </c>
      <c r="AE10" s="100">
        <f t="shared" si="5"/>
        <v>0</v>
      </c>
      <c r="AF10" s="100">
        <f t="shared" si="5"/>
        <v>0</v>
      </c>
      <c r="AG10" s="100">
        <f t="shared" si="5"/>
        <v>0</v>
      </c>
      <c r="AH10" s="100">
        <f t="shared" si="5"/>
        <v>0</v>
      </c>
      <c r="AI10" s="100">
        <f t="shared" si="5"/>
        <v>0</v>
      </c>
      <c r="AJ10" s="100">
        <f t="shared" si="5"/>
        <v>0</v>
      </c>
      <c r="AK10" s="100">
        <f t="shared" si="5"/>
        <v>0</v>
      </c>
      <c r="AL10" s="100">
        <f t="shared" si="5"/>
        <v>0</v>
      </c>
      <c r="AM10" s="100">
        <f t="shared" si="5"/>
        <v>0</v>
      </c>
      <c r="AN10" s="100">
        <f t="shared" si="5"/>
        <v>0</v>
      </c>
      <c r="AO10" s="100">
        <f t="shared" si="5"/>
        <v>0</v>
      </c>
      <c r="AP10" s="100">
        <f t="shared" si="5"/>
        <v>0</v>
      </c>
      <c r="AQ10" s="100">
        <f t="shared" si="5"/>
        <v>0</v>
      </c>
      <c r="AR10" s="100">
        <f t="shared" si="5"/>
        <v>0</v>
      </c>
      <c r="AS10" s="100">
        <f t="shared" si="5"/>
        <v>0</v>
      </c>
      <c r="AT10" s="100">
        <f t="shared" si="5"/>
        <v>0</v>
      </c>
      <c r="AU10" s="100">
        <f t="shared" si="5"/>
        <v>0</v>
      </c>
      <c r="AV10" s="100">
        <f t="shared" si="5"/>
        <v>0</v>
      </c>
      <c r="AW10" s="100">
        <f t="shared" si="5"/>
        <v>0</v>
      </c>
      <c r="AX10" s="100">
        <f t="shared" si="5"/>
        <v>0</v>
      </c>
      <c r="AY10" s="100">
        <f t="shared" si="5"/>
        <v>0</v>
      </c>
      <c r="AZ10" s="100">
        <f t="shared" si="5"/>
        <v>0</v>
      </c>
      <c r="BA10" s="100">
        <f t="shared" si="5"/>
        <v>0</v>
      </c>
      <c r="BB10" s="100">
        <f t="shared" si="5"/>
        <v>0</v>
      </c>
      <c r="BC10" s="100">
        <f t="shared" si="5"/>
        <v>0</v>
      </c>
      <c r="BD10" s="100">
        <f t="shared" si="5"/>
        <v>0</v>
      </c>
      <c r="BE10" s="100">
        <f t="shared" si="5"/>
        <v>0</v>
      </c>
      <c r="BF10" s="100">
        <f t="shared" si="5"/>
        <v>0</v>
      </c>
      <c r="BG10" s="100">
        <f t="shared" si="5"/>
        <v>0</v>
      </c>
      <c r="BH10" s="100">
        <f>BH11+BH15+BH16</f>
        <v>0</v>
      </c>
      <c r="BI10" s="100">
        <f>BI11+BI15+BI16</f>
        <v>0</v>
      </c>
      <c r="BJ10" s="100">
        <f>BJ11+BJ15+BJ16</f>
        <v>0</v>
      </c>
      <c r="BK10" s="100">
        <f>BK11+BK15+BK16</f>
        <v>0</v>
      </c>
      <c r="BL10" s="100">
        <f>N10+O10+S10+T10+U10+V10+BH10</f>
        <v>0</v>
      </c>
      <c r="BM10" s="100">
        <f>BM11+BM15+BM16</f>
        <v>0</v>
      </c>
      <c r="BN10" s="100">
        <f>BN11+BN15+BN16</f>
        <v>0</v>
      </c>
      <c r="BP10" s="123"/>
    </row>
    <row r="11" spans="1:68" ht="20.100000000000001" customHeight="1">
      <c r="A11" s="14" t="s">
        <v>213</v>
      </c>
      <c r="B11" s="143" t="s">
        <v>17</v>
      </c>
      <c r="C11" s="5" t="s">
        <v>18</v>
      </c>
      <c r="D11" s="100">
        <f>D12+D13+D14</f>
        <v>0</v>
      </c>
      <c r="E11" s="100">
        <f t="shared" si="4"/>
        <v>0</v>
      </c>
      <c r="F11" s="100">
        <f t="shared" ref="F11:F24" si="6">G11+N11</f>
        <v>0</v>
      </c>
      <c r="G11" s="100">
        <f>H11+L11+M11</f>
        <v>0</v>
      </c>
      <c r="H11" s="100">
        <f>D11-BL11</f>
        <v>0</v>
      </c>
      <c r="I11" s="100">
        <f>I12+I13+I14</f>
        <v>0</v>
      </c>
      <c r="J11" s="100">
        <f t="shared" ref="J11:BG11" si="7">J12+J13+J14</f>
        <v>0</v>
      </c>
      <c r="K11" s="100">
        <f t="shared" si="7"/>
        <v>0</v>
      </c>
      <c r="L11" s="100">
        <f t="shared" si="7"/>
        <v>0</v>
      </c>
      <c r="M11" s="100">
        <f t="shared" si="7"/>
        <v>0</v>
      </c>
      <c r="N11" s="100">
        <f t="shared" si="7"/>
        <v>0</v>
      </c>
      <c r="O11" s="100">
        <f t="shared" si="3"/>
        <v>0</v>
      </c>
      <c r="P11" s="100">
        <f t="shared" si="7"/>
        <v>0</v>
      </c>
      <c r="Q11" s="100">
        <f t="shared" si="7"/>
        <v>0</v>
      </c>
      <c r="R11" s="100">
        <f t="shared" si="7"/>
        <v>0</v>
      </c>
      <c r="S11" s="100">
        <f t="shared" si="7"/>
        <v>0</v>
      </c>
      <c r="T11" s="100">
        <f t="shared" si="7"/>
        <v>0</v>
      </c>
      <c r="U11" s="100">
        <f t="shared" si="7"/>
        <v>0</v>
      </c>
      <c r="V11" s="100">
        <f t="shared" si="7"/>
        <v>0</v>
      </c>
      <c r="W11" s="100">
        <f t="shared" si="7"/>
        <v>0</v>
      </c>
      <c r="X11" s="100">
        <f t="shared" si="7"/>
        <v>0</v>
      </c>
      <c r="Y11" s="100">
        <f t="shared" si="7"/>
        <v>0</v>
      </c>
      <c r="Z11" s="100">
        <f t="shared" si="7"/>
        <v>0</v>
      </c>
      <c r="AA11" s="100">
        <f t="shared" si="7"/>
        <v>0</v>
      </c>
      <c r="AB11" s="100">
        <f t="shared" si="7"/>
        <v>0</v>
      </c>
      <c r="AC11" s="100">
        <f t="shared" si="7"/>
        <v>0</v>
      </c>
      <c r="AD11" s="100">
        <f t="shared" si="7"/>
        <v>0</v>
      </c>
      <c r="AE11" s="100">
        <f t="shared" si="7"/>
        <v>0</v>
      </c>
      <c r="AF11" s="100">
        <f t="shared" si="7"/>
        <v>0</v>
      </c>
      <c r="AG11" s="100">
        <f t="shared" si="7"/>
        <v>0</v>
      </c>
      <c r="AH11" s="100">
        <f t="shared" si="7"/>
        <v>0</v>
      </c>
      <c r="AI11" s="100">
        <f t="shared" si="7"/>
        <v>0</v>
      </c>
      <c r="AJ11" s="100">
        <f t="shared" si="7"/>
        <v>0</v>
      </c>
      <c r="AK11" s="100">
        <f t="shared" si="7"/>
        <v>0</v>
      </c>
      <c r="AL11" s="100">
        <f t="shared" si="7"/>
        <v>0</v>
      </c>
      <c r="AM11" s="100">
        <f t="shared" si="7"/>
        <v>0</v>
      </c>
      <c r="AN11" s="100">
        <f t="shared" si="7"/>
        <v>0</v>
      </c>
      <c r="AO11" s="100">
        <f t="shared" si="7"/>
        <v>0</v>
      </c>
      <c r="AP11" s="100">
        <f t="shared" si="7"/>
        <v>0</v>
      </c>
      <c r="AQ11" s="100">
        <f t="shared" si="7"/>
        <v>0</v>
      </c>
      <c r="AR11" s="100">
        <f t="shared" si="7"/>
        <v>0</v>
      </c>
      <c r="AS11" s="100">
        <f t="shared" si="7"/>
        <v>0</v>
      </c>
      <c r="AT11" s="100">
        <f t="shared" si="7"/>
        <v>0</v>
      </c>
      <c r="AU11" s="100">
        <f t="shared" si="7"/>
        <v>0</v>
      </c>
      <c r="AV11" s="100">
        <f t="shared" si="7"/>
        <v>0</v>
      </c>
      <c r="AW11" s="100">
        <f t="shared" si="7"/>
        <v>0</v>
      </c>
      <c r="AX11" s="100">
        <f t="shared" si="7"/>
        <v>0</v>
      </c>
      <c r="AY11" s="100">
        <f t="shared" si="7"/>
        <v>0</v>
      </c>
      <c r="AZ11" s="100">
        <f t="shared" si="7"/>
        <v>0</v>
      </c>
      <c r="BA11" s="100">
        <f t="shared" si="7"/>
        <v>0</v>
      </c>
      <c r="BB11" s="100">
        <f t="shared" si="7"/>
        <v>0</v>
      </c>
      <c r="BC11" s="100">
        <f t="shared" si="7"/>
        <v>0</v>
      </c>
      <c r="BD11" s="100">
        <f t="shared" si="7"/>
        <v>0</v>
      </c>
      <c r="BE11" s="100">
        <f t="shared" si="7"/>
        <v>0</v>
      </c>
      <c r="BF11" s="100">
        <f t="shared" si="7"/>
        <v>0</v>
      </c>
      <c r="BG11" s="100">
        <f t="shared" si="7"/>
        <v>0</v>
      </c>
      <c r="BH11" s="100">
        <f>BH12+BH13+BH14</f>
        <v>0</v>
      </c>
      <c r="BI11" s="100">
        <f>BI12+BI13+BI14</f>
        <v>0</v>
      </c>
      <c r="BJ11" s="100">
        <f>BJ12+BJ13+BJ14</f>
        <v>0</v>
      </c>
      <c r="BK11" s="100">
        <f>BK12+BK13+BK14</f>
        <v>0</v>
      </c>
      <c r="BL11" s="100">
        <f>L11+M11+N11+S11+T11+U11+V11+BH11</f>
        <v>0</v>
      </c>
      <c r="BM11" s="100">
        <f>H67-BL11</f>
        <v>0</v>
      </c>
      <c r="BN11" s="100">
        <f>BN12+BN13+BN14</f>
        <v>0</v>
      </c>
      <c r="BP11" s="123"/>
    </row>
    <row r="12" spans="1:68" ht="20.100000000000001" customHeight="1">
      <c r="A12" s="14" t="s">
        <v>214</v>
      </c>
      <c r="B12" s="143" t="s">
        <v>473</v>
      </c>
      <c r="C12" s="5" t="s">
        <v>20</v>
      </c>
      <c r="D12" s="100"/>
      <c r="E12" s="100">
        <f t="shared" si="4"/>
        <v>0</v>
      </c>
      <c r="F12" s="100">
        <f t="shared" si="6"/>
        <v>0</v>
      </c>
      <c r="G12" s="100">
        <f t="shared" ref="G12:G66" si="8">H12+L12+M12</f>
        <v>0</v>
      </c>
      <c r="H12" s="100">
        <f>I12+J12+K12</f>
        <v>0</v>
      </c>
      <c r="I12" s="100">
        <f>D12-BL12</f>
        <v>0</v>
      </c>
      <c r="J12" s="100"/>
      <c r="K12" s="100"/>
      <c r="L12" s="100"/>
      <c r="M12" s="100"/>
      <c r="N12" s="100"/>
      <c r="O12" s="100">
        <f t="shared" si="3"/>
        <v>0</v>
      </c>
      <c r="P12" s="100"/>
      <c r="Q12" s="100"/>
      <c r="R12" s="100"/>
      <c r="S12" s="100"/>
      <c r="T12" s="100"/>
      <c r="U12" s="100"/>
      <c r="V12" s="100">
        <f>W12+X12+Y12+Z12+AA12+AB12+AC12+AD12+AE12+AQ12+AR12+AS12+AT12+AU12+AV12+AW12+AX12+AY12+AZ12+BA12+BB12+BC12+BD12+BE12+BF12+BG12</f>
        <v>0</v>
      </c>
      <c r="W12" s="100"/>
      <c r="X12" s="100"/>
      <c r="Y12" s="100"/>
      <c r="Z12" s="100"/>
      <c r="AA12" s="100"/>
      <c r="AB12" s="100"/>
      <c r="AC12" s="100"/>
      <c r="AD12" s="100"/>
      <c r="AE12" s="100">
        <f t="shared" ref="AE12:AE33" si="9">SUM(AF12:AP12)</f>
        <v>0</v>
      </c>
      <c r="AF12" s="100"/>
      <c r="AG12" s="100"/>
      <c r="AH12" s="100"/>
      <c r="AI12" s="100"/>
      <c r="AJ12" s="100"/>
      <c r="AK12" s="100"/>
      <c r="AL12" s="100"/>
      <c r="AM12" s="100"/>
      <c r="AN12" s="100"/>
      <c r="AO12" s="100"/>
      <c r="AP12" s="100"/>
      <c r="AQ12" s="100"/>
      <c r="AR12" s="100"/>
      <c r="AS12" s="100"/>
      <c r="AT12" s="100"/>
      <c r="AU12" s="100"/>
      <c r="AV12" s="100"/>
      <c r="AW12" s="100"/>
      <c r="AX12" s="100"/>
      <c r="AY12" s="100"/>
      <c r="AZ12" s="100"/>
      <c r="BA12" s="100"/>
      <c r="BB12" s="100"/>
      <c r="BC12" s="100"/>
      <c r="BD12" s="100"/>
      <c r="BE12" s="100"/>
      <c r="BF12" s="100"/>
      <c r="BG12" s="100"/>
      <c r="BH12" s="100">
        <f t="shared" ref="BH12:BH17" si="10">BI12+BJ12+BK12</f>
        <v>0</v>
      </c>
      <c r="BI12" s="100"/>
      <c r="BJ12" s="100"/>
      <c r="BK12" s="100"/>
      <c r="BL12" s="100">
        <f>J12+K12+L12+M12+N12+O12+S12+T12+U12+V12+BH12</f>
        <v>0</v>
      </c>
      <c r="BM12" s="100">
        <f>I67-BL12</f>
        <v>0</v>
      </c>
      <c r="BN12" s="100">
        <f t="shared" ref="BN12:BN17" si="11">D12+BM12</f>
        <v>0</v>
      </c>
      <c r="BP12" s="123"/>
    </row>
    <row r="13" spans="1:68" ht="20.100000000000001" customHeight="1">
      <c r="A13" s="14" t="s">
        <v>215</v>
      </c>
      <c r="B13" s="143" t="s">
        <v>474</v>
      </c>
      <c r="C13" s="5" t="s">
        <v>195</v>
      </c>
      <c r="D13" s="100"/>
      <c r="E13" s="100">
        <f t="shared" si="4"/>
        <v>0</v>
      </c>
      <c r="F13" s="100">
        <f t="shared" si="6"/>
        <v>0</v>
      </c>
      <c r="G13" s="100">
        <f t="shared" si="8"/>
        <v>0</v>
      </c>
      <c r="H13" s="100">
        <f t="shared" ref="H13:H66" si="12">I13+J13+K13</f>
        <v>0</v>
      </c>
      <c r="I13" s="100"/>
      <c r="J13" s="100">
        <f>D13-BL13</f>
        <v>0</v>
      </c>
      <c r="K13" s="100"/>
      <c r="L13" s="100"/>
      <c r="M13" s="100"/>
      <c r="N13" s="100"/>
      <c r="O13" s="100">
        <f t="shared" si="3"/>
        <v>0</v>
      </c>
      <c r="P13" s="100"/>
      <c r="Q13" s="100"/>
      <c r="R13" s="100"/>
      <c r="S13" s="100"/>
      <c r="T13" s="100"/>
      <c r="U13" s="100"/>
      <c r="V13" s="100">
        <f t="shared" ref="V13:V66" si="13">W13+X13+Y13+Z13+AA13+AB13+AC13+AD13+AE13+AQ13+AR13+AS13+AT13+AU13+AV13+AW13+AX13+AY13+AZ13+BA13+BB13+BC13+BD13+BE13+BF13+BG13</f>
        <v>0</v>
      </c>
      <c r="W13" s="100"/>
      <c r="X13" s="100"/>
      <c r="Y13" s="100"/>
      <c r="Z13" s="100"/>
      <c r="AA13" s="100"/>
      <c r="AB13" s="100"/>
      <c r="AC13" s="100"/>
      <c r="AD13" s="100"/>
      <c r="AE13" s="100">
        <f t="shared" si="9"/>
        <v>0</v>
      </c>
      <c r="AF13" s="100"/>
      <c r="AG13" s="100"/>
      <c r="AH13" s="100"/>
      <c r="AI13" s="100"/>
      <c r="AJ13" s="100"/>
      <c r="AK13" s="100"/>
      <c r="AL13" s="100"/>
      <c r="AM13" s="100"/>
      <c r="AN13" s="100"/>
      <c r="AO13" s="100"/>
      <c r="AP13" s="100"/>
      <c r="AQ13" s="100"/>
      <c r="AR13" s="100"/>
      <c r="AS13" s="100"/>
      <c r="AT13" s="100"/>
      <c r="AU13" s="100"/>
      <c r="AV13" s="100"/>
      <c r="AW13" s="100"/>
      <c r="AX13" s="100"/>
      <c r="AY13" s="100"/>
      <c r="AZ13" s="100"/>
      <c r="BA13" s="100"/>
      <c r="BB13" s="100"/>
      <c r="BC13" s="100"/>
      <c r="BD13" s="100"/>
      <c r="BE13" s="100"/>
      <c r="BF13" s="100"/>
      <c r="BG13" s="100"/>
      <c r="BH13" s="100">
        <f t="shared" si="10"/>
        <v>0</v>
      </c>
      <c r="BI13" s="100"/>
      <c r="BJ13" s="100"/>
      <c r="BK13" s="100"/>
      <c r="BL13" s="100">
        <f>I13+K13+L13+M13+N13+O13+S13+T13+U13+V13+BH13</f>
        <v>0</v>
      </c>
      <c r="BM13" s="100">
        <f>J67-BL13</f>
        <v>0</v>
      </c>
      <c r="BN13" s="100">
        <f t="shared" si="11"/>
        <v>0</v>
      </c>
      <c r="BP13" s="123"/>
    </row>
    <row r="14" spans="1:68" ht="20.100000000000001" customHeight="1">
      <c r="A14" s="14" t="s">
        <v>216</v>
      </c>
      <c r="B14" s="143" t="s">
        <v>475</v>
      </c>
      <c r="C14" s="5" t="s">
        <v>196</v>
      </c>
      <c r="D14" s="100"/>
      <c r="E14" s="100">
        <f t="shared" si="4"/>
        <v>0</v>
      </c>
      <c r="F14" s="100">
        <f t="shared" si="6"/>
        <v>0</v>
      </c>
      <c r="G14" s="100">
        <f t="shared" si="8"/>
        <v>0</v>
      </c>
      <c r="H14" s="100">
        <f t="shared" si="12"/>
        <v>0</v>
      </c>
      <c r="I14" s="100"/>
      <c r="J14" s="100"/>
      <c r="K14" s="100">
        <f>D14-BL14</f>
        <v>0</v>
      </c>
      <c r="L14" s="100"/>
      <c r="M14" s="100"/>
      <c r="N14" s="100"/>
      <c r="O14" s="100">
        <f t="shared" si="3"/>
        <v>0</v>
      </c>
      <c r="P14" s="100"/>
      <c r="Q14" s="100"/>
      <c r="R14" s="100"/>
      <c r="S14" s="100"/>
      <c r="T14" s="100"/>
      <c r="U14" s="100"/>
      <c r="V14" s="100">
        <f t="shared" si="13"/>
        <v>0</v>
      </c>
      <c r="W14" s="100"/>
      <c r="X14" s="100"/>
      <c r="Y14" s="100"/>
      <c r="Z14" s="100"/>
      <c r="AA14" s="100"/>
      <c r="AB14" s="100"/>
      <c r="AC14" s="100"/>
      <c r="AD14" s="100"/>
      <c r="AE14" s="100">
        <f t="shared" si="9"/>
        <v>0</v>
      </c>
      <c r="AF14" s="100"/>
      <c r="AG14" s="100"/>
      <c r="AH14" s="100"/>
      <c r="AI14" s="100"/>
      <c r="AJ14" s="100"/>
      <c r="AK14" s="100"/>
      <c r="AL14" s="100"/>
      <c r="AM14" s="100"/>
      <c r="AN14" s="100"/>
      <c r="AO14" s="100"/>
      <c r="AP14" s="100"/>
      <c r="AQ14" s="100"/>
      <c r="AR14" s="100"/>
      <c r="AS14" s="100"/>
      <c r="AT14" s="100"/>
      <c r="AU14" s="100"/>
      <c r="AV14" s="100"/>
      <c r="AW14" s="100"/>
      <c r="AX14" s="100"/>
      <c r="AY14" s="100"/>
      <c r="AZ14" s="100"/>
      <c r="BA14" s="100"/>
      <c r="BB14" s="100"/>
      <c r="BC14" s="100"/>
      <c r="BD14" s="100"/>
      <c r="BE14" s="100"/>
      <c r="BF14" s="100"/>
      <c r="BG14" s="100"/>
      <c r="BH14" s="100">
        <f t="shared" si="10"/>
        <v>0</v>
      </c>
      <c r="BI14" s="100"/>
      <c r="BJ14" s="100"/>
      <c r="BK14" s="100"/>
      <c r="BL14" s="100">
        <f>I14+J14+L14+M14+N14+O14+S14+T14+U14+V14+BH14</f>
        <v>0</v>
      </c>
      <c r="BM14" s="100">
        <f>K67-BL14</f>
        <v>0</v>
      </c>
      <c r="BN14" s="100">
        <f t="shared" si="11"/>
        <v>0</v>
      </c>
      <c r="BP14" s="123"/>
    </row>
    <row r="15" spans="1:68" ht="20.100000000000001" customHeight="1">
      <c r="A15" s="14" t="s">
        <v>217</v>
      </c>
      <c r="B15" s="143" t="s">
        <v>476</v>
      </c>
      <c r="C15" s="5" t="s">
        <v>197</v>
      </c>
      <c r="D15" s="100"/>
      <c r="E15" s="100">
        <f t="shared" si="4"/>
        <v>0</v>
      </c>
      <c r="F15" s="100">
        <f t="shared" si="6"/>
        <v>0</v>
      </c>
      <c r="G15" s="100">
        <f t="shared" si="8"/>
        <v>0</v>
      </c>
      <c r="H15" s="100">
        <f t="shared" si="12"/>
        <v>0</v>
      </c>
      <c r="I15" s="100"/>
      <c r="J15" s="100"/>
      <c r="K15" s="100"/>
      <c r="L15" s="100">
        <f>D15-BL15</f>
        <v>0</v>
      </c>
      <c r="M15" s="100"/>
      <c r="N15" s="100"/>
      <c r="O15" s="100">
        <f t="shared" si="3"/>
        <v>0</v>
      </c>
      <c r="P15" s="100"/>
      <c r="Q15" s="100"/>
      <c r="R15" s="100"/>
      <c r="S15" s="100"/>
      <c r="T15" s="100"/>
      <c r="U15" s="100"/>
      <c r="V15" s="100">
        <f t="shared" si="13"/>
        <v>0</v>
      </c>
      <c r="W15" s="100"/>
      <c r="X15" s="100"/>
      <c r="Y15" s="100"/>
      <c r="Z15" s="100"/>
      <c r="AA15" s="100"/>
      <c r="AB15" s="100"/>
      <c r="AC15" s="100"/>
      <c r="AD15" s="100"/>
      <c r="AE15" s="100">
        <f t="shared" si="9"/>
        <v>0</v>
      </c>
      <c r="AF15" s="100"/>
      <c r="AG15" s="100"/>
      <c r="AH15" s="100"/>
      <c r="AI15" s="100"/>
      <c r="AJ15" s="100"/>
      <c r="AK15" s="100"/>
      <c r="AL15" s="100"/>
      <c r="AM15" s="100"/>
      <c r="AN15" s="100"/>
      <c r="AO15" s="100"/>
      <c r="AP15" s="100"/>
      <c r="AQ15" s="100"/>
      <c r="AR15" s="100"/>
      <c r="AS15" s="100"/>
      <c r="AT15" s="100"/>
      <c r="AU15" s="100"/>
      <c r="AV15" s="100"/>
      <c r="AW15" s="100"/>
      <c r="AX15" s="100"/>
      <c r="AY15" s="100"/>
      <c r="AZ15" s="100"/>
      <c r="BA15" s="100"/>
      <c r="BB15" s="100"/>
      <c r="BC15" s="100"/>
      <c r="BD15" s="100"/>
      <c r="BE15" s="100"/>
      <c r="BF15" s="100"/>
      <c r="BG15" s="100"/>
      <c r="BH15" s="100">
        <f t="shared" si="10"/>
        <v>0</v>
      </c>
      <c r="BI15" s="100"/>
      <c r="BJ15" s="100"/>
      <c r="BK15" s="100"/>
      <c r="BL15" s="100">
        <f>H15+M15+N15+O15+S15+T15+U15+V15+BH15</f>
        <v>0</v>
      </c>
      <c r="BM15" s="100">
        <f>L67-BL15</f>
        <v>0</v>
      </c>
      <c r="BN15" s="100">
        <f t="shared" si="11"/>
        <v>0</v>
      </c>
      <c r="BP15" s="123"/>
    </row>
    <row r="16" spans="1:68" ht="20.100000000000001" customHeight="1">
      <c r="A16" s="14" t="s">
        <v>218</v>
      </c>
      <c r="B16" s="143" t="s">
        <v>22</v>
      </c>
      <c r="C16" s="5" t="s">
        <v>23</v>
      </c>
      <c r="D16" s="100"/>
      <c r="E16" s="100">
        <f t="shared" si="4"/>
        <v>0</v>
      </c>
      <c r="F16" s="100">
        <f t="shared" si="6"/>
        <v>0</v>
      </c>
      <c r="G16" s="100">
        <f t="shared" si="8"/>
        <v>0</v>
      </c>
      <c r="H16" s="100">
        <f t="shared" si="12"/>
        <v>0</v>
      </c>
      <c r="I16" s="100"/>
      <c r="J16" s="100"/>
      <c r="K16" s="100"/>
      <c r="L16" s="100"/>
      <c r="M16" s="100">
        <f>D16-BL16</f>
        <v>0</v>
      </c>
      <c r="N16" s="100"/>
      <c r="O16" s="100">
        <f t="shared" si="3"/>
        <v>0</v>
      </c>
      <c r="P16" s="100"/>
      <c r="Q16" s="100"/>
      <c r="R16" s="100"/>
      <c r="S16" s="100"/>
      <c r="T16" s="100"/>
      <c r="U16" s="100"/>
      <c r="V16" s="100">
        <f t="shared" si="13"/>
        <v>0</v>
      </c>
      <c r="W16" s="100"/>
      <c r="X16" s="100"/>
      <c r="Y16" s="100"/>
      <c r="Z16" s="100"/>
      <c r="AA16" s="100"/>
      <c r="AB16" s="100"/>
      <c r="AC16" s="100"/>
      <c r="AD16" s="100"/>
      <c r="AE16" s="100">
        <f t="shared" si="9"/>
        <v>0</v>
      </c>
      <c r="AF16" s="100"/>
      <c r="AG16" s="100"/>
      <c r="AH16" s="100"/>
      <c r="AI16" s="100"/>
      <c r="AJ16" s="100"/>
      <c r="AK16" s="100"/>
      <c r="AL16" s="100"/>
      <c r="AM16" s="100"/>
      <c r="AN16" s="100"/>
      <c r="AO16" s="100"/>
      <c r="AP16" s="100"/>
      <c r="AQ16" s="100"/>
      <c r="AR16" s="100"/>
      <c r="AS16" s="100"/>
      <c r="AT16" s="100"/>
      <c r="AU16" s="100"/>
      <c r="AV16" s="100"/>
      <c r="AW16" s="100"/>
      <c r="AX16" s="100"/>
      <c r="AY16" s="100"/>
      <c r="AZ16" s="100"/>
      <c r="BA16" s="100"/>
      <c r="BB16" s="100"/>
      <c r="BC16" s="100"/>
      <c r="BD16" s="100"/>
      <c r="BE16" s="100"/>
      <c r="BF16" s="100"/>
      <c r="BG16" s="100"/>
      <c r="BH16" s="100">
        <f t="shared" si="10"/>
        <v>0</v>
      </c>
      <c r="BI16" s="100"/>
      <c r="BJ16" s="100"/>
      <c r="BK16" s="100"/>
      <c r="BL16" s="100">
        <f>H16+L16+N16+S16+T16+U16+V16+BH16</f>
        <v>0</v>
      </c>
      <c r="BM16" s="100">
        <f>M67-BL16</f>
        <v>0</v>
      </c>
      <c r="BN16" s="100">
        <f t="shared" si="11"/>
        <v>0</v>
      </c>
      <c r="BP16" s="123"/>
    </row>
    <row r="17" spans="1:68" ht="20.100000000000001" customHeight="1">
      <c r="A17" s="14" t="s">
        <v>219</v>
      </c>
      <c r="B17" s="143" t="s">
        <v>25</v>
      </c>
      <c r="C17" s="5" t="s">
        <v>26</v>
      </c>
      <c r="D17" s="100"/>
      <c r="E17" s="100">
        <f t="shared" si="4"/>
        <v>0</v>
      </c>
      <c r="F17" s="100">
        <f t="shared" si="6"/>
        <v>0</v>
      </c>
      <c r="G17" s="100">
        <f t="shared" si="8"/>
        <v>0</v>
      </c>
      <c r="H17" s="100">
        <f t="shared" si="12"/>
        <v>0</v>
      </c>
      <c r="I17" s="100"/>
      <c r="J17" s="100"/>
      <c r="K17" s="100"/>
      <c r="L17" s="100"/>
      <c r="M17" s="100"/>
      <c r="N17" s="100">
        <f>D17-BL17</f>
        <v>0</v>
      </c>
      <c r="O17" s="100">
        <f t="shared" si="3"/>
        <v>0</v>
      </c>
      <c r="P17" s="100"/>
      <c r="Q17" s="100"/>
      <c r="R17" s="100"/>
      <c r="S17" s="100"/>
      <c r="T17" s="100"/>
      <c r="U17" s="100"/>
      <c r="V17" s="100">
        <f t="shared" si="13"/>
        <v>0</v>
      </c>
      <c r="W17" s="100"/>
      <c r="X17" s="100"/>
      <c r="Y17" s="100"/>
      <c r="Z17" s="100"/>
      <c r="AA17" s="100"/>
      <c r="AB17" s="100"/>
      <c r="AC17" s="100"/>
      <c r="AD17" s="100"/>
      <c r="AE17" s="100">
        <f t="shared" si="9"/>
        <v>0</v>
      </c>
      <c r="AF17" s="100"/>
      <c r="AG17" s="100"/>
      <c r="AH17" s="100"/>
      <c r="AI17" s="100"/>
      <c r="AJ17" s="100"/>
      <c r="AK17" s="100"/>
      <c r="AL17" s="100"/>
      <c r="AM17" s="100"/>
      <c r="AN17" s="100"/>
      <c r="AO17" s="100"/>
      <c r="AP17" s="100"/>
      <c r="AQ17" s="100"/>
      <c r="AR17" s="100"/>
      <c r="AS17" s="100"/>
      <c r="AT17" s="100"/>
      <c r="AU17" s="100"/>
      <c r="AV17" s="100"/>
      <c r="AW17" s="100"/>
      <c r="AX17" s="100"/>
      <c r="AY17" s="100"/>
      <c r="AZ17" s="100"/>
      <c r="BA17" s="100"/>
      <c r="BB17" s="100"/>
      <c r="BC17" s="100"/>
      <c r="BD17" s="100"/>
      <c r="BE17" s="100"/>
      <c r="BF17" s="100"/>
      <c r="BG17" s="100"/>
      <c r="BH17" s="100">
        <f t="shared" si="10"/>
        <v>0</v>
      </c>
      <c r="BI17" s="100"/>
      <c r="BJ17" s="100"/>
      <c r="BK17" s="100"/>
      <c r="BL17" s="100">
        <f>H17+L17+M17+O17+S17+T17+U17+V17+BH17</f>
        <v>0</v>
      </c>
      <c r="BM17" s="100">
        <f>N67-BL17</f>
        <v>0</v>
      </c>
      <c r="BN17" s="100">
        <f t="shared" si="11"/>
        <v>0</v>
      </c>
      <c r="BP17" s="123"/>
    </row>
    <row r="18" spans="1:68" ht="20.100000000000001" customHeight="1">
      <c r="A18" s="14" t="s">
        <v>21</v>
      </c>
      <c r="B18" s="143" t="s">
        <v>477</v>
      </c>
      <c r="C18" s="5" t="s">
        <v>198</v>
      </c>
      <c r="D18" s="100">
        <f>D19+D20+D21</f>
        <v>0</v>
      </c>
      <c r="E18" s="100">
        <f t="shared" si="4"/>
        <v>0</v>
      </c>
      <c r="F18" s="100">
        <f t="shared" si="6"/>
        <v>0</v>
      </c>
      <c r="G18" s="100">
        <f t="shared" si="8"/>
        <v>0</v>
      </c>
      <c r="H18" s="100">
        <f t="shared" si="12"/>
        <v>0</v>
      </c>
      <c r="I18" s="100">
        <f t="shared" ref="I18:N18" si="14">I19+I20+I21</f>
        <v>0</v>
      </c>
      <c r="J18" s="100">
        <f t="shared" si="14"/>
        <v>0</v>
      </c>
      <c r="K18" s="100">
        <f t="shared" si="14"/>
        <v>0</v>
      </c>
      <c r="L18" s="100">
        <f t="shared" si="14"/>
        <v>0</v>
      </c>
      <c r="M18" s="100">
        <f t="shared" si="14"/>
        <v>0</v>
      </c>
      <c r="N18" s="100">
        <f t="shared" si="14"/>
        <v>0</v>
      </c>
      <c r="O18" s="100">
        <f>D18-BL18</f>
        <v>0</v>
      </c>
      <c r="P18" s="100">
        <f t="shared" ref="P18:BG18" si="15">P19+P20+P21</f>
        <v>0</v>
      </c>
      <c r="Q18" s="100">
        <f t="shared" si="15"/>
        <v>0</v>
      </c>
      <c r="R18" s="100">
        <f t="shared" si="15"/>
        <v>0</v>
      </c>
      <c r="S18" s="100">
        <f t="shared" si="15"/>
        <v>0</v>
      </c>
      <c r="T18" s="100">
        <f t="shared" si="15"/>
        <v>0</v>
      </c>
      <c r="U18" s="100">
        <f t="shared" si="15"/>
        <v>0</v>
      </c>
      <c r="V18" s="100">
        <f t="shared" si="15"/>
        <v>0</v>
      </c>
      <c r="W18" s="100">
        <f t="shared" si="15"/>
        <v>0</v>
      </c>
      <c r="X18" s="100">
        <f t="shared" si="15"/>
        <v>0</v>
      </c>
      <c r="Y18" s="100">
        <f t="shared" si="15"/>
        <v>0</v>
      </c>
      <c r="Z18" s="100">
        <f t="shared" si="15"/>
        <v>0</v>
      </c>
      <c r="AA18" s="100">
        <f t="shared" si="15"/>
        <v>0</v>
      </c>
      <c r="AB18" s="100">
        <f t="shared" si="15"/>
        <v>0</v>
      </c>
      <c r="AC18" s="100">
        <f t="shared" si="15"/>
        <v>0</v>
      </c>
      <c r="AD18" s="100">
        <f t="shared" si="15"/>
        <v>0</v>
      </c>
      <c r="AE18" s="100">
        <f t="shared" si="15"/>
        <v>0</v>
      </c>
      <c r="AF18" s="100">
        <f t="shared" si="15"/>
        <v>0</v>
      </c>
      <c r="AG18" s="100">
        <f t="shared" si="15"/>
        <v>0</v>
      </c>
      <c r="AH18" s="100">
        <f t="shared" si="15"/>
        <v>0</v>
      </c>
      <c r="AI18" s="100">
        <f t="shared" si="15"/>
        <v>0</v>
      </c>
      <c r="AJ18" s="100">
        <f t="shared" si="15"/>
        <v>0</v>
      </c>
      <c r="AK18" s="100">
        <f t="shared" si="15"/>
        <v>0</v>
      </c>
      <c r="AL18" s="100">
        <f t="shared" si="15"/>
        <v>0</v>
      </c>
      <c r="AM18" s="100">
        <f t="shared" si="15"/>
        <v>0</v>
      </c>
      <c r="AN18" s="100">
        <f t="shared" si="15"/>
        <v>0</v>
      </c>
      <c r="AO18" s="100">
        <f t="shared" si="15"/>
        <v>0</v>
      </c>
      <c r="AP18" s="100">
        <f t="shared" si="15"/>
        <v>0</v>
      </c>
      <c r="AQ18" s="100">
        <f t="shared" si="15"/>
        <v>0</v>
      </c>
      <c r="AR18" s="100">
        <f t="shared" si="15"/>
        <v>0</v>
      </c>
      <c r="AS18" s="100">
        <f t="shared" si="15"/>
        <v>0</v>
      </c>
      <c r="AT18" s="100">
        <f t="shared" si="15"/>
        <v>0</v>
      </c>
      <c r="AU18" s="100">
        <f t="shared" si="15"/>
        <v>0</v>
      </c>
      <c r="AV18" s="100">
        <f t="shared" si="15"/>
        <v>0</v>
      </c>
      <c r="AW18" s="100">
        <f t="shared" si="15"/>
        <v>0</v>
      </c>
      <c r="AX18" s="100">
        <f t="shared" si="15"/>
        <v>0</v>
      </c>
      <c r="AY18" s="100">
        <f t="shared" si="15"/>
        <v>0</v>
      </c>
      <c r="AZ18" s="100">
        <f t="shared" si="15"/>
        <v>0</v>
      </c>
      <c r="BA18" s="100">
        <f t="shared" si="15"/>
        <v>0</v>
      </c>
      <c r="BB18" s="100">
        <f t="shared" si="15"/>
        <v>0</v>
      </c>
      <c r="BC18" s="100">
        <f t="shared" si="15"/>
        <v>0</v>
      </c>
      <c r="BD18" s="100">
        <f t="shared" si="15"/>
        <v>0</v>
      </c>
      <c r="BE18" s="100">
        <f t="shared" si="15"/>
        <v>0</v>
      </c>
      <c r="BF18" s="100">
        <f t="shared" si="15"/>
        <v>0</v>
      </c>
      <c r="BG18" s="100">
        <f t="shared" si="15"/>
        <v>0</v>
      </c>
      <c r="BH18" s="100">
        <f>BH19+BH20+BH21</f>
        <v>0</v>
      </c>
      <c r="BI18" s="100">
        <f>BI19+BI20+BI21</f>
        <v>0</v>
      </c>
      <c r="BJ18" s="100">
        <f>BJ19+BJ20+BJ21</f>
        <v>0</v>
      </c>
      <c r="BK18" s="100">
        <f>BK19+BK20+BK21</f>
        <v>0</v>
      </c>
      <c r="BL18" s="100">
        <f>F18+S18+T18+U18+BH18+V18</f>
        <v>0</v>
      </c>
      <c r="BM18" s="100">
        <f>O67-BL18</f>
        <v>0</v>
      </c>
      <c r="BN18" s="100">
        <f>BN19+BN20+BN21</f>
        <v>0</v>
      </c>
      <c r="BP18" s="123"/>
    </row>
    <row r="19" spans="1:68" ht="20.100000000000001" customHeight="1">
      <c r="A19" s="14" t="s">
        <v>182</v>
      </c>
      <c r="B19" s="143" t="s">
        <v>28</v>
      </c>
      <c r="C19" s="5" t="s">
        <v>29</v>
      </c>
      <c r="D19" s="100"/>
      <c r="E19" s="100">
        <f>F19+O19+S19+T19+U19</f>
        <v>0</v>
      </c>
      <c r="F19" s="100">
        <f>G19+N19</f>
        <v>0</v>
      </c>
      <c r="G19" s="100">
        <f>H19+L19+M19</f>
        <v>0</v>
      </c>
      <c r="H19" s="100">
        <f t="shared" si="12"/>
        <v>0</v>
      </c>
      <c r="I19" s="100"/>
      <c r="J19" s="100"/>
      <c r="K19" s="100"/>
      <c r="L19" s="100"/>
      <c r="M19" s="100"/>
      <c r="N19" s="100"/>
      <c r="O19" s="100">
        <f t="shared" ref="O19:O24" si="16">P19+Q19+R19</f>
        <v>0</v>
      </c>
      <c r="P19" s="100">
        <f>D19-BL19</f>
        <v>0</v>
      </c>
      <c r="Q19" s="100"/>
      <c r="R19" s="100"/>
      <c r="S19" s="100"/>
      <c r="T19" s="100"/>
      <c r="U19" s="100"/>
      <c r="V19" s="100">
        <f t="shared" si="13"/>
        <v>0</v>
      </c>
      <c r="W19" s="100"/>
      <c r="X19" s="100"/>
      <c r="Y19" s="100"/>
      <c r="Z19" s="100"/>
      <c r="AA19" s="100"/>
      <c r="AB19" s="100"/>
      <c r="AC19" s="100"/>
      <c r="AD19" s="100"/>
      <c r="AE19" s="100">
        <f t="shared" si="9"/>
        <v>0</v>
      </c>
      <c r="AF19" s="100"/>
      <c r="AG19" s="100"/>
      <c r="AH19" s="100"/>
      <c r="AI19" s="100"/>
      <c r="AJ19" s="100"/>
      <c r="AK19" s="100"/>
      <c r="AL19" s="100"/>
      <c r="AM19" s="100"/>
      <c r="AN19" s="100"/>
      <c r="AO19" s="100"/>
      <c r="AP19" s="100"/>
      <c r="AQ19" s="100"/>
      <c r="AR19" s="100"/>
      <c r="AS19" s="100"/>
      <c r="AT19" s="100"/>
      <c r="AU19" s="100"/>
      <c r="AV19" s="100"/>
      <c r="AW19" s="100"/>
      <c r="AX19" s="100"/>
      <c r="AY19" s="100"/>
      <c r="AZ19" s="100"/>
      <c r="BA19" s="100"/>
      <c r="BB19" s="100"/>
      <c r="BC19" s="100"/>
      <c r="BD19" s="100"/>
      <c r="BE19" s="100"/>
      <c r="BF19" s="100"/>
      <c r="BG19" s="100"/>
      <c r="BH19" s="100">
        <f t="shared" ref="BH19:BH24" si="17">BI19+BJ19+BK19</f>
        <v>0</v>
      </c>
      <c r="BI19" s="100"/>
      <c r="BJ19" s="100"/>
      <c r="BK19" s="100"/>
      <c r="BL19" s="100">
        <f>F19+Q19+R19+S19+T19+U19+V19+BH19</f>
        <v>0</v>
      </c>
      <c r="BM19" s="100">
        <f>P67-BL19</f>
        <v>0</v>
      </c>
      <c r="BN19" s="100">
        <f t="shared" ref="BN19:BN24" si="18">D19+BM19</f>
        <v>0</v>
      </c>
      <c r="BP19" s="123"/>
    </row>
    <row r="20" spans="1:68" ht="20.100000000000001" customHeight="1">
      <c r="A20" s="14" t="s">
        <v>183</v>
      </c>
      <c r="B20" s="143" t="s">
        <v>31</v>
      </c>
      <c r="C20" s="5" t="s">
        <v>32</v>
      </c>
      <c r="D20" s="100"/>
      <c r="E20" s="100">
        <f t="shared" si="4"/>
        <v>0</v>
      </c>
      <c r="F20" s="100">
        <f t="shared" si="6"/>
        <v>0</v>
      </c>
      <c r="G20" s="100">
        <f t="shared" si="8"/>
        <v>0</v>
      </c>
      <c r="H20" s="100">
        <f t="shared" si="12"/>
        <v>0</v>
      </c>
      <c r="I20" s="100"/>
      <c r="J20" s="100"/>
      <c r="K20" s="100"/>
      <c r="L20" s="100"/>
      <c r="M20" s="100"/>
      <c r="N20" s="100"/>
      <c r="O20" s="100">
        <f t="shared" si="16"/>
        <v>0</v>
      </c>
      <c r="P20" s="100"/>
      <c r="Q20" s="100">
        <f>D20-BL20</f>
        <v>0</v>
      </c>
      <c r="R20" s="100"/>
      <c r="S20" s="100"/>
      <c r="T20" s="100"/>
      <c r="U20" s="100"/>
      <c r="V20" s="100">
        <f t="shared" si="13"/>
        <v>0</v>
      </c>
      <c r="W20" s="100"/>
      <c r="X20" s="100"/>
      <c r="Y20" s="100"/>
      <c r="Z20" s="100"/>
      <c r="AA20" s="100"/>
      <c r="AB20" s="100"/>
      <c r="AC20" s="100"/>
      <c r="AD20" s="100"/>
      <c r="AE20" s="100">
        <f t="shared" si="9"/>
        <v>0</v>
      </c>
      <c r="AF20" s="100"/>
      <c r="AG20" s="100"/>
      <c r="AH20" s="100"/>
      <c r="AI20" s="100"/>
      <c r="AJ20" s="100"/>
      <c r="AK20" s="100"/>
      <c r="AL20" s="100"/>
      <c r="AM20" s="100"/>
      <c r="AN20" s="100"/>
      <c r="AO20" s="100"/>
      <c r="AP20" s="100"/>
      <c r="AQ20" s="100"/>
      <c r="AR20" s="100"/>
      <c r="AS20" s="100"/>
      <c r="AT20" s="100"/>
      <c r="AU20" s="100"/>
      <c r="AV20" s="100"/>
      <c r="AW20" s="100"/>
      <c r="AX20" s="100"/>
      <c r="AY20" s="100"/>
      <c r="AZ20" s="100"/>
      <c r="BA20" s="100"/>
      <c r="BB20" s="100"/>
      <c r="BC20" s="100"/>
      <c r="BD20" s="100"/>
      <c r="BE20" s="100"/>
      <c r="BF20" s="100"/>
      <c r="BG20" s="100"/>
      <c r="BH20" s="100">
        <f t="shared" si="17"/>
        <v>0</v>
      </c>
      <c r="BI20" s="100"/>
      <c r="BJ20" s="100"/>
      <c r="BK20" s="100"/>
      <c r="BL20" s="100">
        <f>F20+P20+R20+S20+T20+U20+V20+BH20</f>
        <v>0</v>
      </c>
      <c r="BM20" s="100">
        <f>Q67-BL20</f>
        <v>0</v>
      </c>
      <c r="BN20" s="100">
        <f t="shared" si="18"/>
        <v>0</v>
      </c>
      <c r="BP20" s="123"/>
    </row>
    <row r="21" spans="1:68" ht="20.100000000000001" customHeight="1">
      <c r="A21" s="14" t="s">
        <v>184</v>
      </c>
      <c r="B21" s="143" t="s">
        <v>34</v>
      </c>
      <c r="C21" s="5" t="s">
        <v>35</v>
      </c>
      <c r="D21" s="100"/>
      <c r="E21" s="100">
        <f t="shared" si="4"/>
        <v>0</v>
      </c>
      <c r="F21" s="100">
        <f>G21+N21</f>
        <v>0</v>
      </c>
      <c r="G21" s="100">
        <f t="shared" si="8"/>
        <v>0</v>
      </c>
      <c r="H21" s="100">
        <f t="shared" si="12"/>
        <v>0</v>
      </c>
      <c r="I21" s="100"/>
      <c r="J21" s="100"/>
      <c r="K21" s="100"/>
      <c r="L21" s="100"/>
      <c r="M21" s="100"/>
      <c r="N21" s="100"/>
      <c r="O21" s="100">
        <f t="shared" si="16"/>
        <v>0</v>
      </c>
      <c r="P21" s="100"/>
      <c r="Q21" s="100"/>
      <c r="R21" s="100">
        <f>D21-BL21</f>
        <v>0</v>
      </c>
      <c r="S21" s="100"/>
      <c r="T21" s="100"/>
      <c r="U21" s="100"/>
      <c r="V21" s="100">
        <f t="shared" si="13"/>
        <v>0</v>
      </c>
      <c r="W21" s="100"/>
      <c r="X21" s="100"/>
      <c r="Y21" s="100"/>
      <c r="Z21" s="100"/>
      <c r="AA21" s="100"/>
      <c r="AB21" s="100"/>
      <c r="AC21" s="100"/>
      <c r="AD21" s="100"/>
      <c r="AE21" s="100">
        <f t="shared" si="9"/>
        <v>0</v>
      </c>
      <c r="AF21" s="100"/>
      <c r="AG21" s="100"/>
      <c r="AH21" s="100"/>
      <c r="AI21" s="100"/>
      <c r="AJ21" s="100"/>
      <c r="AK21" s="100"/>
      <c r="AL21" s="100"/>
      <c r="AM21" s="100"/>
      <c r="AN21" s="100"/>
      <c r="AO21" s="100"/>
      <c r="AP21" s="100"/>
      <c r="AQ21" s="100"/>
      <c r="AR21" s="100"/>
      <c r="AS21" s="100"/>
      <c r="AT21" s="100"/>
      <c r="AU21" s="100"/>
      <c r="AV21" s="100"/>
      <c r="AW21" s="100"/>
      <c r="AX21" s="100"/>
      <c r="AY21" s="100"/>
      <c r="AZ21" s="100"/>
      <c r="BA21" s="100"/>
      <c r="BB21" s="100"/>
      <c r="BC21" s="100"/>
      <c r="BD21" s="100"/>
      <c r="BE21" s="100"/>
      <c r="BF21" s="100"/>
      <c r="BG21" s="100"/>
      <c r="BH21" s="100">
        <f t="shared" si="17"/>
        <v>0</v>
      </c>
      <c r="BI21" s="100"/>
      <c r="BJ21" s="100"/>
      <c r="BK21" s="100"/>
      <c r="BL21" s="100">
        <f>F21+P21+Q21+S21+T21+U21+V21+BH21</f>
        <v>0</v>
      </c>
      <c r="BM21" s="100">
        <f>R67-BL21</f>
        <v>0</v>
      </c>
      <c r="BN21" s="100">
        <f t="shared" si="18"/>
        <v>0</v>
      </c>
      <c r="BP21" s="123"/>
    </row>
    <row r="22" spans="1:68" ht="20.100000000000001" customHeight="1">
      <c r="A22" s="14" t="s">
        <v>24</v>
      </c>
      <c r="B22" s="143" t="s">
        <v>37</v>
      </c>
      <c r="C22" s="5" t="s">
        <v>38</v>
      </c>
      <c r="D22" s="100"/>
      <c r="E22" s="100">
        <f>F22+O22+S22+T22+U22</f>
        <v>0</v>
      </c>
      <c r="F22" s="100">
        <f t="shared" si="6"/>
        <v>0</v>
      </c>
      <c r="G22" s="100">
        <f t="shared" si="8"/>
        <v>0</v>
      </c>
      <c r="H22" s="100">
        <f t="shared" si="12"/>
        <v>0</v>
      </c>
      <c r="I22" s="100"/>
      <c r="J22" s="100"/>
      <c r="K22" s="100"/>
      <c r="L22" s="100"/>
      <c r="M22" s="100"/>
      <c r="N22" s="100"/>
      <c r="O22" s="100">
        <f t="shared" si="16"/>
        <v>0</v>
      </c>
      <c r="P22" s="100"/>
      <c r="Q22" s="100"/>
      <c r="R22" s="100"/>
      <c r="S22" s="100">
        <f>D22-BL22</f>
        <v>0</v>
      </c>
      <c r="T22" s="100"/>
      <c r="U22" s="100"/>
      <c r="V22" s="100">
        <f t="shared" si="13"/>
        <v>0</v>
      </c>
      <c r="W22" s="100"/>
      <c r="X22" s="100"/>
      <c r="Y22" s="100"/>
      <c r="Z22" s="100"/>
      <c r="AA22" s="100"/>
      <c r="AB22" s="100"/>
      <c r="AC22" s="100"/>
      <c r="AD22" s="100"/>
      <c r="AE22" s="100">
        <f t="shared" si="9"/>
        <v>0</v>
      </c>
      <c r="AF22" s="100"/>
      <c r="AG22" s="100"/>
      <c r="AH22" s="100"/>
      <c r="AI22" s="100"/>
      <c r="AJ22" s="100"/>
      <c r="AK22" s="100"/>
      <c r="AL22" s="100"/>
      <c r="AM22" s="100"/>
      <c r="AN22" s="100"/>
      <c r="AO22" s="100"/>
      <c r="AP22" s="100"/>
      <c r="AQ22" s="100"/>
      <c r="AR22" s="100"/>
      <c r="AS22" s="100"/>
      <c r="AT22" s="100"/>
      <c r="AU22" s="100"/>
      <c r="AV22" s="100"/>
      <c r="AW22" s="100"/>
      <c r="AX22" s="100"/>
      <c r="AY22" s="100"/>
      <c r="AZ22" s="100"/>
      <c r="BA22" s="100"/>
      <c r="BB22" s="100"/>
      <c r="BC22" s="100"/>
      <c r="BD22" s="100"/>
      <c r="BE22" s="100"/>
      <c r="BF22" s="100"/>
      <c r="BG22" s="100"/>
      <c r="BH22" s="100">
        <f t="shared" si="17"/>
        <v>0</v>
      </c>
      <c r="BI22" s="100"/>
      <c r="BJ22" s="100"/>
      <c r="BK22" s="100"/>
      <c r="BL22" s="100">
        <f>G22+O22+T22+U22+V22+BH22</f>
        <v>0</v>
      </c>
      <c r="BM22" s="100">
        <f>S67-BL22</f>
        <v>0</v>
      </c>
      <c r="BN22" s="100">
        <f t="shared" si="18"/>
        <v>0</v>
      </c>
      <c r="BP22" s="123"/>
    </row>
    <row r="23" spans="1:68" ht="20.100000000000001" customHeight="1">
      <c r="A23" s="14" t="s">
        <v>27</v>
      </c>
      <c r="B23" s="143" t="s">
        <v>40</v>
      </c>
      <c r="C23" s="5" t="s">
        <v>41</v>
      </c>
      <c r="D23" s="100"/>
      <c r="E23" s="100">
        <f t="shared" si="4"/>
        <v>0</v>
      </c>
      <c r="F23" s="100">
        <f t="shared" si="6"/>
        <v>0</v>
      </c>
      <c r="G23" s="100">
        <f t="shared" si="8"/>
        <v>0</v>
      </c>
      <c r="H23" s="100">
        <f t="shared" si="12"/>
        <v>0</v>
      </c>
      <c r="I23" s="100"/>
      <c r="J23" s="100"/>
      <c r="K23" s="100"/>
      <c r="L23" s="100"/>
      <c r="M23" s="100"/>
      <c r="N23" s="100"/>
      <c r="O23" s="100">
        <f t="shared" si="16"/>
        <v>0</v>
      </c>
      <c r="P23" s="100"/>
      <c r="Q23" s="100"/>
      <c r="R23" s="100"/>
      <c r="S23" s="100"/>
      <c r="T23" s="100">
        <f>D23-BL23</f>
        <v>0</v>
      </c>
      <c r="U23" s="100"/>
      <c r="V23" s="100">
        <f t="shared" si="13"/>
        <v>0</v>
      </c>
      <c r="W23" s="100"/>
      <c r="X23" s="100"/>
      <c r="Y23" s="100"/>
      <c r="Z23" s="100"/>
      <c r="AA23" s="100"/>
      <c r="AB23" s="100"/>
      <c r="AC23" s="100"/>
      <c r="AD23" s="100"/>
      <c r="AE23" s="100">
        <f t="shared" si="9"/>
        <v>0</v>
      </c>
      <c r="AF23" s="100"/>
      <c r="AG23" s="100"/>
      <c r="AH23" s="100"/>
      <c r="AI23" s="100"/>
      <c r="AJ23" s="100"/>
      <c r="AK23" s="100"/>
      <c r="AL23" s="100"/>
      <c r="AM23" s="100"/>
      <c r="AN23" s="100"/>
      <c r="AO23" s="100"/>
      <c r="AP23" s="100"/>
      <c r="AQ23" s="100"/>
      <c r="AR23" s="100"/>
      <c r="AS23" s="100"/>
      <c r="AT23" s="100"/>
      <c r="AU23" s="100"/>
      <c r="AV23" s="100"/>
      <c r="AW23" s="100"/>
      <c r="AX23" s="100"/>
      <c r="AY23" s="100"/>
      <c r="AZ23" s="100"/>
      <c r="BA23" s="100"/>
      <c r="BB23" s="100"/>
      <c r="BC23" s="100"/>
      <c r="BD23" s="100"/>
      <c r="BE23" s="100"/>
      <c r="BF23" s="100"/>
      <c r="BG23" s="100"/>
      <c r="BH23" s="100">
        <f t="shared" si="17"/>
        <v>0</v>
      </c>
      <c r="BI23" s="100"/>
      <c r="BJ23" s="100"/>
      <c r="BK23" s="100"/>
      <c r="BL23" s="100">
        <f>F23+O23+S23+U23+V23+BH23</f>
        <v>0</v>
      </c>
      <c r="BM23" s="100">
        <f>T67-BL23</f>
        <v>0</v>
      </c>
      <c r="BN23" s="100">
        <f t="shared" si="18"/>
        <v>0</v>
      </c>
      <c r="BP23" s="123"/>
    </row>
    <row r="24" spans="1:68" ht="20.100000000000001" customHeight="1">
      <c r="A24" s="14" t="s">
        <v>30</v>
      </c>
      <c r="B24" s="143" t="s">
        <v>43</v>
      </c>
      <c r="C24" s="5" t="s">
        <v>44</v>
      </c>
      <c r="D24" s="100"/>
      <c r="E24" s="100">
        <f t="shared" si="4"/>
        <v>0</v>
      </c>
      <c r="F24" s="100">
        <f t="shared" si="6"/>
        <v>0</v>
      </c>
      <c r="G24" s="100">
        <f t="shared" si="8"/>
        <v>0</v>
      </c>
      <c r="H24" s="100">
        <f t="shared" si="12"/>
        <v>0</v>
      </c>
      <c r="I24" s="100"/>
      <c r="J24" s="100"/>
      <c r="K24" s="100"/>
      <c r="L24" s="100"/>
      <c r="M24" s="100"/>
      <c r="N24" s="100"/>
      <c r="O24" s="100">
        <f t="shared" si="16"/>
        <v>0</v>
      </c>
      <c r="P24" s="100"/>
      <c r="Q24" s="100"/>
      <c r="R24" s="100"/>
      <c r="S24" s="100"/>
      <c r="T24" s="100"/>
      <c r="U24" s="100">
        <f>D24-BL24</f>
        <v>0</v>
      </c>
      <c r="V24" s="100">
        <f t="shared" si="13"/>
        <v>0</v>
      </c>
      <c r="W24" s="100"/>
      <c r="X24" s="100"/>
      <c r="Y24" s="100"/>
      <c r="Z24" s="100"/>
      <c r="AA24" s="100"/>
      <c r="AB24" s="100"/>
      <c r="AC24" s="100"/>
      <c r="AD24" s="100"/>
      <c r="AE24" s="100">
        <f t="shared" si="9"/>
        <v>0</v>
      </c>
      <c r="AF24" s="100"/>
      <c r="AG24" s="100"/>
      <c r="AH24" s="100"/>
      <c r="AI24" s="100"/>
      <c r="AJ24" s="100"/>
      <c r="AK24" s="100"/>
      <c r="AL24" s="100"/>
      <c r="AM24" s="100"/>
      <c r="AN24" s="100"/>
      <c r="AO24" s="100"/>
      <c r="AP24" s="100"/>
      <c r="AQ24" s="100"/>
      <c r="AR24" s="100"/>
      <c r="AS24" s="100"/>
      <c r="AT24" s="100"/>
      <c r="AU24" s="100"/>
      <c r="AV24" s="100"/>
      <c r="AW24" s="100"/>
      <c r="AX24" s="100"/>
      <c r="AY24" s="100"/>
      <c r="AZ24" s="100"/>
      <c r="BA24" s="100"/>
      <c r="BB24" s="100"/>
      <c r="BC24" s="100"/>
      <c r="BD24" s="100"/>
      <c r="BE24" s="100"/>
      <c r="BF24" s="100"/>
      <c r="BG24" s="100"/>
      <c r="BH24" s="100">
        <f t="shared" si="17"/>
        <v>0</v>
      </c>
      <c r="BI24" s="100"/>
      <c r="BJ24" s="100"/>
      <c r="BK24" s="100"/>
      <c r="BL24" s="100">
        <f>F24+O24+S24+T24+BH24</f>
        <v>0</v>
      </c>
      <c r="BM24" s="100">
        <f>U67-BL24</f>
        <v>0</v>
      </c>
      <c r="BN24" s="100">
        <f t="shared" si="18"/>
        <v>0</v>
      </c>
      <c r="BP24" s="123"/>
    </row>
    <row r="25" spans="1:68" s="115" customFormat="1" ht="25.5" customHeight="1">
      <c r="A25" s="388">
        <v>2</v>
      </c>
      <c r="B25" s="142" t="s">
        <v>45</v>
      </c>
      <c r="C25" s="6" t="s">
        <v>46</v>
      </c>
      <c r="D25" s="175">
        <f>D26+D27+D28+D29+D30+D31+D32+D33+D34+D46+D47+D48+D49+D50+D51+D52+D53+D54+D55+D56+D57+D58+D59+D60+D61+D62</f>
        <v>101.72</v>
      </c>
      <c r="E25" s="175">
        <f>E26+E27+E28+E29+E30+E31+E32+E33+E34+E46+E47+E48+E49+E50+E51+E52+E53+E54+E55+E56+E57+E58+E59+E60+E61+E62</f>
        <v>0</v>
      </c>
      <c r="F25" s="175">
        <f t="shared" ref="F25:U25" si="19">F26+F27+F28+F29+F30+F31+F32+F33+F34+F46+F47+F48+F49+F50+F51+F52+F53+F54+F55+F56+F57+F58+F59+F60+F61+F62</f>
        <v>0</v>
      </c>
      <c r="G25" s="175">
        <f t="shared" si="19"/>
        <v>0</v>
      </c>
      <c r="H25" s="175">
        <f t="shared" si="19"/>
        <v>0</v>
      </c>
      <c r="I25" s="175">
        <f t="shared" si="19"/>
        <v>0</v>
      </c>
      <c r="J25" s="175">
        <f t="shared" si="19"/>
        <v>0</v>
      </c>
      <c r="K25" s="175">
        <f t="shared" si="19"/>
        <v>0</v>
      </c>
      <c r="L25" s="175">
        <f t="shared" si="19"/>
        <v>0</v>
      </c>
      <c r="M25" s="175">
        <f t="shared" si="19"/>
        <v>0</v>
      </c>
      <c r="N25" s="175">
        <f t="shared" si="19"/>
        <v>0</v>
      </c>
      <c r="O25" s="175">
        <f t="shared" si="19"/>
        <v>0</v>
      </c>
      <c r="P25" s="175">
        <f t="shared" si="19"/>
        <v>0</v>
      </c>
      <c r="Q25" s="175">
        <f t="shared" si="19"/>
        <v>0</v>
      </c>
      <c r="R25" s="175">
        <f t="shared" si="19"/>
        <v>0</v>
      </c>
      <c r="S25" s="175">
        <f t="shared" si="19"/>
        <v>0</v>
      </c>
      <c r="T25" s="175">
        <f t="shared" si="19"/>
        <v>0</v>
      </c>
      <c r="U25" s="175">
        <f t="shared" si="19"/>
        <v>0</v>
      </c>
      <c r="V25" s="175">
        <f>D25-BL25</f>
        <v>101.72</v>
      </c>
      <c r="W25" s="175">
        <f>W26+W27+W28+W29+W30+W31+W32+W33+W34+W46+W47+W48+W49+W50+W51+W52+W53+W54+W55+W56+W57+W58+W59+W60+W61+W62</f>
        <v>19.940000000000001</v>
      </c>
      <c r="X25" s="175">
        <f t="shared" ref="X25:BK25" si="20">X26+X27+X28+X29+X30+X31+X32+X33+X34+X46+X47+X48+X49+X50+X51+X52+X53+X54+X55+X56+X57+X58+X59+X60+X61+X62</f>
        <v>0.46</v>
      </c>
      <c r="Y25" s="175">
        <f t="shared" si="20"/>
        <v>0</v>
      </c>
      <c r="Z25" s="175">
        <f t="shared" si="20"/>
        <v>0</v>
      </c>
      <c r="AA25" s="175">
        <f t="shared" si="20"/>
        <v>0</v>
      </c>
      <c r="AB25" s="175">
        <f t="shared" si="20"/>
        <v>16.920000000000002</v>
      </c>
      <c r="AC25" s="175">
        <f t="shared" si="20"/>
        <v>0</v>
      </c>
      <c r="AD25" s="175">
        <f t="shared" si="20"/>
        <v>0</v>
      </c>
      <c r="AE25" s="175">
        <f t="shared" si="20"/>
        <v>39.700000000000003</v>
      </c>
      <c r="AF25" s="175">
        <f t="shared" si="20"/>
        <v>0.05</v>
      </c>
      <c r="AG25" s="175">
        <f t="shared" si="20"/>
        <v>0.1</v>
      </c>
      <c r="AH25" s="175">
        <f t="shared" si="20"/>
        <v>3.36</v>
      </c>
      <c r="AI25" s="175">
        <f t="shared" si="20"/>
        <v>0.41</v>
      </c>
      <c r="AJ25" s="175">
        <f t="shared" si="20"/>
        <v>0</v>
      </c>
      <c r="AK25" s="175">
        <f t="shared" si="20"/>
        <v>0</v>
      </c>
      <c r="AL25" s="175">
        <f t="shared" si="20"/>
        <v>31.25</v>
      </c>
      <c r="AM25" s="175">
        <f t="shared" si="20"/>
        <v>0</v>
      </c>
      <c r="AN25" s="175">
        <f t="shared" si="20"/>
        <v>0.11</v>
      </c>
      <c r="AO25" s="175">
        <f t="shared" si="20"/>
        <v>0</v>
      </c>
      <c r="AP25" s="175">
        <f t="shared" si="20"/>
        <v>4.42</v>
      </c>
      <c r="AQ25" s="175">
        <f t="shared" si="20"/>
        <v>0</v>
      </c>
      <c r="AR25" s="175">
        <f t="shared" si="20"/>
        <v>0</v>
      </c>
      <c r="AS25" s="175">
        <f t="shared" si="20"/>
        <v>0</v>
      </c>
      <c r="AT25" s="175">
        <f t="shared" si="20"/>
        <v>0</v>
      </c>
      <c r="AU25" s="175">
        <f t="shared" si="20"/>
        <v>10.614999999999998</v>
      </c>
      <c r="AV25" s="175">
        <f t="shared" si="20"/>
        <v>4.8849999999999998</v>
      </c>
      <c r="AW25" s="175">
        <f t="shared" si="20"/>
        <v>0</v>
      </c>
      <c r="AX25" s="175">
        <f t="shared" si="20"/>
        <v>0</v>
      </c>
      <c r="AY25" s="175">
        <f t="shared" si="20"/>
        <v>0</v>
      </c>
      <c r="AZ25" s="175">
        <f t="shared" si="20"/>
        <v>0</v>
      </c>
      <c r="BA25" s="175">
        <f t="shared" si="20"/>
        <v>0</v>
      </c>
      <c r="BB25" s="175">
        <f t="shared" si="20"/>
        <v>0.45</v>
      </c>
      <c r="BC25" s="175">
        <f t="shared" si="20"/>
        <v>0.53</v>
      </c>
      <c r="BD25" s="175">
        <f t="shared" si="20"/>
        <v>0</v>
      </c>
      <c r="BE25" s="175">
        <f t="shared" si="20"/>
        <v>8.2200000000000006</v>
      </c>
      <c r="BF25" s="175">
        <f t="shared" si="20"/>
        <v>0</v>
      </c>
      <c r="BG25" s="175">
        <f t="shared" si="20"/>
        <v>0</v>
      </c>
      <c r="BH25" s="175">
        <f t="shared" si="20"/>
        <v>0</v>
      </c>
      <c r="BI25" s="175">
        <f t="shared" si="20"/>
        <v>0</v>
      </c>
      <c r="BJ25" s="175">
        <f t="shared" si="20"/>
        <v>0</v>
      </c>
      <c r="BK25" s="175">
        <f t="shared" si="20"/>
        <v>0</v>
      </c>
      <c r="BL25" s="175">
        <f>E25+BH25</f>
        <v>0</v>
      </c>
      <c r="BM25" s="175">
        <f>BM26+BM27+BM28+BM29+BM30+BM31+BM32+BM33+BM34+BM46+BM47+BM48+BM49+BM50+BM51+BM52+BM53+BM54+BM55+BM56+BM57+BM58+BM59+BM60+BM61+BM62</f>
        <v>0.32999999999999996</v>
      </c>
      <c r="BN25" s="175">
        <f>BN26+BN27+BN28+BN29+BN30+BN31+BN32+BN33+BN34+BN46+BN47+BN48+BN49+BN50+BN51+BN52+BN53+BN54+BN55+BN56+BN57+BN58+BN59+BN60+BN61+BN62</f>
        <v>102.05000000000001</v>
      </c>
    </row>
    <row r="26" spans="1:68" ht="20.100000000000001" customHeight="1">
      <c r="A26" s="19" t="s">
        <v>47</v>
      </c>
      <c r="B26" s="144" t="s">
        <v>48</v>
      </c>
      <c r="C26" s="5" t="s">
        <v>49</v>
      </c>
      <c r="D26" s="100">
        <f>#REF!</f>
        <v>19.940000000000001</v>
      </c>
      <c r="E26" s="100">
        <f t="shared" si="4"/>
        <v>0</v>
      </c>
      <c r="F26" s="100">
        <f>G26+N26</f>
        <v>0</v>
      </c>
      <c r="G26" s="100">
        <f t="shared" si="8"/>
        <v>0</v>
      </c>
      <c r="H26" s="100">
        <f t="shared" si="12"/>
        <v>0</v>
      </c>
      <c r="I26" s="100"/>
      <c r="J26" s="100"/>
      <c r="K26" s="100"/>
      <c r="L26" s="100"/>
      <c r="M26" s="100"/>
      <c r="N26" s="100"/>
      <c r="O26" s="100"/>
      <c r="P26" s="100"/>
      <c r="Q26" s="100"/>
      <c r="R26" s="100"/>
      <c r="S26" s="100"/>
      <c r="T26" s="100"/>
      <c r="U26" s="100"/>
      <c r="V26" s="100">
        <f t="shared" si="13"/>
        <v>19.940000000000001</v>
      </c>
      <c r="W26" s="100">
        <f>D26-BL26</f>
        <v>19.940000000000001</v>
      </c>
      <c r="X26" s="100"/>
      <c r="Y26" s="100"/>
      <c r="Z26" s="100"/>
      <c r="AA26" s="100"/>
      <c r="AB26" s="100"/>
      <c r="AC26" s="100"/>
      <c r="AD26" s="100"/>
      <c r="AE26" s="100">
        <f t="shared" si="9"/>
        <v>0</v>
      </c>
      <c r="AF26" s="100"/>
      <c r="AG26" s="100"/>
      <c r="AH26" s="100"/>
      <c r="AI26" s="100"/>
      <c r="AJ26" s="100"/>
      <c r="AK26" s="100"/>
      <c r="AL26" s="100"/>
      <c r="AM26" s="100"/>
      <c r="AN26" s="100"/>
      <c r="AO26" s="100"/>
      <c r="AP26" s="100"/>
      <c r="AQ26" s="100"/>
      <c r="AR26" s="100"/>
      <c r="AS26" s="100"/>
      <c r="AT26" s="100"/>
      <c r="AU26" s="100"/>
      <c r="AV26" s="100"/>
      <c r="AW26" s="100"/>
      <c r="AX26" s="100"/>
      <c r="AY26" s="100"/>
      <c r="AZ26" s="100"/>
      <c r="BA26" s="100"/>
      <c r="BB26" s="100"/>
      <c r="BC26" s="100"/>
      <c r="BD26" s="100"/>
      <c r="BE26" s="100"/>
      <c r="BF26" s="100"/>
      <c r="BG26" s="100"/>
      <c r="BH26" s="100">
        <f>BI26+BJ26+BK26</f>
        <v>0</v>
      </c>
      <c r="BI26" s="100"/>
      <c r="BJ26" s="100"/>
      <c r="BK26" s="100"/>
      <c r="BL26" s="100">
        <f>X26+Y26+Z26+AA26+AB26+AC26+AD26+AE26+AQ26+AR26+AS26+AT26+AU26+AV26+AW26+AX26+AY26+AZ26+BA26+BB26+BC26+BD26+BE26+BF26+BG26+BH26</f>
        <v>0</v>
      </c>
      <c r="BM26" s="100">
        <f>W67-BL26</f>
        <v>0</v>
      </c>
      <c r="BN26" s="100">
        <f>D26+BM26</f>
        <v>19.940000000000001</v>
      </c>
      <c r="BP26" s="123"/>
    </row>
    <row r="27" spans="1:68" ht="20.100000000000001" customHeight="1">
      <c r="A27" s="19" t="s">
        <v>50</v>
      </c>
      <c r="B27" s="144" t="s">
        <v>51</v>
      </c>
      <c r="C27" s="5" t="s">
        <v>52</v>
      </c>
      <c r="D27" s="100">
        <f>#REF!</f>
        <v>0.46</v>
      </c>
      <c r="E27" s="100">
        <f t="shared" si="4"/>
        <v>0</v>
      </c>
      <c r="F27" s="100">
        <f t="shared" ref="F27:F66" si="21">G27+N27</f>
        <v>0</v>
      </c>
      <c r="G27" s="100">
        <f t="shared" si="8"/>
        <v>0</v>
      </c>
      <c r="H27" s="100">
        <f t="shared" si="12"/>
        <v>0</v>
      </c>
      <c r="I27" s="100"/>
      <c r="J27" s="100"/>
      <c r="K27" s="100"/>
      <c r="L27" s="100"/>
      <c r="M27" s="100"/>
      <c r="N27" s="100"/>
      <c r="O27" s="100"/>
      <c r="P27" s="100"/>
      <c r="Q27" s="100"/>
      <c r="R27" s="100"/>
      <c r="S27" s="100"/>
      <c r="T27" s="100"/>
      <c r="U27" s="100"/>
      <c r="V27" s="100">
        <f t="shared" si="13"/>
        <v>0.46</v>
      </c>
      <c r="W27" s="100"/>
      <c r="X27" s="100">
        <f>D27-BL27</f>
        <v>0.46</v>
      </c>
      <c r="Y27" s="100"/>
      <c r="Z27" s="100"/>
      <c r="AA27" s="100"/>
      <c r="AB27" s="100"/>
      <c r="AC27" s="100"/>
      <c r="AD27" s="100"/>
      <c r="AE27" s="100">
        <f t="shared" si="9"/>
        <v>0</v>
      </c>
      <c r="AF27" s="100"/>
      <c r="AG27" s="100"/>
      <c r="AH27" s="100"/>
      <c r="AI27" s="100"/>
      <c r="AJ27" s="100"/>
      <c r="AK27" s="100"/>
      <c r="AL27" s="100"/>
      <c r="AM27" s="100"/>
      <c r="AN27" s="100"/>
      <c r="AO27" s="100"/>
      <c r="AP27" s="100"/>
      <c r="AQ27" s="100"/>
      <c r="AR27" s="100"/>
      <c r="AS27" s="100"/>
      <c r="AT27" s="100"/>
      <c r="AU27" s="100"/>
      <c r="AV27" s="100"/>
      <c r="AW27" s="100"/>
      <c r="AX27" s="100"/>
      <c r="AY27" s="100"/>
      <c r="AZ27" s="100"/>
      <c r="BA27" s="100"/>
      <c r="BB27" s="100"/>
      <c r="BC27" s="100"/>
      <c r="BD27" s="100"/>
      <c r="BE27" s="100"/>
      <c r="BF27" s="100"/>
      <c r="BG27" s="100"/>
      <c r="BH27" s="100">
        <f t="shared" ref="BH27:BH62" si="22">BI27+BJ27+BK27</f>
        <v>0</v>
      </c>
      <c r="BI27" s="100"/>
      <c r="BJ27" s="100"/>
      <c r="BK27" s="100"/>
      <c r="BL27" s="100">
        <f>F27+W27+Y27+Z27+AA27+AB27+AC27+AD27+AE27+AQ27+AR27+AS27+AT27+AU27+AV27+AW27+AX27+AY27+AZ27+BA27+BB27+BC27+BD27+BE27+BF27+BG27+BH27</f>
        <v>0</v>
      </c>
      <c r="BM27" s="100">
        <f>X67-BL27</f>
        <v>0</v>
      </c>
      <c r="BN27" s="100">
        <f t="shared" ref="BN27:BN33" si="23">D27+BM27</f>
        <v>0.46</v>
      </c>
      <c r="BP27" s="123"/>
    </row>
    <row r="28" spans="1:68" ht="20.100000000000001" customHeight="1">
      <c r="A28" s="19" t="s">
        <v>53</v>
      </c>
      <c r="B28" s="144" t="s">
        <v>54</v>
      </c>
      <c r="C28" s="5" t="s">
        <v>55</v>
      </c>
      <c r="D28" s="100"/>
      <c r="E28" s="100">
        <f t="shared" si="4"/>
        <v>0</v>
      </c>
      <c r="F28" s="100">
        <f t="shared" si="21"/>
        <v>0</v>
      </c>
      <c r="G28" s="100">
        <f t="shared" si="8"/>
        <v>0</v>
      </c>
      <c r="H28" s="100">
        <f t="shared" si="12"/>
        <v>0</v>
      </c>
      <c r="I28" s="100"/>
      <c r="J28" s="100"/>
      <c r="K28" s="100"/>
      <c r="L28" s="100"/>
      <c r="M28" s="100"/>
      <c r="N28" s="100"/>
      <c r="O28" s="100"/>
      <c r="P28" s="100"/>
      <c r="Q28" s="100"/>
      <c r="R28" s="100"/>
      <c r="S28" s="100"/>
      <c r="T28" s="100"/>
      <c r="U28" s="100"/>
      <c r="V28" s="100">
        <f t="shared" si="13"/>
        <v>0</v>
      </c>
      <c r="W28" s="100"/>
      <c r="X28" s="100"/>
      <c r="Y28" s="100">
        <f>D28-BL28</f>
        <v>0</v>
      </c>
      <c r="Z28" s="100"/>
      <c r="AA28" s="100"/>
      <c r="AB28" s="100"/>
      <c r="AC28" s="100"/>
      <c r="AD28" s="100"/>
      <c r="AE28" s="100">
        <f t="shared" si="9"/>
        <v>0</v>
      </c>
      <c r="AF28" s="100"/>
      <c r="AG28" s="100"/>
      <c r="AH28" s="100"/>
      <c r="AI28" s="100"/>
      <c r="AJ28" s="100"/>
      <c r="AK28" s="100"/>
      <c r="AL28" s="100"/>
      <c r="AM28" s="100"/>
      <c r="AN28" s="100"/>
      <c r="AO28" s="100"/>
      <c r="AP28" s="100"/>
      <c r="AQ28" s="100"/>
      <c r="AR28" s="100"/>
      <c r="AS28" s="100"/>
      <c r="AT28" s="100"/>
      <c r="AU28" s="100"/>
      <c r="AV28" s="100"/>
      <c r="AW28" s="100"/>
      <c r="AX28" s="100"/>
      <c r="AY28" s="100"/>
      <c r="AZ28" s="100"/>
      <c r="BA28" s="100"/>
      <c r="BB28" s="100"/>
      <c r="BC28" s="100"/>
      <c r="BD28" s="100"/>
      <c r="BE28" s="100"/>
      <c r="BF28" s="100"/>
      <c r="BG28" s="100"/>
      <c r="BH28" s="100">
        <f t="shared" si="22"/>
        <v>0</v>
      </c>
      <c r="BI28" s="100"/>
      <c r="BJ28" s="100"/>
      <c r="BK28" s="100"/>
      <c r="BL28" s="100">
        <f>E28+W28+X28+Z28+AA28+AB28+AC28+AD28+AE28+AQ28+AR28+AS28+AT28+AU28+AV28+AW28+AX28+AY28+AZ28+BA28+BB28+BC28+BD28+BE28+BF28+BG28+BH28</f>
        <v>0</v>
      </c>
      <c r="BM28" s="100">
        <f>Y67-BL28</f>
        <v>0</v>
      </c>
      <c r="BN28" s="100">
        <f t="shared" si="23"/>
        <v>0</v>
      </c>
      <c r="BP28" s="123"/>
    </row>
    <row r="29" spans="1:68" ht="20.100000000000001" customHeight="1">
      <c r="A29" s="19" t="s">
        <v>56</v>
      </c>
      <c r="B29" s="144" t="s">
        <v>57</v>
      </c>
      <c r="C29" s="5" t="s">
        <v>58</v>
      </c>
      <c r="D29" s="100"/>
      <c r="E29" s="100">
        <f t="shared" si="4"/>
        <v>0</v>
      </c>
      <c r="F29" s="100">
        <f t="shared" si="21"/>
        <v>0</v>
      </c>
      <c r="G29" s="100">
        <f t="shared" si="8"/>
        <v>0</v>
      </c>
      <c r="H29" s="100">
        <f t="shared" si="12"/>
        <v>0</v>
      </c>
      <c r="I29" s="100"/>
      <c r="J29" s="100"/>
      <c r="K29" s="100"/>
      <c r="L29" s="100"/>
      <c r="M29" s="100"/>
      <c r="N29" s="100"/>
      <c r="O29" s="100"/>
      <c r="P29" s="100"/>
      <c r="Q29" s="100"/>
      <c r="R29" s="100"/>
      <c r="S29" s="100"/>
      <c r="T29" s="100"/>
      <c r="U29" s="100"/>
      <c r="V29" s="100">
        <f t="shared" si="13"/>
        <v>0</v>
      </c>
      <c r="W29" s="100"/>
      <c r="X29" s="100"/>
      <c r="Y29" s="100"/>
      <c r="Z29" s="100">
        <f>D29-BL29</f>
        <v>0</v>
      </c>
      <c r="AA29" s="100"/>
      <c r="AB29" s="100"/>
      <c r="AC29" s="100"/>
      <c r="AD29" s="100"/>
      <c r="AE29" s="100">
        <f t="shared" si="9"/>
        <v>0</v>
      </c>
      <c r="AF29" s="100"/>
      <c r="AG29" s="100"/>
      <c r="AH29" s="100"/>
      <c r="AI29" s="100"/>
      <c r="AJ29" s="100"/>
      <c r="AK29" s="100"/>
      <c r="AL29" s="100"/>
      <c r="AM29" s="100"/>
      <c r="AN29" s="100"/>
      <c r="AO29" s="100"/>
      <c r="AP29" s="100"/>
      <c r="AQ29" s="100"/>
      <c r="AR29" s="100"/>
      <c r="AS29" s="100"/>
      <c r="AT29" s="100"/>
      <c r="AU29" s="100"/>
      <c r="AV29" s="100"/>
      <c r="AW29" s="100"/>
      <c r="AX29" s="100"/>
      <c r="AY29" s="100"/>
      <c r="AZ29" s="100"/>
      <c r="BA29" s="100"/>
      <c r="BB29" s="100"/>
      <c r="BC29" s="100"/>
      <c r="BD29" s="100"/>
      <c r="BE29" s="100"/>
      <c r="BF29" s="100"/>
      <c r="BG29" s="100"/>
      <c r="BH29" s="100">
        <f t="shared" si="22"/>
        <v>0</v>
      </c>
      <c r="BI29" s="100"/>
      <c r="BJ29" s="100"/>
      <c r="BK29" s="100"/>
      <c r="BL29" s="100">
        <f>E29+W29+X29+Y29+AA29+AB29+AC29+AD29+AE29+AQ29+AR29+AS29+AT29+AU29+AV29+AW29+AX29+AY29+AZ29+BA29+BB29+BC29+BD29+BE29+BF29+BG29+BH29</f>
        <v>0</v>
      </c>
      <c r="BM29" s="100">
        <f>Z67-BL29</f>
        <v>0</v>
      </c>
      <c r="BN29" s="100">
        <f t="shared" si="23"/>
        <v>0</v>
      </c>
      <c r="BP29" s="123"/>
    </row>
    <row r="30" spans="1:68" ht="20.100000000000001" customHeight="1">
      <c r="A30" s="19" t="s">
        <v>59</v>
      </c>
      <c r="B30" s="144" t="s">
        <v>60</v>
      </c>
      <c r="C30" s="5" t="s">
        <v>61</v>
      </c>
      <c r="D30" s="100"/>
      <c r="E30" s="100">
        <f t="shared" si="4"/>
        <v>0</v>
      </c>
      <c r="F30" s="100">
        <f t="shared" si="21"/>
        <v>0</v>
      </c>
      <c r="G30" s="100">
        <f t="shared" si="8"/>
        <v>0</v>
      </c>
      <c r="H30" s="100">
        <f t="shared" si="12"/>
        <v>0</v>
      </c>
      <c r="I30" s="100"/>
      <c r="J30" s="100"/>
      <c r="K30" s="100"/>
      <c r="L30" s="100"/>
      <c r="M30" s="100"/>
      <c r="N30" s="100"/>
      <c r="O30" s="100"/>
      <c r="P30" s="100"/>
      <c r="Q30" s="100"/>
      <c r="R30" s="100"/>
      <c r="S30" s="100"/>
      <c r="T30" s="100"/>
      <c r="U30" s="100"/>
      <c r="V30" s="100">
        <f t="shared" si="13"/>
        <v>0</v>
      </c>
      <c r="W30" s="100"/>
      <c r="X30" s="100"/>
      <c r="Y30" s="100"/>
      <c r="Z30" s="100"/>
      <c r="AA30" s="100">
        <f>D30-BL30</f>
        <v>0</v>
      </c>
      <c r="AB30" s="100"/>
      <c r="AC30" s="100"/>
      <c r="AD30" s="100"/>
      <c r="AE30" s="100">
        <f t="shared" si="9"/>
        <v>0</v>
      </c>
      <c r="AF30" s="100"/>
      <c r="AG30" s="100"/>
      <c r="AH30" s="100"/>
      <c r="AI30" s="100"/>
      <c r="AJ30" s="100"/>
      <c r="AK30" s="100"/>
      <c r="AL30" s="100"/>
      <c r="AM30" s="100"/>
      <c r="AN30" s="100"/>
      <c r="AO30" s="100"/>
      <c r="AP30" s="100"/>
      <c r="AQ30" s="100"/>
      <c r="AR30" s="100"/>
      <c r="AS30" s="100"/>
      <c r="AT30" s="100"/>
      <c r="AU30" s="100"/>
      <c r="AV30" s="100"/>
      <c r="AW30" s="100"/>
      <c r="AX30" s="100"/>
      <c r="AY30" s="100"/>
      <c r="AZ30" s="100"/>
      <c r="BA30" s="100"/>
      <c r="BB30" s="100"/>
      <c r="BC30" s="100"/>
      <c r="BD30" s="100"/>
      <c r="BE30" s="100"/>
      <c r="BF30" s="100"/>
      <c r="BG30" s="100"/>
      <c r="BH30" s="100">
        <f t="shared" si="22"/>
        <v>0</v>
      </c>
      <c r="BI30" s="100"/>
      <c r="BJ30" s="100"/>
      <c r="BK30" s="100"/>
      <c r="BL30" s="100">
        <f>E30+W30+X30+Y30+Z30+AB30+AC30+AD30+AE30+AQ30+AR30+AS30+AT30+AU30+AV30+AW30+AX30+AY30+AZ30+BA30+BB30+BC30+BD30+BE30+BF30+BG30+BH30</f>
        <v>0</v>
      </c>
      <c r="BM30" s="100">
        <f>AA67-BL30</f>
        <v>0</v>
      </c>
      <c r="BN30" s="100">
        <f t="shared" si="23"/>
        <v>0</v>
      </c>
      <c r="BP30" s="123"/>
    </row>
    <row r="31" spans="1:68" ht="20.100000000000001" customHeight="1">
      <c r="A31" s="19" t="s">
        <v>62</v>
      </c>
      <c r="B31" s="144" t="s">
        <v>63</v>
      </c>
      <c r="C31" s="5" t="s">
        <v>64</v>
      </c>
      <c r="D31" s="100">
        <f>#REF!</f>
        <v>16.920000000000002</v>
      </c>
      <c r="E31" s="100">
        <f t="shared" si="4"/>
        <v>0</v>
      </c>
      <c r="F31" s="100">
        <f t="shared" si="21"/>
        <v>0</v>
      </c>
      <c r="G31" s="100">
        <f t="shared" si="8"/>
        <v>0</v>
      </c>
      <c r="H31" s="100">
        <f t="shared" si="12"/>
        <v>0</v>
      </c>
      <c r="I31" s="100"/>
      <c r="J31" s="100"/>
      <c r="K31" s="100"/>
      <c r="L31" s="100"/>
      <c r="M31" s="100"/>
      <c r="N31" s="100"/>
      <c r="O31" s="100"/>
      <c r="P31" s="100"/>
      <c r="Q31" s="100"/>
      <c r="R31" s="100"/>
      <c r="S31" s="100"/>
      <c r="T31" s="100"/>
      <c r="U31" s="100"/>
      <c r="V31" s="100">
        <f>W31+X31+Y31+Z31+AA31+AB31+AC31+AD31+AE31+AQ31+AR31+AS31+AT31+AU31+AV31+AW31+AX31+AY31+AZ31+BA31+BB31+BC31+BD31+BE31+BF31+BG31</f>
        <v>16.920000000000002</v>
      </c>
      <c r="W31" s="100"/>
      <c r="X31" s="100"/>
      <c r="Y31" s="100"/>
      <c r="Z31" s="100"/>
      <c r="AA31" s="100"/>
      <c r="AB31" s="100">
        <f>D31-BL31</f>
        <v>16.920000000000002</v>
      </c>
      <c r="AC31" s="100"/>
      <c r="AD31" s="100"/>
      <c r="AE31" s="100">
        <f t="shared" si="9"/>
        <v>0</v>
      </c>
      <c r="AF31" s="100"/>
      <c r="AG31" s="100"/>
      <c r="AH31" s="100"/>
      <c r="AI31" s="100"/>
      <c r="AJ31" s="100"/>
      <c r="AK31" s="100"/>
      <c r="AL31" s="100"/>
      <c r="AM31" s="100"/>
      <c r="AN31" s="100"/>
      <c r="AO31" s="100"/>
      <c r="AP31" s="100"/>
      <c r="AQ31" s="100"/>
      <c r="AR31" s="100"/>
      <c r="AS31" s="100"/>
      <c r="AT31" s="100"/>
      <c r="AU31" s="100"/>
      <c r="AV31" s="100"/>
      <c r="AW31" s="100"/>
      <c r="AX31" s="100"/>
      <c r="AY31" s="100"/>
      <c r="AZ31" s="100"/>
      <c r="BA31" s="100"/>
      <c r="BB31" s="100"/>
      <c r="BC31" s="100"/>
      <c r="BD31" s="100"/>
      <c r="BE31" s="100"/>
      <c r="BF31" s="100"/>
      <c r="BG31" s="100"/>
      <c r="BH31" s="100">
        <f>BI31+BJ31+BK31</f>
        <v>0</v>
      </c>
      <c r="BI31" s="100"/>
      <c r="BJ31" s="100"/>
      <c r="BK31" s="100"/>
      <c r="BL31" s="100">
        <f>E31+W31+X31+Y31+Z31+AA31+AC31+AD31+AE31+AQ31+AR31+AS31+AT31+AU31+AV31+AW31+AX31+AY31+AZ31+BA31+BB31+BC31+BD31+BE31+BF31+BG31+BH31</f>
        <v>0</v>
      </c>
      <c r="BM31" s="100">
        <f>AB67-BL31</f>
        <v>0</v>
      </c>
      <c r="BN31" s="100">
        <f t="shared" si="23"/>
        <v>16.920000000000002</v>
      </c>
      <c r="BP31" s="123"/>
    </row>
    <row r="32" spans="1:68" ht="20.100000000000001" customHeight="1">
      <c r="A32" s="19" t="s">
        <v>65</v>
      </c>
      <c r="B32" s="144" t="s">
        <v>66</v>
      </c>
      <c r="C32" s="5" t="s">
        <v>67</v>
      </c>
      <c r="D32" s="100"/>
      <c r="E32" s="100">
        <f t="shared" si="4"/>
        <v>0</v>
      </c>
      <c r="F32" s="100">
        <f t="shared" si="21"/>
        <v>0</v>
      </c>
      <c r="G32" s="100">
        <f t="shared" si="8"/>
        <v>0</v>
      </c>
      <c r="H32" s="100">
        <f t="shared" si="12"/>
        <v>0</v>
      </c>
      <c r="I32" s="100"/>
      <c r="J32" s="100"/>
      <c r="K32" s="100"/>
      <c r="L32" s="100"/>
      <c r="M32" s="100"/>
      <c r="N32" s="100"/>
      <c r="O32" s="100"/>
      <c r="P32" s="100"/>
      <c r="Q32" s="100"/>
      <c r="R32" s="100"/>
      <c r="S32" s="100"/>
      <c r="T32" s="100"/>
      <c r="U32" s="100"/>
      <c r="V32" s="100">
        <f t="shared" si="13"/>
        <v>0</v>
      </c>
      <c r="W32" s="100"/>
      <c r="X32" s="100"/>
      <c r="Y32" s="100"/>
      <c r="Z32" s="100"/>
      <c r="AA32" s="100"/>
      <c r="AB32" s="100"/>
      <c r="AC32" s="100">
        <f>D32-BL32</f>
        <v>0</v>
      </c>
      <c r="AD32" s="100"/>
      <c r="AE32" s="100">
        <f t="shared" si="9"/>
        <v>0</v>
      </c>
      <c r="AF32" s="100"/>
      <c r="AG32" s="100"/>
      <c r="AH32" s="100"/>
      <c r="AI32" s="100"/>
      <c r="AJ32" s="100"/>
      <c r="AK32" s="100"/>
      <c r="AL32" s="100"/>
      <c r="AM32" s="100"/>
      <c r="AN32" s="100"/>
      <c r="AO32" s="100"/>
      <c r="AP32" s="100"/>
      <c r="AQ32" s="100"/>
      <c r="AR32" s="100"/>
      <c r="AS32" s="100"/>
      <c r="AT32" s="100"/>
      <c r="AU32" s="100"/>
      <c r="AV32" s="100"/>
      <c r="AW32" s="100"/>
      <c r="AX32" s="100"/>
      <c r="AY32" s="100"/>
      <c r="AZ32" s="100"/>
      <c r="BA32" s="100"/>
      <c r="BB32" s="100"/>
      <c r="BC32" s="100"/>
      <c r="BD32" s="100"/>
      <c r="BE32" s="100"/>
      <c r="BF32" s="100"/>
      <c r="BG32" s="100"/>
      <c r="BH32" s="100">
        <f t="shared" si="22"/>
        <v>0</v>
      </c>
      <c r="BI32" s="100"/>
      <c r="BJ32" s="100"/>
      <c r="BK32" s="100"/>
      <c r="BL32" s="100">
        <f>E32+W32+X32+Y32+Z32+AA32+AB32+AD32+AE32+AQ32+AR32+AS32+AT32+AU32+AV32+AW32+AX32+AY32+AZ32+BA32+BB32+BC32+BD32+BE32+BF32+BG32+BH32</f>
        <v>0</v>
      </c>
      <c r="BM32" s="100">
        <f>AC67-BL32</f>
        <v>0</v>
      </c>
      <c r="BN32" s="100">
        <f t="shared" si="23"/>
        <v>0</v>
      </c>
      <c r="BP32" s="123"/>
    </row>
    <row r="33" spans="1:68" ht="20.100000000000001" customHeight="1">
      <c r="A33" s="19" t="s">
        <v>68</v>
      </c>
      <c r="B33" s="144" t="s">
        <v>69</v>
      </c>
      <c r="C33" s="5" t="s">
        <v>70</v>
      </c>
      <c r="D33" s="100"/>
      <c r="E33" s="100">
        <f t="shared" si="4"/>
        <v>0</v>
      </c>
      <c r="F33" s="100">
        <f t="shared" si="21"/>
        <v>0</v>
      </c>
      <c r="G33" s="100">
        <f t="shared" si="8"/>
        <v>0</v>
      </c>
      <c r="H33" s="100">
        <f t="shared" si="12"/>
        <v>0</v>
      </c>
      <c r="I33" s="100"/>
      <c r="J33" s="100"/>
      <c r="K33" s="100"/>
      <c r="L33" s="100"/>
      <c r="M33" s="100"/>
      <c r="N33" s="100"/>
      <c r="O33" s="100"/>
      <c r="P33" s="100"/>
      <c r="Q33" s="100"/>
      <c r="R33" s="100"/>
      <c r="S33" s="100"/>
      <c r="T33" s="100"/>
      <c r="U33" s="100"/>
      <c r="V33" s="100">
        <f t="shared" si="13"/>
        <v>0</v>
      </c>
      <c r="W33" s="100"/>
      <c r="X33" s="100"/>
      <c r="Y33" s="100"/>
      <c r="Z33" s="100"/>
      <c r="AA33" s="100"/>
      <c r="AB33" s="100"/>
      <c r="AC33" s="100"/>
      <c r="AD33" s="100">
        <f>D33-BL33</f>
        <v>0</v>
      </c>
      <c r="AE33" s="100">
        <f t="shared" si="9"/>
        <v>0</v>
      </c>
      <c r="AF33" s="100"/>
      <c r="AG33" s="100"/>
      <c r="AH33" s="100"/>
      <c r="AI33" s="100"/>
      <c r="AJ33" s="100"/>
      <c r="AK33" s="100"/>
      <c r="AL33" s="100"/>
      <c r="AM33" s="100"/>
      <c r="AN33" s="100"/>
      <c r="AO33" s="100"/>
      <c r="AP33" s="100"/>
      <c r="AQ33" s="100"/>
      <c r="AR33" s="100"/>
      <c r="AS33" s="100"/>
      <c r="AT33" s="100"/>
      <c r="AU33" s="100"/>
      <c r="AV33" s="100"/>
      <c r="AW33" s="100"/>
      <c r="AX33" s="100"/>
      <c r="AY33" s="100"/>
      <c r="AZ33" s="100"/>
      <c r="BA33" s="100"/>
      <c r="BB33" s="100"/>
      <c r="BC33" s="100"/>
      <c r="BD33" s="100"/>
      <c r="BE33" s="100"/>
      <c r="BF33" s="100"/>
      <c r="BG33" s="100"/>
      <c r="BH33" s="100">
        <f t="shared" si="22"/>
        <v>0</v>
      </c>
      <c r="BI33" s="100"/>
      <c r="BJ33" s="100"/>
      <c r="BK33" s="100"/>
      <c r="BL33" s="100">
        <f>E33+W33+X33+Y33+Z33+AA33+AB33+AC33+AE33+AQ33+AR33+AS33+AT33+AU33+AV33+AW33+AX33+AY33+AZ33+BA33+BB33+BC33+BD33+BE33+BF33+BG33+BH33</f>
        <v>0</v>
      </c>
      <c r="BM33" s="100">
        <f>AD67-BL33</f>
        <v>0</v>
      </c>
      <c r="BN33" s="100">
        <f t="shared" si="23"/>
        <v>0</v>
      </c>
      <c r="BP33" s="123"/>
    </row>
    <row r="34" spans="1:68" ht="40.5" customHeight="1">
      <c r="A34" s="19" t="s">
        <v>71</v>
      </c>
      <c r="B34" s="144" t="s">
        <v>135</v>
      </c>
      <c r="C34" s="5" t="s">
        <v>72</v>
      </c>
      <c r="D34" s="100">
        <f>SUM(D35:D45)</f>
        <v>39.74</v>
      </c>
      <c r="E34" s="100">
        <f>SUM(E35:E45)</f>
        <v>0</v>
      </c>
      <c r="F34" s="100">
        <f t="shared" ref="F34:U34" si="24">SUM(F35:F45)</f>
        <v>0</v>
      </c>
      <c r="G34" s="100">
        <f t="shared" si="24"/>
        <v>0</v>
      </c>
      <c r="H34" s="100">
        <f t="shared" si="24"/>
        <v>0</v>
      </c>
      <c r="I34" s="100">
        <f t="shared" si="24"/>
        <v>0</v>
      </c>
      <c r="J34" s="100">
        <f t="shared" si="24"/>
        <v>0</v>
      </c>
      <c r="K34" s="100">
        <f t="shared" si="24"/>
        <v>0</v>
      </c>
      <c r="L34" s="100">
        <f t="shared" si="24"/>
        <v>0</v>
      </c>
      <c r="M34" s="100">
        <f t="shared" si="24"/>
        <v>0</v>
      </c>
      <c r="N34" s="100">
        <f t="shared" si="24"/>
        <v>0</v>
      </c>
      <c r="O34" s="100">
        <f t="shared" si="24"/>
        <v>0</v>
      </c>
      <c r="P34" s="100">
        <f t="shared" si="24"/>
        <v>0</v>
      </c>
      <c r="Q34" s="100">
        <f t="shared" si="24"/>
        <v>0</v>
      </c>
      <c r="R34" s="100">
        <f t="shared" si="24"/>
        <v>0</v>
      </c>
      <c r="S34" s="100">
        <f t="shared" si="24"/>
        <v>0</v>
      </c>
      <c r="T34" s="100">
        <f t="shared" si="24"/>
        <v>0</v>
      </c>
      <c r="U34" s="100">
        <f t="shared" si="24"/>
        <v>0</v>
      </c>
      <c r="V34" s="100">
        <f>SUM(V35:V45)</f>
        <v>39.74</v>
      </c>
      <c r="W34" s="100">
        <f t="shared" ref="W34:AD34" si="25">SUM(W35:W45)</f>
        <v>0</v>
      </c>
      <c r="X34" s="100">
        <f t="shared" si="25"/>
        <v>0</v>
      </c>
      <c r="Y34" s="100">
        <f t="shared" si="25"/>
        <v>0</v>
      </c>
      <c r="Z34" s="100">
        <f t="shared" si="25"/>
        <v>0</v>
      </c>
      <c r="AA34" s="100">
        <f t="shared" si="25"/>
        <v>0</v>
      </c>
      <c r="AB34" s="100">
        <f t="shared" si="25"/>
        <v>0</v>
      </c>
      <c r="AC34" s="100">
        <f t="shared" si="25"/>
        <v>0</v>
      </c>
      <c r="AD34" s="100">
        <f t="shared" si="25"/>
        <v>0</v>
      </c>
      <c r="AE34" s="100">
        <f>D34-BL34</f>
        <v>39.700000000000003</v>
      </c>
      <c r="AF34" s="100">
        <f>SUM(AF35:AF45)</f>
        <v>0.05</v>
      </c>
      <c r="AG34" s="100">
        <f t="shared" ref="AG34:BE34" si="26">SUM(AG35:AG45)</f>
        <v>0.1</v>
      </c>
      <c r="AH34" s="100">
        <f t="shared" si="26"/>
        <v>3.36</v>
      </c>
      <c r="AI34" s="100">
        <f t="shared" si="26"/>
        <v>0.41</v>
      </c>
      <c r="AJ34" s="100">
        <f t="shared" si="26"/>
        <v>0</v>
      </c>
      <c r="AK34" s="100">
        <f t="shared" si="26"/>
        <v>0</v>
      </c>
      <c r="AL34" s="100">
        <f t="shared" si="26"/>
        <v>31.25</v>
      </c>
      <c r="AM34" s="100">
        <f t="shared" si="26"/>
        <v>0</v>
      </c>
      <c r="AN34" s="100">
        <f t="shared" si="26"/>
        <v>0.11</v>
      </c>
      <c r="AO34" s="100">
        <f t="shared" si="26"/>
        <v>0</v>
      </c>
      <c r="AP34" s="100">
        <f t="shared" si="26"/>
        <v>4.42</v>
      </c>
      <c r="AQ34" s="100">
        <f t="shared" si="26"/>
        <v>0</v>
      </c>
      <c r="AR34" s="100">
        <f t="shared" si="26"/>
        <v>0</v>
      </c>
      <c r="AS34" s="100">
        <f t="shared" si="26"/>
        <v>0</v>
      </c>
      <c r="AT34" s="100">
        <f t="shared" si="26"/>
        <v>0</v>
      </c>
      <c r="AU34" s="100">
        <f t="shared" si="26"/>
        <v>0.04</v>
      </c>
      <c r="AV34" s="100">
        <f t="shared" si="26"/>
        <v>0</v>
      </c>
      <c r="AW34" s="100">
        <f t="shared" si="26"/>
        <v>0</v>
      </c>
      <c r="AX34" s="100">
        <f t="shared" si="26"/>
        <v>0</v>
      </c>
      <c r="AY34" s="100">
        <f t="shared" si="26"/>
        <v>0</v>
      </c>
      <c r="AZ34" s="100">
        <f t="shared" si="26"/>
        <v>0</v>
      </c>
      <c r="BA34" s="100">
        <f t="shared" si="26"/>
        <v>0</v>
      </c>
      <c r="BB34" s="100">
        <f t="shared" si="26"/>
        <v>0</v>
      </c>
      <c r="BC34" s="100">
        <f t="shared" si="26"/>
        <v>0</v>
      </c>
      <c r="BD34" s="100">
        <f t="shared" si="26"/>
        <v>0</v>
      </c>
      <c r="BE34" s="100">
        <f t="shared" si="26"/>
        <v>0</v>
      </c>
      <c r="BF34" s="100">
        <f>SUM(BF35:BF45)</f>
        <v>0</v>
      </c>
      <c r="BG34" s="100">
        <f>SUM(BG35:BG45)</f>
        <v>0</v>
      </c>
      <c r="BH34" s="100">
        <f>BI34+BJ34+BK34</f>
        <v>0</v>
      </c>
      <c r="BI34" s="100">
        <f>SUM(BI35:BI45)</f>
        <v>0</v>
      </c>
      <c r="BJ34" s="100">
        <f>SUM(BJ35:BJ45)</f>
        <v>0</v>
      </c>
      <c r="BK34" s="100">
        <f>SUM(BK35:BK45)</f>
        <v>0</v>
      </c>
      <c r="BL34" s="100">
        <f>E34+W34+X34+Y34+Z34+AA34+AB34+AC34+AQ34+AR34+AS34+AT34+AU34+AV34+AW34+AX34+AY34+AZ34+BA34+BB34+BC34+BD34+BE34+BF34+BG34+BH34</f>
        <v>0.04</v>
      </c>
      <c r="BM34" s="100">
        <f>AE67-BL34</f>
        <v>0</v>
      </c>
      <c r="BN34" s="100">
        <f>SUM(BN35:BN45)</f>
        <v>39.74</v>
      </c>
      <c r="BP34" s="123"/>
    </row>
    <row r="35" spans="1:68" ht="20.100000000000001" customHeight="1">
      <c r="A35" s="14" t="s">
        <v>224</v>
      </c>
      <c r="B35" s="143" t="s">
        <v>478</v>
      </c>
      <c r="C35" s="5" t="s">
        <v>202</v>
      </c>
      <c r="D35" s="100">
        <f>#REF!</f>
        <v>0.05</v>
      </c>
      <c r="E35" s="100">
        <f t="shared" si="4"/>
        <v>0</v>
      </c>
      <c r="F35" s="100">
        <f t="shared" si="21"/>
        <v>0</v>
      </c>
      <c r="G35" s="100">
        <f t="shared" si="8"/>
        <v>0</v>
      </c>
      <c r="H35" s="100">
        <f t="shared" si="12"/>
        <v>0</v>
      </c>
      <c r="I35" s="100"/>
      <c r="J35" s="100"/>
      <c r="K35" s="100"/>
      <c r="L35" s="100"/>
      <c r="M35" s="100"/>
      <c r="N35" s="100"/>
      <c r="O35" s="100"/>
      <c r="P35" s="100"/>
      <c r="Q35" s="100"/>
      <c r="R35" s="100"/>
      <c r="S35" s="100"/>
      <c r="T35" s="100"/>
      <c r="U35" s="100"/>
      <c r="V35" s="100">
        <f t="shared" si="13"/>
        <v>0.05</v>
      </c>
      <c r="W35" s="100"/>
      <c r="X35" s="100"/>
      <c r="Y35" s="100"/>
      <c r="Z35" s="100"/>
      <c r="AA35" s="100"/>
      <c r="AB35" s="100"/>
      <c r="AC35" s="100"/>
      <c r="AD35" s="100"/>
      <c r="AE35" s="100">
        <f>SUM(AF35:AP35)</f>
        <v>0.05</v>
      </c>
      <c r="AF35" s="100">
        <f>D35-BL35</f>
        <v>0.05</v>
      </c>
      <c r="AG35" s="100"/>
      <c r="AH35" s="100"/>
      <c r="AI35" s="100"/>
      <c r="AJ35" s="100"/>
      <c r="AK35" s="100"/>
      <c r="AL35" s="100"/>
      <c r="AM35" s="100"/>
      <c r="AN35" s="100"/>
      <c r="AO35" s="100"/>
      <c r="AP35" s="100"/>
      <c r="AQ35" s="100"/>
      <c r="AR35" s="100"/>
      <c r="AS35" s="100"/>
      <c r="AT35" s="100"/>
      <c r="AU35" s="100"/>
      <c r="AV35" s="100"/>
      <c r="AW35" s="100"/>
      <c r="AX35" s="100"/>
      <c r="AY35" s="100"/>
      <c r="AZ35" s="100"/>
      <c r="BA35" s="100"/>
      <c r="BB35" s="100"/>
      <c r="BC35" s="100"/>
      <c r="BD35" s="100"/>
      <c r="BE35" s="100"/>
      <c r="BF35" s="100"/>
      <c r="BG35" s="100"/>
      <c r="BH35" s="100">
        <f t="shared" si="22"/>
        <v>0</v>
      </c>
      <c r="BI35" s="100"/>
      <c r="BJ35" s="100"/>
      <c r="BK35" s="100"/>
      <c r="BL35" s="100">
        <f>E35+W35+X35+Y35+Z35+AA35+AB35+AC35+AD35+AG35+AH35+AI35+AJ35+AK35+AL35+AM35+AN35+AO35+AP35+AQ35+AR35+AS35+AT35+AU35+AV35+AW35+AX35+AY35+AZ35+BA35+BB35+BC35+BD35</f>
        <v>0</v>
      </c>
      <c r="BM35" s="100">
        <f>AF67-BL35</f>
        <v>0</v>
      </c>
      <c r="BN35" s="100">
        <f>D35+BM35</f>
        <v>0.05</v>
      </c>
      <c r="BP35" s="123"/>
    </row>
    <row r="36" spans="1:68" ht="20.100000000000001" customHeight="1">
      <c r="A36" s="14" t="s">
        <v>225</v>
      </c>
      <c r="B36" s="143" t="s">
        <v>479</v>
      </c>
      <c r="C36" s="5" t="s">
        <v>203</v>
      </c>
      <c r="D36" s="100">
        <f>#REF!</f>
        <v>0.1</v>
      </c>
      <c r="E36" s="100">
        <f t="shared" si="4"/>
        <v>0</v>
      </c>
      <c r="F36" s="100">
        <f t="shared" si="21"/>
        <v>0</v>
      </c>
      <c r="G36" s="100">
        <f t="shared" si="8"/>
        <v>0</v>
      </c>
      <c r="H36" s="100">
        <f t="shared" si="12"/>
        <v>0</v>
      </c>
      <c r="I36" s="100"/>
      <c r="J36" s="100"/>
      <c r="K36" s="100"/>
      <c r="L36" s="100"/>
      <c r="M36" s="100"/>
      <c r="N36" s="100"/>
      <c r="O36" s="100"/>
      <c r="P36" s="100"/>
      <c r="Q36" s="100"/>
      <c r="R36" s="100"/>
      <c r="S36" s="100"/>
      <c r="T36" s="100"/>
      <c r="U36" s="100"/>
      <c r="V36" s="100">
        <f t="shared" si="13"/>
        <v>0.1</v>
      </c>
      <c r="W36" s="100"/>
      <c r="X36" s="100"/>
      <c r="Y36" s="100"/>
      <c r="Z36" s="100"/>
      <c r="AA36" s="100"/>
      <c r="AB36" s="100"/>
      <c r="AC36" s="100"/>
      <c r="AD36" s="100"/>
      <c r="AE36" s="100">
        <f t="shared" ref="AE36:AE66" si="27">SUM(AF36:AP36)</f>
        <v>0.1</v>
      </c>
      <c r="AF36" s="100"/>
      <c r="AG36" s="100">
        <f>D36-BL36</f>
        <v>0.1</v>
      </c>
      <c r="AH36" s="100"/>
      <c r="AI36" s="100"/>
      <c r="AJ36" s="100"/>
      <c r="AK36" s="100"/>
      <c r="AL36" s="100"/>
      <c r="AM36" s="100"/>
      <c r="AN36" s="100"/>
      <c r="AO36" s="100"/>
      <c r="AP36" s="100"/>
      <c r="AQ36" s="100"/>
      <c r="AR36" s="100"/>
      <c r="AS36" s="100"/>
      <c r="AT36" s="100"/>
      <c r="AU36" s="100"/>
      <c r="AV36" s="100"/>
      <c r="AW36" s="100"/>
      <c r="AX36" s="100"/>
      <c r="AY36" s="100"/>
      <c r="AZ36" s="100"/>
      <c r="BA36" s="100"/>
      <c r="BB36" s="100"/>
      <c r="BC36" s="100"/>
      <c r="BD36" s="100"/>
      <c r="BE36" s="100"/>
      <c r="BF36" s="100"/>
      <c r="BG36" s="100"/>
      <c r="BH36" s="100">
        <f t="shared" si="22"/>
        <v>0</v>
      </c>
      <c r="BI36" s="100"/>
      <c r="BJ36" s="100"/>
      <c r="BK36" s="100"/>
      <c r="BL36" s="100">
        <f>E36+W36+X36+Y36+Z36+AA36+AB36+AC36+AD36+AF36+AH36+AI36+AJ36+AK36+AL36+AM36+AN36+AO36+AP36+AQ36+AR36+AS36+AT36+AU36+AV36+AW36+AX36+AY36+AZ36+BA36+BB36+BC36+BD36+BE36+BF36+BG36+BH36</f>
        <v>0</v>
      </c>
      <c r="BM36" s="100">
        <f>AG67-BL36</f>
        <v>0</v>
      </c>
      <c r="BN36" s="100">
        <f t="shared" ref="BN36:BN45" si="28">D36+BM36</f>
        <v>0.1</v>
      </c>
      <c r="BP36" s="123"/>
    </row>
    <row r="37" spans="1:68" ht="20.100000000000001" customHeight="1">
      <c r="A37" s="14" t="s">
        <v>226</v>
      </c>
      <c r="B37" s="143" t="s">
        <v>480</v>
      </c>
      <c r="C37" s="5" t="s">
        <v>204</v>
      </c>
      <c r="D37" s="100">
        <f>#REF!</f>
        <v>3.36</v>
      </c>
      <c r="E37" s="100">
        <f t="shared" si="4"/>
        <v>0</v>
      </c>
      <c r="F37" s="100">
        <f t="shared" si="21"/>
        <v>0</v>
      </c>
      <c r="G37" s="100">
        <f t="shared" si="8"/>
        <v>0</v>
      </c>
      <c r="H37" s="100">
        <f t="shared" si="12"/>
        <v>0</v>
      </c>
      <c r="I37" s="100"/>
      <c r="J37" s="100"/>
      <c r="K37" s="100"/>
      <c r="L37" s="100"/>
      <c r="M37" s="100"/>
      <c r="N37" s="100"/>
      <c r="O37" s="100"/>
      <c r="P37" s="100"/>
      <c r="Q37" s="100"/>
      <c r="R37" s="100"/>
      <c r="S37" s="100"/>
      <c r="T37" s="100"/>
      <c r="U37" s="100"/>
      <c r="V37" s="100">
        <f t="shared" si="13"/>
        <v>3.36</v>
      </c>
      <c r="W37" s="100"/>
      <c r="X37" s="100"/>
      <c r="Y37" s="100"/>
      <c r="Z37" s="100"/>
      <c r="AA37" s="100"/>
      <c r="AB37" s="100"/>
      <c r="AC37" s="100"/>
      <c r="AD37" s="100"/>
      <c r="AE37" s="100">
        <f t="shared" si="27"/>
        <v>3.36</v>
      </c>
      <c r="AF37" s="100"/>
      <c r="AG37" s="100"/>
      <c r="AH37" s="100">
        <f>D37-BL37</f>
        <v>3.36</v>
      </c>
      <c r="AI37" s="100"/>
      <c r="AJ37" s="100"/>
      <c r="AK37" s="100"/>
      <c r="AL37" s="100"/>
      <c r="AM37" s="100"/>
      <c r="AN37" s="100"/>
      <c r="AO37" s="100"/>
      <c r="AP37" s="100"/>
      <c r="AQ37" s="100"/>
      <c r="AR37" s="100"/>
      <c r="AS37" s="100"/>
      <c r="AT37" s="100"/>
      <c r="AU37" s="100"/>
      <c r="AV37" s="100"/>
      <c r="AW37" s="100"/>
      <c r="AX37" s="100"/>
      <c r="AY37" s="100"/>
      <c r="AZ37" s="100"/>
      <c r="BA37" s="100"/>
      <c r="BB37" s="100"/>
      <c r="BC37" s="100"/>
      <c r="BD37" s="100"/>
      <c r="BE37" s="100"/>
      <c r="BF37" s="100"/>
      <c r="BG37" s="100"/>
      <c r="BH37" s="100">
        <f t="shared" si="22"/>
        <v>0</v>
      </c>
      <c r="BI37" s="100"/>
      <c r="BJ37" s="100"/>
      <c r="BK37" s="100"/>
      <c r="BL37" s="100">
        <f>E37+W37+X37+Y37+Z37+AA37+AB37+AC37+AD37+AF37+AG37+AI37+AJ37+AK37+AL37+AM37+AN37+AO37+AP37+AQ37+AR37+AS37+AT37+AU37+AV37+AW37+AX37+AY37+AZ37+BA37+BB37+BC37+BD37+BE37+BF37+BG37+BH37</f>
        <v>0</v>
      </c>
      <c r="BM37" s="100">
        <f>AH67-BL37</f>
        <v>0</v>
      </c>
      <c r="BN37" s="100">
        <f t="shared" si="28"/>
        <v>3.36</v>
      </c>
      <c r="BP37" s="123"/>
    </row>
    <row r="38" spans="1:68" ht="20.100000000000001" customHeight="1">
      <c r="A38" s="14" t="s">
        <v>227</v>
      </c>
      <c r="B38" s="143" t="s">
        <v>481</v>
      </c>
      <c r="C38" s="5" t="s">
        <v>205</v>
      </c>
      <c r="D38" s="100">
        <f>#REF!</f>
        <v>0.41</v>
      </c>
      <c r="E38" s="100">
        <f t="shared" si="4"/>
        <v>0</v>
      </c>
      <c r="F38" s="100">
        <f t="shared" si="21"/>
        <v>0</v>
      </c>
      <c r="G38" s="100">
        <f t="shared" si="8"/>
        <v>0</v>
      </c>
      <c r="H38" s="100">
        <f t="shared" si="12"/>
        <v>0</v>
      </c>
      <c r="I38" s="100"/>
      <c r="J38" s="100"/>
      <c r="K38" s="100"/>
      <c r="L38" s="100"/>
      <c r="M38" s="100"/>
      <c r="N38" s="100"/>
      <c r="O38" s="100"/>
      <c r="P38" s="100"/>
      <c r="Q38" s="100"/>
      <c r="R38" s="100"/>
      <c r="S38" s="100"/>
      <c r="T38" s="100"/>
      <c r="U38" s="100"/>
      <c r="V38" s="100">
        <f t="shared" si="13"/>
        <v>0.41</v>
      </c>
      <c r="W38" s="100"/>
      <c r="X38" s="100"/>
      <c r="Y38" s="100"/>
      <c r="Z38" s="100"/>
      <c r="AA38" s="100"/>
      <c r="AB38" s="100"/>
      <c r="AC38" s="100"/>
      <c r="AD38" s="100"/>
      <c r="AE38" s="100">
        <f t="shared" si="27"/>
        <v>0.41</v>
      </c>
      <c r="AF38" s="100"/>
      <c r="AG38" s="100"/>
      <c r="AH38" s="100"/>
      <c r="AI38" s="100">
        <f>D38-BL38</f>
        <v>0.41</v>
      </c>
      <c r="AJ38" s="100"/>
      <c r="AK38" s="100"/>
      <c r="AL38" s="100"/>
      <c r="AM38" s="100"/>
      <c r="AN38" s="100"/>
      <c r="AO38" s="100"/>
      <c r="AP38" s="100"/>
      <c r="AQ38" s="100"/>
      <c r="AR38" s="100"/>
      <c r="AS38" s="100"/>
      <c r="AT38" s="100"/>
      <c r="AU38" s="100"/>
      <c r="AV38" s="100"/>
      <c r="AW38" s="100"/>
      <c r="AX38" s="100"/>
      <c r="AY38" s="100"/>
      <c r="AZ38" s="100"/>
      <c r="BA38" s="100"/>
      <c r="BB38" s="100"/>
      <c r="BC38" s="100"/>
      <c r="BD38" s="100"/>
      <c r="BE38" s="100"/>
      <c r="BF38" s="100"/>
      <c r="BG38" s="100"/>
      <c r="BH38" s="100">
        <f t="shared" si="22"/>
        <v>0</v>
      </c>
      <c r="BI38" s="100"/>
      <c r="BJ38" s="100"/>
      <c r="BK38" s="100"/>
      <c r="BL38" s="100">
        <f>E38+W38+X38+Y38+Z38+AA38+AB38+AC38+AD38+AF38+AG38+AH38+AJ38+AK38+AL38+AM38+AN38+AO38+AP38+AQ38+AR38+AS38+AT38+AU38+AV38+AW38+AX38+AY38+AZ38+BA38+BB38+BC38+BD38+BE38+BF38+BG38+BH38</f>
        <v>0</v>
      </c>
      <c r="BM38" s="100">
        <f>AI67-BL38</f>
        <v>0</v>
      </c>
      <c r="BN38" s="100">
        <f t="shared" si="28"/>
        <v>0.41</v>
      </c>
      <c r="BP38" s="123"/>
    </row>
    <row r="39" spans="1:68" ht="20.100000000000001" customHeight="1">
      <c r="A39" s="14" t="s">
        <v>228</v>
      </c>
      <c r="B39" s="143" t="s">
        <v>482</v>
      </c>
      <c r="C39" s="5" t="s">
        <v>206</v>
      </c>
      <c r="D39" s="100"/>
      <c r="E39" s="100">
        <f t="shared" si="4"/>
        <v>0</v>
      </c>
      <c r="F39" s="100">
        <f t="shared" si="21"/>
        <v>0</v>
      </c>
      <c r="G39" s="100">
        <f t="shared" si="8"/>
        <v>0</v>
      </c>
      <c r="H39" s="100">
        <f t="shared" si="12"/>
        <v>0</v>
      </c>
      <c r="I39" s="100"/>
      <c r="J39" s="100"/>
      <c r="K39" s="100"/>
      <c r="L39" s="100"/>
      <c r="M39" s="100"/>
      <c r="N39" s="100"/>
      <c r="O39" s="100"/>
      <c r="P39" s="100"/>
      <c r="Q39" s="100"/>
      <c r="R39" s="100"/>
      <c r="S39" s="100"/>
      <c r="T39" s="100"/>
      <c r="U39" s="100"/>
      <c r="V39" s="100">
        <f t="shared" si="13"/>
        <v>0</v>
      </c>
      <c r="W39" s="100"/>
      <c r="X39" s="100"/>
      <c r="Y39" s="100"/>
      <c r="Z39" s="100"/>
      <c r="AA39" s="100"/>
      <c r="AB39" s="100"/>
      <c r="AC39" s="100"/>
      <c r="AD39" s="100"/>
      <c r="AE39" s="100">
        <f t="shared" si="27"/>
        <v>0</v>
      </c>
      <c r="AF39" s="100"/>
      <c r="AG39" s="100"/>
      <c r="AH39" s="100"/>
      <c r="AI39" s="100"/>
      <c r="AJ39" s="100">
        <f>D39-BL39</f>
        <v>0</v>
      </c>
      <c r="AK39" s="100"/>
      <c r="AL39" s="100"/>
      <c r="AM39" s="100"/>
      <c r="AN39" s="100"/>
      <c r="AO39" s="100"/>
      <c r="AP39" s="100"/>
      <c r="AQ39" s="100"/>
      <c r="AR39" s="100"/>
      <c r="AS39" s="100"/>
      <c r="AT39" s="100"/>
      <c r="AU39" s="100"/>
      <c r="AV39" s="100"/>
      <c r="AW39" s="100"/>
      <c r="AX39" s="100"/>
      <c r="AY39" s="100"/>
      <c r="AZ39" s="100"/>
      <c r="BA39" s="100"/>
      <c r="BB39" s="100"/>
      <c r="BC39" s="100"/>
      <c r="BD39" s="100"/>
      <c r="BE39" s="100"/>
      <c r="BF39" s="100"/>
      <c r="BG39" s="100"/>
      <c r="BH39" s="100">
        <f t="shared" si="22"/>
        <v>0</v>
      </c>
      <c r="BI39" s="100"/>
      <c r="BJ39" s="100"/>
      <c r="BK39" s="100"/>
      <c r="BL39" s="100">
        <f>E39+W39+X39+Y39+Z39+AA39+AB39+AC39+AD39+AQ39+AR39+AS39+AT39+AU39+AV39+AW39+AX39+AY39+AZ39+BA39+BB39+BC39+BD39+BE39+BF39+BG39+BH39+AF39+AG39+AH39+AI39+AK39+AL39+AM39+AN39+AO39+AP39</f>
        <v>0</v>
      </c>
      <c r="BM39" s="100">
        <f>AJ67-BL39</f>
        <v>0</v>
      </c>
      <c r="BN39" s="100">
        <f t="shared" si="28"/>
        <v>0</v>
      </c>
      <c r="BP39" s="123"/>
    </row>
    <row r="40" spans="1:68" ht="20.100000000000001" customHeight="1">
      <c r="A40" s="14" t="s">
        <v>229</v>
      </c>
      <c r="B40" s="143" t="s">
        <v>483</v>
      </c>
      <c r="C40" s="5" t="s">
        <v>207</v>
      </c>
      <c r="D40" s="100"/>
      <c r="E40" s="100">
        <f t="shared" si="4"/>
        <v>0</v>
      </c>
      <c r="F40" s="100">
        <f t="shared" si="21"/>
        <v>0</v>
      </c>
      <c r="G40" s="100">
        <f t="shared" si="8"/>
        <v>0</v>
      </c>
      <c r="H40" s="100">
        <f t="shared" si="12"/>
        <v>0</v>
      </c>
      <c r="I40" s="100"/>
      <c r="J40" s="100"/>
      <c r="K40" s="100"/>
      <c r="L40" s="100"/>
      <c r="M40" s="100"/>
      <c r="N40" s="100"/>
      <c r="O40" s="100"/>
      <c r="P40" s="100"/>
      <c r="Q40" s="100"/>
      <c r="R40" s="100"/>
      <c r="S40" s="100"/>
      <c r="T40" s="100"/>
      <c r="U40" s="100"/>
      <c r="V40" s="100">
        <f t="shared" si="13"/>
        <v>0</v>
      </c>
      <c r="W40" s="100"/>
      <c r="X40" s="100"/>
      <c r="Y40" s="100"/>
      <c r="Z40" s="100"/>
      <c r="AA40" s="100"/>
      <c r="AB40" s="100"/>
      <c r="AC40" s="100"/>
      <c r="AD40" s="100"/>
      <c r="AE40" s="100">
        <f t="shared" si="27"/>
        <v>0</v>
      </c>
      <c r="AF40" s="100"/>
      <c r="AG40" s="100"/>
      <c r="AH40" s="100"/>
      <c r="AI40" s="100"/>
      <c r="AJ40" s="100"/>
      <c r="AK40" s="100">
        <f>D40-BL40</f>
        <v>0</v>
      </c>
      <c r="AL40" s="100"/>
      <c r="AM40" s="100"/>
      <c r="AN40" s="100"/>
      <c r="AO40" s="100"/>
      <c r="AP40" s="100"/>
      <c r="AQ40" s="100"/>
      <c r="AR40" s="100"/>
      <c r="AS40" s="100"/>
      <c r="AT40" s="100"/>
      <c r="AU40" s="100"/>
      <c r="AV40" s="100"/>
      <c r="AW40" s="100"/>
      <c r="AX40" s="100"/>
      <c r="AY40" s="100"/>
      <c r="AZ40" s="100"/>
      <c r="BA40" s="100"/>
      <c r="BB40" s="100"/>
      <c r="BC40" s="100"/>
      <c r="BD40" s="100"/>
      <c r="BE40" s="100"/>
      <c r="BF40" s="100"/>
      <c r="BG40" s="100"/>
      <c r="BH40" s="100">
        <f t="shared" si="22"/>
        <v>0</v>
      </c>
      <c r="BI40" s="100"/>
      <c r="BJ40" s="100"/>
      <c r="BK40" s="100"/>
      <c r="BL40" s="100">
        <f>E40+W40+X40+Y40+Z40+AA40+AB40+AC40+AD40+AF40+AG40+AH40+AI40+AJ40+AL40+AM40+AN40+AO40+AP40+AQ40+AR40+AS40+AT40+AU40+AV40+AW40+AX40+AY40+AZ40+BA40+BB40+BC40+BD40+BE40+BF40+BG40+BH40</f>
        <v>0</v>
      </c>
      <c r="BM40" s="100">
        <f>AK67-BL40</f>
        <v>0</v>
      </c>
      <c r="BN40" s="100">
        <f t="shared" si="28"/>
        <v>0</v>
      </c>
      <c r="BP40" s="123"/>
    </row>
    <row r="41" spans="1:68" ht="20.100000000000001" customHeight="1">
      <c r="A41" s="14" t="s">
        <v>230</v>
      </c>
      <c r="B41" s="143" t="s">
        <v>484</v>
      </c>
      <c r="C41" s="5" t="s">
        <v>199</v>
      </c>
      <c r="D41" s="100">
        <f>#REF!</f>
        <v>31.29</v>
      </c>
      <c r="E41" s="100">
        <f t="shared" si="4"/>
        <v>0</v>
      </c>
      <c r="F41" s="100">
        <f t="shared" si="21"/>
        <v>0</v>
      </c>
      <c r="G41" s="100">
        <f t="shared" si="8"/>
        <v>0</v>
      </c>
      <c r="H41" s="100">
        <f t="shared" si="12"/>
        <v>0</v>
      </c>
      <c r="I41" s="100"/>
      <c r="J41" s="100"/>
      <c r="K41" s="100"/>
      <c r="L41" s="100"/>
      <c r="M41" s="100"/>
      <c r="N41" s="100"/>
      <c r="O41" s="100"/>
      <c r="P41" s="100"/>
      <c r="Q41" s="100"/>
      <c r="R41" s="100"/>
      <c r="S41" s="100"/>
      <c r="T41" s="100"/>
      <c r="U41" s="100"/>
      <c r="V41" s="100">
        <f t="shared" si="13"/>
        <v>31.29</v>
      </c>
      <c r="W41" s="100"/>
      <c r="X41" s="100"/>
      <c r="Y41" s="100"/>
      <c r="Z41" s="100"/>
      <c r="AA41" s="100"/>
      <c r="AB41" s="100"/>
      <c r="AC41" s="100"/>
      <c r="AD41" s="100"/>
      <c r="AE41" s="100">
        <f t="shared" si="27"/>
        <v>31.25</v>
      </c>
      <c r="AF41" s="100"/>
      <c r="AG41" s="100"/>
      <c r="AH41" s="100"/>
      <c r="AI41" s="100"/>
      <c r="AJ41" s="100"/>
      <c r="AK41" s="100"/>
      <c r="AL41" s="100">
        <f>D41-BL41</f>
        <v>31.25</v>
      </c>
      <c r="AM41" s="100"/>
      <c r="AN41" s="100"/>
      <c r="AO41" s="100"/>
      <c r="AP41" s="100"/>
      <c r="AQ41" s="100"/>
      <c r="AR41" s="100"/>
      <c r="AS41" s="100"/>
      <c r="AT41" s="100"/>
      <c r="AU41" s="100">
        <v>0.04</v>
      </c>
      <c r="AV41" s="100"/>
      <c r="AW41" s="100"/>
      <c r="AX41" s="100"/>
      <c r="AY41" s="100"/>
      <c r="AZ41" s="100"/>
      <c r="BA41" s="100"/>
      <c r="BB41" s="100"/>
      <c r="BC41" s="100"/>
      <c r="BD41" s="100"/>
      <c r="BE41" s="100"/>
      <c r="BF41" s="100"/>
      <c r="BG41" s="100"/>
      <c r="BH41" s="100">
        <f t="shared" si="22"/>
        <v>0</v>
      </c>
      <c r="BI41" s="100"/>
      <c r="BJ41" s="100"/>
      <c r="BK41" s="100"/>
      <c r="BL41" s="100">
        <f>E41+W41+X41+Y41+Z41+AA41+AB41+AC41+AD41+AF41+AG41+AH41+AI41+AJ41+AK41+AM41+AN41+AO41+AP41+AQ41+AR41+AS41+AT41+AU41+AV41+AW41+AX41+AY41+AZ41+BA41+BB41+BC41+BD41+BE41+BF41+BG41+BH41</f>
        <v>0.04</v>
      </c>
      <c r="BM41" s="100">
        <f>AL67-BL41</f>
        <v>0</v>
      </c>
      <c r="BN41" s="100">
        <f t="shared" si="28"/>
        <v>31.29</v>
      </c>
      <c r="BP41" s="123"/>
    </row>
    <row r="42" spans="1:68" ht="20.100000000000001" customHeight="1">
      <c r="A42" s="14" t="s">
        <v>231</v>
      </c>
      <c r="B42" s="143" t="s">
        <v>485</v>
      </c>
      <c r="C42" s="5" t="s">
        <v>200</v>
      </c>
      <c r="D42" s="100"/>
      <c r="E42" s="100">
        <f t="shared" si="4"/>
        <v>0</v>
      </c>
      <c r="F42" s="100">
        <f t="shared" si="21"/>
        <v>0</v>
      </c>
      <c r="G42" s="100">
        <f t="shared" si="8"/>
        <v>0</v>
      </c>
      <c r="H42" s="100">
        <f t="shared" si="12"/>
        <v>0</v>
      </c>
      <c r="I42" s="100"/>
      <c r="J42" s="100"/>
      <c r="K42" s="100"/>
      <c r="L42" s="100"/>
      <c r="M42" s="100"/>
      <c r="N42" s="100"/>
      <c r="O42" s="100"/>
      <c r="P42" s="100"/>
      <c r="Q42" s="100"/>
      <c r="R42" s="100"/>
      <c r="S42" s="100"/>
      <c r="T42" s="100"/>
      <c r="U42" s="100"/>
      <c r="V42" s="100">
        <f t="shared" si="13"/>
        <v>0</v>
      </c>
      <c r="W42" s="100"/>
      <c r="X42" s="100"/>
      <c r="Y42" s="100"/>
      <c r="Z42" s="100"/>
      <c r="AA42" s="100"/>
      <c r="AB42" s="100"/>
      <c r="AC42" s="100"/>
      <c r="AD42" s="100"/>
      <c r="AE42" s="100">
        <f t="shared" si="27"/>
        <v>0</v>
      </c>
      <c r="AF42" s="100"/>
      <c r="AG42" s="100"/>
      <c r="AH42" s="100"/>
      <c r="AI42" s="100"/>
      <c r="AJ42" s="100"/>
      <c r="AK42" s="100"/>
      <c r="AL42" s="100"/>
      <c r="AM42" s="100">
        <f>D42-BL42</f>
        <v>0</v>
      </c>
      <c r="AN42" s="100"/>
      <c r="AO42" s="100"/>
      <c r="AP42" s="100"/>
      <c r="AQ42" s="100"/>
      <c r="AR42" s="100"/>
      <c r="AS42" s="100"/>
      <c r="AT42" s="100"/>
      <c r="AU42" s="100"/>
      <c r="AV42" s="100"/>
      <c r="AW42" s="100"/>
      <c r="AX42" s="100"/>
      <c r="AY42" s="100"/>
      <c r="AZ42" s="100"/>
      <c r="BA42" s="100"/>
      <c r="BB42" s="100"/>
      <c r="BC42" s="100"/>
      <c r="BD42" s="100"/>
      <c r="BE42" s="100"/>
      <c r="BF42" s="100"/>
      <c r="BG42" s="100"/>
      <c r="BH42" s="100">
        <f t="shared" si="22"/>
        <v>0</v>
      </c>
      <c r="BI42" s="100"/>
      <c r="BJ42" s="100"/>
      <c r="BK42" s="100"/>
      <c r="BL42" s="100">
        <f>E42+W42+X42+Y42+Z42+AA42+AB42+AC42+AD42+AF42+AG42+AH42+AI42+AJ42+AK42+AL42+AN42+AO42+AP42+AQ42+AR42+AS42+AT42+AU42+AV42+AW42+AX42+AY42+AZ42+BA42+BB42+BC42+BD42+BE42+BF42+BG42+BH42</f>
        <v>0</v>
      </c>
      <c r="BM42" s="100">
        <f>AM67-BL42</f>
        <v>0</v>
      </c>
      <c r="BN42" s="100">
        <f t="shared" si="28"/>
        <v>0</v>
      </c>
      <c r="BP42" s="123"/>
    </row>
    <row r="43" spans="1:68" ht="20.100000000000001" customHeight="1">
      <c r="A43" s="14" t="s">
        <v>232</v>
      </c>
      <c r="B43" s="143" t="s">
        <v>486</v>
      </c>
      <c r="C43" s="5" t="s">
        <v>223</v>
      </c>
      <c r="D43" s="100">
        <f>#REF!</f>
        <v>0.11</v>
      </c>
      <c r="E43" s="100">
        <f t="shared" si="4"/>
        <v>0</v>
      </c>
      <c r="F43" s="100">
        <f t="shared" si="21"/>
        <v>0</v>
      </c>
      <c r="G43" s="100">
        <f t="shared" si="8"/>
        <v>0</v>
      </c>
      <c r="H43" s="100">
        <f t="shared" si="12"/>
        <v>0</v>
      </c>
      <c r="I43" s="100"/>
      <c r="J43" s="100"/>
      <c r="K43" s="100"/>
      <c r="L43" s="100"/>
      <c r="M43" s="100"/>
      <c r="N43" s="100"/>
      <c r="O43" s="100"/>
      <c r="P43" s="100"/>
      <c r="Q43" s="100"/>
      <c r="R43" s="100"/>
      <c r="S43" s="100"/>
      <c r="T43" s="100"/>
      <c r="U43" s="100"/>
      <c r="V43" s="100">
        <f t="shared" si="13"/>
        <v>0.11</v>
      </c>
      <c r="W43" s="100"/>
      <c r="X43" s="100"/>
      <c r="Y43" s="100"/>
      <c r="Z43" s="100"/>
      <c r="AA43" s="100"/>
      <c r="AB43" s="100"/>
      <c r="AC43" s="100"/>
      <c r="AD43" s="100"/>
      <c r="AE43" s="100">
        <f t="shared" si="27"/>
        <v>0.11</v>
      </c>
      <c r="AF43" s="100"/>
      <c r="AG43" s="100"/>
      <c r="AH43" s="100"/>
      <c r="AI43" s="100"/>
      <c r="AJ43" s="100"/>
      <c r="AK43" s="100"/>
      <c r="AL43" s="100"/>
      <c r="AM43" s="100"/>
      <c r="AN43" s="100">
        <f>D43-BL43</f>
        <v>0.11</v>
      </c>
      <c r="AO43" s="100"/>
      <c r="AP43" s="100"/>
      <c r="AQ43" s="100"/>
      <c r="AR43" s="100"/>
      <c r="AS43" s="100"/>
      <c r="AT43" s="100"/>
      <c r="AU43" s="100"/>
      <c r="AV43" s="100"/>
      <c r="AW43" s="100"/>
      <c r="AX43" s="100"/>
      <c r="AY43" s="100"/>
      <c r="AZ43" s="100"/>
      <c r="BA43" s="100"/>
      <c r="BB43" s="100"/>
      <c r="BC43" s="100"/>
      <c r="BD43" s="100"/>
      <c r="BE43" s="100"/>
      <c r="BF43" s="100"/>
      <c r="BG43" s="100"/>
      <c r="BH43" s="100">
        <f t="shared" si="22"/>
        <v>0</v>
      </c>
      <c r="BI43" s="100"/>
      <c r="BJ43" s="100"/>
      <c r="BK43" s="100"/>
      <c r="BL43" s="100">
        <f>E43+W43+X43+Y43+Z43+AA43+AB43+AC43+AD43+AF43+AG43+AH43+AI43+AJ43+AK43+AL43+AM43+AO43+AP43+AQ43+AR43+AS43+AT43+AU43+AV43+AW43+AX43+AY43+AZ43+BA43+BB43+BC43+BD43+BE43+BF43+BG43+BH43</f>
        <v>0</v>
      </c>
      <c r="BM43" s="100">
        <f>AN67-BL43</f>
        <v>0</v>
      </c>
      <c r="BN43" s="100">
        <f t="shared" si="28"/>
        <v>0.11</v>
      </c>
      <c r="BP43" s="123"/>
    </row>
    <row r="44" spans="1:68" ht="20.100000000000001" customHeight="1">
      <c r="A44" s="14" t="s">
        <v>233</v>
      </c>
      <c r="B44" s="143" t="s">
        <v>487</v>
      </c>
      <c r="C44" s="5" t="s">
        <v>201</v>
      </c>
      <c r="D44" s="100"/>
      <c r="E44" s="100">
        <f t="shared" si="4"/>
        <v>0</v>
      </c>
      <c r="F44" s="100">
        <f t="shared" si="21"/>
        <v>0</v>
      </c>
      <c r="G44" s="100">
        <f t="shared" si="8"/>
        <v>0</v>
      </c>
      <c r="H44" s="100">
        <f t="shared" si="12"/>
        <v>0</v>
      </c>
      <c r="I44" s="100"/>
      <c r="J44" s="100"/>
      <c r="K44" s="100"/>
      <c r="L44" s="100"/>
      <c r="M44" s="100"/>
      <c r="N44" s="100"/>
      <c r="O44" s="100"/>
      <c r="P44" s="100"/>
      <c r="Q44" s="100"/>
      <c r="R44" s="100"/>
      <c r="S44" s="100"/>
      <c r="T44" s="100"/>
      <c r="U44" s="100"/>
      <c r="V44" s="100">
        <f t="shared" si="13"/>
        <v>0</v>
      </c>
      <c r="W44" s="100"/>
      <c r="X44" s="100"/>
      <c r="Y44" s="100"/>
      <c r="Z44" s="100"/>
      <c r="AA44" s="100"/>
      <c r="AB44" s="100"/>
      <c r="AC44" s="100"/>
      <c r="AD44" s="100"/>
      <c r="AE44" s="100">
        <f t="shared" si="27"/>
        <v>0</v>
      </c>
      <c r="AF44" s="100"/>
      <c r="AG44" s="100"/>
      <c r="AH44" s="100"/>
      <c r="AI44" s="100"/>
      <c r="AJ44" s="100"/>
      <c r="AK44" s="100"/>
      <c r="AL44" s="100"/>
      <c r="AM44" s="100"/>
      <c r="AN44" s="100"/>
      <c r="AO44" s="100">
        <f>D44-BL44</f>
        <v>0</v>
      </c>
      <c r="AP44" s="100"/>
      <c r="AQ44" s="100"/>
      <c r="AR44" s="100"/>
      <c r="AS44" s="100"/>
      <c r="AT44" s="100"/>
      <c r="AU44" s="100"/>
      <c r="AV44" s="100"/>
      <c r="AW44" s="100"/>
      <c r="AX44" s="100"/>
      <c r="AY44" s="100"/>
      <c r="AZ44" s="100"/>
      <c r="BA44" s="100"/>
      <c r="BB44" s="100"/>
      <c r="BC44" s="100"/>
      <c r="BD44" s="100"/>
      <c r="BE44" s="100"/>
      <c r="BF44" s="100"/>
      <c r="BG44" s="100"/>
      <c r="BH44" s="100">
        <f t="shared" si="22"/>
        <v>0</v>
      </c>
      <c r="BI44" s="100"/>
      <c r="BJ44" s="100"/>
      <c r="BK44" s="100"/>
      <c r="BL44" s="100">
        <f>E44+W44+X44+Y44+Z44+AA44+AB44+AC44+AD44+AF44+AG44+AH44+AI44+AJ44+AK44+AL44+AM44+AN44+AP44+AQ44+AR44+AS44+AT44+AU44+AV44+AW44+AX44+AY44+AZ44+BA44+BB44+BC44+BD44+BE44+BF44+BG44+BH44</f>
        <v>0</v>
      </c>
      <c r="BM44" s="100">
        <f>AO67-BL44</f>
        <v>0</v>
      </c>
      <c r="BN44" s="100">
        <f t="shared" si="28"/>
        <v>0</v>
      </c>
      <c r="BP44" s="123"/>
    </row>
    <row r="45" spans="1:68" ht="20.100000000000001" customHeight="1">
      <c r="A45" s="14" t="s">
        <v>234</v>
      </c>
      <c r="B45" s="143" t="s">
        <v>488</v>
      </c>
      <c r="C45" s="5" t="s">
        <v>208</v>
      </c>
      <c r="D45" s="100">
        <f>#REF!</f>
        <v>4.42</v>
      </c>
      <c r="E45" s="100">
        <f t="shared" si="4"/>
        <v>0</v>
      </c>
      <c r="F45" s="100">
        <f t="shared" si="21"/>
        <v>0</v>
      </c>
      <c r="G45" s="100">
        <f t="shared" si="8"/>
        <v>0</v>
      </c>
      <c r="H45" s="100">
        <f t="shared" si="12"/>
        <v>0</v>
      </c>
      <c r="I45" s="100"/>
      <c r="J45" s="100"/>
      <c r="K45" s="100"/>
      <c r="L45" s="100"/>
      <c r="M45" s="100"/>
      <c r="N45" s="100"/>
      <c r="O45" s="100"/>
      <c r="P45" s="100"/>
      <c r="Q45" s="100"/>
      <c r="R45" s="100"/>
      <c r="S45" s="100"/>
      <c r="T45" s="100"/>
      <c r="U45" s="100"/>
      <c r="V45" s="100">
        <f t="shared" si="13"/>
        <v>4.42</v>
      </c>
      <c r="W45" s="100"/>
      <c r="X45" s="100"/>
      <c r="Y45" s="100"/>
      <c r="Z45" s="100"/>
      <c r="AA45" s="100"/>
      <c r="AB45" s="100"/>
      <c r="AC45" s="100"/>
      <c r="AD45" s="100"/>
      <c r="AE45" s="100">
        <f t="shared" si="27"/>
        <v>4.42</v>
      </c>
      <c r="AF45" s="100"/>
      <c r="AG45" s="100"/>
      <c r="AH45" s="100"/>
      <c r="AI45" s="100"/>
      <c r="AJ45" s="100"/>
      <c r="AK45" s="100"/>
      <c r="AL45" s="100"/>
      <c r="AM45" s="100"/>
      <c r="AN45" s="100"/>
      <c r="AO45" s="100"/>
      <c r="AP45" s="100">
        <f>D45-BL45</f>
        <v>4.42</v>
      </c>
      <c r="AQ45" s="100"/>
      <c r="AR45" s="100"/>
      <c r="AS45" s="100"/>
      <c r="AT45" s="100"/>
      <c r="AU45" s="100"/>
      <c r="AV45" s="100"/>
      <c r="AW45" s="100"/>
      <c r="AX45" s="100"/>
      <c r="AY45" s="100"/>
      <c r="AZ45" s="100"/>
      <c r="BA45" s="100"/>
      <c r="BB45" s="100"/>
      <c r="BC45" s="100"/>
      <c r="BD45" s="100"/>
      <c r="BE45" s="100"/>
      <c r="BF45" s="100"/>
      <c r="BG45" s="100"/>
      <c r="BH45" s="100">
        <f t="shared" si="22"/>
        <v>0</v>
      </c>
      <c r="BI45" s="100"/>
      <c r="BJ45" s="100"/>
      <c r="BK45" s="100"/>
      <c r="BL45" s="100">
        <f>E45+W45+X45+Y45+Z45+AA45+AB45+AC45+AD45+AF45+AG45+AH45+AI45+AJ45+AK45+AL45+AM45+AN45+AO45+AQ45+AR45+AS45+AT45+AU45+AV45+AW45+AX45+AY45+AZ45+BA45+BB45+BC45+BD45+BE45+BF45+BG45+BH45</f>
        <v>0</v>
      </c>
      <c r="BM45" s="100">
        <f>AP67-BL45</f>
        <v>0</v>
      </c>
      <c r="BN45" s="100">
        <f t="shared" si="28"/>
        <v>4.42</v>
      </c>
      <c r="BP45" s="123"/>
    </row>
    <row r="46" spans="1:68" ht="20.100000000000001" customHeight="1">
      <c r="A46" s="19" t="s">
        <v>73</v>
      </c>
      <c r="B46" s="144" t="s">
        <v>74</v>
      </c>
      <c r="C46" s="5" t="s">
        <v>75</v>
      </c>
      <c r="D46" s="100"/>
      <c r="E46" s="100">
        <f t="shared" si="4"/>
        <v>0</v>
      </c>
      <c r="F46" s="100">
        <f t="shared" si="21"/>
        <v>0</v>
      </c>
      <c r="G46" s="100">
        <f t="shared" si="8"/>
        <v>0</v>
      </c>
      <c r="H46" s="100">
        <f t="shared" si="12"/>
        <v>0</v>
      </c>
      <c r="I46" s="100"/>
      <c r="J46" s="100"/>
      <c r="K46" s="100"/>
      <c r="L46" s="100"/>
      <c r="M46" s="100"/>
      <c r="N46" s="100"/>
      <c r="O46" s="100"/>
      <c r="P46" s="100"/>
      <c r="Q46" s="100"/>
      <c r="R46" s="100"/>
      <c r="S46" s="100"/>
      <c r="T46" s="100"/>
      <c r="U46" s="100"/>
      <c r="V46" s="100">
        <f t="shared" si="13"/>
        <v>0</v>
      </c>
      <c r="W46" s="100"/>
      <c r="X46" s="100"/>
      <c r="Y46" s="100"/>
      <c r="Z46" s="100"/>
      <c r="AA46" s="100"/>
      <c r="AB46" s="100"/>
      <c r="AC46" s="100"/>
      <c r="AD46" s="100"/>
      <c r="AE46" s="100">
        <f t="shared" si="27"/>
        <v>0</v>
      </c>
      <c r="AF46" s="100"/>
      <c r="AG46" s="100"/>
      <c r="AH46" s="100"/>
      <c r="AI46" s="100"/>
      <c r="AJ46" s="100"/>
      <c r="AK46" s="100"/>
      <c r="AL46" s="100"/>
      <c r="AM46" s="100"/>
      <c r="AN46" s="100"/>
      <c r="AO46" s="100"/>
      <c r="AP46" s="100"/>
      <c r="AQ46" s="100">
        <f>D46-BL46</f>
        <v>0</v>
      </c>
      <c r="AR46" s="100"/>
      <c r="AS46" s="100"/>
      <c r="AT46" s="100"/>
      <c r="AU46" s="100"/>
      <c r="AV46" s="100"/>
      <c r="AW46" s="100"/>
      <c r="AX46" s="100"/>
      <c r="AY46" s="100"/>
      <c r="AZ46" s="100"/>
      <c r="BA46" s="100"/>
      <c r="BB46" s="100"/>
      <c r="BC46" s="100"/>
      <c r="BD46" s="100"/>
      <c r="BE46" s="100"/>
      <c r="BF46" s="100"/>
      <c r="BG46" s="100"/>
      <c r="BH46" s="100">
        <f t="shared" si="22"/>
        <v>0</v>
      </c>
      <c r="BI46" s="100"/>
      <c r="BJ46" s="100"/>
      <c r="BK46" s="100"/>
      <c r="BL46" s="100">
        <f>E46+W46+X46+Y46+Z46+AA46+AB46+AC46+AD46+AE46+AR46+AS46+AT46+AU46+AV46+AW46+AX46+AY46+AZ46+BA46+BB46+BC46+BD46+BE46+BF46+BG46+BH46</f>
        <v>0</v>
      </c>
      <c r="BM46" s="100">
        <f>AQ67-BL46</f>
        <v>0</v>
      </c>
      <c r="BN46" s="100">
        <f>D46+BM46</f>
        <v>0</v>
      </c>
      <c r="BP46" s="123"/>
    </row>
    <row r="47" spans="1:68" ht="20.100000000000001" customHeight="1">
      <c r="A47" s="19" t="s">
        <v>76</v>
      </c>
      <c r="B47" s="144" t="s">
        <v>77</v>
      </c>
      <c r="C47" s="5" t="s">
        <v>78</v>
      </c>
      <c r="D47" s="100"/>
      <c r="E47" s="100">
        <f t="shared" si="4"/>
        <v>0</v>
      </c>
      <c r="F47" s="100">
        <f t="shared" si="21"/>
        <v>0</v>
      </c>
      <c r="G47" s="100">
        <f t="shared" si="8"/>
        <v>0</v>
      </c>
      <c r="H47" s="100">
        <f t="shared" si="12"/>
        <v>0</v>
      </c>
      <c r="I47" s="100"/>
      <c r="J47" s="100"/>
      <c r="K47" s="100"/>
      <c r="L47" s="100"/>
      <c r="M47" s="100"/>
      <c r="N47" s="100"/>
      <c r="O47" s="100"/>
      <c r="P47" s="100"/>
      <c r="Q47" s="100"/>
      <c r="R47" s="100"/>
      <c r="S47" s="100"/>
      <c r="T47" s="100"/>
      <c r="U47" s="100"/>
      <c r="V47" s="100">
        <f t="shared" si="13"/>
        <v>0</v>
      </c>
      <c r="W47" s="100"/>
      <c r="X47" s="100"/>
      <c r="Y47" s="100"/>
      <c r="Z47" s="100"/>
      <c r="AA47" s="100"/>
      <c r="AB47" s="100"/>
      <c r="AC47" s="100"/>
      <c r="AD47" s="100"/>
      <c r="AE47" s="100">
        <f t="shared" si="27"/>
        <v>0</v>
      </c>
      <c r="AF47" s="100"/>
      <c r="AG47" s="100"/>
      <c r="AH47" s="100"/>
      <c r="AI47" s="100"/>
      <c r="AJ47" s="100"/>
      <c r="AK47" s="100"/>
      <c r="AL47" s="100"/>
      <c r="AM47" s="100"/>
      <c r="AN47" s="100"/>
      <c r="AO47" s="100"/>
      <c r="AP47" s="100"/>
      <c r="AQ47" s="100"/>
      <c r="AR47" s="100">
        <f>D47-BL47</f>
        <v>0</v>
      </c>
      <c r="AS47" s="100"/>
      <c r="AT47" s="100"/>
      <c r="AU47" s="100"/>
      <c r="AV47" s="100"/>
      <c r="AW47" s="100"/>
      <c r="AX47" s="100"/>
      <c r="AY47" s="100"/>
      <c r="AZ47" s="100"/>
      <c r="BA47" s="100"/>
      <c r="BB47" s="100"/>
      <c r="BC47" s="100"/>
      <c r="BD47" s="100"/>
      <c r="BE47" s="100"/>
      <c r="BF47" s="100"/>
      <c r="BG47" s="100"/>
      <c r="BH47" s="100">
        <f t="shared" si="22"/>
        <v>0</v>
      </c>
      <c r="BI47" s="100"/>
      <c r="BJ47" s="100"/>
      <c r="BK47" s="100"/>
      <c r="BL47" s="100">
        <f>E47+W47+X47+Y47+Z47+AA47+AB47+AC47+AD47+AE47+AQ47+AS47+AT47+AU47+AV47+AW47+AX47+AY47+AZ47+BA47+BB47+BC47+BD47+BE47+BF47+BG47+BH47</f>
        <v>0</v>
      </c>
      <c r="BM47" s="100">
        <f>AR67-BL47</f>
        <v>0</v>
      </c>
      <c r="BN47" s="100">
        <f t="shared" ref="BN47:BN62" si="29">D47+BM47</f>
        <v>0</v>
      </c>
      <c r="BP47" s="123"/>
    </row>
    <row r="48" spans="1:68" ht="20.100000000000001" customHeight="1">
      <c r="A48" s="19" t="s">
        <v>79</v>
      </c>
      <c r="B48" s="144" t="s">
        <v>80</v>
      </c>
      <c r="C48" s="5" t="s">
        <v>81</v>
      </c>
      <c r="D48" s="467"/>
      <c r="E48" s="100">
        <f t="shared" si="4"/>
        <v>0</v>
      </c>
      <c r="F48" s="100">
        <f t="shared" si="21"/>
        <v>0</v>
      </c>
      <c r="G48" s="100">
        <f t="shared" si="8"/>
        <v>0</v>
      </c>
      <c r="H48" s="100">
        <f t="shared" si="12"/>
        <v>0</v>
      </c>
      <c r="I48" s="100"/>
      <c r="J48" s="100"/>
      <c r="K48" s="100"/>
      <c r="L48" s="100"/>
      <c r="M48" s="100"/>
      <c r="N48" s="100"/>
      <c r="O48" s="100"/>
      <c r="P48" s="100"/>
      <c r="Q48" s="100"/>
      <c r="R48" s="100"/>
      <c r="S48" s="100"/>
      <c r="T48" s="100"/>
      <c r="U48" s="100"/>
      <c r="V48" s="100">
        <f t="shared" si="13"/>
        <v>0</v>
      </c>
      <c r="W48" s="100"/>
      <c r="X48" s="100"/>
      <c r="Y48" s="100"/>
      <c r="Z48" s="100"/>
      <c r="AA48" s="100"/>
      <c r="AB48" s="100"/>
      <c r="AC48" s="100"/>
      <c r="AD48" s="100"/>
      <c r="AE48" s="100">
        <f t="shared" si="27"/>
        <v>0</v>
      </c>
      <c r="AF48" s="100"/>
      <c r="AG48" s="100"/>
      <c r="AH48" s="100"/>
      <c r="AI48" s="100"/>
      <c r="AJ48" s="100"/>
      <c r="AK48" s="100"/>
      <c r="AL48" s="100"/>
      <c r="AM48" s="100"/>
      <c r="AN48" s="100"/>
      <c r="AO48" s="100"/>
      <c r="AP48" s="100"/>
      <c r="AQ48" s="100"/>
      <c r="AR48" s="100"/>
      <c r="AS48" s="100">
        <f>D48-BL48</f>
        <v>0</v>
      </c>
      <c r="AT48" s="100"/>
      <c r="AU48" s="100"/>
      <c r="AV48" s="100"/>
      <c r="AW48" s="100"/>
      <c r="AX48" s="100"/>
      <c r="AY48" s="100"/>
      <c r="AZ48" s="100"/>
      <c r="BA48" s="100"/>
      <c r="BB48" s="100"/>
      <c r="BC48" s="100"/>
      <c r="BD48" s="100"/>
      <c r="BE48" s="100"/>
      <c r="BF48" s="100"/>
      <c r="BG48" s="100"/>
      <c r="BH48" s="100">
        <f t="shared" si="22"/>
        <v>0</v>
      </c>
      <c r="BI48" s="100"/>
      <c r="BJ48" s="100"/>
      <c r="BK48" s="100"/>
      <c r="BL48" s="100">
        <f>E48+W48+X48+Y48+Z48+AA48+AB48+AC48+AD48+AQ48+AR48+AT48+AU48+AV48+AW48+AX48+AY48+AZ48+BA48+BB48+BC48+BD48+BE48+BF48+BG48+BH48</f>
        <v>0</v>
      </c>
      <c r="BM48" s="100">
        <f>AS67-BL48</f>
        <v>0</v>
      </c>
      <c r="BN48" s="100">
        <f t="shared" si="29"/>
        <v>0</v>
      </c>
      <c r="BP48" s="123"/>
    </row>
    <row r="49" spans="1:68" ht="20.100000000000001" customHeight="1">
      <c r="A49" s="19" t="s">
        <v>82</v>
      </c>
      <c r="B49" s="144" t="s">
        <v>83</v>
      </c>
      <c r="C49" s="5" t="s">
        <v>84</v>
      </c>
      <c r="D49" s="100"/>
      <c r="E49" s="100">
        <f t="shared" si="4"/>
        <v>0</v>
      </c>
      <c r="F49" s="100">
        <f t="shared" si="21"/>
        <v>0</v>
      </c>
      <c r="G49" s="100">
        <f t="shared" si="8"/>
        <v>0</v>
      </c>
      <c r="H49" s="100">
        <f t="shared" si="12"/>
        <v>0</v>
      </c>
      <c r="I49" s="100"/>
      <c r="J49" s="100"/>
      <c r="K49" s="100"/>
      <c r="L49" s="100"/>
      <c r="M49" s="100"/>
      <c r="N49" s="100"/>
      <c r="O49" s="100"/>
      <c r="P49" s="100"/>
      <c r="Q49" s="100"/>
      <c r="R49" s="100"/>
      <c r="S49" s="100"/>
      <c r="T49" s="100"/>
      <c r="U49" s="100"/>
      <c r="V49" s="100">
        <f t="shared" si="13"/>
        <v>0</v>
      </c>
      <c r="W49" s="100"/>
      <c r="X49" s="100"/>
      <c r="Y49" s="100"/>
      <c r="Z49" s="100"/>
      <c r="AA49" s="100"/>
      <c r="AB49" s="100"/>
      <c r="AC49" s="100"/>
      <c r="AD49" s="100"/>
      <c r="AE49" s="100">
        <f t="shared" si="27"/>
        <v>0</v>
      </c>
      <c r="AF49" s="100"/>
      <c r="AG49" s="100"/>
      <c r="AH49" s="100"/>
      <c r="AI49" s="100"/>
      <c r="AJ49" s="100"/>
      <c r="AK49" s="100"/>
      <c r="AL49" s="100"/>
      <c r="AM49" s="100"/>
      <c r="AN49" s="100"/>
      <c r="AO49" s="100"/>
      <c r="AP49" s="100"/>
      <c r="AQ49" s="100"/>
      <c r="AR49" s="100"/>
      <c r="AS49" s="100"/>
      <c r="AT49" s="100">
        <f>D49-BL49</f>
        <v>0</v>
      </c>
      <c r="AU49" s="100"/>
      <c r="AV49" s="100"/>
      <c r="AW49" s="100"/>
      <c r="AX49" s="100"/>
      <c r="AY49" s="100"/>
      <c r="AZ49" s="100"/>
      <c r="BA49" s="100"/>
      <c r="BB49" s="100"/>
      <c r="BC49" s="100"/>
      <c r="BD49" s="100"/>
      <c r="BE49" s="100"/>
      <c r="BF49" s="100"/>
      <c r="BG49" s="100"/>
      <c r="BH49" s="100">
        <f t="shared" si="22"/>
        <v>0</v>
      </c>
      <c r="BI49" s="100"/>
      <c r="BJ49" s="100"/>
      <c r="BK49" s="100"/>
      <c r="BL49" s="100">
        <f>E49+W49+X49+Y49+Z49+AA49+AB49+AC49+AD49+AE49+AQ49+AR49+AS49+AU49+AV49+AW49+AX49+AY49+AZ49+BA49+BB49+BC49+BD49+BE49+BF49+BG49+BH49</f>
        <v>0</v>
      </c>
      <c r="BM49" s="100">
        <f>AT67-BL49</f>
        <v>0</v>
      </c>
      <c r="BN49" s="100">
        <f t="shared" si="29"/>
        <v>0</v>
      </c>
      <c r="BP49" s="123"/>
    </row>
    <row r="50" spans="1:68" ht="20.100000000000001" customHeight="1">
      <c r="A50" s="19" t="s">
        <v>85</v>
      </c>
      <c r="B50" s="144" t="s">
        <v>86</v>
      </c>
      <c r="C50" s="5" t="s">
        <v>87</v>
      </c>
      <c r="D50" s="100">
        <f>#REF!</f>
        <v>10.565</v>
      </c>
      <c r="E50" s="100">
        <f t="shared" si="4"/>
        <v>0</v>
      </c>
      <c r="F50" s="100">
        <f t="shared" si="21"/>
        <v>0</v>
      </c>
      <c r="G50" s="100">
        <f t="shared" si="8"/>
        <v>0</v>
      </c>
      <c r="H50" s="100">
        <f t="shared" si="12"/>
        <v>0</v>
      </c>
      <c r="I50" s="100"/>
      <c r="J50" s="100"/>
      <c r="K50" s="100"/>
      <c r="L50" s="100"/>
      <c r="M50" s="100"/>
      <c r="N50" s="100"/>
      <c r="O50" s="100"/>
      <c r="P50" s="100"/>
      <c r="Q50" s="100"/>
      <c r="R50" s="100"/>
      <c r="S50" s="100"/>
      <c r="T50" s="100"/>
      <c r="U50" s="100"/>
      <c r="V50" s="100">
        <f t="shared" si="13"/>
        <v>10.565</v>
      </c>
      <c r="W50" s="100"/>
      <c r="X50" s="100"/>
      <c r="Y50" s="100"/>
      <c r="Z50" s="100"/>
      <c r="AA50" s="100"/>
      <c r="AB50" s="100"/>
      <c r="AC50" s="100"/>
      <c r="AD50" s="100"/>
      <c r="AE50" s="100">
        <f t="shared" si="27"/>
        <v>0</v>
      </c>
      <c r="AF50" s="100"/>
      <c r="AG50" s="100"/>
      <c r="AH50" s="100"/>
      <c r="AI50" s="100"/>
      <c r="AJ50" s="100"/>
      <c r="AK50" s="100"/>
      <c r="AL50" s="100"/>
      <c r="AM50" s="100"/>
      <c r="AN50" s="100"/>
      <c r="AO50" s="100"/>
      <c r="AP50" s="100"/>
      <c r="AQ50" s="100"/>
      <c r="AR50" s="100"/>
      <c r="AS50" s="100"/>
      <c r="AT50" s="100"/>
      <c r="AU50" s="100">
        <f>D50-BL50</f>
        <v>10.565</v>
      </c>
      <c r="AV50" s="100"/>
      <c r="AW50" s="100"/>
      <c r="AX50" s="100"/>
      <c r="AY50" s="100"/>
      <c r="AZ50" s="100"/>
      <c r="BA50" s="100"/>
      <c r="BB50" s="100"/>
      <c r="BC50" s="100"/>
      <c r="BD50" s="100"/>
      <c r="BE50" s="100"/>
      <c r="BF50" s="100"/>
      <c r="BG50" s="100"/>
      <c r="BH50" s="100">
        <f t="shared" si="22"/>
        <v>0</v>
      </c>
      <c r="BI50" s="100"/>
      <c r="BJ50" s="100"/>
      <c r="BK50" s="100"/>
      <c r="BL50" s="100">
        <f>E50+W50+X50+Y50+Z50+AA50+AB50+AC50+AD50+AE50+AQ50+AR50+AS50+AT50+AV50+AW50+AX50+AY50+AZ50+BA50+BB50+BC50+BD50+BE50+BF50+BG50+BH50</f>
        <v>0</v>
      </c>
      <c r="BM50" s="100">
        <f>AU67-BL50</f>
        <v>0.33999999999999997</v>
      </c>
      <c r="BN50" s="100">
        <f t="shared" si="29"/>
        <v>10.904999999999999</v>
      </c>
      <c r="BP50" s="123"/>
    </row>
    <row r="51" spans="1:68" ht="20.100000000000001" customHeight="1">
      <c r="A51" s="19" t="s">
        <v>88</v>
      </c>
      <c r="B51" s="144" t="s">
        <v>89</v>
      </c>
      <c r="C51" s="5" t="s">
        <v>90</v>
      </c>
      <c r="D51" s="100">
        <f>#REF!</f>
        <v>4.8949999999999996</v>
      </c>
      <c r="E51" s="100">
        <f t="shared" si="4"/>
        <v>0</v>
      </c>
      <c r="F51" s="100">
        <f t="shared" si="21"/>
        <v>0</v>
      </c>
      <c r="G51" s="100">
        <f t="shared" si="8"/>
        <v>0</v>
      </c>
      <c r="H51" s="100">
        <f t="shared" si="12"/>
        <v>0</v>
      </c>
      <c r="I51" s="100"/>
      <c r="J51" s="100"/>
      <c r="K51" s="100"/>
      <c r="L51" s="100"/>
      <c r="M51" s="100"/>
      <c r="N51" s="100"/>
      <c r="O51" s="100"/>
      <c r="P51" s="100"/>
      <c r="Q51" s="100"/>
      <c r="R51" s="100"/>
      <c r="S51" s="100"/>
      <c r="T51" s="100"/>
      <c r="U51" s="100"/>
      <c r="V51" s="100">
        <f t="shared" si="13"/>
        <v>4.8949999999999996</v>
      </c>
      <c r="W51" s="100"/>
      <c r="X51" s="100"/>
      <c r="Y51" s="100"/>
      <c r="Z51" s="100"/>
      <c r="AA51" s="100"/>
      <c r="AB51" s="100"/>
      <c r="AC51" s="100"/>
      <c r="AD51" s="100"/>
      <c r="AE51" s="100">
        <f t="shared" si="27"/>
        <v>0</v>
      </c>
      <c r="AF51" s="100"/>
      <c r="AG51" s="100"/>
      <c r="AH51" s="100"/>
      <c r="AI51" s="100"/>
      <c r="AJ51" s="100"/>
      <c r="AK51" s="100"/>
      <c r="AL51" s="100"/>
      <c r="AM51" s="100"/>
      <c r="AN51" s="100"/>
      <c r="AO51" s="100"/>
      <c r="AP51" s="100"/>
      <c r="AQ51" s="100"/>
      <c r="AR51" s="100"/>
      <c r="AS51" s="100"/>
      <c r="AT51" s="100"/>
      <c r="AU51" s="100">
        <v>0.01</v>
      </c>
      <c r="AV51" s="100">
        <f>D51-BL51</f>
        <v>4.8849999999999998</v>
      </c>
      <c r="AW51" s="100"/>
      <c r="AX51" s="100"/>
      <c r="AY51" s="100"/>
      <c r="AZ51" s="100"/>
      <c r="BA51" s="100"/>
      <c r="BB51" s="100"/>
      <c r="BC51" s="100"/>
      <c r="BD51" s="100"/>
      <c r="BE51" s="100"/>
      <c r="BF51" s="100"/>
      <c r="BG51" s="100"/>
      <c r="BH51" s="100">
        <f t="shared" si="22"/>
        <v>0</v>
      </c>
      <c r="BI51" s="100"/>
      <c r="BJ51" s="100"/>
      <c r="BK51" s="100"/>
      <c r="BL51" s="100">
        <f>E51+W51+X51+Y51+Z51+AA51+AB51+AC51+AD51+AE51+AQ51+AR51+AS51+AT51+AU51+AW51+AX51+AY51+AZ51+BA51+BB51+BC51+BD51+BE51+BF51+BG51+BH51</f>
        <v>0.01</v>
      </c>
      <c r="BM51" s="100">
        <f>AV67-BL51</f>
        <v>-0.01</v>
      </c>
      <c r="BN51" s="100">
        <f t="shared" si="29"/>
        <v>4.8849999999999998</v>
      </c>
      <c r="BP51" s="123"/>
    </row>
    <row r="52" spans="1:68" ht="20.100000000000001" customHeight="1">
      <c r="A52" s="19" t="s">
        <v>91</v>
      </c>
      <c r="B52" s="144" t="s">
        <v>489</v>
      </c>
      <c r="C52" s="5" t="s">
        <v>93</v>
      </c>
      <c r="D52" s="100"/>
      <c r="E52" s="100">
        <f t="shared" si="4"/>
        <v>0</v>
      </c>
      <c r="F52" s="100">
        <f t="shared" si="21"/>
        <v>0</v>
      </c>
      <c r="G52" s="100">
        <f t="shared" si="8"/>
        <v>0</v>
      </c>
      <c r="H52" s="100">
        <f t="shared" si="12"/>
        <v>0</v>
      </c>
      <c r="I52" s="100"/>
      <c r="J52" s="100"/>
      <c r="K52" s="100"/>
      <c r="L52" s="100"/>
      <c r="M52" s="100"/>
      <c r="N52" s="100"/>
      <c r="O52" s="100"/>
      <c r="P52" s="100"/>
      <c r="Q52" s="100"/>
      <c r="R52" s="100"/>
      <c r="S52" s="100"/>
      <c r="T52" s="100"/>
      <c r="U52" s="100"/>
      <c r="V52" s="100">
        <f t="shared" si="13"/>
        <v>0</v>
      </c>
      <c r="W52" s="100"/>
      <c r="X52" s="100"/>
      <c r="Y52" s="100"/>
      <c r="Z52" s="100"/>
      <c r="AA52" s="100"/>
      <c r="AB52" s="100"/>
      <c r="AC52" s="100"/>
      <c r="AD52" s="100"/>
      <c r="AE52" s="100">
        <f t="shared" si="27"/>
        <v>0</v>
      </c>
      <c r="AF52" s="100"/>
      <c r="AG52" s="100"/>
      <c r="AH52" s="100"/>
      <c r="AI52" s="100"/>
      <c r="AJ52" s="100"/>
      <c r="AK52" s="100"/>
      <c r="AL52" s="100"/>
      <c r="AM52" s="100"/>
      <c r="AN52" s="100"/>
      <c r="AO52" s="100"/>
      <c r="AP52" s="100"/>
      <c r="AQ52" s="100"/>
      <c r="AR52" s="100"/>
      <c r="AS52" s="100"/>
      <c r="AT52" s="100"/>
      <c r="AU52" s="100"/>
      <c r="AV52" s="100"/>
      <c r="AW52" s="100">
        <f>D52-BL52</f>
        <v>0</v>
      </c>
      <c r="AX52" s="100"/>
      <c r="AY52" s="100"/>
      <c r="AZ52" s="100"/>
      <c r="BA52" s="100"/>
      <c r="BB52" s="100"/>
      <c r="BC52" s="100"/>
      <c r="BD52" s="100"/>
      <c r="BE52" s="100"/>
      <c r="BF52" s="100"/>
      <c r="BG52" s="100"/>
      <c r="BH52" s="100">
        <f t="shared" si="22"/>
        <v>0</v>
      </c>
      <c r="BI52" s="100"/>
      <c r="BJ52" s="100"/>
      <c r="BK52" s="100"/>
      <c r="BL52" s="100">
        <f>E52+W52+X52+Y52+Z52+AA52+AB52+AC52+AD52+AE52+AQ52+AR52+AS52+AT52+AU52+AV52+AX52+AY52+AZ52+BA52+BB52+BC52+BD52+BE52+BF52+BG52+BH52</f>
        <v>0</v>
      </c>
      <c r="BM52" s="100">
        <f>AW67-BL52</f>
        <v>0</v>
      </c>
      <c r="BN52" s="100">
        <f t="shared" si="29"/>
        <v>0</v>
      </c>
      <c r="BP52" s="123"/>
    </row>
    <row r="53" spans="1:68" ht="20.100000000000001" customHeight="1">
      <c r="A53" s="19" t="s">
        <v>94</v>
      </c>
      <c r="B53" s="144" t="s">
        <v>95</v>
      </c>
      <c r="C53" s="5" t="s">
        <v>96</v>
      </c>
      <c r="D53" s="100"/>
      <c r="E53" s="100">
        <f t="shared" si="4"/>
        <v>0</v>
      </c>
      <c r="F53" s="100">
        <f t="shared" si="21"/>
        <v>0</v>
      </c>
      <c r="G53" s="100">
        <f t="shared" si="8"/>
        <v>0</v>
      </c>
      <c r="H53" s="100">
        <f t="shared" si="12"/>
        <v>0</v>
      </c>
      <c r="I53" s="100"/>
      <c r="J53" s="100"/>
      <c r="K53" s="100"/>
      <c r="L53" s="100"/>
      <c r="M53" s="100"/>
      <c r="N53" s="100"/>
      <c r="O53" s="100"/>
      <c r="P53" s="100"/>
      <c r="Q53" s="100"/>
      <c r="R53" s="100"/>
      <c r="S53" s="100"/>
      <c r="T53" s="100"/>
      <c r="U53" s="100"/>
      <c r="V53" s="100">
        <f t="shared" si="13"/>
        <v>0</v>
      </c>
      <c r="W53" s="100"/>
      <c r="X53" s="100"/>
      <c r="Y53" s="100"/>
      <c r="Z53" s="100"/>
      <c r="AA53" s="100"/>
      <c r="AB53" s="100"/>
      <c r="AC53" s="100"/>
      <c r="AD53" s="100"/>
      <c r="AE53" s="100">
        <f t="shared" si="27"/>
        <v>0</v>
      </c>
      <c r="AF53" s="100"/>
      <c r="AG53" s="100"/>
      <c r="AH53" s="100"/>
      <c r="AI53" s="100"/>
      <c r="AJ53" s="100"/>
      <c r="AK53" s="100"/>
      <c r="AL53" s="100"/>
      <c r="AM53" s="100"/>
      <c r="AN53" s="100"/>
      <c r="AO53" s="100"/>
      <c r="AP53" s="100"/>
      <c r="AQ53" s="100"/>
      <c r="AR53" s="100"/>
      <c r="AS53" s="100"/>
      <c r="AT53" s="100"/>
      <c r="AU53" s="100"/>
      <c r="AV53" s="100"/>
      <c r="AW53" s="100"/>
      <c r="AX53" s="100">
        <f>D53-BL53</f>
        <v>0</v>
      </c>
      <c r="AY53" s="100"/>
      <c r="AZ53" s="100"/>
      <c r="BA53" s="100"/>
      <c r="BB53" s="100"/>
      <c r="BC53" s="100"/>
      <c r="BD53" s="100"/>
      <c r="BE53" s="100"/>
      <c r="BF53" s="100"/>
      <c r="BG53" s="100"/>
      <c r="BH53" s="100">
        <f t="shared" si="22"/>
        <v>0</v>
      </c>
      <c r="BI53" s="100"/>
      <c r="BJ53" s="100"/>
      <c r="BK53" s="100"/>
      <c r="BL53" s="100">
        <f>E53+W53+X53+Y53+Z53+AA53+AB53+AC53+AD53+AE53+AQ53+AR53+AS53+AT53+AU53+AV53+AW53+AY53+AZ53+BA53+BB53+BC53+BD53+BE53+BF53+BG53+BH53</f>
        <v>0</v>
      </c>
      <c r="BM53" s="100">
        <f>AX67-BL53</f>
        <v>0</v>
      </c>
      <c r="BN53" s="100">
        <f t="shared" si="29"/>
        <v>0</v>
      </c>
      <c r="BP53" s="123"/>
    </row>
    <row r="54" spans="1:68" ht="20.100000000000001" customHeight="1">
      <c r="A54" s="19" t="s">
        <v>97</v>
      </c>
      <c r="B54" s="144" t="s">
        <v>98</v>
      </c>
      <c r="C54" s="5" t="s">
        <v>99</v>
      </c>
      <c r="D54" s="100"/>
      <c r="E54" s="100">
        <f t="shared" si="4"/>
        <v>0</v>
      </c>
      <c r="F54" s="100">
        <f t="shared" si="21"/>
        <v>0</v>
      </c>
      <c r="G54" s="100">
        <f t="shared" si="8"/>
        <v>0</v>
      </c>
      <c r="H54" s="100">
        <f t="shared" si="12"/>
        <v>0</v>
      </c>
      <c r="I54" s="100"/>
      <c r="J54" s="100"/>
      <c r="K54" s="100"/>
      <c r="L54" s="100"/>
      <c r="M54" s="100"/>
      <c r="N54" s="100"/>
      <c r="O54" s="100"/>
      <c r="P54" s="100"/>
      <c r="Q54" s="100"/>
      <c r="R54" s="100"/>
      <c r="S54" s="100"/>
      <c r="T54" s="100"/>
      <c r="U54" s="100"/>
      <c r="V54" s="100">
        <f t="shared" si="13"/>
        <v>0</v>
      </c>
      <c r="W54" s="100"/>
      <c r="X54" s="100"/>
      <c r="Y54" s="100"/>
      <c r="Z54" s="100"/>
      <c r="AA54" s="100"/>
      <c r="AB54" s="100"/>
      <c r="AC54" s="100"/>
      <c r="AD54" s="100"/>
      <c r="AE54" s="100">
        <f t="shared" si="27"/>
        <v>0</v>
      </c>
      <c r="AF54" s="100"/>
      <c r="AG54" s="100"/>
      <c r="AH54" s="100"/>
      <c r="AI54" s="100"/>
      <c r="AJ54" s="100"/>
      <c r="AK54" s="100"/>
      <c r="AL54" s="100"/>
      <c r="AM54" s="100"/>
      <c r="AN54" s="100"/>
      <c r="AO54" s="100"/>
      <c r="AP54" s="100"/>
      <c r="AQ54" s="100"/>
      <c r="AR54" s="100"/>
      <c r="AS54" s="100"/>
      <c r="AT54" s="100"/>
      <c r="AU54" s="100"/>
      <c r="AV54" s="100"/>
      <c r="AW54" s="100"/>
      <c r="AX54" s="100"/>
      <c r="AY54" s="100">
        <f>D54-BL54</f>
        <v>0</v>
      </c>
      <c r="AZ54" s="100"/>
      <c r="BA54" s="100"/>
      <c r="BB54" s="100"/>
      <c r="BC54" s="100"/>
      <c r="BD54" s="100"/>
      <c r="BE54" s="100"/>
      <c r="BF54" s="100"/>
      <c r="BG54" s="100"/>
      <c r="BH54" s="100">
        <f t="shared" si="22"/>
        <v>0</v>
      </c>
      <c r="BI54" s="100"/>
      <c r="BJ54" s="100"/>
      <c r="BK54" s="100"/>
      <c r="BL54" s="100">
        <f>E54+W54+X54+Y54+Z54+AA54+AB54+AC54+AD54+AE54+AQ54+AR54+AS54+AT54+AU54+AV54+AW54+AX54+AZ54+BA54+BB54+BC54+BD54+BE54+BF54+BG54+BH54</f>
        <v>0</v>
      </c>
      <c r="BM54" s="100">
        <f>AY67-BL54</f>
        <v>0</v>
      </c>
      <c r="BN54" s="100">
        <f t="shared" si="29"/>
        <v>0</v>
      </c>
      <c r="BP54" s="123"/>
    </row>
    <row r="55" spans="1:68" ht="32.25" customHeight="1">
      <c r="A55" s="19" t="s">
        <v>100</v>
      </c>
      <c r="B55" s="144" t="s">
        <v>490</v>
      </c>
      <c r="C55" s="5" t="s">
        <v>101</v>
      </c>
      <c r="D55" s="100"/>
      <c r="E55" s="100">
        <f t="shared" si="4"/>
        <v>0</v>
      </c>
      <c r="F55" s="100">
        <f t="shared" si="21"/>
        <v>0</v>
      </c>
      <c r="G55" s="100">
        <f t="shared" si="8"/>
        <v>0</v>
      </c>
      <c r="H55" s="100">
        <f t="shared" si="12"/>
        <v>0</v>
      </c>
      <c r="I55" s="100"/>
      <c r="J55" s="100"/>
      <c r="K55" s="100"/>
      <c r="L55" s="100"/>
      <c r="M55" s="100"/>
      <c r="N55" s="100"/>
      <c r="O55" s="100"/>
      <c r="P55" s="100"/>
      <c r="Q55" s="100"/>
      <c r="R55" s="100"/>
      <c r="S55" s="100"/>
      <c r="T55" s="100"/>
      <c r="U55" s="100"/>
      <c r="V55" s="100">
        <f t="shared" si="13"/>
        <v>0</v>
      </c>
      <c r="W55" s="100"/>
      <c r="X55" s="100"/>
      <c r="Y55" s="100"/>
      <c r="Z55" s="100"/>
      <c r="AA55" s="100"/>
      <c r="AB55" s="100"/>
      <c r="AC55" s="100"/>
      <c r="AD55" s="100"/>
      <c r="AE55" s="100">
        <f t="shared" si="27"/>
        <v>0</v>
      </c>
      <c r="AF55" s="100"/>
      <c r="AG55" s="100"/>
      <c r="AH55" s="100"/>
      <c r="AI55" s="100"/>
      <c r="AJ55" s="100"/>
      <c r="AK55" s="100"/>
      <c r="AL55" s="100"/>
      <c r="AM55" s="100"/>
      <c r="AN55" s="100"/>
      <c r="AO55" s="100"/>
      <c r="AP55" s="100"/>
      <c r="AQ55" s="100"/>
      <c r="AR55" s="100"/>
      <c r="AS55" s="100"/>
      <c r="AT55" s="100"/>
      <c r="AU55" s="100"/>
      <c r="AV55" s="100"/>
      <c r="AW55" s="100"/>
      <c r="AX55" s="100"/>
      <c r="AY55" s="100"/>
      <c r="AZ55" s="100">
        <f>D55-BL55</f>
        <v>0</v>
      </c>
      <c r="BA55" s="100"/>
      <c r="BB55" s="100"/>
      <c r="BC55" s="100"/>
      <c r="BD55" s="100"/>
      <c r="BE55" s="100"/>
      <c r="BF55" s="100"/>
      <c r="BG55" s="100"/>
      <c r="BH55" s="100">
        <f t="shared" si="22"/>
        <v>0</v>
      </c>
      <c r="BI55" s="100"/>
      <c r="BJ55" s="100"/>
      <c r="BK55" s="100"/>
      <c r="BL55" s="100">
        <f>E55+W55+X55+Y55+Z55+AA55+AB55+AC55+AD55+AE55+AQ55+AR55+AS55+AT55+AU55+AV55+AW55+AX55+AY55+BA55+BB55+BC55+BD55+BE55+BF55+BG55+BH55</f>
        <v>0</v>
      </c>
      <c r="BM55" s="100">
        <f>AZ67-BL55</f>
        <v>0</v>
      </c>
      <c r="BN55" s="100">
        <f t="shared" si="29"/>
        <v>0</v>
      </c>
      <c r="BP55" s="123"/>
    </row>
    <row r="56" spans="1:68" ht="20.100000000000001" customHeight="1">
      <c r="A56" s="19" t="s">
        <v>102</v>
      </c>
      <c r="B56" s="144" t="s">
        <v>103</v>
      </c>
      <c r="C56" s="5" t="s">
        <v>104</v>
      </c>
      <c r="D56" s="100"/>
      <c r="E56" s="100">
        <f t="shared" si="4"/>
        <v>0</v>
      </c>
      <c r="F56" s="100">
        <f t="shared" si="21"/>
        <v>0</v>
      </c>
      <c r="G56" s="100">
        <f t="shared" si="8"/>
        <v>0</v>
      </c>
      <c r="H56" s="100">
        <f t="shared" si="12"/>
        <v>0</v>
      </c>
      <c r="I56" s="100"/>
      <c r="J56" s="100"/>
      <c r="K56" s="100"/>
      <c r="L56" s="100"/>
      <c r="M56" s="100"/>
      <c r="N56" s="100"/>
      <c r="O56" s="100"/>
      <c r="P56" s="100"/>
      <c r="Q56" s="100"/>
      <c r="R56" s="100"/>
      <c r="S56" s="100"/>
      <c r="T56" s="100"/>
      <c r="U56" s="100"/>
      <c r="V56" s="100">
        <f t="shared" si="13"/>
        <v>0</v>
      </c>
      <c r="W56" s="100"/>
      <c r="X56" s="100"/>
      <c r="Y56" s="100"/>
      <c r="Z56" s="100"/>
      <c r="AA56" s="100"/>
      <c r="AB56" s="100"/>
      <c r="AC56" s="100"/>
      <c r="AD56" s="100"/>
      <c r="AE56" s="100">
        <f t="shared" si="27"/>
        <v>0</v>
      </c>
      <c r="AF56" s="100"/>
      <c r="AG56" s="100"/>
      <c r="AH56" s="100"/>
      <c r="AI56" s="100"/>
      <c r="AJ56" s="100"/>
      <c r="AK56" s="100"/>
      <c r="AL56" s="100"/>
      <c r="AM56" s="100"/>
      <c r="AN56" s="100"/>
      <c r="AO56" s="100"/>
      <c r="AP56" s="100"/>
      <c r="AQ56" s="100"/>
      <c r="AR56" s="100"/>
      <c r="AS56" s="100"/>
      <c r="AT56" s="100"/>
      <c r="AU56" s="100"/>
      <c r="AV56" s="100"/>
      <c r="AW56" s="100"/>
      <c r="AX56" s="100"/>
      <c r="AY56" s="100"/>
      <c r="AZ56" s="100"/>
      <c r="BA56" s="100">
        <f>D56-BL56</f>
        <v>0</v>
      </c>
      <c r="BB56" s="100"/>
      <c r="BC56" s="100"/>
      <c r="BD56" s="100"/>
      <c r="BE56" s="100"/>
      <c r="BF56" s="100"/>
      <c r="BG56" s="100"/>
      <c r="BH56" s="100">
        <f t="shared" si="22"/>
        <v>0</v>
      </c>
      <c r="BI56" s="100"/>
      <c r="BJ56" s="100"/>
      <c r="BK56" s="100"/>
      <c r="BL56" s="100">
        <f>E56+W56+X56+Y56+Z56+AA56+AB56+AC56+AD56+AE56+AQ56+AR56+AS56+AT56+AU56+AV56+AW56+AX56+AY56+AZ56+BB56+BC56+BD56+BE56+BF56+BG56+BH56</f>
        <v>0</v>
      </c>
      <c r="BM56" s="100">
        <f>BA67-BL56</f>
        <v>0</v>
      </c>
      <c r="BN56" s="100">
        <f t="shared" si="29"/>
        <v>0</v>
      </c>
      <c r="BP56" s="123"/>
    </row>
    <row r="57" spans="1:68" ht="20.100000000000001" customHeight="1">
      <c r="A57" s="19" t="s">
        <v>105</v>
      </c>
      <c r="B57" s="144" t="s">
        <v>106</v>
      </c>
      <c r="C57" s="5" t="s">
        <v>107</v>
      </c>
      <c r="D57" s="100">
        <f>#REF!</f>
        <v>0.45</v>
      </c>
      <c r="E57" s="100">
        <f t="shared" si="4"/>
        <v>0</v>
      </c>
      <c r="F57" s="100">
        <f t="shared" si="21"/>
        <v>0</v>
      </c>
      <c r="G57" s="100">
        <f t="shared" si="8"/>
        <v>0</v>
      </c>
      <c r="H57" s="100">
        <f t="shared" si="12"/>
        <v>0</v>
      </c>
      <c r="I57" s="100"/>
      <c r="J57" s="100"/>
      <c r="K57" s="100"/>
      <c r="L57" s="100"/>
      <c r="M57" s="100"/>
      <c r="N57" s="100"/>
      <c r="O57" s="100"/>
      <c r="P57" s="100"/>
      <c r="Q57" s="100"/>
      <c r="R57" s="100"/>
      <c r="S57" s="100"/>
      <c r="T57" s="100"/>
      <c r="U57" s="100"/>
      <c r="V57" s="100">
        <f t="shared" si="13"/>
        <v>0.45</v>
      </c>
      <c r="W57" s="100"/>
      <c r="X57" s="100"/>
      <c r="Y57" s="100"/>
      <c r="Z57" s="100"/>
      <c r="AA57" s="100"/>
      <c r="AB57" s="100"/>
      <c r="AC57" s="100"/>
      <c r="AD57" s="100"/>
      <c r="AE57" s="100">
        <f>SUM(AF57:AP57)</f>
        <v>0</v>
      </c>
      <c r="AF57" s="100"/>
      <c r="AG57" s="100"/>
      <c r="AH57" s="100"/>
      <c r="AI57" s="100"/>
      <c r="AJ57" s="100"/>
      <c r="AK57" s="100"/>
      <c r="AL57" s="100"/>
      <c r="AM57" s="100"/>
      <c r="AN57" s="100"/>
      <c r="AO57" s="100"/>
      <c r="AP57" s="100"/>
      <c r="AQ57" s="100"/>
      <c r="AR57" s="100"/>
      <c r="AS57" s="100"/>
      <c r="AT57" s="100"/>
      <c r="AU57" s="100"/>
      <c r="AV57" s="100"/>
      <c r="AW57" s="100"/>
      <c r="AX57" s="100"/>
      <c r="AY57" s="100"/>
      <c r="AZ57" s="100"/>
      <c r="BA57" s="100"/>
      <c r="BB57" s="100">
        <f>D57-BL57</f>
        <v>0.45</v>
      </c>
      <c r="BC57" s="100"/>
      <c r="BD57" s="100"/>
      <c r="BE57" s="100"/>
      <c r="BF57" s="100"/>
      <c r="BG57" s="100"/>
      <c r="BH57" s="100">
        <f t="shared" si="22"/>
        <v>0</v>
      </c>
      <c r="BI57" s="100"/>
      <c r="BJ57" s="100"/>
      <c r="BK57" s="100"/>
      <c r="BL57" s="100">
        <f>E57+W57+X57+Y57+Z57+AA57+AB57+AC57+AD57+AE57+AQ57+AR57+AS57+AT57+AU57+AV57+AW57+AX57+AY57+AZ57+BA57+BC57+BD57+BE57+BF57+BG57+BH57</f>
        <v>0</v>
      </c>
      <c r="BM57" s="100">
        <f>BB67-BL57</f>
        <v>0</v>
      </c>
      <c r="BN57" s="100">
        <f t="shared" si="29"/>
        <v>0.45</v>
      </c>
      <c r="BP57" s="123"/>
    </row>
    <row r="58" spans="1:68" ht="20.100000000000001" customHeight="1">
      <c r="A58" s="19" t="s">
        <v>108</v>
      </c>
      <c r="B58" s="144" t="s">
        <v>491</v>
      </c>
      <c r="C58" s="5" t="s">
        <v>110</v>
      </c>
      <c r="D58" s="100">
        <f>#REF!</f>
        <v>0.53</v>
      </c>
      <c r="E58" s="100">
        <f t="shared" si="4"/>
        <v>0</v>
      </c>
      <c r="F58" s="100">
        <f t="shared" si="21"/>
        <v>0</v>
      </c>
      <c r="G58" s="100">
        <f t="shared" si="8"/>
        <v>0</v>
      </c>
      <c r="H58" s="100">
        <f t="shared" si="12"/>
        <v>0</v>
      </c>
      <c r="I58" s="100"/>
      <c r="J58" s="100"/>
      <c r="K58" s="100"/>
      <c r="L58" s="100"/>
      <c r="M58" s="100"/>
      <c r="N58" s="100"/>
      <c r="O58" s="100"/>
      <c r="P58" s="100"/>
      <c r="Q58" s="100"/>
      <c r="R58" s="100"/>
      <c r="S58" s="100"/>
      <c r="T58" s="100"/>
      <c r="U58" s="100"/>
      <c r="V58" s="100">
        <f t="shared" si="13"/>
        <v>0.53</v>
      </c>
      <c r="W58" s="100"/>
      <c r="X58" s="100"/>
      <c r="Y58" s="100"/>
      <c r="Z58" s="100"/>
      <c r="AA58" s="100"/>
      <c r="AB58" s="100"/>
      <c r="AC58" s="100"/>
      <c r="AD58" s="100"/>
      <c r="AE58" s="100">
        <f t="shared" si="27"/>
        <v>0</v>
      </c>
      <c r="AF58" s="100"/>
      <c r="AG58" s="100"/>
      <c r="AH58" s="100"/>
      <c r="AI58" s="100"/>
      <c r="AJ58" s="100"/>
      <c r="AK58" s="100"/>
      <c r="AL58" s="100"/>
      <c r="AM58" s="100"/>
      <c r="AN58" s="100"/>
      <c r="AO58" s="100"/>
      <c r="AP58" s="100"/>
      <c r="AQ58" s="100"/>
      <c r="AR58" s="100"/>
      <c r="AS58" s="100"/>
      <c r="AT58" s="100"/>
      <c r="AU58" s="100"/>
      <c r="AV58" s="100"/>
      <c r="AW58" s="100"/>
      <c r="AX58" s="100"/>
      <c r="AY58" s="100"/>
      <c r="AZ58" s="100"/>
      <c r="BA58" s="100"/>
      <c r="BB58" s="100"/>
      <c r="BC58" s="100">
        <f>D58-BL58</f>
        <v>0.53</v>
      </c>
      <c r="BD58" s="100"/>
      <c r="BE58" s="100"/>
      <c r="BF58" s="100"/>
      <c r="BG58" s="100"/>
      <c r="BH58" s="100">
        <f t="shared" si="22"/>
        <v>0</v>
      </c>
      <c r="BI58" s="100"/>
      <c r="BJ58" s="100"/>
      <c r="BK58" s="100"/>
      <c r="BL58" s="100">
        <f>E58+W58+X58+Y58+Z58+AA58+AB58+AC58+AD58+AE58+AQ58+AR58+AS58+AT58+AU58+AV58+AW58+AX58+AY58+AZ58+BA58+BB58+BD58+BE58+BF58+BG58+BH58</f>
        <v>0</v>
      </c>
      <c r="BM58" s="100">
        <f>BC67-BL58</f>
        <v>0</v>
      </c>
      <c r="BN58" s="100">
        <f t="shared" si="29"/>
        <v>0.53</v>
      </c>
      <c r="BP58" s="123"/>
    </row>
    <row r="59" spans="1:68" ht="20.100000000000001" customHeight="1">
      <c r="A59" s="19" t="s">
        <v>111</v>
      </c>
      <c r="B59" s="144" t="s">
        <v>112</v>
      </c>
      <c r="C59" s="5" t="s">
        <v>113</v>
      </c>
      <c r="D59" s="100"/>
      <c r="E59" s="100">
        <f t="shared" si="4"/>
        <v>0</v>
      </c>
      <c r="F59" s="100">
        <f t="shared" si="21"/>
        <v>0</v>
      </c>
      <c r="G59" s="100">
        <f t="shared" si="8"/>
        <v>0</v>
      </c>
      <c r="H59" s="100">
        <f t="shared" si="12"/>
        <v>0</v>
      </c>
      <c r="I59" s="100"/>
      <c r="J59" s="100"/>
      <c r="K59" s="100"/>
      <c r="L59" s="100"/>
      <c r="M59" s="100"/>
      <c r="N59" s="100"/>
      <c r="O59" s="100"/>
      <c r="P59" s="100"/>
      <c r="Q59" s="100"/>
      <c r="R59" s="100"/>
      <c r="S59" s="100"/>
      <c r="T59" s="100"/>
      <c r="U59" s="100"/>
      <c r="V59" s="100">
        <f t="shared" si="13"/>
        <v>0</v>
      </c>
      <c r="W59" s="100"/>
      <c r="X59" s="100"/>
      <c r="Y59" s="100"/>
      <c r="Z59" s="100"/>
      <c r="AA59" s="100"/>
      <c r="AB59" s="100"/>
      <c r="AC59" s="100"/>
      <c r="AD59" s="100"/>
      <c r="AE59" s="100">
        <f t="shared" si="27"/>
        <v>0</v>
      </c>
      <c r="AF59" s="100"/>
      <c r="AG59" s="100"/>
      <c r="AH59" s="100"/>
      <c r="AI59" s="100"/>
      <c r="AJ59" s="100"/>
      <c r="AK59" s="100"/>
      <c r="AL59" s="100"/>
      <c r="AM59" s="100"/>
      <c r="AN59" s="100"/>
      <c r="AO59" s="100"/>
      <c r="AP59" s="100"/>
      <c r="AQ59" s="100"/>
      <c r="AR59" s="100"/>
      <c r="AS59" s="100"/>
      <c r="AT59" s="100"/>
      <c r="AU59" s="100"/>
      <c r="AV59" s="100"/>
      <c r="AW59" s="100"/>
      <c r="AX59" s="100"/>
      <c r="AY59" s="100"/>
      <c r="AZ59" s="100"/>
      <c r="BA59" s="100"/>
      <c r="BB59" s="100"/>
      <c r="BC59" s="100"/>
      <c r="BD59" s="100">
        <f>D59-BL59</f>
        <v>0</v>
      </c>
      <c r="BE59" s="100"/>
      <c r="BF59" s="100"/>
      <c r="BG59" s="100"/>
      <c r="BH59" s="100">
        <f t="shared" si="22"/>
        <v>0</v>
      </c>
      <c r="BI59" s="100"/>
      <c r="BJ59" s="100"/>
      <c r="BK59" s="100"/>
      <c r="BL59" s="100">
        <f>E59+W59+X59+Y59+Z59+AA59+AB59+AC59+AD59+AE59+AQ59+AR59+AS59+AT59+AU59+AV59+AW59+AX59+AY59+AZ59+BA59+BB59+BC59+BE59+BF59+BG59+BH59</f>
        <v>0</v>
      </c>
      <c r="BM59" s="100">
        <f>BD67-BL59</f>
        <v>0</v>
      </c>
      <c r="BN59" s="100">
        <f t="shared" si="29"/>
        <v>0</v>
      </c>
      <c r="BP59" s="123"/>
    </row>
    <row r="60" spans="1:68" ht="20.100000000000001" customHeight="1">
      <c r="A60" s="19" t="s">
        <v>114</v>
      </c>
      <c r="B60" s="144" t="s">
        <v>115</v>
      </c>
      <c r="C60" s="5" t="s">
        <v>116</v>
      </c>
      <c r="D60" s="100">
        <f>#REF!</f>
        <v>8.2200000000000006</v>
      </c>
      <c r="E60" s="100">
        <f t="shared" si="4"/>
        <v>0</v>
      </c>
      <c r="F60" s="100">
        <f t="shared" si="21"/>
        <v>0</v>
      </c>
      <c r="G60" s="100">
        <f t="shared" si="8"/>
        <v>0</v>
      </c>
      <c r="H60" s="100">
        <f t="shared" si="12"/>
        <v>0</v>
      </c>
      <c r="I60" s="100"/>
      <c r="J60" s="100"/>
      <c r="K60" s="100"/>
      <c r="L60" s="100"/>
      <c r="M60" s="100"/>
      <c r="N60" s="100"/>
      <c r="O60" s="100"/>
      <c r="P60" s="100"/>
      <c r="Q60" s="100"/>
      <c r="R60" s="100"/>
      <c r="S60" s="100"/>
      <c r="T60" s="100"/>
      <c r="U60" s="100"/>
      <c r="V60" s="100">
        <f t="shared" si="13"/>
        <v>8.2200000000000006</v>
      </c>
      <c r="W60" s="100"/>
      <c r="X60" s="100"/>
      <c r="Y60" s="100"/>
      <c r="Z60" s="100"/>
      <c r="AA60" s="100"/>
      <c r="AB60" s="100"/>
      <c r="AC60" s="100"/>
      <c r="AD60" s="100"/>
      <c r="AE60" s="100">
        <f t="shared" si="27"/>
        <v>0</v>
      </c>
      <c r="AF60" s="100"/>
      <c r="AG60" s="100"/>
      <c r="AH60" s="100"/>
      <c r="AI60" s="100"/>
      <c r="AJ60" s="100"/>
      <c r="AK60" s="100"/>
      <c r="AL60" s="100"/>
      <c r="AM60" s="100"/>
      <c r="AN60" s="100"/>
      <c r="AO60" s="100"/>
      <c r="AP60" s="100"/>
      <c r="AQ60" s="100"/>
      <c r="AR60" s="100"/>
      <c r="AS60" s="100"/>
      <c r="AT60" s="100"/>
      <c r="AU60" s="100"/>
      <c r="AV60" s="100"/>
      <c r="AW60" s="100"/>
      <c r="AX60" s="100"/>
      <c r="AY60" s="100"/>
      <c r="AZ60" s="100"/>
      <c r="BA60" s="100"/>
      <c r="BB60" s="100"/>
      <c r="BC60" s="100"/>
      <c r="BD60" s="100"/>
      <c r="BE60" s="100">
        <f>D60-BL60</f>
        <v>8.2200000000000006</v>
      </c>
      <c r="BF60" s="100"/>
      <c r="BG60" s="100"/>
      <c r="BH60" s="100">
        <f t="shared" si="22"/>
        <v>0</v>
      </c>
      <c r="BI60" s="100"/>
      <c r="BJ60" s="100"/>
      <c r="BK60" s="100"/>
      <c r="BL60" s="100">
        <f>E60+W60+X60+Y60+Z60+AA60+AB60+AC60+AD60+AE60+AQ60+AR60+AS60+AT60+AU60+AV60+AW60+AX60+AY60+AZ60+BA60+BB60+BC60+BD60+BF60+BG60+BH60</f>
        <v>0</v>
      </c>
      <c r="BM60" s="100">
        <f>BE67-BL60</f>
        <v>0</v>
      </c>
      <c r="BN60" s="100">
        <f t="shared" si="29"/>
        <v>8.2200000000000006</v>
      </c>
      <c r="BP60" s="123"/>
    </row>
    <row r="61" spans="1:68" ht="20.100000000000001" customHeight="1">
      <c r="A61" s="19" t="s">
        <v>117</v>
      </c>
      <c r="B61" s="144" t="s">
        <v>118</v>
      </c>
      <c r="C61" s="5" t="s">
        <v>119</v>
      </c>
      <c r="D61" s="100"/>
      <c r="E61" s="100">
        <f t="shared" si="4"/>
        <v>0</v>
      </c>
      <c r="F61" s="100">
        <f t="shared" si="21"/>
        <v>0</v>
      </c>
      <c r="G61" s="100">
        <f t="shared" si="8"/>
        <v>0</v>
      </c>
      <c r="H61" s="100">
        <f t="shared" si="12"/>
        <v>0</v>
      </c>
      <c r="I61" s="100"/>
      <c r="J61" s="100"/>
      <c r="K61" s="100"/>
      <c r="L61" s="100"/>
      <c r="M61" s="100"/>
      <c r="N61" s="100"/>
      <c r="O61" s="100"/>
      <c r="P61" s="100"/>
      <c r="Q61" s="100"/>
      <c r="R61" s="100"/>
      <c r="S61" s="100"/>
      <c r="T61" s="100"/>
      <c r="U61" s="100"/>
      <c r="V61" s="100">
        <f t="shared" si="13"/>
        <v>0</v>
      </c>
      <c r="W61" s="100"/>
      <c r="X61" s="100"/>
      <c r="Y61" s="100"/>
      <c r="Z61" s="100"/>
      <c r="AA61" s="100"/>
      <c r="AB61" s="100"/>
      <c r="AC61" s="100"/>
      <c r="AD61" s="100"/>
      <c r="AE61" s="100">
        <f t="shared" si="27"/>
        <v>0</v>
      </c>
      <c r="AF61" s="100"/>
      <c r="AG61" s="100"/>
      <c r="AH61" s="100"/>
      <c r="AI61" s="100"/>
      <c r="AJ61" s="100"/>
      <c r="AK61" s="100"/>
      <c r="AL61" s="100"/>
      <c r="AM61" s="100"/>
      <c r="AN61" s="100"/>
      <c r="AO61" s="100"/>
      <c r="AP61" s="100"/>
      <c r="AQ61" s="100"/>
      <c r="AR61" s="100"/>
      <c r="AS61" s="100"/>
      <c r="AT61" s="100"/>
      <c r="AU61" s="100"/>
      <c r="AV61" s="100"/>
      <c r="AW61" s="100"/>
      <c r="AX61" s="100"/>
      <c r="AY61" s="100"/>
      <c r="AZ61" s="100"/>
      <c r="BA61" s="100"/>
      <c r="BB61" s="100"/>
      <c r="BC61" s="100"/>
      <c r="BD61" s="100"/>
      <c r="BE61" s="100"/>
      <c r="BF61" s="100">
        <f>D61-BL61</f>
        <v>0</v>
      </c>
      <c r="BG61" s="100"/>
      <c r="BH61" s="100">
        <f t="shared" si="22"/>
        <v>0</v>
      </c>
      <c r="BI61" s="100"/>
      <c r="BJ61" s="100"/>
      <c r="BK61" s="100"/>
      <c r="BL61" s="100">
        <f>E61+W61+X61+Y61+Z61+AA61+AB61+AC61+AD61+AE61+AQ61+AR61+AS61+AT61+AU61+AV61+AW61+AX61+AY61+AZ61+BA61+BB61+BC61+BD61+BE61+BG61+BH61</f>
        <v>0</v>
      </c>
      <c r="BM61" s="100">
        <f>BF67-BL61</f>
        <v>0</v>
      </c>
      <c r="BN61" s="100">
        <f t="shared" si="29"/>
        <v>0</v>
      </c>
      <c r="BP61" s="123"/>
    </row>
    <row r="62" spans="1:68" ht="20.100000000000001" customHeight="1">
      <c r="A62" s="19" t="s">
        <v>120</v>
      </c>
      <c r="B62" s="144" t="s">
        <v>121</v>
      </c>
      <c r="C62" s="5" t="s">
        <v>122</v>
      </c>
      <c r="D62" s="100"/>
      <c r="E62" s="100">
        <f t="shared" si="4"/>
        <v>0</v>
      </c>
      <c r="F62" s="100">
        <f t="shared" si="21"/>
        <v>0</v>
      </c>
      <c r="G62" s="100">
        <f t="shared" si="8"/>
        <v>0</v>
      </c>
      <c r="H62" s="100">
        <f t="shared" si="12"/>
        <v>0</v>
      </c>
      <c r="I62" s="100"/>
      <c r="J62" s="100"/>
      <c r="K62" s="100"/>
      <c r="L62" s="100"/>
      <c r="M62" s="100"/>
      <c r="N62" s="100"/>
      <c r="O62" s="100"/>
      <c r="P62" s="100"/>
      <c r="Q62" s="100"/>
      <c r="R62" s="100"/>
      <c r="S62" s="100"/>
      <c r="T62" s="100"/>
      <c r="U62" s="100"/>
      <c r="V62" s="100">
        <f t="shared" si="13"/>
        <v>0</v>
      </c>
      <c r="W62" s="100"/>
      <c r="X62" s="100"/>
      <c r="Y62" s="100"/>
      <c r="Z62" s="100"/>
      <c r="AA62" s="100"/>
      <c r="AB62" s="100"/>
      <c r="AC62" s="100"/>
      <c r="AD62" s="100"/>
      <c r="AE62" s="100">
        <f t="shared" si="27"/>
        <v>0</v>
      </c>
      <c r="AF62" s="100"/>
      <c r="AG62" s="100"/>
      <c r="AH62" s="100"/>
      <c r="AI62" s="100"/>
      <c r="AJ62" s="100"/>
      <c r="AK62" s="100"/>
      <c r="AL62" s="100"/>
      <c r="AM62" s="100"/>
      <c r="AN62" s="100"/>
      <c r="AO62" s="100"/>
      <c r="AP62" s="100"/>
      <c r="AQ62" s="100"/>
      <c r="AR62" s="100"/>
      <c r="AS62" s="100"/>
      <c r="AT62" s="100"/>
      <c r="AU62" s="100"/>
      <c r="AV62" s="100"/>
      <c r="AW62" s="100"/>
      <c r="AX62" s="100"/>
      <c r="AY62" s="100"/>
      <c r="AZ62" s="100"/>
      <c r="BA62" s="100"/>
      <c r="BB62" s="100"/>
      <c r="BC62" s="100"/>
      <c r="BD62" s="100"/>
      <c r="BE62" s="100"/>
      <c r="BF62" s="100"/>
      <c r="BG62" s="100">
        <f>D62-BL62</f>
        <v>0</v>
      </c>
      <c r="BH62" s="100">
        <f t="shared" si="22"/>
        <v>0</v>
      </c>
      <c r="BI62" s="100"/>
      <c r="BJ62" s="100"/>
      <c r="BK62" s="100"/>
      <c r="BL62" s="100">
        <f>E62+W62+X62+Y62+Z62+AA62+AB62+AC62+AD62+AE62+AQ62+AR62+AS62+AT62+AU62+AV62+AW62+AX62+AY62+AZ62+BA62+BB62+BC62+BD62+BE62+BF62+BH62</f>
        <v>0</v>
      </c>
      <c r="BM62" s="100">
        <f>BG67-BL62</f>
        <v>0</v>
      </c>
      <c r="BN62" s="100">
        <f t="shared" si="29"/>
        <v>0</v>
      </c>
      <c r="BP62" s="123"/>
    </row>
    <row r="63" spans="1:68" s="115" customFormat="1" ht="21.75" customHeight="1">
      <c r="A63" s="15">
        <v>3</v>
      </c>
      <c r="B63" s="142" t="s">
        <v>123</v>
      </c>
      <c r="C63" s="6" t="s">
        <v>124</v>
      </c>
      <c r="D63" s="175">
        <f>D64+D65+D66</f>
        <v>0.65</v>
      </c>
      <c r="E63" s="175">
        <f>E64+E65+E66</f>
        <v>0</v>
      </c>
      <c r="F63" s="175">
        <f t="shared" ref="F63:U63" si="30">F64+F65+F66</f>
        <v>0</v>
      </c>
      <c r="G63" s="175">
        <f t="shared" si="30"/>
        <v>0</v>
      </c>
      <c r="H63" s="175">
        <f t="shared" si="30"/>
        <v>0</v>
      </c>
      <c r="I63" s="175">
        <f t="shared" si="30"/>
        <v>0</v>
      </c>
      <c r="J63" s="175">
        <f t="shared" si="30"/>
        <v>0</v>
      </c>
      <c r="K63" s="175">
        <f t="shared" si="30"/>
        <v>0</v>
      </c>
      <c r="L63" s="175">
        <f t="shared" si="30"/>
        <v>0</v>
      </c>
      <c r="M63" s="175">
        <f t="shared" si="30"/>
        <v>0</v>
      </c>
      <c r="N63" s="175">
        <f t="shared" si="30"/>
        <v>0</v>
      </c>
      <c r="O63" s="175">
        <f t="shared" si="30"/>
        <v>0</v>
      </c>
      <c r="P63" s="175">
        <f t="shared" si="30"/>
        <v>0</v>
      </c>
      <c r="Q63" s="175">
        <f t="shared" si="30"/>
        <v>0</v>
      </c>
      <c r="R63" s="175">
        <f t="shared" si="30"/>
        <v>0</v>
      </c>
      <c r="S63" s="175">
        <f t="shared" si="30"/>
        <v>0</v>
      </c>
      <c r="T63" s="175">
        <f t="shared" si="30"/>
        <v>0</v>
      </c>
      <c r="U63" s="175">
        <f t="shared" si="30"/>
        <v>0</v>
      </c>
      <c r="V63" s="175">
        <f>V64+V65+V66</f>
        <v>0.32999999999999996</v>
      </c>
      <c r="W63" s="175">
        <f t="shared" ref="W63:BG63" si="31">W64+W65+W66</f>
        <v>0</v>
      </c>
      <c r="X63" s="175">
        <f t="shared" si="31"/>
        <v>0</v>
      </c>
      <c r="Y63" s="175">
        <f t="shared" si="31"/>
        <v>0</v>
      </c>
      <c r="Z63" s="175">
        <f t="shared" si="31"/>
        <v>0</v>
      </c>
      <c r="AA63" s="175">
        <f t="shared" si="31"/>
        <v>0</v>
      </c>
      <c r="AB63" s="175">
        <f t="shared" si="31"/>
        <v>0</v>
      </c>
      <c r="AC63" s="175">
        <f t="shared" si="31"/>
        <v>0</v>
      </c>
      <c r="AD63" s="175">
        <f t="shared" si="31"/>
        <v>0</v>
      </c>
      <c r="AE63" s="175">
        <f t="shared" si="31"/>
        <v>0.04</v>
      </c>
      <c r="AF63" s="175">
        <f t="shared" si="31"/>
        <v>0</v>
      </c>
      <c r="AG63" s="175">
        <f t="shared" si="31"/>
        <v>0</v>
      </c>
      <c r="AH63" s="175">
        <f t="shared" si="31"/>
        <v>0</v>
      </c>
      <c r="AI63" s="175">
        <f t="shared" si="31"/>
        <v>0</v>
      </c>
      <c r="AJ63" s="175">
        <f t="shared" si="31"/>
        <v>0</v>
      </c>
      <c r="AK63" s="175">
        <f t="shared" si="31"/>
        <v>0</v>
      </c>
      <c r="AL63" s="175">
        <f t="shared" si="31"/>
        <v>0.04</v>
      </c>
      <c r="AM63" s="175">
        <f t="shared" si="31"/>
        <v>0</v>
      </c>
      <c r="AN63" s="175">
        <f t="shared" si="31"/>
        <v>0</v>
      </c>
      <c r="AO63" s="175">
        <f t="shared" si="31"/>
        <v>0</v>
      </c>
      <c r="AP63" s="175">
        <f t="shared" si="31"/>
        <v>0</v>
      </c>
      <c r="AQ63" s="175">
        <f t="shared" si="31"/>
        <v>0</v>
      </c>
      <c r="AR63" s="175">
        <f t="shared" si="31"/>
        <v>0</v>
      </c>
      <c r="AS63" s="175">
        <f t="shared" si="31"/>
        <v>0</v>
      </c>
      <c r="AT63" s="175">
        <f t="shared" si="31"/>
        <v>0</v>
      </c>
      <c r="AU63" s="175">
        <f t="shared" si="31"/>
        <v>0.28999999999999998</v>
      </c>
      <c r="AV63" s="175">
        <f t="shared" si="31"/>
        <v>0</v>
      </c>
      <c r="AW63" s="175">
        <f t="shared" si="31"/>
        <v>0</v>
      </c>
      <c r="AX63" s="175">
        <f t="shared" si="31"/>
        <v>0</v>
      </c>
      <c r="AY63" s="175">
        <f t="shared" si="31"/>
        <v>0</v>
      </c>
      <c r="AZ63" s="175">
        <f t="shared" si="31"/>
        <v>0</v>
      </c>
      <c r="BA63" s="175">
        <f t="shared" si="31"/>
        <v>0</v>
      </c>
      <c r="BB63" s="175">
        <f t="shared" si="31"/>
        <v>0</v>
      </c>
      <c r="BC63" s="175">
        <f t="shared" si="31"/>
        <v>0</v>
      </c>
      <c r="BD63" s="175">
        <f t="shared" si="31"/>
        <v>0</v>
      </c>
      <c r="BE63" s="175">
        <f t="shared" si="31"/>
        <v>0</v>
      </c>
      <c r="BF63" s="175">
        <f t="shared" si="31"/>
        <v>0</v>
      </c>
      <c r="BG63" s="175">
        <f t="shared" si="31"/>
        <v>0</v>
      </c>
      <c r="BH63" s="175">
        <f>D63-BL63</f>
        <v>0.32000000000000006</v>
      </c>
      <c r="BI63" s="175">
        <f t="shared" ref="BI63:BN63" si="32">BI64+BI65+BI66</f>
        <v>0.32000000000000006</v>
      </c>
      <c r="BJ63" s="175">
        <f t="shared" si="32"/>
        <v>0</v>
      </c>
      <c r="BK63" s="175">
        <f t="shared" si="32"/>
        <v>0</v>
      </c>
      <c r="BL63" s="175">
        <f t="shared" si="32"/>
        <v>0.32999999999999996</v>
      </c>
      <c r="BM63" s="175">
        <f t="shared" si="32"/>
        <v>-0.32999999999999996</v>
      </c>
      <c r="BN63" s="175">
        <f t="shared" si="32"/>
        <v>0.32000000000000006</v>
      </c>
    </row>
    <row r="64" spans="1:68" ht="21.75" customHeight="1">
      <c r="A64" s="14" t="s">
        <v>220</v>
      </c>
      <c r="B64" s="143" t="s">
        <v>461</v>
      </c>
      <c r="C64" s="5" t="s">
        <v>209</v>
      </c>
      <c r="D64" s="100">
        <f>#REF!</f>
        <v>0.65</v>
      </c>
      <c r="E64" s="100">
        <f>F64+O64+S64+T64+U64</f>
        <v>0</v>
      </c>
      <c r="F64" s="100">
        <f t="shared" si="21"/>
        <v>0</v>
      </c>
      <c r="G64" s="100">
        <f t="shared" si="8"/>
        <v>0</v>
      </c>
      <c r="H64" s="100">
        <f t="shared" si="12"/>
        <v>0</v>
      </c>
      <c r="I64" s="100"/>
      <c r="J64" s="100"/>
      <c r="K64" s="100"/>
      <c r="L64" s="100"/>
      <c r="M64" s="100"/>
      <c r="N64" s="100"/>
      <c r="O64" s="100">
        <f>P64+Q64+R64</f>
        <v>0</v>
      </c>
      <c r="P64" s="100"/>
      <c r="Q64" s="100"/>
      <c r="R64" s="100"/>
      <c r="S64" s="100"/>
      <c r="T64" s="100"/>
      <c r="U64" s="100"/>
      <c r="V64" s="100">
        <f t="shared" si="13"/>
        <v>0.32999999999999996</v>
      </c>
      <c r="W64" s="100"/>
      <c r="X64" s="100"/>
      <c r="Y64" s="100"/>
      <c r="Z64" s="100"/>
      <c r="AA64" s="100"/>
      <c r="AB64" s="100"/>
      <c r="AC64" s="100"/>
      <c r="AD64" s="100"/>
      <c r="AE64" s="100">
        <f t="shared" si="27"/>
        <v>0.04</v>
      </c>
      <c r="AF64" s="100"/>
      <c r="AG64" s="100"/>
      <c r="AH64" s="100"/>
      <c r="AI64" s="100"/>
      <c r="AJ64" s="100"/>
      <c r="AK64" s="100"/>
      <c r="AL64" s="100">
        <v>0.04</v>
      </c>
      <c r="AM64" s="100"/>
      <c r="AN64" s="100"/>
      <c r="AO64" s="100"/>
      <c r="AP64" s="100"/>
      <c r="AQ64" s="100"/>
      <c r="AR64" s="100"/>
      <c r="AS64" s="100"/>
      <c r="AT64" s="100"/>
      <c r="AU64" s="100">
        <v>0.28999999999999998</v>
      </c>
      <c r="AV64" s="100"/>
      <c r="AW64" s="100"/>
      <c r="AX64" s="100"/>
      <c r="AY64" s="100"/>
      <c r="AZ64" s="100"/>
      <c r="BA64" s="100"/>
      <c r="BB64" s="100"/>
      <c r="BC64" s="100"/>
      <c r="BD64" s="100"/>
      <c r="BE64" s="100"/>
      <c r="BF64" s="100"/>
      <c r="BG64" s="100"/>
      <c r="BH64" s="100">
        <f>BI64+BJ64+BK64</f>
        <v>0.32000000000000006</v>
      </c>
      <c r="BI64" s="100">
        <f>D64-BL64</f>
        <v>0.32000000000000006</v>
      </c>
      <c r="BJ64" s="100"/>
      <c r="BK64" s="100"/>
      <c r="BL64" s="100">
        <f>E64+V64</f>
        <v>0.32999999999999996</v>
      </c>
      <c r="BM64" s="100">
        <f>BI67-BL64</f>
        <v>-0.32999999999999996</v>
      </c>
      <c r="BN64" s="100">
        <f>D64+BM64</f>
        <v>0.32000000000000006</v>
      </c>
      <c r="BP64" s="123"/>
    </row>
    <row r="65" spans="1:68" ht="21.75" customHeight="1">
      <c r="A65" s="14" t="s">
        <v>221</v>
      </c>
      <c r="B65" s="143" t="s">
        <v>462</v>
      </c>
      <c r="C65" s="5" t="s">
        <v>210</v>
      </c>
      <c r="D65" s="100"/>
      <c r="E65" s="100">
        <f t="shared" si="4"/>
        <v>0</v>
      </c>
      <c r="F65" s="100">
        <f t="shared" si="21"/>
        <v>0</v>
      </c>
      <c r="G65" s="100">
        <f t="shared" si="8"/>
        <v>0</v>
      </c>
      <c r="H65" s="100">
        <f t="shared" si="12"/>
        <v>0</v>
      </c>
      <c r="I65" s="100"/>
      <c r="J65" s="100"/>
      <c r="K65" s="100"/>
      <c r="L65" s="100"/>
      <c r="M65" s="100"/>
      <c r="N65" s="100"/>
      <c r="O65" s="100"/>
      <c r="P65" s="100"/>
      <c r="Q65" s="100"/>
      <c r="R65" s="100"/>
      <c r="S65" s="100"/>
      <c r="T65" s="100"/>
      <c r="U65" s="100"/>
      <c r="V65" s="100">
        <f t="shared" si="13"/>
        <v>0</v>
      </c>
      <c r="W65" s="100"/>
      <c r="X65" s="100"/>
      <c r="Y65" s="100"/>
      <c r="Z65" s="100"/>
      <c r="AA65" s="100"/>
      <c r="AB65" s="100"/>
      <c r="AC65" s="100"/>
      <c r="AD65" s="100"/>
      <c r="AE65" s="100">
        <f t="shared" si="27"/>
        <v>0</v>
      </c>
      <c r="AF65" s="100"/>
      <c r="AG65" s="100"/>
      <c r="AH65" s="100"/>
      <c r="AI65" s="100"/>
      <c r="AJ65" s="100"/>
      <c r="AK65" s="100"/>
      <c r="AL65" s="100"/>
      <c r="AM65" s="100"/>
      <c r="AN65" s="100"/>
      <c r="AO65" s="100"/>
      <c r="AP65" s="100"/>
      <c r="AQ65" s="100"/>
      <c r="AR65" s="100"/>
      <c r="AS65" s="100"/>
      <c r="AT65" s="100"/>
      <c r="AU65" s="100"/>
      <c r="AV65" s="100"/>
      <c r="AW65" s="100"/>
      <c r="AX65" s="100"/>
      <c r="AY65" s="100"/>
      <c r="AZ65" s="100"/>
      <c r="BA65" s="100"/>
      <c r="BB65" s="100"/>
      <c r="BC65" s="100"/>
      <c r="BD65" s="100"/>
      <c r="BE65" s="100"/>
      <c r="BF65" s="100"/>
      <c r="BG65" s="100"/>
      <c r="BH65" s="100">
        <f>BI65+BJ65+BK65</f>
        <v>0</v>
      </c>
      <c r="BI65" s="100"/>
      <c r="BJ65" s="100">
        <f>D65-BL65</f>
        <v>0</v>
      </c>
      <c r="BK65" s="100"/>
      <c r="BL65" s="100">
        <f>E65+V65</f>
        <v>0</v>
      </c>
      <c r="BM65" s="100">
        <f>BJ67-BL65</f>
        <v>0</v>
      </c>
      <c r="BN65" s="100">
        <f>D65+BM65</f>
        <v>0</v>
      </c>
      <c r="BP65" s="123"/>
    </row>
    <row r="66" spans="1:68" ht="21.75" customHeight="1">
      <c r="A66" s="16" t="s">
        <v>222</v>
      </c>
      <c r="B66" s="145" t="s">
        <v>492</v>
      </c>
      <c r="C66" s="9" t="s">
        <v>211</v>
      </c>
      <c r="D66" s="280"/>
      <c r="E66" s="280">
        <f t="shared" si="4"/>
        <v>0</v>
      </c>
      <c r="F66" s="280">
        <f t="shared" si="21"/>
        <v>0</v>
      </c>
      <c r="G66" s="280">
        <f t="shared" si="8"/>
        <v>0</v>
      </c>
      <c r="H66" s="280">
        <f t="shared" si="12"/>
        <v>0</v>
      </c>
      <c r="I66" s="280"/>
      <c r="J66" s="280"/>
      <c r="K66" s="280"/>
      <c r="L66" s="280"/>
      <c r="M66" s="280"/>
      <c r="N66" s="280"/>
      <c r="O66" s="280"/>
      <c r="P66" s="280"/>
      <c r="Q66" s="280"/>
      <c r="R66" s="280"/>
      <c r="S66" s="280"/>
      <c r="T66" s="280"/>
      <c r="U66" s="280"/>
      <c r="V66" s="280">
        <f t="shared" si="13"/>
        <v>0</v>
      </c>
      <c r="W66" s="280"/>
      <c r="X66" s="280"/>
      <c r="Y66" s="280"/>
      <c r="Z66" s="280"/>
      <c r="AA66" s="280"/>
      <c r="AB66" s="280"/>
      <c r="AC66" s="280"/>
      <c r="AD66" s="280"/>
      <c r="AE66" s="280">
        <f t="shared" si="27"/>
        <v>0</v>
      </c>
      <c r="AF66" s="280"/>
      <c r="AG66" s="280"/>
      <c r="AH66" s="280"/>
      <c r="AI66" s="280"/>
      <c r="AJ66" s="280"/>
      <c r="AK66" s="280"/>
      <c r="AL66" s="280"/>
      <c r="AM66" s="280"/>
      <c r="AN66" s="280"/>
      <c r="AO66" s="280"/>
      <c r="AP66" s="280"/>
      <c r="AQ66" s="280"/>
      <c r="AR66" s="280"/>
      <c r="AS66" s="280"/>
      <c r="AT66" s="280"/>
      <c r="AU66" s="280"/>
      <c r="AV66" s="280"/>
      <c r="AW66" s="280"/>
      <c r="AX66" s="280"/>
      <c r="AY66" s="280"/>
      <c r="AZ66" s="280"/>
      <c r="BA66" s="280"/>
      <c r="BB66" s="280"/>
      <c r="BC66" s="280"/>
      <c r="BD66" s="280"/>
      <c r="BE66" s="280"/>
      <c r="BF66" s="280"/>
      <c r="BG66" s="280"/>
      <c r="BH66" s="280">
        <f>BI66+BJ66+BK66</f>
        <v>0</v>
      </c>
      <c r="BI66" s="280"/>
      <c r="BJ66" s="280"/>
      <c r="BK66" s="280">
        <f>D66-BL66</f>
        <v>0</v>
      </c>
      <c r="BL66" s="280">
        <f>E66+V66</f>
        <v>0</v>
      </c>
      <c r="BM66" s="280">
        <f>BK67-BL66</f>
        <v>0</v>
      </c>
      <c r="BN66" s="280">
        <f>D66+BM66</f>
        <v>0</v>
      </c>
      <c r="BP66" s="123"/>
    </row>
    <row r="67" spans="1:68" s="113" customFormat="1" ht="24.75" customHeight="1">
      <c r="A67" s="17"/>
      <c r="B67" s="146" t="s">
        <v>190</v>
      </c>
      <c r="C67" s="11"/>
      <c r="D67" s="189"/>
      <c r="E67" s="189">
        <f>E25+E63</f>
        <v>0</v>
      </c>
      <c r="F67" s="189">
        <f>F18+F22+F23+F24+F25+F63</f>
        <v>0</v>
      </c>
      <c r="G67" s="189">
        <f>G17+G18+G22+G23+G24+G25+G63</f>
        <v>0</v>
      </c>
      <c r="H67" s="189">
        <f>H15+H16+H17+H18+H22+H23+H24+H25+H63</f>
        <v>0</v>
      </c>
      <c r="I67" s="189">
        <f>I13+I14+I15+I16+I17+I18+I22+I23+I24+I25+I63</f>
        <v>0</v>
      </c>
      <c r="J67" s="189">
        <f>J12+J14+J15+J16+J17+J18+J22+J23+J24+J25+J63</f>
        <v>0</v>
      </c>
      <c r="K67" s="189">
        <f>K12+K13+K15+K16+K17+K18+K22+K23+K24+K25+K63</f>
        <v>0</v>
      </c>
      <c r="L67" s="189">
        <f>L12+L13+L14+L16+L17+L18+L22+L23+L24+L25+L63</f>
        <v>0</v>
      </c>
      <c r="M67" s="189">
        <f>M12+M13+M14+M15+M17+M18+M22+M23+M24+M25+M63</f>
        <v>0</v>
      </c>
      <c r="N67" s="189">
        <f>N12+N13+N14+N15+N16+N18+N22+N23+N24+N25+N63</f>
        <v>0</v>
      </c>
      <c r="O67" s="189">
        <f>O9+O22+O23+O24+O25+O63</f>
        <v>0</v>
      </c>
      <c r="P67" s="189">
        <f>P10+P17+P20+P21+P22+P23+P24+P25+P63</f>
        <v>0</v>
      </c>
      <c r="Q67" s="189">
        <f>Q12+Q13+Q14+Q15+Q16+Q17+Q19+Q21+Q22+Q23+Q24+Q25+Q63</f>
        <v>0</v>
      </c>
      <c r="R67" s="189">
        <f>R12+R13+R14+R15+R16+R17+R19+R20+R22+R23+R24+R25+R63</f>
        <v>0</v>
      </c>
      <c r="S67" s="189">
        <f>S9+S18+S23+S24+S25+S63</f>
        <v>0</v>
      </c>
      <c r="T67" s="189">
        <f>T9+T18+T22+T24+T25+T63</f>
        <v>0</v>
      </c>
      <c r="U67" s="189">
        <f>U9+U18+U22+U23+U25+U63</f>
        <v>0</v>
      </c>
      <c r="V67" s="189">
        <f>V8+V63</f>
        <v>0.32999999999999996</v>
      </c>
      <c r="W67" s="189">
        <f>W8+W27+W28+W29+W30+W31+W32+W33+W34+W46+W47+W48+W49+W50+W51+W52+W53+W54+W55+W56+W57+W58+W59+W60+W61+W62+W63</f>
        <v>0</v>
      </c>
      <c r="X67" s="189">
        <f>X8+X26+X28+X29+X30+X31+X32+X33+X34+X46+X47+X48+X49+X50+X51+X52+X53+X54+X55+X56+X57+X58+X59+X60+X61+X62+X63</f>
        <v>0</v>
      </c>
      <c r="Y67" s="189">
        <f>Y8+Y26+Y27+Y29+Y30+Y31+Y32+Y33+Y34+Y46+Y47+Y48+Y49+Y50+Y51+Y52+Y53+Y54+Y55+Y56+Y57+Y58+Y59+Y60+Y61+Y62+Y63</f>
        <v>0</v>
      </c>
      <c r="Z67" s="189">
        <f>Z8+Z26+Z27+Z28+Z30+Z31+Z32+Z33+Z34+Z46+Z47+Z48+Z49+Z50+Z51+Z52+Z53+Z54+Z55+Z56+Z57+Z58+Z59+Z60+Z61+Z62+Z63</f>
        <v>0</v>
      </c>
      <c r="AA67" s="189">
        <f>AA8+AA26+AA27+AA28+AA29+AA31+AA32+AA33+AA34+AA46+AA47+AA48+AA49+AA50+AA51+AA52+AA53+AA54+AA55+AA56+AA57+AA58+AA59+AA60+AA61+AA62+AA63</f>
        <v>0</v>
      </c>
      <c r="AB67" s="189">
        <f>AB8+AB26+AB27+AB28+AB29+AB30+AB32+AB33+AB34+AB46+AB47+AB48+AB49+AB50+AB51+AB52+AB53+AB54+AB55+AB56+AB57+AB58+AB59+AB60+AB61+AB62+AB63</f>
        <v>0</v>
      </c>
      <c r="AC67" s="189">
        <f>AC8+AC26+AC27+AC28+AC29+AC30+AC31+AC33+AC34+AC46+AC47+AC48+AC49+AC50+AC51+AC52+AC53+AC54+AC55+AC56+AC57+AC58+AC59+AC60+AC61+AC62+AC63</f>
        <v>0</v>
      </c>
      <c r="AD67" s="189">
        <f>AD8+AD26+AD27+AD28+AD29+AD30+AD31+AD32+AD34+AD46+AD47+AD48+AD49+AD50+AD51+AD52+AD53+AD54+AD55+AD56+AD57+AD58+AD59+AD60+AD61+AD62+AD63</f>
        <v>0</v>
      </c>
      <c r="AE67" s="189">
        <f>AE8+AE26+AE27+AE28+AE29+AE30+AE31+AE32+AE33+AE46+AE47+AE48+AE49+AE50+AE51+AE52+AE53+AE54+AE55+AE56+AE57+AE58+AE59+AE60+AE61+AE62+AE63</f>
        <v>0.04</v>
      </c>
      <c r="AF67" s="189">
        <f>AF8+AF26+AF27+AF28+AF29+AF30+AF31+AF32+AF33+AF3+AF36+AF37+AF38+AF39+AF40+AF41+AF42+AF43+AF44+AF45+AF46+AF47+AF48+AF49+AF50+AF51+AF52+AF53+AF54+AF55+AF56+AF57+AF58+AF59+AF60+AF61+AF62+AF63</f>
        <v>0</v>
      </c>
      <c r="AG67" s="189">
        <f>AG8+AG26+AG27+AG28+AG29+AG30+AG31+AG32+AG33+AG35+AG37+AG38+AG39+AG40+AG41+AG42+AG43+AG44+AG45+AG46+AG47+AG48+AG49+AG50+AG51+AG52+AG53+AG54+AG55+AG56+AG57+AG58+AG59+AG60+AG61+AG62+AG63</f>
        <v>0</v>
      </c>
      <c r="AH67" s="189">
        <f>AH8+AH26+AH27+AH28+AH29+AH30+AH31+AH32+AH33+AH35+AH36+AH38+AH39+AH40+AH41+AH42+AH43+AH44+AH45+AH46+AH47+AH48+AH49+AH50+AH51+AH52+AH53+AH54+AH55+AH56+AH57+AH58+AH59+AH60+AH61+AH62+AH63</f>
        <v>0</v>
      </c>
      <c r="AI67" s="189">
        <f>AI8+AI26+AI27+AI28+AI29+AI30+AI31+AI32+AI33+AI35+AI36+AI37+AI39+AI40+AI41+AI42+AI43+AI44+AI45+AI46+AI47+AI48+AI49+AI50+AI51+AI52+AI53+AI54+AI55+AI56+AI57+AI58+AI59+AI60+AI61+AI62+AI63</f>
        <v>0</v>
      </c>
      <c r="AJ67" s="189">
        <f>AJ8+AJ26+AJ27+AJ28+AJ29+AJ30+AJ31+AJ32+AJ33+AJ35+AJ36+AJ37+AJ38+AJ40+AJ41+AJ42+AJ43+AJ44+AJ45+AJ46+AJ47+AJ48+AJ49+AJ50+AJ51+AJ52+AJ53+AJ54+AJ55+AJ56+AJ57+AJ58+AJ59+AJ60+AJ61+AJ62+AJ63</f>
        <v>0</v>
      </c>
      <c r="AK67" s="189">
        <f>AK8+AK26+AK27+AK28+AK29+AK30+AK31+AK32+AK33+AK35+AK36+AK37+AK38+AK39+AK41+AK42+AK43+AK44+AK45+AK46+AK47+AK48+AK49+AK50+AK51+AK52+AK53+AK54+AK55+AK56+AK57+AK58+AK59+AK60+AK61+AK62+AK63</f>
        <v>0</v>
      </c>
      <c r="AL67" s="189">
        <f>AL8+AL26+AL27+AL28+AL29+AL30+AL31+AL32+AL33+AL35+AL36+AL37+AL38+AL39+AL40+AL42+AL43+AL44+AL45+AL46+AL47+AL48+AL49+AL50+AL51+AL52+AL53+AL54+AL55+AL56+AL57+AL58+AL59+AL60+AL61+AL62+AL63</f>
        <v>0.04</v>
      </c>
      <c r="AM67" s="189">
        <f>AM8+AM26+AM27+AM28+AM29+AM30+AM31+AM32+AM33+AM35+AM36+AM37+AM38+AM39+AM40+AM41+AM43+AM44+AM45+AM46+AM47+AM48+AM49+AM50+AM51+AM52+AM53+AM54+AM55+AM56+AM57+AM58+AM59+AM60+AM61+AM62+AM63</f>
        <v>0</v>
      </c>
      <c r="AN67" s="189">
        <f>AN8+AN26+AN27+AN28+AN29+AN30+AN31+AN32+AN33+AN35+AN36+AN37+AN38+AN39+AN40+AN41+AN42+AN44+AN45+AN46+AN47+AN48+AN49+AN50+AN51+AN52+AN53+AN54+AN55+AN56+AN57+AN58+AN59+AN60+AN61+AN62+AN63</f>
        <v>0</v>
      </c>
      <c r="AO67" s="189">
        <f>AO8+AO26+AO27+AO28+AO29+AO30+AO31+AO32+AO33+AO35+AO36+AO37+AO38+AO39+AO40+AO41+AO42+AO43+AO45+AO46+AO47+AO48+AO49+AO50+AO51+AO52+AO53+AO54+AO55+AO56+AO57+AO58+AO59+AO60+AO61+AO62+AO63</f>
        <v>0</v>
      </c>
      <c r="AP67" s="189">
        <f>AP8+AP26+AP27+AP28+AP29+AP30+AP31+AP32+AP33+AP35+AP36+AP37+AP38+AP39+AP40+AP41+AP42+AP43+AP44+AP46+AP47+AP48+AP49+AP50+AP51+AP52+AP53+AP54+AP55+AP56+AP57+AP58+AP59+AP60+AP61+AP62+AP63</f>
        <v>0</v>
      </c>
      <c r="AQ67" s="189">
        <f>AQ8+AQ26+AQ27+AQ28+AQ29+AQ30+AQ31+AQ32+AQ33+AQ34+AQ47+AQ48+AQ49+AQ50+AQ51+AQ52+AQ53+AQ54+AQ55+AQ56+AQ57+AQ58+AQ59+AQ60+AQ61+AQ62+AQ63</f>
        <v>0</v>
      </c>
      <c r="AR67" s="189">
        <f>AR8+AR26+AR27+AR28+AR29+AR30+AR31+AR32+AR33+AR34+AR46+AR48+AR49+AR50+AR51+AR52+AR53+AR54+AR55+AR56+AR57+AR58+AR59+AR60+AR61+AR62+AR63</f>
        <v>0</v>
      </c>
      <c r="AS67" s="189">
        <f>AS8+AS26+AS27+AS28+AS29+AS30+AS31+AS32+AS33+AS34+AS46+AS47+AS49+AS50+AS51+AS52+AS53+AS54+AS55+AS56+AS57+AS58+AS59+AS60+AS61+AS62+AS63</f>
        <v>0</v>
      </c>
      <c r="AT67" s="189">
        <f>AT8+AT26+AT27+AT28+AT29+AT30+AT31+AT32+AT33+AT34+AT46+AT47+AT48+AT50+AT51+AT52+AT53+AT54+AT55+AT56+AT57+AT58+AT59+AT60+AT61+AT62+AT63</f>
        <v>0</v>
      </c>
      <c r="AU67" s="189">
        <f>AU8+AU26+AU27+AU28+AU29+AU30+AU31+AU32+AU33+AU34+AU46+AU47+AU48+AU49+AU51+AU52+AU53+AU54+AU55+AU56+AU57+AU58+AU59+AU60+AU61+AU62+AU63</f>
        <v>0.33999999999999997</v>
      </c>
      <c r="AV67" s="189">
        <f>AV8+AV26+AV27+AV28+AV29+AV30+AV31+AV32+AV33+AV34+AV46+AV47+AV48+AV49+AV50+AV52+AV53+AV54+AV55+AV56+AV57+AV58+AV59+AV60+AV61+AV62+AV63</f>
        <v>0</v>
      </c>
      <c r="AW67" s="731">
        <f>AW8+AW26+AW27+AW28+AW29+AW30+AW31+AW32+AW33+AW34+AW46+AW47+AW48+AW49+AW50+AW51+AW53+AW54+AW55+AW56+AW57+AW58+AW59+AW60+AW61+AW62+AW63</f>
        <v>0</v>
      </c>
      <c r="AX67" s="189">
        <f>AX8+AX26+AX27+AX28+AX29+AX30+AX31+AX32+AX33+AX34+AX46+AX47+AX48+AX49+AX50+AX51+AX52+AX54+AX55+AX56+AX57+AX58+AX59+AX60+AX61+AX62+AX63</f>
        <v>0</v>
      </c>
      <c r="AY67" s="189">
        <f>AY8+AY26+AY27+AY28+AY29+AY30+AY31+AY32+AY33+AY34+AY46+AY47+AY48+AY49+AY50+AY51+AY52+AY53+AY55+AY56+AY57+AY58+AY59+AY60+AY61+AY62+AY63</f>
        <v>0</v>
      </c>
      <c r="AZ67" s="189">
        <f>AZ8+AZ26+AZ27+AZ28+AZ29+AZ30+AZ31+AZ32+AZ33+AZ34+AZ46+AZ47+AZ48+AZ49+AZ50+AZ51+AZ52+AZ53+AZ54+AZ56+AZ57+AZ58+AZ59+AZ60+AZ61+AZ62+AZ63</f>
        <v>0</v>
      </c>
      <c r="BA67" s="189">
        <f>BA8+BA26+BA27+BA28+BA29+BA30+BA31+BA32+BA33+BA34+BA46+BA47+BA48+BA49+BA50+BA51+BA52+BA53+BA54+BA55+BA57+BA58+BA59+BA60+BA61+BA62+BA63</f>
        <v>0</v>
      </c>
      <c r="BB67" s="189">
        <f>BB8+BB26+BB27+BB28+BB29+BB30+BB31+BB32+BB33+BB34+BB46+BB47+BB48+BB49+BB50+BB51+BB52+BB53+BB54+BB55+BB56+BB58+BB59+BB60+BB61+BB62+BB63</f>
        <v>0</v>
      </c>
      <c r="BC67" s="189">
        <f>BC8+BC26+BC27+BC28+BC29+BC30+BC31+BC32+BC33+BC34+BC46+BC47+BC48+BC49+BC50+BC51+BC52+BC53+BC54+BC55+BC56+BC57+BC59+BC60+BC61+BC62+BC63</f>
        <v>0</v>
      </c>
      <c r="BD67" s="189">
        <f>BD8+BD26+BD27+BD28+BD29+BD30+BD31+BD32+BD33+BD34+BD46+BD47+BD48+BD49+BD50+BD51+BD52+BD53+BD54+BD55+BD56+BD57+BD58+BD60+BD61+BD62+BD63</f>
        <v>0</v>
      </c>
      <c r="BE67" s="189">
        <f>BE8+BE26+BE27+BE28+BE29+BE30+BE31+BE32+BE33+BE34+BE46+BE47+BE48+BE49+BE50+BE51+BE52+BE53+BE54+BE55+BE56+BE57+BE58+BE59+BE61+BE62+BE63</f>
        <v>0</v>
      </c>
      <c r="BF67" s="189">
        <f>BF8+BF26+BF27+BF28+BF29+BF30+BF31+BF32+BF33+BF34+BF46+BF47+BF48+BF49+BF50+BF51+BF52+BF53+BF54+BF55+BF56+BF57+BF58+BF59+BF60+BF62+BF63</f>
        <v>0</v>
      </c>
      <c r="BG67" s="189">
        <f>BG8+BG26+BG27+BG28+BG29+BG30+BG31+BG32+BG33+BG34+BG46+BG47+BG48+BG49+BG50+BG51+BG52+BG53+BG54+BG55+BG56+BG57+BG58+BG59+BG60+BG61+BG63</f>
        <v>0</v>
      </c>
      <c r="BH67" s="189">
        <f>BH8+BH25</f>
        <v>0</v>
      </c>
      <c r="BI67" s="189">
        <f>BI8+BI25+BI65+BI66</f>
        <v>0</v>
      </c>
      <c r="BJ67" s="189">
        <f>BJ8+BJ25+BJ64+BJ66</f>
        <v>0</v>
      </c>
      <c r="BK67" s="189">
        <f>BK8+BK25+BK64+BK65</f>
        <v>0</v>
      </c>
      <c r="BL67" s="189"/>
      <c r="BM67" s="189"/>
      <c r="BN67" s="189"/>
    </row>
    <row r="68" spans="1:68" s="103" customFormat="1" ht="31.5" customHeight="1">
      <c r="A68" s="18"/>
      <c r="B68" s="149" t="s">
        <v>695</v>
      </c>
      <c r="C68" s="10"/>
      <c r="D68" s="458">
        <f>BN7</f>
        <v>102.37</v>
      </c>
      <c r="E68" s="458">
        <f>BN8</f>
        <v>0</v>
      </c>
      <c r="F68" s="458">
        <f>BN9</f>
        <v>0</v>
      </c>
      <c r="G68" s="458">
        <f>BN10</f>
        <v>0</v>
      </c>
      <c r="H68" s="458">
        <f>BN11</f>
        <v>0</v>
      </c>
      <c r="I68" s="458">
        <f>BN12</f>
        <v>0</v>
      </c>
      <c r="J68" s="458">
        <f>BN13</f>
        <v>0</v>
      </c>
      <c r="K68" s="458">
        <f>BN14</f>
        <v>0</v>
      </c>
      <c r="L68" s="458">
        <f>BN15</f>
        <v>0</v>
      </c>
      <c r="M68" s="458">
        <f>BN16</f>
        <v>0</v>
      </c>
      <c r="N68" s="458">
        <f>BN17</f>
        <v>0</v>
      </c>
      <c r="O68" s="458">
        <f>BN18</f>
        <v>0</v>
      </c>
      <c r="P68" s="458">
        <f>BN19</f>
        <v>0</v>
      </c>
      <c r="Q68" s="458">
        <f>BN20</f>
        <v>0</v>
      </c>
      <c r="R68" s="458">
        <f>BN21</f>
        <v>0</v>
      </c>
      <c r="S68" s="458">
        <f>BN22</f>
        <v>0</v>
      </c>
      <c r="T68" s="458">
        <f>BN23</f>
        <v>0</v>
      </c>
      <c r="U68" s="458">
        <f>BN24</f>
        <v>0</v>
      </c>
      <c r="V68" s="458">
        <f>BN25</f>
        <v>102.05000000000001</v>
      </c>
      <c r="W68" s="458">
        <f>BN26</f>
        <v>19.940000000000001</v>
      </c>
      <c r="X68" s="458">
        <f>BN27</f>
        <v>0.46</v>
      </c>
      <c r="Y68" s="458">
        <f>BN28</f>
        <v>0</v>
      </c>
      <c r="Z68" s="458">
        <f>BN29</f>
        <v>0</v>
      </c>
      <c r="AA68" s="458">
        <f>BN30</f>
        <v>0</v>
      </c>
      <c r="AB68" s="458">
        <f>BN31</f>
        <v>16.920000000000002</v>
      </c>
      <c r="AC68" s="458">
        <f>BN32</f>
        <v>0</v>
      </c>
      <c r="AD68" s="458">
        <f>BN33</f>
        <v>0</v>
      </c>
      <c r="AE68" s="458">
        <f>BN34</f>
        <v>39.74</v>
      </c>
      <c r="AF68" s="458">
        <f>BN35</f>
        <v>0.05</v>
      </c>
      <c r="AG68" s="458">
        <f>BN36</f>
        <v>0.1</v>
      </c>
      <c r="AH68" s="458">
        <f>BN37</f>
        <v>3.36</v>
      </c>
      <c r="AI68" s="458">
        <f>BN38</f>
        <v>0.41</v>
      </c>
      <c r="AJ68" s="458">
        <f>BN39</f>
        <v>0</v>
      </c>
      <c r="AK68" s="458">
        <f>BN40</f>
        <v>0</v>
      </c>
      <c r="AL68" s="458">
        <f>BN41</f>
        <v>31.29</v>
      </c>
      <c r="AM68" s="458">
        <f>BN42</f>
        <v>0</v>
      </c>
      <c r="AN68" s="458">
        <f>BN43</f>
        <v>0.11</v>
      </c>
      <c r="AO68" s="458">
        <f>BN44</f>
        <v>0</v>
      </c>
      <c r="AP68" s="458">
        <f>BN45</f>
        <v>4.42</v>
      </c>
      <c r="AQ68" s="458">
        <f>BN46</f>
        <v>0</v>
      </c>
      <c r="AR68" s="458">
        <f>BN47</f>
        <v>0</v>
      </c>
      <c r="AS68" s="458">
        <f>BN48</f>
        <v>0</v>
      </c>
      <c r="AT68" s="458">
        <f>BN49</f>
        <v>0</v>
      </c>
      <c r="AU68" s="458">
        <f>BN50</f>
        <v>10.904999999999999</v>
      </c>
      <c r="AV68" s="458">
        <f>BN51</f>
        <v>4.8849999999999998</v>
      </c>
      <c r="AW68" s="458">
        <f>BN52</f>
        <v>0</v>
      </c>
      <c r="AX68" s="458">
        <f>BN53</f>
        <v>0</v>
      </c>
      <c r="AY68" s="458">
        <f>BN54</f>
        <v>0</v>
      </c>
      <c r="AZ68" s="458">
        <f>BN55</f>
        <v>0</v>
      </c>
      <c r="BA68" s="458">
        <f>BN56</f>
        <v>0</v>
      </c>
      <c r="BB68" s="458">
        <f>BN57</f>
        <v>0.45</v>
      </c>
      <c r="BC68" s="458">
        <f>BN58</f>
        <v>0.53</v>
      </c>
      <c r="BD68" s="458">
        <f>BN59</f>
        <v>0</v>
      </c>
      <c r="BE68" s="458">
        <f>BN60</f>
        <v>8.2200000000000006</v>
      </c>
      <c r="BF68" s="458">
        <f>BN61</f>
        <v>0</v>
      </c>
      <c r="BG68" s="458">
        <f>BN62</f>
        <v>0</v>
      </c>
      <c r="BH68" s="458">
        <f>BN63</f>
        <v>0.32000000000000006</v>
      </c>
      <c r="BI68" s="458">
        <f>BN64</f>
        <v>0.32000000000000006</v>
      </c>
      <c r="BJ68" s="458">
        <f>BN65</f>
        <v>0</v>
      </c>
      <c r="BK68" s="458">
        <f>BN66</f>
        <v>0</v>
      </c>
      <c r="BL68" s="458"/>
      <c r="BM68" s="458"/>
      <c r="BN68" s="458"/>
    </row>
    <row r="69" spans="1:68" ht="24.95" customHeight="1">
      <c r="AB69">
        <v>178.93</v>
      </c>
      <c r="AH69">
        <v>32.200000000000003</v>
      </c>
      <c r="AT69">
        <v>356.03</v>
      </c>
      <c r="BC69">
        <v>442.27</v>
      </c>
    </row>
    <row r="70" spans="1:68" ht="18" customHeight="1">
      <c r="A70" s="1300" t="s">
        <v>10</v>
      </c>
      <c r="B70" s="1300"/>
      <c r="AB70">
        <f>AB67-AB69</f>
        <v>-178.93</v>
      </c>
      <c r="AH70">
        <f>AH67-AH69</f>
        <v>-32.200000000000003</v>
      </c>
      <c r="AT70">
        <f>AT67-AT69</f>
        <v>-356.03</v>
      </c>
      <c r="BC70">
        <f>BC68-BC69</f>
        <v>-441.74</v>
      </c>
      <c r="BD70">
        <f>BC70-39.63</f>
        <v>-481.37</v>
      </c>
    </row>
    <row r="71" spans="1:68" ht="28.5" customHeight="1">
      <c r="A71" s="1300" t="s">
        <v>321</v>
      </c>
      <c r="B71" s="1300"/>
      <c r="C71" s="1300"/>
      <c r="D71" s="1300"/>
      <c r="E71" s="1300"/>
      <c r="F71" s="1300"/>
      <c r="G71" s="1300"/>
      <c r="H71" s="1300"/>
      <c r="I71" s="1300"/>
      <c r="J71" s="1300"/>
      <c r="K71" s="1300"/>
      <c r="L71" s="1300"/>
      <c r="M71" s="1300"/>
      <c r="N71" s="1300"/>
      <c r="O71" s="1300"/>
      <c r="P71" s="1300"/>
      <c r="Q71" s="1300"/>
      <c r="R71" s="1300"/>
      <c r="S71" s="1300"/>
      <c r="T71" s="1300"/>
      <c r="U71" s="1300"/>
      <c r="V71" s="1300"/>
      <c r="W71" s="1300"/>
      <c r="X71" s="1300"/>
      <c r="Y71" s="1300"/>
      <c r="Z71" s="1300"/>
      <c r="AA71" s="1300"/>
      <c r="AB71" s="1300"/>
      <c r="AC71" s="1300"/>
      <c r="AD71" s="1300"/>
      <c r="AE71" s="1300"/>
      <c r="AF71" s="1300"/>
      <c r="AG71" s="1300"/>
      <c r="AH71" s="1300"/>
      <c r="AI71" s="1300"/>
      <c r="AJ71" s="1300"/>
      <c r="AK71" s="1300"/>
      <c r="AL71" s="1300"/>
      <c r="AM71" s="1300"/>
      <c r="AN71" s="1300"/>
      <c r="AO71" s="1300"/>
      <c r="AP71" s="1300"/>
      <c r="AQ71" s="1300"/>
      <c r="AR71" s="1300"/>
      <c r="AS71" s="1300"/>
    </row>
    <row r="72" spans="1:68" ht="24.75" customHeight="1">
      <c r="A72" s="1300" t="s">
        <v>322</v>
      </c>
      <c r="B72" s="1300"/>
      <c r="C72" s="1300"/>
      <c r="D72" s="1300"/>
      <c r="E72" s="1300"/>
      <c r="F72" s="1300"/>
      <c r="G72" s="1300"/>
      <c r="H72" s="1300"/>
      <c r="I72" s="1300"/>
      <c r="J72" s="1300"/>
      <c r="K72" s="1300"/>
      <c r="L72" s="1300"/>
      <c r="M72" s="1300"/>
      <c r="N72" s="1300"/>
      <c r="O72" s="1300"/>
      <c r="P72" s="1300"/>
      <c r="Q72" s="1300"/>
      <c r="R72" s="1300"/>
      <c r="S72" s="1300"/>
      <c r="T72" s="1300"/>
      <c r="U72" s="1300"/>
      <c r="V72" s="1300"/>
      <c r="W72" s="1300"/>
      <c r="X72" s="1300"/>
      <c r="Y72" s="1300"/>
      <c r="Z72" s="1300"/>
      <c r="AA72" s="1300"/>
      <c r="AB72" s="1300"/>
      <c r="AC72" s="1300"/>
      <c r="AD72" s="1300"/>
      <c r="AE72" s="1300"/>
      <c r="AF72" s="1300"/>
      <c r="AG72" s="1300"/>
      <c r="AH72" s="1300"/>
      <c r="AI72" s="1300"/>
      <c r="AJ72" s="1300"/>
      <c r="AK72" s="1300"/>
      <c r="AL72" s="1300"/>
      <c r="AM72" s="1300"/>
      <c r="AN72" s="1300"/>
      <c r="AO72" s="1300"/>
      <c r="AP72" s="1300"/>
      <c r="AQ72" s="1300"/>
      <c r="AR72" s="1300"/>
      <c r="AS72" s="1300"/>
    </row>
    <row r="73" spans="1:68" ht="21.75" customHeight="1">
      <c r="AR73" s="1300" t="s">
        <v>138</v>
      </c>
      <c r="AS73" s="1300"/>
    </row>
    <row r="74" spans="1:68" ht="31.5" customHeight="1">
      <c r="A74" s="1300" t="s">
        <v>0</v>
      </c>
      <c r="B74" s="1300" t="s">
        <v>12</v>
      </c>
      <c r="C74" s="1300" t="s">
        <v>13</v>
      </c>
      <c r="D74" s="1300" t="s">
        <v>324</v>
      </c>
      <c r="E74" s="1300" t="s">
        <v>326</v>
      </c>
      <c r="F74" s="1300"/>
      <c r="G74" s="1300"/>
      <c r="H74" s="1300"/>
      <c r="I74" s="1300"/>
      <c r="J74" s="1300"/>
      <c r="K74" s="1300"/>
      <c r="L74" s="1300"/>
      <c r="M74" s="1300"/>
      <c r="N74" s="1300"/>
      <c r="O74" s="1300"/>
      <c r="P74" s="1300"/>
      <c r="Q74" s="1300"/>
      <c r="R74" s="1300"/>
      <c r="S74" s="1300"/>
      <c r="T74" s="1300"/>
      <c r="U74" s="1300"/>
      <c r="V74" s="1300"/>
      <c r="W74" s="1300"/>
      <c r="X74" s="1300"/>
      <c r="Y74" s="1300"/>
      <c r="Z74" s="1300"/>
      <c r="AA74" s="1300"/>
      <c r="AB74" s="1300"/>
      <c r="AC74" s="1300"/>
      <c r="AD74" s="1300"/>
      <c r="AE74" s="1300"/>
      <c r="AF74" s="1300"/>
      <c r="AG74" s="1300"/>
      <c r="AH74" s="1300"/>
      <c r="AI74" s="1300"/>
      <c r="AJ74" s="1300"/>
      <c r="AK74" s="1300"/>
      <c r="AL74" s="1300"/>
      <c r="AM74" s="1300"/>
      <c r="AN74" s="1300"/>
      <c r="AO74" s="1300"/>
      <c r="AP74" s="1300"/>
      <c r="AQ74" s="1300"/>
      <c r="AR74" s="1300" t="s">
        <v>191</v>
      </c>
      <c r="AS74" s="1300" t="s">
        <v>323</v>
      </c>
    </row>
    <row r="75" spans="1:68" ht="30" customHeight="1">
      <c r="A75" s="1300"/>
      <c r="B75" s="1300"/>
      <c r="C75" s="1300"/>
      <c r="D75" s="1300"/>
      <c r="E75" t="s">
        <v>15</v>
      </c>
      <c r="F75" t="s">
        <v>18</v>
      </c>
      <c r="G75" t="s">
        <v>20</v>
      </c>
      <c r="H75" t="s">
        <v>23</v>
      </c>
      <c r="I75" t="s">
        <v>26</v>
      </c>
      <c r="J75" t="s">
        <v>29</v>
      </c>
      <c r="K75" t="s">
        <v>32</v>
      </c>
      <c r="L75" t="s">
        <v>35</v>
      </c>
      <c r="M75" t="s">
        <v>38</v>
      </c>
      <c r="N75" t="s">
        <v>41</v>
      </c>
      <c r="O75" t="s">
        <v>44</v>
      </c>
      <c r="P75" t="s">
        <v>46</v>
      </c>
      <c r="Q75" t="s">
        <v>49</v>
      </c>
      <c r="R75" t="s">
        <v>52</v>
      </c>
      <c r="S75" t="s">
        <v>55</v>
      </c>
      <c r="T75" t="s">
        <v>58</v>
      </c>
      <c r="U75" t="s">
        <v>61</v>
      </c>
      <c r="V75" t="s">
        <v>64</v>
      </c>
      <c r="W75" t="s">
        <v>67</v>
      </c>
      <c r="X75" t="s">
        <v>70</v>
      </c>
      <c r="Y75" t="s">
        <v>72</v>
      </c>
      <c r="Z75" t="s">
        <v>75</v>
      </c>
      <c r="AA75" t="s">
        <v>78</v>
      </c>
      <c r="AB75" t="s">
        <v>81</v>
      </c>
      <c r="AC75" t="s">
        <v>84</v>
      </c>
      <c r="AD75" t="s">
        <v>87</v>
      </c>
      <c r="AE75" t="s">
        <v>90</v>
      </c>
      <c r="AF75" t="s">
        <v>93</v>
      </c>
      <c r="AG75" t="s">
        <v>96</v>
      </c>
      <c r="AH75" t="s">
        <v>99</v>
      </c>
      <c r="AI75" t="s">
        <v>101</v>
      </c>
      <c r="AJ75" t="s">
        <v>104</v>
      </c>
      <c r="AK75" t="s">
        <v>107</v>
      </c>
      <c r="AL75" t="s">
        <v>110</v>
      </c>
      <c r="AM75" t="s">
        <v>113</v>
      </c>
      <c r="AN75" t="s">
        <v>116</v>
      </c>
      <c r="AO75" t="s">
        <v>119</v>
      </c>
      <c r="AP75" t="s">
        <v>122</v>
      </c>
      <c r="AQ75" t="s">
        <v>124</v>
      </c>
      <c r="AR75" s="1300"/>
      <c r="AS75" s="1300"/>
    </row>
    <row r="76" spans="1:68" ht="27.75" customHeight="1">
      <c r="B76" t="s">
        <v>189</v>
      </c>
      <c r="D76">
        <f>D77+D88+D115</f>
        <v>102.37</v>
      </c>
      <c r="E76">
        <f t="shared" ref="E76:AS76" si="33">E77+E88+E115</f>
        <v>0</v>
      </c>
      <c r="F76">
        <f t="shared" si="33"/>
        <v>0</v>
      </c>
      <c r="G76">
        <f t="shared" si="33"/>
        <v>0</v>
      </c>
      <c r="H76">
        <f t="shared" si="33"/>
        <v>0</v>
      </c>
      <c r="I76">
        <f t="shared" si="33"/>
        <v>0</v>
      </c>
      <c r="J76">
        <f>J77+J88+J115</f>
        <v>0</v>
      </c>
      <c r="K76">
        <f t="shared" si="33"/>
        <v>0</v>
      </c>
      <c r="L76">
        <f t="shared" si="33"/>
        <v>0</v>
      </c>
      <c r="M76">
        <f t="shared" si="33"/>
        <v>0</v>
      </c>
      <c r="N76">
        <f t="shared" si="33"/>
        <v>0</v>
      </c>
      <c r="O76">
        <f t="shared" si="33"/>
        <v>0</v>
      </c>
      <c r="P76">
        <f t="shared" si="33"/>
        <v>102.05</v>
      </c>
      <c r="Q76">
        <f t="shared" si="33"/>
        <v>19.940000000000001</v>
      </c>
      <c r="R76">
        <f t="shared" si="33"/>
        <v>0.46</v>
      </c>
      <c r="S76">
        <f t="shared" si="33"/>
        <v>0</v>
      </c>
      <c r="T76">
        <f t="shared" si="33"/>
        <v>0</v>
      </c>
      <c r="U76">
        <f t="shared" si="33"/>
        <v>0</v>
      </c>
      <c r="V76">
        <f t="shared" si="33"/>
        <v>16.920000000000002</v>
      </c>
      <c r="W76">
        <f t="shared" si="33"/>
        <v>0</v>
      </c>
      <c r="X76">
        <f t="shared" si="33"/>
        <v>0</v>
      </c>
      <c r="Y76">
        <f t="shared" si="33"/>
        <v>39.74</v>
      </c>
      <c r="Z76">
        <f t="shared" si="33"/>
        <v>0</v>
      </c>
      <c r="AA76">
        <f t="shared" si="33"/>
        <v>0</v>
      </c>
      <c r="AB76">
        <f t="shared" si="33"/>
        <v>0</v>
      </c>
      <c r="AC76">
        <f t="shared" si="33"/>
        <v>0</v>
      </c>
      <c r="AD76">
        <f t="shared" si="33"/>
        <v>10.904999999999998</v>
      </c>
      <c r="AE76">
        <f t="shared" si="33"/>
        <v>4.8849999999999998</v>
      </c>
      <c r="AF76">
        <f t="shared" si="33"/>
        <v>0</v>
      </c>
      <c r="AG76">
        <f t="shared" si="33"/>
        <v>0</v>
      </c>
      <c r="AH76">
        <f t="shared" si="33"/>
        <v>0</v>
      </c>
      <c r="AI76">
        <f t="shared" si="33"/>
        <v>0</v>
      </c>
      <c r="AJ76">
        <f t="shared" si="33"/>
        <v>0</v>
      </c>
      <c r="AK76">
        <f t="shared" si="33"/>
        <v>0.45</v>
      </c>
      <c r="AL76">
        <f t="shared" si="33"/>
        <v>0.53</v>
      </c>
      <c r="AM76">
        <f t="shared" si="33"/>
        <v>0</v>
      </c>
      <c r="AN76">
        <f t="shared" si="33"/>
        <v>8.2200000000000006</v>
      </c>
      <c r="AO76">
        <f t="shared" si="33"/>
        <v>0</v>
      </c>
      <c r="AP76">
        <f t="shared" si="33"/>
        <v>0</v>
      </c>
      <c r="AQ76">
        <f t="shared" si="33"/>
        <v>0.32999999999999996</v>
      </c>
      <c r="AS76">
        <f t="shared" si="33"/>
        <v>102.37</v>
      </c>
    </row>
    <row r="77" spans="1:68" ht="20.25" customHeight="1">
      <c r="A77">
        <v>1</v>
      </c>
      <c r="B77" t="s">
        <v>14</v>
      </c>
      <c r="C77" t="s">
        <v>15</v>
      </c>
      <c r="D77">
        <f>D78+D80+D81+D82+D83+D84+D85+D86+D87</f>
        <v>0</v>
      </c>
      <c r="E77">
        <f t="shared" ref="E77:AS77" si="34">E78+E80+E81+E82+E83+E84+E85+E86+E87</f>
        <v>0</v>
      </c>
      <c r="F77">
        <f t="shared" si="34"/>
        <v>0</v>
      </c>
      <c r="G77">
        <f t="shared" si="34"/>
        <v>0</v>
      </c>
      <c r="H77">
        <f t="shared" si="34"/>
        <v>0</v>
      </c>
      <c r="I77">
        <f t="shared" si="34"/>
        <v>0</v>
      </c>
      <c r="J77">
        <f t="shared" si="34"/>
        <v>0</v>
      </c>
      <c r="K77">
        <f t="shared" si="34"/>
        <v>0</v>
      </c>
      <c r="L77">
        <f t="shared" si="34"/>
        <v>0</v>
      </c>
      <c r="M77">
        <f t="shared" si="34"/>
        <v>0</v>
      </c>
      <c r="N77">
        <f t="shared" si="34"/>
        <v>0</v>
      </c>
      <c r="O77">
        <f t="shared" si="34"/>
        <v>0</v>
      </c>
      <c r="P77">
        <f>P78+P80+P81+P82+P83+P84+P85+P86+P87</f>
        <v>0</v>
      </c>
      <c r="Q77">
        <f t="shared" si="34"/>
        <v>0</v>
      </c>
      <c r="R77">
        <f t="shared" si="34"/>
        <v>0</v>
      </c>
      <c r="S77">
        <f t="shared" si="34"/>
        <v>0</v>
      </c>
      <c r="T77">
        <f t="shared" si="34"/>
        <v>0</v>
      </c>
      <c r="U77">
        <f t="shared" si="34"/>
        <v>0</v>
      </c>
      <c r="V77">
        <f t="shared" si="34"/>
        <v>0</v>
      </c>
      <c r="W77">
        <f t="shared" si="34"/>
        <v>0</v>
      </c>
      <c r="X77">
        <f t="shared" si="34"/>
        <v>0</v>
      </c>
      <c r="Y77">
        <f t="shared" si="34"/>
        <v>0</v>
      </c>
      <c r="Z77">
        <f t="shared" si="34"/>
        <v>0</v>
      </c>
      <c r="AA77">
        <f t="shared" si="34"/>
        <v>0</v>
      </c>
      <c r="AB77">
        <f t="shared" si="34"/>
        <v>0</v>
      </c>
      <c r="AC77">
        <f t="shared" si="34"/>
        <v>0</v>
      </c>
      <c r="AD77">
        <f t="shared" si="34"/>
        <v>0</v>
      </c>
      <c r="AE77">
        <f t="shared" si="34"/>
        <v>0</v>
      </c>
      <c r="AF77">
        <f t="shared" si="34"/>
        <v>0</v>
      </c>
      <c r="AG77">
        <f t="shared" si="34"/>
        <v>0</v>
      </c>
      <c r="AH77">
        <f t="shared" si="34"/>
        <v>0</v>
      </c>
      <c r="AI77">
        <f t="shared" si="34"/>
        <v>0</v>
      </c>
      <c r="AJ77">
        <f t="shared" si="34"/>
        <v>0</v>
      </c>
      <c r="AK77">
        <f t="shared" si="34"/>
        <v>0</v>
      </c>
      <c r="AL77">
        <f t="shared" si="34"/>
        <v>0</v>
      </c>
      <c r="AM77">
        <f t="shared" si="34"/>
        <v>0</v>
      </c>
      <c r="AN77">
        <f t="shared" si="34"/>
        <v>0</v>
      </c>
      <c r="AO77">
        <f t="shared" si="34"/>
        <v>0</v>
      </c>
      <c r="AP77">
        <f t="shared" si="34"/>
        <v>0</v>
      </c>
      <c r="AQ77">
        <f t="shared" si="34"/>
        <v>0</v>
      </c>
      <c r="AR77">
        <f>P77</f>
        <v>0</v>
      </c>
      <c r="AS77">
        <f t="shared" si="34"/>
        <v>0</v>
      </c>
    </row>
    <row r="78" spans="1:68" ht="20.25" customHeight="1">
      <c r="A78" t="s">
        <v>16</v>
      </c>
      <c r="B78" t="s">
        <v>17</v>
      </c>
      <c r="C78" t="s">
        <v>18</v>
      </c>
      <c r="D78">
        <f>D11</f>
        <v>0</v>
      </c>
      <c r="E78">
        <f>F78+H78+I78+J78+K78+L78+M78+N78+O78</f>
        <v>0</v>
      </c>
      <c r="F78">
        <f>D78-AR78</f>
        <v>0</v>
      </c>
      <c r="G78">
        <f>I13</f>
        <v>0</v>
      </c>
      <c r="H78">
        <f>M11</f>
        <v>0</v>
      </c>
      <c r="I78">
        <f>N11</f>
        <v>0</v>
      </c>
      <c r="J78">
        <f t="shared" ref="J78:O79" si="35">P11</f>
        <v>0</v>
      </c>
      <c r="K78">
        <f t="shared" si="35"/>
        <v>0</v>
      </c>
      <c r="L78">
        <f t="shared" si="35"/>
        <v>0</v>
      </c>
      <c r="M78">
        <f t="shared" si="35"/>
        <v>0</v>
      </c>
      <c r="N78">
        <f t="shared" si="35"/>
        <v>0</v>
      </c>
      <c r="O78">
        <f t="shared" si="35"/>
        <v>0</v>
      </c>
      <c r="P78">
        <f>SUM(Q78:AP78)</f>
        <v>0</v>
      </c>
      <c r="Q78">
        <f t="shared" ref="Q78:Y79" si="36">W11</f>
        <v>0</v>
      </c>
      <c r="R78">
        <f t="shared" si="36"/>
        <v>0</v>
      </c>
      <c r="S78">
        <f t="shared" si="36"/>
        <v>0</v>
      </c>
      <c r="T78">
        <f t="shared" si="36"/>
        <v>0</v>
      </c>
      <c r="U78">
        <f t="shared" si="36"/>
        <v>0</v>
      </c>
      <c r="V78">
        <f t="shared" si="36"/>
        <v>0</v>
      </c>
      <c r="W78">
        <f t="shared" si="36"/>
        <v>0</v>
      </c>
      <c r="X78">
        <f t="shared" si="36"/>
        <v>0</v>
      </c>
      <c r="Y78">
        <f t="shared" si="36"/>
        <v>0</v>
      </c>
      <c r="Z78">
        <f>AQ11</f>
        <v>0</v>
      </c>
      <c r="AA78">
        <f t="shared" ref="AA78:AQ79" si="37">AR11</f>
        <v>0</v>
      </c>
      <c r="AB78">
        <f t="shared" si="37"/>
        <v>0</v>
      </c>
      <c r="AC78">
        <f t="shared" si="37"/>
        <v>0</v>
      </c>
      <c r="AD78">
        <f t="shared" si="37"/>
        <v>0</v>
      </c>
      <c r="AE78">
        <f t="shared" si="37"/>
        <v>0</v>
      </c>
      <c r="AF78">
        <f t="shared" si="37"/>
        <v>0</v>
      </c>
      <c r="AG78">
        <f t="shared" si="37"/>
        <v>0</v>
      </c>
      <c r="AH78">
        <f t="shared" si="37"/>
        <v>0</v>
      </c>
      <c r="AI78">
        <f t="shared" si="37"/>
        <v>0</v>
      </c>
      <c r="AJ78">
        <f t="shared" si="37"/>
        <v>0</v>
      </c>
      <c r="AK78">
        <f t="shared" si="37"/>
        <v>0</v>
      </c>
      <c r="AL78">
        <f t="shared" si="37"/>
        <v>0</v>
      </c>
      <c r="AM78">
        <f t="shared" si="37"/>
        <v>0</v>
      </c>
      <c r="AN78">
        <f t="shared" si="37"/>
        <v>0</v>
      </c>
      <c r="AO78">
        <f t="shared" si="37"/>
        <v>0</v>
      </c>
      <c r="AP78">
        <f t="shared" si="37"/>
        <v>0</v>
      </c>
      <c r="AQ78">
        <f t="shared" si="37"/>
        <v>0</v>
      </c>
      <c r="AR78">
        <f>H78+I78+J78+K78+L78+M78+N78+O78+P78+AQ78</f>
        <v>0</v>
      </c>
      <c r="AS78">
        <f>D78+F116-AR78</f>
        <v>0</v>
      </c>
    </row>
    <row r="79" spans="1:68" ht="20.25" customHeight="1">
      <c r="B79" t="s">
        <v>19</v>
      </c>
      <c r="C79" t="s">
        <v>20</v>
      </c>
      <c r="D79">
        <f>D12</f>
        <v>0</v>
      </c>
      <c r="E79">
        <f t="shared" ref="E79:E114" si="38">F79+H79+I79+J79+K79+L79+M79+N79+O79</f>
        <v>0</v>
      </c>
      <c r="G79">
        <f>D79-AR79</f>
        <v>0</v>
      </c>
      <c r="H79">
        <f>M12</f>
        <v>0</v>
      </c>
      <c r="I79">
        <f>N12</f>
        <v>0</v>
      </c>
      <c r="J79">
        <f t="shared" si="35"/>
        <v>0</v>
      </c>
      <c r="K79">
        <f t="shared" si="35"/>
        <v>0</v>
      </c>
      <c r="L79">
        <f t="shared" si="35"/>
        <v>0</v>
      </c>
      <c r="M79">
        <f t="shared" si="35"/>
        <v>0</v>
      </c>
      <c r="N79">
        <f t="shared" si="35"/>
        <v>0</v>
      </c>
      <c r="O79">
        <f t="shared" si="35"/>
        <v>0</v>
      </c>
      <c r="P79">
        <f t="shared" ref="P79:P87" si="39">SUM(Q79:AP79)</f>
        <v>0</v>
      </c>
      <c r="Q79">
        <f t="shared" si="36"/>
        <v>0</v>
      </c>
      <c r="R79">
        <f t="shared" si="36"/>
        <v>0</v>
      </c>
      <c r="S79">
        <f t="shared" si="36"/>
        <v>0</v>
      </c>
      <c r="T79">
        <f t="shared" si="36"/>
        <v>0</v>
      </c>
      <c r="U79">
        <f t="shared" si="36"/>
        <v>0</v>
      </c>
      <c r="V79">
        <f t="shared" si="36"/>
        <v>0</v>
      </c>
      <c r="W79">
        <f t="shared" si="36"/>
        <v>0</v>
      </c>
      <c r="X79">
        <f t="shared" si="36"/>
        <v>0</v>
      </c>
      <c r="Y79">
        <f t="shared" si="36"/>
        <v>0</v>
      </c>
      <c r="Z79">
        <f>AQ12</f>
        <v>0</v>
      </c>
      <c r="AA79">
        <f t="shared" si="37"/>
        <v>0</v>
      </c>
      <c r="AB79">
        <f t="shared" si="37"/>
        <v>0</v>
      </c>
      <c r="AC79">
        <f t="shared" si="37"/>
        <v>0</v>
      </c>
      <c r="AD79">
        <f t="shared" si="37"/>
        <v>0</v>
      </c>
      <c r="AE79">
        <f t="shared" si="37"/>
        <v>0</v>
      </c>
      <c r="AF79">
        <f t="shared" si="37"/>
        <v>0</v>
      </c>
      <c r="AG79">
        <f t="shared" si="37"/>
        <v>0</v>
      </c>
      <c r="AH79">
        <f t="shared" si="37"/>
        <v>0</v>
      </c>
      <c r="AI79">
        <f t="shared" si="37"/>
        <v>0</v>
      </c>
      <c r="AJ79">
        <f t="shared" si="37"/>
        <v>0</v>
      </c>
      <c r="AK79">
        <f t="shared" si="37"/>
        <v>0</v>
      </c>
      <c r="AL79">
        <f t="shared" si="37"/>
        <v>0</v>
      </c>
      <c r="AM79">
        <f t="shared" si="37"/>
        <v>0</v>
      </c>
      <c r="AN79">
        <f t="shared" si="37"/>
        <v>0</v>
      </c>
      <c r="AO79">
        <f t="shared" si="37"/>
        <v>0</v>
      </c>
      <c r="AP79">
        <f t="shared" si="37"/>
        <v>0</v>
      </c>
      <c r="AQ79">
        <f t="shared" si="37"/>
        <v>0</v>
      </c>
      <c r="AR79">
        <f>F79+H79+I79+J79+K79+L79+M79+N79+O79+P79</f>
        <v>0</v>
      </c>
      <c r="AS79">
        <f>D79+G116-AR79</f>
        <v>0</v>
      </c>
    </row>
    <row r="80" spans="1:68" ht="20.25" customHeight="1">
      <c r="A80" t="s">
        <v>21</v>
      </c>
      <c r="B80" t="s">
        <v>22</v>
      </c>
      <c r="C80" t="s">
        <v>23</v>
      </c>
      <c r="D80">
        <f>D16</f>
        <v>0</v>
      </c>
      <c r="E80">
        <f t="shared" si="38"/>
        <v>0</v>
      </c>
      <c r="F80">
        <f>H16</f>
        <v>0</v>
      </c>
      <c r="G80">
        <f>I16</f>
        <v>0</v>
      </c>
      <c r="H80">
        <f>D80-AR80</f>
        <v>0</v>
      </c>
      <c r="I80">
        <f>N16</f>
        <v>0</v>
      </c>
      <c r="J80">
        <f t="shared" ref="J80:O81" si="40">P16</f>
        <v>0</v>
      </c>
      <c r="K80">
        <f t="shared" si="40"/>
        <v>0</v>
      </c>
      <c r="L80">
        <f t="shared" si="40"/>
        <v>0</v>
      </c>
      <c r="M80">
        <f t="shared" si="40"/>
        <v>0</v>
      </c>
      <c r="N80">
        <f t="shared" si="40"/>
        <v>0</v>
      </c>
      <c r="O80">
        <f t="shared" si="40"/>
        <v>0</v>
      </c>
      <c r="P80">
        <f t="shared" si="39"/>
        <v>0</v>
      </c>
      <c r="Q80">
        <f t="shared" ref="Q80:Y81" si="41">W16</f>
        <v>0</v>
      </c>
      <c r="R80">
        <f t="shared" si="41"/>
        <v>0</v>
      </c>
      <c r="S80">
        <f t="shared" si="41"/>
        <v>0</v>
      </c>
      <c r="T80">
        <f t="shared" si="41"/>
        <v>0</v>
      </c>
      <c r="U80">
        <f t="shared" si="41"/>
        <v>0</v>
      </c>
      <c r="V80">
        <f t="shared" si="41"/>
        <v>0</v>
      </c>
      <c r="W80">
        <f t="shared" si="41"/>
        <v>0</v>
      </c>
      <c r="X80">
        <f t="shared" si="41"/>
        <v>0</v>
      </c>
      <c r="Y80">
        <f t="shared" si="41"/>
        <v>0</v>
      </c>
      <c r="Z80">
        <f>AQ16</f>
        <v>0</v>
      </c>
      <c r="AA80">
        <f t="shared" ref="AA80:AQ81" si="42">AR16</f>
        <v>0</v>
      </c>
      <c r="AB80">
        <f t="shared" si="42"/>
        <v>0</v>
      </c>
      <c r="AC80">
        <f t="shared" si="42"/>
        <v>0</v>
      </c>
      <c r="AD80">
        <f t="shared" si="42"/>
        <v>0</v>
      </c>
      <c r="AE80">
        <f t="shared" si="42"/>
        <v>0</v>
      </c>
      <c r="AF80">
        <f t="shared" si="42"/>
        <v>0</v>
      </c>
      <c r="AG80">
        <f t="shared" si="42"/>
        <v>0</v>
      </c>
      <c r="AH80">
        <f t="shared" si="42"/>
        <v>0</v>
      </c>
      <c r="AI80">
        <f t="shared" si="42"/>
        <v>0</v>
      </c>
      <c r="AJ80">
        <f t="shared" si="42"/>
        <v>0</v>
      </c>
      <c r="AK80">
        <f t="shared" si="42"/>
        <v>0</v>
      </c>
      <c r="AL80">
        <f t="shared" si="42"/>
        <v>0</v>
      </c>
      <c r="AM80">
        <f t="shared" si="42"/>
        <v>0</v>
      </c>
      <c r="AN80">
        <f t="shared" si="42"/>
        <v>0</v>
      </c>
      <c r="AO80">
        <f t="shared" si="42"/>
        <v>0</v>
      </c>
      <c r="AP80">
        <f t="shared" si="42"/>
        <v>0</v>
      </c>
      <c r="AQ80">
        <f t="shared" si="42"/>
        <v>0</v>
      </c>
      <c r="AR80">
        <f>F80+I80+J80+K80+L80+M80+N80+O80+P80</f>
        <v>0</v>
      </c>
      <c r="AS80">
        <f>D80+H116-AR80</f>
        <v>0</v>
      </c>
    </row>
    <row r="81" spans="1:45" ht="20.25" customHeight="1">
      <c r="A81" t="s">
        <v>24</v>
      </c>
      <c r="B81" t="s">
        <v>25</v>
      </c>
      <c r="C81" t="s">
        <v>26</v>
      </c>
      <c r="D81">
        <f>D17</f>
        <v>0</v>
      </c>
      <c r="E81">
        <f t="shared" si="38"/>
        <v>0</v>
      </c>
      <c r="F81">
        <f>H17</f>
        <v>0</v>
      </c>
      <c r="G81">
        <f>I17</f>
        <v>0</v>
      </c>
      <c r="H81">
        <f>M17</f>
        <v>0</v>
      </c>
      <c r="I81">
        <f>D81-AR81</f>
        <v>0</v>
      </c>
      <c r="J81">
        <f t="shared" si="40"/>
        <v>0</v>
      </c>
      <c r="K81">
        <f t="shared" si="40"/>
        <v>0</v>
      </c>
      <c r="L81">
        <f t="shared" si="40"/>
        <v>0</v>
      </c>
      <c r="M81">
        <f t="shared" si="40"/>
        <v>0</v>
      </c>
      <c r="N81">
        <f t="shared" si="40"/>
        <v>0</v>
      </c>
      <c r="O81">
        <f t="shared" si="40"/>
        <v>0</v>
      </c>
      <c r="P81">
        <f t="shared" si="39"/>
        <v>0</v>
      </c>
      <c r="Q81">
        <f t="shared" si="41"/>
        <v>0</v>
      </c>
      <c r="R81">
        <f t="shared" si="41"/>
        <v>0</v>
      </c>
      <c r="S81">
        <f t="shared" si="41"/>
        <v>0</v>
      </c>
      <c r="T81">
        <f t="shared" si="41"/>
        <v>0</v>
      </c>
      <c r="U81">
        <f t="shared" si="41"/>
        <v>0</v>
      </c>
      <c r="V81">
        <f t="shared" si="41"/>
        <v>0</v>
      </c>
      <c r="W81">
        <f t="shared" si="41"/>
        <v>0</v>
      </c>
      <c r="X81">
        <f t="shared" si="41"/>
        <v>0</v>
      </c>
      <c r="Y81">
        <f t="shared" si="41"/>
        <v>0</v>
      </c>
      <c r="Z81">
        <f>AQ17</f>
        <v>0</v>
      </c>
      <c r="AA81">
        <f t="shared" si="42"/>
        <v>0</v>
      </c>
      <c r="AB81">
        <f t="shared" si="42"/>
        <v>0</v>
      </c>
      <c r="AC81">
        <f t="shared" si="42"/>
        <v>0</v>
      </c>
      <c r="AD81">
        <f t="shared" si="42"/>
        <v>0</v>
      </c>
      <c r="AE81">
        <f t="shared" si="42"/>
        <v>0</v>
      </c>
      <c r="AF81">
        <f t="shared" si="42"/>
        <v>0</v>
      </c>
      <c r="AG81">
        <f t="shared" si="42"/>
        <v>0</v>
      </c>
      <c r="AH81">
        <f t="shared" si="42"/>
        <v>0</v>
      </c>
      <c r="AI81">
        <f t="shared" si="42"/>
        <v>0</v>
      </c>
      <c r="AJ81">
        <f t="shared" si="42"/>
        <v>0</v>
      </c>
      <c r="AK81">
        <f t="shared" si="42"/>
        <v>0</v>
      </c>
      <c r="AL81">
        <f t="shared" si="42"/>
        <v>0</v>
      </c>
      <c r="AM81">
        <f t="shared" si="42"/>
        <v>0</v>
      </c>
      <c r="AN81">
        <f t="shared" si="42"/>
        <v>0</v>
      </c>
      <c r="AO81">
        <f t="shared" si="42"/>
        <v>0</v>
      </c>
      <c r="AP81">
        <f t="shared" si="42"/>
        <v>0</v>
      </c>
      <c r="AQ81">
        <f t="shared" si="42"/>
        <v>0</v>
      </c>
      <c r="AR81">
        <f>F81+H81+J81+K81+L81+M81+N81+O81+P81</f>
        <v>0</v>
      </c>
      <c r="AS81">
        <f>D81+I116-AR81</f>
        <v>0</v>
      </c>
    </row>
    <row r="82" spans="1:45" ht="20.25" customHeight="1">
      <c r="A82" t="s">
        <v>27</v>
      </c>
      <c r="B82" t="s">
        <v>28</v>
      </c>
      <c r="C82" t="s">
        <v>29</v>
      </c>
      <c r="D82">
        <f t="shared" ref="D82:D87" si="43">D19</f>
        <v>0</v>
      </c>
      <c r="E82">
        <f t="shared" si="38"/>
        <v>0</v>
      </c>
      <c r="F82">
        <f>H20</f>
        <v>0</v>
      </c>
      <c r="G82">
        <f>I20</f>
        <v>0</v>
      </c>
      <c r="H82">
        <f>M20</f>
        <v>0</v>
      </c>
      <c r="I82">
        <f>N20</f>
        <v>0</v>
      </c>
      <c r="J82">
        <f>D82-AR82</f>
        <v>0</v>
      </c>
      <c r="K82">
        <f>Q19</f>
        <v>0</v>
      </c>
      <c r="L82">
        <f>R19</f>
        <v>0</v>
      </c>
      <c r="M82">
        <f t="shared" ref="M82:O83" si="44">S20</f>
        <v>0</v>
      </c>
      <c r="N82">
        <f t="shared" si="44"/>
        <v>0</v>
      </c>
      <c r="O82">
        <f t="shared" si="44"/>
        <v>0</v>
      </c>
      <c r="P82">
        <f t="shared" si="39"/>
        <v>0</v>
      </c>
      <c r="Q82">
        <f>W20</f>
        <v>0</v>
      </c>
      <c r="R82">
        <f>X20</f>
        <v>0</v>
      </c>
      <c r="S82">
        <f>Z20</f>
        <v>0</v>
      </c>
      <c r="T82">
        <f t="shared" ref="T82:Y83" si="45">Z20</f>
        <v>0</v>
      </c>
      <c r="U82">
        <f t="shared" si="45"/>
        <v>0</v>
      </c>
      <c r="V82">
        <f t="shared" si="45"/>
        <v>0</v>
      </c>
      <c r="W82">
        <f t="shared" si="45"/>
        <v>0</v>
      </c>
      <c r="X82">
        <f t="shared" si="45"/>
        <v>0</v>
      </c>
      <c r="Y82">
        <f t="shared" si="45"/>
        <v>0</v>
      </c>
      <c r="Z82">
        <f>AQ20</f>
        <v>0</v>
      </c>
      <c r="AA82">
        <f t="shared" ref="AA82:AQ83" si="46">AR20</f>
        <v>0</v>
      </c>
      <c r="AB82">
        <f t="shared" si="46"/>
        <v>0</v>
      </c>
      <c r="AC82">
        <f t="shared" si="46"/>
        <v>0</v>
      </c>
      <c r="AD82">
        <f t="shared" si="46"/>
        <v>0</v>
      </c>
      <c r="AE82">
        <f t="shared" si="46"/>
        <v>0</v>
      </c>
      <c r="AF82">
        <f t="shared" si="46"/>
        <v>0</v>
      </c>
      <c r="AG82">
        <f t="shared" si="46"/>
        <v>0</v>
      </c>
      <c r="AH82">
        <f t="shared" si="46"/>
        <v>0</v>
      </c>
      <c r="AI82">
        <f t="shared" si="46"/>
        <v>0</v>
      </c>
      <c r="AJ82">
        <f t="shared" si="46"/>
        <v>0</v>
      </c>
      <c r="AK82">
        <f t="shared" si="46"/>
        <v>0</v>
      </c>
      <c r="AL82">
        <f t="shared" si="46"/>
        <v>0</v>
      </c>
      <c r="AM82">
        <f t="shared" si="46"/>
        <v>0</v>
      </c>
      <c r="AN82">
        <f t="shared" si="46"/>
        <v>0</v>
      </c>
      <c r="AO82">
        <f t="shared" si="46"/>
        <v>0</v>
      </c>
      <c r="AP82">
        <f t="shared" si="46"/>
        <v>0</v>
      </c>
      <c r="AQ82">
        <f t="shared" si="46"/>
        <v>0</v>
      </c>
      <c r="AR82">
        <f>F82+H82+I82+K82+L82+M82+N82+O82+P82</f>
        <v>0</v>
      </c>
      <c r="AS82">
        <f>D82+J116-AR82</f>
        <v>0</v>
      </c>
    </row>
    <row r="83" spans="1:45" ht="20.25" customHeight="1">
      <c r="A83" t="s">
        <v>30</v>
      </c>
      <c r="B83" t="s">
        <v>31</v>
      </c>
      <c r="C83" t="s">
        <v>32</v>
      </c>
      <c r="D83">
        <f t="shared" si="43"/>
        <v>0</v>
      </c>
      <c r="E83">
        <f t="shared" si="38"/>
        <v>0</v>
      </c>
      <c r="F83">
        <f>H21</f>
        <v>0</v>
      </c>
      <c r="G83">
        <f>I21</f>
        <v>0</v>
      </c>
      <c r="H83">
        <f>M21</f>
        <v>0</v>
      </c>
      <c r="I83">
        <f>N21</f>
        <v>0</v>
      </c>
      <c r="J83">
        <f>P20</f>
        <v>0</v>
      </c>
      <c r="K83">
        <f>D83-AR83</f>
        <v>0</v>
      </c>
      <c r="L83">
        <f>R20</f>
        <v>0</v>
      </c>
      <c r="M83">
        <f t="shared" si="44"/>
        <v>0</v>
      </c>
      <c r="N83">
        <f t="shared" si="44"/>
        <v>0</v>
      </c>
      <c r="O83">
        <f t="shared" si="44"/>
        <v>0</v>
      </c>
      <c r="P83">
        <f t="shared" si="39"/>
        <v>0</v>
      </c>
      <c r="Q83">
        <f>W21</f>
        <v>0</v>
      </c>
      <c r="R83">
        <f>X21</f>
        <v>0</v>
      </c>
      <c r="S83">
        <f>Z21</f>
        <v>0</v>
      </c>
      <c r="T83">
        <f t="shared" si="45"/>
        <v>0</v>
      </c>
      <c r="U83">
        <f t="shared" si="45"/>
        <v>0</v>
      </c>
      <c r="V83">
        <f t="shared" si="45"/>
        <v>0</v>
      </c>
      <c r="W83">
        <f t="shared" si="45"/>
        <v>0</v>
      </c>
      <c r="X83">
        <f t="shared" si="45"/>
        <v>0</v>
      </c>
      <c r="Y83">
        <f t="shared" si="45"/>
        <v>0</v>
      </c>
      <c r="Z83">
        <f>AQ21</f>
        <v>0</v>
      </c>
      <c r="AA83">
        <f t="shared" si="46"/>
        <v>0</v>
      </c>
      <c r="AB83">
        <f t="shared" si="46"/>
        <v>0</v>
      </c>
      <c r="AC83">
        <f t="shared" si="46"/>
        <v>0</v>
      </c>
      <c r="AD83">
        <f t="shared" si="46"/>
        <v>0</v>
      </c>
      <c r="AE83">
        <f t="shared" si="46"/>
        <v>0</v>
      </c>
      <c r="AF83">
        <f t="shared" si="46"/>
        <v>0</v>
      </c>
      <c r="AG83">
        <f t="shared" si="46"/>
        <v>0</v>
      </c>
      <c r="AH83">
        <f t="shared" si="46"/>
        <v>0</v>
      </c>
      <c r="AI83">
        <f t="shared" si="46"/>
        <v>0</v>
      </c>
      <c r="AJ83">
        <f t="shared" si="46"/>
        <v>0</v>
      </c>
      <c r="AK83">
        <f t="shared" si="46"/>
        <v>0</v>
      </c>
      <c r="AL83">
        <f t="shared" si="46"/>
        <v>0</v>
      </c>
      <c r="AM83">
        <f t="shared" si="46"/>
        <v>0</v>
      </c>
      <c r="AN83">
        <f t="shared" si="46"/>
        <v>0</v>
      </c>
      <c r="AO83">
        <f t="shared" si="46"/>
        <v>0</v>
      </c>
      <c r="AP83">
        <f t="shared" si="46"/>
        <v>0</v>
      </c>
      <c r="AQ83">
        <f t="shared" si="46"/>
        <v>0</v>
      </c>
      <c r="AR83">
        <f>F83+H83+I83+J83+L83+M83+N83+O83+P83</f>
        <v>0</v>
      </c>
      <c r="AS83">
        <f>D83+K116-AR83</f>
        <v>0</v>
      </c>
    </row>
    <row r="84" spans="1:45" ht="20.25" customHeight="1">
      <c r="A84" t="s">
        <v>33</v>
      </c>
      <c r="B84" t="s">
        <v>34</v>
      </c>
      <c r="C84" t="s">
        <v>35</v>
      </c>
      <c r="D84">
        <f t="shared" si="43"/>
        <v>0</v>
      </c>
      <c r="E84">
        <f t="shared" si="38"/>
        <v>0</v>
      </c>
      <c r="F84">
        <f>H19</f>
        <v>0</v>
      </c>
      <c r="G84">
        <f>I19</f>
        <v>0</v>
      </c>
      <c r="H84">
        <f>M19</f>
        <v>0</v>
      </c>
      <c r="I84">
        <f>N19</f>
        <v>0</v>
      </c>
      <c r="J84">
        <f>P21</f>
        <v>0</v>
      </c>
      <c r="K84">
        <f>Q21</f>
        <v>0</v>
      </c>
      <c r="L84">
        <f>D84-AR84</f>
        <v>0</v>
      </c>
      <c r="M84">
        <f>S19</f>
        <v>0</v>
      </c>
      <c r="N84">
        <f>T19</f>
        <v>0</v>
      </c>
      <c r="O84">
        <f>U19</f>
        <v>0</v>
      </c>
      <c r="P84">
        <f t="shared" si="39"/>
        <v>0</v>
      </c>
      <c r="Q84">
        <f t="shared" ref="Q84:Y84" si="47">W19</f>
        <v>0</v>
      </c>
      <c r="R84">
        <f t="shared" si="47"/>
        <v>0</v>
      </c>
      <c r="S84">
        <f t="shared" si="47"/>
        <v>0</v>
      </c>
      <c r="T84">
        <f t="shared" si="47"/>
        <v>0</v>
      </c>
      <c r="U84">
        <f t="shared" si="47"/>
        <v>0</v>
      </c>
      <c r="V84">
        <f t="shared" si="47"/>
        <v>0</v>
      </c>
      <c r="W84">
        <f t="shared" si="47"/>
        <v>0</v>
      </c>
      <c r="X84">
        <f t="shared" si="47"/>
        <v>0</v>
      </c>
      <c r="Y84">
        <f t="shared" si="47"/>
        <v>0</v>
      </c>
      <c r="Z84">
        <f>AQ19</f>
        <v>0</v>
      </c>
      <c r="AA84">
        <f t="shared" ref="AA84:AQ84" si="48">AR19</f>
        <v>0</v>
      </c>
      <c r="AB84">
        <f t="shared" si="48"/>
        <v>0</v>
      </c>
      <c r="AC84">
        <f t="shared" si="48"/>
        <v>0</v>
      </c>
      <c r="AD84">
        <f t="shared" si="48"/>
        <v>0</v>
      </c>
      <c r="AE84">
        <f t="shared" si="48"/>
        <v>0</v>
      </c>
      <c r="AF84">
        <f t="shared" si="48"/>
        <v>0</v>
      </c>
      <c r="AG84">
        <f t="shared" si="48"/>
        <v>0</v>
      </c>
      <c r="AH84">
        <f t="shared" si="48"/>
        <v>0</v>
      </c>
      <c r="AI84">
        <f t="shared" si="48"/>
        <v>0</v>
      </c>
      <c r="AJ84">
        <f t="shared" si="48"/>
        <v>0</v>
      </c>
      <c r="AK84">
        <f t="shared" si="48"/>
        <v>0</v>
      </c>
      <c r="AL84">
        <f t="shared" si="48"/>
        <v>0</v>
      </c>
      <c r="AM84">
        <f t="shared" si="48"/>
        <v>0</v>
      </c>
      <c r="AN84">
        <f t="shared" si="48"/>
        <v>0</v>
      </c>
      <c r="AO84">
        <f t="shared" si="48"/>
        <v>0</v>
      </c>
      <c r="AP84">
        <f t="shared" si="48"/>
        <v>0</v>
      </c>
      <c r="AQ84">
        <f t="shared" si="48"/>
        <v>0</v>
      </c>
      <c r="AR84">
        <f>F84+H84+I84+J84+K84+M84+N84+O84+P84</f>
        <v>0</v>
      </c>
      <c r="AS84">
        <f>D84+L116-AR84</f>
        <v>0</v>
      </c>
    </row>
    <row r="85" spans="1:45" ht="20.25" customHeight="1">
      <c r="A85" t="s">
        <v>36</v>
      </c>
      <c r="B85" t="s">
        <v>37</v>
      </c>
      <c r="C85" t="s">
        <v>38</v>
      </c>
      <c r="D85">
        <f t="shared" si="43"/>
        <v>0</v>
      </c>
      <c r="E85">
        <f t="shared" si="38"/>
        <v>0</v>
      </c>
      <c r="F85">
        <f t="shared" ref="F85:G87" si="49">H22</f>
        <v>0</v>
      </c>
      <c r="G85">
        <f t="shared" si="49"/>
        <v>0</v>
      </c>
      <c r="H85">
        <f t="shared" ref="H85:I87" si="50">M22</f>
        <v>0</v>
      </c>
      <c r="I85">
        <f t="shared" si="50"/>
        <v>0</v>
      </c>
      <c r="J85">
        <f>P22</f>
        <v>0</v>
      </c>
      <c r="K85">
        <f>Q22</f>
        <v>0</v>
      </c>
      <c r="L85">
        <f>R22</f>
        <v>0</v>
      </c>
      <c r="M85">
        <f>D85-AR85</f>
        <v>0</v>
      </c>
      <c r="N85">
        <f>T22</f>
        <v>0</v>
      </c>
      <c r="O85">
        <f>U22</f>
        <v>0</v>
      </c>
      <c r="P85">
        <f>SUM(Q85:AP85)</f>
        <v>0</v>
      </c>
      <c r="Q85">
        <f t="shared" ref="Q85:Y87" si="51">W22</f>
        <v>0</v>
      </c>
      <c r="R85">
        <f t="shared" si="51"/>
        <v>0</v>
      </c>
      <c r="S85">
        <f t="shared" si="51"/>
        <v>0</v>
      </c>
      <c r="T85">
        <f t="shared" si="51"/>
        <v>0</v>
      </c>
      <c r="U85">
        <f t="shared" si="51"/>
        <v>0</v>
      </c>
      <c r="V85">
        <f t="shared" si="51"/>
        <v>0</v>
      </c>
      <c r="W85">
        <f t="shared" si="51"/>
        <v>0</v>
      </c>
      <c r="X85">
        <f t="shared" si="51"/>
        <v>0</v>
      </c>
      <c r="Y85">
        <f t="shared" si="51"/>
        <v>0</v>
      </c>
      <c r="Z85">
        <f t="shared" ref="Z85:AP85" si="52">AQ22</f>
        <v>0</v>
      </c>
      <c r="AA85">
        <f t="shared" si="52"/>
        <v>0</v>
      </c>
      <c r="AB85">
        <f t="shared" si="52"/>
        <v>0</v>
      </c>
      <c r="AC85">
        <f t="shared" si="52"/>
        <v>0</v>
      </c>
      <c r="AD85">
        <f t="shared" si="52"/>
        <v>0</v>
      </c>
      <c r="AE85">
        <f t="shared" si="52"/>
        <v>0</v>
      </c>
      <c r="AF85">
        <f t="shared" si="52"/>
        <v>0</v>
      </c>
      <c r="AG85">
        <f t="shared" si="52"/>
        <v>0</v>
      </c>
      <c r="AH85">
        <f t="shared" si="52"/>
        <v>0</v>
      </c>
      <c r="AI85">
        <f t="shared" si="52"/>
        <v>0</v>
      </c>
      <c r="AJ85">
        <f t="shared" si="52"/>
        <v>0</v>
      </c>
      <c r="AK85">
        <f t="shared" si="52"/>
        <v>0</v>
      </c>
      <c r="AL85">
        <f t="shared" si="52"/>
        <v>0</v>
      </c>
      <c r="AM85">
        <f t="shared" si="52"/>
        <v>0</v>
      </c>
      <c r="AN85">
        <f t="shared" si="52"/>
        <v>0</v>
      </c>
      <c r="AO85">
        <f t="shared" si="52"/>
        <v>0</v>
      </c>
      <c r="AP85">
        <f t="shared" si="52"/>
        <v>0</v>
      </c>
      <c r="AQ85">
        <f t="shared" ref="AA85:AQ87" si="53">BH22</f>
        <v>0</v>
      </c>
      <c r="AR85">
        <f>F85+H85+I85+J85+K85+L85+N85+O85+P85</f>
        <v>0</v>
      </c>
      <c r="AS85">
        <f>D85+M116-AR85</f>
        <v>0</v>
      </c>
    </row>
    <row r="86" spans="1:45" ht="20.25" customHeight="1">
      <c r="A86" t="s">
        <v>39</v>
      </c>
      <c r="B86" t="s">
        <v>40</v>
      </c>
      <c r="C86" t="s">
        <v>41</v>
      </c>
      <c r="D86">
        <f t="shared" si="43"/>
        <v>0</v>
      </c>
      <c r="E86">
        <f t="shared" si="38"/>
        <v>0</v>
      </c>
      <c r="F86">
        <f t="shared" si="49"/>
        <v>0</v>
      </c>
      <c r="G86">
        <f t="shared" si="49"/>
        <v>0</v>
      </c>
      <c r="H86">
        <f t="shared" si="50"/>
        <v>0</v>
      </c>
      <c r="I86">
        <f t="shared" si="50"/>
        <v>0</v>
      </c>
      <c r="J86">
        <f>P23</f>
        <v>0</v>
      </c>
      <c r="K86">
        <f>Q23</f>
        <v>0</v>
      </c>
      <c r="L86">
        <f>R23</f>
        <v>0</v>
      </c>
      <c r="M86">
        <f>S23</f>
        <v>0</v>
      </c>
      <c r="N86">
        <f>D86-AR86</f>
        <v>0</v>
      </c>
      <c r="O86">
        <f>U23</f>
        <v>0</v>
      </c>
      <c r="P86">
        <f t="shared" si="39"/>
        <v>0</v>
      </c>
      <c r="Q86">
        <f t="shared" si="51"/>
        <v>0</v>
      </c>
      <c r="R86">
        <f t="shared" si="51"/>
        <v>0</v>
      </c>
      <c r="S86">
        <f t="shared" si="51"/>
        <v>0</v>
      </c>
      <c r="T86">
        <f t="shared" si="51"/>
        <v>0</v>
      </c>
      <c r="U86">
        <f t="shared" si="51"/>
        <v>0</v>
      </c>
      <c r="V86">
        <f t="shared" si="51"/>
        <v>0</v>
      </c>
      <c r="W86">
        <f t="shared" si="51"/>
        <v>0</v>
      </c>
      <c r="X86">
        <f t="shared" si="51"/>
        <v>0</v>
      </c>
      <c r="Y86">
        <f t="shared" si="51"/>
        <v>0</v>
      </c>
      <c r="Z86">
        <f>AQ23</f>
        <v>0</v>
      </c>
      <c r="AA86">
        <f t="shared" si="53"/>
        <v>0</v>
      </c>
      <c r="AB86">
        <f t="shared" si="53"/>
        <v>0</v>
      </c>
      <c r="AC86">
        <f t="shared" si="53"/>
        <v>0</v>
      </c>
      <c r="AD86">
        <f t="shared" si="53"/>
        <v>0</v>
      </c>
      <c r="AE86">
        <f t="shared" si="53"/>
        <v>0</v>
      </c>
      <c r="AF86">
        <f t="shared" si="53"/>
        <v>0</v>
      </c>
      <c r="AG86">
        <f t="shared" si="53"/>
        <v>0</v>
      </c>
      <c r="AH86">
        <f t="shared" si="53"/>
        <v>0</v>
      </c>
      <c r="AI86">
        <f t="shared" si="53"/>
        <v>0</v>
      </c>
      <c r="AJ86">
        <f t="shared" si="53"/>
        <v>0</v>
      </c>
      <c r="AK86">
        <f t="shared" si="53"/>
        <v>0</v>
      </c>
      <c r="AL86">
        <f t="shared" si="53"/>
        <v>0</v>
      </c>
      <c r="AM86">
        <f t="shared" si="53"/>
        <v>0</v>
      </c>
      <c r="AN86">
        <f t="shared" si="53"/>
        <v>0</v>
      </c>
      <c r="AO86">
        <f t="shared" si="53"/>
        <v>0</v>
      </c>
      <c r="AP86">
        <f t="shared" si="53"/>
        <v>0</v>
      </c>
      <c r="AQ86">
        <f t="shared" si="53"/>
        <v>0</v>
      </c>
      <c r="AR86">
        <f>F86+H86+I86+J86+K86+L86+M86+O86+P86</f>
        <v>0</v>
      </c>
      <c r="AS86">
        <f>D86+N116-AR86</f>
        <v>0</v>
      </c>
    </row>
    <row r="87" spans="1:45" ht="20.25" customHeight="1">
      <c r="A87">
        <v>2</v>
      </c>
      <c r="B87" t="s">
        <v>43</v>
      </c>
      <c r="C87" t="s">
        <v>44</v>
      </c>
      <c r="D87">
        <f t="shared" si="43"/>
        <v>0</v>
      </c>
      <c r="E87">
        <f t="shared" si="38"/>
        <v>0</v>
      </c>
      <c r="F87">
        <f t="shared" si="49"/>
        <v>0</v>
      </c>
      <c r="G87">
        <f t="shared" si="49"/>
        <v>0</v>
      </c>
      <c r="H87">
        <f t="shared" si="50"/>
        <v>0</v>
      </c>
      <c r="I87">
        <f t="shared" si="50"/>
        <v>0</v>
      </c>
      <c r="J87">
        <f>P24</f>
        <v>0</v>
      </c>
      <c r="K87">
        <f>Q24</f>
        <v>0</v>
      </c>
      <c r="L87">
        <f>R24</f>
        <v>0</v>
      </c>
      <c r="M87">
        <f>S24</f>
        <v>0</v>
      </c>
      <c r="N87">
        <f>T24</f>
        <v>0</v>
      </c>
      <c r="O87">
        <f>D87-AR87</f>
        <v>0</v>
      </c>
      <c r="P87">
        <f t="shared" si="39"/>
        <v>0</v>
      </c>
      <c r="Q87">
        <f t="shared" si="51"/>
        <v>0</v>
      </c>
      <c r="R87">
        <f t="shared" si="51"/>
        <v>0</v>
      </c>
      <c r="S87">
        <f t="shared" si="51"/>
        <v>0</v>
      </c>
      <c r="T87">
        <f t="shared" si="51"/>
        <v>0</v>
      </c>
      <c r="U87">
        <f t="shared" si="51"/>
        <v>0</v>
      </c>
      <c r="V87">
        <f t="shared" si="51"/>
        <v>0</v>
      </c>
      <c r="W87">
        <f t="shared" si="51"/>
        <v>0</v>
      </c>
      <c r="X87">
        <f t="shared" si="51"/>
        <v>0</v>
      </c>
      <c r="Y87">
        <f t="shared" si="51"/>
        <v>0</v>
      </c>
      <c r="Z87">
        <f>AQ24</f>
        <v>0</v>
      </c>
      <c r="AA87">
        <f t="shared" si="53"/>
        <v>0</v>
      </c>
      <c r="AB87">
        <f t="shared" si="53"/>
        <v>0</v>
      </c>
      <c r="AC87">
        <f t="shared" si="53"/>
        <v>0</v>
      </c>
      <c r="AD87">
        <f t="shared" si="53"/>
        <v>0</v>
      </c>
      <c r="AE87">
        <f t="shared" si="53"/>
        <v>0</v>
      </c>
      <c r="AF87">
        <f t="shared" si="53"/>
        <v>0</v>
      </c>
      <c r="AG87">
        <f t="shared" si="53"/>
        <v>0</v>
      </c>
      <c r="AH87">
        <f t="shared" si="53"/>
        <v>0</v>
      </c>
      <c r="AI87">
        <f t="shared" si="53"/>
        <v>0</v>
      </c>
      <c r="AJ87">
        <f t="shared" si="53"/>
        <v>0</v>
      </c>
      <c r="AK87">
        <f t="shared" si="53"/>
        <v>0</v>
      </c>
      <c r="AL87">
        <f t="shared" si="53"/>
        <v>0</v>
      </c>
      <c r="AM87">
        <f t="shared" si="53"/>
        <v>0</v>
      </c>
      <c r="AN87">
        <f t="shared" si="53"/>
        <v>0</v>
      </c>
      <c r="AO87">
        <f t="shared" si="53"/>
        <v>0</v>
      </c>
      <c r="AP87">
        <f t="shared" si="53"/>
        <v>0</v>
      </c>
      <c r="AQ87">
        <f t="shared" si="53"/>
        <v>0</v>
      </c>
      <c r="AR87">
        <f>F87+H87+I87+J87+K87+L87+M87+N87+P87</f>
        <v>0</v>
      </c>
      <c r="AS87">
        <f>D87+O116-AR87</f>
        <v>0</v>
      </c>
    </row>
    <row r="88" spans="1:45" ht="20.25" customHeight="1">
      <c r="A88">
        <v>2</v>
      </c>
      <c r="B88" t="s">
        <v>45</v>
      </c>
      <c r="C88" t="s">
        <v>46</v>
      </c>
      <c r="D88">
        <f>SUM(D89:D114)</f>
        <v>101.72</v>
      </c>
      <c r="E88">
        <f t="shared" ref="E88:AS88" si="54">SUM(E89:E114)</f>
        <v>0</v>
      </c>
      <c r="F88">
        <f t="shared" si="54"/>
        <v>0</v>
      </c>
      <c r="G88">
        <f t="shared" si="54"/>
        <v>0</v>
      </c>
      <c r="H88">
        <f t="shared" si="54"/>
        <v>0</v>
      </c>
      <c r="I88">
        <f t="shared" si="54"/>
        <v>0</v>
      </c>
      <c r="J88">
        <f t="shared" si="54"/>
        <v>0</v>
      </c>
      <c r="K88">
        <f t="shared" si="54"/>
        <v>0</v>
      </c>
      <c r="L88">
        <f t="shared" si="54"/>
        <v>0</v>
      </c>
      <c r="M88">
        <f t="shared" si="54"/>
        <v>0</v>
      </c>
      <c r="N88">
        <f t="shared" si="54"/>
        <v>0</v>
      </c>
      <c r="O88">
        <f t="shared" si="54"/>
        <v>0</v>
      </c>
      <c r="P88">
        <f t="shared" si="54"/>
        <v>101.72</v>
      </c>
      <c r="Q88">
        <f t="shared" si="54"/>
        <v>19.940000000000001</v>
      </c>
      <c r="R88">
        <f t="shared" si="54"/>
        <v>0.46</v>
      </c>
      <c r="S88">
        <f t="shared" si="54"/>
        <v>0</v>
      </c>
      <c r="T88">
        <f t="shared" si="54"/>
        <v>0</v>
      </c>
      <c r="U88">
        <f t="shared" si="54"/>
        <v>0</v>
      </c>
      <c r="V88">
        <f t="shared" si="54"/>
        <v>16.920000000000002</v>
      </c>
      <c r="W88">
        <f t="shared" si="54"/>
        <v>0</v>
      </c>
      <c r="X88">
        <f t="shared" si="54"/>
        <v>0</v>
      </c>
      <c r="Y88">
        <f t="shared" si="54"/>
        <v>39.700000000000003</v>
      </c>
      <c r="Z88">
        <f t="shared" si="54"/>
        <v>0</v>
      </c>
      <c r="AA88">
        <f t="shared" si="54"/>
        <v>0</v>
      </c>
      <c r="AB88">
        <f t="shared" si="54"/>
        <v>0</v>
      </c>
      <c r="AC88">
        <f t="shared" si="54"/>
        <v>0</v>
      </c>
      <c r="AD88">
        <f t="shared" si="54"/>
        <v>10.614999999999998</v>
      </c>
      <c r="AE88">
        <f t="shared" si="54"/>
        <v>4.8849999999999998</v>
      </c>
      <c r="AF88">
        <f t="shared" si="54"/>
        <v>0</v>
      </c>
      <c r="AG88">
        <f t="shared" si="54"/>
        <v>0</v>
      </c>
      <c r="AH88">
        <f t="shared" si="54"/>
        <v>0</v>
      </c>
      <c r="AI88">
        <f t="shared" si="54"/>
        <v>0</v>
      </c>
      <c r="AJ88">
        <f t="shared" si="54"/>
        <v>0</v>
      </c>
      <c r="AK88">
        <f t="shared" si="54"/>
        <v>0.45</v>
      </c>
      <c r="AL88">
        <f t="shared" si="54"/>
        <v>0.53</v>
      </c>
      <c r="AM88">
        <f t="shared" si="54"/>
        <v>0</v>
      </c>
      <c r="AN88">
        <f t="shared" si="54"/>
        <v>8.2200000000000006</v>
      </c>
      <c r="AO88">
        <f t="shared" si="54"/>
        <v>0</v>
      </c>
      <c r="AP88">
        <f t="shared" si="54"/>
        <v>0</v>
      </c>
      <c r="AQ88">
        <f t="shared" si="54"/>
        <v>0</v>
      </c>
      <c r="AR88">
        <f>E88+AQ88</f>
        <v>0</v>
      </c>
      <c r="AS88">
        <f t="shared" si="54"/>
        <v>102.05000000000001</v>
      </c>
    </row>
    <row r="89" spans="1:45" ht="20.25" customHeight="1">
      <c r="A89" t="s">
        <v>47</v>
      </c>
      <c r="B89" t="s">
        <v>48</v>
      </c>
      <c r="C89" t="s">
        <v>49</v>
      </c>
      <c r="D89">
        <f>D26</f>
        <v>19.940000000000001</v>
      </c>
      <c r="E89">
        <f t="shared" si="38"/>
        <v>0</v>
      </c>
      <c r="F89">
        <f>H26</f>
        <v>0</v>
      </c>
      <c r="G89">
        <f>I26</f>
        <v>0</v>
      </c>
      <c r="H89">
        <f>M26</f>
        <v>0</v>
      </c>
      <c r="I89">
        <f>N26</f>
        <v>0</v>
      </c>
      <c r="J89">
        <f t="shared" ref="J89:O97" si="55">P26</f>
        <v>0</v>
      </c>
      <c r="K89">
        <f t="shared" si="55"/>
        <v>0</v>
      </c>
      <c r="L89">
        <f t="shared" si="55"/>
        <v>0</v>
      </c>
      <c r="M89">
        <f t="shared" si="55"/>
        <v>0</v>
      </c>
      <c r="N89">
        <f t="shared" si="55"/>
        <v>0</v>
      </c>
      <c r="O89">
        <f t="shared" si="55"/>
        <v>0</v>
      </c>
      <c r="P89">
        <f>SUM(Q89:AP89)</f>
        <v>19.940000000000001</v>
      </c>
      <c r="Q89">
        <f>D89-AR89</f>
        <v>19.940000000000001</v>
      </c>
      <c r="R89">
        <f t="shared" ref="R89:Y89" si="56">X26</f>
        <v>0</v>
      </c>
      <c r="S89">
        <f t="shared" si="56"/>
        <v>0</v>
      </c>
      <c r="T89">
        <f t="shared" si="56"/>
        <v>0</v>
      </c>
      <c r="U89">
        <f t="shared" si="56"/>
        <v>0</v>
      </c>
      <c r="V89">
        <f t="shared" si="56"/>
        <v>0</v>
      </c>
      <c r="W89">
        <f t="shared" si="56"/>
        <v>0</v>
      </c>
      <c r="X89">
        <f t="shared" si="56"/>
        <v>0</v>
      </c>
      <c r="Y89">
        <f t="shared" si="56"/>
        <v>0</v>
      </c>
      <c r="Z89">
        <f t="shared" ref="Z89:AP89" si="57">AQ26</f>
        <v>0</v>
      </c>
      <c r="AA89">
        <f t="shared" si="57"/>
        <v>0</v>
      </c>
      <c r="AB89">
        <f t="shared" si="57"/>
        <v>0</v>
      </c>
      <c r="AC89">
        <f t="shared" si="57"/>
        <v>0</v>
      </c>
      <c r="AD89">
        <f t="shared" si="57"/>
        <v>0</v>
      </c>
      <c r="AE89">
        <f t="shared" si="57"/>
        <v>0</v>
      </c>
      <c r="AF89">
        <f t="shared" si="57"/>
        <v>0</v>
      </c>
      <c r="AG89">
        <f t="shared" si="57"/>
        <v>0</v>
      </c>
      <c r="AH89">
        <f t="shared" si="57"/>
        <v>0</v>
      </c>
      <c r="AI89">
        <f t="shared" si="57"/>
        <v>0</v>
      </c>
      <c r="AJ89">
        <f t="shared" si="57"/>
        <v>0</v>
      </c>
      <c r="AK89">
        <f t="shared" si="57"/>
        <v>0</v>
      </c>
      <c r="AL89">
        <f t="shared" si="57"/>
        <v>0</v>
      </c>
      <c r="AM89">
        <f t="shared" si="57"/>
        <v>0</v>
      </c>
      <c r="AN89">
        <f t="shared" si="57"/>
        <v>0</v>
      </c>
      <c r="AO89">
        <f t="shared" si="57"/>
        <v>0</v>
      </c>
      <c r="AP89">
        <f t="shared" si="57"/>
        <v>0</v>
      </c>
      <c r="AQ89">
        <f t="shared" ref="AA89:AQ97" si="58">BH26</f>
        <v>0</v>
      </c>
      <c r="AR89">
        <f>E89+R89+S89+T89+U89+V89+W89+X89+Y89+Z89+AA89+AB89+AC89+AD89+AE89+AF89+AG89+AH89+AI89+AJ89+AK89+AL89+AM89+AN89+AO89+AP89+AQ89</f>
        <v>0</v>
      </c>
      <c r="AS89">
        <f>D89+Q116-AR89</f>
        <v>19.940000000000001</v>
      </c>
    </row>
    <row r="90" spans="1:45" ht="20.25" customHeight="1">
      <c r="A90" t="s">
        <v>50</v>
      </c>
      <c r="B90" t="s">
        <v>51</v>
      </c>
      <c r="C90" t="s">
        <v>52</v>
      </c>
      <c r="D90">
        <f t="shared" ref="D90:D97" si="59">D27</f>
        <v>0.46</v>
      </c>
      <c r="E90">
        <f t="shared" si="38"/>
        <v>0</v>
      </c>
      <c r="F90">
        <f t="shared" ref="F90:G97" si="60">H27</f>
        <v>0</v>
      </c>
      <c r="G90">
        <f t="shared" si="60"/>
        <v>0</v>
      </c>
      <c r="H90">
        <f t="shared" ref="H90:I97" si="61">M27</f>
        <v>0</v>
      </c>
      <c r="I90">
        <f t="shared" si="61"/>
        <v>0</v>
      </c>
      <c r="J90">
        <f t="shared" si="55"/>
        <v>0</v>
      </c>
      <c r="K90">
        <f t="shared" si="55"/>
        <v>0</v>
      </c>
      <c r="L90">
        <f t="shared" si="55"/>
        <v>0</v>
      </c>
      <c r="M90">
        <f t="shared" si="55"/>
        <v>0</v>
      </c>
      <c r="N90">
        <f t="shared" si="55"/>
        <v>0</v>
      </c>
      <c r="O90">
        <f t="shared" si="55"/>
        <v>0</v>
      </c>
      <c r="P90">
        <f t="shared" ref="P90:P114" si="62">SUM(Q90:AP90)</f>
        <v>0.46</v>
      </c>
      <c r="Q90">
        <f>W27</f>
        <v>0</v>
      </c>
      <c r="R90">
        <f>D90-AR90</f>
        <v>0.46</v>
      </c>
      <c r="S90">
        <f t="shared" ref="S90:Y90" si="63">Y27</f>
        <v>0</v>
      </c>
      <c r="T90">
        <f t="shared" si="63"/>
        <v>0</v>
      </c>
      <c r="U90">
        <f t="shared" si="63"/>
        <v>0</v>
      </c>
      <c r="V90">
        <f t="shared" si="63"/>
        <v>0</v>
      </c>
      <c r="W90">
        <f t="shared" si="63"/>
        <v>0</v>
      </c>
      <c r="X90">
        <f t="shared" si="63"/>
        <v>0</v>
      </c>
      <c r="Y90">
        <f t="shared" si="63"/>
        <v>0</v>
      </c>
      <c r="Z90">
        <f t="shared" ref="Z90:Z97" si="64">AQ27</f>
        <v>0</v>
      </c>
      <c r="AA90">
        <f t="shared" si="58"/>
        <v>0</v>
      </c>
      <c r="AB90">
        <f t="shared" si="58"/>
        <v>0</v>
      </c>
      <c r="AC90">
        <f t="shared" si="58"/>
        <v>0</v>
      </c>
      <c r="AD90">
        <f t="shared" si="58"/>
        <v>0</v>
      </c>
      <c r="AE90">
        <f t="shared" si="58"/>
        <v>0</v>
      </c>
      <c r="AF90">
        <f t="shared" si="58"/>
        <v>0</v>
      </c>
      <c r="AG90">
        <f t="shared" si="58"/>
        <v>0</v>
      </c>
      <c r="AH90">
        <f t="shared" si="58"/>
        <v>0</v>
      </c>
      <c r="AI90">
        <f t="shared" si="58"/>
        <v>0</v>
      </c>
      <c r="AJ90">
        <f t="shared" si="58"/>
        <v>0</v>
      </c>
      <c r="AK90">
        <f t="shared" si="58"/>
        <v>0</v>
      </c>
      <c r="AL90">
        <f t="shared" si="58"/>
        <v>0</v>
      </c>
      <c r="AM90">
        <f t="shared" si="58"/>
        <v>0</v>
      </c>
      <c r="AN90">
        <f t="shared" si="58"/>
        <v>0</v>
      </c>
      <c r="AO90">
        <f t="shared" si="58"/>
        <v>0</v>
      </c>
      <c r="AP90">
        <f t="shared" si="58"/>
        <v>0</v>
      </c>
      <c r="AQ90">
        <f t="shared" si="58"/>
        <v>0</v>
      </c>
      <c r="AR90">
        <f>E90+Q90+S90+T90+U90+V90+W90+X90+Y90+Z90+AA90+AB90+AC90+AD90+AE90+AF90+AG90+AH90+AI90+AJ90+AK90+AL90+AM90+AN90+AO90+AP90+AQ90</f>
        <v>0</v>
      </c>
      <c r="AS90">
        <f>D90+R116-AR90</f>
        <v>0.46</v>
      </c>
    </row>
    <row r="91" spans="1:45" ht="20.25" customHeight="1">
      <c r="A91" t="s">
        <v>53</v>
      </c>
      <c r="B91" t="s">
        <v>54</v>
      </c>
      <c r="C91" t="s">
        <v>55</v>
      </c>
      <c r="D91">
        <f t="shared" si="59"/>
        <v>0</v>
      </c>
      <c r="E91">
        <f t="shared" si="38"/>
        <v>0</v>
      </c>
      <c r="F91">
        <f t="shared" si="60"/>
        <v>0</v>
      </c>
      <c r="G91">
        <f t="shared" si="60"/>
        <v>0</v>
      </c>
      <c r="H91">
        <f t="shared" si="61"/>
        <v>0</v>
      </c>
      <c r="I91">
        <f t="shared" si="61"/>
        <v>0</v>
      </c>
      <c r="J91">
        <f t="shared" si="55"/>
        <v>0</v>
      </c>
      <c r="K91">
        <f t="shared" si="55"/>
        <v>0</v>
      </c>
      <c r="L91">
        <f t="shared" si="55"/>
        <v>0</v>
      </c>
      <c r="M91">
        <f t="shared" si="55"/>
        <v>0</v>
      </c>
      <c r="N91">
        <f t="shared" si="55"/>
        <v>0</v>
      </c>
      <c r="O91">
        <f t="shared" si="55"/>
        <v>0</v>
      </c>
      <c r="P91">
        <f t="shared" si="62"/>
        <v>0</v>
      </c>
      <c r="Q91">
        <f t="shared" ref="Q91:S97" si="65">W28</f>
        <v>0</v>
      </c>
      <c r="R91">
        <f>X28</f>
        <v>0</v>
      </c>
      <c r="S91">
        <f>D91-AR91</f>
        <v>0</v>
      </c>
      <c r="T91">
        <f t="shared" ref="T91:Y91" si="66">Z28</f>
        <v>0</v>
      </c>
      <c r="U91">
        <f t="shared" si="66"/>
        <v>0</v>
      </c>
      <c r="V91">
        <f t="shared" si="66"/>
        <v>0</v>
      </c>
      <c r="W91">
        <f t="shared" si="66"/>
        <v>0</v>
      </c>
      <c r="X91">
        <f t="shared" si="66"/>
        <v>0</v>
      </c>
      <c r="Y91">
        <f t="shared" si="66"/>
        <v>0</v>
      </c>
      <c r="Z91">
        <f t="shared" si="64"/>
        <v>0</v>
      </c>
      <c r="AA91">
        <f t="shared" si="58"/>
        <v>0</v>
      </c>
      <c r="AB91">
        <f t="shared" si="58"/>
        <v>0</v>
      </c>
      <c r="AC91">
        <f t="shared" si="58"/>
        <v>0</v>
      </c>
      <c r="AD91">
        <f t="shared" si="58"/>
        <v>0</v>
      </c>
      <c r="AE91">
        <f t="shared" si="58"/>
        <v>0</v>
      </c>
      <c r="AF91">
        <f t="shared" si="58"/>
        <v>0</v>
      </c>
      <c r="AG91">
        <f t="shared" si="58"/>
        <v>0</v>
      </c>
      <c r="AH91">
        <f t="shared" si="58"/>
        <v>0</v>
      </c>
      <c r="AI91">
        <f t="shared" si="58"/>
        <v>0</v>
      </c>
      <c r="AJ91">
        <f t="shared" si="58"/>
        <v>0</v>
      </c>
      <c r="AK91">
        <f t="shared" si="58"/>
        <v>0</v>
      </c>
      <c r="AL91">
        <f t="shared" si="58"/>
        <v>0</v>
      </c>
      <c r="AM91">
        <f t="shared" si="58"/>
        <v>0</v>
      </c>
      <c r="AN91">
        <f t="shared" si="58"/>
        <v>0</v>
      </c>
      <c r="AO91">
        <f t="shared" si="58"/>
        <v>0</v>
      </c>
      <c r="AP91">
        <f t="shared" si="58"/>
        <v>0</v>
      </c>
      <c r="AQ91">
        <f t="shared" si="58"/>
        <v>0</v>
      </c>
      <c r="AR91">
        <f>E91+Q91+R91+T91+U91+V91+W91+X91+Y91+Z91+AA91+AB91+AC91+AD91+AE91+AF91+AG91+AH91+AI91+AJ91+AK91+AL91+AM91+AN91+AO91+AP91+AQ91</f>
        <v>0</v>
      </c>
      <c r="AS91">
        <f>D91+S116-AR91</f>
        <v>0</v>
      </c>
    </row>
    <row r="92" spans="1:45" ht="20.25" customHeight="1">
      <c r="A92" t="s">
        <v>56</v>
      </c>
      <c r="B92" t="s">
        <v>57</v>
      </c>
      <c r="C92" t="s">
        <v>58</v>
      </c>
      <c r="D92">
        <f t="shared" si="59"/>
        <v>0</v>
      </c>
      <c r="E92">
        <f t="shared" si="38"/>
        <v>0</v>
      </c>
      <c r="F92">
        <f t="shared" si="60"/>
        <v>0</v>
      </c>
      <c r="G92">
        <f t="shared" si="60"/>
        <v>0</v>
      </c>
      <c r="H92">
        <f t="shared" si="61"/>
        <v>0</v>
      </c>
      <c r="I92">
        <f t="shared" si="61"/>
        <v>0</v>
      </c>
      <c r="J92">
        <f t="shared" si="55"/>
        <v>0</v>
      </c>
      <c r="K92">
        <f t="shared" si="55"/>
        <v>0</v>
      </c>
      <c r="L92">
        <f t="shared" si="55"/>
        <v>0</v>
      </c>
      <c r="M92">
        <f t="shared" si="55"/>
        <v>0</v>
      </c>
      <c r="N92">
        <f t="shared" si="55"/>
        <v>0</v>
      </c>
      <c r="O92">
        <f t="shared" si="55"/>
        <v>0</v>
      </c>
      <c r="P92">
        <f t="shared" si="62"/>
        <v>0</v>
      </c>
      <c r="Q92">
        <f t="shared" si="65"/>
        <v>0</v>
      </c>
      <c r="R92">
        <f t="shared" si="65"/>
        <v>0</v>
      </c>
      <c r="S92">
        <f t="shared" si="65"/>
        <v>0</v>
      </c>
      <c r="T92">
        <f>D92-AR92</f>
        <v>0</v>
      </c>
      <c r="U92">
        <f>AA29</f>
        <v>0</v>
      </c>
      <c r="V92">
        <f>AB29</f>
        <v>0</v>
      </c>
      <c r="W92">
        <f>AC29</f>
        <v>0</v>
      </c>
      <c r="X92">
        <f>AD29</f>
        <v>0</v>
      </c>
      <c r="Y92">
        <f>AE29</f>
        <v>0</v>
      </c>
      <c r="Z92">
        <f t="shared" si="64"/>
        <v>0</v>
      </c>
      <c r="AA92">
        <f t="shared" si="58"/>
        <v>0</v>
      </c>
      <c r="AB92">
        <f t="shared" si="58"/>
        <v>0</v>
      </c>
      <c r="AC92">
        <f t="shared" si="58"/>
        <v>0</v>
      </c>
      <c r="AD92">
        <f t="shared" si="58"/>
        <v>0</v>
      </c>
      <c r="AE92">
        <f t="shared" si="58"/>
        <v>0</v>
      </c>
      <c r="AF92">
        <f t="shared" si="58"/>
        <v>0</v>
      </c>
      <c r="AG92">
        <f t="shared" si="58"/>
        <v>0</v>
      </c>
      <c r="AH92">
        <f t="shared" si="58"/>
        <v>0</v>
      </c>
      <c r="AI92">
        <f t="shared" si="58"/>
        <v>0</v>
      </c>
      <c r="AJ92">
        <f t="shared" si="58"/>
        <v>0</v>
      </c>
      <c r="AK92">
        <f t="shared" si="58"/>
        <v>0</v>
      </c>
      <c r="AL92">
        <f t="shared" si="58"/>
        <v>0</v>
      </c>
      <c r="AM92">
        <f t="shared" si="58"/>
        <v>0</v>
      </c>
      <c r="AN92">
        <f t="shared" si="58"/>
        <v>0</v>
      </c>
      <c r="AO92">
        <f t="shared" si="58"/>
        <v>0</v>
      </c>
      <c r="AP92">
        <f t="shared" si="58"/>
        <v>0</v>
      </c>
      <c r="AQ92">
        <f t="shared" si="58"/>
        <v>0</v>
      </c>
      <c r="AR92">
        <f>E92+Q92+R92+S92+U92+V92+W92+X92+Y92+Z92+AA92+AB92+AC92+AD92+AE92+AF92+AG92+AH92+AI92+AJ92+AK92+AL92+AM92+AN92+AO92+AP92+AQ92</f>
        <v>0</v>
      </c>
      <c r="AS92">
        <f>D92+T116-AR92</f>
        <v>0</v>
      </c>
    </row>
    <row r="93" spans="1:45" ht="20.25" customHeight="1">
      <c r="A93" t="s">
        <v>59</v>
      </c>
      <c r="B93" t="s">
        <v>60</v>
      </c>
      <c r="C93" t="s">
        <v>61</v>
      </c>
      <c r="D93">
        <f t="shared" si="59"/>
        <v>0</v>
      </c>
      <c r="E93">
        <f t="shared" si="38"/>
        <v>0</v>
      </c>
      <c r="F93">
        <f t="shared" si="60"/>
        <v>0</v>
      </c>
      <c r="G93">
        <f t="shared" si="60"/>
        <v>0</v>
      </c>
      <c r="H93">
        <f t="shared" si="61"/>
        <v>0</v>
      </c>
      <c r="I93">
        <f t="shared" si="61"/>
        <v>0</v>
      </c>
      <c r="J93">
        <f t="shared" si="55"/>
        <v>0</v>
      </c>
      <c r="K93">
        <f t="shared" si="55"/>
        <v>0</v>
      </c>
      <c r="L93">
        <f t="shared" si="55"/>
        <v>0</v>
      </c>
      <c r="M93">
        <f t="shared" si="55"/>
        <v>0</v>
      </c>
      <c r="N93">
        <f t="shared" si="55"/>
        <v>0</v>
      </c>
      <c r="O93">
        <f t="shared" si="55"/>
        <v>0</v>
      </c>
      <c r="P93">
        <f t="shared" si="62"/>
        <v>0</v>
      </c>
      <c r="Q93">
        <f t="shared" si="65"/>
        <v>0</v>
      </c>
      <c r="R93">
        <f t="shared" si="65"/>
        <v>0</v>
      </c>
      <c r="S93">
        <f t="shared" si="65"/>
        <v>0</v>
      </c>
      <c r="T93">
        <f>Z30</f>
        <v>0</v>
      </c>
      <c r="U93">
        <f>D93-AR93</f>
        <v>0</v>
      </c>
      <c r="V93">
        <f>AB30</f>
        <v>0</v>
      </c>
      <c r="W93">
        <f>AC30</f>
        <v>0</v>
      </c>
      <c r="X93">
        <f>AD30</f>
        <v>0</v>
      </c>
      <c r="Y93">
        <f>AE30</f>
        <v>0</v>
      </c>
      <c r="Z93">
        <f t="shared" si="64"/>
        <v>0</v>
      </c>
      <c r="AA93">
        <f t="shared" si="58"/>
        <v>0</v>
      </c>
      <c r="AB93">
        <f t="shared" si="58"/>
        <v>0</v>
      </c>
      <c r="AC93">
        <f t="shared" si="58"/>
        <v>0</v>
      </c>
      <c r="AD93">
        <f t="shared" si="58"/>
        <v>0</v>
      </c>
      <c r="AE93">
        <f t="shared" si="58"/>
        <v>0</v>
      </c>
      <c r="AF93">
        <f t="shared" si="58"/>
        <v>0</v>
      </c>
      <c r="AG93">
        <f t="shared" si="58"/>
        <v>0</v>
      </c>
      <c r="AH93">
        <f t="shared" si="58"/>
        <v>0</v>
      </c>
      <c r="AI93">
        <f t="shared" si="58"/>
        <v>0</v>
      </c>
      <c r="AJ93">
        <f t="shared" si="58"/>
        <v>0</v>
      </c>
      <c r="AK93">
        <f t="shared" si="58"/>
        <v>0</v>
      </c>
      <c r="AL93">
        <f t="shared" si="58"/>
        <v>0</v>
      </c>
      <c r="AM93">
        <f t="shared" si="58"/>
        <v>0</v>
      </c>
      <c r="AN93">
        <f t="shared" si="58"/>
        <v>0</v>
      </c>
      <c r="AO93">
        <f t="shared" si="58"/>
        <v>0</v>
      </c>
      <c r="AP93">
        <f t="shared" si="58"/>
        <v>0</v>
      </c>
      <c r="AQ93">
        <f t="shared" si="58"/>
        <v>0</v>
      </c>
      <c r="AR93">
        <f>E93+Q93+R93+S93+T93+V93+W93+X93+Y93+Z93+AA93+AB93+AC93+AD93+AE93+AF93+AG93+AH93+AI93+AJ93+AK93+AL93+AM93+AN93+AO93+AP93+AQ93</f>
        <v>0</v>
      </c>
      <c r="AS93">
        <f>D93+U116-AR93</f>
        <v>0</v>
      </c>
    </row>
    <row r="94" spans="1:45" ht="20.25" customHeight="1">
      <c r="A94" t="s">
        <v>62</v>
      </c>
      <c r="B94" t="s">
        <v>63</v>
      </c>
      <c r="C94" t="s">
        <v>64</v>
      </c>
      <c r="D94">
        <f t="shared" si="59"/>
        <v>16.920000000000002</v>
      </c>
      <c r="E94">
        <f t="shared" si="38"/>
        <v>0</v>
      </c>
      <c r="F94">
        <f t="shared" si="60"/>
        <v>0</v>
      </c>
      <c r="G94">
        <f t="shared" si="60"/>
        <v>0</v>
      </c>
      <c r="H94">
        <f t="shared" si="61"/>
        <v>0</v>
      </c>
      <c r="I94">
        <f t="shared" si="61"/>
        <v>0</v>
      </c>
      <c r="J94">
        <f t="shared" si="55"/>
        <v>0</v>
      </c>
      <c r="K94">
        <f t="shared" si="55"/>
        <v>0</v>
      </c>
      <c r="L94">
        <f t="shared" si="55"/>
        <v>0</v>
      </c>
      <c r="M94">
        <f t="shared" si="55"/>
        <v>0</v>
      </c>
      <c r="N94">
        <f t="shared" si="55"/>
        <v>0</v>
      </c>
      <c r="O94">
        <f t="shared" si="55"/>
        <v>0</v>
      </c>
      <c r="P94">
        <f t="shared" si="62"/>
        <v>16.920000000000002</v>
      </c>
      <c r="Q94">
        <f t="shared" si="65"/>
        <v>0</v>
      </c>
      <c r="R94">
        <f t="shared" si="65"/>
        <v>0</v>
      </c>
      <c r="S94">
        <f t="shared" si="65"/>
        <v>0</v>
      </c>
      <c r="T94">
        <f>Z31</f>
        <v>0</v>
      </c>
      <c r="U94">
        <f>AA31</f>
        <v>0</v>
      </c>
      <c r="V94">
        <f>D94-AR94</f>
        <v>16.920000000000002</v>
      </c>
      <c r="W94">
        <f>AC31</f>
        <v>0</v>
      </c>
      <c r="X94">
        <f>AD31</f>
        <v>0</v>
      </c>
      <c r="Y94">
        <f>AE31</f>
        <v>0</v>
      </c>
      <c r="Z94">
        <f t="shared" si="64"/>
        <v>0</v>
      </c>
      <c r="AA94">
        <f t="shared" si="58"/>
        <v>0</v>
      </c>
      <c r="AB94">
        <f t="shared" si="58"/>
        <v>0</v>
      </c>
      <c r="AC94">
        <f t="shared" si="58"/>
        <v>0</v>
      </c>
      <c r="AD94">
        <f t="shared" si="58"/>
        <v>0</v>
      </c>
      <c r="AE94">
        <f t="shared" si="58"/>
        <v>0</v>
      </c>
      <c r="AF94">
        <f t="shared" si="58"/>
        <v>0</v>
      </c>
      <c r="AG94">
        <f t="shared" si="58"/>
        <v>0</v>
      </c>
      <c r="AH94">
        <f t="shared" si="58"/>
        <v>0</v>
      </c>
      <c r="AI94">
        <f t="shared" si="58"/>
        <v>0</v>
      </c>
      <c r="AJ94">
        <f t="shared" si="58"/>
        <v>0</v>
      </c>
      <c r="AK94">
        <f t="shared" si="58"/>
        <v>0</v>
      </c>
      <c r="AL94">
        <f t="shared" si="58"/>
        <v>0</v>
      </c>
      <c r="AM94">
        <f t="shared" si="58"/>
        <v>0</v>
      </c>
      <c r="AN94">
        <f t="shared" si="58"/>
        <v>0</v>
      </c>
      <c r="AO94">
        <f t="shared" si="58"/>
        <v>0</v>
      </c>
      <c r="AP94">
        <f t="shared" si="58"/>
        <v>0</v>
      </c>
      <c r="AQ94">
        <f t="shared" si="58"/>
        <v>0</v>
      </c>
      <c r="AR94">
        <f>E94+Q94+R94+S94+T94+U94+W94+X94+Y94+Z94+AA94+AB94+AC94+AD94+AE94+AF94+AG94+AH94+AI94+AJ94+AK94+AL94+AM94+AN94+AO94+AP94+AQ94</f>
        <v>0</v>
      </c>
      <c r="AS94">
        <f>D94+V116-AR94</f>
        <v>16.920000000000002</v>
      </c>
    </row>
    <row r="95" spans="1:45" ht="20.25" customHeight="1">
      <c r="A95" t="s">
        <v>65</v>
      </c>
      <c r="B95" t="s">
        <v>66</v>
      </c>
      <c r="C95" t="s">
        <v>67</v>
      </c>
      <c r="D95">
        <f t="shared" si="59"/>
        <v>0</v>
      </c>
      <c r="E95">
        <f t="shared" si="38"/>
        <v>0</v>
      </c>
      <c r="F95">
        <f t="shared" si="60"/>
        <v>0</v>
      </c>
      <c r="G95">
        <f t="shared" si="60"/>
        <v>0</v>
      </c>
      <c r="H95">
        <f t="shared" si="61"/>
        <v>0</v>
      </c>
      <c r="I95">
        <f t="shared" si="61"/>
        <v>0</v>
      </c>
      <c r="J95">
        <f t="shared" si="55"/>
        <v>0</v>
      </c>
      <c r="K95">
        <f t="shared" si="55"/>
        <v>0</v>
      </c>
      <c r="L95">
        <f t="shared" si="55"/>
        <v>0</v>
      </c>
      <c r="M95">
        <f t="shared" si="55"/>
        <v>0</v>
      </c>
      <c r="N95">
        <f t="shared" si="55"/>
        <v>0</v>
      </c>
      <c r="O95">
        <f t="shared" si="55"/>
        <v>0</v>
      </c>
      <c r="P95">
        <f t="shared" si="62"/>
        <v>0</v>
      </c>
      <c r="Q95">
        <f t="shared" si="65"/>
        <v>0</v>
      </c>
      <c r="R95">
        <f t="shared" si="65"/>
        <v>0</v>
      </c>
      <c r="S95">
        <f t="shared" si="65"/>
        <v>0</v>
      </c>
      <c r="T95">
        <f>Z32</f>
        <v>0</v>
      </c>
      <c r="U95">
        <f>AA32</f>
        <v>0</v>
      </c>
      <c r="V95">
        <f>AB32</f>
        <v>0</v>
      </c>
      <c r="W95">
        <f>D95-AR95</f>
        <v>0</v>
      </c>
      <c r="X95">
        <f>AD32</f>
        <v>0</v>
      </c>
      <c r="Y95">
        <f>AE32</f>
        <v>0</v>
      </c>
      <c r="Z95">
        <f t="shared" si="64"/>
        <v>0</v>
      </c>
      <c r="AA95">
        <f t="shared" si="58"/>
        <v>0</v>
      </c>
      <c r="AB95">
        <f t="shared" si="58"/>
        <v>0</v>
      </c>
      <c r="AC95">
        <f t="shared" si="58"/>
        <v>0</v>
      </c>
      <c r="AD95">
        <f t="shared" si="58"/>
        <v>0</v>
      </c>
      <c r="AE95">
        <f t="shared" si="58"/>
        <v>0</v>
      </c>
      <c r="AF95">
        <f t="shared" si="58"/>
        <v>0</v>
      </c>
      <c r="AG95">
        <f t="shared" si="58"/>
        <v>0</v>
      </c>
      <c r="AH95">
        <f t="shared" si="58"/>
        <v>0</v>
      </c>
      <c r="AI95">
        <f t="shared" si="58"/>
        <v>0</v>
      </c>
      <c r="AJ95">
        <f t="shared" si="58"/>
        <v>0</v>
      </c>
      <c r="AK95">
        <f t="shared" si="58"/>
        <v>0</v>
      </c>
      <c r="AL95">
        <f t="shared" si="58"/>
        <v>0</v>
      </c>
      <c r="AM95">
        <f t="shared" si="58"/>
        <v>0</v>
      </c>
      <c r="AN95">
        <f t="shared" si="58"/>
        <v>0</v>
      </c>
      <c r="AO95">
        <f t="shared" si="58"/>
        <v>0</v>
      </c>
      <c r="AP95">
        <f t="shared" si="58"/>
        <v>0</v>
      </c>
      <c r="AQ95">
        <f t="shared" si="58"/>
        <v>0</v>
      </c>
      <c r="AR95">
        <f>E95+Q95+R95+S95+T95+U95+V95+X95+Y95+Z95+AA95+AB95+AC95+AD95+AE95+AF95+AG95+AH95+AI95+AJ95+AK95+AL95+AM95+AN95+AO95+AP95+AQ95</f>
        <v>0</v>
      </c>
      <c r="AS95">
        <f>D95+W116-AR95</f>
        <v>0</v>
      </c>
    </row>
    <row r="96" spans="1:45" ht="20.25" customHeight="1">
      <c r="A96" t="s">
        <v>68</v>
      </c>
      <c r="B96" t="s">
        <v>69</v>
      </c>
      <c r="C96" t="s">
        <v>70</v>
      </c>
      <c r="D96">
        <f t="shared" si="59"/>
        <v>0</v>
      </c>
      <c r="E96">
        <f t="shared" si="38"/>
        <v>0</v>
      </c>
      <c r="F96">
        <f t="shared" si="60"/>
        <v>0</v>
      </c>
      <c r="G96">
        <f t="shared" si="60"/>
        <v>0</v>
      </c>
      <c r="H96">
        <f t="shared" si="61"/>
        <v>0</v>
      </c>
      <c r="I96">
        <f t="shared" si="61"/>
        <v>0</v>
      </c>
      <c r="J96">
        <f t="shared" si="55"/>
        <v>0</v>
      </c>
      <c r="K96">
        <f t="shared" si="55"/>
        <v>0</v>
      </c>
      <c r="L96">
        <f t="shared" si="55"/>
        <v>0</v>
      </c>
      <c r="M96">
        <f t="shared" si="55"/>
        <v>0</v>
      </c>
      <c r="N96">
        <f t="shared" si="55"/>
        <v>0</v>
      </c>
      <c r="O96">
        <f t="shared" si="55"/>
        <v>0</v>
      </c>
      <c r="P96">
        <f t="shared" si="62"/>
        <v>0</v>
      </c>
      <c r="Q96">
        <f t="shared" si="65"/>
        <v>0</v>
      </c>
      <c r="R96">
        <f t="shared" si="65"/>
        <v>0</v>
      </c>
      <c r="S96">
        <f t="shared" si="65"/>
        <v>0</v>
      </c>
      <c r="T96">
        <f>Z33</f>
        <v>0</v>
      </c>
      <c r="U96">
        <f>AA33</f>
        <v>0</v>
      </c>
      <c r="V96">
        <f>AB33</f>
        <v>0</v>
      </c>
      <c r="W96">
        <f>AC33</f>
        <v>0</v>
      </c>
      <c r="X96">
        <f>D96-AR96</f>
        <v>0</v>
      </c>
      <c r="Y96">
        <f>AE33</f>
        <v>0</v>
      </c>
      <c r="Z96">
        <f t="shared" si="64"/>
        <v>0</v>
      </c>
      <c r="AA96">
        <f t="shared" si="58"/>
        <v>0</v>
      </c>
      <c r="AB96">
        <f t="shared" si="58"/>
        <v>0</v>
      </c>
      <c r="AC96">
        <f t="shared" si="58"/>
        <v>0</v>
      </c>
      <c r="AD96">
        <f t="shared" si="58"/>
        <v>0</v>
      </c>
      <c r="AE96">
        <f t="shared" si="58"/>
        <v>0</v>
      </c>
      <c r="AF96">
        <f t="shared" si="58"/>
        <v>0</v>
      </c>
      <c r="AG96">
        <f t="shared" si="58"/>
        <v>0</v>
      </c>
      <c r="AH96">
        <f t="shared" si="58"/>
        <v>0</v>
      </c>
      <c r="AI96">
        <f t="shared" si="58"/>
        <v>0</v>
      </c>
      <c r="AJ96">
        <f t="shared" si="58"/>
        <v>0</v>
      </c>
      <c r="AK96">
        <f t="shared" si="58"/>
        <v>0</v>
      </c>
      <c r="AL96">
        <f t="shared" si="58"/>
        <v>0</v>
      </c>
      <c r="AM96">
        <f t="shared" si="58"/>
        <v>0</v>
      </c>
      <c r="AN96">
        <f t="shared" si="58"/>
        <v>0</v>
      </c>
      <c r="AO96">
        <f t="shared" si="58"/>
        <v>0</v>
      </c>
      <c r="AP96">
        <f t="shared" si="58"/>
        <v>0</v>
      </c>
      <c r="AQ96">
        <f t="shared" si="58"/>
        <v>0</v>
      </c>
      <c r="AR96">
        <f>E96+Q96+R96+S96+T96+U96+V96+W96+Y96+Z96+AA96+AB96+AC96+AD96+AE96+AF96+AG96+AH96+AI96+AJ96+AK96+AL96+AM96+AN96+AO96+AP96+AQ96</f>
        <v>0</v>
      </c>
      <c r="AS96">
        <f>D96+X116-AR96</f>
        <v>0</v>
      </c>
    </row>
    <row r="97" spans="1:45" ht="38.25" customHeight="1">
      <c r="A97" t="s">
        <v>71</v>
      </c>
      <c r="B97" t="s">
        <v>135</v>
      </c>
      <c r="C97" t="s">
        <v>72</v>
      </c>
      <c r="D97">
        <f t="shared" si="59"/>
        <v>39.74</v>
      </c>
      <c r="E97">
        <f t="shared" si="38"/>
        <v>0</v>
      </c>
      <c r="F97">
        <f t="shared" si="60"/>
        <v>0</v>
      </c>
      <c r="G97">
        <f t="shared" si="60"/>
        <v>0</v>
      </c>
      <c r="H97">
        <f t="shared" si="61"/>
        <v>0</v>
      </c>
      <c r="I97">
        <f t="shared" si="61"/>
        <v>0</v>
      </c>
      <c r="J97">
        <f>P34</f>
        <v>0</v>
      </c>
      <c r="K97">
        <f t="shared" si="55"/>
        <v>0</v>
      </c>
      <c r="L97">
        <f t="shared" si="55"/>
        <v>0</v>
      </c>
      <c r="M97">
        <f t="shared" si="55"/>
        <v>0</v>
      </c>
      <c r="N97">
        <f t="shared" si="55"/>
        <v>0</v>
      </c>
      <c r="O97">
        <f t="shared" si="55"/>
        <v>0</v>
      </c>
      <c r="P97">
        <f t="shared" si="62"/>
        <v>39.74</v>
      </c>
      <c r="Q97">
        <f t="shared" si="65"/>
        <v>0</v>
      </c>
      <c r="R97">
        <f t="shared" si="65"/>
        <v>0</v>
      </c>
      <c r="S97">
        <f t="shared" si="65"/>
        <v>0</v>
      </c>
      <c r="T97">
        <f>Z34</f>
        <v>0</v>
      </c>
      <c r="U97">
        <f>AA34</f>
        <v>0</v>
      </c>
      <c r="V97">
        <f>AB34</f>
        <v>0</v>
      </c>
      <c r="W97">
        <f>AC34</f>
        <v>0</v>
      </c>
      <c r="X97">
        <f>AD34</f>
        <v>0</v>
      </c>
      <c r="Y97">
        <f>D97-AR97</f>
        <v>39.700000000000003</v>
      </c>
      <c r="Z97">
        <f t="shared" si="64"/>
        <v>0</v>
      </c>
      <c r="AA97">
        <f t="shared" si="58"/>
        <v>0</v>
      </c>
      <c r="AB97">
        <f t="shared" si="58"/>
        <v>0</v>
      </c>
      <c r="AC97">
        <f t="shared" si="58"/>
        <v>0</v>
      </c>
      <c r="AD97">
        <f t="shared" si="58"/>
        <v>0.04</v>
      </c>
      <c r="AE97">
        <f t="shared" si="58"/>
        <v>0</v>
      </c>
      <c r="AF97">
        <f t="shared" si="58"/>
        <v>0</v>
      </c>
      <c r="AG97">
        <f t="shared" si="58"/>
        <v>0</v>
      </c>
      <c r="AH97">
        <f t="shared" si="58"/>
        <v>0</v>
      </c>
      <c r="AI97">
        <f t="shared" si="58"/>
        <v>0</v>
      </c>
      <c r="AJ97">
        <f t="shared" si="58"/>
        <v>0</v>
      </c>
      <c r="AK97">
        <f t="shared" si="58"/>
        <v>0</v>
      </c>
      <c r="AL97">
        <f t="shared" si="58"/>
        <v>0</v>
      </c>
      <c r="AM97">
        <f t="shared" si="58"/>
        <v>0</v>
      </c>
      <c r="AN97">
        <f t="shared" si="58"/>
        <v>0</v>
      </c>
      <c r="AO97">
        <f t="shared" si="58"/>
        <v>0</v>
      </c>
      <c r="AP97">
        <f t="shared" si="58"/>
        <v>0</v>
      </c>
      <c r="AQ97">
        <f t="shared" si="58"/>
        <v>0</v>
      </c>
      <c r="AR97">
        <f>E97+Q97+R97+S97+T97+U97+V97+W97+X97+Z97+AA97+AB97+AC97+AD97+AE97+AF97+AG97+AH97+AI97+AJ97+AK97+AL97+AM97+AN97+AO97+AP97+AQ97</f>
        <v>0.04</v>
      </c>
      <c r="AS97">
        <f>D97+Y116-AR97</f>
        <v>39.74</v>
      </c>
    </row>
    <row r="98" spans="1:45" ht="20.25" customHeight="1">
      <c r="A98" t="s">
        <v>73</v>
      </c>
      <c r="B98" t="s">
        <v>74</v>
      </c>
      <c r="C98" t="s">
        <v>75</v>
      </c>
      <c r="D98">
        <f>D46</f>
        <v>0</v>
      </c>
      <c r="E98">
        <f t="shared" si="38"/>
        <v>0</v>
      </c>
      <c r="F98">
        <f>H46</f>
        <v>0</v>
      </c>
      <c r="G98">
        <f>I46</f>
        <v>0</v>
      </c>
      <c r="H98">
        <f>M46</f>
        <v>0</v>
      </c>
      <c r="I98">
        <f>N46</f>
        <v>0</v>
      </c>
      <c r="J98">
        <f t="shared" ref="J98:O113" si="67">P46</f>
        <v>0</v>
      </c>
      <c r="K98">
        <f t="shared" si="67"/>
        <v>0</v>
      </c>
      <c r="L98">
        <f t="shared" si="67"/>
        <v>0</v>
      </c>
      <c r="M98">
        <f t="shared" si="67"/>
        <v>0</v>
      </c>
      <c r="N98">
        <f t="shared" si="67"/>
        <v>0</v>
      </c>
      <c r="O98">
        <f t="shared" si="67"/>
        <v>0</v>
      </c>
      <c r="P98">
        <f t="shared" si="62"/>
        <v>0</v>
      </c>
      <c r="Q98">
        <f t="shared" ref="Q98:Y113" si="68">W46</f>
        <v>0</v>
      </c>
      <c r="R98">
        <f t="shared" si="68"/>
        <v>0</v>
      </c>
      <c r="S98">
        <f t="shared" si="68"/>
        <v>0</v>
      </c>
      <c r="T98">
        <f t="shared" si="68"/>
        <v>0</v>
      </c>
      <c r="U98">
        <f t="shared" si="68"/>
        <v>0</v>
      </c>
      <c r="V98">
        <f t="shared" si="68"/>
        <v>0</v>
      </c>
      <c r="W98">
        <f t="shared" si="68"/>
        <v>0</v>
      </c>
      <c r="X98">
        <f t="shared" si="68"/>
        <v>0</v>
      </c>
      <c r="Y98">
        <f t="shared" si="68"/>
        <v>0</v>
      </c>
      <c r="Z98">
        <f>D98-AR98</f>
        <v>0</v>
      </c>
      <c r="AA98">
        <f>AR46</f>
        <v>0</v>
      </c>
      <c r="AB98">
        <f t="shared" ref="AB98:AQ109" si="69">AS46</f>
        <v>0</v>
      </c>
      <c r="AC98">
        <f t="shared" si="69"/>
        <v>0</v>
      </c>
      <c r="AD98">
        <f t="shared" si="69"/>
        <v>0</v>
      </c>
      <c r="AE98">
        <f t="shared" si="69"/>
        <v>0</v>
      </c>
      <c r="AF98">
        <f t="shared" si="69"/>
        <v>0</v>
      </c>
      <c r="AG98">
        <f t="shared" si="69"/>
        <v>0</v>
      </c>
      <c r="AH98">
        <f t="shared" si="69"/>
        <v>0</v>
      </c>
      <c r="AI98">
        <f t="shared" si="69"/>
        <v>0</v>
      </c>
      <c r="AJ98">
        <f t="shared" si="69"/>
        <v>0</v>
      </c>
      <c r="AK98">
        <f t="shared" si="69"/>
        <v>0</v>
      </c>
      <c r="AL98">
        <f t="shared" si="69"/>
        <v>0</v>
      </c>
      <c r="AM98">
        <f t="shared" si="69"/>
        <v>0</v>
      </c>
      <c r="AN98">
        <f t="shared" si="69"/>
        <v>0</v>
      </c>
      <c r="AO98">
        <f t="shared" si="69"/>
        <v>0</v>
      </c>
      <c r="AP98">
        <f t="shared" si="69"/>
        <v>0</v>
      </c>
      <c r="AQ98">
        <f t="shared" si="69"/>
        <v>0</v>
      </c>
      <c r="AR98">
        <f>E98+Q98+R98+S98+T98+U98+V98+W98+X98+Y98+AA98+AB98+AC98+AD98+AE98+AF98+AG98+AH98+AI98+AJ98+AK98+AL98+AM98+AN98+AO98+AP98+AQ98</f>
        <v>0</v>
      </c>
      <c r="AS98">
        <f>D98+Z116-AR98</f>
        <v>0</v>
      </c>
    </row>
    <row r="99" spans="1:45" ht="20.25" customHeight="1">
      <c r="A99" t="s">
        <v>76</v>
      </c>
      <c r="B99" t="s">
        <v>77</v>
      </c>
      <c r="C99" t="s">
        <v>78</v>
      </c>
      <c r="D99">
        <f t="shared" ref="D99:D114" si="70">D47</f>
        <v>0</v>
      </c>
      <c r="E99">
        <f t="shared" si="38"/>
        <v>0</v>
      </c>
      <c r="F99">
        <f t="shared" ref="F99:G115" si="71">H47</f>
        <v>0</v>
      </c>
      <c r="G99">
        <f t="shared" si="71"/>
        <v>0</v>
      </c>
      <c r="H99">
        <f t="shared" ref="H99:I115" si="72">M47</f>
        <v>0</v>
      </c>
      <c r="I99">
        <f t="shared" si="72"/>
        <v>0</v>
      </c>
      <c r="J99">
        <f t="shared" si="67"/>
        <v>0</v>
      </c>
      <c r="K99">
        <f t="shared" si="67"/>
        <v>0</v>
      </c>
      <c r="L99">
        <f t="shared" si="67"/>
        <v>0</v>
      </c>
      <c r="M99">
        <f t="shared" si="67"/>
        <v>0</v>
      </c>
      <c r="N99">
        <f t="shared" si="67"/>
        <v>0</v>
      </c>
      <c r="O99">
        <f t="shared" si="67"/>
        <v>0</v>
      </c>
      <c r="P99">
        <f t="shared" si="62"/>
        <v>0</v>
      </c>
      <c r="Q99">
        <f t="shared" si="68"/>
        <v>0</v>
      </c>
      <c r="R99">
        <f t="shared" si="68"/>
        <v>0</v>
      </c>
      <c r="S99">
        <f t="shared" si="68"/>
        <v>0</v>
      </c>
      <c r="T99">
        <f t="shared" si="68"/>
        <v>0</v>
      </c>
      <c r="U99">
        <f t="shared" si="68"/>
        <v>0</v>
      </c>
      <c r="V99">
        <f t="shared" si="68"/>
        <v>0</v>
      </c>
      <c r="W99">
        <f t="shared" si="68"/>
        <v>0</v>
      </c>
      <c r="X99">
        <f t="shared" si="68"/>
        <v>0</v>
      </c>
      <c r="Y99">
        <f t="shared" si="68"/>
        <v>0</v>
      </c>
      <c r="Z99">
        <f>AQ47</f>
        <v>0</v>
      </c>
      <c r="AA99">
        <f>D99-AR99</f>
        <v>0</v>
      </c>
      <c r="AB99">
        <f>AS47</f>
        <v>0</v>
      </c>
      <c r="AC99">
        <f t="shared" si="69"/>
        <v>0</v>
      </c>
      <c r="AD99">
        <f t="shared" si="69"/>
        <v>0</v>
      </c>
      <c r="AE99">
        <f t="shared" si="69"/>
        <v>0</v>
      </c>
      <c r="AF99">
        <f t="shared" si="69"/>
        <v>0</v>
      </c>
      <c r="AG99">
        <f t="shared" si="69"/>
        <v>0</v>
      </c>
      <c r="AH99">
        <f t="shared" si="69"/>
        <v>0</v>
      </c>
      <c r="AI99">
        <f t="shared" si="69"/>
        <v>0</v>
      </c>
      <c r="AJ99">
        <f t="shared" si="69"/>
        <v>0</v>
      </c>
      <c r="AK99">
        <f t="shared" si="69"/>
        <v>0</v>
      </c>
      <c r="AL99">
        <f t="shared" si="69"/>
        <v>0</v>
      </c>
      <c r="AM99">
        <f t="shared" si="69"/>
        <v>0</v>
      </c>
      <c r="AN99">
        <f t="shared" si="69"/>
        <v>0</v>
      </c>
      <c r="AO99">
        <f t="shared" si="69"/>
        <v>0</v>
      </c>
      <c r="AP99">
        <f t="shared" si="69"/>
        <v>0</v>
      </c>
      <c r="AQ99">
        <f t="shared" si="69"/>
        <v>0</v>
      </c>
      <c r="AR99">
        <f>E99+Q99+R99+S99+T99+U99+V99+W99+X99+Y99+Z99+AB99+AC99+AD99+AE99+AF99+AG99+AH99+AI99+AJ99+AK99+AL99+AM99+AN99+AO99+AP99+AQ99</f>
        <v>0</v>
      </c>
      <c r="AS99">
        <f>D99+AA116-AR99</f>
        <v>0</v>
      </c>
    </row>
    <row r="100" spans="1:45" ht="20.25" customHeight="1">
      <c r="A100" t="s">
        <v>79</v>
      </c>
      <c r="B100" t="s">
        <v>80</v>
      </c>
      <c r="C100" t="s">
        <v>81</v>
      </c>
      <c r="D100">
        <f t="shared" si="70"/>
        <v>0</v>
      </c>
      <c r="E100">
        <f t="shared" si="38"/>
        <v>0</v>
      </c>
      <c r="F100">
        <f t="shared" si="71"/>
        <v>0</v>
      </c>
      <c r="G100">
        <f t="shared" si="71"/>
        <v>0</v>
      </c>
      <c r="H100">
        <f t="shared" si="72"/>
        <v>0</v>
      </c>
      <c r="I100">
        <f t="shared" si="72"/>
        <v>0</v>
      </c>
      <c r="J100">
        <f t="shared" si="67"/>
        <v>0</v>
      </c>
      <c r="K100">
        <f t="shared" si="67"/>
        <v>0</v>
      </c>
      <c r="L100">
        <f t="shared" si="67"/>
        <v>0</v>
      </c>
      <c r="M100">
        <f t="shared" si="67"/>
        <v>0</v>
      </c>
      <c r="N100">
        <f t="shared" si="67"/>
        <v>0</v>
      </c>
      <c r="O100">
        <f t="shared" si="67"/>
        <v>0</v>
      </c>
      <c r="P100">
        <f t="shared" si="62"/>
        <v>0</v>
      </c>
      <c r="Q100">
        <f t="shared" si="68"/>
        <v>0</v>
      </c>
      <c r="R100">
        <f t="shared" si="68"/>
        <v>0</v>
      </c>
      <c r="S100">
        <f t="shared" si="68"/>
        <v>0</v>
      </c>
      <c r="T100">
        <f t="shared" si="68"/>
        <v>0</v>
      </c>
      <c r="U100">
        <f t="shared" si="68"/>
        <v>0</v>
      </c>
      <c r="V100">
        <f t="shared" si="68"/>
        <v>0</v>
      </c>
      <c r="W100">
        <f t="shared" si="68"/>
        <v>0</v>
      </c>
      <c r="X100">
        <f t="shared" si="68"/>
        <v>0</v>
      </c>
      <c r="Y100">
        <f t="shared" si="68"/>
        <v>0</v>
      </c>
      <c r="Z100">
        <f t="shared" ref="Z100:AK115" si="73">AQ48</f>
        <v>0</v>
      </c>
      <c r="AA100">
        <f t="shared" si="73"/>
        <v>0</v>
      </c>
      <c r="AB100">
        <f>D100-AR100</f>
        <v>0</v>
      </c>
      <c r="AC100">
        <f>AT48</f>
        <v>0</v>
      </c>
      <c r="AD100">
        <f t="shared" si="69"/>
        <v>0</v>
      </c>
      <c r="AE100">
        <f t="shared" si="69"/>
        <v>0</v>
      </c>
      <c r="AF100">
        <f t="shared" si="69"/>
        <v>0</v>
      </c>
      <c r="AG100">
        <f t="shared" si="69"/>
        <v>0</v>
      </c>
      <c r="AH100">
        <f t="shared" si="69"/>
        <v>0</v>
      </c>
      <c r="AI100">
        <f t="shared" si="69"/>
        <v>0</v>
      </c>
      <c r="AJ100">
        <f t="shared" si="69"/>
        <v>0</v>
      </c>
      <c r="AK100">
        <f t="shared" si="69"/>
        <v>0</v>
      </c>
      <c r="AL100">
        <f t="shared" si="69"/>
        <v>0</v>
      </c>
      <c r="AM100">
        <f t="shared" si="69"/>
        <v>0</v>
      </c>
      <c r="AN100">
        <f t="shared" si="69"/>
        <v>0</v>
      </c>
      <c r="AO100">
        <f t="shared" si="69"/>
        <v>0</v>
      </c>
      <c r="AP100">
        <f t="shared" si="69"/>
        <v>0</v>
      </c>
      <c r="AQ100">
        <f t="shared" si="69"/>
        <v>0</v>
      </c>
      <c r="AR100">
        <f>E100+Q100+R100+S100+T100+U100+V100+W100+X100+Y100+Z100+AA100+AC100+AD100+AE100+AF100+AG100+AH100+AI100+AJ100+AK100+AL100+AM100+AN100+AO100+AP100+AQ100</f>
        <v>0</v>
      </c>
      <c r="AS100">
        <f>D100+AB116-AR100</f>
        <v>0</v>
      </c>
    </row>
    <row r="101" spans="1:45" ht="20.25" customHeight="1">
      <c r="A101" t="s">
        <v>82</v>
      </c>
      <c r="B101" t="s">
        <v>83</v>
      </c>
      <c r="C101" t="s">
        <v>84</v>
      </c>
      <c r="D101">
        <f t="shared" si="70"/>
        <v>0</v>
      </c>
      <c r="E101">
        <f t="shared" si="38"/>
        <v>0</v>
      </c>
      <c r="F101">
        <f t="shared" si="71"/>
        <v>0</v>
      </c>
      <c r="G101">
        <f t="shared" si="71"/>
        <v>0</v>
      </c>
      <c r="H101">
        <f t="shared" si="72"/>
        <v>0</v>
      </c>
      <c r="I101">
        <f t="shared" si="72"/>
        <v>0</v>
      </c>
      <c r="J101">
        <f t="shared" si="67"/>
        <v>0</v>
      </c>
      <c r="K101">
        <f t="shared" si="67"/>
        <v>0</v>
      </c>
      <c r="L101">
        <f t="shared" si="67"/>
        <v>0</v>
      </c>
      <c r="M101">
        <f t="shared" si="67"/>
        <v>0</v>
      </c>
      <c r="N101">
        <f t="shared" si="67"/>
        <v>0</v>
      </c>
      <c r="O101">
        <f t="shared" si="67"/>
        <v>0</v>
      </c>
      <c r="P101">
        <f t="shared" si="62"/>
        <v>0</v>
      </c>
      <c r="Q101">
        <f t="shared" si="68"/>
        <v>0</v>
      </c>
      <c r="R101">
        <f t="shared" si="68"/>
        <v>0</v>
      </c>
      <c r="S101">
        <f t="shared" si="68"/>
        <v>0</v>
      </c>
      <c r="T101">
        <f t="shared" si="68"/>
        <v>0</v>
      </c>
      <c r="U101">
        <f t="shared" si="68"/>
        <v>0</v>
      </c>
      <c r="V101">
        <f t="shared" si="68"/>
        <v>0</v>
      </c>
      <c r="W101">
        <f t="shared" si="68"/>
        <v>0</v>
      </c>
      <c r="X101">
        <f t="shared" si="68"/>
        <v>0</v>
      </c>
      <c r="Y101">
        <f t="shared" si="68"/>
        <v>0</v>
      </c>
      <c r="Z101">
        <f t="shared" si="73"/>
        <v>0</v>
      </c>
      <c r="AA101">
        <f t="shared" si="73"/>
        <v>0</v>
      </c>
      <c r="AB101">
        <f t="shared" si="73"/>
        <v>0</v>
      </c>
      <c r="AC101">
        <f>D101-AR101</f>
        <v>0</v>
      </c>
      <c r="AD101">
        <f>AU49</f>
        <v>0</v>
      </c>
      <c r="AE101">
        <f t="shared" si="69"/>
        <v>0</v>
      </c>
      <c r="AF101">
        <f t="shared" si="69"/>
        <v>0</v>
      </c>
      <c r="AG101">
        <f t="shared" si="69"/>
        <v>0</v>
      </c>
      <c r="AH101">
        <f t="shared" si="69"/>
        <v>0</v>
      </c>
      <c r="AI101">
        <f t="shared" si="69"/>
        <v>0</v>
      </c>
      <c r="AJ101">
        <f t="shared" si="69"/>
        <v>0</v>
      </c>
      <c r="AK101">
        <f t="shared" si="69"/>
        <v>0</v>
      </c>
      <c r="AL101">
        <f t="shared" si="69"/>
        <v>0</v>
      </c>
      <c r="AM101">
        <f t="shared" si="69"/>
        <v>0</v>
      </c>
      <c r="AN101">
        <f t="shared" si="69"/>
        <v>0</v>
      </c>
      <c r="AO101">
        <f t="shared" si="69"/>
        <v>0</v>
      </c>
      <c r="AP101">
        <f t="shared" si="69"/>
        <v>0</v>
      </c>
      <c r="AQ101">
        <f t="shared" si="69"/>
        <v>0</v>
      </c>
      <c r="AR101">
        <f>E101+Q101+R101+S101+T101+U101+V101+W101+X101+Y101+Z101+AA101+AB101+AD101+AE101+AF101+AG101+AH101+AI101+AJ101+AK101+AL101+AM101+AN101+AO101+AP101+AQ101</f>
        <v>0</v>
      </c>
      <c r="AS101">
        <f>D101+AC116-AR101</f>
        <v>0</v>
      </c>
    </row>
    <row r="102" spans="1:45" ht="20.25" customHeight="1">
      <c r="A102" t="s">
        <v>85</v>
      </c>
      <c r="B102" t="s">
        <v>86</v>
      </c>
      <c r="C102" t="s">
        <v>87</v>
      </c>
      <c r="D102">
        <f t="shared" si="70"/>
        <v>10.565</v>
      </c>
      <c r="E102">
        <f t="shared" si="38"/>
        <v>0</v>
      </c>
      <c r="F102">
        <f t="shared" si="71"/>
        <v>0</v>
      </c>
      <c r="G102">
        <f t="shared" si="71"/>
        <v>0</v>
      </c>
      <c r="H102">
        <f t="shared" si="72"/>
        <v>0</v>
      </c>
      <c r="I102">
        <f t="shared" si="72"/>
        <v>0</v>
      </c>
      <c r="J102">
        <f t="shared" si="67"/>
        <v>0</v>
      </c>
      <c r="K102">
        <f t="shared" si="67"/>
        <v>0</v>
      </c>
      <c r="L102">
        <f t="shared" si="67"/>
        <v>0</v>
      </c>
      <c r="M102">
        <f t="shared" si="67"/>
        <v>0</v>
      </c>
      <c r="N102">
        <f t="shared" si="67"/>
        <v>0</v>
      </c>
      <c r="O102">
        <f t="shared" si="67"/>
        <v>0</v>
      </c>
      <c r="P102">
        <f t="shared" si="62"/>
        <v>10.565</v>
      </c>
      <c r="Q102">
        <f t="shared" si="68"/>
        <v>0</v>
      </c>
      <c r="R102">
        <f t="shared" si="68"/>
        <v>0</v>
      </c>
      <c r="S102">
        <f t="shared" si="68"/>
        <v>0</v>
      </c>
      <c r="T102">
        <f t="shared" si="68"/>
        <v>0</v>
      </c>
      <c r="U102">
        <f t="shared" si="68"/>
        <v>0</v>
      </c>
      <c r="V102">
        <f t="shared" si="68"/>
        <v>0</v>
      </c>
      <c r="W102">
        <f t="shared" si="68"/>
        <v>0</v>
      </c>
      <c r="X102">
        <f t="shared" si="68"/>
        <v>0</v>
      </c>
      <c r="Y102">
        <f t="shared" si="68"/>
        <v>0</v>
      </c>
      <c r="Z102">
        <f t="shared" si="73"/>
        <v>0</v>
      </c>
      <c r="AA102">
        <f t="shared" si="73"/>
        <v>0</v>
      </c>
      <c r="AB102">
        <f t="shared" si="73"/>
        <v>0</v>
      </c>
      <c r="AC102">
        <f t="shared" si="73"/>
        <v>0</v>
      </c>
      <c r="AD102">
        <f>D102-AR102</f>
        <v>10.565</v>
      </c>
      <c r="AE102">
        <f>AV50</f>
        <v>0</v>
      </c>
      <c r="AF102">
        <f t="shared" si="69"/>
        <v>0</v>
      </c>
      <c r="AG102">
        <f t="shared" si="69"/>
        <v>0</v>
      </c>
      <c r="AH102">
        <f t="shared" si="69"/>
        <v>0</v>
      </c>
      <c r="AI102">
        <f t="shared" si="69"/>
        <v>0</v>
      </c>
      <c r="AJ102">
        <f t="shared" si="69"/>
        <v>0</v>
      </c>
      <c r="AK102">
        <f t="shared" si="69"/>
        <v>0</v>
      </c>
      <c r="AL102">
        <f t="shared" si="69"/>
        <v>0</v>
      </c>
      <c r="AM102">
        <f t="shared" si="69"/>
        <v>0</v>
      </c>
      <c r="AN102">
        <f t="shared" si="69"/>
        <v>0</v>
      </c>
      <c r="AO102">
        <f t="shared" si="69"/>
        <v>0</v>
      </c>
      <c r="AP102">
        <f t="shared" si="69"/>
        <v>0</v>
      </c>
      <c r="AQ102">
        <f t="shared" si="69"/>
        <v>0</v>
      </c>
      <c r="AR102">
        <f>E102+Q102+R102+S102+T102+U102+V102+W102+X102+Y102+Z102+AA102+AB102+AC102+AE102+AF102+AG102+AH102+AI102+AJ102+AK102+AL102+AM102+AN102+AO102+AP102+AQ102</f>
        <v>0</v>
      </c>
      <c r="AS102">
        <f>D102+AD116-AR102</f>
        <v>10.904999999999999</v>
      </c>
    </row>
    <row r="103" spans="1:45" ht="20.25" customHeight="1">
      <c r="A103" t="s">
        <v>88</v>
      </c>
      <c r="B103" t="s">
        <v>89</v>
      </c>
      <c r="C103" t="s">
        <v>90</v>
      </c>
      <c r="D103">
        <f t="shared" si="70"/>
        <v>4.8949999999999996</v>
      </c>
      <c r="E103">
        <f t="shared" si="38"/>
        <v>0</v>
      </c>
      <c r="F103">
        <f t="shared" si="71"/>
        <v>0</v>
      </c>
      <c r="G103">
        <f t="shared" si="71"/>
        <v>0</v>
      </c>
      <c r="H103">
        <f t="shared" si="72"/>
        <v>0</v>
      </c>
      <c r="I103">
        <f t="shared" si="72"/>
        <v>0</v>
      </c>
      <c r="J103">
        <f t="shared" si="67"/>
        <v>0</v>
      </c>
      <c r="K103">
        <f t="shared" si="67"/>
        <v>0</v>
      </c>
      <c r="L103">
        <f t="shared" si="67"/>
        <v>0</v>
      </c>
      <c r="M103">
        <f t="shared" si="67"/>
        <v>0</v>
      </c>
      <c r="N103">
        <f t="shared" si="67"/>
        <v>0</v>
      </c>
      <c r="O103">
        <f t="shared" si="67"/>
        <v>0</v>
      </c>
      <c r="P103">
        <f t="shared" si="62"/>
        <v>4.8949999999999996</v>
      </c>
      <c r="Q103">
        <f t="shared" si="68"/>
        <v>0</v>
      </c>
      <c r="R103">
        <f t="shared" si="68"/>
        <v>0</v>
      </c>
      <c r="S103">
        <f t="shared" si="68"/>
        <v>0</v>
      </c>
      <c r="T103">
        <f t="shared" si="68"/>
        <v>0</v>
      </c>
      <c r="U103">
        <f t="shared" si="68"/>
        <v>0</v>
      </c>
      <c r="V103">
        <f t="shared" si="68"/>
        <v>0</v>
      </c>
      <c r="W103">
        <f t="shared" si="68"/>
        <v>0</v>
      </c>
      <c r="X103">
        <f t="shared" si="68"/>
        <v>0</v>
      </c>
      <c r="Y103">
        <f t="shared" si="68"/>
        <v>0</v>
      </c>
      <c r="Z103">
        <f t="shared" si="73"/>
        <v>0</v>
      </c>
      <c r="AA103">
        <f t="shared" si="73"/>
        <v>0</v>
      </c>
      <c r="AB103">
        <f t="shared" si="73"/>
        <v>0</v>
      </c>
      <c r="AC103">
        <f t="shared" si="73"/>
        <v>0</v>
      </c>
      <c r="AD103">
        <f t="shared" si="73"/>
        <v>0.01</v>
      </c>
      <c r="AE103">
        <f>D103-AR103</f>
        <v>4.8849999999999998</v>
      </c>
      <c r="AF103">
        <f>AW51</f>
        <v>0</v>
      </c>
      <c r="AG103">
        <f t="shared" si="69"/>
        <v>0</v>
      </c>
      <c r="AH103">
        <f t="shared" si="69"/>
        <v>0</v>
      </c>
      <c r="AI103">
        <f t="shared" si="69"/>
        <v>0</v>
      </c>
      <c r="AJ103">
        <f t="shared" si="69"/>
        <v>0</v>
      </c>
      <c r="AK103">
        <f t="shared" si="69"/>
        <v>0</v>
      </c>
      <c r="AL103">
        <f t="shared" si="69"/>
        <v>0</v>
      </c>
      <c r="AM103">
        <f t="shared" si="69"/>
        <v>0</v>
      </c>
      <c r="AN103">
        <f t="shared" si="69"/>
        <v>0</v>
      </c>
      <c r="AO103">
        <f t="shared" si="69"/>
        <v>0</v>
      </c>
      <c r="AP103">
        <f t="shared" si="69"/>
        <v>0</v>
      </c>
      <c r="AQ103">
        <f t="shared" si="69"/>
        <v>0</v>
      </c>
      <c r="AR103">
        <f>E103+Q103+R103+S103+T103+U103+V103+W103+X103+Y103+Z103+AA103+AB103+AC103+AD103+AF103+AG103+AH103+AI103+AJ103+AK103+AL103+AM103+AN103+AO103+AP103+AQ103</f>
        <v>0.01</v>
      </c>
      <c r="AS103">
        <f>D103+AE116-AR103</f>
        <v>4.8849999999999998</v>
      </c>
    </row>
    <row r="104" spans="1:45" ht="37.5" customHeight="1">
      <c r="A104" t="s">
        <v>91</v>
      </c>
      <c r="B104" t="s">
        <v>92</v>
      </c>
      <c r="C104" t="s">
        <v>93</v>
      </c>
      <c r="D104">
        <f t="shared" si="70"/>
        <v>0</v>
      </c>
      <c r="E104">
        <f t="shared" si="38"/>
        <v>0</v>
      </c>
      <c r="F104">
        <f t="shared" si="71"/>
        <v>0</v>
      </c>
      <c r="G104">
        <f t="shared" si="71"/>
        <v>0</v>
      </c>
      <c r="H104">
        <f t="shared" si="72"/>
        <v>0</v>
      </c>
      <c r="I104">
        <f t="shared" si="72"/>
        <v>0</v>
      </c>
      <c r="J104">
        <f t="shared" si="67"/>
        <v>0</v>
      </c>
      <c r="K104">
        <f t="shared" si="67"/>
        <v>0</v>
      </c>
      <c r="L104">
        <f t="shared" si="67"/>
        <v>0</v>
      </c>
      <c r="M104">
        <f t="shared" si="67"/>
        <v>0</v>
      </c>
      <c r="N104">
        <f t="shared" si="67"/>
        <v>0</v>
      </c>
      <c r="O104">
        <f t="shared" si="67"/>
        <v>0</v>
      </c>
      <c r="P104">
        <f t="shared" si="62"/>
        <v>0</v>
      </c>
      <c r="Q104">
        <f t="shared" si="68"/>
        <v>0</v>
      </c>
      <c r="R104">
        <f t="shared" si="68"/>
        <v>0</v>
      </c>
      <c r="S104">
        <f t="shared" si="68"/>
        <v>0</v>
      </c>
      <c r="T104">
        <f t="shared" si="68"/>
        <v>0</v>
      </c>
      <c r="U104">
        <f t="shared" si="68"/>
        <v>0</v>
      </c>
      <c r="V104">
        <f t="shared" si="68"/>
        <v>0</v>
      </c>
      <c r="W104">
        <f t="shared" si="68"/>
        <v>0</v>
      </c>
      <c r="X104">
        <f t="shared" si="68"/>
        <v>0</v>
      </c>
      <c r="Y104">
        <f t="shared" si="68"/>
        <v>0</v>
      </c>
      <c r="Z104">
        <f t="shared" si="73"/>
        <v>0</v>
      </c>
      <c r="AA104">
        <f t="shared" si="73"/>
        <v>0</v>
      </c>
      <c r="AB104">
        <f t="shared" si="73"/>
        <v>0</v>
      </c>
      <c r="AC104">
        <f t="shared" si="73"/>
        <v>0</v>
      </c>
      <c r="AD104">
        <f t="shared" si="73"/>
        <v>0</v>
      </c>
      <c r="AE104">
        <f t="shared" si="73"/>
        <v>0</v>
      </c>
      <c r="AF104">
        <f>D104-AR104</f>
        <v>0</v>
      </c>
      <c r="AG104">
        <f>AX52</f>
        <v>0</v>
      </c>
      <c r="AH104">
        <f t="shared" si="69"/>
        <v>0</v>
      </c>
      <c r="AI104">
        <f t="shared" si="69"/>
        <v>0</v>
      </c>
      <c r="AJ104">
        <f t="shared" si="69"/>
        <v>0</v>
      </c>
      <c r="AK104">
        <f t="shared" si="69"/>
        <v>0</v>
      </c>
      <c r="AL104">
        <f t="shared" si="69"/>
        <v>0</v>
      </c>
      <c r="AM104">
        <f t="shared" si="69"/>
        <v>0</v>
      </c>
      <c r="AN104">
        <f t="shared" si="69"/>
        <v>0</v>
      </c>
      <c r="AO104">
        <f t="shared" si="69"/>
        <v>0</v>
      </c>
      <c r="AP104">
        <f t="shared" si="69"/>
        <v>0</v>
      </c>
      <c r="AQ104">
        <f t="shared" si="69"/>
        <v>0</v>
      </c>
      <c r="AR104">
        <f>E104+Q104+R104+S104+T104+U104+V104+W104+X104+Y104+Z104+AA104+AB104+AC104+AD104+AE104+AG104+AH104+AI104+AJ104+AK104+AL104+AM104+AN104+AO104+AP104+AQ104</f>
        <v>0</v>
      </c>
      <c r="AS104">
        <f>D104+AF116-AR104</f>
        <v>0</v>
      </c>
    </row>
    <row r="105" spans="1:45" ht="20.25" customHeight="1">
      <c r="A105" t="s">
        <v>94</v>
      </c>
      <c r="B105" t="s">
        <v>95</v>
      </c>
      <c r="C105" t="s">
        <v>96</v>
      </c>
      <c r="D105">
        <f t="shared" si="70"/>
        <v>0</v>
      </c>
      <c r="E105">
        <f t="shared" si="38"/>
        <v>0</v>
      </c>
      <c r="F105">
        <f t="shared" si="71"/>
        <v>0</v>
      </c>
      <c r="G105">
        <f t="shared" si="71"/>
        <v>0</v>
      </c>
      <c r="H105">
        <f t="shared" si="72"/>
        <v>0</v>
      </c>
      <c r="I105">
        <f t="shared" si="72"/>
        <v>0</v>
      </c>
      <c r="J105">
        <f t="shared" si="67"/>
        <v>0</v>
      </c>
      <c r="K105">
        <f t="shared" si="67"/>
        <v>0</v>
      </c>
      <c r="L105">
        <f t="shared" si="67"/>
        <v>0</v>
      </c>
      <c r="M105">
        <f t="shared" si="67"/>
        <v>0</v>
      </c>
      <c r="N105">
        <f t="shared" si="67"/>
        <v>0</v>
      </c>
      <c r="O105">
        <f t="shared" si="67"/>
        <v>0</v>
      </c>
      <c r="P105">
        <f t="shared" si="62"/>
        <v>0</v>
      </c>
      <c r="Q105">
        <f t="shared" si="68"/>
        <v>0</v>
      </c>
      <c r="R105">
        <f t="shared" si="68"/>
        <v>0</v>
      </c>
      <c r="S105">
        <f t="shared" si="68"/>
        <v>0</v>
      </c>
      <c r="T105">
        <f t="shared" si="68"/>
        <v>0</v>
      </c>
      <c r="U105">
        <f t="shared" si="68"/>
        <v>0</v>
      </c>
      <c r="V105">
        <f t="shared" si="68"/>
        <v>0</v>
      </c>
      <c r="W105">
        <f t="shared" si="68"/>
        <v>0</v>
      </c>
      <c r="X105">
        <f t="shared" si="68"/>
        <v>0</v>
      </c>
      <c r="Y105">
        <f t="shared" si="68"/>
        <v>0</v>
      </c>
      <c r="Z105">
        <f t="shared" si="73"/>
        <v>0</v>
      </c>
      <c r="AA105">
        <f t="shared" si="73"/>
        <v>0</v>
      </c>
      <c r="AB105">
        <f t="shared" si="73"/>
        <v>0</v>
      </c>
      <c r="AC105">
        <f t="shared" si="73"/>
        <v>0</v>
      </c>
      <c r="AD105">
        <f t="shared" si="73"/>
        <v>0</v>
      </c>
      <c r="AE105">
        <f t="shared" si="73"/>
        <v>0</v>
      </c>
      <c r="AF105">
        <f t="shared" si="73"/>
        <v>0</v>
      </c>
      <c r="AG105">
        <f>D105-AR105</f>
        <v>0</v>
      </c>
      <c r="AH105">
        <f>AY53</f>
        <v>0</v>
      </c>
      <c r="AI105">
        <f t="shared" si="69"/>
        <v>0</v>
      </c>
      <c r="AJ105">
        <f t="shared" si="69"/>
        <v>0</v>
      </c>
      <c r="AK105">
        <f t="shared" si="69"/>
        <v>0</v>
      </c>
      <c r="AL105">
        <f t="shared" si="69"/>
        <v>0</v>
      </c>
      <c r="AM105">
        <f t="shared" si="69"/>
        <v>0</v>
      </c>
      <c r="AN105">
        <f t="shared" si="69"/>
        <v>0</v>
      </c>
      <c r="AO105">
        <f t="shared" si="69"/>
        <v>0</v>
      </c>
      <c r="AP105">
        <f t="shared" si="69"/>
        <v>0</v>
      </c>
      <c r="AQ105">
        <f t="shared" si="69"/>
        <v>0</v>
      </c>
      <c r="AR105">
        <f>E105+Q105+R105+S105+T105+U105+V105+W105+X105+Y105+Z105+AA105+AB105+AC105+AD105+AE105+AF105+AH105+AI105+AJ105+AK105+AL105+AM105+AN105+AO105+AP105+AQ105</f>
        <v>0</v>
      </c>
      <c r="AS105">
        <f>D105+AG116-AR105</f>
        <v>0</v>
      </c>
    </row>
    <row r="106" spans="1:45" ht="20.25" customHeight="1">
      <c r="A106" t="s">
        <v>97</v>
      </c>
      <c r="B106" t="s">
        <v>98</v>
      </c>
      <c r="C106" t="s">
        <v>99</v>
      </c>
      <c r="D106">
        <f t="shared" si="70"/>
        <v>0</v>
      </c>
      <c r="E106">
        <f t="shared" si="38"/>
        <v>0</v>
      </c>
      <c r="F106">
        <f t="shared" si="71"/>
        <v>0</v>
      </c>
      <c r="G106">
        <f t="shared" si="71"/>
        <v>0</v>
      </c>
      <c r="H106">
        <f t="shared" si="72"/>
        <v>0</v>
      </c>
      <c r="I106">
        <f t="shared" si="72"/>
        <v>0</v>
      </c>
      <c r="J106">
        <f t="shared" si="67"/>
        <v>0</v>
      </c>
      <c r="K106">
        <f t="shared" si="67"/>
        <v>0</v>
      </c>
      <c r="L106">
        <f t="shared" si="67"/>
        <v>0</v>
      </c>
      <c r="M106">
        <f t="shared" si="67"/>
        <v>0</v>
      </c>
      <c r="N106">
        <f t="shared" si="67"/>
        <v>0</v>
      </c>
      <c r="O106">
        <f t="shared" si="67"/>
        <v>0</v>
      </c>
      <c r="P106">
        <f t="shared" si="62"/>
        <v>0</v>
      </c>
      <c r="Q106">
        <f t="shared" si="68"/>
        <v>0</v>
      </c>
      <c r="R106">
        <f t="shared" si="68"/>
        <v>0</v>
      </c>
      <c r="S106">
        <f t="shared" si="68"/>
        <v>0</v>
      </c>
      <c r="T106">
        <f t="shared" si="68"/>
        <v>0</v>
      </c>
      <c r="U106">
        <f t="shared" si="68"/>
        <v>0</v>
      </c>
      <c r="V106">
        <f t="shared" si="68"/>
        <v>0</v>
      </c>
      <c r="W106">
        <f t="shared" si="68"/>
        <v>0</v>
      </c>
      <c r="X106">
        <f t="shared" si="68"/>
        <v>0</v>
      </c>
      <c r="Y106">
        <f t="shared" si="68"/>
        <v>0</v>
      </c>
      <c r="Z106">
        <f t="shared" si="73"/>
        <v>0</v>
      </c>
      <c r="AA106">
        <f t="shared" si="73"/>
        <v>0</v>
      </c>
      <c r="AB106">
        <f t="shared" si="73"/>
        <v>0</v>
      </c>
      <c r="AC106">
        <f t="shared" si="73"/>
        <v>0</v>
      </c>
      <c r="AD106">
        <f t="shared" si="73"/>
        <v>0</v>
      </c>
      <c r="AE106">
        <f t="shared" si="73"/>
        <v>0</v>
      </c>
      <c r="AF106">
        <f t="shared" si="73"/>
        <v>0</v>
      </c>
      <c r="AG106">
        <f t="shared" si="73"/>
        <v>0</v>
      </c>
      <c r="AH106">
        <f>D106-AR106</f>
        <v>0</v>
      </c>
      <c r="AI106">
        <f>AZ54</f>
        <v>0</v>
      </c>
      <c r="AJ106">
        <f t="shared" si="69"/>
        <v>0</v>
      </c>
      <c r="AK106">
        <f t="shared" si="69"/>
        <v>0</v>
      </c>
      <c r="AL106">
        <f t="shared" si="69"/>
        <v>0</v>
      </c>
      <c r="AM106">
        <f t="shared" si="69"/>
        <v>0</v>
      </c>
      <c r="AN106">
        <f t="shared" si="69"/>
        <v>0</v>
      </c>
      <c r="AO106">
        <f t="shared" si="69"/>
        <v>0</v>
      </c>
      <c r="AP106">
        <f t="shared" si="69"/>
        <v>0</v>
      </c>
      <c r="AQ106">
        <f t="shared" si="69"/>
        <v>0</v>
      </c>
      <c r="AR106">
        <f>E106+Q106+R106+S106+T106+U106+V106+W106+X106+Y106+Z106+AA106+AB106+AC106+AD106+AE106+AF106+AG106+AI106+AJ106+AK106+AL106+AM106+AN106+AO106+AP106+AQ106</f>
        <v>0</v>
      </c>
      <c r="AS106">
        <f>D106+AH116-AR106</f>
        <v>0</v>
      </c>
    </row>
    <row r="107" spans="1:45" ht="31.5" customHeight="1">
      <c r="A107" t="s">
        <v>100</v>
      </c>
      <c r="B107" t="s">
        <v>134</v>
      </c>
      <c r="C107" t="s">
        <v>101</v>
      </c>
      <c r="D107">
        <f t="shared" si="70"/>
        <v>0</v>
      </c>
      <c r="E107">
        <f t="shared" si="38"/>
        <v>0</v>
      </c>
      <c r="F107">
        <f t="shared" si="71"/>
        <v>0</v>
      </c>
      <c r="G107">
        <f t="shared" si="71"/>
        <v>0</v>
      </c>
      <c r="H107">
        <f t="shared" si="72"/>
        <v>0</v>
      </c>
      <c r="I107">
        <f t="shared" si="72"/>
        <v>0</v>
      </c>
      <c r="J107">
        <f t="shared" si="67"/>
        <v>0</v>
      </c>
      <c r="K107">
        <f t="shared" si="67"/>
        <v>0</v>
      </c>
      <c r="L107">
        <f t="shared" si="67"/>
        <v>0</v>
      </c>
      <c r="M107">
        <f t="shared" si="67"/>
        <v>0</v>
      </c>
      <c r="N107">
        <f t="shared" si="67"/>
        <v>0</v>
      </c>
      <c r="O107">
        <f t="shared" si="67"/>
        <v>0</v>
      </c>
      <c r="P107">
        <f t="shared" si="62"/>
        <v>0</v>
      </c>
      <c r="Q107">
        <f t="shared" si="68"/>
        <v>0</v>
      </c>
      <c r="R107">
        <f t="shared" si="68"/>
        <v>0</v>
      </c>
      <c r="S107">
        <f t="shared" si="68"/>
        <v>0</v>
      </c>
      <c r="T107">
        <f t="shared" si="68"/>
        <v>0</v>
      </c>
      <c r="U107">
        <f t="shared" si="68"/>
        <v>0</v>
      </c>
      <c r="V107">
        <f t="shared" si="68"/>
        <v>0</v>
      </c>
      <c r="W107">
        <f t="shared" si="68"/>
        <v>0</v>
      </c>
      <c r="X107">
        <f t="shared" si="68"/>
        <v>0</v>
      </c>
      <c r="Y107">
        <f t="shared" si="68"/>
        <v>0</v>
      </c>
      <c r="Z107">
        <f t="shared" si="73"/>
        <v>0</v>
      </c>
      <c r="AA107">
        <f t="shared" si="73"/>
        <v>0</v>
      </c>
      <c r="AB107">
        <f t="shared" si="73"/>
        <v>0</v>
      </c>
      <c r="AC107">
        <f t="shared" si="73"/>
        <v>0</v>
      </c>
      <c r="AD107">
        <f t="shared" si="73"/>
        <v>0</v>
      </c>
      <c r="AE107">
        <f t="shared" si="73"/>
        <v>0</v>
      </c>
      <c r="AF107">
        <f t="shared" si="73"/>
        <v>0</v>
      </c>
      <c r="AG107">
        <f t="shared" si="73"/>
        <v>0</v>
      </c>
      <c r="AH107">
        <f t="shared" si="73"/>
        <v>0</v>
      </c>
      <c r="AI107">
        <f>D107-AR107</f>
        <v>0</v>
      </c>
      <c r="AJ107">
        <f>BA55</f>
        <v>0</v>
      </c>
      <c r="AK107">
        <f t="shared" si="69"/>
        <v>0</v>
      </c>
      <c r="AL107">
        <f t="shared" si="69"/>
        <v>0</v>
      </c>
      <c r="AM107">
        <f t="shared" si="69"/>
        <v>0</v>
      </c>
      <c r="AN107">
        <f t="shared" si="69"/>
        <v>0</v>
      </c>
      <c r="AO107">
        <f t="shared" si="69"/>
        <v>0</v>
      </c>
      <c r="AP107">
        <f t="shared" si="69"/>
        <v>0</v>
      </c>
      <c r="AQ107">
        <f t="shared" si="69"/>
        <v>0</v>
      </c>
      <c r="AR107">
        <f>E107+Q107+R107+S107+T107+U107+V107+W107+X107+Y107+Z107+AA107+AB107+AC107+AD107+AE107+AF107+AG107+AH107+AJ107+AK107+AL107+AM107+AN107+AO107+AP107+AQ107</f>
        <v>0</v>
      </c>
      <c r="AS107">
        <f>D107+AI116-AR107</f>
        <v>0</v>
      </c>
    </row>
    <row r="108" spans="1:45" ht="20.25" customHeight="1">
      <c r="A108" t="s">
        <v>102</v>
      </c>
      <c r="B108" t="s">
        <v>103</v>
      </c>
      <c r="C108" t="s">
        <v>104</v>
      </c>
      <c r="D108">
        <f t="shared" si="70"/>
        <v>0</v>
      </c>
      <c r="E108">
        <f t="shared" si="38"/>
        <v>0</v>
      </c>
      <c r="F108">
        <f t="shared" si="71"/>
        <v>0</v>
      </c>
      <c r="G108">
        <f t="shared" si="71"/>
        <v>0</v>
      </c>
      <c r="H108">
        <f t="shared" si="72"/>
        <v>0</v>
      </c>
      <c r="I108">
        <f t="shared" si="72"/>
        <v>0</v>
      </c>
      <c r="J108">
        <f t="shared" si="67"/>
        <v>0</v>
      </c>
      <c r="K108">
        <f t="shared" si="67"/>
        <v>0</v>
      </c>
      <c r="L108">
        <f t="shared" si="67"/>
        <v>0</v>
      </c>
      <c r="M108">
        <f t="shared" si="67"/>
        <v>0</v>
      </c>
      <c r="N108">
        <f t="shared" si="67"/>
        <v>0</v>
      </c>
      <c r="O108">
        <f t="shared" si="67"/>
        <v>0</v>
      </c>
      <c r="P108">
        <f t="shared" si="62"/>
        <v>0</v>
      </c>
      <c r="Q108">
        <f t="shared" si="68"/>
        <v>0</v>
      </c>
      <c r="R108">
        <f t="shared" si="68"/>
        <v>0</v>
      </c>
      <c r="S108">
        <f t="shared" si="68"/>
        <v>0</v>
      </c>
      <c r="T108">
        <f t="shared" si="68"/>
        <v>0</v>
      </c>
      <c r="U108">
        <f t="shared" si="68"/>
        <v>0</v>
      </c>
      <c r="V108">
        <f t="shared" si="68"/>
        <v>0</v>
      </c>
      <c r="W108">
        <f t="shared" si="68"/>
        <v>0</v>
      </c>
      <c r="X108">
        <f t="shared" si="68"/>
        <v>0</v>
      </c>
      <c r="Y108">
        <f t="shared" si="68"/>
        <v>0</v>
      </c>
      <c r="Z108">
        <f t="shared" si="73"/>
        <v>0</v>
      </c>
      <c r="AA108">
        <f t="shared" si="73"/>
        <v>0</v>
      </c>
      <c r="AB108">
        <f t="shared" si="73"/>
        <v>0</v>
      </c>
      <c r="AC108">
        <f t="shared" si="73"/>
        <v>0</v>
      </c>
      <c r="AD108">
        <f t="shared" si="73"/>
        <v>0</v>
      </c>
      <c r="AE108">
        <f t="shared" si="73"/>
        <v>0</v>
      </c>
      <c r="AF108">
        <f t="shared" si="73"/>
        <v>0</v>
      </c>
      <c r="AG108">
        <f t="shared" si="73"/>
        <v>0</v>
      </c>
      <c r="AH108">
        <f t="shared" si="73"/>
        <v>0</v>
      </c>
      <c r="AI108">
        <f t="shared" si="73"/>
        <v>0</v>
      </c>
      <c r="AJ108">
        <f>D108-AR108</f>
        <v>0</v>
      </c>
      <c r="AK108">
        <f>BB56</f>
        <v>0</v>
      </c>
      <c r="AL108">
        <f t="shared" si="69"/>
        <v>0</v>
      </c>
      <c r="AM108">
        <f t="shared" si="69"/>
        <v>0</v>
      </c>
      <c r="AN108">
        <f t="shared" si="69"/>
        <v>0</v>
      </c>
      <c r="AO108">
        <f t="shared" si="69"/>
        <v>0</v>
      </c>
      <c r="AP108">
        <f t="shared" si="69"/>
        <v>0</v>
      </c>
      <c r="AQ108">
        <f t="shared" si="69"/>
        <v>0</v>
      </c>
      <c r="AR108">
        <f>E108+Q108+R108+S108+T108+U108+V108+W108+X108+Y108+Z108+AA108+AB108+AC108+AD108+AE108+AF108+AG108+AH108+AI108+AK108+AL108+AM108+AN108+AO108+AP108+AQ108</f>
        <v>0</v>
      </c>
      <c r="AS108">
        <f>D108+AJ116-AR108</f>
        <v>0</v>
      </c>
    </row>
    <row r="109" spans="1:45" ht="20.25" customHeight="1">
      <c r="A109" t="s">
        <v>105</v>
      </c>
      <c r="B109" t="s">
        <v>106</v>
      </c>
      <c r="C109" t="s">
        <v>107</v>
      </c>
      <c r="D109">
        <f t="shared" si="70"/>
        <v>0.45</v>
      </c>
      <c r="E109">
        <f t="shared" si="38"/>
        <v>0</v>
      </c>
      <c r="F109">
        <f t="shared" si="71"/>
        <v>0</v>
      </c>
      <c r="G109">
        <f t="shared" si="71"/>
        <v>0</v>
      </c>
      <c r="H109">
        <f t="shared" si="72"/>
        <v>0</v>
      </c>
      <c r="I109">
        <f t="shared" si="72"/>
        <v>0</v>
      </c>
      <c r="J109">
        <f t="shared" si="67"/>
        <v>0</v>
      </c>
      <c r="K109">
        <f t="shared" si="67"/>
        <v>0</v>
      </c>
      <c r="L109">
        <f t="shared" si="67"/>
        <v>0</v>
      </c>
      <c r="M109">
        <f t="shared" si="67"/>
        <v>0</v>
      </c>
      <c r="N109">
        <f t="shared" si="67"/>
        <v>0</v>
      </c>
      <c r="O109">
        <f t="shared" si="67"/>
        <v>0</v>
      </c>
      <c r="P109">
        <f t="shared" si="62"/>
        <v>0.45</v>
      </c>
      <c r="Q109">
        <f t="shared" si="68"/>
        <v>0</v>
      </c>
      <c r="R109">
        <f t="shared" si="68"/>
        <v>0</v>
      </c>
      <c r="S109">
        <f t="shared" si="68"/>
        <v>0</v>
      </c>
      <c r="T109">
        <f t="shared" si="68"/>
        <v>0</v>
      </c>
      <c r="U109">
        <f t="shared" si="68"/>
        <v>0</v>
      </c>
      <c r="V109">
        <f t="shared" si="68"/>
        <v>0</v>
      </c>
      <c r="W109">
        <f t="shared" si="68"/>
        <v>0</v>
      </c>
      <c r="X109">
        <f t="shared" si="68"/>
        <v>0</v>
      </c>
      <c r="Y109">
        <f t="shared" si="68"/>
        <v>0</v>
      </c>
      <c r="Z109">
        <f t="shared" si="73"/>
        <v>0</v>
      </c>
      <c r="AA109">
        <f t="shared" si="73"/>
        <v>0</v>
      </c>
      <c r="AB109">
        <f t="shared" si="73"/>
        <v>0</v>
      </c>
      <c r="AC109">
        <f t="shared" si="73"/>
        <v>0</v>
      </c>
      <c r="AD109">
        <f t="shared" si="73"/>
        <v>0</v>
      </c>
      <c r="AE109">
        <f t="shared" si="73"/>
        <v>0</v>
      </c>
      <c r="AF109">
        <f t="shared" si="73"/>
        <v>0</v>
      </c>
      <c r="AG109">
        <f t="shared" si="73"/>
        <v>0</v>
      </c>
      <c r="AH109">
        <f t="shared" si="73"/>
        <v>0</v>
      </c>
      <c r="AI109">
        <f t="shared" si="73"/>
        <v>0</v>
      </c>
      <c r="AJ109">
        <f t="shared" si="73"/>
        <v>0</v>
      </c>
      <c r="AK109">
        <f>D109-AR109</f>
        <v>0.45</v>
      </c>
      <c r="AL109">
        <f t="shared" si="69"/>
        <v>0</v>
      </c>
      <c r="AM109">
        <f t="shared" si="69"/>
        <v>0</v>
      </c>
      <c r="AN109">
        <f t="shared" si="69"/>
        <v>0</v>
      </c>
      <c r="AO109">
        <f t="shared" si="69"/>
        <v>0</v>
      </c>
      <c r="AP109">
        <f t="shared" si="69"/>
        <v>0</v>
      </c>
      <c r="AQ109">
        <f t="shared" si="69"/>
        <v>0</v>
      </c>
      <c r="AR109">
        <f>E109+Q109+R109+S109+T109+U109+V109+W109+X109+Y109+Z109+AA109+AB109+AC109+AD109+AE109+AF109+AG109+AH109+AI109+AJ109+AL109+AM109+AN109+AO109+AP109+AQ109</f>
        <v>0</v>
      </c>
      <c r="AS109">
        <f>D109+AK116-AR109</f>
        <v>0.45</v>
      </c>
    </row>
    <row r="110" spans="1:45" ht="20.25" customHeight="1">
      <c r="A110" t="s">
        <v>108</v>
      </c>
      <c r="B110" t="s">
        <v>109</v>
      </c>
      <c r="C110" t="s">
        <v>110</v>
      </c>
      <c r="D110">
        <f t="shared" si="70"/>
        <v>0.53</v>
      </c>
      <c r="E110">
        <f t="shared" si="38"/>
        <v>0</v>
      </c>
      <c r="F110">
        <f t="shared" si="71"/>
        <v>0</v>
      </c>
      <c r="G110">
        <f t="shared" si="71"/>
        <v>0</v>
      </c>
      <c r="H110">
        <f t="shared" si="72"/>
        <v>0</v>
      </c>
      <c r="I110">
        <f t="shared" si="72"/>
        <v>0</v>
      </c>
      <c r="J110">
        <f t="shared" si="67"/>
        <v>0</v>
      </c>
      <c r="K110">
        <f t="shared" si="67"/>
        <v>0</v>
      </c>
      <c r="L110">
        <f t="shared" si="67"/>
        <v>0</v>
      </c>
      <c r="M110">
        <f t="shared" si="67"/>
        <v>0</v>
      </c>
      <c r="N110">
        <f t="shared" si="67"/>
        <v>0</v>
      </c>
      <c r="O110">
        <f t="shared" si="67"/>
        <v>0</v>
      </c>
      <c r="P110">
        <f t="shared" si="62"/>
        <v>0.53</v>
      </c>
      <c r="Q110">
        <f t="shared" si="68"/>
        <v>0</v>
      </c>
      <c r="R110">
        <f t="shared" si="68"/>
        <v>0</v>
      </c>
      <c r="S110">
        <f t="shared" si="68"/>
        <v>0</v>
      </c>
      <c r="T110">
        <f t="shared" si="68"/>
        <v>0</v>
      </c>
      <c r="U110">
        <f t="shared" si="68"/>
        <v>0</v>
      </c>
      <c r="V110">
        <f t="shared" si="68"/>
        <v>0</v>
      </c>
      <c r="W110">
        <f t="shared" si="68"/>
        <v>0</v>
      </c>
      <c r="X110">
        <f t="shared" si="68"/>
        <v>0</v>
      </c>
      <c r="Y110">
        <f t="shared" si="68"/>
        <v>0</v>
      </c>
      <c r="Z110">
        <f t="shared" si="73"/>
        <v>0</v>
      </c>
      <c r="AA110">
        <f t="shared" si="73"/>
        <v>0</v>
      </c>
      <c r="AB110">
        <f t="shared" si="73"/>
        <v>0</v>
      </c>
      <c r="AC110">
        <f t="shared" si="73"/>
        <v>0</v>
      </c>
      <c r="AD110">
        <f t="shared" si="73"/>
        <v>0</v>
      </c>
      <c r="AE110">
        <f t="shared" si="73"/>
        <v>0</v>
      </c>
      <c r="AF110">
        <f t="shared" si="73"/>
        <v>0</v>
      </c>
      <c r="AG110">
        <f t="shared" si="73"/>
        <v>0</v>
      </c>
      <c r="AH110">
        <f t="shared" si="73"/>
        <v>0</v>
      </c>
      <c r="AI110">
        <f t="shared" si="73"/>
        <v>0</v>
      </c>
      <c r="AJ110">
        <f t="shared" si="73"/>
        <v>0</v>
      </c>
      <c r="AK110">
        <f t="shared" si="73"/>
        <v>0</v>
      </c>
      <c r="AL110">
        <f>D110-AR110</f>
        <v>0.53</v>
      </c>
      <c r="AM110">
        <f>BD58</f>
        <v>0</v>
      </c>
      <c r="AN110">
        <f>BE58</f>
        <v>0</v>
      </c>
      <c r="AO110">
        <f>BF58</f>
        <v>0</v>
      </c>
      <c r="AP110">
        <f>BG58</f>
        <v>0</v>
      </c>
      <c r="AQ110">
        <f>BH58</f>
        <v>0</v>
      </c>
      <c r="AR110">
        <f>E110+Q110+R110+S110+T110+U110+V110+W110+X110+Y110+Z110+AA110+AB110+AC110+AD110+AE110+AF110+AG110+AH110+AI110+AJ110+AK110+AM110+AN110+AO110+AP110+AQ110</f>
        <v>0</v>
      </c>
      <c r="AS110">
        <f>D110+AL116-AR110</f>
        <v>0.53</v>
      </c>
    </row>
    <row r="111" spans="1:45" ht="20.25" customHeight="1">
      <c r="A111" t="s">
        <v>111</v>
      </c>
      <c r="B111" t="s">
        <v>112</v>
      </c>
      <c r="C111" t="s">
        <v>113</v>
      </c>
      <c r="D111">
        <f t="shared" si="70"/>
        <v>0</v>
      </c>
      <c r="E111">
        <f t="shared" si="38"/>
        <v>0</v>
      </c>
      <c r="F111">
        <f t="shared" si="71"/>
        <v>0</v>
      </c>
      <c r="G111">
        <f t="shared" si="71"/>
        <v>0</v>
      </c>
      <c r="H111">
        <f t="shared" si="72"/>
        <v>0</v>
      </c>
      <c r="I111">
        <f t="shared" si="72"/>
        <v>0</v>
      </c>
      <c r="J111">
        <f t="shared" si="67"/>
        <v>0</v>
      </c>
      <c r="K111">
        <f t="shared" si="67"/>
        <v>0</v>
      </c>
      <c r="L111">
        <f t="shared" si="67"/>
        <v>0</v>
      </c>
      <c r="M111">
        <f t="shared" si="67"/>
        <v>0</v>
      </c>
      <c r="N111">
        <f t="shared" si="67"/>
        <v>0</v>
      </c>
      <c r="O111">
        <f t="shared" si="67"/>
        <v>0</v>
      </c>
      <c r="P111">
        <f t="shared" si="62"/>
        <v>0</v>
      </c>
      <c r="Q111">
        <f t="shared" si="68"/>
        <v>0</v>
      </c>
      <c r="R111">
        <f t="shared" si="68"/>
        <v>0</v>
      </c>
      <c r="S111">
        <f t="shared" si="68"/>
        <v>0</v>
      </c>
      <c r="T111">
        <f t="shared" si="68"/>
        <v>0</v>
      </c>
      <c r="U111">
        <f t="shared" si="68"/>
        <v>0</v>
      </c>
      <c r="V111">
        <f t="shared" si="68"/>
        <v>0</v>
      </c>
      <c r="W111">
        <f t="shared" si="68"/>
        <v>0</v>
      </c>
      <c r="X111">
        <f t="shared" si="68"/>
        <v>0</v>
      </c>
      <c r="Y111">
        <f t="shared" si="68"/>
        <v>0</v>
      </c>
      <c r="Z111">
        <f t="shared" si="73"/>
        <v>0</v>
      </c>
      <c r="AA111">
        <f t="shared" si="73"/>
        <v>0</v>
      </c>
      <c r="AB111">
        <f t="shared" si="73"/>
        <v>0</v>
      </c>
      <c r="AC111">
        <f t="shared" si="73"/>
        <v>0</v>
      </c>
      <c r="AD111">
        <f t="shared" si="73"/>
        <v>0</v>
      </c>
      <c r="AE111">
        <f t="shared" si="73"/>
        <v>0</v>
      </c>
      <c r="AF111">
        <f t="shared" si="73"/>
        <v>0</v>
      </c>
      <c r="AG111">
        <f t="shared" si="73"/>
        <v>0</v>
      </c>
      <c r="AH111">
        <f t="shared" si="73"/>
        <v>0</v>
      </c>
      <c r="AI111">
        <f t="shared" si="73"/>
        <v>0</v>
      </c>
      <c r="AJ111">
        <f t="shared" si="73"/>
        <v>0</v>
      </c>
      <c r="AK111">
        <f t="shared" si="73"/>
        <v>0</v>
      </c>
      <c r="AL111">
        <f>BC59</f>
        <v>0</v>
      </c>
      <c r="AM111">
        <f>D111-AR111</f>
        <v>0</v>
      </c>
      <c r="AN111">
        <f>BE59</f>
        <v>0</v>
      </c>
      <c r="AO111">
        <f>BF59</f>
        <v>0</v>
      </c>
      <c r="AP111">
        <f>BG59</f>
        <v>0</v>
      </c>
      <c r="AQ111">
        <f>BH59</f>
        <v>0</v>
      </c>
      <c r="AR111">
        <f>E111+Q111+R111+S111+T111+U111+V111+W111+X111+Y111+Z111+AA111+AB111+AC111+AD111+AE111+AF111+AG111+AH111+AI111+AJ111+AK111+AL111+AN111+AO111+AP111+AQ111</f>
        <v>0</v>
      </c>
      <c r="AS111">
        <f>D111+AM116-AR111</f>
        <v>0</v>
      </c>
    </row>
    <row r="112" spans="1:45" ht="20.25" customHeight="1">
      <c r="A112" t="s">
        <v>114</v>
      </c>
      <c r="B112" t="s">
        <v>115</v>
      </c>
      <c r="C112" t="s">
        <v>116</v>
      </c>
      <c r="D112">
        <f t="shared" si="70"/>
        <v>8.2200000000000006</v>
      </c>
      <c r="E112">
        <f t="shared" si="38"/>
        <v>0</v>
      </c>
      <c r="F112">
        <f t="shared" si="71"/>
        <v>0</v>
      </c>
      <c r="G112">
        <f t="shared" si="71"/>
        <v>0</v>
      </c>
      <c r="H112">
        <f t="shared" si="72"/>
        <v>0</v>
      </c>
      <c r="I112">
        <f t="shared" si="72"/>
        <v>0</v>
      </c>
      <c r="J112">
        <f t="shared" si="67"/>
        <v>0</v>
      </c>
      <c r="K112">
        <f t="shared" si="67"/>
        <v>0</v>
      </c>
      <c r="L112">
        <f t="shared" si="67"/>
        <v>0</v>
      </c>
      <c r="M112">
        <f t="shared" si="67"/>
        <v>0</v>
      </c>
      <c r="N112">
        <f t="shared" si="67"/>
        <v>0</v>
      </c>
      <c r="O112">
        <f t="shared" si="67"/>
        <v>0</v>
      </c>
      <c r="P112">
        <f t="shared" si="62"/>
        <v>8.2200000000000006</v>
      </c>
      <c r="Q112">
        <f t="shared" si="68"/>
        <v>0</v>
      </c>
      <c r="R112">
        <f t="shared" si="68"/>
        <v>0</v>
      </c>
      <c r="S112">
        <f t="shared" si="68"/>
        <v>0</v>
      </c>
      <c r="T112">
        <f t="shared" si="68"/>
        <v>0</v>
      </c>
      <c r="U112">
        <f t="shared" si="68"/>
        <v>0</v>
      </c>
      <c r="V112">
        <f t="shared" si="68"/>
        <v>0</v>
      </c>
      <c r="W112">
        <f t="shared" si="68"/>
        <v>0</v>
      </c>
      <c r="X112">
        <f t="shared" si="68"/>
        <v>0</v>
      </c>
      <c r="Y112">
        <f t="shared" si="68"/>
        <v>0</v>
      </c>
      <c r="Z112">
        <f t="shared" si="73"/>
        <v>0</v>
      </c>
      <c r="AA112">
        <f t="shared" si="73"/>
        <v>0</v>
      </c>
      <c r="AB112">
        <f t="shared" si="73"/>
        <v>0</v>
      </c>
      <c r="AC112">
        <f t="shared" si="73"/>
        <v>0</v>
      </c>
      <c r="AD112">
        <f t="shared" si="73"/>
        <v>0</v>
      </c>
      <c r="AE112">
        <f t="shared" si="73"/>
        <v>0</v>
      </c>
      <c r="AF112">
        <f t="shared" si="73"/>
        <v>0</v>
      </c>
      <c r="AG112">
        <f t="shared" si="73"/>
        <v>0</v>
      </c>
      <c r="AH112">
        <f t="shared" si="73"/>
        <v>0</v>
      </c>
      <c r="AI112">
        <f t="shared" si="73"/>
        <v>0</v>
      </c>
      <c r="AJ112">
        <f t="shared" si="73"/>
        <v>0</v>
      </c>
      <c r="AK112">
        <f t="shared" si="73"/>
        <v>0</v>
      </c>
      <c r="AL112">
        <f>BC60</f>
        <v>0</v>
      </c>
      <c r="AM112">
        <f>BD60</f>
        <v>0</v>
      </c>
      <c r="AN112">
        <f>D112-AR112</f>
        <v>8.2200000000000006</v>
      </c>
      <c r="AO112">
        <f>BF60</f>
        <v>0</v>
      </c>
      <c r="AP112">
        <f>BG60</f>
        <v>0</v>
      </c>
      <c r="AQ112">
        <f>BH60</f>
        <v>0</v>
      </c>
      <c r="AR112">
        <f>E112+Q112+R112+S112+T112+U112+V112+W112+X112+Y112+Z112+AA112+AB112+AC112+AD112+AE112+AF112+AG112+AH112+AI112+AJ112+AK112+AL112+AM112+AO112+AP112+AQ112</f>
        <v>0</v>
      </c>
      <c r="AS112">
        <f>D112+AN116-AR112</f>
        <v>8.2200000000000006</v>
      </c>
    </row>
    <row r="113" spans="1:45" ht="20.25" customHeight="1">
      <c r="A113" t="s">
        <v>117</v>
      </c>
      <c r="B113" t="s">
        <v>118</v>
      </c>
      <c r="C113" t="s">
        <v>119</v>
      </c>
      <c r="D113">
        <f t="shared" si="70"/>
        <v>0</v>
      </c>
      <c r="E113">
        <f t="shared" si="38"/>
        <v>0</v>
      </c>
      <c r="F113">
        <f t="shared" si="71"/>
        <v>0</v>
      </c>
      <c r="G113">
        <f t="shared" si="71"/>
        <v>0</v>
      </c>
      <c r="H113">
        <f t="shared" si="72"/>
        <v>0</v>
      </c>
      <c r="I113">
        <f t="shared" si="72"/>
        <v>0</v>
      </c>
      <c r="J113">
        <f t="shared" si="67"/>
        <v>0</v>
      </c>
      <c r="K113">
        <f t="shared" si="67"/>
        <v>0</v>
      </c>
      <c r="L113">
        <f t="shared" si="67"/>
        <v>0</v>
      </c>
      <c r="M113">
        <f t="shared" si="67"/>
        <v>0</v>
      </c>
      <c r="N113">
        <f t="shared" si="67"/>
        <v>0</v>
      </c>
      <c r="O113">
        <f t="shared" si="67"/>
        <v>0</v>
      </c>
      <c r="P113">
        <f t="shared" si="62"/>
        <v>0</v>
      </c>
      <c r="Q113">
        <f t="shared" si="68"/>
        <v>0</v>
      </c>
      <c r="R113">
        <f t="shared" si="68"/>
        <v>0</v>
      </c>
      <c r="S113">
        <f t="shared" si="68"/>
        <v>0</v>
      </c>
      <c r="T113">
        <f t="shared" si="68"/>
        <v>0</v>
      </c>
      <c r="U113">
        <f t="shared" si="68"/>
        <v>0</v>
      </c>
      <c r="V113">
        <f t="shared" si="68"/>
        <v>0</v>
      </c>
      <c r="W113">
        <f t="shared" si="68"/>
        <v>0</v>
      </c>
      <c r="X113">
        <f t="shared" si="68"/>
        <v>0</v>
      </c>
      <c r="Y113">
        <f t="shared" si="68"/>
        <v>0</v>
      </c>
      <c r="Z113">
        <f t="shared" si="73"/>
        <v>0</v>
      </c>
      <c r="AA113">
        <f t="shared" si="73"/>
        <v>0</v>
      </c>
      <c r="AB113">
        <f t="shared" si="73"/>
        <v>0</v>
      </c>
      <c r="AC113">
        <f t="shared" si="73"/>
        <v>0</v>
      </c>
      <c r="AD113">
        <f t="shared" si="73"/>
        <v>0</v>
      </c>
      <c r="AE113">
        <f t="shared" si="73"/>
        <v>0</v>
      </c>
      <c r="AF113">
        <f t="shared" si="73"/>
        <v>0</v>
      </c>
      <c r="AG113">
        <f t="shared" si="73"/>
        <v>0</v>
      </c>
      <c r="AH113">
        <f t="shared" si="73"/>
        <v>0</v>
      </c>
      <c r="AI113">
        <f t="shared" si="73"/>
        <v>0</v>
      </c>
      <c r="AJ113">
        <f t="shared" si="73"/>
        <v>0</v>
      </c>
      <c r="AK113">
        <f t="shared" si="73"/>
        <v>0</v>
      </c>
      <c r="AL113">
        <f>BC61</f>
        <v>0</v>
      </c>
      <c r="AM113">
        <f>BD61</f>
        <v>0</v>
      </c>
      <c r="AN113">
        <f>BE61</f>
        <v>0</v>
      </c>
      <c r="AO113">
        <f>D113-AR113</f>
        <v>0</v>
      </c>
      <c r="AP113">
        <f>BG61</f>
        <v>0</v>
      </c>
      <c r="AQ113">
        <f>BH61</f>
        <v>0</v>
      </c>
      <c r="AR113">
        <f>E113+Q113+R113+S113+T113+U113+V113+W113+X113+Y113+Z113+AA113+AB113+AC113+AD113+AE113+AF113+AG113+AH113+AI113+AJ113+AK113+AL113+AM113+AN113+AP113+AQ113</f>
        <v>0</v>
      </c>
      <c r="AS113">
        <f>D113+AO116-AR113</f>
        <v>0</v>
      </c>
    </row>
    <row r="114" spans="1:45" ht="20.25" customHeight="1">
      <c r="A114" t="s">
        <v>120</v>
      </c>
      <c r="B114" t="s">
        <v>121</v>
      </c>
      <c r="C114" t="s">
        <v>122</v>
      </c>
      <c r="D114">
        <f t="shared" si="70"/>
        <v>0</v>
      </c>
      <c r="E114">
        <f t="shared" si="38"/>
        <v>0</v>
      </c>
      <c r="F114">
        <f t="shared" si="71"/>
        <v>0</v>
      </c>
      <c r="G114">
        <f t="shared" si="71"/>
        <v>0</v>
      </c>
      <c r="H114">
        <f t="shared" si="72"/>
        <v>0</v>
      </c>
      <c r="I114">
        <f t="shared" si="72"/>
        <v>0</v>
      </c>
      <c r="J114">
        <f t="shared" ref="J114:O115" si="74">P62</f>
        <v>0</v>
      </c>
      <c r="K114">
        <f t="shared" si="74"/>
        <v>0</v>
      </c>
      <c r="L114">
        <f t="shared" si="74"/>
        <v>0</v>
      </c>
      <c r="M114">
        <f t="shared" si="74"/>
        <v>0</v>
      </c>
      <c r="N114">
        <f t="shared" si="74"/>
        <v>0</v>
      </c>
      <c r="O114">
        <f t="shared" si="74"/>
        <v>0</v>
      </c>
      <c r="P114">
        <f t="shared" si="62"/>
        <v>0</v>
      </c>
      <c r="Q114">
        <f t="shared" ref="Q114:Y115" si="75">W62</f>
        <v>0</v>
      </c>
      <c r="R114">
        <f t="shared" si="75"/>
        <v>0</v>
      </c>
      <c r="S114">
        <f t="shared" si="75"/>
        <v>0</v>
      </c>
      <c r="T114">
        <f t="shared" si="75"/>
        <v>0</v>
      </c>
      <c r="U114">
        <f t="shared" si="75"/>
        <v>0</v>
      </c>
      <c r="V114">
        <f t="shared" si="75"/>
        <v>0</v>
      </c>
      <c r="W114">
        <f t="shared" si="75"/>
        <v>0</v>
      </c>
      <c r="X114">
        <f t="shared" si="75"/>
        <v>0</v>
      </c>
      <c r="Y114">
        <f t="shared" si="75"/>
        <v>0</v>
      </c>
      <c r="Z114">
        <f t="shared" si="73"/>
        <v>0</v>
      </c>
      <c r="AA114">
        <f t="shared" si="73"/>
        <v>0</v>
      </c>
      <c r="AB114">
        <f t="shared" si="73"/>
        <v>0</v>
      </c>
      <c r="AC114">
        <f t="shared" si="73"/>
        <v>0</v>
      </c>
      <c r="AD114">
        <f t="shared" si="73"/>
        <v>0</v>
      </c>
      <c r="AE114">
        <f t="shared" si="73"/>
        <v>0</v>
      </c>
      <c r="AF114">
        <f t="shared" si="73"/>
        <v>0</v>
      </c>
      <c r="AG114">
        <f t="shared" si="73"/>
        <v>0</v>
      </c>
      <c r="AH114">
        <f t="shared" si="73"/>
        <v>0</v>
      </c>
      <c r="AI114">
        <f t="shared" si="73"/>
        <v>0</v>
      </c>
      <c r="AJ114">
        <f t="shared" si="73"/>
        <v>0</v>
      </c>
      <c r="AK114">
        <f t="shared" si="73"/>
        <v>0</v>
      </c>
      <c r="AL114">
        <f>BC62</f>
        <v>0</v>
      </c>
      <c r="AM114">
        <f>BD62</f>
        <v>0</v>
      </c>
      <c r="AN114">
        <f>BE62</f>
        <v>0</v>
      </c>
      <c r="AO114">
        <f>BF62</f>
        <v>0</v>
      </c>
      <c r="AP114">
        <f>D114-AR114</f>
        <v>0</v>
      </c>
      <c r="AQ114">
        <f>BH62</f>
        <v>0</v>
      </c>
      <c r="AR114">
        <f>E114+Q114+R114+S114+T114+U114+V114+W114+X114+Y114+Z114+AA114+AB114+AC114+AD114+AE114+AF114+AG114+AH114+AI114+AJ114+AK114+AL114+AM114+AN114+AO114+AQ114</f>
        <v>0</v>
      </c>
      <c r="AS114">
        <f>D114+AP116-AR114</f>
        <v>0</v>
      </c>
    </row>
    <row r="115" spans="1:45" ht="20.25" customHeight="1">
      <c r="A115">
        <v>3</v>
      </c>
      <c r="B115" t="s">
        <v>123</v>
      </c>
      <c r="C115" t="s">
        <v>124</v>
      </c>
      <c r="D115">
        <f>D63</f>
        <v>0.65</v>
      </c>
      <c r="E115">
        <f>F115+H115+I115+J115+K115+L115+M115+N115+O115</f>
        <v>0</v>
      </c>
      <c r="F115">
        <f t="shared" si="71"/>
        <v>0</v>
      </c>
      <c r="G115">
        <f t="shared" si="71"/>
        <v>0</v>
      </c>
      <c r="H115">
        <f t="shared" si="72"/>
        <v>0</v>
      </c>
      <c r="I115">
        <f t="shared" si="72"/>
        <v>0</v>
      </c>
      <c r="J115">
        <f t="shared" si="74"/>
        <v>0</v>
      </c>
      <c r="K115">
        <f t="shared" si="74"/>
        <v>0</v>
      </c>
      <c r="L115">
        <f t="shared" si="74"/>
        <v>0</v>
      </c>
      <c r="M115">
        <f t="shared" si="74"/>
        <v>0</v>
      </c>
      <c r="N115">
        <f t="shared" si="74"/>
        <v>0</v>
      </c>
      <c r="O115">
        <f t="shared" si="74"/>
        <v>0</v>
      </c>
      <c r="P115">
        <f>SUM(Q115:AP115)</f>
        <v>0.32999999999999996</v>
      </c>
      <c r="Q115">
        <f t="shared" si="75"/>
        <v>0</v>
      </c>
      <c r="R115">
        <f t="shared" si="75"/>
        <v>0</v>
      </c>
      <c r="S115">
        <f t="shared" si="75"/>
        <v>0</v>
      </c>
      <c r="T115">
        <f t="shared" si="75"/>
        <v>0</v>
      </c>
      <c r="U115">
        <f t="shared" si="75"/>
        <v>0</v>
      </c>
      <c r="V115">
        <f t="shared" si="75"/>
        <v>0</v>
      </c>
      <c r="W115">
        <f t="shared" si="75"/>
        <v>0</v>
      </c>
      <c r="X115">
        <f t="shared" si="75"/>
        <v>0</v>
      </c>
      <c r="Y115">
        <f t="shared" si="75"/>
        <v>0.04</v>
      </c>
      <c r="Z115">
        <f t="shared" si="73"/>
        <v>0</v>
      </c>
      <c r="AA115">
        <f t="shared" si="73"/>
        <v>0</v>
      </c>
      <c r="AB115">
        <f t="shared" si="73"/>
        <v>0</v>
      </c>
      <c r="AC115">
        <f t="shared" si="73"/>
        <v>0</v>
      </c>
      <c r="AD115">
        <f t="shared" si="73"/>
        <v>0.28999999999999998</v>
      </c>
      <c r="AE115">
        <f t="shared" si="73"/>
        <v>0</v>
      </c>
      <c r="AF115">
        <f t="shared" si="73"/>
        <v>0</v>
      </c>
      <c r="AG115">
        <f t="shared" si="73"/>
        <v>0</v>
      </c>
      <c r="AH115">
        <f t="shared" si="73"/>
        <v>0</v>
      </c>
      <c r="AI115">
        <f t="shared" si="73"/>
        <v>0</v>
      </c>
      <c r="AJ115">
        <f t="shared" si="73"/>
        <v>0</v>
      </c>
      <c r="AK115">
        <f t="shared" si="73"/>
        <v>0</v>
      </c>
      <c r="AL115">
        <f>BC63</f>
        <v>0</v>
      </c>
      <c r="AM115">
        <f>BD63</f>
        <v>0</v>
      </c>
      <c r="AN115">
        <f>BE63</f>
        <v>0</v>
      </c>
      <c r="AO115">
        <f>BF63</f>
        <v>0</v>
      </c>
      <c r="AP115">
        <f>BG63</f>
        <v>0</v>
      </c>
      <c r="AQ115">
        <f>AR115</f>
        <v>0.32999999999999996</v>
      </c>
      <c r="AR115">
        <f>E115+Q115+R115+S115+T115+U115+V115+W115+X115+Y115+Z115+AA115+AB115+AC115+AD115+AE115+AF115+AG115+AH115+AI115+AJ115+AL115+AM115+AN115+AO115+AP115</f>
        <v>0.32999999999999996</v>
      </c>
      <c r="AS115">
        <f>D115+AQ116-AR115</f>
        <v>0.32000000000000006</v>
      </c>
    </row>
    <row r="116" spans="1:45" ht="20.25" customHeight="1">
      <c r="B116" t="s">
        <v>190</v>
      </c>
      <c r="E116">
        <f>E88+E115</f>
        <v>0</v>
      </c>
      <c r="F116">
        <f>F80+F81+F82+F83+F84+F85+F86+F87+F88+F115</f>
        <v>0</v>
      </c>
      <c r="G116">
        <f>G78+G80+G81+G82+G83+G84+G85+G86+G87+G88+G115</f>
        <v>0</v>
      </c>
      <c r="H116">
        <f>H78+H81+H82+H83+H84+H85+H86+H87+H88+H115</f>
        <v>0</v>
      </c>
      <c r="I116">
        <f>I78+I80+I82+I83+I84+I85+I86+I87+I88+I115</f>
        <v>0</v>
      </c>
      <c r="J116">
        <f>J78+J80+J81+J83+J84+J85+J86+J87+J88+J115</f>
        <v>0</v>
      </c>
      <c r="K116">
        <f>K78+K80+K81+K82+K84+K85+K86+K87+K88+K115</f>
        <v>0</v>
      </c>
      <c r="L116">
        <f>L78+L80+L81+L82+L83+L85+L86+L87+L88+L115</f>
        <v>0</v>
      </c>
      <c r="M116">
        <f>M78+M80+M81+M82+M83+M84+M86+M87+M88+M115</f>
        <v>0</v>
      </c>
      <c r="N116">
        <f>N78+N80+N81+N82+N83+N84+N85+N87+N88+N115</f>
        <v>0</v>
      </c>
      <c r="O116">
        <f>O78+O80+O81+O82+O83+O84+O85+O86+O88+O115</f>
        <v>0</v>
      </c>
      <c r="P116">
        <f>P77+P115</f>
        <v>0.32999999999999996</v>
      </c>
      <c r="Q116">
        <f>Q77+Q90+Q91+Q92+Q93+Q94+Q95+Q96+Q97+Q98+Q99+Q100+Q101+Q102+Q103+Q104+Q105+Q106+Q107+Q108+Q109+Q110+Q111+Q112+Q113+Q114+Q115</f>
        <v>0</v>
      </c>
      <c r="R116">
        <f>R77+R89+R91+R92+R93+R94+R95+R96+R97+R98+R99+R100+R101+R102+R103+R104+R105+R106+R107+R108+R109+R110+R111+R112+R113+R114+R115</f>
        <v>0</v>
      </c>
      <c r="S116">
        <f>S77+S89+S90+S92+S93+S94+S95+S96+S97+S98+S99+S100+S101+S102+S103+S104+S105+S106+S107+S108+S109+S110+S111+S112+S113+S114+S115</f>
        <v>0</v>
      </c>
      <c r="T116">
        <f>T77+T89+T90+T91+T93+T94+T95+T96+T97+T98+T99+T100+T101+T102+T103+T104+T105+T106+T107+T108+T109+T110+T111+T112+T113+T114+T115</f>
        <v>0</v>
      </c>
      <c r="U116">
        <f>U77+U89+U90+U91+U92+U94+U95+U96+U97+U98+U99+U100+U101+U102+U103+U104+U105+U106+U107+U108+U109+U110+U111+U112+U113+U114+U115</f>
        <v>0</v>
      </c>
      <c r="V116">
        <f>V77+V89+V90+V91+V92+V93+V95+V96+V97+V98+V99+V100+V101+V102+V103+V104+V105+V106+V107+V108+V109+V110+V111+V112+V113+V114+V115</f>
        <v>0</v>
      </c>
      <c r="W116">
        <f>W77+W89+W90+W91+W92+W93+W94+W96+W97+W98+W99+W100+W101+W102+W103+W104+W105+W106+W107+W108+W109+W110+W111+W112+W113+W114+W115</f>
        <v>0</v>
      </c>
      <c r="X116">
        <f>X77+X89+X90+X91+X92+X93+X94+X95+X97+X98+X99+X100+X101+X102+X103+X104+X105+X106+X107+X108+X109+X110+X111+X112+X113+X114+X115</f>
        <v>0</v>
      </c>
      <c r="Y116">
        <f>Y77+Y89+Y90+Y91+Y92+Y93+Y94+Y95+Y96+Y98+Y99+Y100+Y101+Y102+Y103+Y104+Y105+Y106+Y107+Y108+Y109+Y110+Y111+Y112+Y113+Y114+Y115</f>
        <v>0.04</v>
      </c>
      <c r="Z116">
        <f>Z77+Z89+Z90+Z91+Z92+Z93+Z94+Z95+Z96+Z97+Z99+Z100+Z101+Z102+Z103+Z104+Z105+Z106+Z107+Z108+Z109+Z110+Z111+Z112+Z113+Z114+Z115</f>
        <v>0</v>
      </c>
      <c r="AA116">
        <f>AA77+AA89+AA90+AA91+AA92+AA93+AA94+AA95+AA96+AA97+AA98+AA100+AA101+AA102+AA103+AA104+AA105+AA106+AA107+AA108+AA109+AA110+AA111+AA112+AA113+AA114+AA115</f>
        <v>0</v>
      </c>
      <c r="AB116">
        <f>AB77+AB89+AB90+AB91+AB92+AB93+AB94+AB95+AB96+AB97+AB98+AB99+AB101+AB102+AB103+AB104+AB105+AB106+AB107+AB108+AB109+AB110+AB111+AB112+AB113+AB114+AB115</f>
        <v>0</v>
      </c>
      <c r="AC116">
        <f>AC77+AC89+AC90+AC91+AC92+AC93+AC94+AC95+AC96+AC97+AC98+AC99+AC100+AC102+AC103+AC104+AC105+AC106+AC107+AC108+AC109+AC110+AC111+AC112+AC113+AC114+AC115</f>
        <v>0</v>
      </c>
      <c r="AD116">
        <f>AD77+AD89+AD90+AD91+AD92+AD93+AD94+AD95+AD96+AD97+AD98+AD99+AD100+AD101+AD103+AD104+AD105+AD106+AD107+AD108+AD109+AD110+AD111+AD112+AD113+AD114+AD115</f>
        <v>0.33999999999999997</v>
      </c>
      <c r="AE116">
        <f>AE77+AE89+AE90+AE91+AE92+AE93+AE94+AE95+AE96+AE97+AE98+AE99+AE100+AE101+AE102+AE104+AE105+AE106+AE107+AE108+AE109+AE110+AE111+AE112+AE113+AE114+AE115</f>
        <v>0</v>
      </c>
      <c r="AF116">
        <f>AF77+AF89+AF90+AF91+AF92+AF93+AF94+AF95+AF96+AF97+AF98+AF99+AF100+AF101+AF102+AF103+AF105+AF106+AF107+AF108+AF109+AF110+AF111+AF112+AF113+AF114+AF115</f>
        <v>0</v>
      </c>
      <c r="AG116">
        <f>AG77+AG89+AG90+AG91+AG92+AG93+AG94+AG95+AG96+AG97+AG98+AG99+AG100+AG101+AG102+AG103+AG104+AG106+AG107+AG108+AG109+AG110+AG111+AG112+AG113+AG114+AG115</f>
        <v>0</v>
      </c>
      <c r="AH116">
        <f>AH77+AH89+AH90+AH91+AH92+AH93+AH94+AH95+AH96+AH97+AH98+AH99+AH100+AH101+AH102+AH103+AH104+AH105+AH107+AH108+AH109+AH110+AH111+AH112+AH113+AH114+AH115</f>
        <v>0</v>
      </c>
      <c r="AI116">
        <f>AI77+AI89+AI90+AI91+AI92+AI93+AI94+AI95+AI96+AI97+AI98+AI99+AI100+AI101+AI102+AI103+AI104+AI105+AI106+AI108+AI109+AI110+AI111+AI112+AI113+AI114+AI115</f>
        <v>0</v>
      </c>
      <c r="AJ116">
        <f>AJ77+AJ89+AJ90+AJ91+AJ92+AJ93+AJ94+AJ95+AJ96+AJ97+AJ98+AJ99+AJ100+AJ101+AJ102+AJ103+AJ104+AJ105+AJ106+AJ107+AJ109+AJ110+AJ111+AJ112+AJ113+AJ114+AJ115</f>
        <v>0</v>
      </c>
      <c r="AK116">
        <f>AK77+AK89+AK90+AK91+AK92+AK93+AK94+AK95+AK96+AK97+AK98+AK99+AK100+AK101+AK102+AK103+AK104+AK105+AK106+AK107+AK108+AK110+AK111+AK112+AK113+AK114+AK115</f>
        <v>0</v>
      </c>
      <c r="AL116">
        <f>AL77+AL89+AL90+AL91+AL92+AL93+AL94+AL95+AL96+AL97+AL98+AL99+AL100+AL101+AL102+AL103+AL104+AL105+AL106+AL107+AL108+AL109+AL111+AL112+AL113+AL114+AL115</f>
        <v>0</v>
      </c>
      <c r="AM116">
        <f>AM77+AM89+AM90+AM91+AM92+AM93+AM94+AM95+AM96+AM97+AM98+AM99+AM100+AM101+AM102+AM103+AM104+AM105+AM106+AM107+AM108+AM109+AM110+AM112+AM113+AM114+AM115</f>
        <v>0</v>
      </c>
      <c r="AN116">
        <f>AN77+AN89+AN90+AN91+AN92+AN93+AN94+AN95+AN96+AN97+AN98+AN99+AN100+AN101+AN102+AN103+AN104+AN105+AN106+AN107+AN108+AN109+AN110+AN111+AN113+AN114+AN115</f>
        <v>0</v>
      </c>
      <c r="AO116">
        <f>AO77+AO89+AO90+AO91+AO92+AO93+AO94+AO95+AO96+AO97+AO98+AO99+AO100+AO101+AO102+AO103+AO104+AO105+AO106+AO107+AO108+AO109+AO110+AO111+AO112+AO114+AO115</f>
        <v>0</v>
      </c>
      <c r="AP116">
        <f>AP77+AP89+AP90+AP91+AP92+AP93+AP94+AP95+AP96+AP97+AP98+AP99+AP100+AP101+AP102+AP103+AP104+AP105+AP106+AP107+AP108+AP109+AP110+AP111+AP112+AP113+AP115</f>
        <v>0</v>
      </c>
      <c r="AQ116">
        <f>AQ77+AQ88</f>
        <v>0</v>
      </c>
    </row>
    <row r="117" spans="1:45" ht="25.5" customHeight="1">
      <c r="B117" t="s">
        <v>325</v>
      </c>
      <c r="D117">
        <f>AS76</f>
        <v>102.37</v>
      </c>
      <c r="E117">
        <f>AS77</f>
        <v>0</v>
      </c>
      <c r="F117">
        <f>AS78</f>
        <v>0</v>
      </c>
      <c r="G117">
        <f>AS79</f>
        <v>0</v>
      </c>
      <c r="H117">
        <f>AS80</f>
        <v>0</v>
      </c>
      <c r="I117">
        <f>AS81</f>
        <v>0</v>
      </c>
      <c r="J117">
        <f>AS82</f>
        <v>0</v>
      </c>
      <c r="K117">
        <f>AS83</f>
        <v>0</v>
      </c>
      <c r="L117">
        <f>AS84</f>
        <v>0</v>
      </c>
      <c r="M117">
        <f>AS85</f>
        <v>0</v>
      </c>
      <c r="N117">
        <f>AS86</f>
        <v>0</v>
      </c>
      <c r="O117">
        <f>AS87</f>
        <v>0</v>
      </c>
      <c r="P117">
        <f>AS88</f>
        <v>102.05000000000001</v>
      </c>
      <c r="Q117">
        <f>AS89</f>
        <v>19.940000000000001</v>
      </c>
      <c r="R117">
        <f>AS90</f>
        <v>0.46</v>
      </c>
      <c r="S117">
        <f>AS91</f>
        <v>0</v>
      </c>
      <c r="T117">
        <f>AS92</f>
        <v>0</v>
      </c>
      <c r="U117">
        <f>AS93</f>
        <v>0</v>
      </c>
      <c r="V117">
        <f>AS94</f>
        <v>16.920000000000002</v>
      </c>
      <c r="W117">
        <f>AS95</f>
        <v>0</v>
      </c>
      <c r="X117">
        <f>AS96</f>
        <v>0</v>
      </c>
      <c r="Y117">
        <f>AS97</f>
        <v>39.74</v>
      </c>
      <c r="Z117">
        <f>AS98</f>
        <v>0</v>
      </c>
      <c r="AA117">
        <f>AS99</f>
        <v>0</v>
      </c>
      <c r="AB117">
        <f>AS100</f>
        <v>0</v>
      </c>
      <c r="AC117">
        <f>AS101</f>
        <v>0</v>
      </c>
      <c r="AD117">
        <f>AS102</f>
        <v>10.904999999999999</v>
      </c>
      <c r="AE117">
        <f>AS103</f>
        <v>4.8849999999999998</v>
      </c>
      <c r="AF117">
        <f>AS104</f>
        <v>0</v>
      </c>
      <c r="AG117">
        <f>AS105</f>
        <v>0</v>
      </c>
      <c r="AH117">
        <f>AS106</f>
        <v>0</v>
      </c>
      <c r="AI117">
        <f>AS107</f>
        <v>0</v>
      </c>
      <c r="AJ117">
        <f>AS108</f>
        <v>0</v>
      </c>
      <c r="AK117">
        <f>AS109</f>
        <v>0.45</v>
      </c>
      <c r="AL117">
        <f>AS110</f>
        <v>0.53</v>
      </c>
      <c r="AM117">
        <f>AS111</f>
        <v>0</v>
      </c>
      <c r="AN117">
        <f>AS112</f>
        <v>8.2200000000000006</v>
      </c>
      <c r="AO117">
        <f>AS113</f>
        <v>0</v>
      </c>
      <c r="AP117">
        <f>AS114</f>
        <v>0</v>
      </c>
      <c r="AQ117">
        <f>AS115</f>
        <v>0.32000000000000006</v>
      </c>
    </row>
  </sheetData>
  <mergeCells count="21">
    <mergeCell ref="C74:C75"/>
    <mergeCell ref="BN4:BN5"/>
    <mergeCell ref="BL4:BL5"/>
    <mergeCell ref="A74:A75"/>
    <mergeCell ref="AR73:AS73"/>
    <mergeCell ref="AS74:AS75"/>
    <mergeCell ref="B74:B75"/>
    <mergeCell ref="BM4:BM5"/>
    <mergeCell ref="E4:BK4"/>
    <mergeCell ref="E74:AQ74"/>
    <mergeCell ref="D74:D75"/>
    <mergeCell ref="A71:AS71"/>
    <mergeCell ref="D4:D5"/>
    <mergeCell ref="AR74:AR75"/>
    <mergeCell ref="A70:B70"/>
    <mergeCell ref="A72:AS72"/>
    <mergeCell ref="A1:B1"/>
    <mergeCell ref="A2:BN2"/>
    <mergeCell ref="A4:A5"/>
    <mergeCell ref="B4:B5"/>
    <mergeCell ref="C4:C5"/>
  </mergeCells>
  <phoneticPr fontId="4" type="noConversion"/>
  <pageMargins left="0.75" right="0.75" top="1" bottom="1" header="0.5" footer="0.5"/>
  <pageSetup paperSize="9" scale="45" orientation="portrait" r:id="rId1"/>
  <headerFooter alignWithMargins="0"/>
  <legacyDrawing r:id="rId2"/>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tabColor indexed="22"/>
  </sheetPr>
  <dimension ref="A1:BP117"/>
  <sheetViews>
    <sheetView showZeros="0" topLeftCell="B4" zoomScale="75" workbookViewId="0">
      <pane xSplit="3" ySplit="4" topLeftCell="BB8" activePane="bottomRight" state="frozen"/>
      <selection activeCell="B4" sqref="B4"/>
      <selection pane="topRight" activeCell="E4" sqref="E4"/>
      <selection pane="bottomLeft" activeCell="B8" sqref="B8"/>
      <selection pane="bottomRight" activeCell="S43" sqref="S43"/>
    </sheetView>
  </sheetViews>
  <sheetFormatPr defaultRowHeight="24.95" customHeight="1"/>
  <cols>
    <col min="1" max="1" width="10" customWidth="1"/>
    <col min="2" max="2" width="47.140625" customWidth="1"/>
    <col min="3" max="3" width="8.28515625" customWidth="1"/>
    <col min="4" max="4" width="13.5703125" customWidth="1"/>
    <col min="5" max="6" width="11.85546875" customWidth="1"/>
    <col min="7" max="7" width="11.28515625" customWidth="1"/>
    <col min="8" max="8" width="10.85546875" customWidth="1"/>
    <col min="9" max="9" width="11.140625" customWidth="1"/>
    <col min="10" max="10" width="10.85546875" customWidth="1"/>
    <col min="11" max="11" width="10" hidden="1" customWidth="1"/>
    <col min="12" max="12" width="11.140625" hidden="1" customWidth="1"/>
    <col min="13" max="13" width="11.85546875" customWidth="1"/>
    <col min="14" max="15" width="11.28515625" customWidth="1"/>
    <col min="16" max="16" width="12.85546875" customWidth="1"/>
    <col min="17" max="17" width="12.28515625" customWidth="1"/>
    <col min="18" max="18" width="10.85546875" customWidth="1"/>
    <col min="20" max="20" width="10.140625" customWidth="1"/>
    <col min="21" max="21" width="9.85546875" customWidth="1"/>
    <col min="22" max="22" width="11.5703125" customWidth="1"/>
    <col min="23" max="23" width="11.140625" customWidth="1"/>
    <col min="24" max="24" width="10.7109375" customWidth="1"/>
    <col min="25" max="25" width="10.42578125" customWidth="1"/>
    <col min="26" max="26" width="11.140625" customWidth="1"/>
    <col min="27" max="27" width="9.85546875" customWidth="1"/>
    <col min="28" max="39" width="10.42578125" customWidth="1"/>
    <col min="40" max="40" width="11" customWidth="1"/>
    <col min="41" max="43" width="9.42578125" customWidth="1"/>
    <col min="44" max="44" width="10.85546875" customWidth="1"/>
    <col min="45" max="45" width="9.28515625" customWidth="1"/>
    <col min="46" max="47" width="9.42578125" customWidth="1"/>
    <col min="48" max="48" width="11.5703125" customWidth="1"/>
    <col min="49" max="59" width="9" customWidth="1"/>
    <col min="60" max="60" width="10.140625" customWidth="1"/>
    <col min="61" max="62" width="9.85546875" customWidth="1"/>
    <col min="64" max="64" width="10.5703125" customWidth="1"/>
    <col min="65" max="65" width="12.140625" customWidth="1"/>
    <col min="66" max="66" width="13" customWidth="1"/>
  </cols>
  <sheetData>
    <row r="1" spans="1:68" ht="24.95" customHeight="1">
      <c r="A1" s="1300" t="s">
        <v>301</v>
      </c>
      <c r="B1" s="1300"/>
    </row>
    <row r="2" spans="1:68" ht="36.75" customHeight="1">
      <c r="A2" s="1282" t="s">
        <v>970</v>
      </c>
      <c r="B2" s="1282"/>
      <c r="C2" s="1282"/>
      <c r="D2" s="1282"/>
      <c r="E2" s="1282"/>
      <c r="F2" s="1282"/>
      <c r="G2" s="1282"/>
      <c r="H2" s="1282"/>
      <c r="I2" s="1282"/>
      <c r="J2" s="1282"/>
      <c r="K2" s="1282"/>
      <c r="L2" s="1282"/>
      <c r="M2" s="1282"/>
      <c r="N2" s="1282"/>
      <c r="O2" s="1282"/>
      <c r="P2" s="1282"/>
      <c r="Q2" s="1282"/>
      <c r="R2" s="1282"/>
      <c r="S2" s="1282"/>
      <c r="T2" s="1282"/>
      <c r="U2" s="1282"/>
      <c r="V2" s="1282"/>
      <c r="W2" s="1282"/>
      <c r="X2" s="1282"/>
      <c r="Y2" s="1282"/>
      <c r="Z2" s="1282"/>
      <c r="AA2" s="1282"/>
      <c r="AB2" s="1282"/>
      <c r="AC2" s="1282"/>
      <c r="AD2" s="1282"/>
      <c r="AE2" s="1282"/>
      <c r="AF2" s="1282"/>
      <c r="AG2" s="1282"/>
      <c r="AH2" s="1282"/>
      <c r="AI2" s="1282"/>
      <c r="AJ2" s="1282"/>
      <c r="AK2" s="1282"/>
      <c r="AL2" s="1282"/>
      <c r="AM2" s="1282"/>
      <c r="AN2" s="1282"/>
      <c r="AO2" s="1282"/>
      <c r="AP2" s="1282"/>
      <c r="AQ2" s="1282"/>
      <c r="AR2" s="1282"/>
      <c r="AS2" s="1282"/>
      <c r="AT2" s="1282"/>
      <c r="AU2" s="1282"/>
      <c r="AV2" s="1282"/>
      <c r="AW2" s="1282"/>
      <c r="AX2" s="1282"/>
      <c r="AY2" s="1282"/>
      <c r="AZ2" s="1282"/>
      <c r="BA2" s="1282"/>
      <c r="BB2" s="1282"/>
      <c r="BC2" s="1282"/>
      <c r="BD2" s="1282"/>
      <c r="BE2" s="1282"/>
      <c r="BF2" s="1282"/>
      <c r="BG2" s="1282"/>
      <c r="BH2" s="1282"/>
      <c r="BI2" s="1282"/>
      <c r="BJ2" s="1282"/>
      <c r="BK2" s="1282"/>
      <c r="BL2" s="1282"/>
      <c r="BM2" s="1282"/>
      <c r="BN2" s="1282"/>
    </row>
    <row r="4" spans="1:68" ht="33" customHeight="1">
      <c r="A4" s="1275" t="s">
        <v>136</v>
      </c>
      <c r="B4" s="1275" t="s">
        <v>469</v>
      </c>
      <c r="C4" s="1275" t="s">
        <v>13</v>
      </c>
      <c r="D4" s="1275" t="s">
        <v>693</v>
      </c>
      <c r="E4" s="1368" t="s">
        <v>694</v>
      </c>
      <c r="F4" s="1368"/>
      <c r="G4" s="1368"/>
      <c r="H4" s="1368"/>
      <c r="I4" s="1368"/>
      <c r="J4" s="1368"/>
      <c r="K4" s="1368"/>
      <c r="L4" s="1368"/>
      <c r="M4" s="1368"/>
      <c r="N4" s="1368"/>
      <c r="O4" s="1368"/>
      <c r="P4" s="1368"/>
      <c r="Q4" s="1368"/>
      <c r="R4" s="1368"/>
      <c r="S4" s="1368"/>
      <c r="T4" s="1368"/>
      <c r="U4" s="1368"/>
      <c r="V4" s="1368"/>
      <c r="W4" s="1368"/>
      <c r="X4" s="1368"/>
      <c r="Y4" s="1368"/>
      <c r="Z4" s="1368"/>
      <c r="AA4" s="1368"/>
      <c r="AB4" s="1368"/>
      <c r="AC4" s="1368"/>
      <c r="AD4" s="1368"/>
      <c r="AE4" s="1368"/>
      <c r="AF4" s="1368"/>
      <c r="AG4" s="1368"/>
      <c r="AH4" s="1368"/>
      <c r="AI4" s="1368"/>
      <c r="AJ4" s="1368"/>
      <c r="AK4" s="1368"/>
      <c r="AL4" s="1368"/>
      <c r="AM4" s="1368"/>
      <c r="AN4" s="1368"/>
      <c r="AO4" s="1368"/>
      <c r="AP4" s="1368"/>
      <c r="AQ4" s="1368"/>
      <c r="AR4" s="1368"/>
      <c r="AS4" s="1368"/>
      <c r="AT4" s="1368"/>
      <c r="AU4" s="1368"/>
      <c r="AV4" s="1368"/>
      <c r="AW4" s="1368"/>
      <c r="AX4" s="1368"/>
      <c r="AY4" s="1368"/>
      <c r="AZ4" s="1368"/>
      <c r="BA4" s="1368"/>
      <c r="BB4" s="1368"/>
      <c r="BC4" s="1368"/>
      <c r="BD4" s="1368"/>
      <c r="BE4" s="1368"/>
      <c r="BF4" s="1368"/>
      <c r="BG4" s="1368"/>
      <c r="BH4" s="1368"/>
      <c r="BI4" s="1368"/>
      <c r="BJ4" s="1368"/>
      <c r="BK4" s="1368"/>
      <c r="BL4" s="1365" t="s">
        <v>191</v>
      </c>
      <c r="BM4" s="1365" t="s">
        <v>493</v>
      </c>
      <c r="BN4" s="1365" t="s">
        <v>695</v>
      </c>
    </row>
    <row r="5" spans="1:68" ht="35.25" customHeight="1">
      <c r="A5" s="1275"/>
      <c r="B5" s="1275"/>
      <c r="C5" s="1275"/>
      <c r="D5" s="1275"/>
      <c r="E5" s="128" t="s">
        <v>15</v>
      </c>
      <c r="F5" s="128" t="s">
        <v>193</v>
      </c>
      <c r="G5" s="128" t="s">
        <v>194</v>
      </c>
      <c r="H5" s="128" t="s">
        <v>18</v>
      </c>
      <c r="I5" s="128" t="s">
        <v>20</v>
      </c>
      <c r="J5" s="128" t="s">
        <v>195</v>
      </c>
      <c r="K5" s="128" t="s">
        <v>196</v>
      </c>
      <c r="L5" s="128" t="s">
        <v>197</v>
      </c>
      <c r="M5" s="128" t="s">
        <v>23</v>
      </c>
      <c r="N5" s="128" t="s">
        <v>26</v>
      </c>
      <c r="O5" s="128" t="s">
        <v>198</v>
      </c>
      <c r="P5" s="128" t="s">
        <v>29</v>
      </c>
      <c r="Q5" s="128" t="s">
        <v>32</v>
      </c>
      <c r="R5" s="128" t="s">
        <v>35</v>
      </c>
      <c r="S5" s="128" t="s">
        <v>38</v>
      </c>
      <c r="T5" s="128" t="s">
        <v>41</v>
      </c>
      <c r="U5" s="128" t="s">
        <v>44</v>
      </c>
      <c r="V5" s="128" t="s">
        <v>46</v>
      </c>
      <c r="W5" s="128" t="s">
        <v>49</v>
      </c>
      <c r="X5" s="128" t="s">
        <v>52</v>
      </c>
      <c r="Y5" s="128" t="s">
        <v>55</v>
      </c>
      <c r="Z5" s="128" t="s">
        <v>58</v>
      </c>
      <c r="AA5" s="128" t="s">
        <v>61</v>
      </c>
      <c r="AB5" s="128" t="s">
        <v>64</v>
      </c>
      <c r="AC5" s="128" t="s">
        <v>67</v>
      </c>
      <c r="AD5" s="128" t="s">
        <v>70</v>
      </c>
      <c r="AE5" s="128" t="s">
        <v>72</v>
      </c>
      <c r="AF5" s="128" t="s">
        <v>202</v>
      </c>
      <c r="AG5" s="128" t="s">
        <v>203</v>
      </c>
      <c r="AH5" s="128" t="s">
        <v>204</v>
      </c>
      <c r="AI5" s="128" t="s">
        <v>205</v>
      </c>
      <c r="AJ5" s="128" t="s">
        <v>206</v>
      </c>
      <c r="AK5" s="128" t="s">
        <v>207</v>
      </c>
      <c r="AL5" s="128" t="s">
        <v>199</v>
      </c>
      <c r="AM5" s="128" t="s">
        <v>200</v>
      </c>
      <c r="AN5" s="128" t="s">
        <v>223</v>
      </c>
      <c r="AO5" s="128" t="s">
        <v>201</v>
      </c>
      <c r="AP5" s="128" t="s">
        <v>208</v>
      </c>
      <c r="AQ5" s="128" t="s">
        <v>75</v>
      </c>
      <c r="AR5" s="128" t="s">
        <v>78</v>
      </c>
      <c r="AS5" s="128" t="s">
        <v>81</v>
      </c>
      <c r="AT5" s="128" t="s">
        <v>84</v>
      </c>
      <c r="AU5" s="128" t="s">
        <v>87</v>
      </c>
      <c r="AV5" s="128" t="s">
        <v>90</v>
      </c>
      <c r="AW5" s="128" t="s">
        <v>93</v>
      </c>
      <c r="AX5" s="128" t="s">
        <v>96</v>
      </c>
      <c r="AY5" s="128" t="s">
        <v>99</v>
      </c>
      <c r="AZ5" s="128" t="s">
        <v>101</v>
      </c>
      <c r="BA5" s="128" t="s">
        <v>104</v>
      </c>
      <c r="BB5" s="128" t="s">
        <v>107</v>
      </c>
      <c r="BC5" s="128" t="s">
        <v>110</v>
      </c>
      <c r="BD5" s="128" t="s">
        <v>113</v>
      </c>
      <c r="BE5" s="128" t="s">
        <v>116</v>
      </c>
      <c r="BF5" s="128" t="s">
        <v>119</v>
      </c>
      <c r="BG5" s="128" t="s">
        <v>122</v>
      </c>
      <c r="BH5" s="128" t="s">
        <v>124</v>
      </c>
      <c r="BI5" s="128" t="s">
        <v>209</v>
      </c>
      <c r="BJ5" s="128" t="s">
        <v>210</v>
      </c>
      <c r="BK5" s="128" t="s">
        <v>211</v>
      </c>
      <c r="BL5" s="1366"/>
      <c r="BM5" s="1366"/>
      <c r="BN5" s="1366"/>
    </row>
    <row r="6" spans="1:68" ht="24.95" customHeight="1">
      <c r="A6" s="130" t="s">
        <v>235</v>
      </c>
      <c r="B6" s="130" t="s">
        <v>236</v>
      </c>
      <c r="C6" s="128" t="s">
        <v>237</v>
      </c>
      <c r="D6" s="128" t="s">
        <v>238</v>
      </c>
      <c r="E6" s="128" t="s">
        <v>239</v>
      </c>
      <c r="F6" s="128" t="s">
        <v>240</v>
      </c>
      <c r="G6" s="128" t="s">
        <v>241</v>
      </c>
      <c r="H6" s="128" t="s">
        <v>242</v>
      </c>
      <c r="I6" s="128" t="s">
        <v>243</v>
      </c>
      <c r="J6" s="128" t="s">
        <v>244</v>
      </c>
      <c r="K6" s="128" t="s">
        <v>245</v>
      </c>
      <c r="L6" s="128" t="s">
        <v>246</v>
      </c>
      <c r="M6" s="128" t="s">
        <v>247</v>
      </c>
      <c r="N6" s="128" t="s">
        <v>248</v>
      </c>
      <c r="O6" s="128" t="s">
        <v>249</v>
      </c>
      <c r="P6" s="128" t="s">
        <v>250</v>
      </c>
      <c r="Q6" s="128" t="s">
        <v>251</v>
      </c>
      <c r="R6" s="128" t="s">
        <v>252</v>
      </c>
      <c r="S6" s="128" t="s">
        <v>253</v>
      </c>
      <c r="T6" s="128" t="s">
        <v>254</v>
      </c>
      <c r="U6" s="128" t="s">
        <v>255</v>
      </c>
      <c r="V6" s="128" t="s">
        <v>256</v>
      </c>
      <c r="W6" s="128" t="s">
        <v>257</v>
      </c>
      <c r="X6" s="128" t="s">
        <v>258</v>
      </c>
      <c r="Y6" s="128" t="s">
        <v>259</v>
      </c>
      <c r="Z6" s="128" t="s">
        <v>260</v>
      </c>
      <c r="AA6" s="128" t="s">
        <v>261</v>
      </c>
      <c r="AB6" s="128" t="s">
        <v>262</v>
      </c>
      <c r="AC6" s="128" t="s">
        <v>263</v>
      </c>
      <c r="AD6" s="128" t="s">
        <v>264</v>
      </c>
      <c r="AE6" s="128" t="s">
        <v>265</v>
      </c>
      <c r="AF6" s="128" t="s">
        <v>266</v>
      </c>
      <c r="AG6" s="128" t="s">
        <v>267</v>
      </c>
      <c r="AH6" s="128" t="s">
        <v>268</v>
      </c>
      <c r="AI6" s="128" t="s">
        <v>269</v>
      </c>
      <c r="AJ6" s="128" t="s">
        <v>270</v>
      </c>
      <c r="AK6" s="128" t="s">
        <v>271</v>
      </c>
      <c r="AL6" s="128" t="s">
        <v>272</v>
      </c>
      <c r="AM6" s="128" t="s">
        <v>273</v>
      </c>
      <c r="AN6" s="128" t="s">
        <v>274</v>
      </c>
      <c r="AO6" s="128" t="s">
        <v>275</v>
      </c>
      <c r="AP6" s="128" t="s">
        <v>276</v>
      </c>
      <c r="AQ6" s="128" t="s">
        <v>277</v>
      </c>
      <c r="AR6" s="128" t="s">
        <v>278</v>
      </c>
      <c r="AS6" s="128" t="s">
        <v>279</v>
      </c>
      <c r="AT6" s="128" t="s">
        <v>280</v>
      </c>
      <c r="AU6" s="128" t="s">
        <v>281</v>
      </c>
      <c r="AV6" s="128" t="s">
        <v>282</v>
      </c>
      <c r="AW6" s="128" t="s">
        <v>283</v>
      </c>
      <c r="AX6" s="128" t="s">
        <v>284</v>
      </c>
      <c r="AY6" s="128" t="s">
        <v>285</v>
      </c>
      <c r="AZ6" s="128" t="s">
        <v>286</v>
      </c>
      <c r="BA6" s="128" t="s">
        <v>287</v>
      </c>
      <c r="BB6" s="128" t="s">
        <v>288</v>
      </c>
      <c r="BC6" s="128" t="s">
        <v>289</v>
      </c>
      <c r="BD6" s="128" t="s">
        <v>290</v>
      </c>
      <c r="BE6" s="128" t="s">
        <v>291</v>
      </c>
      <c r="BF6" s="128" t="s">
        <v>292</v>
      </c>
      <c r="BG6" s="128" t="s">
        <v>293</v>
      </c>
      <c r="BH6" s="128" t="s">
        <v>294</v>
      </c>
      <c r="BI6" s="128" t="s">
        <v>295</v>
      </c>
      <c r="BJ6" s="128" t="s">
        <v>296</v>
      </c>
      <c r="BK6" s="128" t="s">
        <v>297</v>
      </c>
      <c r="BL6" s="128" t="s">
        <v>298</v>
      </c>
      <c r="BM6" s="128" t="s">
        <v>299</v>
      </c>
      <c r="BN6" s="128" t="s">
        <v>300</v>
      </c>
    </row>
    <row r="7" spans="1:68" s="117" customFormat="1" ht="31.5" customHeight="1">
      <c r="A7" s="12"/>
      <c r="B7" s="148" t="s">
        <v>470</v>
      </c>
      <c r="C7" s="3"/>
      <c r="D7" s="174">
        <f>D8+D25+D63</f>
        <v>4033.84</v>
      </c>
      <c r="E7" s="174">
        <f>E8+E25+E63</f>
        <v>2242.7000000000003</v>
      </c>
      <c r="F7" s="174">
        <f t="shared" ref="F7:BN7" si="0">F8+F25+F63</f>
        <v>538.37</v>
      </c>
      <c r="G7" s="174">
        <f t="shared" si="0"/>
        <v>272.01</v>
      </c>
      <c r="H7" s="174">
        <f t="shared" si="0"/>
        <v>258.54000000000002</v>
      </c>
      <c r="I7" s="174">
        <f t="shared" si="0"/>
        <v>258.23</v>
      </c>
      <c r="J7" s="174">
        <f t="shared" si="0"/>
        <v>0.31</v>
      </c>
      <c r="K7" s="174">
        <f t="shared" si="0"/>
        <v>0</v>
      </c>
      <c r="L7" s="174">
        <f t="shared" si="0"/>
        <v>0</v>
      </c>
      <c r="M7" s="174">
        <f t="shared" si="0"/>
        <v>13.469999999999999</v>
      </c>
      <c r="N7" s="174">
        <f t="shared" si="0"/>
        <v>266.36</v>
      </c>
      <c r="O7" s="174">
        <f t="shared" si="0"/>
        <v>1055.8800000000001</v>
      </c>
      <c r="P7" s="174">
        <f t="shared" si="0"/>
        <v>1055.8800000000001</v>
      </c>
      <c r="Q7" s="174">
        <f t="shared" si="0"/>
        <v>0</v>
      </c>
      <c r="R7" s="174">
        <f t="shared" si="0"/>
        <v>0</v>
      </c>
      <c r="S7" s="174">
        <f t="shared" si="0"/>
        <v>648.44999999999993</v>
      </c>
      <c r="T7" s="174">
        <f t="shared" si="0"/>
        <v>0</v>
      </c>
      <c r="U7" s="174">
        <f t="shared" si="0"/>
        <v>0</v>
      </c>
      <c r="V7" s="174">
        <f t="shared" si="0"/>
        <v>1535.45</v>
      </c>
      <c r="W7" s="174">
        <f t="shared" si="0"/>
        <v>33.67</v>
      </c>
      <c r="X7" s="174">
        <f t="shared" si="0"/>
        <v>6.37</v>
      </c>
      <c r="Y7" s="174">
        <f t="shared" si="0"/>
        <v>0</v>
      </c>
      <c r="Z7" s="174">
        <f t="shared" si="0"/>
        <v>0</v>
      </c>
      <c r="AA7" s="174">
        <f t="shared" si="0"/>
        <v>199.79</v>
      </c>
      <c r="AB7" s="174">
        <f t="shared" si="0"/>
        <v>93.72</v>
      </c>
      <c r="AC7" s="174">
        <f t="shared" si="0"/>
        <v>93.740000000000009</v>
      </c>
      <c r="AD7" s="174">
        <f t="shared" si="0"/>
        <v>0</v>
      </c>
      <c r="AE7" s="174">
        <f t="shared" si="0"/>
        <v>280.55999999999995</v>
      </c>
      <c r="AF7" s="174">
        <f t="shared" si="0"/>
        <v>0.89</v>
      </c>
      <c r="AG7" s="174">
        <f t="shared" si="0"/>
        <v>0.25</v>
      </c>
      <c r="AH7" s="174">
        <f t="shared" si="0"/>
        <v>6.17</v>
      </c>
      <c r="AI7" s="174">
        <f t="shared" si="0"/>
        <v>0.92</v>
      </c>
      <c r="AJ7" s="174">
        <f t="shared" si="0"/>
        <v>0</v>
      </c>
      <c r="AK7" s="174">
        <f t="shared" si="0"/>
        <v>0.04</v>
      </c>
      <c r="AL7" s="174">
        <f t="shared" si="0"/>
        <v>215.42999999999995</v>
      </c>
      <c r="AM7" s="174">
        <f t="shared" si="0"/>
        <v>56.689999999999991</v>
      </c>
      <c r="AN7" s="174">
        <f t="shared" si="0"/>
        <v>0.06</v>
      </c>
      <c r="AO7" s="174">
        <f t="shared" si="0"/>
        <v>0.02</v>
      </c>
      <c r="AP7" s="174">
        <f t="shared" si="0"/>
        <v>0.09</v>
      </c>
      <c r="AQ7" s="174">
        <f t="shared" si="0"/>
        <v>0</v>
      </c>
      <c r="AR7" s="174">
        <f t="shared" si="0"/>
        <v>0</v>
      </c>
      <c r="AS7" s="174">
        <f t="shared" si="0"/>
        <v>1.9899999999999998</v>
      </c>
      <c r="AT7" s="174">
        <f t="shared" si="0"/>
        <v>0</v>
      </c>
      <c r="AU7" s="174">
        <f t="shared" si="0"/>
        <v>86.1</v>
      </c>
      <c r="AV7" s="174">
        <f t="shared" si="0"/>
        <v>31.69</v>
      </c>
      <c r="AW7" s="174">
        <f t="shared" si="0"/>
        <v>0</v>
      </c>
      <c r="AX7" s="174">
        <f t="shared" si="0"/>
        <v>0</v>
      </c>
      <c r="AY7" s="174">
        <f t="shared" si="0"/>
        <v>0</v>
      </c>
      <c r="AZ7" s="174">
        <f t="shared" si="0"/>
        <v>8.44</v>
      </c>
      <c r="BA7" s="174">
        <f t="shared" si="0"/>
        <v>0</v>
      </c>
      <c r="BB7" s="174">
        <f t="shared" si="0"/>
        <v>1.7599999999999998</v>
      </c>
      <c r="BC7" s="174">
        <f t="shared" si="0"/>
        <v>9.02</v>
      </c>
      <c r="BD7" s="174">
        <f t="shared" si="0"/>
        <v>0.45000000000000007</v>
      </c>
      <c r="BE7" s="174">
        <f t="shared" si="0"/>
        <v>688.15</v>
      </c>
      <c r="BF7" s="174">
        <f t="shared" si="0"/>
        <v>0</v>
      </c>
      <c r="BG7" s="174">
        <f t="shared" si="0"/>
        <v>0</v>
      </c>
      <c r="BH7" s="174">
        <f t="shared" si="0"/>
        <v>255.69</v>
      </c>
      <c r="BI7" s="174">
        <f t="shared" si="0"/>
        <v>251.64</v>
      </c>
      <c r="BJ7" s="174">
        <f t="shared" si="0"/>
        <v>4.05</v>
      </c>
      <c r="BK7" s="174">
        <f t="shared" si="0"/>
        <v>0</v>
      </c>
      <c r="BL7" s="174"/>
      <c r="BM7" s="174">
        <f t="shared" si="0"/>
        <v>-1.0658141036401503E-13</v>
      </c>
      <c r="BN7" s="174">
        <f t="shared" si="0"/>
        <v>4033.8399999999997</v>
      </c>
    </row>
    <row r="8" spans="1:68" s="115" customFormat="1" ht="20.25" customHeight="1">
      <c r="A8" s="15">
        <v>1</v>
      </c>
      <c r="B8" s="142" t="s">
        <v>14</v>
      </c>
      <c r="C8" s="6" t="s">
        <v>15</v>
      </c>
      <c r="D8" s="175">
        <f>D9+D18+D22+D23+D24</f>
        <v>2612.15</v>
      </c>
      <c r="E8" s="175">
        <f>D8-BL8</f>
        <v>2241.6400000000003</v>
      </c>
      <c r="F8" s="175">
        <f>G8+N8</f>
        <v>538.37</v>
      </c>
      <c r="G8" s="175">
        <f>H8+L8+M8</f>
        <v>272.01</v>
      </c>
      <c r="H8" s="175">
        <f>I8+J8+K8</f>
        <v>258.54000000000002</v>
      </c>
      <c r="I8" s="175">
        <f>I9+I18+I22+I23+I24</f>
        <v>258.23</v>
      </c>
      <c r="J8" s="175">
        <f t="shared" ref="J8:BG8" si="1">J9+J18+J22+J23+J24</f>
        <v>0.31</v>
      </c>
      <c r="K8" s="175">
        <f t="shared" si="1"/>
        <v>0</v>
      </c>
      <c r="L8" s="175">
        <f t="shared" si="1"/>
        <v>0</v>
      </c>
      <c r="M8" s="175">
        <f t="shared" si="1"/>
        <v>13.469999999999999</v>
      </c>
      <c r="N8" s="175">
        <f t="shared" si="1"/>
        <v>266.36</v>
      </c>
      <c r="O8" s="175">
        <f>P8+Q8+R8</f>
        <v>1055.8800000000001</v>
      </c>
      <c r="P8" s="175">
        <f t="shared" si="1"/>
        <v>1055.8800000000001</v>
      </c>
      <c r="Q8" s="175">
        <f t="shared" si="1"/>
        <v>0</v>
      </c>
      <c r="R8" s="175">
        <f t="shared" si="1"/>
        <v>0</v>
      </c>
      <c r="S8" s="175">
        <f t="shared" si="1"/>
        <v>647.39</v>
      </c>
      <c r="T8" s="175">
        <f t="shared" si="1"/>
        <v>0</v>
      </c>
      <c r="U8" s="175">
        <f t="shared" si="1"/>
        <v>0</v>
      </c>
      <c r="V8" s="175">
        <f t="shared" si="1"/>
        <v>370.51</v>
      </c>
      <c r="W8" s="175">
        <f t="shared" si="1"/>
        <v>0.5</v>
      </c>
      <c r="X8" s="175">
        <f t="shared" si="1"/>
        <v>0</v>
      </c>
      <c r="Y8" s="175">
        <f t="shared" si="1"/>
        <v>0</v>
      </c>
      <c r="Z8" s="175">
        <f t="shared" si="1"/>
        <v>0</v>
      </c>
      <c r="AA8" s="175">
        <f t="shared" si="1"/>
        <v>172.52</v>
      </c>
      <c r="AB8" s="175">
        <f t="shared" si="1"/>
        <v>19.190000000000001</v>
      </c>
      <c r="AC8" s="175">
        <f t="shared" si="1"/>
        <v>79.900000000000006</v>
      </c>
      <c r="AD8" s="175">
        <f t="shared" si="1"/>
        <v>0</v>
      </c>
      <c r="AE8" s="175">
        <f t="shared" si="1"/>
        <v>68.44</v>
      </c>
      <c r="AF8" s="175">
        <f t="shared" si="1"/>
        <v>0.78</v>
      </c>
      <c r="AG8" s="175">
        <f t="shared" si="1"/>
        <v>0</v>
      </c>
      <c r="AH8" s="175">
        <f t="shared" si="1"/>
        <v>0</v>
      </c>
      <c r="AI8" s="175">
        <f t="shared" si="1"/>
        <v>0</v>
      </c>
      <c r="AJ8" s="175">
        <f t="shared" si="1"/>
        <v>0</v>
      </c>
      <c r="AK8" s="175">
        <f t="shared" si="1"/>
        <v>0</v>
      </c>
      <c r="AL8" s="175">
        <f t="shared" si="1"/>
        <v>67.16</v>
      </c>
      <c r="AM8" s="175">
        <f t="shared" si="1"/>
        <v>0.5</v>
      </c>
      <c r="AN8" s="175">
        <f t="shared" si="1"/>
        <v>0</v>
      </c>
      <c r="AO8" s="175">
        <f t="shared" si="1"/>
        <v>0</v>
      </c>
      <c r="AP8" s="175">
        <f t="shared" si="1"/>
        <v>0</v>
      </c>
      <c r="AQ8" s="175">
        <f t="shared" si="1"/>
        <v>0</v>
      </c>
      <c r="AR8" s="175">
        <f t="shared" si="1"/>
        <v>0</v>
      </c>
      <c r="AS8" s="175">
        <f t="shared" si="1"/>
        <v>0</v>
      </c>
      <c r="AT8" s="175">
        <f t="shared" si="1"/>
        <v>0</v>
      </c>
      <c r="AU8" s="175">
        <f t="shared" si="1"/>
        <v>12.26</v>
      </c>
      <c r="AV8" s="175">
        <f t="shared" si="1"/>
        <v>10.34</v>
      </c>
      <c r="AW8" s="175">
        <f t="shared" si="1"/>
        <v>0</v>
      </c>
      <c r="AX8" s="175">
        <f t="shared" si="1"/>
        <v>0</v>
      </c>
      <c r="AY8" s="175">
        <f t="shared" si="1"/>
        <v>0</v>
      </c>
      <c r="AZ8" s="175">
        <f t="shared" si="1"/>
        <v>0</v>
      </c>
      <c r="BA8" s="175">
        <f t="shared" si="1"/>
        <v>0</v>
      </c>
      <c r="BB8" s="175">
        <f t="shared" si="1"/>
        <v>0</v>
      </c>
      <c r="BC8" s="175">
        <f t="shared" si="1"/>
        <v>7.3599999999999994</v>
      </c>
      <c r="BD8" s="175">
        <f t="shared" si="1"/>
        <v>0</v>
      </c>
      <c r="BE8" s="175">
        <f t="shared" si="1"/>
        <v>0</v>
      </c>
      <c r="BF8" s="175">
        <f t="shared" si="1"/>
        <v>0</v>
      </c>
      <c r="BG8" s="175">
        <f t="shared" si="1"/>
        <v>0</v>
      </c>
      <c r="BH8" s="175">
        <f>BH9+BH18+BH22+BH23+BH24</f>
        <v>0</v>
      </c>
      <c r="BI8" s="175">
        <f>BI9+BI18+BI22+BI23+BI24</f>
        <v>0</v>
      </c>
      <c r="BJ8" s="175">
        <f>BJ9+BJ18+BJ22+BJ23+BJ24</f>
        <v>0</v>
      </c>
      <c r="BK8" s="175">
        <f>BK9+BK18+BK22+BK23+BK24</f>
        <v>0</v>
      </c>
      <c r="BL8" s="175">
        <f>V8+BH8</f>
        <v>370.51</v>
      </c>
      <c r="BM8" s="175">
        <f>BM9+BM18+BM22+BM23+BM24</f>
        <v>-369.45000000000005</v>
      </c>
      <c r="BN8" s="175">
        <f>BN9+BN18+BN22+BN23+BN24</f>
        <v>2242.6999999999998</v>
      </c>
    </row>
    <row r="9" spans="1:68" ht="21.75" hidden="1" customHeight="1">
      <c r="A9" s="14" t="s">
        <v>16</v>
      </c>
      <c r="B9" s="143" t="s">
        <v>471</v>
      </c>
      <c r="C9" s="5" t="s">
        <v>193</v>
      </c>
      <c r="D9" s="100">
        <f>D10+D17</f>
        <v>695.54</v>
      </c>
      <c r="E9" s="100">
        <f>F9+O9+S9+T9+U9</f>
        <v>695.54</v>
      </c>
      <c r="F9" s="100">
        <f>D9-BK9</f>
        <v>695.54</v>
      </c>
      <c r="G9" s="100">
        <f>H9+L9+M9</f>
        <v>272.01</v>
      </c>
      <c r="H9" s="100">
        <f>I9+J9+K9</f>
        <v>258.54000000000002</v>
      </c>
      <c r="I9" s="100">
        <f>I10+I17</f>
        <v>258.23</v>
      </c>
      <c r="J9" s="100">
        <f t="shared" ref="J9:BG9" si="2">J10+J17</f>
        <v>0.31</v>
      </c>
      <c r="K9" s="100">
        <f t="shared" si="2"/>
        <v>0</v>
      </c>
      <c r="L9" s="100">
        <f t="shared" si="2"/>
        <v>0</v>
      </c>
      <c r="M9" s="100">
        <f t="shared" si="2"/>
        <v>13.469999999999999</v>
      </c>
      <c r="N9" s="100">
        <f t="shared" si="2"/>
        <v>266.36</v>
      </c>
      <c r="O9" s="100">
        <f t="shared" ref="O9:O17" si="3">P9+Q9+R9</f>
        <v>0</v>
      </c>
      <c r="P9" s="100">
        <f t="shared" si="2"/>
        <v>0</v>
      </c>
      <c r="Q9" s="100">
        <f t="shared" si="2"/>
        <v>0</v>
      </c>
      <c r="R9" s="100">
        <f t="shared" si="2"/>
        <v>0</v>
      </c>
      <c r="S9" s="100">
        <f t="shared" si="2"/>
        <v>0</v>
      </c>
      <c r="T9" s="100">
        <f t="shared" si="2"/>
        <v>0</v>
      </c>
      <c r="U9" s="100">
        <f t="shared" si="2"/>
        <v>0</v>
      </c>
      <c r="V9" s="100">
        <f t="shared" si="2"/>
        <v>157.17000000000002</v>
      </c>
      <c r="W9" s="100">
        <f t="shared" si="2"/>
        <v>0.5</v>
      </c>
      <c r="X9" s="100">
        <f t="shared" si="2"/>
        <v>0</v>
      </c>
      <c r="Y9" s="100">
        <f t="shared" si="2"/>
        <v>0</v>
      </c>
      <c r="Z9" s="100">
        <f t="shared" si="2"/>
        <v>0</v>
      </c>
      <c r="AA9" s="100">
        <f t="shared" si="2"/>
        <v>39.020000000000003</v>
      </c>
      <c r="AB9" s="100">
        <f t="shared" si="2"/>
        <v>18.77</v>
      </c>
      <c r="AC9" s="100">
        <f t="shared" si="2"/>
        <v>20.63</v>
      </c>
      <c r="AD9" s="100">
        <f t="shared" si="2"/>
        <v>0</v>
      </c>
      <c r="AE9" s="100">
        <f t="shared" si="2"/>
        <v>48.58</v>
      </c>
      <c r="AF9" s="100">
        <f t="shared" si="2"/>
        <v>0.78</v>
      </c>
      <c r="AG9" s="100">
        <f t="shared" si="2"/>
        <v>0</v>
      </c>
      <c r="AH9" s="100">
        <f t="shared" si="2"/>
        <v>0</v>
      </c>
      <c r="AI9" s="100">
        <f t="shared" si="2"/>
        <v>0</v>
      </c>
      <c r="AJ9" s="100">
        <f t="shared" si="2"/>
        <v>0</v>
      </c>
      <c r="AK9" s="100">
        <f t="shared" si="2"/>
        <v>0</v>
      </c>
      <c r="AL9" s="100">
        <f t="shared" si="2"/>
        <v>47.3</v>
      </c>
      <c r="AM9" s="100">
        <f t="shared" si="2"/>
        <v>0.5</v>
      </c>
      <c r="AN9" s="100">
        <f t="shared" si="2"/>
        <v>0</v>
      </c>
      <c r="AO9" s="100">
        <f t="shared" si="2"/>
        <v>0</v>
      </c>
      <c r="AP9" s="100">
        <f t="shared" si="2"/>
        <v>0</v>
      </c>
      <c r="AQ9" s="100">
        <f t="shared" si="2"/>
        <v>0</v>
      </c>
      <c r="AR9" s="100">
        <f t="shared" si="2"/>
        <v>0</v>
      </c>
      <c r="AS9" s="100">
        <f t="shared" si="2"/>
        <v>0</v>
      </c>
      <c r="AT9" s="100">
        <f t="shared" si="2"/>
        <v>0</v>
      </c>
      <c r="AU9" s="100">
        <f t="shared" si="2"/>
        <v>12.209999999999999</v>
      </c>
      <c r="AV9" s="100">
        <f t="shared" si="2"/>
        <v>10.1</v>
      </c>
      <c r="AW9" s="100">
        <f t="shared" si="2"/>
        <v>0</v>
      </c>
      <c r="AX9" s="100">
        <f t="shared" si="2"/>
        <v>0</v>
      </c>
      <c r="AY9" s="100">
        <f t="shared" si="2"/>
        <v>0</v>
      </c>
      <c r="AZ9" s="100">
        <f t="shared" si="2"/>
        <v>0</v>
      </c>
      <c r="BA9" s="100">
        <f t="shared" si="2"/>
        <v>0</v>
      </c>
      <c r="BB9" s="100">
        <f t="shared" si="2"/>
        <v>0</v>
      </c>
      <c r="BC9" s="100">
        <f t="shared" si="2"/>
        <v>7.3599999999999994</v>
      </c>
      <c r="BD9" s="100">
        <f t="shared" si="2"/>
        <v>0</v>
      </c>
      <c r="BE9" s="100">
        <f t="shared" si="2"/>
        <v>0</v>
      </c>
      <c r="BF9" s="100">
        <f t="shared" si="2"/>
        <v>0</v>
      </c>
      <c r="BG9" s="100">
        <f t="shared" si="2"/>
        <v>0</v>
      </c>
      <c r="BH9" s="100">
        <f>BH10+BH17</f>
        <v>0</v>
      </c>
      <c r="BI9" s="100">
        <f>BI10+BI17</f>
        <v>0</v>
      </c>
      <c r="BJ9" s="100">
        <f>BJ10+BJ17</f>
        <v>0</v>
      </c>
      <c r="BK9" s="100">
        <f>BK10+BK17</f>
        <v>0</v>
      </c>
      <c r="BL9" s="100">
        <f>O9+S9+T9+U9+V9+BH9</f>
        <v>157.17000000000002</v>
      </c>
      <c r="BM9" s="100">
        <f>BM10+BM17</f>
        <v>-157.17000000000002</v>
      </c>
      <c r="BN9" s="100">
        <f>D9+BM9</f>
        <v>538.36999999999989</v>
      </c>
      <c r="BP9" s="123"/>
    </row>
    <row r="10" spans="1:68" ht="19.5" hidden="1" customHeight="1">
      <c r="A10" s="14" t="s">
        <v>212</v>
      </c>
      <c r="B10" s="143" t="s">
        <v>472</v>
      </c>
      <c r="C10" s="5" t="s">
        <v>194</v>
      </c>
      <c r="D10" s="100">
        <f>D11+D15+D16</f>
        <v>361.98</v>
      </c>
      <c r="E10" s="100">
        <f t="shared" ref="E10:E66" si="4">F10+O10+S10+T10+U10</f>
        <v>272.01</v>
      </c>
      <c r="F10" s="100">
        <f>G10+N10</f>
        <v>272.01</v>
      </c>
      <c r="G10" s="100">
        <f>D10-BL10</f>
        <v>272.01</v>
      </c>
      <c r="H10" s="100">
        <f>I10+J10+K10</f>
        <v>258.54000000000002</v>
      </c>
      <c r="I10" s="100">
        <f>I11+I15+I16</f>
        <v>258.23</v>
      </c>
      <c r="J10" s="100">
        <f t="shared" ref="J10:BG10" si="5">J11+J15+J16</f>
        <v>0.31</v>
      </c>
      <c r="K10" s="100">
        <f t="shared" si="5"/>
        <v>0</v>
      </c>
      <c r="L10" s="100">
        <f t="shared" si="5"/>
        <v>0</v>
      </c>
      <c r="M10" s="100">
        <f t="shared" si="5"/>
        <v>13.469999999999999</v>
      </c>
      <c r="N10" s="100">
        <f t="shared" si="5"/>
        <v>0</v>
      </c>
      <c r="O10" s="100">
        <f t="shared" si="3"/>
        <v>0</v>
      </c>
      <c r="P10" s="100">
        <f t="shared" si="5"/>
        <v>0</v>
      </c>
      <c r="Q10" s="100">
        <f t="shared" si="5"/>
        <v>0</v>
      </c>
      <c r="R10" s="100">
        <f t="shared" si="5"/>
        <v>0</v>
      </c>
      <c r="S10" s="100">
        <f t="shared" si="5"/>
        <v>0</v>
      </c>
      <c r="T10" s="100">
        <f t="shared" si="5"/>
        <v>0</v>
      </c>
      <c r="U10" s="100">
        <f t="shared" si="5"/>
        <v>0</v>
      </c>
      <c r="V10" s="100">
        <f t="shared" si="5"/>
        <v>89.970000000000013</v>
      </c>
      <c r="W10" s="100">
        <f t="shared" si="5"/>
        <v>0.23</v>
      </c>
      <c r="X10" s="100">
        <f t="shared" si="5"/>
        <v>0</v>
      </c>
      <c r="Y10" s="100">
        <f t="shared" si="5"/>
        <v>0</v>
      </c>
      <c r="Z10" s="100">
        <f t="shared" si="5"/>
        <v>0</v>
      </c>
      <c r="AA10" s="100">
        <f t="shared" si="5"/>
        <v>15.92</v>
      </c>
      <c r="AB10" s="100">
        <f t="shared" si="5"/>
        <v>11.829999999999998</v>
      </c>
      <c r="AC10" s="100">
        <f t="shared" si="5"/>
        <v>5.6899999999999995</v>
      </c>
      <c r="AD10" s="100">
        <f t="shared" si="5"/>
        <v>0</v>
      </c>
      <c r="AE10" s="100">
        <f t="shared" si="5"/>
        <v>32.81</v>
      </c>
      <c r="AF10" s="100">
        <f t="shared" si="5"/>
        <v>0.28000000000000003</v>
      </c>
      <c r="AG10" s="100">
        <f t="shared" si="5"/>
        <v>0</v>
      </c>
      <c r="AH10" s="100">
        <f t="shared" si="5"/>
        <v>0</v>
      </c>
      <c r="AI10" s="100">
        <f t="shared" si="5"/>
        <v>0</v>
      </c>
      <c r="AJ10" s="100">
        <f t="shared" si="5"/>
        <v>0</v>
      </c>
      <c r="AK10" s="100">
        <f t="shared" si="5"/>
        <v>0</v>
      </c>
      <c r="AL10" s="100">
        <f t="shared" si="5"/>
        <v>32.47</v>
      </c>
      <c r="AM10" s="100">
        <f t="shared" si="5"/>
        <v>0.06</v>
      </c>
      <c r="AN10" s="100">
        <f t="shared" si="5"/>
        <v>0</v>
      </c>
      <c r="AO10" s="100">
        <f t="shared" si="5"/>
        <v>0</v>
      </c>
      <c r="AP10" s="100">
        <f t="shared" si="5"/>
        <v>0</v>
      </c>
      <c r="AQ10" s="100">
        <f t="shared" si="5"/>
        <v>0</v>
      </c>
      <c r="AR10" s="100">
        <f t="shared" si="5"/>
        <v>0</v>
      </c>
      <c r="AS10" s="100">
        <f t="shared" si="5"/>
        <v>0</v>
      </c>
      <c r="AT10" s="100">
        <f t="shared" si="5"/>
        <v>0</v>
      </c>
      <c r="AU10" s="100">
        <f t="shared" si="5"/>
        <v>11.36</v>
      </c>
      <c r="AV10" s="100">
        <f t="shared" si="5"/>
        <v>6.32</v>
      </c>
      <c r="AW10" s="100">
        <f t="shared" si="5"/>
        <v>0</v>
      </c>
      <c r="AX10" s="100">
        <f t="shared" si="5"/>
        <v>0</v>
      </c>
      <c r="AY10" s="100">
        <f t="shared" si="5"/>
        <v>0</v>
      </c>
      <c r="AZ10" s="100">
        <f t="shared" si="5"/>
        <v>0</v>
      </c>
      <c r="BA10" s="100">
        <f t="shared" si="5"/>
        <v>0</v>
      </c>
      <c r="BB10" s="100">
        <f t="shared" si="5"/>
        <v>0</v>
      </c>
      <c r="BC10" s="100">
        <f t="shared" si="5"/>
        <v>5.81</v>
      </c>
      <c r="BD10" s="100">
        <f t="shared" si="5"/>
        <v>0</v>
      </c>
      <c r="BE10" s="100">
        <f t="shared" si="5"/>
        <v>0</v>
      </c>
      <c r="BF10" s="100">
        <f t="shared" si="5"/>
        <v>0</v>
      </c>
      <c r="BG10" s="100">
        <f t="shared" si="5"/>
        <v>0</v>
      </c>
      <c r="BH10" s="100">
        <f>BH11+BH15+BH16</f>
        <v>0</v>
      </c>
      <c r="BI10" s="100">
        <f>BI11+BI15+BI16</f>
        <v>0</v>
      </c>
      <c r="BJ10" s="100">
        <f>BJ11+BJ15+BJ16</f>
        <v>0</v>
      </c>
      <c r="BK10" s="100">
        <f>BK11+BK15+BK16</f>
        <v>0</v>
      </c>
      <c r="BL10" s="100">
        <f>N10+O10+S10+T10+U10+V10+BH10</f>
        <v>89.970000000000013</v>
      </c>
      <c r="BM10" s="100">
        <f>BM11+BM15+BM16</f>
        <v>-89.970000000000013</v>
      </c>
      <c r="BN10" s="100">
        <f>BN11+BN15+BN16</f>
        <v>272.01</v>
      </c>
      <c r="BP10" s="123"/>
    </row>
    <row r="11" spans="1:68" ht="20.100000000000001" customHeight="1">
      <c r="A11" s="14" t="s">
        <v>213</v>
      </c>
      <c r="B11" s="143" t="s">
        <v>17</v>
      </c>
      <c r="C11" s="5" t="s">
        <v>18</v>
      </c>
      <c r="D11" s="100">
        <f>D12+D13+D14</f>
        <v>347.36</v>
      </c>
      <c r="E11" s="100">
        <f t="shared" si="4"/>
        <v>258.54000000000002</v>
      </c>
      <c r="F11" s="100">
        <f t="shared" ref="F11:F24" si="6">G11+N11</f>
        <v>258.54000000000002</v>
      </c>
      <c r="G11" s="100">
        <f>H11+L11+M11</f>
        <v>258.54000000000002</v>
      </c>
      <c r="H11" s="100">
        <f>D11-BL11</f>
        <v>258.54000000000002</v>
      </c>
      <c r="I11" s="100">
        <f>I12+I13+I14</f>
        <v>258.23</v>
      </c>
      <c r="J11" s="100">
        <f t="shared" ref="J11:BG11" si="7">J12+J13+J14</f>
        <v>0.31</v>
      </c>
      <c r="K11" s="100">
        <f t="shared" si="7"/>
        <v>0</v>
      </c>
      <c r="L11" s="100">
        <f t="shared" si="7"/>
        <v>0</v>
      </c>
      <c r="M11" s="100">
        <f t="shared" si="7"/>
        <v>0</v>
      </c>
      <c r="N11" s="100">
        <f t="shared" si="7"/>
        <v>0</v>
      </c>
      <c r="O11" s="100">
        <f t="shared" si="3"/>
        <v>0</v>
      </c>
      <c r="P11" s="100">
        <f t="shared" si="7"/>
        <v>0</v>
      </c>
      <c r="Q11" s="100">
        <f t="shared" si="7"/>
        <v>0</v>
      </c>
      <c r="R11" s="100">
        <f t="shared" si="7"/>
        <v>0</v>
      </c>
      <c r="S11" s="100">
        <f t="shared" si="7"/>
        <v>0</v>
      </c>
      <c r="T11" s="100">
        <f t="shared" si="7"/>
        <v>0</v>
      </c>
      <c r="U11" s="100">
        <f t="shared" si="7"/>
        <v>0</v>
      </c>
      <c r="V11" s="100">
        <f t="shared" si="7"/>
        <v>88.820000000000007</v>
      </c>
      <c r="W11" s="100">
        <f t="shared" si="7"/>
        <v>0.23</v>
      </c>
      <c r="X11" s="100">
        <f t="shared" si="7"/>
        <v>0</v>
      </c>
      <c r="Y11" s="100">
        <f t="shared" si="7"/>
        <v>0</v>
      </c>
      <c r="Z11" s="100">
        <f t="shared" si="7"/>
        <v>0</v>
      </c>
      <c r="AA11" s="100">
        <f t="shared" si="7"/>
        <v>15.57</v>
      </c>
      <c r="AB11" s="100">
        <f t="shared" si="7"/>
        <v>11.79</v>
      </c>
      <c r="AC11" s="100">
        <f t="shared" si="7"/>
        <v>5.51</v>
      </c>
      <c r="AD11" s="100">
        <f t="shared" si="7"/>
        <v>0</v>
      </c>
      <c r="AE11" s="100">
        <f t="shared" si="7"/>
        <v>32.49</v>
      </c>
      <c r="AF11" s="100">
        <f t="shared" si="7"/>
        <v>0.28000000000000003</v>
      </c>
      <c r="AG11" s="100">
        <f t="shared" si="7"/>
        <v>0</v>
      </c>
      <c r="AH11" s="100">
        <f t="shared" si="7"/>
        <v>0</v>
      </c>
      <c r="AI11" s="100">
        <f t="shared" si="7"/>
        <v>0</v>
      </c>
      <c r="AJ11" s="100">
        <f t="shared" si="7"/>
        <v>0</v>
      </c>
      <c r="AK11" s="100">
        <f t="shared" si="7"/>
        <v>0</v>
      </c>
      <c r="AL11" s="100">
        <f t="shared" si="7"/>
        <v>32.15</v>
      </c>
      <c r="AM11" s="100">
        <f t="shared" si="7"/>
        <v>0.06</v>
      </c>
      <c r="AN11" s="100">
        <f t="shared" si="7"/>
        <v>0</v>
      </c>
      <c r="AO11" s="100">
        <f t="shared" si="7"/>
        <v>0</v>
      </c>
      <c r="AP11" s="100">
        <f t="shared" si="7"/>
        <v>0</v>
      </c>
      <c r="AQ11" s="100">
        <f t="shared" si="7"/>
        <v>0</v>
      </c>
      <c r="AR11" s="100">
        <f t="shared" si="7"/>
        <v>0</v>
      </c>
      <c r="AS11" s="100">
        <f t="shared" si="7"/>
        <v>0</v>
      </c>
      <c r="AT11" s="100">
        <f t="shared" si="7"/>
        <v>0</v>
      </c>
      <c r="AU11" s="100">
        <f t="shared" si="7"/>
        <v>11.19</v>
      </c>
      <c r="AV11" s="100">
        <f t="shared" si="7"/>
        <v>6.28</v>
      </c>
      <c r="AW11" s="100">
        <f t="shared" si="7"/>
        <v>0</v>
      </c>
      <c r="AX11" s="100">
        <f t="shared" si="7"/>
        <v>0</v>
      </c>
      <c r="AY11" s="100">
        <f t="shared" si="7"/>
        <v>0</v>
      </c>
      <c r="AZ11" s="100">
        <f t="shared" si="7"/>
        <v>0</v>
      </c>
      <c r="BA11" s="100">
        <f t="shared" si="7"/>
        <v>0</v>
      </c>
      <c r="BB11" s="100">
        <f t="shared" si="7"/>
        <v>0</v>
      </c>
      <c r="BC11" s="100">
        <f t="shared" si="7"/>
        <v>5.76</v>
      </c>
      <c r="BD11" s="100">
        <f t="shared" si="7"/>
        <v>0</v>
      </c>
      <c r="BE11" s="100">
        <f t="shared" si="7"/>
        <v>0</v>
      </c>
      <c r="BF11" s="100">
        <f t="shared" si="7"/>
        <v>0</v>
      </c>
      <c r="BG11" s="100">
        <f t="shared" si="7"/>
        <v>0</v>
      </c>
      <c r="BH11" s="100">
        <f>BH12+BH13+BH14</f>
        <v>0</v>
      </c>
      <c r="BI11" s="100">
        <f>BI12+BI13+BI14</f>
        <v>0</v>
      </c>
      <c r="BJ11" s="100">
        <f>BJ12+BJ13+BJ14</f>
        <v>0</v>
      </c>
      <c r="BK11" s="100">
        <f>BK12+BK13+BK14</f>
        <v>0</v>
      </c>
      <c r="BL11" s="100">
        <f>L11+M11+N11+S11+T11+U11+V11+BH11</f>
        <v>88.820000000000007</v>
      </c>
      <c r="BM11" s="100">
        <f>H67-BL11</f>
        <v>-88.820000000000007</v>
      </c>
      <c r="BN11" s="100">
        <f>BN12+BN13+BN14</f>
        <v>258.54000000000002</v>
      </c>
      <c r="BP11" s="123"/>
    </row>
    <row r="12" spans="1:68" ht="20.100000000000001" customHeight="1">
      <c r="A12" s="14" t="s">
        <v>214</v>
      </c>
      <c r="B12" s="143" t="s">
        <v>473</v>
      </c>
      <c r="C12" s="5" t="s">
        <v>20</v>
      </c>
      <c r="D12" s="100">
        <f>#REF!</f>
        <v>347.05</v>
      </c>
      <c r="E12" s="100">
        <f t="shared" si="4"/>
        <v>258.23</v>
      </c>
      <c r="F12" s="100">
        <f t="shared" si="6"/>
        <v>258.23</v>
      </c>
      <c r="G12" s="100">
        <f t="shared" ref="G12:G66" si="8">H12+L12+M12</f>
        <v>258.23</v>
      </c>
      <c r="H12" s="100">
        <f>I12+J12+K12</f>
        <v>258.23</v>
      </c>
      <c r="I12" s="100">
        <f>D12-BL12</f>
        <v>258.23</v>
      </c>
      <c r="J12" s="100"/>
      <c r="K12" s="100"/>
      <c r="L12" s="100"/>
      <c r="M12" s="100"/>
      <c r="N12" s="100"/>
      <c r="O12" s="100">
        <f t="shared" si="3"/>
        <v>0</v>
      </c>
      <c r="P12" s="100"/>
      <c r="Q12" s="100"/>
      <c r="R12" s="100"/>
      <c r="S12" s="100"/>
      <c r="T12" s="100"/>
      <c r="U12" s="100"/>
      <c r="V12" s="100">
        <f>W12+X12+Y12+Z12+AA12+AB12+AC12+AD12+AE12+AQ12+AR12+AS12+AT12+AU12+AV12+AW12+AX12+AY12+AZ12+BA12+BB12+BC12+BD12+BE12+BF12+BG12</f>
        <v>88.820000000000007</v>
      </c>
      <c r="W12" s="100">
        <v>0.23</v>
      </c>
      <c r="X12" s="100"/>
      <c r="Y12" s="100"/>
      <c r="Z12" s="100"/>
      <c r="AA12" s="100">
        <v>15.57</v>
      </c>
      <c r="AB12" s="100">
        <v>11.79</v>
      </c>
      <c r="AC12" s="100">
        <v>5.51</v>
      </c>
      <c r="AD12" s="100"/>
      <c r="AE12" s="100">
        <f t="shared" ref="AE12:AE33" si="9">SUM(AF12:AP12)</f>
        <v>32.49</v>
      </c>
      <c r="AF12" s="100">
        <v>0.28000000000000003</v>
      </c>
      <c r="AG12" s="100"/>
      <c r="AH12" s="100"/>
      <c r="AI12" s="100"/>
      <c r="AJ12" s="100"/>
      <c r="AK12" s="100"/>
      <c r="AL12" s="100">
        <v>32.15</v>
      </c>
      <c r="AM12" s="100">
        <v>0.06</v>
      </c>
      <c r="AN12" s="100"/>
      <c r="AO12" s="100"/>
      <c r="AP12" s="100"/>
      <c r="AQ12" s="100"/>
      <c r="AR12" s="100"/>
      <c r="AS12" s="100"/>
      <c r="AT12" s="100"/>
      <c r="AU12" s="100">
        <v>11.19</v>
      </c>
      <c r="AV12" s="100">
        <v>6.28</v>
      </c>
      <c r="AW12" s="100"/>
      <c r="AX12" s="100"/>
      <c r="AY12" s="100"/>
      <c r="AZ12" s="100"/>
      <c r="BA12" s="100"/>
      <c r="BB12" s="100"/>
      <c r="BC12" s="100">
        <v>5.76</v>
      </c>
      <c r="BD12" s="100"/>
      <c r="BE12" s="100"/>
      <c r="BF12" s="100"/>
      <c r="BG12" s="100"/>
      <c r="BH12" s="100">
        <f t="shared" ref="BH12:BH17" si="10">BI12+BJ12+BK12</f>
        <v>0</v>
      </c>
      <c r="BI12" s="100"/>
      <c r="BJ12" s="100"/>
      <c r="BK12" s="100"/>
      <c r="BL12" s="100">
        <f>J12+K12+L12+M12+N12+O12+S12+T12+U12+V12+BH12</f>
        <v>88.820000000000007</v>
      </c>
      <c r="BM12" s="100">
        <f>I67-BL12</f>
        <v>-88.820000000000007</v>
      </c>
      <c r="BN12" s="100">
        <f t="shared" ref="BN12:BN17" si="11">D12+BM12</f>
        <v>258.23</v>
      </c>
      <c r="BP12" s="123"/>
    </row>
    <row r="13" spans="1:68" ht="18.75" customHeight="1">
      <c r="A13" s="14" t="s">
        <v>215</v>
      </c>
      <c r="B13" s="143" t="s">
        <v>474</v>
      </c>
      <c r="C13" s="5" t="s">
        <v>195</v>
      </c>
      <c r="D13" s="100">
        <f>#REF!</f>
        <v>0.31</v>
      </c>
      <c r="E13" s="100">
        <f t="shared" si="4"/>
        <v>0.31</v>
      </c>
      <c r="F13" s="100">
        <f t="shared" si="6"/>
        <v>0.31</v>
      </c>
      <c r="G13" s="100">
        <f t="shared" si="8"/>
        <v>0.31</v>
      </c>
      <c r="H13" s="100">
        <f t="shared" ref="H13:H66" si="12">I13+J13+K13</f>
        <v>0.31</v>
      </c>
      <c r="I13" s="100"/>
      <c r="J13" s="100">
        <f>D13-BL13</f>
        <v>0.31</v>
      </c>
      <c r="K13" s="100"/>
      <c r="L13" s="100"/>
      <c r="M13" s="100"/>
      <c r="N13" s="100"/>
      <c r="O13" s="100">
        <f t="shared" si="3"/>
        <v>0</v>
      </c>
      <c r="P13" s="100"/>
      <c r="Q13" s="100"/>
      <c r="R13" s="100"/>
      <c r="S13" s="100"/>
      <c r="T13" s="100"/>
      <c r="U13" s="100"/>
      <c r="V13" s="100">
        <f t="shared" ref="V13:V66" si="13">W13+X13+Y13+Z13+AA13+AB13+AC13+AD13+AE13+AQ13+AR13+AS13+AT13+AU13+AV13+AW13+AX13+AY13+AZ13+BA13+BB13+BC13+BD13+BE13+BF13+BG13</f>
        <v>0</v>
      </c>
      <c r="W13" s="100"/>
      <c r="X13" s="100"/>
      <c r="Y13" s="100"/>
      <c r="Z13" s="100"/>
      <c r="AA13" s="100"/>
      <c r="AB13" s="100"/>
      <c r="AC13" s="100"/>
      <c r="AD13" s="100"/>
      <c r="AE13" s="100">
        <f t="shared" si="9"/>
        <v>0</v>
      </c>
      <c r="AF13" s="100"/>
      <c r="AG13" s="100"/>
      <c r="AH13" s="100"/>
      <c r="AI13" s="100"/>
      <c r="AJ13" s="100"/>
      <c r="AK13" s="100"/>
      <c r="AL13" s="100"/>
      <c r="AM13" s="100"/>
      <c r="AN13" s="100"/>
      <c r="AO13" s="100"/>
      <c r="AP13" s="100"/>
      <c r="AQ13" s="100"/>
      <c r="AR13" s="100"/>
      <c r="AS13" s="100"/>
      <c r="AT13" s="100"/>
      <c r="AU13" s="100"/>
      <c r="AV13" s="100"/>
      <c r="AW13" s="100"/>
      <c r="AX13" s="100"/>
      <c r="AY13" s="100"/>
      <c r="AZ13" s="100"/>
      <c r="BA13" s="100"/>
      <c r="BB13" s="100"/>
      <c r="BC13" s="100"/>
      <c r="BD13" s="100"/>
      <c r="BE13" s="100"/>
      <c r="BF13" s="100"/>
      <c r="BG13" s="100"/>
      <c r="BH13" s="100">
        <f t="shared" si="10"/>
        <v>0</v>
      </c>
      <c r="BI13" s="100"/>
      <c r="BJ13" s="100"/>
      <c r="BK13" s="100"/>
      <c r="BL13" s="100">
        <f>I13+K13+L13+M13+N13+O13+S13+T13+U13+V13+BH13</f>
        <v>0</v>
      </c>
      <c r="BM13" s="100">
        <f>J67-BL13</f>
        <v>0</v>
      </c>
      <c r="BN13" s="100">
        <f t="shared" si="11"/>
        <v>0.31</v>
      </c>
      <c r="BP13" s="123"/>
    </row>
    <row r="14" spans="1:68" ht="19.5" hidden="1" customHeight="1">
      <c r="A14" s="14" t="s">
        <v>216</v>
      </c>
      <c r="B14" s="143" t="s">
        <v>475</v>
      </c>
      <c r="C14" s="5" t="s">
        <v>196</v>
      </c>
      <c r="D14" s="100"/>
      <c r="E14" s="100">
        <f t="shared" si="4"/>
        <v>0</v>
      </c>
      <c r="F14" s="100">
        <f t="shared" si="6"/>
        <v>0</v>
      </c>
      <c r="G14" s="100">
        <f t="shared" si="8"/>
        <v>0</v>
      </c>
      <c r="H14" s="100">
        <f t="shared" si="12"/>
        <v>0</v>
      </c>
      <c r="I14" s="100"/>
      <c r="J14" s="100"/>
      <c r="K14" s="100">
        <f>D14-BL14</f>
        <v>0</v>
      </c>
      <c r="L14" s="100"/>
      <c r="M14" s="100"/>
      <c r="N14" s="100"/>
      <c r="O14" s="100">
        <f t="shared" si="3"/>
        <v>0</v>
      </c>
      <c r="P14" s="100"/>
      <c r="Q14" s="100"/>
      <c r="R14" s="100"/>
      <c r="S14" s="100"/>
      <c r="T14" s="100"/>
      <c r="U14" s="100"/>
      <c r="V14" s="100">
        <f t="shared" si="13"/>
        <v>0</v>
      </c>
      <c r="W14" s="100"/>
      <c r="X14" s="100"/>
      <c r="Y14" s="100"/>
      <c r="Z14" s="100"/>
      <c r="AA14" s="100"/>
      <c r="AB14" s="100"/>
      <c r="AC14" s="100"/>
      <c r="AD14" s="100"/>
      <c r="AE14" s="100">
        <f t="shared" si="9"/>
        <v>0</v>
      </c>
      <c r="AF14" s="100"/>
      <c r="AG14" s="100"/>
      <c r="AH14" s="100"/>
      <c r="AI14" s="100"/>
      <c r="AJ14" s="100"/>
      <c r="AK14" s="100"/>
      <c r="AL14" s="100"/>
      <c r="AM14" s="100"/>
      <c r="AN14" s="100"/>
      <c r="AO14" s="100"/>
      <c r="AP14" s="100"/>
      <c r="AQ14" s="100"/>
      <c r="AR14" s="100"/>
      <c r="AS14" s="100"/>
      <c r="AT14" s="100"/>
      <c r="AU14" s="100"/>
      <c r="AV14" s="100"/>
      <c r="AW14" s="100"/>
      <c r="AX14" s="100"/>
      <c r="AY14" s="100"/>
      <c r="AZ14" s="100"/>
      <c r="BA14" s="100"/>
      <c r="BB14" s="100"/>
      <c r="BC14" s="100"/>
      <c r="BD14" s="100"/>
      <c r="BE14" s="100"/>
      <c r="BF14" s="100"/>
      <c r="BG14" s="100"/>
      <c r="BH14" s="100">
        <f t="shared" si="10"/>
        <v>0</v>
      </c>
      <c r="BI14" s="100"/>
      <c r="BJ14" s="100"/>
      <c r="BK14" s="100"/>
      <c r="BL14" s="100">
        <f>I14+J14+L14+M14+N14+O14+S14+T14+U14+V14+BH14</f>
        <v>0</v>
      </c>
      <c r="BM14" s="100">
        <f>K67-BL14</f>
        <v>0</v>
      </c>
      <c r="BN14" s="100">
        <f t="shared" si="11"/>
        <v>0</v>
      </c>
      <c r="BP14" s="123"/>
    </row>
    <row r="15" spans="1:68" ht="19.5" hidden="1" customHeight="1">
      <c r="A15" s="14" t="s">
        <v>217</v>
      </c>
      <c r="B15" s="143" t="s">
        <v>476</v>
      </c>
      <c r="C15" s="5" t="s">
        <v>197</v>
      </c>
      <c r="D15" s="100"/>
      <c r="E15" s="100">
        <f t="shared" si="4"/>
        <v>0</v>
      </c>
      <c r="F15" s="100">
        <f t="shared" si="6"/>
        <v>0</v>
      </c>
      <c r="G15" s="100">
        <f t="shared" si="8"/>
        <v>0</v>
      </c>
      <c r="H15" s="100">
        <f t="shared" si="12"/>
        <v>0</v>
      </c>
      <c r="I15" s="100"/>
      <c r="J15" s="100"/>
      <c r="K15" s="100"/>
      <c r="L15" s="100">
        <f>D15-BL15</f>
        <v>0</v>
      </c>
      <c r="M15" s="100"/>
      <c r="N15" s="100"/>
      <c r="O15" s="100">
        <f t="shared" si="3"/>
        <v>0</v>
      </c>
      <c r="P15" s="100"/>
      <c r="Q15" s="100"/>
      <c r="R15" s="100"/>
      <c r="S15" s="100"/>
      <c r="T15" s="100"/>
      <c r="U15" s="100"/>
      <c r="V15" s="100">
        <f t="shared" si="13"/>
        <v>0</v>
      </c>
      <c r="W15" s="100"/>
      <c r="X15" s="100"/>
      <c r="Y15" s="100"/>
      <c r="Z15" s="100"/>
      <c r="AA15" s="100"/>
      <c r="AB15" s="100"/>
      <c r="AC15" s="100"/>
      <c r="AD15" s="100"/>
      <c r="AE15" s="100">
        <f t="shared" si="9"/>
        <v>0</v>
      </c>
      <c r="AF15" s="100"/>
      <c r="AG15" s="100"/>
      <c r="AH15" s="100"/>
      <c r="AI15" s="100"/>
      <c r="AJ15" s="100"/>
      <c r="AK15" s="100"/>
      <c r="AL15" s="100"/>
      <c r="AM15" s="100"/>
      <c r="AN15" s="100"/>
      <c r="AO15" s="100"/>
      <c r="AP15" s="100"/>
      <c r="AQ15" s="100"/>
      <c r="AR15" s="100"/>
      <c r="AS15" s="100"/>
      <c r="AT15" s="100"/>
      <c r="AU15" s="100"/>
      <c r="AV15" s="100"/>
      <c r="AW15" s="100"/>
      <c r="AX15" s="100"/>
      <c r="AY15" s="100"/>
      <c r="AZ15" s="100"/>
      <c r="BA15" s="100"/>
      <c r="BB15" s="100"/>
      <c r="BC15" s="100"/>
      <c r="BD15" s="100"/>
      <c r="BE15" s="100"/>
      <c r="BF15" s="100"/>
      <c r="BG15" s="100"/>
      <c r="BH15" s="100">
        <f t="shared" si="10"/>
        <v>0</v>
      </c>
      <c r="BI15" s="100"/>
      <c r="BJ15" s="100"/>
      <c r="BK15" s="100"/>
      <c r="BL15" s="100">
        <f>H15+M15+N15+O15+S15+T15+U15+V15+BH15</f>
        <v>0</v>
      </c>
      <c r="BM15" s="100">
        <f>L67-BL15</f>
        <v>0</v>
      </c>
      <c r="BN15" s="100">
        <f t="shared" si="11"/>
        <v>0</v>
      </c>
      <c r="BP15" s="123"/>
    </row>
    <row r="16" spans="1:68" ht="20.100000000000001" customHeight="1">
      <c r="A16" s="14" t="s">
        <v>218</v>
      </c>
      <c r="B16" s="143" t="s">
        <v>22</v>
      </c>
      <c r="C16" s="5" t="s">
        <v>23</v>
      </c>
      <c r="D16" s="100">
        <f>#REF!</f>
        <v>14.62</v>
      </c>
      <c r="E16" s="100">
        <f t="shared" si="4"/>
        <v>13.469999999999999</v>
      </c>
      <c r="F16" s="100">
        <f t="shared" si="6"/>
        <v>13.469999999999999</v>
      </c>
      <c r="G16" s="100">
        <f t="shared" si="8"/>
        <v>13.469999999999999</v>
      </c>
      <c r="H16" s="100">
        <f t="shared" si="12"/>
        <v>0</v>
      </c>
      <c r="I16" s="100"/>
      <c r="J16" s="100"/>
      <c r="K16" s="100"/>
      <c r="L16" s="100"/>
      <c r="M16" s="100">
        <f>D16-BL16</f>
        <v>13.469999999999999</v>
      </c>
      <c r="N16" s="100"/>
      <c r="O16" s="100">
        <f t="shared" si="3"/>
        <v>0</v>
      </c>
      <c r="P16" s="100"/>
      <c r="Q16" s="100"/>
      <c r="R16" s="100"/>
      <c r="S16" s="100"/>
      <c r="T16" s="100"/>
      <c r="U16" s="100"/>
      <c r="V16" s="100">
        <f t="shared" si="13"/>
        <v>1.1499999999999999</v>
      </c>
      <c r="W16" s="100"/>
      <c r="X16" s="100"/>
      <c r="Y16" s="100"/>
      <c r="Z16" s="100"/>
      <c r="AA16" s="100">
        <v>0.35</v>
      </c>
      <c r="AB16" s="100">
        <v>0.04</v>
      </c>
      <c r="AC16" s="100">
        <v>0.18</v>
      </c>
      <c r="AD16" s="100"/>
      <c r="AE16" s="100">
        <f t="shared" si="9"/>
        <v>0.32</v>
      </c>
      <c r="AF16" s="100"/>
      <c r="AG16" s="100"/>
      <c r="AH16" s="100"/>
      <c r="AI16" s="100"/>
      <c r="AJ16" s="100"/>
      <c r="AK16" s="100"/>
      <c r="AL16" s="100">
        <v>0.32</v>
      </c>
      <c r="AM16" s="100"/>
      <c r="AN16" s="100"/>
      <c r="AO16" s="100"/>
      <c r="AP16" s="100"/>
      <c r="AQ16" s="100"/>
      <c r="AR16" s="100"/>
      <c r="AS16" s="100"/>
      <c r="AT16" s="100"/>
      <c r="AU16" s="100">
        <v>0.17</v>
      </c>
      <c r="AV16" s="100">
        <v>0.04</v>
      </c>
      <c r="AW16" s="100"/>
      <c r="AX16" s="100"/>
      <c r="AY16" s="100"/>
      <c r="AZ16" s="100"/>
      <c r="BA16" s="100"/>
      <c r="BB16" s="100"/>
      <c r="BC16" s="100">
        <v>0.05</v>
      </c>
      <c r="BD16" s="100"/>
      <c r="BE16" s="100"/>
      <c r="BF16" s="100"/>
      <c r="BG16" s="100"/>
      <c r="BH16" s="100">
        <f t="shared" si="10"/>
        <v>0</v>
      </c>
      <c r="BI16" s="100"/>
      <c r="BJ16" s="100"/>
      <c r="BK16" s="100"/>
      <c r="BL16" s="100">
        <f>H16+L16+N16+S16+T16+U16+V16+BH16</f>
        <v>1.1499999999999999</v>
      </c>
      <c r="BM16" s="100">
        <f>M67-BL16</f>
        <v>-1.1499999999999999</v>
      </c>
      <c r="BN16" s="100">
        <f t="shared" si="11"/>
        <v>13.469999999999999</v>
      </c>
      <c r="BP16" s="123"/>
    </row>
    <row r="17" spans="1:68" ht="18" customHeight="1">
      <c r="A17" s="14" t="s">
        <v>219</v>
      </c>
      <c r="B17" s="143" t="s">
        <v>25</v>
      </c>
      <c r="C17" s="5" t="s">
        <v>26</v>
      </c>
      <c r="D17" s="100">
        <f>#REF!</f>
        <v>333.56</v>
      </c>
      <c r="E17" s="100">
        <f t="shared" si="4"/>
        <v>266.36</v>
      </c>
      <c r="F17" s="100">
        <f t="shared" si="6"/>
        <v>266.36</v>
      </c>
      <c r="G17" s="100">
        <f t="shared" si="8"/>
        <v>0</v>
      </c>
      <c r="H17" s="100">
        <f t="shared" si="12"/>
        <v>0</v>
      </c>
      <c r="I17" s="100"/>
      <c r="J17" s="100"/>
      <c r="K17" s="100"/>
      <c r="L17" s="100"/>
      <c r="M17" s="100"/>
      <c r="N17" s="100">
        <f>D17-BL17</f>
        <v>266.36</v>
      </c>
      <c r="O17" s="100">
        <f t="shared" si="3"/>
        <v>0</v>
      </c>
      <c r="P17" s="100"/>
      <c r="Q17" s="100"/>
      <c r="R17" s="100"/>
      <c r="S17" s="100"/>
      <c r="T17" s="100"/>
      <c r="U17" s="100"/>
      <c r="V17" s="100">
        <f t="shared" si="13"/>
        <v>67.199999999999989</v>
      </c>
      <c r="W17" s="100">
        <v>0.27</v>
      </c>
      <c r="X17" s="100"/>
      <c r="Y17" s="100"/>
      <c r="Z17" s="100"/>
      <c r="AA17" s="100">
        <v>23.1</v>
      </c>
      <c r="AB17" s="100">
        <v>6.94</v>
      </c>
      <c r="AC17" s="100">
        <v>14.94</v>
      </c>
      <c r="AD17" s="100"/>
      <c r="AE17" s="100">
        <f t="shared" si="9"/>
        <v>15.77</v>
      </c>
      <c r="AF17" s="100">
        <v>0.5</v>
      </c>
      <c r="AG17" s="100"/>
      <c r="AH17" s="100"/>
      <c r="AI17" s="100"/>
      <c r="AJ17" s="100"/>
      <c r="AK17" s="100"/>
      <c r="AL17" s="100">
        <v>14.83</v>
      </c>
      <c r="AM17" s="100">
        <v>0.44</v>
      </c>
      <c r="AN17" s="100"/>
      <c r="AO17" s="100"/>
      <c r="AP17" s="100"/>
      <c r="AQ17" s="100"/>
      <c r="AR17" s="100"/>
      <c r="AS17" s="100"/>
      <c r="AT17" s="100"/>
      <c r="AU17" s="100">
        <v>0.85</v>
      </c>
      <c r="AV17" s="100">
        <v>3.78</v>
      </c>
      <c r="AW17" s="100"/>
      <c r="AX17" s="100"/>
      <c r="AY17" s="100"/>
      <c r="AZ17" s="100"/>
      <c r="BA17" s="100"/>
      <c r="BB17" s="100"/>
      <c r="BC17" s="100">
        <v>1.55</v>
      </c>
      <c r="BD17" s="100"/>
      <c r="BE17" s="100"/>
      <c r="BF17" s="100"/>
      <c r="BG17" s="100"/>
      <c r="BH17" s="100">
        <f t="shared" si="10"/>
        <v>0</v>
      </c>
      <c r="BI17" s="100"/>
      <c r="BJ17" s="100"/>
      <c r="BK17" s="100"/>
      <c r="BL17" s="100">
        <f>H17+L17+M17+O17+S17+T17+U17+V17+BH17</f>
        <v>67.199999999999989</v>
      </c>
      <c r="BM17" s="100">
        <f>N67-BL17</f>
        <v>-67.199999999999989</v>
      </c>
      <c r="BN17" s="100">
        <f t="shared" si="11"/>
        <v>266.36</v>
      </c>
      <c r="BP17" s="123"/>
    </row>
    <row r="18" spans="1:68" ht="19.5" hidden="1" customHeight="1">
      <c r="A18" s="14" t="s">
        <v>21</v>
      </c>
      <c r="B18" s="143" t="s">
        <v>477</v>
      </c>
      <c r="C18" s="5" t="s">
        <v>198</v>
      </c>
      <c r="D18" s="100">
        <f>D19+D20+D21</f>
        <v>1079.44</v>
      </c>
      <c r="E18" s="100">
        <f t="shared" si="4"/>
        <v>1056.0900000000001</v>
      </c>
      <c r="F18" s="100">
        <f t="shared" si="6"/>
        <v>0</v>
      </c>
      <c r="G18" s="100">
        <f t="shared" si="8"/>
        <v>0</v>
      </c>
      <c r="H18" s="100">
        <f t="shared" si="12"/>
        <v>0</v>
      </c>
      <c r="I18" s="100">
        <f t="shared" ref="I18:N18" si="14">I19+I20+I21</f>
        <v>0</v>
      </c>
      <c r="J18" s="100">
        <f t="shared" si="14"/>
        <v>0</v>
      </c>
      <c r="K18" s="100">
        <f t="shared" si="14"/>
        <v>0</v>
      </c>
      <c r="L18" s="100">
        <f t="shared" si="14"/>
        <v>0</v>
      </c>
      <c r="M18" s="100">
        <f t="shared" si="14"/>
        <v>0</v>
      </c>
      <c r="N18" s="100">
        <f t="shared" si="14"/>
        <v>0</v>
      </c>
      <c r="O18" s="100">
        <f>D18-BL18</f>
        <v>1055.8800000000001</v>
      </c>
      <c r="P18" s="100">
        <f t="shared" ref="P18:BG18" si="15">P19+P20+P21</f>
        <v>1055.8800000000001</v>
      </c>
      <c r="Q18" s="100">
        <f t="shared" si="15"/>
        <v>0</v>
      </c>
      <c r="R18" s="100">
        <f t="shared" si="15"/>
        <v>0</v>
      </c>
      <c r="S18" s="100">
        <f t="shared" si="15"/>
        <v>0.21</v>
      </c>
      <c r="T18" s="100">
        <f t="shared" si="15"/>
        <v>0</v>
      </c>
      <c r="U18" s="100">
        <f t="shared" si="15"/>
        <v>0</v>
      </c>
      <c r="V18" s="100">
        <f t="shared" si="15"/>
        <v>23.35</v>
      </c>
      <c r="W18" s="100">
        <f t="shared" si="15"/>
        <v>0</v>
      </c>
      <c r="X18" s="100">
        <f t="shared" si="15"/>
        <v>0</v>
      </c>
      <c r="Y18" s="100">
        <f t="shared" si="15"/>
        <v>0</v>
      </c>
      <c r="Z18" s="100">
        <f t="shared" si="15"/>
        <v>0</v>
      </c>
      <c r="AA18" s="100">
        <f t="shared" si="15"/>
        <v>6.39</v>
      </c>
      <c r="AB18" s="100">
        <f t="shared" si="15"/>
        <v>0</v>
      </c>
      <c r="AC18" s="100">
        <f t="shared" si="15"/>
        <v>14.95</v>
      </c>
      <c r="AD18" s="100">
        <f t="shared" si="15"/>
        <v>0</v>
      </c>
      <c r="AE18" s="100">
        <f t="shared" si="15"/>
        <v>2.0099999999999998</v>
      </c>
      <c r="AF18" s="100">
        <f t="shared" si="15"/>
        <v>0</v>
      </c>
      <c r="AG18" s="100">
        <f t="shared" si="15"/>
        <v>0</v>
      </c>
      <c r="AH18" s="100">
        <f t="shared" si="15"/>
        <v>0</v>
      </c>
      <c r="AI18" s="100">
        <f t="shared" si="15"/>
        <v>0</v>
      </c>
      <c r="AJ18" s="100">
        <f t="shared" si="15"/>
        <v>0</v>
      </c>
      <c r="AK18" s="100">
        <f t="shared" si="15"/>
        <v>0</v>
      </c>
      <c r="AL18" s="100">
        <f t="shared" si="15"/>
        <v>2.0099999999999998</v>
      </c>
      <c r="AM18" s="100">
        <f t="shared" si="15"/>
        <v>0</v>
      </c>
      <c r="AN18" s="100">
        <f t="shared" si="15"/>
        <v>0</v>
      </c>
      <c r="AO18" s="100">
        <f t="shared" si="15"/>
        <v>0</v>
      </c>
      <c r="AP18" s="100">
        <f t="shared" si="15"/>
        <v>0</v>
      </c>
      <c r="AQ18" s="100">
        <f t="shared" si="15"/>
        <v>0</v>
      </c>
      <c r="AR18" s="100">
        <f t="shared" si="15"/>
        <v>0</v>
      </c>
      <c r="AS18" s="100">
        <f t="shared" si="15"/>
        <v>0</v>
      </c>
      <c r="AT18" s="100">
        <f t="shared" si="15"/>
        <v>0</v>
      </c>
      <c r="AU18" s="100">
        <f t="shared" si="15"/>
        <v>0</v>
      </c>
      <c r="AV18" s="100">
        <f t="shared" si="15"/>
        <v>0</v>
      </c>
      <c r="AW18" s="100">
        <f t="shared" si="15"/>
        <v>0</v>
      </c>
      <c r="AX18" s="100">
        <f t="shared" si="15"/>
        <v>0</v>
      </c>
      <c r="AY18" s="100">
        <f t="shared" si="15"/>
        <v>0</v>
      </c>
      <c r="AZ18" s="100">
        <f t="shared" si="15"/>
        <v>0</v>
      </c>
      <c r="BA18" s="100">
        <f t="shared" si="15"/>
        <v>0</v>
      </c>
      <c r="BB18" s="100">
        <f t="shared" si="15"/>
        <v>0</v>
      </c>
      <c r="BC18" s="100">
        <f t="shared" si="15"/>
        <v>0</v>
      </c>
      <c r="BD18" s="100">
        <f t="shared" si="15"/>
        <v>0</v>
      </c>
      <c r="BE18" s="100">
        <f t="shared" si="15"/>
        <v>0</v>
      </c>
      <c r="BF18" s="100">
        <f t="shared" si="15"/>
        <v>0</v>
      </c>
      <c r="BG18" s="100">
        <f t="shared" si="15"/>
        <v>0</v>
      </c>
      <c r="BH18" s="100">
        <f>BH19+BH20+BH21</f>
        <v>0</v>
      </c>
      <c r="BI18" s="100">
        <f>BI19+BI20+BI21</f>
        <v>0</v>
      </c>
      <c r="BJ18" s="100">
        <f>BJ19+BJ20+BJ21</f>
        <v>0</v>
      </c>
      <c r="BK18" s="100">
        <f>BK19+BK20+BK21</f>
        <v>0</v>
      </c>
      <c r="BL18" s="100">
        <f>F18+S18+T18+U18+BH18+V18</f>
        <v>23.560000000000002</v>
      </c>
      <c r="BM18" s="100">
        <f>O67-BL18</f>
        <v>-23.560000000000002</v>
      </c>
      <c r="BN18" s="100">
        <f>BN19+BN20+BN21</f>
        <v>1055.8800000000001</v>
      </c>
      <c r="BP18" s="123"/>
    </row>
    <row r="19" spans="1:68" ht="20.100000000000001" customHeight="1">
      <c r="A19" s="14" t="s">
        <v>182</v>
      </c>
      <c r="B19" s="143" t="s">
        <v>28</v>
      </c>
      <c r="C19" s="5" t="s">
        <v>29</v>
      </c>
      <c r="D19" s="100">
        <f>#REF!</f>
        <v>1079.44</v>
      </c>
      <c r="E19" s="100">
        <f>F19+O19+S19+T19+U19</f>
        <v>1056.0900000000001</v>
      </c>
      <c r="F19" s="100">
        <f>G19+N19</f>
        <v>0</v>
      </c>
      <c r="G19" s="100">
        <f>H19+L19+M19</f>
        <v>0</v>
      </c>
      <c r="H19" s="100">
        <f t="shared" si="12"/>
        <v>0</v>
      </c>
      <c r="I19" s="100"/>
      <c r="J19" s="100"/>
      <c r="K19" s="100"/>
      <c r="L19" s="100"/>
      <c r="M19" s="100"/>
      <c r="N19" s="100"/>
      <c r="O19" s="100">
        <f t="shared" ref="O19:O24" si="16">P19+Q19+R19</f>
        <v>1055.8800000000001</v>
      </c>
      <c r="P19" s="100">
        <f>D19-BL19</f>
        <v>1055.8800000000001</v>
      </c>
      <c r="Q19" s="100"/>
      <c r="R19" s="100"/>
      <c r="S19" s="100">
        <v>0.21</v>
      </c>
      <c r="T19" s="100"/>
      <c r="U19" s="100"/>
      <c r="V19" s="100">
        <f t="shared" si="13"/>
        <v>23.35</v>
      </c>
      <c r="W19" s="100"/>
      <c r="X19" s="100"/>
      <c r="Y19" s="100"/>
      <c r="Z19" s="100"/>
      <c r="AA19" s="100">
        <v>6.39</v>
      </c>
      <c r="AB19" s="100"/>
      <c r="AC19" s="100">
        <v>14.95</v>
      </c>
      <c r="AD19" s="100"/>
      <c r="AE19" s="100">
        <f t="shared" si="9"/>
        <v>2.0099999999999998</v>
      </c>
      <c r="AF19" s="100"/>
      <c r="AG19" s="100"/>
      <c r="AH19" s="100"/>
      <c r="AI19" s="100"/>
      <c r="AJ19" s="100"/>
      <c r="AK19" s="100"/>
      <c r="AL19" s="100">
        <v>2.0099999999999998</v>
      </c>
      <c r="AM19" s="100"/>
      <c r="AN19" s="100"/>
      <c r="AO19" s="100"/>
      <c r="AP19" s="100"/>
      <c r="AQ19" s="100"/>
      <c r="AR19" s="100"/>
      <c r="AS19" s="100"/>
      <c r="AT19" s="100"/>
      <c r="AU19" s="100"/>
      <c r="AV19" s="100"/>
      <c r="AW19" s="100"/>
      <c r="AX19" s="100"/>
      <c r="AY19" s="100"/>
      <c r="AZ19" s="100"/>
      <c r="BA19" s="100"/>
      <c r="BB19" s="100"/>
      <c r="BC19" s="100"/>
      <c r="BD19" s="100"/>
      <c r="BE19" s="100"/>
      <c r="BF19" s="100"/>
      <c r="BG19" s="100"/>
      <c r="BH19" s="100">
        <f t="shared" ref="BH19:BH24" si="17">BI19+BJ19+BK19</f>
        <v>0</v>
      </c>
      <c r="BI19" s="100"/>
      <c r="BJ19" s="100"/>
      <c r="BK19" s="100"/>
      <c r="BL19" s="100">
        <f>F19+Q19+R19+S19+T19+U19+V19+BH19</f>
        <v>23.560000000000002</v>
      </c>
      <c r="BM19" s="100">
        <f>P67-BL19</f>
        <v>-23.560000000000002</v>
      </c>
      <c r="BN19" s="100">
        <f t="shared" ref="BN19:BN24" si="18">D19+BM19</f>
        <v>1055.8800000000001</v>
      </c>
      <c r="BP19" s="123"/>
    </row>
    <row r="20" spans="1:68" ht="20.100000000000001" customHeight="1">
      <c r="A20" s="14" t="s">
        <v>183</v>
      </c>
      <c r="B20" s="143" t="s">
        <v>31</v>
      </c>
      <c r="C20" s="5" t="s">
        <v>32</v>
      </c>
      <c r="D20" s="100"/>
      <c r="E20" s="100">
        <f t="shared" si="4"/>
        <v>0</v>
      </c>
      <c r="F20" s="100">
        <f t="shared" si="6"/>
        <v>0</v>
      </c>
      <c r="G20" s="100">
        <f t="shared" si="8"/>
        <v>0</v>
      </c>
      <c r="H20" s="100">
        <f t="shared" si="12"/>
        <v>0</v>
      </c>
      <c r="I20" s="100"/>
      <c r="J20" s="100"/>
      <c r="K20" s="100"/>
      <c r="L20" s="100"/>
      <c r="M20" s="100"/>
      <c r="N20" s="100"/>
      <c r="O20" s="100">
        <f t="shared" si="16"/>
        <v>0</v>
      </c>
      <c r="P20" s="100"/>
      <c r="Q20" s="100">
        <f>D20-BL20</f>
        <v>0</v>
      </c>
      <c r="R20" s="100"/>
      <c r="S20" s="100"/>
      <c r="T20" s="100"/>
      <c r="U20" s="100"/>
      <c r="V20" s="100">
        <f t="shared" si="13"/>
        <v>0</v>
      </c>
      <c r="W20" s="100"/>
      <c r="X20" s="100"/>
      <c r="Y20" s="100"/>
      <c r="Z20" s="100"/>
      <c r="AA20" s="100"/>
      <c r="AB20" s="100"/>
      <c r="AC20" s="100"/>
      <c r="AD20" s="100"/>
      <c r="AE20" s="100">
        <f t="shared" si="9"/>
        <v>0</v>
      </c>
      <c r="AF20" s="100"/>
      <c r="AG20" s="100"/>
      <c r="AH20" s="100"/>
      <c r="AI20" s="100"/>
      <c r="AJ20" s="100"/>
      <c r="AK20" s="100"/>
      <c r="AL20" s="100"/>
      <c r="AM20" s="100"/>
      <c r="AN20" s="100"/>
      <c r="AO20" s="100"/>
      <c r="AP20" s="100"/>
      <c r="AQ20" s="100"/>
      <c r="AR20" s="100"/>
      <c r="AS20" s="100"/>
      <c r="AT20" s="100"/>
      <c r="AU20" s="100"/>
      <c r="AV20" s="100"/>
      <c r="AW20" s="100"/>
      <c r="AX20" s="100"/>
      <c r="AY20" s="100"/>
      <c r="AZ20" s="100"/>
      <c r="BA20" s="100"/>
      <c r="BB20" s="100"/>
      <c r="BC20" s="100"/>
      <c r="BD20" s="100"/>
      <c r="BE20" s="100"/>
      <c r="BF20" s="100"/>
      <c r="BG20" s="100"/>
      <c r="BH20" s="100">
        <f t="shared" si="17"/>
        <v>0</v>
      </c>
      <c r="BI20" s="100"/>
      <c r="BJ20" s="100"/>
      <c r="BK20" s="100"/>
      <c r="BL20" s="100">
        <f>F20+P20+R20+S20+T20+U20+V20+BH20</f>
        <v>0</v>
      </c>
      <c r="BM20" s="100">
        <f>Q67-BL20</f>
        <v>0</v>
      </c>
      <c r="BN20" s="100">
        <f t="shared" si="18"/>
        <v>0</v>
      </c>
      <c r="BP20" s="123"/>
    </row>
    <row r="21" spans="1:68" ht="20.100000000000001" customHeight="1">
      <c r="A21" s="14" t="s">
        <v>184</v>
      </c>
      <c r="B21" s="143" t="s">
        <v>34</v>
      </c>
      <c r="C21" s="5" t="s">
        <v>35</v>
      </c>
      <c r="D21" s="100"/>
      <c r="E21" s="100">
        <f t="shared" si="4"/>
        <v>0</v>
      </c>
      <c r="F21" s="100">
        <f>G21+N21</f>
        <v>0</v>
      </c>
      <c r="G21" s="100">
        <f t="shared" si="8"/>
        <v>0</v>
      </c>
      <c r="H21" s="100">
        <f t="shared" si="12"/>
        <v>0</v>
      </c>
      <c r="I21" s="100"/>
      <c r="J21" s="100"/>
      <c r="K21" s="100"/>
      <c r="L21" s="100"/>
      <c r="M21" s="100"/>
      <c r="N21" s="100"/>
      <c r="O21" s="100">
        <f t="shared" si="16"/>
        <v>0</v>
      </c>
      <c r="P21" s="100"/>
      <c r="Q21" s="100"/>
      <c r="R21" s="100">
        <f>D21-BL21</f>
        <v>0</v>
      </c>
      <c r="S21" s="100"/>
      <c r="T21" s="100"/>
      <c r="U21" s="100"/>
      <c r="V21" s="100">
        <f t="shared" si="13"/>
        <v>0</v>
      </c>
      <c r="W21" s="100"/>
      <c r="X21" s="100"/>
      <c r="Y21" s="100"/>
      <c r="Z21" s="100"/>
      <c r="AA21" s="100"/>
      <c r="AB21" s="100"/>
      <c r="AC21" s="100"/>
      <c r="AD21" s="100"/>
      <c r="AE21" s="100">
        <f t="shared" si="9"/>
        <v>0</v>
      </c>
      <c r="AF21" s="100"/>
      <c r="AG21" s="100"/>
      <c r="AH21" s="100"/>
      <c r="AI21" s="100"/>
      <c r="AJ21" s="100"/>
      <c r="AK21" s="100"/>
      <c r="AL21" s="100"/>
      <c r="AM21" s="100"/>
      <c r="AN21" s="100"/>
      <c r="AO21" s="100"/>
      <c r="AP21" s="100"/>
      <c r="AQ21" s="100"/>
      <c r="AR21" s="100"/>
      <c r="AS21" s="100"/>
      <c r="AT21" s="100"/>
      <c r="AU21" s="100"/>
      <c r="AV21" s="100"/>
      <c r="AW21" s="100"/>
      <c r="AX21" s="100"/>
      <c r="AY21" s="100"/>
      <c r="AZ21" s="100"/>
      <c r="BA21" s="100"/>
      <c r="BB21" s="100"/>
      <c r="BC21" s="100"/>
      <c r="BD21" s="100"/>
      <c r="BE21" s="100"/>
      <c r="BF21" s="100"/>
      <c r="BG21" s="100"/>
      <c r="BH21" s="100">
        <f t="shared" si="17"/>
        <v>0</v>
      </c>
      <c r="BI21" s="100"/>
      <c r="BJ21" s="100"/>
      <c r="BK21" s="100"/>
      <c r="BL21" s="100">
        <f>F21+P21+Q21+S21+T21+U21+V21+BH21</f>
        <v>0</v>
      </c>
      <c r="BM21" s="100">
        <f>R67-BL21</f>
        <v>0</v>
      </c>
      <c r="BN21" s="100">
        <f t="shared" si="18"/>
        <v>0</v>
      </c>
      <c r="BP21" s="123"/>
    </row>
    <row r="22" spans="1:68" ht="18.75" customHeight="1">
      <c r="A22" s="14" t="s">
        <v>24</v>
      </c>
      <c r="B22" s="143" t="s">
        <v>37</v>
      </c>
      <c r="C22" s="5" t="s">
        <v>38</v>
      </c>
      <c r="D22" s="100">
        <f>#REF!</f>
        <v>837.17</v>
      </c>
      <c r="E22" s="100">
        <f>F22+O22+S22+T22+U22</f>
        <v>647.17999999999995</v>
      </c>
      <c r="F22" s="100">
        <f t="shared" si="6"/>
        <v>0</v>
      </c>
      <c r="G22" s="100">
        <f t="shared" si="8"/>
        <v>0</v>
      </c>
      <c r="H22" s="100">
        <f t="shared" si="12"/>
        <v>0</v>
      </c>
      <c r="I22" s="100"/>
      <c r="J22" s="100"/>
      <c r="K22" s="100"/>
      <c r="L22" s="100"/>
      <c r="M22" s="100"/>
      <c r="N22" s="100"/>
      <c r="O22" s="100">
        <f t="shared" si="16"/>
        <v>0</v>
      </c>
      <c r="P22" s="100"/>
      <c r="Q22" s="100"/>
      <c r="R22" s="100"/>
      <c r="S22" s="100">
        <f>D22-BL22</f>
        <v>647.17999999999995</v>
      </c>
      <c r="T22" s="100"/>
      <c r="U22" s="100"/>
      <c r="V22" s="100">
        <f t="shared" si="13"/>
        <v>189.99</v>
      </c>
      <c r="W22" s="100"/>
      <c r="X22" s="100"/>
      <c r="Y22" s="100"/>
      <c r="Z22" s="100"/>
      <c r="AA22" s="100">
        <v>127.11</v>
      </c>
      <c r="AB22" s="100">
        <v>0.42</v>
      </c>
      <c r="AC22" s="100">
        <v>44.32</v>
      </c>
      <c r="AD22" s="100"/>
      <c r="AE22" s="100">
        <f t="shared" si="9"/>
        <v>17.850000000000001</v>
      </c>
      <c r="AF22" s="100"/>
      <c r="AG22" s="100"/>
      <c r="AH22" s="100"/>
      <c r="AI22" s="100"/>
      <c r="AJ22" s="100"/>
      <c r="AK22" s="100"/>
      <c r="AL22" s="100">
        <v>17.850000000000001</v>
      </c>
      <c r="AM22" s="100"/>
      <c r="AN22" s="100"/>
      <c r="AO22" s="100"/>
      <c r="AP22" s="100"/>
      <c r="AQ22" s="100"/>
      <c r="AR22" s="100"/>
      <c r="AS22" s="100"/>
      <c r="AT22" s="100"/>
      <c r="AU22" s="100">
        <v>0.05</v>
      </c>
      <c r="AV22" s="100">
        <v>0.24</v>
      </c>
      <c r="AW22" s="100"/>
      <c r="AX22" s="100"/>
      <c r="AY22" s="100"/>
      <c r="AZ22" s="100"/>
      <c r="BA22" s="100"/>
      <c r="BB22" s="100"/>
      <c r="BC22" s="100"/>
      <c r="BD22" s="100"/>
      <c r="BE22" s="100"/>
      <c r="BF22" s="100"/>
      <c r="BG22" s="100"/>
      <c r="BH22" s="100">
        <f t="shared" si="17"/>
        <v>0</v>
      </c>
      <c r="BI22" s="100"/>
      <c r="BJ22" s="100"/>
      <c r="BK22" s="100"/>
      <c r="BL22" s="100">
        <f>G22+O22+T22+U22+V22+BH22</f>
        <v>189.99</v>
      </c>
      <c r="BM22" s="100">
        <f>S67-BL22</f>
        <v>-188.72</v>
      </c>
      <c r="BN22" s="100">
        <f t="shared" si="18"/>
        <v>648.44999999999993</v>
      </c>
      <c r="BP22" s="123"/>
    </row>
    <row r="23" spans="1:68" ht="19.5" hidden="1" customHeight="1">
      <c r="A23" s="14" t="s">
        <v>27</v>
      </c>
      <c r="B23" s="143" t="s">
        <v>40</v>
      </c>
      <c r="C23" s="5" t="s">
        <v>41</v>
      </c>
      <c r="D23" s="100"/>
      <c r="E23" s="100">
        <f t="shared" si="4"/>
        <v>0</v>
      </c>
      <c r="F23" s="100">
        <f t="shared" si="6"/>
        <v>0</v>
      </c>
      <c r="G23" s="100">
        <f t="shared" si="8"/>
        <v>0</v>
      </c>
      <c r="H23" s="100">
        <f t="shared" si="12"/>
        <v>0</v>
      </c>
      <c r="I23" s="100"/>
      <c r="J23" s="100"/>
      <c r="K23" s="100"/>
      <c r="L23" s="100"/>
      <c r="M23" s="100"/>
      <c r="N23" s="100"/>
      <c r="O23" s="100">
        <f t="shared" si="16"/>
        <v>0</v>
      </c>
      <c r="P23" s="100"/>
      <c r="Q23" s="100"/>
      <c r="R23" s="100"/>
      <c r="S23" s="100"/>
      <c r="T23" s="100">
        <f>D23-BL23</f>
        <v>0</v>
      </c>
      <c r="U23" s="100"/>
      <c r="V23" s="100">
        <f t="shared" si="13"/>
        <v>0</v>
      </c>
      <c r="W23" s="100"/>
      <c r="X23" s="100"/>
      <c r="Y23" s="100"/>
      <c r="Z23" s="100"/>
      <c r="AA23" s="100"/>
      <c r="AB23" s="100"/>
      <c r="AC23" s="100"/>
      <c r="AD23" s="100"/>
      <c r="AE23" s="100">
        <f t="shared" si="9"/>
        <v>0</v>
      </c>
      <c r="AF23" s="100"/>
      <c r="AG23" s="100"/>
      <c r="AH23" s="100"/>
      <c r="AI23" s="100"/>
      <c r="AJ23" s="100"/>
      <c r="AK23" s="100"/>
      <c r="AL23" s="100"/>
      <c r="AM23" s="100"/>
      <c r="AN23" s="100"/>
      <c r="AO23" s="100"/>
      <c r="AP23" s="100"/>
      <c r="AQ23" s="100"/>
      <c r="AR23" s="100"/>
      <c r="AS23" s="100"/>
      <c r="AT23" s="100"/>
      <c r="AU23" s="100"/>
      <c r="AV23" s="100"/>
      <c r="AW23" s="100"/>
      <c r="AX23" s="100"/>
      <c r="AY23" s="100"/>
      <c r="AZ23" s="100"/>
      <c r="BA23" s="100"/>
      <c r="BB23" s="100"/>
      <c r="BC23" s="100"/>
      <c r="BD23" s="100"/>
      <c r="BE23" s="100"/>
      <c r="BF23" s="100"/>
      <c r="BG23" s="100"/>
      <c r="BH23" s="100">
        <f t="shared" si="17"/>
        <v>0</v>
      </c>
      <c r="BI23" s="100"/>
      <c r="BJ23" s="100"/>
      <c r="BK23" s="100"/>
      <c r="BL23" s="100">
        <f>F23+O23+S23+U23+V23+BH23</f>
        <v>0</v>
      </c>
      <c r="BM23" s="100">
        <f>T67-BL23</f>
        <v>0</v>
      </c>
      <c r="BN23" s="100">
        <f t="shared" si="18"/>
        <v>0</v>
      </c>
      <c r="BP23" s="123"/>
    </row>
    <row r="24" spans="1:68" ht="20.100000000000001" customHeight="1">
      <c r="A24" s="14" t="s">
        <v>30</v>
      </c>
      <c r="B24" s="143" t="s">
        <v>43</v>
      </c>
      <c r="C24" s="5" t="s">
        <v>44</v>
      </c>
      <c r="D24" s="100"/>
      <c r="E24" s="100">
        <f t="shared" si="4"/>
        <v>0</v>
      </c>
      <c r="F24" s="100">
        <f t="shared" si="6"/>
        <v>0</v>
      </c>
      <c r="G24" s="100">
        <f t="shared" si="8"/>
        <v>0</v>
      </c>
      <c r="H24" s="100">
        <f t="shared" si="12"/>
        <v>0</v>
      </c>
      <c r="I24" s="100"/>
      <c r="J24" s="100"/>
      <c r="K24" s="100"/>
      <c r="L24" s="100"/>
      <c r="M24" s="100"/>
      <c r="N24" s="100"/>
      <c r="O24" s="100">
        <f t="shared" si="16"/>
        <v>0</v>
      </c>
      <c r="P24" s="100"/>
      <c r="Q24" s="100"/>
      <c r="R24" s="100"/>
      <c r="S24" s="100"/>
      <c r="T24" s="100"/>
      <c r="U24" s="100">
        <f>D24-BL24</f>
        <v>0</v>
      </c>
      <c r="V24" s="100">
        <f t="shared" si="13"/>
        <v>0</v>
      </c>
      <c r="W24" s="100"/>
      <c r="X24" s="100"/>
      <c r="Y24" s="100"/>
      <c r="Z24" s="100"/>
      <c r="AA24" s="100"/>
      <c r="AB24" s="100"/>
      <c r="AC24" s="100"/>
      <c r="AD24" s="100"/>
      <c r="AE24" s="100">
        <f t="shared" si="9"/>
        <v>0</v>
      </c>
      <c r="AF24" s="100"/>
      <c r="AG24" s="100"/>
      <c r="AH24" s="100"/>
      <c r="AI24" s="100"/>
      <c r="AJ24" s="100"/>
      <c r="AK24" s="100"/>
      <c r="AL24" s="100"/>
      <c r="AM24" s="100"/>
      <c r="AN24" s="100"/>
      <c r="AO24" s="100"/>
      <c r="AP24" s="100"/>
      <c r="AQ24" s="100"/>
      <c r="AR24" s="100"/>
      <c r="AS24" s="100"/>
      <c r="AT24" s="100"/>
      <c r="AU24" s="100"/>
      <c r="AV24" s="100"/>
      <c r="AW24" s="100"/>
      <c r="AX24" s="100"/>
      <c r="AY24" s="100"/>
      <c r="AZ24" s="100"/>
      <c r="BA24" s="100"/>
      <c r="BB24" s="100"/>
      <c r="BC24" s="100"/>
      <c r="BD24" s="100"/>
      <c r="BE24" s="100"/>
      <c r="BF24" s="100"/>
      <c r="BG24" s="100"/>
      <c r="BH24" s="100">
        <f t="shared" si="17"/>
        <v>0</v>
      </c>
      <c r="BI24" s="100"/>
      <c r="BJ24" s="100"/>
      <c r="BK24" s="100"/>
      <c r="BL24" s="100">
        <f>F24+O24+S24+T24+BH24</f>
        <v>0</v>
      </c>
      <c r="BM24" s="100">
        <f>U67-BL24</f>
        <v>0</v>
      </c>
      <c r="BN24" s="100">
        <f t="shared" si="18"/>
        <v>0</v>
      </c>
      <c r="BP24" s="123"/>
    </row>
    <row r="25" spans="1:68" s="115" customFormat="1" ht="25.5" customHeight="1">
      <c r="A25" s="15">
        <v>2</v>
      </c>
      <c r="B25" s="142" t="s">
        <v>45</v>
      </c>
      <c r="C25" s="6" t="s">
        <v>46</v>
      </c>
      <c r="D25" s="175">
        <f>D26+D27+D28+D29+D30+D31+D32+D33+D34+D46+D47+D48+D49+D50+D51+D52+D53+D54+D55+D56+D57+D58+D59+D60+D61+D62</f>
        <v>1152.57</v>
      </c>
      <c r="E25" s="175">
        <f>E26+E27+E28+E29+E30+E31+E32+E33+E34+E46+E47+E48+E49+E50+E51+E52+E53+E54+E55+E56+E57+E58+E59+E60+E61+E62</f>
        <v>1.06</v>
      </c>
      <c r="F25" s="175">
        <f t="shared" ref="F25:U25" si="19">F26+F27+F28+F29+F30+F31+F32+F33+F34+F46+F47+F48+F49+F50+F51+F52+F53+F54+F55+F56+F57+F58+F59+F60+F61+F62</f>
        <v>0</v>
      </c>
      <c r="G25" s="175">
        <f t="shared" si="19"/>
        <v>0</v>
      </c>
      <c r="H25" s="175">
        <f t="shared" si="19"/>
        <v>0</v>
      </c>
      <c r="I25" s="175">
        <f t="shared" si="19"/>
        <v>0</v>
      </c>
      <c r="J25" s="175">
        <f t="shared" si="19"/>
        <v>0</v>
      </c>
      <c r="K25" s="175">
        <f t="shared" si="19"/>
        <v>0</v>
      </c>
      <c r="L25" s="175">
        <f t="shared" si="19"/>
        <v>0</v>
      </c>
      <c r="M25" s="175">
        <f t="shared" si="19"/>
        <v>0</v>
      </c>
      <c r="N25" s="175">
        <f t="shared" si="19"/>
        <v>0</v>
      </c>
      <c r="O25" s="175">
        <f t="shared" si="19"/>
        <v>0</v>
      </c>
      <c r="P25" s="175">
        <f t="shared" si="19"/>
        <v>0</v>
      </c>
      <c r="Q25" s="175">
        <f t="shared" si="19"/>
        <v>0</v>
      </c>
      <c r="R25" s="175">
        <f t="shared" si="19"/>
        <v>0</v>
      </c>
      <c r="S25" s="175">
        <f t="shared" si="19"/>
        <v>1.06</v>
      </c>
      <c r="T25" s="175">
        <f t="shared" si="19"/>
        <v>0</v>
      </c>
      <c r="U25" s="175">
        <f t="shared" si="19"/>
        <v>0</v>
      </c>
      <c r="V25" s="175">
        <f>D25-BL25</f>
        <v>1151.51</v>
      </c>
      <c r="W25" s="175">
        <f>W26+W27+W28+W29+W30+W31+W32+W33+W34+W46+W47+W48+W49+W50+W51+W52+W53+W54+W55+W56+W57+W58+W59+W60+W61+W62</f>
        <v>33.17</v>
      </c>
      <c r="X25" s="175">
        <f t="shared" ref="X25:BK25" si="20">X26+X27+X28+X29+X30+X31+X32+X33+X34+X46+X47+X48+X49+X50+X51+X52+X53+X54+X55+X56+X57+X58+X59+X60+X61+X62</f>
        <v>6.37</v>
      </c>
      <c r="Y25" s="175">
        <f t="shared" si="20"/>
        <v>0</v>
      </c>
      <c r="Z25" s="175">
        <f t="shared" si="20"/>
        <v>0</v>
      </c>
      <c r="AA25" s="175">
        <f t="shared" si="20"/>
        <v>21.76</v>
      </c>
      <c r="AB25" s="175">
        <f t="shared" si="20"/>
        <v>73.06</v>
      </c>
      <c r="AC25" s="175">
        <f t="shared" si="20"/>
        <v>11.65</v>
      </c>
      <c r="AD25" s="175">
        <f t="shared" si="20"/>
        <v>0</v>
      </c>
      <c r="AE25" s="175">
        <f t="shared" si="20"/>
        <v>208.85999999999999</v>
      </c>
      <c r="AF25" s="175">
        <f t="shared" si="20"/>
        <v>0.11</v>
      </c>
      <c r="AG25" s="175">
        <f t="shared" si="20"/>
        <v>0.25</v>
      </c>
      <c r="AH25" s="175">
        <f t="shared" si="20"/>
        <v>6.17</v>
      </c>
      <c r="AI25" s="175">
        <f t="shared" si="20"/>
        <v>0.92</v>
      </c>
      <c r="AJ25" s="175">
        <f t="shared" si="20"/>
        <v>0</v>
      </c>
      <c r="AK25" s="175">
        <f t="shared" si="20"/>
        <v>0.04</v>
      </c>
      <c r="AL25" s="175">
        <f t="shared" si="20"/>
        <v>145.00999999999996</v>
      </c>
      <c r="AM25" s="175">
        <f t="shared" si="20"/>
        <v>56.189999999999991</v>
      </c>
      <c r="AN25" s="175">
        <f t="shared" si="20"/>
        <v>0.06</v>
      </c>
      <c r="AO25" s="175">
        <f t="shared" si="20"/>
        <v>0.02</v>
      </c>
      <c r="AP25" s="175">
        <f t="shared" si="20"/>
        <v>0.09</v>
      </c>
      <c r="AQ25" s="175">
        <f t="shared" si="20"/>
        <v>0</v>
      </c>
      <c r="AR25" s="175">
        <f t="shared" si="20"/>
        <v>0</v>
      </c>
      <c r="AS25" s="175">
        <f t="shared" si="20"/>
        <v>1.9899999999999998</v>
      </c>
      <c r="AT25" s="175">
        <f t="shared" si="20"/>
        <v>0</v>
      </c>
      <c r="AU25" s="175">
        <f t="shared" si="20"/>
        <v>73.449999999999989</v>
      </c>
      <c r="AV25" s="175">
        <f t="shared" si="20"/>
        <v>21.290000000000003</v>
      </c>
      <c r="AW25" s="175">
        <f t="shared" si="20"/>
        <v>0</v>
      </c>
      <c r="AX25" s="175">
        <f t="shared" si="20"/>
        <v>0</v>
      </c>
      <c r="AY25" s="175">
        <f t="shared" si="20"/>
        <v>0</v>
      </c>
      <c r="AZ25" s="175">
        <f t="shared" si="20"/>
        <v>8.44</v>
      </c>
      <c r="BA25" s="175">
        <f t="shared" si="20"/>
        <v>0</v>
      </c>
      <c r="BB25" s="175">
        <f t="shared" si="20"/>
        <v>1.7599999999999998</v>
      </c>
      <c r="BC25" s="175">
        <f t="shared" si="20"/>
        <v>1.1100000000000001</v>
      </c>
      <c r="BD25" s="175">
        <f t="shared" si="20"/>
        <v>0.45000000000000007</v>
      </c>
      <c r="BE25" s="175">
        <f t="shared" si="20"/>
        <v>688.15</v>
      </c>
      <c r="BF25" s="175">
        <f t="shared" si="20"/>
        <v>0</v>
      </c>
      <c r="BG25" s="175">
        <f t="shared" si="20"/>
        <v>0</v>
      </c>
      <c r="BH25" s="175">
        <f t="shared" si="20"/>
        <v>0</v>
      </c>
      <c r="BI25" s="175">
        <f t="shared" si="20"/>
        <v>0</v>
      </c>
      <c r="BJ25" s="175">
        <f t="shared" si="20"/>
        <v>0</v>
      </c>
      <c r="BK25" s="175">
        <f t="shared" si="20"/>
        <v>0</v>
      </c>
      <c r="BL25" s="175">
        <f>E25+BH25</f>
        <v>1.06</v>
      </c>
      <c r="BM25" s="175">
        <f>BM26+BM27+BM28+BM29+BM30+BM31+BM32+BM33+BM34+BM46+BM47+BM48+BM49+BM50+BM51+BM52+BM53+BM54+BM55+BM56+BM57+BM58+BM59+BM60+BM61+BM62</f>
        <v>382.87999999999994</v>
      </c>
      <c r="BN25" s="175">
        <f>BN26+BN27+BN28+BN29+BN30+BN31+BN32+BN33+BN34+BN46+BN47+BN48+BN49+BN50+BN51+BN52+BN53+BN54+BN55+BN56+BN57+BN58+BN59+BN60+BN61+BN62</f>
        <v>1535.45</v>
      </c>
    </row>
    <row r="26" spans="1:68" ht="20.100000000000001" customHeight="1">
      <c r="A26" s="19" t="s">
        <v>47</v>
      </c>
      <c r="B26" s="144" t="s">
        <v>48</v>
      </c>
      <c r="C26" s="5" t="s">
        <v>49</v>
      </c>
      <c r="D26" s="100">
        <f>#REF!</f>
        <v>38.9</v>
      </c>
      <c r="E26" s="100">
        <f t="shared" si="4"/>
        <v>0</v>
      </c>
      <c r="F26" s="100">
        <f>G26+N26</f>
        <v>0</v>
      </c>
      <c r="G26" s="100">
        <f t="shared" si="8"/>
        <v>0</v>
      </c>
      <c r="H26" s="100">
        <f t="shared" si="12"/>
        <v>0</v>
      </c>
      <c r="I26" s="100"/>
      <c r="J26" s="100"/>
      <c r="K26" s="100"/>
      <c r="L26" s="100"/>
      <c r="M26" s="100"/>
      <c r="N26" s="100"/>
      <c r="O26" s="100"/>
      <c r="P26" s="100"/>
      <c r="Q26" s="100"/>
      <c r="R26" s="100"/>
      <c r="S26" s="100"/>
      <c r="T26" s="100"/>
      <c r="U26" s="100"/>
      <c r="V26" s="100">
        <f t="shared" si="13"/>
        <v>38.9</v>
      </c>
      <c r="W26" s="100">
        <f>D26-BL26</f>
        <v>33.04</v>
      </c>
      <c r="X26" s="100"/>
      <c r="Y26" s="100"/>
      <c r="Z26" s="100"/>
      <c r="AA26" s="100"/>
      <c r="AB26" s="100">
        <v>1.01</v>
      </c>
      <c r="AC26" s="100"/>
      <c r="AD26" s="100"/>
      <c r="AE26" s="100">
        <f t="shared" si="9"/>
        <v>1.58</v>
      </c>
      <c r="AF26" s="100"/>
      <c r="AG26" s="100"/>
      <c r="AH26" s="100"/>
      <c r="AI26" s="100"/>
      <c r="AJ26" s="100"/>
      <c r="AK26" s="100"/>
      <c r="AL26" s="100">
        <v>1.58</v>
      </c>
      <c r="AM26" s="100"/>
      <c r="AN26" s="100"/>
      <c r="AO26" s="100"/>
      <c r="AP26" s="100"/>
      <c r="AQ26" s="100"/>
      <c r="AR26" s="100"/>
      <c r="AS26" s="100"/>
      <c r="AT26" s="100"/>
      <c r="AU26" s="100"/>
      <c r="AV26" s="100">
        <v>3.2</v>
      </c>
      <c r="AW26" s="100"/>
      <c r="AX26" s="100"/>
      <c r="AY26" s="100"/>
      <c r="AZ26" s="100"/>
      <c r="BA26" s="100"/>
      <c r="BB26" s="100"/>
      <c r="BC26" s="100">
        <v>7.0000000000000007E-2</v>
      </c>
      <c r="BD26" s="100"/>
      <c r="BE26" s="100"/>
      <c r="BF26" s="100"/>
      <c r="BG26" s="100"/>
      <c r="BH26" s="100">
        <f>BI26+BJ26+BK26</f>
        <v>0</v>
      </c>
      <c r="BI26" s="100"/>
      <c r="BJ26" s="100"/>
      <c r="BK26" s="100"/>
      <c r="BL26" s="100">
        <f>X26+Y26+Z26+AA26+AB26+AC26+AD26+AE26+AQ26+AR26+AS26+AT26+AU26+AV26+AW26+AX26+AY26+AZ26+BA26+BB26+BC26+BD26+BE26+BF26+BG26+BH26</f>
        <v>5.86</v>
      </c>
      <c r="BM26" s="100">
        <f>W67-BL26</f>
        <v>-5.23</v>
      </c>
      <c r="BN26" s="100">
        <f>D26+BM26</f>
        <v>33.67</v>
      </c>
      <c r="BP26" s="123"/>
    </row>
    <row r="27" spans="1:68" ht="20.100000000000001" customHeight="1">
      <c r="A27" s="19" t="s">
        <v>50</v>
      </c>
      <c r="B27" s="144" t="s">
        <v>51</v>
      </c>
      <c r="C27" s="5" t="s">
        <v>52</v>
      </c>
      <c r="D27" s="100">
        <f>#REF!</f>
        <v>6.37</v>
      </c>
      <c r="E27" s="100">
        <f t="shared" si="4"/>
        <v>0</v>
      </c>
      <c r="F27" s="100">
        <f t="shared" ref="F27:F66" si="21">G27+N27</f>
        <v>0</v>
      </c>
      <c r="G27" s="100">
        <f t="shared" si="8"/>
        <v>0</v>
      </c>
      <c r="H27" s="100">
        <f t="shared" si="12"/>
        <v>0</v>
      </c>
      <c r="I27" s="100"/>
      <c r="J27" s="100"/>
      <c r="K27" s="100"/>
      <c r="L27" s="100"/>
      <c r="M27" s="100"/>
      <c r="N27" s="100"/>
      <c r="O27" s="100"/>
      <c r="P27" s="100"/>
      <c r="Q27" s="100"/>
      <c r="R27" s="100"/>
      <c r="S27" s="100"/>
      <c r="T27" s="100"/>
      <c r="U27" s="100"/>
      <c r="V27" s="100">
        <f t="shared" si="13"/>
        <v>6.37</v>
      </c>
      <c r="W27" s="100"/>
      <c r="X27" s="100">
        <f>D27-BL27</f>
        <v>6.37</v>
      </c>
      <c r="Y27" s="100"/>
      <c r="Z27" s="100"/>
      <c r="AA27" s="100"/>
      <c r="AB27" s="100"/>
      <c r="AC27" s="100"/>
      <c r="AD27" s="100"/>
      <c r="AE27" s="100">
        <f t="shared" si="9"/>
        <v>0</v>
      </c>
      <c r="AF27" s="100"/>
      <c r="AG27" s="100"/>
      <c r="AH27" s="100"/>
      <c r="AI27" s="100"/>
      <c r="AJ27" s="100"/>
      <c r="AK27" s="100"/>
      <c r="AL27" s="100"/>
      <c r="AM27" s="100"/>
      <c r="AN27" s="100"/>
      <c r="AO27" s="100"/>
      <c r="AP27" s="100"/>
      <c r="AQ27" s="100"/>
      <c r="AR27" s="100"/>
      <c r="AS27" s="100"/>
      <c r="AT27" s="100"/>
      <c r="AU27" s="100"/>
      <c r="AV27" s="100"/>
      <c r="AW27" s="100"/>
      <c r="AX27" s="100"/>
      <c r="AY27" s="100"/>
      <c r="AZ27" s="100"/>
      <c r="BA27" s="100"/>
      <c r="BB27" s="100"/>
      <c r="BC27" s="100"/>
      <c r="BD27" s="100"/>
      <c r="BE27" s="100"/>
      <c r="BF27" s="100"/>
      <c r="BG27" s="100"/>
      <c r="BH27" s="100">
        <f t="shared" ref="BH27:BH62" si="22">BI27+BJ27+BK27</f>
        <v>0</v>
      </c>
      <c r="BI27" s="100"/>
      <c r="BJ27" s="100"/>
      <c r="BK27" s="100"/>
      <c r="BL27" s="100">
        <f>F27+W27+Y27+Z27+AA27+AB27+AC27+AD27+AE27+AQ27+AR27+AS27+AT27+AU27+AV27+AW27+AX27+AY27+AZ27+BA27+BB27+BC27+BD27+BE27+BF27+BG27+BH27</f>
        <v>0</v>
      </c>
      <c r="BM27" s="100">
        <f>X67-BL27</f>
        <v>0</v>
      </c>
      <c r="BN27" s="100">
        <f t="shared" ref="BN27:BN33" si="23">D27+BM27</f>
        <v>6.37</v>
      </c>
      <c r="BP27" s="123"/>
    </row>
    <row r="28" spans="1:68" ht="20.100000000000001" customHeight="1">
      <c r="A28" s="19" t="s">
        <v>53</v>
      </c>
      <c r="B28" s="144" t="s">
        <v>54</v>
      </c>
      <c r="C28" s="5" t="s">
        <v>55</v>
      </c>
      <c r="D28" s="100"/>
      <c r="E28" s="100">
        <f t="shared" si="4"/>
        <v>0</v>
      </c>
      <c r="F28" s="100">
        <f t="shared" si="21"/>
        <v>0</v>
      </c>
      <c r="G28" s="100">
        <f t="shared" si="8"/>
        <v>0</v>
      </c>
      <c r="H28" s="100">
        <f t="shared" si="12"/>
        <v>0</v>
      </c>
      <c r="I28" s="100"/>
      <c r="J28" s="100"/>
      <c r="K28" s="100"/>
      <c r="L28" s="100"/>
      <c r="M28" s="100"/>
      <c r="N28" s="100"/>
      <c r="O28" s="100"/>
      <c r="P28" s="100"/>
      <c r="Q28" s="100"/>
      <c r="R28" s="100"/>
      <c r="S28" s="100"/>
      <c r="T28" s="100"/>
      <c r="U28" s="100"/>
      <c r="V28" s="100">
        <f t="shared" si="13"/>
        <v>0</v>
      </c>
      <c r="W28" s="100"/>
      <c r="X28" s="100"/>
      <c r="Y28" s="100">
        <f>D28-BL28</f>
        <v>0</v>
      </c>
      <c r="Z28" s="100"/>
      <c r="AA28" s="100"/>
      <c r="AB28" s="100"/>
      <c r="AC28" s="100"/>
      <c r="AD28" s="100"/>
      <c r="AE28" s="100">
        <f t="shared" si="9"/>
        <v>0</v>
      </c>
      <c r="AF28" s="100"/>
      <c r="AG28" s="100"/>
      <c r="AH28" s="100"/>
      <c r="AI28" s="100"/>
      <c r="AJ28" s="100"/>
      <c r="AK28" s="100"/>
      <c r="AL28" s="100"/>
      <c r="AM28" s="100"/>
      <c r="AN28" s="100"/>
      <c r="AO28" s="100"/>
      <c r="AP28" s="100"/>
      <c r="AQ28" s="100"/>
      <c r="AR28" s="100"/>
      <c r="AS28" s="100"/>
      <c r="AT28" s="100"/>
      <c r="AU28" s="100"/>
      <c r="AV28" s="100"/>
      <c r="AW28" s="100"/>
      <c r="AX28" s="100"/>
      <c r="AY28" s="100"/>
      <c r="AZ28" s="100"/>
      <c r="BA28" s="100"/>
      <c r="BB28" s="100"/>
      <c r="BC28" s="100"/>
      <c r="BD28" s="100"/>
      <c r="BE28" s="100"/>
      <c r="BF28" s="100"/>
      <c r="BG28" s="100"/>
      <c r="BH28" s="100">
        <f t="shared" si="22"/>
        <v>0</v>
      </c>
      <c r="BI28" s="100"/>
      <c r="BJ28" s="100"/>
      <c r="BK28" s="100"/>
      <c r="BL28" s="100">
        <f>E28+W28+X28+Z28+AA28+AB28+AC28+AD28+AE28+AQ28+AR28+AS28+AT28+AU28+AV28+AW28+AX28+AY28+AZ28+BA28+BB28+BC28+BD28+BE28+BF28+BG28+BH28</f>
        <v>0</v>
      </c>
      <c r="BM28" s="100">
        <f>Y67-BL28</f>
        <v>0</v>
      </c>
      <c r="BN28" s="100">
        <f t="shared" si="23"/>
        <v>0</v>
      </c>
      <c r="BP28" s="123"/>
    </row>
    <row r="29" spans="1:68" ht="20.100000000000001" customHeight="1">
      <c r="A29" s="19" t="s">
        <v>56</v>
      </c>
      <c r="B29" s="144" t="s">
        <v>57</v>
      </c>
      <c r="C29" s="5" t="s">
        <v>58</v>
      </c>
      <c r="D29" s="100"/>
      <c r="E29" s="100">
        <f t="shared" si="4"/>
        <v>0</v>
      </c>
      <c r="F29" s="100">
        <f t="shared" si="21"/>
        <v>0</v>
      </c>
      <c r="G29" s="100">
        <f t="shared" si="8"/>
        <v>0</v>
      </c>
      <c r="H29" s="100">
        <f t="shared" si="12"/>
        <v>0</v>
      </c>
      <c r="I29" s="100"/>
      <c r="J29" s="100"/>
      <c r="K29" s="100"/>
      <c r="L29" s="100"/>
      <c r="M29" s="100"/>
      <c r="N29" s="100"/>
      <c r="O29" s="100"/>
      <c r="P29" s="100"/>
      <c r="Q29" s="100"/>
      <c r="R29" s="100"/>
      <c r="S29" s="100"/>
      <c r="T29" s="100"/>
      <c r="U29" s="100"/>
      <c r="V29" s="100">
        <f t="shared" si="13"/>
        <v>0</v>
      </c>
      <c r="W29" s="100"/>
      <c r="X29" s="100"/>
      <c r="Y29" s="100"/>
      <c r="Z29" s="100">
        <f>D29-BL29</f>
        <v>0</v>
      </c>
      <c r="AA29" s="100"/>
      <c r="AB29" s="100"/>
      <c r="AC29" s="100"/>
      <c r="AD29" s="100"/>
      <c r="AE29" s="100">
        <f t="shared" si="9"/>
        <v>0</v>
      </c>
      <c r="AF29" s="100"/>
      <c r="AG29" s="100"/>
      <c r="AH29" s="100"/>
      <c r="AI29" s="100"/>
      <c r="AJ29" s="100"/>
      <c r="AK29" s="100"/>
      <c r="AL29" s="100"/>
      <c r="AM29" s="100"/>
      <c r="AN29" s="100"/>
      <c r="AO29" s="100"/>
      <c r="AP29" s="100"/>
      <c r="AQ29" s="100"/>
      <c r="AR29" s="100"/>
      <c r="AS29" s="100"/>
      <c r="AT29" s="100"/>
      <c r="AU29" s="100"/>
      <c r="AV29" s="100"/>
      <c r="AW29" s="100"/>
      <c r="AX29" s="100"/>
      <c r="AY29" s="100"/>
      <c r="AZ29" s="100"/>
      <c r="BA29" s="100"/>
      <c r="BB29" s="100"/>
      <c r="BC29" s="100"/>
      <c r="BD29" s="100"/>
      <c r="BE29" s="100"/>
      <c r="BF29" s="100"/>
      <c r="BG29" s="100"/>
      <c r="BH29" s="100">
        <f t="shared" si="22"/>
        <v>0</v>
      </c>
      <c r="BI29" s="100"/>
      <c r="BJ29" s="100"/>
      <c r="BK29" s="100"/>
      <c r="BL29" s="100">
        <f>E29+W29+X29+Y29+AA29+AB29+AC29+AD29+AE29+AQ29+AR29+AS29+AT29+AU29+AV29+AW29+AX29+AY29+AZ29+BA29+BB29+BC29+BD29+BE29+BF29+BG29+BH29</f>
        <v>0</v>
      </c>
      <c r="BM29" s="100">
        <f>Z67-BL29</f>
        <v>0</v>
      </c>
      <c r="BN29" s="100">
        <f t="shared" si="23"/>
        <v>0</v>
      </c>
      <c r="BP29" s="123"/>
    </row>
    <row r="30" spans="1:68" ht="20.100000000000001" customHeight="1">
      <c r="A30" s="19" t="s">
        <v>59</v>
      </c>
      <c r="B30" s="144" t="s">
        <v>60</v>
      </c>
      <c r="C30" s="5" t="s">
        <v>61</v>
      </c>
      <c r="D30" s="100"/>
      <c r="E30" s="100">
        <f t="shared" si="4"/>
        <v>0</v>
      </c>
      <c r="F30" s="100">
        <f t="shared" si="21"/>
        <v>0</v>
      </c>
      <c r="G30" s="100">
        <f t="shared" si="8"/>
        <v>0</v>
      </c>
      <c r="H30" s="100">
        <f t="shared" si="12"/>
        <v>0</v>
      </c>
      <c r="I30" s="100"/>
      <c r="J30" s="100"/>
      <c r="K30" s="100"/>
      <c r="L30" s="100"/>
      <c r="M30" s="100"/>
      <c r="N30" s="100"/>
      <c r="O30" s="100"/>
      <c r="P30" s="100"/>
      <c r="Q30" s="100"/>
      <c r="R30" s="100"/>
      <c r="S30" s="100"/>
      <c r="T30" s="100"/>
      <c r="U30" s="100"/>
      <c r="V30" s="100">
        <f t="shared" si="13"/>
        <v>0</v>
      </c>
      <c r="W30" s="100"/>
      <c r="X30" s="100"/>
      <c r="Y30" s="100"/>
      <c r="Z30" s="100"/>
      <c r="AA30" s="100">
        <f>D30-BL30</f>
        <v>0</v>
      </c>
      <c r="AB30" s="100"/>
      <c r="AC30" s="100"/>
      <c r="AD30" s="100"/>
      <c r="AE30" s="100">
        <f t="shared" si="9"/>
        <v>0</v>
      </c>
      <c r="AF30" s="100"/>
      <c r="AG30" s="100"/>
      <c r="AH30" s="100"/>
      <c r="AI30" s="100"/>
      <c r="AJ30" s="100"/>
      <c r="AK30" s="100"/>
      <c r="AL30" s="100"/>
      <c r="AM30" s="100"/>
      <c r="AN30" s="100"/>
      <c r="AO30" s="100"/>
      <c r="AP30" s="100"/>
      <c r="AQ30" s="100"/>
      <c r="AR30" s="100"/>
      <c r="AS30" s="100"/>
      <c r="AT30" s="100"/>
      <c r="AU30" s="100"/>
      <c r="AV30" s="100"/>
      <c r="AW30" s="100"/>
      <c r="AX30" s="100"/>
      <c r="AY30" s="100"/>
      <c r="AZ30" s="100"/>
      <c r="BA30" s="100"/>
      <c r="BB30" s="100"/>
      <c r="BC30" s="100"/>
      <c r="BD30" s="100"/>
      <c r="BE30" s="100"/>
      <c r="BF30" s="100"/>
      <c r="BG30" s="100"/>
      <c r="BH30" s="100">
        <f t="shared" si="22"/>
        <v>0</v>
      </c>
      <c r="BI30" s="100"/>
      <c r="BJ30" s="100"/>
      <c r="BK30" s="100"/>
      <c r="BL30" s="100">
        <f>E30+W30+X30+Y30+Z30+AB30+AC30+AD30+AE30+AQ30+AR30+AS30+AT30+AU30+AV30+AW30+AX30+AY30+AZ30+BA30+BB30+BC30+BD30+BE30+BF30+BG30+BH30</f>
        <v>0</v>
      </c>
      <c r="BM30" s="100">
        <f>AA67-BL30</f>
        <v>199.79</v>
      </c>
      <c r="BN30" s="100">
        <f t="shared" si="23"/>
        <v>199.79</v>
      </c>
      <c r="BP30" s="123"/>
    </row>
    <row r="31" spans="1:68" ht="20.100000000000001" customHeight="1">
      <c r="A31" s="19" t="s">
        <v>62</v>
      </c>
      <c r="B31" s="144" t="s">
        <v>63</v>
      </c>
      <c r="C31" s="5" t="s">
        <v>64</v>
      </c>
      <c r="D31" s="100">
        <f>#REF!</f>
        <v>66.75</v>
      </c>
      <c r="E31" s="100">
        <f t="shared" si="4"/>
        <v>0</v>
      </c>
      <c r="F31" s="100">
        <f t="shared" si="21"/>
        <v>0</v>
      </c>
      <c r="G31" s="100">
        <f t="shared" si="8"/>
        <v>0</v>
      </c>
      <c r="H31" s="100">
        <f t="shared" si="12"/>
        <v>0</v>
      </c>
      <c r="I31" s="100"/>
      <c r="J31" s="100"/>
      <c r="K31" s="100"/>
      <c r="L31" s="100"/>
      <c r="M31" s="100"/>
      <c r="N31" s="100"/>
      <c r="O31" s="100"/>
      <c r="P31" s="100"/>
      <c r="Q31" s="100"/>
      <c r="R31" s="100"/>
      <c r="S31" s="100"/>
      <c r="T31" s="100"/>
      <c r="U31" s="100"/>
      <c r="V31" s="100">
        <f>W31+X31+Y31+Z31+AA31+AB31+AC31+AD31+AE31+AQ31+AR31+AS31+AT31+AU31+AV31+AW31+AX31+AY31+AZ31+BA31+BB31+BC31+BD31+BE31+BF31+BG31</f>
        <v>66.75</v>
      </c>
      <c r="W31" s="100"/>
      <c r="X31" s="100"/>
      <c r="Y31" s="100"/>
      <c r="Z31" s="100"/>
      <c r="AA31" s="100">
        <v>7.0000000000000007E-2</v>
      </c>
      <c r="AB31" s="100">
        <f>D31-BL31</f>
        <v>66.62</v>
      </c>
      <c r="AC31" s="100"/>
      <c r="AD31" s="100"/>
      <c r="AE31" s="100">
        <f t="shared" si="9"/>
        <v>0.06</v>
      </c>
      <c r="AF31" s="100"/>
      <c r="AG31" s="100"/>
      <c r="AH31" s="100"/>
      <c r="AI31" s="100"/>
      <c r="AJ31" s="100"/>
      <c r="AK31" s="100"/>
      <c r="AL31" s="100">
        <v>0.06</v>
      </c>
      <c r="AM31" s="100"/>
      <c r="AN31" s="100"/>
      <c r="AO31" s="100"/>
      <c r="AP31" s="100"/>
      <c r="AQ31" s="100"/>
      <c r="AR31" s="100"/>
      <c r="AS31" s="100"/>
      <c r="AT31" s="100"/>
      <c r="AU31" s="100"/>
      <c r="AV31" s="100"/>
      <c r="AW31" s="100"/>
      <c r="AX31" s="100"/>
      <c r="AY31" s="100"/>
      <c r="AZ31" s="100"/>
      <c r="BA31" s="100"/>
      <c r="BB31" s="100"/>
      <c r="BC31" s="100"/>
      <c r="BD31" s="100"/>
      <c r="BE31" s="100"/>
      <c r="BF31" s="100"/>
      <c r="BG31" s="100"/>
      <c r="BH31" s="100">
        <f>BI31+BJ31+BK31</f>
        <v>0</v>
      </c>
      <c r="BI31" s="100"/>
      <c r="BJ31" s="100"/>
      <c r="BK31" s="100"/>
      <c r="BL31" s="100">
        <f>E31+W31+X31+Y31+Z31+AA31+AC31+AD31+AE31+AQ31+AR31+AS31+AT31+AU31+AV31+AW31+AX31+AY31+AZ31+BA31+BB31+BC31+BD31+BE31+BF31+BG31+BH31</f>
        <v>0.13</v>
      </c>
      <c r="BM31" s="100">
        <f>AB67-BL31</f>
        <v>26.970000000000002</v>
      </c>
      <c r="BN31" s="100">
        <f t="shared" si="23"/>
        <v>93.72</v>
      </c>
      <c r="BP31" s="123"/>
    </row>
    <row r="32" spans="1:68" ht="20.100000000000001" customHeight="1">
      <c r="A32" s="19" t="s">
        <v>65</v>
      </c>
      <c r="B32" s="144" t="s">
        <v>66</v>
      </c>
      <c r="C32" s="5" t="s">
        <v>67</v>
      </c>
      <c r="D32" s="100">
        <f>#REF!</f>
        <v>2.13</v>
      </c>
      <c r="E32" s="100">
        <f t="shared" si="4"/>
        <v>0</v>
      </c>
      <c r="F32" s="100">
        <f t="shared" si="21"/>
        <v>0</v>
      </c>
      <c r="G32" s="100">
        <f t="shared" si="8"/>
        <v>0</v>
      </c>
      <c r="H32" s="100">
        <f t="shared" si="12"/>
        <v>0</v>
      </c>
      <c r="I32" s="100"/>
      <c r="J32" s="100"/>
      <c r="K32" s="100"/>
      <c r="L32" s="100"/>
      <c r="M32" s="100"/>
      <c r="N32" s="100"/>
      <c r="O32" s="100"/>
      <c r="P32" s="100"/>
      <c r="Q32" s="100"/>
      <c r="R32" s="100"/>
      <c r="S32" s="100"/>
      <c r="T32" s="100"/>
      <c r="U32" s="100"/>
      <c r="V32" s="100">
        <f t="shared" si="13"/>
        <v>2.13</v>
      </c>
      <c r="W32" s="100"/>
      <c r="X32" s="100"/>
      <c r="Y32" s="100"/>
      <c r="Z32" s="100"/>
      <c r="AA32" s="100"/>
      <c r="AB32" s="100"/>
      <c r="AC32" s="100">
        <f>D32-BL32</f>
        <v>2.13</v>
      </c>
      <c r="AD32" s="100"/>
      <c r="AE32" s="100">
        <f t="shared" si="9"/>
        <v>0</v>
      </c>
      <c r="AF32" s="100"/>
      <c r="AG32" s="100"/>
      <c r="AH32" s="100"/>
      <c r="AI32" s="100"/>
      <c r="AJ32" s="100"/>
      <c r="AK32" s="100"/>
      <c r="AL32" s="100"/>
      <c r="AM32" s="100"/>
      <c r="AN32" s="100"/>
      <c r="AO32" s="100"/>
      <c r="AP32" s="100"/>
      <c r="AQ32" s="100"/>
      <c r="AR32" s="100"/>
      <c r="AS32" s="100"/>
      <c r="AT32" s="100"/>
      <c r="AU32" s="100"/>
      <c r="AV32" s="100"/>
      <c r="AW32" s="100"/>
      <c r="AX32" s="100"/>
      <c r="AY32" s="100"/>
      <c r="AZ32" s="100"/>
      <c r="BA32" s="100"/>
      <c r="BB32" s="100"/>
      <c r="BC32" s="100"/>
      <c r="BD32" s="100"/>
      <c r="BE32" s="100"/>
      <c r="BF32" s="100"/>
      <c r="BG32" s="100"/>
      <c r="BH32" s="100">
        <f t="shared" si="22"/>
        <v>0</v>
      </c>
      <c r="BI32" s="100"/>
      <c r="BJ32" s="100"/>
      <c r="BK32" s="100"/>
      <c r="BL32" s="100">
        <f>E32+W32+X32+Y32+Z32+AA32+AB32+AD32+AE32+AQ32+AR32+AS32+AT32+AU32+AV32+AW32+AX32+AY32+AZ32+BA32+BB32+BC32+BD32+BE32+BF32+BG32+BH32</f>
        <v>0</v>
      </c>
      <c r="BM32" s="100">
        <f>AC67-BL32</f>
        <v>91.61</v>
      </c>
      <c r="BN32" s="100">
        <f t="shared" si="23"/>
        <v>93.74</v>
      </c>
      <c r="BP32" s="123"/>
    </row>
    <row r="33" spans="1:68" ht="20.100000000000001" customHeight="1">
      <c r="A33" s="19" t="s">
        <v>68</v>
      </c>
      <c r="B33" s="144" t="s">
        <v>69</v>
      </c>
      <c r="C33" s="5" t="s">
        <v>70</v>
      </c>
      <c r="D33" s="100"/>
      <c r="E33" s="100">
        <f t="shared" si="4"/>
        <v>0</v>
      </c>
      <c r="F33" s="100">
        <f t="shared" si="21"/>
        <v>0</v>
      </c>
      <c r="G33" s="100">
        <f t="shared" si="8"/>
        <v>0</v>
      </c>
      <c r="H33" s="100">
        <f t="shared" si="12"/>
        <v>0</v>
      </c>
      <c r="I33" s="100"/>
      <c r="J33" s="100"/>
      <c r="K33" s="100"/>
      <c r="L33" s="100"/>
      <c r="M33" s="100"/>
      <c r="N33" s="100"/>
      <c r="O33" s="100"/>
      <c r="P33" s="100"/>
      <c r="Q33" s="100"/>
      <c r="R33" s="100"/>
      <c r="S33" s="100"/>
      <c r="T33" s="100"/>
      <c r="U33" s="100"/>
      <c r="V33" s="100">
        <f t="shared" si="13"/>
        <v>0</v>
      </c>
      <c r="W33" s="100"/>
      <c r="X33" s="100"/>
      <c r="Y33" s="100"/>
      <c r="Z33" s="100"/>
      <c r="AA33" s="100"/>
      <c r="AB33" s="100"/>
      <c r="AC33" s="100"/>
      <c r="AD33" s="100">
        <f>D33-BL33</f>
        <v>0</v>
      </c>
      <c r="AE33" s="100">
        <f t="shared" si="9"/>
        <v>0</v>
      </c>
      <c r="AF33" s="100"/>
      <c r="AG33" s="100"/>
      <c r="AH33" s="100"/>
      <c r="AI33" s="100"/>
      <c r="AJ33" s="100"/>
      <c r="AK33" s="100"/>
      <c r="AL33" s="100"/>
      <c r="AM33" s="100"/>
      <c r="AN33" s="100"/>
      <c r="AO33" s="100"/>
      <c r="AP33" s="100"/>
      <c r="AQ33" s="100"/>
      <c r="AR33" s="100"/>
      <c r="AS33" s="100"/>
      <c r="AT33" s="100"/>
      <c r="AU33" s="100"/>
      <c r="AV33" s="100"/>
      <c r="AW33" s="100"/>
      <c r="AX33" s="100"/>
      <c r="AY33" s="100"/>
      <c r="AZ33" s="100"/>
      <c r="BA33" s="100"/>
      <c r="BB33" s="100"/>
      <c r="BC33" s="100"/>
      <c r="BD33" s="100"/>
      <c r="BE33" s="100"/>
      <c r="BF33" s="100"/>
      <c r="BG33" s="100"/>
      <c r="BH33" s="100">
        <f t="shared" si="22"/>
        <v>0</v>
      </c>
      <c r="BI33" s="100"/>
      <c r="BJ33" s="100"/>
      <c r="BK33" s="100"/>
      <c r="BL33" s="100">
        <f>E33+W33+X33+Y33+Z33+AA33+AB33+AC33+AE33+AQ33+AR33+AS33+AT33+AU33+AV33+AW33+AX33+AY33+AZ33+BA33+BB33+BC33+BD33+BE33+BF33+BG33+BH33</f>
        <v>0</v>
      </c>
      <c r="BM33" s="100">
        <f>AD67-BL33</f>
        <v>0</v>
      </c>
      <c r="BN33" s="100">
        <f t="shared" si="23"/>
        <v>0</v>
      </c>
      <c r="BP33" s="123"/>
    </row>
    <row r="34" spans="1:68" ht="40.5" customHeight="1">
      <c r="A34" s="19" t="s">
        <v>71</v>
      </c>
      <c r="B34" s="144" t="s">
        <v>135</v>
      </c>
      <c r="C34" s="5" t="s">
        <v>72</v>
      </c>
      <c r="D34" s="100">
        <f>SUM(D35:D45)</f>
        <v>222.68</v>
      </c>
      <c r="E34" s="100">
        <f>SUM(E35:E45)</f>
        <v>1.06</v>
      </c>
      <c r="F34" s="100">
        <f t="shared" ref="F34:U34" si="24">SUM(F35:F45)</f>
        <v>0</v>
      </c>
      <c r="G34" s="100">
        <f t="shared" si="24"/>
        <v>0</v>
      </c>
      <c r="H34" s="100">
        <f t="shared" si="24"/>
        <v>0</v>
      </c>
      <c r="I34" s="100">
        <f t="shared" si="24"/>
        <v>0</v>
      </c>
      <c r="J34" s="100">
        <f t="shared" si="24"/>
        <v>0</v>
      </c>
      <c r="K34" s="100">
        <f t="shared" si="24"/>
        <v>0</v>
      </c>
      <c r="L34" s="100">
        <f t="shared" si="24"/>
        <v>0</v>
      </c>
      <c r="M34" s="100">
        <f t="shared" si="24"/>
        <v>0</v>
      </c>
      <c r="N34" s="100">
        <f t="shared" si="24"/>
        <v>0</v>
      </c>
      <c r="O34" s="100">
        <f t="shared" si="24"/>
        <v>0</v>
      </c>
      <c r="P34" s="100">
        <f t="shared" si="24"/>
        <v>0</v>
      </c>
      <c r="Q34" s="100">
        <f t="shared" si="24"/>
        <v>0</v>
      </c>
      <c r="R34" s="100">
        <f t="shared" si="24"/>
        <v>0</v>
      </c>
      <c r="S34" s="100">
        <f t="shared" si="24"/>
        <v>1.06</v>
      </c>
      <c r="T34" s="100">
        <f t="shared" si="24"/>
        <v>0</v>
      </c>
      <c r="U34" s="100">
        <f t="shared" si="24"/>
        <v>0</v>
      </c>
      <c r="V34" s="100">
        <f>SUM(V35:V45)</f>
        <v>221.62000000000006</v>
      </c>
      <c r="W34" s="100">
        <f t="shared" ref="W34:AD34" si="25">SUM(W35:W45)</f>
        <v>0.03</v>
      </c>
      <c r="X34" s="100">
        <f t="shared" si="25"/>
        <v>0</v>
      </c>
      <c r="Y34" s="100">
        <f t="shared" si="25"/>
        <v>0</v>
      </c>
      <c r="Z34" s="100">
        <f t="shared" si="25"/>
        <v>0</v>
      </c>
      <c r="AA34" s="100">
        <f t="shared" si="25"/>
        <v>11.440000000000001</v>
      </c>
      <c r="AB34" s="100">
        <f t="shared" si="25"/>
        <v>1.91</v>
      </c>
      <c r="AC34" s="100">
        <f t="shared" si="25"/>
        <v>4.01</v>
      </c>
      <c r="AD34" s="100">
        <f t="shared" si="25"/>
        <v>0</v>
      </c>
      <c r="AE34" s="100">
        <f>D34-BL34</f>
        <v>200.94</v>
      </c>
      <c r="AF34" s="100">
        <f>SUM(AF35:AF45)</f>
        <v>0.11</v>
      </c>
      <c r="AG34" s="100">
        <f t="shared" ref="AG34:BE34" si="26">SUM(AG35:AG45)</f>
        <v>0.25</v>
      </c>
      <c r="AH34" s="100">
        <f t="shared" si="26"/>
        <v>6.17</v>
      </c>
      <c r="AI34" s="100">
        <f t="shared" si="26"/>
        <v>0.92</v>
      </c>
      <c r="AJ34" s="100">
        <f t="shared" si="26"/>
        <v>0</v>
      </c>
      <c r="AK34" s="100">
        <f t="shared" si="26"/>
        <v>0.04</v>
      </c>
      <c r="AL34" s="100">
        <f t="shared" si="26"/>
        <v>137.08999999999997</v>
      </c>
      <c r="AM34" s="100">
        <f t="shared" si="26"/>
        <v>56.189999999999991</v>
      </c>
      <c r="AN34" s="100">
        <f t="shared" si="26"/>
        <v>0.06</v>
      </c>
      <c r="AO34" s="100">
        <f t="shared" si="26"/>
        <v>0.02</v>
      </c>
      <c r="AP34" s="100">
        <f t="shared" si="26"/>
        <v>0.09</v>
      </c>
      <c r="AQ34" s="100">
        <f t="shared" si="26"/>
        <v>0</v>
      </c>
      <c r="AR34" s="100">
        <f t="shared" si="26"/>
        <v>0</v>
      </c>
      <c r="AS34" s="100">
        <f t="shared" si="26"/>
        <v>0</v>
      </c>
      <c r="AT34" s="100">
        <f t="shared" si="26"/>
        <v>0</v>
      </c>
      <c r="AU34" s="100">
        <f t="shared" si="26"/>
        <v>1.1300000000000001</v>
      </c>
      <c r="AV34" s="100">
        <f t="shared" si="26"/>
        <v>1.3900000000000001</v>
      </c>
      <c r="AW34" s="100">
        <f t="shared" si="26"/>
        <v>0</v>
      </c>
      <c r="AX34" s="100">
        <f t="shared" si="26"/>
        <v>0</v>
      </c>
      <c r="AY34" s="100">
        <f t="shared" si="26"/>
        <v>0</v>
      </c>
      <c r="AZ34" s="100">
        <f t="shared" si="26"/>
        <v>0</v>
      </c>
      <c r="BA34" s="100">
        <f t="shared" si="26"/>
        <v>0</v>
      </c>
      <c r="BB34" s="100">
        <f t="shared" si="26"/>
        <v>0</v>
      </c>
      <c r="BC34" s="100">
        <f t="shared" si="26"/>
        <v>0.77</v>
      </c>
      <c r="BD34" s="100">
        <f t="shared" si="26"/>
        <v>0</v>
      </c>
      <c r="BE34" s="100">
        <f t="shared" si="26"/>
        <v>0</v>
      </c>
      <c r="BF34" s="100">
        <f>SUM(BF35:BF45)</f>
        <v>0</v>
      </c>
      <c r="BG34" s="100">
        <f>SUM(BG35:BG45)</f>
        <v>0</v>
      </c>
      <c r="BH34" s="100">
        <f>BI34+BJ34+BK34</f>
        <v>0</v>
      </c>
      <c r="BI34" s="100">
        <f>SUM(BI35:BI45)</f>
        <v>0</v>
      </c>
      <c r="BJ34" s="100">
        <f>SUM(BJ35:BJ45)</f>
        <v>0</v>
      </c>
      <c r="BK34" s="100">
        <f>SUM(BK35:BK45)</f>
        <v>0</v>
      </c>
      <c r="BL34" s="100">
        <f>E34+W34+X34+Y34+Z34+AA34+AB34+AC34+AQ34+AR34+AS34+AT34+AU34+AV34+AW34+AX34+AY34+AZ34+BA34+BB34+BC34+BD34+BE34+BF34+BG34+BH34</f>
        <v>21.740000000000002</v>
      </c>
      <c r="BM34" s="100">
        <f>AE67-BL34</f>
        <v>57.88</v>
      </c>
      <c r="BN34" s="100">
        <f>SUM(BN35:BN45)</f>
        <v>280.55999999999995</v>
      </c>
      <c r="BP34" s="123"/>
    </row>
    <row r="35" spans="1:68" ht="20.100000000000001" customHeight="1">
      <c r="A35" s="14" t="s">
        <v>224</v>
      </c>
      <c r="B35" s="143" t="s">
        <v>478</v>
      </c>
      <c r="C35" s="5" t="s">
        <v>202</v>
      </c>
      <c r="D35" s="100">
        <f>#REF!</f>
        <v>0.08</v>
      </c>
      <c r="E35" s="100">
        <f t="shared" si="4"/>
        <v>0</v>
      </c>
      <c r="F35" s="100">
        <f t="shared" si="21"/>
        <v>0</v>
      </c>
      <c r="G35" s="100">
        <f t="shared" si="8"/>
        <v>0</v>
      </c>
      <c r="H35" s="100">
        <f t="shared" si="12"/>
        <v>0</v>
      </c>
      <c r="I35" s="100"/>
      <c r="J35" s="100"/>
      <c r="K35" s="100"/>
      <c r="L35" s="100"/>
      <c r="M35" s="100"/>
      <c r="N35" s="100"/>
      <c r="O35" s="100"/>
      <c r="P35" s="100"/>
      <c r="Q35" s="100"/>
      <c r="R35" s="100"/>
      <c r="S35" s="100"/>
      <c r="T35" s="100"/>
      <c r="U35" s="100"/>
      <c r="V35" s="100">
        <f t="shared" si="13"/>
        <v>0.08</v>
      </c>
      <c r="W35" s="100"/>
      <c r="X35" s="100"/>
      <c r="Y35" s="100"/>
      <c r="Z35" s="100"/>
      <c r="AA35" s="100"/>
      <c r="AB35" s="100"/>
      <c r="AC35" s="100"/>
      <c r="AD35" s="100"/>
      <c r="AE35" s="100">
        <f>SUM(AF35:AP35)</f>
        <v>0.08</v>
      </c>
      <c r="AF35" s="100">
        <f>D35-BL35</f>
        <v>7.0000000000000007E-2</v>
      </c>
      <c r="AG35" s="100"/>
      <c r="AH35" s="100"/>
      <c r="AI35" s="100"/>
      <c r="AJ35" s="100"/>
      <c r="AK35" s="100"/>
      <c r="AL35" s="100">
        <v>0.01</v>
      </c>
      <c r="AM35" s="100"/>
      <c r="AN35" s="100"/>
      <c r="AO35" s="100"/>
      <c r="AP35" s="100"/>
      <c r="AQ35" s="100"/>
      <c r="AR35" s="100"/>
      <c r="AS35" s="100"/>
      <c r="AT35" s="100"/>
      <c r="AU35" s="100"/>
      <c r="AV35" s="100"/>
      <c r="AW35" s="100"/>
      <c r="AX35" s="100"/>
      <c r="AY35" s="100"/>
      <c r="AZ35" s="100"/>
      <c r="BA35" s="100"/>
      <c r="BB35" s="100"/>
      <c r="BC35" s="100"/>
      <c r="BD35" s="100"/>
      <c r="BE35" s="100"/>
      <c r="BF35" s="100"/>
      <c r="BG35" s="100"/>
      <c r="BH35" s="100">
        <f t="shared" si="22"/>
        <v>0</v>
      </c>
      <c r="BI35" s="100"/>
      <c r="BJ35" s="100"/>
      <c r="BK35" s="100"/>
      <c r="BL35" s="100">
        <f>E35+W35+X35+Y35+Z35+AA35+AB35+AC35+AD35+AG35+AH35+AI35+AJ35+AK35+AL35+AM35+AN35+AO35+AP35+AQ35+AR35+AS35+AT35+AU35+AV35+AW35+AX35+AY35+AZ35+BA35+BB35+BC35+BD35</f>
        <v>0.01</v>
      </c>
      <c r="BM35" s="100">
        <f>AF67-BL35</f>
        <v>0.81</v>
      </c>
      <c r="BN35" s="100">
        <f>D35+BM35</f>
        <v>0.89</v>
      </c>
      <c r="BP35" s="123"/>
    </row>
    <row r="36" spans="1:68" ht="20.100000000000001" customHeight="1">
      <c r="A36" s="14" t="s">
        <v>225</v>
      </c>
      <c r="B36" s="143" t="s">
        <v>479</v>
      </c>
      <c r="C36" s="5" t="s">
        <v>203</v>
      </c>
      <c r="D36" s="100">
        <f>#REF!</f>
        <v>0.25</v>
      </c>
      <c r="E36" s="100">
        <f t="shared" si="4"/>
        <v>0</v>
      </c>
      <c r="F36" s="100">
        <f t="shared" si="21"/>
        <v>0</v>
      </c>
      <c r="G36" s="100">
        <f t="shared" si="8"/>
        <v>0</v>
      </c>
      <c r="H36" s="100">
        <f t="shared" si="12"/>
        <v>0</v>
      </c>
      <c r="I36" s="100"/>
      <c r="J36" s="100"/>
      <c r="K36" s="100"/>
      <c r="L36" s="100"/>
      <c r="M36" s="100"/>
      <c r="N36" s="100"/>
      <c r="O36" s="100"/>
      <c r="P36" s="100"/>
      <c r="Q36" s="100"/>
      <c r="R36" s="100"/>
      <c r="S36" s="100"/>
      <c r="T36" s="100"/>
      <c r="U36" s="100"/>
      <c r="V36" s="100">
        <f t="shared" si="13"/>
        <v>0.25</v>
      </c>
      <c r="W36" s="100"/>
      <c r="X36" s="100"/>
      <c r="Y36" s="100"/>
      <c r="Z36" s="100"/>
      <c r="AA36" s="100"/>
      <c r="AB36" s="100"/>
      <c r="AC36" s="100"/>
      <c r="AD36" s="100"/>
      <c r="AE36" s="100">
        <f t="shared" ref="AE36:AE66" si="27">SUM(AF36:AP36)</f>
        <v>0.25</v>
      </c>
      <c r="AF36" s="100"/>
      <c r="AG36" s="100">
        <f>D36-BL36</f>
        <v>0.25</v>
      </c>
      <c r="AH36" s="100"/>
      <c r="AI36" s="100"/>
      <c r="AJ36" s="100"/>
      <c r="AK36" s="100"/>
      <c r="AL36" s="100"/>
      <c r="AM36" s="100"/>
      <c r="AN36" s="100"/>
      <c r="AO36" s="100"/>
      <c r="AP36" s="100"/>
      <c r="AQ36" s="100"/>
      <c r="AR36" s="100"/>
      <c r="AS36" s="100"/>
      <c r="AT36" s="100"/>
      <c r="AU36" s="100"/>
      <c r="AV36" s="100"/>
      <c r="AW36" s="100"/>
      <c r="AX36" s="100"/>
      <c r="AY36" s="100"/>
      <c r="AZ36" s="100"/>
      <c r="BA36" s="100"/>
      <c r="BB36" s="100"/>
      <c r="BC36" s="100"/>
      <c r="BD36" s="100"/>
      <c r="BE36" s="100"/>
      <c r="BF36" s="100"/>
      <c r="BG36" s="100"/>
      <c r="BH36" s="100">
        <f t="shared" si="22"/>
        <v>0</v>
      </c>
      <c r="BI36" s="100"/>
      <c r="BJ36" s="100"/>
      <c r="BK36" s="100"/>
      <c r="BL36" s="100">
        <f>E36+W36+X36+Y36+Z36+AA36+AB36+AC36+AD36+AF36+AH36+AI36+AJ36+AK36+AL36+AM36+AN36+AO36+AP36+AQ36+AR36+AS36+AT36+AU36+AV36+AW36+AX36+AY36+AZ36+BA36+BB36+BC36+BD36+BE36+BF36+BG36+BH36</f>
        <v>0</v>
      </c>
      <c r="BM36" s="100">
        <f>AG67-BL36</f>
        <v>0</v>
      </c>
      <c r="BN36" s="100">
        <f t="shared" ref="BN36:BN45" si="28">D36+BM36</f>
        <v>0.25</v>
      </c>
      <c r="BP36" s="123"/>
    </row>
    <row r="37" spans="1:68" ht="20.100000000000001" customHeight="1">
      <c r="A37" s="14" t="s">
        <v>226</v>
      </c>
      <c r="B37" s="143" t="s">
        <v>480</v>
      </c>
      <c r="C37" s="5" t="s">
        <v>204</v>
      </c>
      <c r="D37" s="100">
        <f>#REF!</f>
        <v>6.17</v>
      </c>
      <c r="E37" s="100">
        <f t="shared" si="4"/>
        <v>0</v>
      </c>
      <c r="F37" s="100">
        <f t="shared" si="21"/>
        <v>0</v>
      </c>
      <c r="G37" s="100">
        <f t="shared" si="8"/>
        <v>0</v>
      </c>
      <c r="H37" s="100">
        <f t="shared" si="12"/>
        <v>0</v>
      </c>
      <c r="I37" s="100"/>
      <c r="J37" s="100"/>
      <c r="K37" s="100"/>
      <c r="L37" s="100"/>
      <c r="M37" s="100"/>
      <c r="N37" s="100"/>
      <c r="O37" s="100"/>
      <c r="P37" s="100"/>
      <c r="Q37" s="100"/>
      <c r="R37" s="100"/>
      <c r="S37" s="100"/>
      <c r="T37" s="100"/>
      <c r="U37" s="100"/>
      <c r="V37" s="100">
        <f t="shared" si="13"/>
        <v>6.17</v>
      </c>
      <c r="W37" s="100"/>
      <c r="X37" s="100"/>
      <c r="Y37" s="100"/>
      <c r="Z37" s="100"/>
      <c r="AA37" s="100"/>
      <c r="AB37" s="100"/>
      <c r="AC37" s="100"/>
      <c r="AD37" s="100"/>
      <c r="AE37" s="100">
        <f t="shared" si="27"/>
        <v>6.17</v>
      </c>
      <c r="AF37" s="100"/>
      <c r="AG37" s="100"/>
      <c r="AH37" s="100">
        <f>D37-BL37</f>
        <v>6.17</v>
      </c>
      <c r="AI37" s="100"/>
      <c r="AJ37" s="100"/>
      <c r="AK37" s="100"/>
      <c r="AL37" s="100"/>
      <c r="AM37" s="100"/>
      <c r="AN37" s="100"/>
      <c r="AO37" s="100"/>
      <c r="AP37" s="100"/>
      <c r="AQ37" s="100"/>
      <c r="AR37" s="100"/>
      <c r="AS37" s="100"/>
      <c r="AT37" s="100"/>
      <c r="AU37" s="100"/>
      <c r="AV37" s="100"/>
      <c r="AW37" s="100"/>
      <c r="AX37" s="100"/>
      <c r="AY37" s="100"/>
      <c r="AZ37" s="100"/>
      <c r="BA37" s="100"/>
      <c r="BB37" s="100"/>
      <c r="BC37" s="100"/>
      <c r="BD37" s="100"/>
      <c r="BE37" s="100"/>
      <c r="BF37" s="100"/>
      <c r="BG37" s="100"/>
      <c r="BH37" s="100">
        <f t="shared" si="22"/>
        <v>0</v>
      </c>
      <c r="BI37" s="100"/>
      <c r="BJ37" s="100"/>
      <c r="BK37" s="100"/>
      <c r="BL37" s="100">
        <f>E37+W37+X37+Y37+Z37+AA37+AB37+AC37+AD37+AF37+AG37+AI37+AJ37+AK37+AL37+AM37+AN37+AO37+AP37+AQ37+AR37+AS37+AT37+AU37+AV37+AW37+AX37+AY37+AZ37+BA37+BB37+BC37+BD37+BE37+BF37+BG37+BH37</f>
        <v>0</v>
      </c>
      <c r="BM37" s="100">
        <f>AH67-BL37</f>
        <v>0</v>
      </c>
      <c r="BN37" s="100">
        <f t="shared" si="28"/>
        <v>6.17</v>
      </c>
      <c r="BP37" s="123"/>
    </row>
    <row r="38" spans="1:68" ht="20.100000000000001" customHeight="1">
      <c r="A38" s="14" t="s">
        <v>227</v>
      </c>
      <c r="B38" s="143" t="s">
        <v>481</v>
      </c>
      <c r="C38" s="5" t="s">
        <v>205</v>
      </c>
      <c r="D38" s="100">
        <f>#REF!</f>
        <v>0.92</v>
      </c>
      <c r="E38" s="100">
        <f t="shared" si="4"/>
        <v>0</v>
      </c>
      <c r="F38" s="100">
        <f t="shared" si="21"/>
        <v>0</v>
      </c>
      <c r="G38" s="100">
        <f t="shared" si="8"/>
        <v>0</v>
      </c>
      <c r="H38" s="100">
        <f t="shared" si="12"/>
        <v>0</v>
      </c>
      <c r="I38" s="100"/>
      <c r="J38" s="100"/>
      <c r="K38" s="100"/>
      <c r="L38" s="100"/>
      <c r="M38" s="100"/>
      <c r="N38" s="100"/>
      <c r="O38" s="100"/>
      <c r="P38" s="100"/>
      <c r="Q38" s="100"/>
      <c r="R38" s="100"/>
      <c r="S38" s="100"/>
      <c r="T38" s="100"/>
      <c r="U38" s="100"/>
      <c r="V38" s="100">
        <f t="shared" si="13"/>
        <v>0.92</v>
      </c>
      <c r="W38" s="100"/>
      <c r="X38" s="100"/>
      <c r="Y38" s="100"/>
      <c r="Z38" s="100"/>
      <c r="AA38" s="100"/>
      <c r="AB38" s="100"/>
      <c r="AC38" s="100"/>
      <c r="AD38" s="100"/>
      <c r="AE38" s="100">
        <f t="shared" si="27"/>
        <v>0.92</v>
      </c>
      <c r="AF38" s="100"/>
      <c r="AG38" s="100"/>
      <c r="AH38" s="100"/>
      <c r="AI38" s="100">
        <f>D38-BL38</f>
        <v>0.92</v>
      </c>
      <c r="AJ38" s="100"/>
      <c r="AK38" s="100"/>
      <c r="AL38" s="100"/>
      <c r="AM38" s="100"/>
      <c r="AN38" s="100"/>
      <c r="AO38" s="100"/>
      <c r="AP38" s="100"/>
      <c r="AQ38" s="100"/>
      <c r="AR38" s="100"/>
      <c r="AS38" s="100"/>
      <c r="AT38" s="100"/>
      <c r="AU38" s="100"/>
      <c r="AV38" s="100"/>
      <c r="AW38" s="100"/>
      <c r="AX38" s="100"/>
      <c r="AY38" s="100"/>
      <c r="AZ38" s="100"/>
      <c r="BA38" s="100"/>
      <c r="BB38" s="100"/>
      <c r="BC38" s="100"/>
      <c r="BD38" s="100"/>
      <c r="BE38" s="100"/>
      <c r="BF38" s="100"/>
      <c r="BG38" s="100"/>
      <c r="BH38" s="100">
        <f t="shared" si="22"/>
        <v>0</v>
      </c>
      <c r="BI38" s="100"/>
      <c r="BJ38" s="100"/>
      <c r="BK38" s="100"/>
      <c r="BL38" s="100">
        <f>E38+W38+X38+Y38+Z38+AA38+AB38+AC38+AD38+AF38+AG38+AH38+AJ38+AK38+AL38+AM38+AN38+AO38+AP38+AQ38+AR38+AS38+AT38+AU38+AV38+AW38+AX38+AY38+AZ38+BA38+BB38+BC38+BD38+BE38+BF38+BG38+BH38</f>
        <v>0</v>
      </c>
      <c r="BM38" s="100">
        <f>AI67-BL38</f>
        <v>0</v>
      </c>
      <c r="BN38" s="100">
        <f t="shared" si="28"/>
        <v>0.92</v>
      </c>
      <c r="BP38" s="123"/>
    </row>
    <row r="39" spans="1:68" ht="20.100000000000001" customHeight="1">
      <c r="A39" s="14" t="s">
        <v>228</v>
      </c>
      <c r="B39" s="143" t="s">
        <v>482</v>
      </c>
      <c r="C39" s="5" t="s">
        <v>206</v>
      </c>
      <c r="D39" s="100"/>
      <c r="E39" s="100">
        <f t="shared" si="4"/>
        <v>0</v>
      </c>
      <c r="F39" s="100">
        <f t="shared" si="21"/>
        <v>0</v>
      </c>
      <c r="G39" s="100">
        <f t="shared" si="8"/>
        <v>0</v>
      </c>
      <c r="H39" s="100">
        <f t="shared" si="12"/>
        <v>0</v>
      </c>
      <c r="I39" s="100"/>
      <c r="J39" s="100"/>
      <c r="K39" s="100"/>
      <c r="L39" s="100"/>
      <c r="M39" s="100"/>
      <c r="N39" s="100"/>
      <c r="O39" s="100"/>
      <c r="P39" s="100"/>
      <c r="Q39" s="100"/>
      <c r="R39" s="100"/>
      <c r="S39" s="100"/>
      <c r="T39" s="100"/>
      <c r="U39" s="100"/>
      <c r="V39" s="100">
        <f t="shared" si="13"/>
        <v>0</v>
      </c>
      <c r="W39" s="100"/>
      <c r="X39" s="100"/>
      <c r="Y39" s="100"/>
      <c r="Z39" s="100"/>
      <c r="AA39" s="100"/>
      <c r="AB39" s="100"/>
      <c r="AC39" s="100"/>
      <c r="AD39" s="100"/>
      <c r="AE39" s="100">
        <f t="shared" si="27"/>
        <v>0</v>
      </c>
      <c r="AF39" s="100"/>
      <c r="AG39" s="100"/>
      <c r="AH39" s="100"/>
      <c r="AI39" s="100"/>
      <c r="AJ39" s="100">
        <f>D39-BL39</f>
        <v>0</v>
      </c>
      <c r="AK39" s="100"/>
      <c r="AL39" s="100"/>
      <c r="AM39" s="100"/>
      <c r="AN39" s="100"/>
      <c r="AO39" s="100"/>
      <c r="AP39" s="100"/>
      <c r="AQ39" s="100"/>
      <c r="AR39" s="100"/>
      <c r="AS39" s="100"/>
      <c r="AT39" s="100"/>
      <c r="AU39" s="100"/>
      <c r="AV39" s="100"/>
      <c r="AW39" s="100"/>
      <c r="AX39" s="100"/>
      <c r="AY39" s="100"/>
      <c r="AZ39" s="100"/>
      <c r="BA39" s="100"/>
      <c r="BB39" s="100"/>
      <c r="BC39" s="100"/>
      <c r="BD39" s="100"/>
      <c r="BE39" s="100"/>
      <c r="BF39" s="100"/>
      <c r="BG39" s="100"/>
      <c r="BH39" s="100">
        <f t="shared" si="22"/>
        <v>0</v>
      </c>
      <c r="BI39" s="100"/>
      <c r="BJ39" s="100"/>
      <c r="BK39" s="100"/>
      <c r="BL39" s="100">
        <f>E39+W39+X39+Y39+Z39+AA39+AB39+AC39+AD39+AQ39+AR39+AS39+AT39+AU39+AV39+AW39+AX39+AY39+AZ39+BA39+BB39+BC39+BD39+BE39+BF39+BG39+BH39+AF39+AG39+AH39+AI39+AK39+AL39+AM39+AN39+AO39+AP39</f>
        <v>0</v>
      </c>
      <c r="BM39" s="100">
        <f>AJ67-BL39</f>
        <v>0</v>
      </c>
      <c r="BN39" s="100">
        <f t="shared" si="28"/>
        <v>0</v>
      </c>
      <c r="BP39" s="123"/>
    </row>
    <row r="40" spans="1:68" ht="20.100000000000001" customHeight="1">
      <c r="A40" s="14" t="s">
        <v>229</v>
      </c>
      <c r="B40" s="143" t="s">
        <v>483</v>
      </c>
      <c r="C40" s="5" t="s">
        <v>207</v>
      </c>
      <c r="D40" s="100">
        <f>#REF!</f>
        <v>0.04</v>
      </c>
      <c r="E40" s="100">
        <f t="shared" si="4"/>
        <v>0</v>
      </c>
      <c r="F40" s="100">
        <f t="shared" si="21"/>
        <v>0</v>
      </c>
      <c r="G40" s="100">
        <f t="shared" si="8"/>
        <v>0</v>
      </c>
      <c r="H40" s="100">
        <f t="shared" si="12"/>
        <v>0</v>
      </c>
      <c r="I40" s="100"/>
      <c r="J40" s="100"/>
      <c r="K40" s="100"/>
      <c r="L40" s="100"/>
      <c r="M40" s="100"/>
      <c r="N40" s="100"/>
      <c r="O40" s="100"/>
      <c r="P40" s="100"/>
      <c r="Q40" s="100"/>
      <c r="R40" s="100"/>
      <c r="S40" s="100"/>
      <c r="T40" s="100"/>
      <c r="U40" s="100"/>
      <c r="V40" s="100">
        <f t="shared" si="13"/>
        <v>0.04</v>
      </c>
      <c r="W40" s="100"/>
      <c r="X40" s="100"/>
      <c r="Y40" s="100"/>
      <c r="Z40" s="100"/>
      <c r="AA40" s="100"/>
      <c r="AB40" s="100"/>
      <c r="AC40" s="100"/>
      <c r="AD40" s="100"/>
      <c r="AE40" s="100">
        <f t="shared" si="27"/>
        <v>0.04</v>
      </c>
      <c r="AF40" s="100"/>
      <c r="AG40" s="100"/>
      <c r="AH40" s="100"/>
      <c r="AI40" s="100"/>
      <c r="AJ40" s="100"/>
      <c r="AK40" s="100">
        <f>D40-BL40</f>
        <v>0.04</v>
      </c>
      <c r="AL40" s="100"/>
      <c r="AM40" s="100"/>
      <c r="AN40" s="100"/>
      <c r="AO40" s="100"/>
      <c r="AP40" s="100"/>
      <c r="AQ40" s="100"/>
      <c r="AR40" s="100"/>
      <c r="AS40" s="100"/>
      <c r="AT40" s="100"/>
      <c r="AU40" s="100"/>
      <c r="AV40" s="100"/>
      <c r="AW40" s="100"/>
      <c r="AX40" s="100"/>
      <c r="AY40" s="100"/>
      <c r="AZ40" s="100"/>
      <c r="BA40" s="100"/>
      <c r="BB40" s="100"/>
      <c r="BC40" s="100"/>
      <c r="BD40" s="100"/>
      <c r="BE40" s="100"/>
      <c r="BF40" s="100"/>
      <c r="BG40" s="100"/>
      <c r="BH40" s="100">
        <f t="shared" si="22"/>
        <v>0</v>
      </c>
      <c r="BI40" s="100"/>
      <c r="BJ40" s="100"/>
      <c r="BK40" s="100"/>
      <c r="BL40" s="100">
        <f>E40+W40+X40+Y40+Z40+AA40+AB40+AC40+AD40+AF40+AG40+AH40+AI40+AJ40+AL40+AM40+AN40+AO40+AP40+AQ40+AR40+AS40+AT40+AU40+AV40+AW40+AX40+AY40+AZ40+BA40+BB40+BC40+BD40+BE40+BF40+BG40+BH40</f>
        <v>0</v>
      </c>
      <c r="BM40" s="100">
        <f>AK67-BL40</f>
        <v>0</v>
      </c>
      <c r="BN40" s="100">
        <f t="shared" si="28"/>
        <v>0.04</v>
      </c>
      <c r="BP40" s="123"/>
    </row>
    <row r="41" spans="1:68" ht="20.100000000000001" customHeight="1">
      <c r="A41" s="14" t="s">
        <v>230</v>
      </c>
      <c r="B41" s="143" t="s">
        <v>484</v>
      </c>
      <c r="C41" s="5" t="s">
        <v>199</v>
      </c>
      <c r="D41" s="100">
        <f>#REF!</f>
        <v>145.22999999999999</v>
      </c>
      <c r="E41" s="100">
        <f t="shared" si="4"/>
        <v>0</v>
      </c>
      <c r="F41" s="100">
        <f t="shared" si="21"/>
        <v>0</v>
      </c>
      <c r="G41" s="100">
        <f t="shared" si="8"/>
        <v>0</v>
      </c>
      <c r="H41" s="100">
        <f t="shared" si="12"/>
        <v>0</v>
      </c>
      <c r="I41" s="100"/>
      <c r="J41" s="100"/>
      <c r="K41" s="100"/>
      <c r="L41" s="100"/>
      <c r="M41" s="100"/>
      <c r="N41" s="100"/>
      <c r="O41" s="100"/>
      <c r="P41" s="100"/>
      <c r="Q41" s="100"/>
      <c r="R41" s="100"/>
      <c r="S41" s="100"/>
      <c r="T41" s="100"/>
      <c r="U41" s="100"/>
      <c r="V41" s="100">
        <f t="shared" si="13"/>
        <v>145.23000000000002</v>
      </c>
      <c r="W41" s="100"/>
      <c r="X41" s="100"/>
      <c r="Y41" s="100"/>
      <c r="Z41" s="100"/>
      <c r="AA41" s="100">
        <v>2.46</v>
      </c>
      <c r="AB41" s="100">
        <v>1.71</v>
      </c>
      <c r="AC41" s="100">
        <v>2.35</v>
      </c>
      <c r="AD41" s="100"/>
      <c r="AE41" s="100">
        <f t="shared" si="27"/>
        <v>135.93</v>
      </c>
      <c r="AF41" s="100">
        <v>0.03</v>
      </c>
      <c r="AG41" s="100"/>
      <c r="AH41" s="100"/>
      <c r="AI41" s="100"/>
      <c r="AJ41" s="100"/>
      <c r="AK41" s="100"/>
      <c r="AL41" s="100">
        <f>D41-BL41</f>
        <v>135.85</v>
      </c>
      <c r="AM41" s="100">
        <v>0.05</v>
      </c>
      <c r="AN41" s="100"/>
      <c r="AO41" s="100"/>
      <c r="AP41" s="100"/>
      <c r="AQ41" s="100"/>
      <c r="AR41" s="100"/>
      <c r="AS41" s="100"/>
      <c r="AT41" s="100"/>
      <c r="AU41" s="100">
        <v>0.9</v>
      </c>
      <c r="AV41" s="100">
        <v>1.26</v>
      </c>
      <c r="AW41" s="100"/>
      <c r="AX41" s="100"/>
      <c r="AY41" s="100"/>
      <c r="AZ41" s="100"/>
      <c r="BA41" s="100"/>
      <c r="BB41" s="100"/>
      <c r="BC41" s="100">
        <v>0.62</v>
      </c>
      <c r="BD41" s="100"/>
      <c r="BE41" s="100"/>
      <c r="BF41" s="100"/>
      <c r="BG41" s="100"/>
      <c r="BH41" s="100">
        <f t="shared" si="22"/>
        <v>0</v>
      </c>
      <c r="BI41" s="100"/>
      <c r="BJ41" s="100"/>
      <c r="BK41" s="100"/>
      <c r="BL41" s="100">
        <f>E41+W41+X41+Y41+Z41+AA41+AB41+AC41+AD41+AF41+AG41+AH41+AI41+AJ41+AK41+AM41+AN41+AO41+AP41+AQ41+AR41+AS41+AT41+AU41+AV41+AW41+AX41+AY41+AZ41+BA41+BB41+BC41+BD41+BE41+BF41+BG41+BH41</f>
        <v>9.379999999999999</v>
      </c>
      <c r="BM41" s="100">
        <f>AL67-BL41</f>
        <v>70.200000000000017</v>
      </c>
      <c r="BN41" s="100">
        <f t="shared" si="28"/>
        <v>215.43</v>
      </c>
      <c r="BP41" s="123"/>
    </row>
    <row r="42" spans="1:68" ht="20.100000000000001" customHeight="1">
      <c r="A42" s="14" t="s">
        <v>231</v>
      </c>
      <c r="B42" s="143" t="s">
        <v>485</v>
      </c>
      <c r="C42" s="5" t="s">
        <v>200</v>
      </c>
      <c r="D42" s="100">
        <f>#REF!</f>
        <v>69.819999999999993</v>
      </c>
      <c r="E42" s="100">
        <f t="shared" si="4"/>
        <v>1.06</v>
      </c>
      <c r="F42" s="100">
        <f t="shared" si="21"/>
        <v>0</v>
      </c>
      <c r="G42" s="100">
        <f t="shared" si="8"/>
        <v>0</v>
      </c>
      <c r="H42" s="100">
        <f t="shared" si="12"/>
        <v>0</v>
      </c>
      <c r="I42" s="100"/>
      <c r="J42" s="100"/>
      <c r="K42" s="100"/>
      <c r="L42" s="100"/>
      <c r="M42" s="100"/>
      <c r="N42" s="100"/>
      <c r="O42" s="100"/>
      <c r="P42" s="100"/>
      <c r="Q42" s="100"/>
      <c r="R42" s="100"/>
      <c r="S42" s="100">
        <v>1.06</v>
      </c>
      <c r="T42" s="100"/>
      <c r="U42" s="100"/>
      <c r="V42" s="100">
        <f t="shared" si="13"/>
        <v>68.760000000000005</v>
      </c>
      <c r="W42" s="100">
        <v>0.03</v>
      </c>
      <c r="X42" s="100"/>
      <c r="Y42" s="100"/>
      <c r="Z42" s="100"/>
      <c r="AA42" s="100">
        <v>8.98</v>
      </c>
      <c r="AB42" s="100">
        <v>0.2</v>
      </c>
      <c r="AC42" s="100">
        <v>1.66</v>
      </c>
      <c r="AD42" s="100"/>
      <c r="AE42" s="100">
        <f t="shared" si="27"/>
        <v>57.379999999999995</v>
      </c>
      <c r="AF42" s="100">
        <v>0.01</v>
      </c>
      <c r="AG42" s="100"/>
      <c r="AH42" s="100"/>
      <c r="AI42" s="100"/>
      <c r="AJ42" s="100"/>
      <c r="AK42" s="100"/>
      <c r="AL42" s="100">
        <v>1.23</v>
      </c>
      <c r="AM42" s="100">
        <f>D42-BL42</f>
        <v>56.139999999999993</v>
      </c>
      <c r="AN42" s="100"/>
      <c r="AO42" s="100"/>
      <c r="AP42" s="100"/>
      <c r="AQ42" s="100"/>
      <c r="AR42" s="100"/>
      <c r="AS42" s="100"/>
      <c r="AT42" s="100"/>
      <c r="AU42" s="100">
        <v>0.23</v>
      </c>
      <c r="AV42" s="100">
        <v>0.13</v>
      </c>
      <c r="AW42" s="100"/>
      <c r="AX42" s="100"/>
      <c r="AY42" s="100"/>
      <c r="AZ42" s="100"/>
      <c r="BA42" s="100"/>
      <c r="BB42" s="100"/>
      <c r="BC42" s="100">
        <v>0.15</v>
      </c>
      <c r="BD42" s="100"/>
      <c r="BE42" s="100"/>
      <c r="BF42" s="100"/>
      <c r="BG42" s="100"/>
      <c r="BH42" s="100">
        <f t="shared" si="22"/>
        <v>0</v>
      </c>
      <c r="BI42" s="100"/>
      <c r="BJ42" s="100"/>
      <c r="BK42" s="100"/>
      <c r="BL42" s="100">
        <f>E42+W42+X42+Y42+Z42+AA42+AB42+AC42+AD42+AF42+AG42+AH42+AI42+AJ42+AK42+AL42+AN42+AO42+AP42+AQ42+AR42+AS42+AT42+AU42+AV42+AW42+AX42+AY42+AZ42+BA42+BB42+BC42+BD42+BE42+BF42+BG42+BH42</f>
        <v>13.680000000000001</v>
      </c>
      <c r="BM42" s="100">
        <f>AM67-BL42</f>
        <v>-13.13</v>
      </c>
      <c r="BN42" s="100">
        <f t="shared" si="28"/>
        <v>56.689999999999991</v>
      </c>
      <c r="BP42" s="123"/>
    </row>
    <row r="43" spans="1:68" ht="20.100000000000001" customHeight="1">
      <c r="A43" s="14" t="s">
        <v>232</v>
      </c>
      <c r="B43" s="143" t="s">
        <v>486</v>
      </c>
      <c r="C43" s="5" t="s">
        <v>223</v>
      </c>
      <c r="D43" s="100">
        <f>#REF!</f>
        <v>0.06</v>
      </c>
      <c r="E43" s="100">
        <f t="shared" si="4"/>
        <v>0</v>
      </c>
      <c r="F43" s="100">
        <f t="shared" si="21"/>
        <v>0</v>
      </c>
      <c r="G43" s="100">
        <f t="shared" si="8"/>
        <v>0</v>
      </c>
      <c r="H43" s="100">
        <f t="shared" si="12"/>
        <v>0</v>
      </c>
      <c r="I43" s="100"/>
      <c r="J43" s="100"/>
      <c r="K43" s="100"/>
      <c r="L43" s="100"/>
      <c r="M43" s="100"/>
      <c r="N43" s="100"/>
      <c r="O43" s="100"/>
      <c r="P43" s="100"/>
      <c r="Q43" s="100"/>
      <c r="R43" s="100"/>
      <c r="S43" s="100"/>
      <c r="T43" s="100"/>
      <c r="U43" s="100"/>
      <c r="V43" s="100">
        <f t="shared" si="13"/>
        <v>0.06</v>
      </c>
      <c r="W43" s="100"/>
      <c r="X43" s="100"/>
      <c r="Y43" s="100"/>
      <c r="Z43" s="100"/>
      <c r="AA43" s="100"/>
      <c r="AB43" s="100"/>
      <c r="AC43" s="100"/>
      <c r="AD43" s="100"/>
      <c r="AE43" s="100">
        <f t="shared" si="27"/>
        <v>0.06</v>
      </c>
      <c r="AF43" s="100"/>
      <c r="AG43" s="100"/>
      <c r="AH43" s="100"/>
      <c r="AI43" s="100"/>
      <c r="AJ43" s="100"/>
      <c r="AK43" s="100"/>
      <c r="AL43" s="100"/>
      <c r="AM43" s="100"/>
      <c r="AN43" s="100">
        <f>D43-BL43</f>
        <v>0.06</v>
      </c>
      <c r="AO43" s="100"/>
      <c r="AP43" s="100"/>
      <c r="AQ43" s="100"/>
      <c r="AR43" s="100"/>
      <c r="AS43" s="100"/>
      <c r="AT43" s="100"/>
      <c r="AU43" s="100"/>
      <c r="AV43" s="100"/>
      <c r="AW43" s="100"/>
      <c r="AX43" s="100"/>
      <c r="AY43" s="100"/>
      <c r="AZ43" s="100"/>
      <c r="BA43" s="100"/>
      <c r="BB43" s="100"/>
      <c r="BC43" s="100"/>
      <c r="BD43" s="100"/>
      <c r="BE43" s="100"/>
      <c r="BF43" s="100"/>
      <c r="BG43" s="100"/>
      <c r="BH43" s="100">
        <f t="shared" si="22"/>
        <v>0</v>
      </c>
      <c r="BI43" s="100"/>
      <c r="BJ43" s="100"/>
      <c r="BK43" s="100"/>
      <c r="BL43" s="100">
        <f>E43+W43+X43+Y43+Z43+AA43+AB43+AC43+AD43+AF43+AG43+AH43+AI43+AJ43+AK43+AL43+AM43+AO43+AP43+AQ43+AR43+AS43+AT43+AU43+AV43+AW43+AX43+AY43+AZ43+BA43+BB43+BC43+BD43+BE43+BF43+BG43+BH43</f>
        <v>0</v>
      </c>
      <c r="BM43" s="100">
        <f>AN67-BL43</f>
        <v>0</v>
      </c>
      <c r="BN43" s="100">
        <f t="shared" si="28"/>
        <v>0.06</v>
      </c>
      <c r="BP43" s="123"/>
    </row>
    <row r="44" spans="1:68" ht="20.100000000000001" customHeight="1">
      <c r="A44" s="14" t="s">
        <v>233</v>
      </c>
      <c r="B44" s="143" t="s">
        <v>487</v>
      </c>
      <c r="C44" s="5" t="s">
        <v>201</v>
      </c>
      <c r="D44" s="467">
        <f>#REF!</f>
        <v>0.02</v>
      </c>
      <c r="E44" s="100">
        <f t="shared" si="4"/>
        <v>0</v>
      </c>
      <c r="F44" s="100">
        <f t="shared" si="21"/>
        <v>0</v>
      </c>
      <c r="G44" s="100">
        <f t="shared" si="8"/>
        <v>0</v>
      </c>
      <c r="H44" s="100">
        <f t="shared" si="12"/>
        <v>0</v>
      </c>
      <c r="I44" s="100"/>
      <c r="J44" s="100"/>
      <c r="K44" s="100"/>
      <c r="L44" s="100"/>
      <c r="M44" s="100"/>
      <c r="N44" s="100"/>
      <c r="O44" s="100"/>
      <c r="P44" s="100"/>
      <c r="Q44" s="100"/>
      <c r="R44" s="100"/>
      <c r="S44" s="100"/>
      <c r="T44" s="100"/>
      <c r="U44" s="100"/>
      <c r="V44" s="100">
        <f t="shared" si="13"/>
        <v>0.02</v>
      </c>
      <c r="W44" s="100"/>
      <c r="X44" s="100"/>
      <c r="Y44" s="100"/>
      <c r="Z44" s="100"/>
      <c r="AA44" s="100"/>
      <c r="AB44" s="100"/>
      <c r="AC44" s="100"/>
      <c r="AD44" s="100"/>
      <c r="AE44" s="100">
        <f t="shared" si="27"/>
        <v>0.02</v>
      </c>
      <c r="AF44" s="100"/>
      <c r="AG44" s="100"/>
      <c r="AH44" s="100"/>
      <c r="AI44" s="100"/>
      <c r="AJ44" s="100"/>
      <c r="AK44" s="100"/>
      <c r="AL44" s="100"/>
      <c r="AM44" s="100"/>
      <c r="AN44" s="100"/>
      <c r="AO44" s="100">
        <f>D44-BL44</f>
        <v>0.02</v>
      </c>
      <c r="AP44" s="100"/>
      <c r="AQ44" s="100"/>
      <c r="AR44" s="100"/>
      <c r="AS44" s="100"/>
      <c r="AT44" s="100"/>
      <c r="AU44" s="100"/>
      <c r="AV44" s="100"/>
      <c r="AW44" s="100"/>
      <c r="AX44" s="100"/>
      <c r="AY44" s="100"/>
      <c r="AZ44" s="100"/>
      <c r="BA44" s="100"/>
      <c r="BB44" s="100"/>
      <c r="BC44" s="100"/>
      <c r="BD44" s="100"/>
      <c r="BE44" s="100"/>
      <c r="BF44" s="100"/>
      <c r="BG44" s="100"/>
      <c r="BH44" s="100">
        <f t="shared" si="22"/>
        <v>0</v>
      </c>
      <c r="BI44" s="100"/>
      <c r="BJ44" s="100"/>
      <c r="BK44" s="100"/>
      <c r="BL44" s="100">
        <f>E44+W44+X44+Y44+Z44+AA44+AB44+AC44+AD44+AF44+AG44+AH44+AI44+AJ44+AK44+AL44+AM44+AN44+AP44+AQ44+AR44+AS44+AT44+AU44+AV44+AW44+AX44+AY44+AZ44+BA44+BB44+BC44+BD44+BE44+BF44+BG44+BH44</f>
        <v>0</v>
      </c>
      <c r="BM44" s="100">
        <f>AO67-BL44</f>
        <v>0</v>
      </c>
      <c r="BN44" s="100">
        <f t="shared" si="28"/>
        <v>0.02</v>
      </c>
      <c r="BP44" s="123"/>
    </row>
    <row r="45" spans="1:68" ht="20.100000000000001" customHeight="1">
      <c r="A45" s="14" t="s">
        <v>234</v>
      </c>
      <c r="B45" s="143" t="s">
        <v>488</v>
      </c>
      <c r="C45" s="5" t="s">
        <v>208</v>
      </c>
      <c r="D45" s="100">
        <f>#REF!</f>
        <v>0.09</v>
      </c>
      <c r="E45" s="100">
        <f t="shared" si="4"/>
        <v>0</v>
      </c>
      <c r="F45" s="100">
        <f t="shared" si="21"/>
        <v>0</v>
      </c>
      <c r="G45" s="100">
        <f t="shared" si="8"/>
        <v>0</v>
      </c>
      <c r="H45" s="100">
        <f t="shared" si="12"/>
        <v>0</v>
      </c>
      <c r="I45" s="100"/>
      <c r="J45" s="100"/>
      <c r="K45" s="100"/>
      <c r="L45" s="100"/>
      <c r="M45" s="100"/>
      <c r="N45" s="100"/>
      <c r="O45" s="100"/>
      <c r="P45" s="100"/>
      <c r="Q45" s="100"/>
      <c r="R45" s="100"/>
      <c r="S45" s="100"/>
      <c r="T45" s="100"/>
      <c r="U45" s="100"/>
      <c r="V45" s="100">
        <f t="shared" si="13"/>
        <v>0.09</v>
      </c>
      <c r="W45" s="100"/>
      <c r="X45" s="100"/>
      <c r="Y45" s="100"/>
      <c r="Z45" s="100"/>
      <c r="AA45" s="100"/>
      <c r="AB45" s="100"/>
      <c r="AC45" s="100"/>
      <c r="AD45" s="100"/>
      <c r="AE45" s="100">
        <f t="shared" si="27"/>
        <v>0.09</v>
      </c>
      <c r="AF45" s="100"/>
      <c r="AG45" s="100"/>
      <c r="AH45" s="100"/>
      <c r="AI45" s="100"/>
      <c r="AJ45" s="100"/>
      <c r="AK45" s="100"/>
      <c r="AL45" s="100"/>
      <c r="AM45" s="100"/>
      <c r="AN45" s="100"/>
      <c r="AO45" s="100"/>
      <c r="AP45" s="100">
        <f>D45-BL45</f>
        <v>0.09</v>
      </c>
      <c r="AQ45" s="100"/>
      <c r="AR45" s="100"/>
      <c r="AS45" s="100"/>
      <c r="AT45" s="100"/>
      <c r="AU45" s="100"/>
      <c r="AV45" s="100"/>
      <c r="AW45" s="100"/>
      <c r="AX45" s="100"/>
      <c r="AY45" s="100"/>
      <c r="AZ45" s="100"/>
      <c r="BA45" s="100"/>
      <c r="BB45" s="100"/>
      <c r="BC45" s="100"/>
      <c r="BD45" s="100"/>
      <c r="BE45" s="100"/>
      <c r="BF45" s="100"/>
      <c r="BG45" s="100"/>
      <c r="BH45" s="100">
        <f t="shared" si="22"/>
        <v>0</v>
      </c>
      <c r="BI45" s="100"/>
      <c r="BJ45" s="100"/>
      <c r="BK45" s="100"/>
      <c r="BL45" s="100">
        <f>E45+W45+X45+Y45+Z45+AA45+AB45+AC45+AD45+AF45+AG45+AH45+AI45+AJ45+AK45+AL45+AM45+AN45+AO45+AQ45+AR45+AS45+AT45+AU45+AV45+AW45+AX45+AY45+AZ45+BA45+BB45+BC45+BD45+BE45+BF45+BG45+BH45</f>
        <v>0</v>
      </c>
      <c r="BM45" s="100">
        <f>AP67-BL45</f>
        <v>0</v>
      </c>
      <c r="BN45" s="100">
        <f t="shared" si="28"/>
        <v>0.09</v>
      </c>
      <c r="BP45" s="123"/>
    </row>
    <row r="46" spans="1:68" ht="20.100000000000001" customHeight="1">
      <c r="A46" s="19" t="s">
        <v>73</v>
      </c>
      <c r="B46" s="144" t="s">
        <v>74</v>
      </c>
      <c r="C46" s="5" t="s">
        <v>75</v>
      </c>
      <c r="D46" s="100"/>
      <c r="E46" s="100">
        <f t="shared" si="4"/>
        <v>0</v>
      </c>
      <c r="F46" s="100">
        <f t="shared" si="21"/>
        <v>0</v>
      </c>
      <c r="G46" s="100">
        <f t="shared" si="8"/>
        <v>0</v>
      </c>
      <c r="H46" s="100">
        <f t="shared" si="12"/>
        <v>0</v>
      </c>
      <c r="I46" s="100"/>
      <c r="J46" s="100"/>
      <c r="K46" s="100"/>
      <c r="L46" s="100"/>
      <c r="M46" s="100"/>
      <c r="N46" s="100"/>
      <c r="O46" s="100"/>
      <c r="P46" s="100"/>
      <c r="Q46" s="100"/>
      <c r="R46" s="100"/>
      <c r="S46" s="100"/>
      <c r="T46" s="100"/>
      <c r="U46" s="100"/>
      <c r="V46" s="100">
        <f t="shared" si="13"/>
        <v>0</v>
      </c>
      <c r="W46" s="100"/>
      <c r="X46" s="100"/>
      <c r="Y46" s="100"/>
      <c r="Z46" s="100"/>
      <c r="AA46" s="100"/>
      <c r="AB46" s="100"/>
      <c r="AC46" s="100"/>
      <c r="AD46" s="100"/>
      <c r="AE46" s="100">
        <f t="shared" si="27"/>
        <v>0</v>
      </c>
      <c r="AF46" s="100"/>
      <c r="AG46" s="100"/>
      <c r="AH46" s="100"/>
      <c r="AI46" s="100"/>
      <c r="AJ46" s="100"/>
      <c r="AK46" s="100"/>
      <c r="AL46" s="100"/>
      <c r="AM46" s="100"/>
      <c r="AN46" s="100"/>
      <c r="AO46" s="100"/>
      <c r="AP46" s="100"/>
      <c r="AQ46" s="100">
        <f>D46-BL46</f>
        <v>0</v>
      </c>
      <c r="AR46" s="100"/>
      <c r="AS46" s="100"/>
      <c r="AT46" s="100"/>
      <c r="AU46" s="100"/>
      <c r="AV46" s="100"/>
      <c r="AW46" s="100"/>
      <c r="AX46" s="100"/>
      <c r="AY46" s="100"/>
      <c r="AZ46" s="100"/>
      <c r="BA46" s="100"/>
      <c r="BB46" s="100"/>
      <c r="BC46" s="100"/>
      <c r="BD46" s="100"/>
      <c r="BE46" s="100"/>
      <c r="BF46" s="100"/>
      <c r="BG46" s="100"/>
      <c r="BH46" s="100">
        <f t="shared" si="22"/>
        <v>0</v>
      </c>
      <c r="BI46" s="100"/>
      <c r="BJ46" s="100"/>
      <c r="BK46" s="100"/>
      <c r="BL46" s="100">
        <f>E46+W46+X46+Y46+Z46+AA46+AB46+AC46+AD46+AE46+AR46+AS46+AT46+AU46+AV46+AW46+AX46+AY46+AZ46+BA46+BB46+BC46+BD46+BE46+BF46+BG46+BH46</f>
        <v>0</v>
      </c>
      <c r="BM46" s="100">
        <f>AQ67-BL46</f>
        <v>0</v>
      </c>
      <c r="BN46" s="100">
        <f>D46+BM46</f>
        <v>0</v>
      </c>
      <c r="BP46" s="123"/>
    </row>
    <row r="47" spans="1:68" ht="20.100000000000001" customHeight="1">
      <c r="A47" s="19" t="s">
        <v>76</v>
      </c>
      <c r="B47" s="144" t="s">
        <v>77</v>
      </c>
      <c r="C47" s="5" t="s">
        <v>78</v>
      </c>
      <c r="D47" s="100"/>
      <c r="E47" s="100">
        <f t="shared" si="4"/>
        <v>0</v>
      </c>
      <c r="F47" s="100">
        <f t="shared" si="21"/>
        <v>0</v>
      </c>
      <c r="G47" s="100">
        <f t="shared" si="8"/>
        <v>0</v>
      </c>
      <c r="H47" s="100">
        <f t="shared" si="12"/>
        <v>0</v>
      </c>
      <c r="I47" s="100"/>
      <c r="J47" s="100"/>
      <c r="K47" s="100"/>
      <c r="L47" s="100"/>
      <c r="M47" s="100"/>
      <c r="N47" s="100"/>
      <c r="O47" s="100"/>
      <c r="P47" s="100"/>
      <c r="Q47" s="100"/>
      <c r="R47" s="100"/>
      <c r="S47" s="100"/>
      <c r="T47" s="100"/>
      <c r="U47" s="100"/>
      <c r="V47" s="100">
        <f t="shared" si="13"/>
        <v>0</v>
      </c>
      <c r="W47" s="100"/>
      <c r="X47" s="100"/>
      <c r="Y47" s="100"/>
      <c r="Z47" s="100"/>
      <c r="AA47" s="100"/>
      <c r="AB47" s="100"/>
      <c r="AC47" s="100"/>
      <c r="AD47" s="100"/>
      <c r="AE47" s="100">
        <f t="shared" si="27"/>
        <v>0</v>
      </c>
      <c r="AF47" s="100"/>
      <c r="AG47" s="100"/>
      <c r="AH47" s="100"/>
      <c r="AI47" s="100"/>
      <c r="AJ47" s="100"/>
      <c r="AK47" s="100"/>
      <c r="AL47" s="100"/>
      <c r="AM47" s="100"/>
      <c r="AN47" s="100"/>
      <c r="AO47" s="100"/>
      <c r="AP47" s="100"/>
      <c r="AQ47" s="100"/>
      <c r="AR47" s="100">
        <f>D47-BL47</f>
        <v>0</v>
      </c>
      <c r="AS47" s="100"/>
      <c r="AT47" s="100"/>
      <c r="AU47" s="100"/>
      <c r="AV47" s="100"/>
      <c r="AW47" s="100"/>
      <c r="AX47" s="100"/>
      <c r="AY47" s="100"/>
      <c r="AZ47" s="100"/>
      <c r="BA47" s="100"/>
      <c r="BB47" s="100"/>
      <c r="BC47" s="100"/>
      <c r="BD47" s="100"/>
      <c r="BE47" s="100"/>
      <c r="BF47" s="100"/>
      <c r="BG47" s="100"/>
      <c r="BH47" s="100">
        <f t="shared" si="22"/>
        <v>0</v>
      </c>
      <c r="BI47" s="100"/>
      <c r="BJ47" s="100"/>
      <c r="BK47" s="100"/>
      <c r="BL47" s="100">
        <f>E47+W47+X47+Y47+Z47+AA47+AB47+AC47+AD47+AE47+AQ47+AS47+AT47+AU47+AV47+AW47+AX47+AY47+AZ47+BA47+BB47+BC47+BD47+BE47+BF47+BG47+BH47</f>
        <v>0</v>
      </c>
      <c r="BM47" s="100">
        <f>AR67-BL47</f>
        <v>0</v>
      </c>
      <c r="BN47" s="100">
        <f t="shared" ref="BN47:BN62" si="29">D47+BM47</f>
        <v>0</v>
      </c>
      <c r="BP47" s="123"/>
    </row>
    <row r="48" spans="1:68" ht="20.100000000000001" customHeight="1">
      <c r="A48" s="19" t="s">
        <v>79</v>
      </c>
      <c r="B48" s="144" t="s">
        <v>80</v>
      </c>
      <c r="C48" s="5" t="s">
        <v>81</v>
      </c>
      <c r="D48" s="100">
        <f>#REF!</f>
        <v>2.09</v>
      </c>
      <c r="E48" s="100">
        <f t="shared" si="4"/>
        <v>0</v>
      </c>
      <c r="F48" s="100">
        <f t="shared" si="21"/>
        <v>0</v>
      </c>
      <c r="G48" s="100">
        <f t="shared" si="8"/>
        <v>0</v>
      </c>
      <c r="H48" s="100">
        <f t="shared" si="12"/>
        <v>0</v>
      </c>
      <c r="I48" s="100"/>
      <c r="J48" s="100"/>
      <c r="K48" s="100"/>
      <c r="L48" s="100"/>
      <c r="M48" s="100"/>
      <c r="N48" s="100"/>
      <c r="O48" s="100"/>
      <c r="P48" s="100"/>
      <c r="Q48" s="100"/>
      <c r="R48" s="100"/>
      <c r="S48" s="100"/>
      <c r="T48" s="100"/>
      <c r="U48" s="100"/>
      <c r="V48" s="100">
        <f t="shared" si="13"/>
        <v>2.09</v>
      </c>
      <c r="W48" s="100">
        <v>0.1</v>
      </c>
      <c r="X48" s="100"/>
      <c r="Y48" s="100"/>
      <c r="Z48" s="100"/>
      <c r="AA48" s="100"/>
      <c r="AB48" s="100"/>
      <c r="AC48" s="100"/>
      <c r="AD48" s="100"/>
      <c r="AE48" s="100">
        <f t="shared" si="27"/>
        <v>0</v>
      </c>
      <c r="AF48" s="100"/>
      <c r="AG48" s="100"/>
      <c r="AH48" s="100"/>
      <c r="AI48" s="100"/>
      <c r="AJ48" s="100"/>
      <c r="AK48" s="100"/>
      <c r="AL48" s="100"/>
      <c r="AM48" s="100"/>
      <c r="AN48" s="100"/>
      <c r="AO48" s="100"/>
      <c r="AP48" s="100"/>
      <c r="AQ48" s="100"/>
      <c r="AR48" s="100"/>
      <c r="AS48" s="100">
        <f>D48-BL48</f>
        <v>1.9899999999999998</v>
      </c>
      <c r="AT48" s="100"/>
      <c r="AU48" s="100"/>
      <c r="AV48" s="100"/>
      <c r="AW48" s="100"/>
      <c r="AX48" s="100"/>
      <c r="AY48" s="100"/>
      <c r="AZ48" s="100"/>
      <c r="BA48" s="100"/>
      <c r="BB48" s="100"/>
      <c r="BC48" s="100"/>
      <c r="BD48" s="100"/>
      <c r="BE48" s="100"/>
      <c r="BF48" s="100"/>
      <c r="BG48" s="100"/>
      <c r="BH48" s="100">
        <f t="shared" si="22"/>
        <v>0</v>
      </c>
      <c r="BI48" s="100"/>
      <c r="BJ48" s="100"/>
      <c r="BK48" s="100"/>
      <c r="BL48" s="100">
        <f>E48+W48+X48+Y48+Z48+AA48+AB48+AC48+AD48+AQ48+AR48+AT48+AU48+AV48+AW48+AX48+AY48+AZ48+BA48+BB48+BC48+BD48+BE48+BF48+BG48+BH48</f>
        <v>0.1</v>
      </c>
      <c r="BM48" s="100">
        <f>AS67-BL48</f>
        <v>-0.1</v>
      </c>
      <c r="BN48" s="100">
        <f t="shared" si="29"/>
        <v>1.9899999999999998</v>
      </c>
      <c r="BP48" s="123"/>
    </row>
    <row r="49" spans="1:68" ht="20.100000000000001" customHeight="1">
      <c r="A49" s="19" t="s">
        <v>82</v>
      </c>
      <c r="B49" s="144" t="s">
        <v>83</v>
      </c>
      <c r="C49" s="5" t="s">
        <v>84</v>
      </c>
      <c r="D49" s="100"/>
      <c r="E49" s="100">
        <f t="shared" si="4"/>
        <v>0</v>
      </c>
      <c r="F49" s="100">
        <f t="shared" si="21"/>
        <v>0</v>
      </c>
      <c r="G49" s="100">
        <f t="shared" si="8"/>
        <v>0</v>
      </c>
      <c r="H49" s="100">
        <f t="shared" si="12"/>
        <v>0</v>
      </c>
      <c r="I49" s="100"/>
      <c r="J49" s="100"/>
      <c r="K49" s="100"/>
      <c r="L49" s="100"/>
      <c r="M49" s="100"/>
      <c r="N49" s="100"/>
      <c r="O49" s="100"/>
      <c r="P49" s="100"/>
      <c r="Q49" s="100"/>
      <c r="R49" s="100"/>
      <c r="S49" s="100"/>
      <c r="T49" s="100"/>
      <c r="U49" s="100"/>
      <c r="V49" s="100">
        <f t="shared" si="13"/>
        <v>0</v>
      </c>
      <c r="W49" s="100"/>
      <c r="X49" s="100"/>
      <c r="Y49" s="100"/>
      <c r="Z49" s="100"/>
      <c r="AA49" s="100"/>
      <c r="AB49" s="100"/>
      <c r="AC49" s="100"/>
      <c r="AD49" s="100"/>
      <c r="AE49" s="100">
        <f t="shared" si="27"/>
        <v>0</v>
      </c>
      <c r="AF49" s="100"/>
      <c r="AG49" s="100"/>
      <c r="AH49" s="100"/>
      <c r="AI49" s="100"/>
      <c r="AJ49" s="100"/>
      <c r="AK49" s="100"/>
      <c r="AL49" s="100"/>
      <c r="AM49" s="100"/>
      <c r="AN49" s="100"/>
      <c r="AO49" s="100"/>
      <c r="AP49" s="100"/>
      <c r="AQ49" s="100"/>
      <c r="AR49" s="100"/>
      <c r="AS49" s="100"/>
      <c r="AT49" s="100">
        <f>D49-BL49</f>
        <v>0</v>
      </c>
      <c r="AU49" s="100"/>
      <c r="AV49" s="100"/>
      <c r="AW49" s="100"/>
      <c r="AX49" s="100"/>
      <c r="AY49" s="100"/>
      <c r="AZ49" s="100"/>
      <c r="BA49" s="100"/>
      <c r="BB49" s="100"/>
      <c r="BC49" s="100"/>
      <c r="BD49" s="100"/>
      <c r="BE49" s="100"/>
      <c r="BF49" s="100"/>
      <c r="BG49" s="100"/>
      <c r="BH49" s="100">
        <f t="shared" si="22"/>
        <v>0</v>
      </c>
      <c r="BI49" s="100"/>
      <c r="BJ49" s="100"/>
      <c r="BK49" s="100"/>
      <c r="BL49" s="100">
        <f>E49+W49+X49+Y49+Z49+AA49+AB49+AC49+AD49+AE49+AQ49+AR49+AS49+AU49+AV49+AW49+AX49+AY49+AZ49+BA49+BB49+BC49+BD49+BE49+BF49+BG49+BH49</f>
        <v>0</v>
      </c>
      <c r="BM49" s="100">
        <f>AT67-BL49</f>
        <v>0</v>
      </c>
      <c r="BN49" s="100">
        <f t="shared" si="29"/>
        <v>0</v>
      </c>
      <c r="BP49" s="123"/>
    </row>
    <row r="50" spans="1:68" ht="20.100000000000001" customHeight="1">
      <c r="A50" s="19" t="s">
        <v>85</v>
      </c>
      <c r="B50" s="144" t="s">
        <v>86</v>
      </c>
      <c r="C50" s="5" t="s">
        <v>87</v>
      </c>
      <c r="D50" s="100">
        <f>#REF!</f>
        <v>100.57</v>
      </c>
      <c r="E50" s="100">
        <f t="shared" si="4"/>
        <v>0</v>
      </c>
      <c r="F50" s="100">
        <f t="shared" si="21"/>
        <v>0</v>
      </c>
      <c r="G50" s="100">
        <f t="shared" si="8"/>
        <v>0</v>
      </c>
      <c r="H50" s="100">
        <f t="shared" si="12"/>
        <v>0</v>
      </c>
      <c r="I50" s="100"/>
      <c r="J50" s="100"/>
      <c r="K50" s="100"/>
      <c r="L50" s="100"/>
      <c r="M50" s="100"/>
      <c r="N50" s="100"/>
      <c r="O50" s="100"/>
      <c r="P50" s="100"/>
      <c r="Q50" s="100"/>
      <c r="R50" s="100"/>
      <c r="S50" s="100"/>
      <c r="T50" s="100"/>
      <c r="U50" s="100"/>
      <c r="V50" s="100">
        <f t="shared" si="13"/>
        <v>100.57</v>
      </c>
      <c r="W50" s="100"/>
      <c r="X50" s="100"/>
      <c r="Y50" s="100"/>
      <c r="Z50" s="100"/>
      <c r="AA50" s="100">
        <v>8.6</v>
      </c>
      <c r="AB50" s="100">
        <v>3.52</v>
      </c>
      <c r="AC50" s="100">
        <v>5.41</v>
      </c>
      <c r="AD50" s="100"/>
      <c r="AE50" s="100">
        <f t="shared" si="27"/>
        <v>6.25</v>
      </c>
      <c r="AF50" s="100"/>
      <c r="AG50" s="100"/>
      <c r="AH50" s="100"/>
      <c r="AI50" s="100"/>
      <c r="AJ50" s="100"/>
      <c r="AK50" s="100"/>
      <c r="AL50" s="100">
        <v>6.25</v>
      </c>
      <c r="AM50" s="100"/>
      <c r="AN50" s="100"/>
      <c r="AO50" s="100"/>
      <c r="AP50" s="100"/>
      <c r="AQ50" s="100"/>
      <c r="AR50" s="100"/>
      <c r="AS50" s="100"/>
      <c r="AT50" s="100"/>
      <c r="AU50" s="100">
        <f>D50-BL50</f>
        <v>72.319999999999993</v>
      </c>
      <c r="AV50" s="100">
        <v>4.2</v>
      </c>
      <c r="AW50" s="100"/>
      <c r="AX50" s="100"/>
      <c r="AY50" s="100"/>
      <c r="AZ50" s="100"/>
      <c r="BA50" s="100"/>
      <c r="BB50" s="100"/>
      <c r="BC50" s="100">
        <v>0.27</v>
      </c>
      <c r="BD50" s="100"/>
      <c r="BE50" s="100"/>
      <c r="BF50" s="100"/>
      <c r="BG50" s="100"/>
      <c r="BH50" s="100">
        <f t="shared" si="22"/>
        <v>0</v>
      </c>
      <c r="BI50" s="100"/>
      <c r="BJ50" s="100"/>
      <c r="BK50" s="100"/>
      <c r="BL50" s="100">
        <f>E50+W50+X50+Y50+Z50+AA50+AB50+AC50+AD50+AE50+AQ50+AR50+AS50+AT50+AV50+AW50+AX50+AY50+AZ50+BA50+BB50+BC50+BD50+BE50+BF50+BG50+BH50</f>
        <v>28.25</v>
      </c>
      <c r="BM50" s="100">
        <f>AU67-BL50</f>
        <v>-14.469999999999999</v>
      </c>
      <c r="BN50" s="100">
        <f t="shared" si="29"/>
        <v>86.1</v>
      </c>
      <c r="BP50" s="123"/>
    </row>
    <row r="51" spans="1:68" ht="20.100000000000001" customHeight="1">
      <c r="A51" s="19" t="s">
        <v>88</v>
      </c>
      <c r="B51" s="144" t="s">
        <v>89</v>
      </c>
      <c r="C51" s="5" t="s">
        <v>90</v>
      </c>
      <c r="D51" s="100">
        <f>#REF!</f>
        <v>12.3</v>
      </c>
      <c r="E51" s="100">
        <f t="shared" si="4"/>
        <v>0</v>
      </c>
      <c r="F51" s="100">
        <f t="shared" si="21"/>
        <v>0</v>
      </c>
      <c r="G51" s="100">
        <f t="shared" si="8"/>
        <v>0</v>
      </c>
      <c r="H51" s="100">
        <f t="shared" si="12"/>
        <v>0</v>
      </c>
      <c r="I51" s="100"/>
      <c r="J51" s="100"/>
      <c r="K51" s="100"/>
      <c r="L51" s="100"/>
      <c r="M51" s="100"/>
      <c r="N51" s="100"/>
      <c r="O51" s="100"/>
      <c r="P51" s="100"/>
      <c r="Q51" s="100"/>
      <c r="R51" s="100"/>
      <c r="S51" s="100"/>
      <c r="T51" s="100"/>
      <c r="U51" s="100"/>
      <c r="V51" s="100">
        <f t="shared" si="13"/>
        <v>12.3</v>
      </c>
      <c r="W51" s="100"/>
      <c r="X51" s="100"/>
      <c r="Y51" s="100"/>
      <c r="Z51" s="100"/>
      <c r="AA51" s="100"/>
      <c r="AB51" s="100"/>
      <c r="AC51" s="100"/>
      <c r="AD51" s="100"/>
      <c r="AE51" s="100">
        <f t="shared" si="27"/>
        <v>0</v>
      </c>
      <c r="AF51" s="100"/>
      <c r="AG51" s="100"/>
      <c r="AH51" s="100"/>
      <c r="AI51" s="100"/>
      <c r="AJ51" s="100"/>
      <c r="AK51" s="100"/>
      <c r="AL51" s="100"/>
      <c r="AM51" s="100"/>
      <c r="AN51" s="100"/>
      <c r="AO51" s="100"/>
      <c r="AP51" s="100"/>
      <c r="AQ51" s="100"/>
      <c r="AR51" s="100"/>
      <c r="AS51" s="100"/>
      <c r="AT51" s="100"/>
      <c r="AU51" s="100"/>
      <c r="AV51" s="100">
        <f>D51-BL51</f>
        <v>12.3</v>
      </c>
      <c r="AW51" s="100"/>
      <c r="AX51" s="100"/>
      <c r="AY51" s="100"/>
      <c r="AZ51" s="100"/>
      <c r="BA51" s="100"/>
      <c r="BB51" s="100"/>
      <c r="BC51" s="100"/>
      <c r="BD51" s="100"/>
      <c r="BE51" s="100"/>
      <c r="BF51" s="100"/>
      <c r="BG51" s="100"/>
      <c r="BH51" s="100">
        <f t="shared" si="22"/>
        <v>0</v>
      </c>
      <c r="BI51" s="100"/>
      <c r="BJ51" s="100"/>
      <c r="BK51" s="100"/>
      <c r="BL51" s="100">
        <f>E51+W51+X51+Y51+Z51+AA51+AB51+AC51+AD51+AE51+AQ51+AR51+AS51+AT51+AU51+AW51+AX51+AY51+AZ51+BA51+BB51+BC51+BD51+BE51+BF51+BG51+BH51</f>
        <v>0</v>
      </c>
      <c r="BM51" s="100">
        <f>AV67-BL51</f>
        <v>19.39</v>
      </c>
      <c r="BN51" s="100">
        <f t="shared" si="29"/>
        <v>31.69</v>
      </c>
      <c r="BP51" s="123"/>
    </row>
    <row r="52" spans="1:68" ht="20.100000000000001" customHeight="1">
      <c r="A52" s="19" t="s">
        <v>91</v>
      </c>
      <c r="B52" s="144" t="s">
        <v>489</v>
      </c>
      <c r="C52" s="5" t="s">
        <v>93</v>
      </c>
      <c r="D52" s="100"/>
      <c r="E52" s="100">
        <f t="shared" si="4"/>
        <v>0</v>
      </c>
      <c r="F52" s="100">
        <f t="shared" si="21"/>
        <v>0</v>
      </c>
      <c r="G52" s="100">
        <f t="shared" si="8"/>
        <v>0</v>
      </c>
      <c r="H52" s="100">
        <f t="shared" si="12"/>
        <v>0</v>
      </c>
      <c r="I52" s="100"/>
      <c r="J52" s="100"/>
      <c r="K52" s="100"/>
      <c r="L52" s="100"/>
      <c r="M52" s="100"/>
      <c r="N52" s="100"/>
      <c r="O52" s="100"/>
      <c r="P52" s="100"/>
      <c r="Q52" s="100"/>
      <c r="R52" s="100"/>
      <c r="S52" s="100"/>
      <c r="T52" s="100"/>
      <c r="U52" s="100"/>
      <c r="V52" s="100">
        <f t="shared" si="13"/>
        <v>0</v>
      </c>
      <c r="W52" s="100"/>
      <c r="X52" s="100"/>
      <c r="Y52" s="100"/>
      <c r="Z52" s="100"/>
      <c r="AA52" s="100"/>
      <c r="AB52" s="100"/>
      <c r="AC52" s="100"/>
      <c r="AD52" s="100"/>
      <c r="AE52" s="100">
        <f t="shared" si="27"/>
        <v>0</v>
      </c>
      <c r="AF52" s="100"/>
      <c r="AG52" s="100"/>
      <c r="AH52" s="100"/>
      <c r="AI52" s="100"/>
      <c r="AJ52" s="100"/>
      <c r="AK52" s="100"/>
      <c r="AL52" s="100"/>
      <c r="AM52" s="100"/>
      <c r="AN52" s="100"/>
      <c r="AO52" s="100"/>
      <c r="AP52" s="100"/>
      <c r="AQ52" s="100"/>
      <c r="AR52" s="100"/>
      <c r="AS52" s="100"/>
      <c r="AT52" s="100"/>
      <c r="AU52" s="100"/>
      <c r="AV52" s="100"/>
      <c r="AW52" s="100">
        <f>D52-BL52</f>
        <v>0</v>
      </c>
      <c r="AX52" s="100"/>
      <c r="AY52" s="100"/>
      <c r="AZ52" s="100"/>
      <c r="BA52" s="100"/>
      <c r="BB52" s="100"/>
      <c r="BC52" s="100"/>
      <c r="BD52" s="100"/>
      <c r="BE52" s="100"/>
      <c r="BF52" s="100"/>
      <c r="BG52" s="100"/>
      <c r="BH52" s="100">
        <f t="shared" si="22"/>
        <v>0</v>
      </c>
      <c r="BI52" s="100"/>
      <c r="BJ52" s="100"/>
      <c r="BK52" s="100"/>
      <c r="BL52" s="100">
        <f>E52+W52+X52+Y52+Z52+AA52+AB52+AC52+AD52+AE52+AQ52+AR52+AS52+AT52+AU52+AV52+AX52+AY52+AZ52+BA52+BB52+BC52+BD52+BE52+BF52+BG52+BH52</f>
        <v>0</v>
      </c>
      <c r="BM52" s="100">
        <f>AW67-BL52</f>
        <v>0</v>
      </c>
      <c r="BN52" s="100">
        <f t="shared" si="29"/>
        <v>0</v>
      </c>
      <c r="BP52" s="123"/>
    </row>
    <row r="53" spans="1:68" ht="20.100000000000001" customHeight="1">
      <c r="A53" s="19" t="s">
        <v>94</v>
      </c>
      <c r="B53" s="144" t="s">
        <v>95</v>
      </c>
      <c r="C53" s="5" t="s">
        <v>96</v>
      </c>
      <c r="D53" s="100"/>
      <c r="E53" s="100">
        <f t="shared" si="4"/>
        <v>0</v>
      </c>
      <c r="F53" s="100">
        <f t="shared" si="21"/>
        <v>0</v>
      </c>
      <c r="G53" s="100">
        <f t="shared" si="8"/>
        <v>0</v>
      </c>
      <c r="H53" s="100">
        <f t="shared" si="12"/>
        <v>0</v>
      </c>
      <c r="I53" s="100"/>
      <c r="J53" s="100"/>
      <c r="K53" s="100"/>
      <c r="L53" s="100"/>
      <c r="M53" s="100"/>
      <c r="N53" s="100"/>
      <c r="O53" s="100"/>
      <c r="P53" s="100"/>
      <c r="Q53" s="100"/>
      <c r="R53" s="100"/>
      <c r="S53" s="100"/>
      <c r="T53" s="100"/>
      <c r="U53" s="100"/>
      <c r="V53" s="100">
        <f t="shared" si="13"/>
        <v>0</v>
      </c>
      <c r="W53" s="100"/>
      <c r="X53" s="100"/>
      <c r="Y53" s="100"/>
      <c r="Z53" s="100"/>
      <c r="AA53" s="100"/>
      <c r="AB53" s="100"/>
      <c r="AC53" s="100"/>
      <c r="AD53" s="100"/>
      <c r="AE53" s="100">
        <f t="shared" si="27"/>
        <v>0</v>
      </c>
      <c r="AF53" s="100"/>
      <c r="AG53" s="100"/>
      <c r="AH53" s="100"/>
      <c r="AI53" s="100"/>
      <c r="AJ53" s="100"/>
      <c r="AK53" s="100"/>
      <c r="AL53" s="100"/>
      <c r="AM53" s="100"/>
      <c r="AN53" s="100"/>
      <c r="AO53" s="100"/>
      <c r="AP53" s="100"/>
      <c r="AQ53" s="100"/>
      <c r="AR53" s="100"/>
      <c r="AS53" s="100"/>
      <c r="AT53" s="100"/>
      <c r="AU53" s="100"/>
      <c r="AV53" s="100"/>
      <c r="AW53" s="100"/>
      <c r="AX53" s="100">
        <f>D53-BL53</f>
        <v>0</v>
      </c>
      <c r="AY53" s="100"/>
      <c r="AZ53" s="100"/>
      <c r="BA53" s="100"/>
      <c r="BB53" s="100"/>
      <c r="BC53" s="100"/>
      <c r="BD53" s="100"/>
      <c r="BE53" s="100"/>
      <c r="BF53" s="100"/>
      <c r="BG53" s="100"/>
      <c r="BH53" s="100">
        <f t="shared" si="22"/>
        <v>0</v>
      </c>
      <c r="BI53" s="100"/>
      <c r="BJ53" s="100"/>
      <c r="BK53" s="100"/>
      <c r="BL53" s="100">
        <f>E53+W53+X53+Y53+Z53+AA53+AB53+AC53+AD53+AE53+AQ53+AR53+AS53+AT53+AU53+AV53+AW53+AY53+AZ53+BA53+BB53+BC53+BD53+BE53+BF53+BG53+BH53</f>
        <v>0</v>
      </c>
      <c r="BM53" s="100">
        <f>AX67-BL53</f>
        <v>0</v>
      </c>
      <c r="BN53" s="100">
        <f t="shared" si="29"/>
        <v>0</v>
      </c>
      <c r="BP53" s="123"/>
    </row>
    <row r="54" spans="1:68" ht="20.100000000000001" customHeight="1">
      <c r="A54" s="19" t="s">
        <v>97</v>
      </c>
      <c r="B54" s="144" t="s">
        <v>98</v>
      </c>
      <c r="C54" s="5" t="s">
        <v>99</v>
      </c>
      <c r="D54" s="100"/>
      <c r="E54" s="100">
        <f t="shared" si="4"/>
        <v>0</v>
      </c>
      <c r="F54" s="100">
        <f t="shared" si="21"/>
        <v>0</v>
      </c>
      <c r="G54" s="100">
        <f t="shared" si="8"/>
        <v>0</v>
      </c>
      <c r="H54" s="100">
        <f t="shared" si="12"/>
        <v>0</v>
      </c>
      <c r="I54" s="100"/>
      <c r="J54" s="100"/>
      <c r="K54" s="100"/>
      <c r="L54" s="100"/>
      <c r="M54" s="100"/>
      <c r="N54" s="100"/>
      <c r="O54" s="100"/>
      <c r="P54" s="100"/>
      <c r="Q54" s="100"/>
      <c r="R54" s="100"/>
      <c r="S54" s="100"/>
      <c r="T54" s="100"/>
      <c r="U54" s="100"/>
      <c r="V54" s="100">
        <f t="shared" si="13"/>
        <v>0</v>
      </c>
      <c r="W54" s="100"/>
      <c r="X54" s="100"/>
      <c r="Y54" s="100"/>
      <c r="Z54" s="100"/>
      <c r="AA54" s="100"/>
      <c r="AB54" s="100"/>
      <c r="AC54" s="100"/>
      <c r="AD54" s="100"/>
      <c r="AE54" s="100">
        <f t="shared" si="27"/>
        <v>0</v>
      </c>
      <c r="AF54" s="100"/>
      <c r="AG54" s="100"/>
      <c r="AH54" s="100"/>
      <c r="AI54" s="100"/>
      <c r="AJ54" s="100"/>
      <c r="AK54" s="100"/>
      <c r="AL54" s="100"/>
      <c r="AM54" s="100"/>
      <c r="AN54" s="100"/>
      <c r="AO54" s="100"/>
      <c r="AP54" s="100"/>
      <c r="AQ54" s="100"/>
      <c r="AR54" s="100"/>
      <c r="AS54" s="100"/>
      <c r="AT54" s="100"/>
      <c r="AU54" s="100"/>
      <c r="AV54" s="100"/>
      <c r="AW54" s="100"/>
      <c r="AX54" s="100"/>
      <c r="AY54" s="100">
        <f>D54-BL54</f>
        <v>0</v>
      </c>
      <c r="AZ54" s="100"/>
      <c r="BA54" s="100"/>
      <c r="BB54" s="100"/>
      <c r="BC54" s="100"/>
      <c r="BD54" s="100"/>
      <c r="BE54" s="100"/>
      <c r="BF54" s="100"/>
      <c r="BG54" s="100"/>
      <c r="BH54" s="100">
        <f t="shared" si="22"/>
        <v>0</v>
      </c>
      <c r="BI54" s="100"/>
      <c r="BJ54" s="100"/>
      <c r="BK54" s="100"/>
      <c r="BL54" s="100">
        <f>E54+W54+X54+Y54+Z54+AA54+AB54+AC54+AD54+AE54+AQ54+AR54+AS54+AT54+AU54+AV54+AW54+AX54+AZ54+BA54+BB54+BC54+BD54+BE54+BF54+BG54+BH54</f>
        <v>0</v>
      </c>
      <c r="BM54" s="100">
        <f>AY67-BL54</f>
        <v>0</v>
      </c>
      <c r="BN54" s="100">
        <f t="shared" si="29"/>
        <v>0</v>
      </c>
      <c r="BP54" s="123"/>
    </row>
    <row r="55" spans="1:68" ht="20.100000000000001" customHeight="1">
      <c r="A55" s="19" t="s">
        <v>100</v>
      </c>
      <c r="B55" s="144" t="s">
        <v>490</v>
      </c>
      <c r="C55" s="5" t="s">
        <v>101</v>
      </c>
      <c r="D55" s="100">
        <f>#REF!</f>
        <v>8.58</v>
      </c>
      <c r="E55" s="100">
        <f t="shared" si="4"/>
        <v>0</v>
      </c>
      <c r="F55" s="100">
        <f t="shared" si="21"/>
        <v>0</v>
      </c>
      <c r="G55" s="100">
        <f t="shared" si="8"/>
        <v>0</v>
      </c>
      <c r="H55" s="100">
        <f t="shared" si="12"/>
        <v>0</v>
      </c>
      <c r="I55" s="100"/>
      <c r="J55" s="100"/>
      <c r="K55" s="100"/>
      <c r="L55" s="100"/>
      <c r="M55" s="100"/>
      <c r="N55" s="100"/>
      <c r="O55" s="100"/>
      <c r="P55" s="100"/>
      <c r="Q55" s="100"/>
      <c r="R55" s="100"/>
      <c r="S55" s="100"/>
      <c r="T55" s="100"/>
      <c r="U55" s="100"/>
      <c r="V55" s="100">
        <f t="shared" si="13"/>
        <v>8.58</v>
      </c>
      <c r="W55" s="100"/>
      <c r="X55" s="100"/>
      <c r="Y55" s="100"/>
      <c r="Z55" s="100"/>
      <c r="AA55" s="100"/>
      <c r="AB55" s="100"/>
      <c r="AC55" s="100">
        <v>0.1</v>
      </c>
      <c r="AD55" s="100"/>
      <c r="AE55" s="100">
        <f t="shared" si="27"/>
        <v>0.03</v>
      </c>
      <c r="AF55" s="100"/>
      <c r="AG55" s="100"/>
      <c r="AH55" s="100"/>
      <c r="AI55" s="100"/>
      <c r="AJ55" s="100"/>
      <c r="AK55" s="100"/>
      <c r="AL55" s="100">
        <v>0.03</v>
      </c>
      <c r="AM55" s="100"/>
      <c r="AN55" s="100"/>
      <c r="AO55" s="100"/>
      <c r="AP55" s="100"/>
      <c r="AQ55" s="100"/>
      <c r="AR55" s="100"/>
      <c r="AS55" s="100"/>
      <c r="AT55" s="100"/>
      <c r="AU55" s="100"/>
      <c r="AV55" s="100">
        <v>0.01</v>
      </c>
      <c r="AW55" s="100"/>
      <c r="AX55" s="100"/>
      <c r="AY55" s="100"/>
      <c r="AZ55" s="100">
        <f>D55-BL55</f>
        <v>8.44</v>
      </c>
      <c r="BA55" s="100"/>
      <c r="BB55" s="100"/>
      <c r="BC55" s="100"/>
      <c r="BD55" s="100"/>
      <c r="BE55" s="100"/>
      <c r="BF55" s="100"/>
      <c r="BG55" s="100"/>
      <c r="BH55" s="100">
        <f t="shared" si="22"/>
        <v>0</v>
      </c>
      <c r="BI55" s="100"/>
      <c r="BJ55" s="100"/>
      <c r="BK55" s="100"/>
      <c r="BL55" s="100">
        <f>E55+W55+X55+Y55+Z55+AA55+AB55+AC55+AD55+AE55+AQ55+AR55+AS55+AT55+AU55+AV55+AW55+AX55+AY55+BA55+BB55+BC55+BD55+BE55+BF55+BG55+BH55</f>
        <v>0.14000000000000001</v>
      </c>
      <c r="BM55" s="100">
        <f>AZ67-BL55</f>
        <v>-0.14000000000000001</v>
      </c>
      <c r="BN55" s="100">
        <f t="shared" si="29"/>
        <v>8.44</v>
      </c>
      <c r="BP55" s="123"/>
    </row>
    <row r="56" spans="1:68" ht="20.100000000000001" customHeight="1">
      <c r="A56" s="19" t="s">
        <v>102</v>
      </c>
      <c r="B56" s="144" t="s">
        <v>103</v>
      </c>
      <c r="C56" s="5" t="s">
        <v>104</v>
      </c>
      <c r="D56" s="100"/>
      <c r="E56" s="100">
        <f t="shared" si="4"/>
        <v>0</v>
      </c>
      <c r="F56" s="100">
        <f t="shared" si="21"/>
        <v>0</v>
      </c>
      <c r="G56" s="100">
        <f t="shared" si="8"/>
        <v>0</v>
      </c>
      <c r="H56" s="100">
        <f t="shared" si="12"/>
        <v>0</v>
      </c>
      <c r="I56" s="100"/>
      <c r="J56" s="100"/>
      <c r="K56" s="100"/>
      <c r="L56" s="100"/>
      <c r="M56" s="100"/>
      <c r="N56" s="100"/>
      <c r="O56" s="100"/>
      <c r="P56" s="100"/>
      <c r="Q56" s="100"/>
      <c r="R56" s="100"/>
      <c r="S56" s="100"/>
      <c r="T56" s="100"/>
      <c r="U56" s="100"/>
      <c r="V56" s="100">
        <f t="shared" si="13"/>
        <v>0</v>
      </c>
      <c r="W56" s="100"/>
      <c r="X56" s="100"/>
      <c r="Y56" s="100"/>
      <c r="Z56" s="100"/>
      <c r="AA56" s="100"/>
      <c r="AB56" s="100"/>
      <c r="AC56" s="100"/>
      <c r="AD56" s="100"/>
      <c r="AE56" s="100">
        <f t="shared" si="27"/>
        <v>0</v>
      </c>
      <c r="AF56" s="100"/>
      <c r="AG56" s="100"/>
      <c r="AH56" s="100"/>
      <c r="AI56" s="100"/>
      <c r="AJ56" s="100"/>
      <c r="AK56" s="100"/>
      <c r="AL56" s="100"/>
      <c r="AM56" s="100"/>
      <c r="AN56" s="100"/>
      <c r="AO56" s="100"/>
      <c r="AP56" s="100"/>
      <c r="AQ56" s="100"/>
      <c r="AR56" s="100"/>
      <c r="AS56" s="100"/>
      <c r="AT56" s="100"/>
      <c r="AU56" s="100"/>
      <c r="AV56" s="100"/>
      <c r="AW56" s="100"/>
      <c r="AX56" s="100"/>
      <c r="AY56" s="100"/>
      <c r="AZ56" s="100"/>
      <c r="BA56" s="100">
        <f>D56-BL56</f>
        <v>0</v>
      </c>
      <c r="BB56" s="100"/>
      <c r="BC56" s="100"/>
      <c r="BD56" s="100"/>
      <c r="BE56" s="100"/>
      <c r="BF56" s="100"/>
      <c r="BG56" s="100"/>
      <c r="BH56" s="100">
        <f t="shared" si="22"/>
        <v>0</v>
      </c>
      <c r="BI56" s="100"/>
      <c r="BJ56" s="100"/>
      <c r="BK56" s="100"/>
      <c r="BL56" s="100">
        <f>E56+W56+X56+Y56+Z56+AA56+AB56+AC56+AD56+AE56+AQ56+AR56+AS56+AT56+AU56+AV56+AW56+AX56+AY56+AZ56+BB56+BC56+BD56+BE56+BF56+BG56+BH56</f>
        <v>0</v>
      </c>
      <c r="BM56" s="100">
        <f>BA67-BL56</f>
        <v>0</v>
      </c>
      <c r="BN56" s="100">
        <f t="shared" si="29"/>
        <v>0</v>
      </c>
      <c r="BP56" s="123"/>
    </row>
    <row r="57" spans="1:68" ht="20.100000000000001" customHeight="1">
      <c r="A57" s="19" t="s">
        <v>105</v>
      </c>
      <c r="B57" s="144" t="s">
        <v>106</v>
      </c>
      <c r="C57" s="5" t="s">
        <v>107</v>
      </c>
      <c r="D57" s="467">
        <f>#REF!</f>
        <v>2.2999999999999998</v>
      </c>
      <c r="E57" s="100">
        <f t="shared" si="4"/>
        <v>0</v>
      </c>
      <c r="F57" s="100">
        <f t="shared" si="21"/>
        <v>0</v>
      </c>
      <c r="G57" s="100">
        <f t="shared" si="8"/>
        <v>0</v>
      </c>
      <c r="H57" s="100">
        <f t="shared" si="12"/>
        <v>0</v>
      </c>
      <c r="I57" s="100"/>
      <c r="J57" s="100"/>
      <c r="K57" s="100"/>
      <c r="L57" s="100"/>
      <c r="M57" s="100"/>
      <c r="N57" s="100"/>
      <c r="O57" s="100"/>
      <c r="P57" s="100"/>
      <c r="Q57" s="100"/>
      <c r="R57" s="100"/>
      <c r="S57" s="100"/>
      <c r="T57" s="100"/>
      <c r="U57" s="100"/>
      <c r="V57" s="100">
        <f t="shared" si="13"/>
        <v>2.2999999999999998</v>
      </c>
      <c r="W57" s="100"/>
      <c r="X57" s="100"/>
      <c r="Y57" s="100"/>
      <c r="Z57" s="100"/>
      <c r="AA57" s="100">
        <v>0.35</v>
      </c>
      <c r="AB57" s="100"/>
      <c r="AC57" s="100"/>
      <c r="AD57" s="100"/>
      <c r="AE57" s="100">
        <f>SUM(AF57:AP57)</f>
        <v>0</v>
      </c>
      <c r="AF57" s="100"/>
      <c r="AG57" s="100"/>
      <c r="AH57" s="100"/>
      <c r="AI57" s="100"/>
      <c r="AJ57" s="100"/>
      <c r="AK57" s="100"/>
      <c r="AL57" s="100"/>
      <c r="AM57" s="100"/>
      <c r="AN57" s="100"/>
      <c r="AO57" s="100"/>
      <c r="AP57" s="100"/>
      <c r="AQ57" s="100"/>
      <c r="AR57" s="100"/>
      <c r="AS57" s="100"/>
      <c r="AT57" s="100"/>
      <c r="AU57" s="100"/>
      <c r="AV57" s="100">
        <v>0.19</v>
      </c>
      <c r="AW57" s="100"/>
      <c r="AX57" s="100"/>
      <c r="AY57" s="100"/>
      <c r="AZ57" s="100"/>
      <c r="BA57" s="100"/>
      <c r="BB57" s="100">
        <f>D57-BL57</f>
        <v>1.7599999999999998</v>
      </c>
      <c r="BC57" s="100"/>
      <c r="BD57" s="100"/>
      <c r="BE57" s="100"/>
      <c r="BF57" s="100"/>
      <c r="BG57" s="100"/>
      <c r="BH57" s="100">
        <f t="shared" si="22"/>
        <v>0</v>
      </c>
      <c r="BI57" s="100"/>
      <c r="BJ57" s="100"/>
      <c r="BK57" s="100"/>
      <c r="BL57" s="100">
        <f>E57+W57+X57+Y57+Z57+AA57+AB57+AC57+AD57+AE57+AQ57+AR57+AS57+AT57+AU57+AV57+AW57+AX57+AY57+AZ57+BA57+BC57+BD57+BE57+BF57+BG57+BH57</f>
        <v>0.54</v>
      </c>
      <c r="BM57" s="100">
        <f>BB67-BL57</f>
        <v>-0.54</v>
      </c>
      <c r="BN57" s="100">
        <f t="shared" si="29"/>
        <v>1.7599999999999998</v>
      </c>
      <c r="BP57" s="123"/>
    </row>
    <row r="58" spans="1:68" ht="20.100000000000001" customHeight="1">
      <c r="A58" s="19" t="s">
        <v>108</v>
      </c>
      <c r="B58" s="144" t="s">
        <v>491</v>
      </c>
      <c r="C58" s="5" t="s">
        <v>110</v>
      </c>
      <c r="D58" s="100"/>
      <c r="E58" s="100">
        <f t="shared" si="4"/>
        <v>0</v>
      </c>
      <c r="F58" s="100">
        <f t="shared" si="21"/>
        <v>0</v>
      </c>
      <c r="G58" s="100">
        <f t="shared" si="8"/>
        <v>0</v>
      </c>
      <c r="H58" s="100">
        <f t="shared" si="12"/>
        <v>0</v>
      </c>
      <c r="I58" s="100"/>
      <c r="J58" s="100"/>
      <c r="K58" s="100"/>
      <c r="L58" s="100"/>
      <c r="M58" s="100"/>
      <c r="N58" s="100"/>
      <c r="O58" s="100"/>
      <c r="P58" s="100"/>
      <c r="Q58" s="100"/>
      <c r="R58" s="100"/>
      <c r="S58" s="100"/>
      <c r="T58" s="100"/>
      <c r="U58" s="100"/>
      <c r="V58" s="100">
        <f t="shared" si="13"/>
        <v>0</v>
      </c>
      <c r="W58" s="100"/>
      <c r="X58" s="100"/>
      <c r="Y58" s="100"/>
      <c r="Z58" s="100"/>
      <c r="AA58" s="100"/>
      <c r="AB58" s="100"/>
      <c r="AC58" s="100"/>
      <c r="AD58" s="100"/>
      <c r="AE58" s="100">
        <f t="shared" si="27"/>
        <v>0</v>
      </c>
      <c r="AF58" s="100"/>
      <c r="AG58" s="100"/>
      <c r="AH58" s="100"/>
      <c r="AI58" s="100"/>
      <c r="AJ58" s="100"/>
      <c r="AK58" s="100"/>
      <c r="AL58" s="100"/>
      <c r="AM58" s="100"/>
      <c r="AN58" s="100"/>
      <c r="AO58" s="100"/>
      <c r="AP58" s="100"/>
      <c r="AQ58" s="100"/>
      <c r="AR58" s="100"/>
      <c r="AS58" s="100"/>
      <c r="AT58" s="100"/>
      <c r="AU58" s="100"/>
      <c r="AV58" s="100"/>
      <c r="AW58" s="100"/>
      <c r="AX58" s="100"/>
      <c r="AY58" s="100"/>
      <c r="AZ58" s="100"/>
      <c r="BA58" s="100"/>
      <c r="BB58" s="100"/>
      <c r="BC58" s="100">
        <f>D58-BL58</f>
        <v>0</v>
      </c>
      <c r="BD58" s="100"/>
      <c r="BE58" s="100"/>
      <c r="BF58" s="100"/>
      <c r="BG58" s="100"/>
      <c r="BH58" s="100">
        <f t="shared" si="22"/>
        <v>0</v>
      </c>
      <c r="BI58" s="100"/>
      <c r="BJ58" s="100"/>
      <c r="BK58" s="100"/>
      <c r="BL58" s="100">
        <f>E58+W58+X58+Y58+Z58+AA58+AB58+AC58+AD58+AE58+AQ58+AR58+AS58+AT58+AU58+AV58+AW58+AX58+AY58+AZ58+BA58+BB58+BD58+BE58+BF58+BG58+BH58</f>
        <v>0</v>
      </c>
      <c r="BM58" s="100">
        <f>BC67-BL58</f>
        <v>9.02</v>
      </c>
      <c r="BN58" s="100">
        <f t="shared" si="29"/>
        <v>9.02</v>
      </c>
      <c r="BP58" s="123"/>
    </row>
    <row r="59" spans="1:68" ht="20.100000000000001" customHeight="1">
      <c r="A59" s="19" t="s">
        <v>111</v>
      </c>
      <c r="B59" s="144" t="s">
        <v>112</v>
      </c>
      <c r="C59" s="5" t="s">
        <v>113</v>
      </c>
      <c r="D59" s="100">
        <f>#REF!</f>
        <v>0.54</v>
      </c>
      <c r="E59" s="100">
        <f t="shared" si="4"/>
        <v>0</v>
      </c>
      <c r="F59" s="100">
        <f t="shared" si="21"/>
        <v>0</v>
      </c>
      <c r="G59" s="100">
        <f t="shared" si="8"/>
        <v>0</v>
      </c>
      <c r="H59" s="100">
        <f t="shared" si="12"/>
        <v>0</v>
      </c>
      <c r="I59" s="100"/>
      <c r="J59" s="100"/>
      <c r="K59" s="100"/>
      <c r="L59" s="100"/>
      <c r="M59" s="100"/>
      <c r="N59" s="100"/>
      <c r="O59" s="100"/>
      <c r="P59" s="100"/>
      <c r="Q59" s="100"/>
      <c r="R59" s="100"/>
      <c r="S59" s="100"/>
      <c r="T59" s="100"/>
      <c r="U59" s="100"/>
      <c r="V59" s="100">
        <f t="shared" si="13"/>
        <v>0.54</v>
      </c>
      <c r="W59" s="100"/>
      <c r="X59" s="100"/>
      <c r="Y59" s="100"/>
      <c r="Z59" s="100"/>
      <c r="AA59" s="100">
        <v>0.09</v>
      </c>
      <c r="AB59" s="100"/>
      <c r="AC59" s="100"/>
      <c r="AD59" s="100"/>
      <c r="AE59" s="100">
        <f t="shared" si="27"/>
        <v>0</v>
      </c>
      <c r="AF59" s="100"/>
      <c r="AG59" s="100"/>
      <c r="AH59" s="100"/>
      <c r="AI59" s="100"/>
      <c r="AJ59" s="100"/>
      <c r="AK59" s="100"/>
      <c r="AL59" s="100"/>
      <c r="AM59" s="100"/>
      <c r="AN59" s="100"/>
      <c r="AO59" s="100"/>
      <c r="AP59" s="100"/>
      <c r="AQ59" s="100"/>
      <c r="AR59" s="100"/>
      <c r="AS59" s="100"/>
      <c r="AT59" s="100"/>
      <c r="AU59" s="100"/>
      <c r="AV59" s="100"/>
      <c r="AW59" s="100"/>
      <c r="AX59" s="100"/>
      <c r="AY59" s="100"/>
      <c r="AZ59" s="100"/>
      <c r="BA59" s="100"/>
      <c r="BB59" s="100"/>
      <c r="BC59" s="100"/>
      <c r="BD59" s="100">
        <f>D59-BL59</f>
        <v>0.45000000000000007</v>
      </c>
      <c r="BE59" s="100"/>
      <c r="BF59" s="100"/>
      <c r="BG59" s="100"/>
      <c r="BH59" s="100">
        <f t="shared" si="22"/>
        <v>0</v>
      </c>
      <c r="BI59" s="100"/>
      <c r="BJ59" s="100"/>
      <c r="BK59" s="100"/>
      <c r="BL59" s="100">
        <f>E59+W59+X59+Y59+Z59+AA59+AB59+AC59+AD59+AE59+AQ59+AR59+AS59+AT59+AU59+AV59+AW59+AX59+AY59+AZ59+BA59+BB59+BC59+BE59+BF59+BG59+BH59</f>
        <v>0.09</v>
      </c>
      <c r="BM59" s="100">
        <f>BD67-BL59</f>
        <v>-0.09</v>
      </c>
      <c r="BN59" s="100">
        <f t="shared" si="29"/>
        <v>0.45000000000000007</v>
      </c>
      <c r="BP59" s="123"/>
    </row>
    <row r="60" spans="1:68" ht="20.100000000000001" customHeight="1">
      <c r="A60" s="19" t="s">
        <v>114</v>
      </c>
      <c r="B60" s="144" t="s">
        <v>115</v>
      </c>
      <c r="C60" s="5" t="s">
        <v>116</v>
      </c>
      <c r="D60" s="100">
        <f>#REF!</f>
        <v>689.36</v>
      </c>
      <c r="E60" s="100">
        <f t="shared" si="4"/>
        <v>0</v>
      </c>
      <c r="F60" s="100">
        <f t="shared" si="21"/>
        <v>0</v>
      </c>
      <c r="G60" s="100">
        <f t="shared" si="8"/>
        <v>0</v>
      </c>
      <c r="H60" s="100">
        <f t="shared" si="12"/>
        <v>0</v>
      </c>
      <c r="I60" s="100"/>
      <c r="J60" s="100"/>
      <c r="K60" s="100"/>
      <c r="L60" s="100"/>
      <c r="M60" s="100"/>
      <c r="N60" s="100"/>
      <c r="O60" s="100"/>
      <c r="P60" s="100"/>
      <c r="Q60" s="100"/>
      <c r="R60" s="100"/>
      <c r="S60" s="100"/>
      <c r="T60" s="100"/>
      <c r="U60" s="100"/>
      <c r="V60" s="100">
        <f t="shared" si="13"/>
        <v>689.36</v>
      </c>
      <c r="W60" s="100"/>
      <c r="X60" s="100"/>
      <c r="Y60" s="100"/>
      <c r="Z60" s="100"/>
      <c r="AA60" s="100">
        <v>1.21</v>
      </c>
      <c r="AB60" s="100"/>
      <c r="AC60" s="100"/>
      <c r="AD60" s="100"/>
      <c r="AE60" s="100">
        <f t="shared" si="27"/>
        <v>0</v>
      </c>
      <c r="AF60" s="100"/>
      <c r="AG60" s="100"/>
      <c r="AH60" s="100"/>
      <c r="AI60" s="100"/>
      <c r="AJ60" s="100"/>
      <c r="AK60" s="100"/>
      <c r="AL60" s="100"/>
      <c r="AM60" s="100"/>
      <c r="AN60" s="100"/>
      <c r="AO60" s="100"/>
      <c r="AP60" s="100"/>
      <c r="AQ60" s="100"/>
      <c r="AR60" s="100"/>
      <c r="AS60" s="100"/>
      <c r="AT60" s="100"/>
      <c r="AU60" s="100"/>
      <c r="AV60" s="100"/>
      <c r="AW60" s="100"/>
      <c r="AX60" s="100"/>
      <c r="AY60" s="100"/>
      <c r="AZ60" s="100"/>
      <c r="BA60" s="100"/>
      <c r="BB60" s="100"/>
      <c r="BC60" s="100"/>
      <c r="BD60" s="100"/>
      <c r="BE60" s="100">
        <f>D60-BL60</f>
        <v>688.15</v>
      </c>
      <c r="BF60" s="100"/>
      <c r="BG60" s="100"/>
      <c r="BH60" s="100">
        <f t="shared" si="22"/>
        <v>0</v>
      </c>
      <c r="BI60" s="100"/>
      <c r="BJ60" s="100"/>
      <c r="BK60" s="100"/>
      <c r="BL60" s="100">
        <f>E60+W60+X60+Y60+Z60+AA60+AB60+AC60+AD60+AE60+AQ60+AR60+AS60+AT60+AU60+AV60+AW60+AX60+AY60+AZ60+BA60+BB60+BC60+BD60+BF60+BG60+BH60</f>
        <v>1.21</v>
      </c>
      <c r="BM60" s="100">
        <f>BE67-BL60</f>
        <v>-1.21</v>
      </c>
      <c r="BN60" s="100">
        <f t="shared" si="29"/>
        <v>688.15</v>
      </c>
      <c r="BP60" s="123"/>
    </row>
    <row r="61" spans="1:68" ht="20.100000000000001" customHeight="1">
      <c r="A61" s="19" t="s">
        <v>117</v>
      </c>
      <c r="B61" s="144" t="s">
        <v>118</v>
      </c>
      <c r="C61" s="5" t="s">
        <v>119</v>
      </c>
      <c r="D61" s="100"/>
      <c r="E61" s="100">
        <f t="shared" si="4"/>
        <v>0</v>
      </c>
      <c r="F61" s="100">
        <f t="shared" si="21"/>
        <v>0</v>
      </c>
      <c r="G61" s="100">
        <f t="shared" si="8"/>
        <v>0</v>
      </c>
      <c r="H61" s="100">
        <f t="shared" si="12"/>
        <v>0</v>
      </c>
      <c r="I61" s="100"/>
      <c r="J61" s="100"/>
      <c r="K61" s="100"/>
      <c r="L61" s="100"/>
      <c r="M61" s="100"/>
      <c r="N61" s="100"/>
      <c r="O61" s="100"/>
      <c r="P61" s="100"/>
      <c r="Q61" s="100"/>
      <c r="R61" s="100"/>
      <c r="S61" s="100"/>
      <c r="T61" s="100"/>
      <c r="U61" s="100"/>
      <c r="V61" s="100">
        <f t="shared" si="13"/>
        <v>0</v>
      </c>
      <c r="W61" s="100"/>
      <c r="X61" s="100"/>
      <c r="Y61" s="100"/>
      <c r="Z61" s="100"/>
      <c r="AA61" s="100"/>
      <c r="AB61" s="100"/>
      <c r="AC61" s="100"/>
      <c r="AD61" s="100"/>
      <c r="AE61" s="100">
        <f t="shared" si="27"/>
        <v>0</v>
      </c>
      <c r="AF61" s="100"/>
      <c r="AG61" s="100"/>
      <c r="AH61" s="100"/>
      <c r="AI61" s="100"/>
      <c r="AJ61" s="100"/>
      <c r="AK61" s="100"/>
      <c r="AL61" s="100"/>
      <c r="AM61" s="100"/>
      <c r="AN61" s="100"/>
      <c r="AO61" s="100"/>
      <c r="AP61" s="100"/>
      <c r="AQ61" s="100"/>
      <c r="AR61" s="100"/>
      <c r="AS61" s="100"/>
      <c r="AT61" s="100"/>
      <c r="AU61" s="100"/>
      <c r="AV61" s="100"/>
      <c r="AW61" s="100"/>
      <c r="AX61" s="100"/>
      <c r="AY61" s="100"/>
      <c r="AZ61" s="100"/>
      <c r="BA61" s="100"/>
      <c r="BB61" s="100"/>
      <c r="BC61" s="100"/>
      <c r="BD61" s="100"/>
      <c r="BE61" s="100"/>
      <c r="BF61" s="100">
        <f>D61-BL61</f>
        <v>0</v>
      </c>
      <c r="BG61" s="100"/>
      <c r="BH61" s="100">
        <f t="shared" si="22"/>
        <v>0</v>
      </c>
      <c r="BI61" s="100"/>
      <c r="BJ61" s="100"/>
      <c r="BK61" s="100"/>
      <c r="BL61" s="100">
        <f>E61+W61+X61+Y61+Z61+AA61+AB61+AC61+AD61+AE61+AQ61+AR61+AS61+AT61+AU61+AV61+AW61+AX61+AY61+AZ61+BA61+BB61+BC61+BD61+BE61+BG61+BH61</f>
        <v>0</v>
      </c>
      <c r="BM61" s="100">
        <f>BF67-BL61</f>
        <v>0</v>
      </c>
      <c r="BN61" s="100">
        <f t="shared" si="29"/>
        <v>0</v>
      </c>
      <c r="BP61" s="123"/>
    </row>
    <row r="62" spans="1:68" ht="20.100000000000001" customHeight="1">
      <c r="A62" s="19" t="s">
        <v>120</v>
      </c>
      <c r="B62" s="144" t="s">
        <v>121</v>
      </c>
      <c r="C62" s="5" t="s">
        <v>122</v>
      </c>
      <c r="D62" s="100"/>
      <c r="E62" s="100">
        <f t="shared" si="4"/>
        <v>0</v>
      </c>
      <c r="F62" s="100">
        <f t="shared" si="21"/>
        <v>0</v>
      </c>
      <c r="G62" s="100">
        <f t="shared" si="8"/>
        <v>0</v>
      </c>
      <c r="H62" s="100">
        <f t="shared" si="12"/>
        <v>0</v>
      </c>
      <c r="I62" s="100"/>
      <c r="J62" s="100"/>
      <c r="K62" s="100"/>
      <c r="L62" s="100"/>
      <c r="M62" s="100"/>
      <c r="N62" s="100"/>
      <c r="O62" s="100"/>
      <c r="P62" s="100"/>
      <c r="Q62" s="100"/>
      <c r="R62" s="100"/>
      <c r="S62" s="100"/>
      <c r="T62" s="100"/>
      <c r="U62" s="100"/>
      <c r="V62" s="100">
        <f t="shared" si="13"/>
        <v>0</v>
      </c>
      <c r="W62" s="100"/>
      <c r="X62" s="100"/>
      <c r="Y62" s="100"/>
      <c r="Z62" s="100"/>
      <c r="AA62" s="100"/>
      <c r="AB62" s="100"/>
      <c r="AC62" s="100"/>
      <c r="AD62" s="100"/>
      <c r="AE62" s="100">
        <f t="shared" si="27"/>
        <v>0</v>
      </c>
      <c r="AF62" s="100"/>
      <c r="AG62" s="100"/>
      <c r="AH62" s="100"/>
      <c r="AI62" s="100"/>
      <c r="AJ62" s="100"/>
      <c r="AK62" s="100"/>
      <c r="AL62" s="100"/>
      <c r="AM62" s="100"/>
      <c r="AN62" s="100"/>
      <c r="AO62" s="100"/>
      <c r="AP62" s="100"/>
      <c r="AQ62" s="100"/>
      <c r="AR62" s="100"/>
      <c r="AS62" s="100"/>
      <c r="AT62" s="100"/>
      <c r="AU62" s="100"/>
      <c r="AV62" s="100"/>
      <c r="AW62" s="100"/>
      <c r="AX62" s="100"/>
      <c r="AY62" s="100"/>
      <c r="AZ62" s="100"/>
      <c r="BA62" s="100"/>
      <c r="BB62" s="100"/>
      <c r="BC62" s="100"/>
      <c r="BD62" s="100"/>
      <c r="BE62" s="100"/>
      <c r="BF62" s="100"/>
      <c r="BG62" s="100">
        <f>D62-BL62</f>
        <v>0</v>
      </c>
      <c r="BH62" s="100">
        <f t="shared" si="22"/>
        <v>0</v>
      </c>
      <c r="BI62" s="100"/>
      <c r="BJ62" s="100"/>
      <c r="BK62" s="100"/>
      <c r="BL62" s="100">
        <f>E62+W62+X62+Y62+Z62+AA62+AB62+AC62+AD62+AE62+AQ62+AR62+AS62+AT62+AU62+AV62+AW62+AX62+AY62+AZ62+BA62+BB62+BC62+BD62+BE62+BF62+BH62</f>
        <v>0</v>
      </c>
      <c r="BM62" s="100">
        <f>BG67-BL62</f>
        <v>0</v>
      </c>
      <c r="BN62" s="100">
        <f t="shared" si="29"/>
        <v>0</v>
      </c>
      <c r="BP62" s="123"/>
    </row>
    <row r="63" spans="1:68" s="970" customFormat="1" ht="21.75" customHeight="1">
      <c r="A63" s="15">
        <v>3</v>
      </c>
      <c r="B63" s="142" t="s">
        <v>123</v>
      </c>
      <c r="C63" s="6" t="s">
        <v>124</v>
      </c>
      <c r="D63" s="175">
        <f>SUM(D64:D66)</f>
        <v>269.12</v>
      </c>
      <c r="E63" s="175">
        <f>E64+E65+E66</f>
        <v>0</v>
      </c>
      <c r="F63" s="175">
        <f t="shared" ref="F63:U63" si="30">F64+F65+F66</f>
        <v>0</v>
      </c>
      <c r="G63" s="175">
        <f t="shared" si="30"/>
        <v>0</v>
      </c>
      <c r="H63" s="175">
        <f t="shared" si="30"/>
        <v>0</v>
      </c>
      <c r="I63" s="175">
        <f t="shared" si="30"/>
        <v>0</v>
      </c>
      <c r="J63" s="175">
        <f t="shared" si="30"/>
        <v>0</v>
      </c>
      <c r="K63" s="175">
        <f t="shared" si="30"/>
        <v>0</v>
      </c>
      <c r="L63" s="175">
        <f t="shared" si="30"/>
        <v>0</v>
      </c>
      <c r="M63" s="175">
        <f t="shared" si="30"/>
        <v>0</v>
      </c>
      <c r="N63" s="175">
        <f t="shared" si="30"/>
        <v>0</v>
      </c>
      <c r="O63" s="175">
        <f t="shared" si="30"/>
        <v>0</v>
      </c>
      <c r="P63" s="175">
        <f t="shared" si="30"/>
        <v>0</v>
      </c>
      <c r="Q63" s="175">
        <f t="shared" si="30"/>
        <v>0</v>
      </c>
      <c r="R63" s="175">
        <f t="shared" si="30"/>
        <v>0</v>
      </c>
      <c r="S63" s="175">
        <f t="shared" si="30"/>
        <v>0</v>
      </c>
      <c r="T63" s="175">
        <f t="shared" si="30"/>
        <v>0</v>
      </c>
      <c r="U63" s="175">
        <f t="shared" si="30"/>
        <v>0</v>
      </c>
      <c r="V63" s="175">
        <f>V64+V65+V66</f>
        <v>13.43</v>
      </c>
      <c r="W63" s="175">
        <f t="shared" ref="W63:BG63" si="31">W64+W65+W66</f>
        <v>0</v>
      </c>
      <c r="X63" s="175">
        <f t="shared" si="31"/>
        <v>0</v>
      </c>
      <c r="Y63" s="175">
        <f t="shared" si="31"/>
        <v>0</v>
      </c>
      <c r="Z63" s="175">
        <f t="shared" si="31"/>
        <v>0</v>
      </c>
      <c r="AA63" s="175">
        <f t="shared" si="31"/>
        <v>5.51</v>
      </c>
      <c r="AB63" s="175">
        <f t="shared" si="31"/>
        <v>1.47</v>
      </c>
      <c r="AC63" s="175">
        <f t="shared" si="31"/>
        <v>2.19</v>
      </c>
      <c r="AD63" s="175">
        <f t="shared" si="31"/>
        <v>0</v>
      </c>
      <c r="AE63" s="175">
        <f t="shared" si="31"/>
        <v>3.2600000000000002</v>
      </c>
      <c r="AF63" s="175">
        <f t="shared" si="31"/>
        <v>0</v>
      </c>
      <c r="AG63" s="175">
        <f t="shared" si="31"/>
        <v>0</v>
      </c>
      <c r="AH63" s="175">
        <f t="shared" si="31"/>
        <v>0</v>
      </c>
      <c r="AI63" s="175">
        <f t="shared" si="31"/>
        <v>0</v>
      </c>
      <c r="AJ63" s="175">
        <f t="shared" si="31"/>
        <v>0</v>
      </c>
      <c r="AK63" s="175">
        <f t="shared" si="31"/>
        <v>0</v>
      </c>
      <c r="AL63" s="175">
        <f t="shared" si="31"/>
        <v>3.2600000000000002</v>
      </c>
      <c r="AM63" s="175">
        <f t="shared" si="31"/>
        <v>0</v>
      </c>
      <c r="AN63" s="175">
        <f t="shared" si="31"/>
        <v>0</v>
      </c>
      <c r="AO63" s="175">
        <f t="shared" si="31"/>
        <v>0</v>
      </c>
      <c r="AP63" s="175">
        <f t="shared" si="31"/>
        <v>0</v>
      </c>
      <c r="AQ63" s="175">
        <f t="shared" si="31"/>
        <v>0</v>
      </c>
      <c r="AR63" s="175">
        <f t="shared" si="31"/>
        <v>0</v>
      </c>
      <c r="AS63" s="175">
        <f t="shared" si="31"/>
        <v>0</v>
      </c>
      <c r="AT63" s="175">
        <f t="shared" si="31"/>
        <v>0</v>
      </c>
      <c r="AU63" s="175">
        <f t="shared" si="31"/>
        <v>0.39</v>
      </c>
      <c r="AV63" s="175">
        <f t="shared" si="31"/>
        <v>0.06</v>
      </c>
      <c r="AW63" s="175">
        <f t="shared" si="31"/>
        <v>0</v>
      </c>
      <c r="AX63" s="175">
        <f t="shared" si="31"/>
        <v>0</v>
      </c>
      <c r="AY63" s="175">
        <f t="shared" si="31"/>
        <v>0</v>
      </c>
      <c r="AZ63" s="175">
        <f t="shared" si="31"/>
        <v>0</v>
      </c>
      <c r="BA63" s="175">
        <f t="shared" si="31"/>
        <v>0</v>
      </c>
      <c r="BB63" s="175">
        <f t="shared" si="31"/>
        <v>0</v>
      </c>
      <c r="BC63" s="175">
        <f t="shared" si="31"/>
        <v>0.55000000000000004</v>
      </c>
      <c r="BD63" s="175">
        <f t="shared" si="31"/>
        <v>0</v>
      </c>
      <c r="BE63" s="175">
        <f t="shared" si="31"/>
        <v>0</v>
      </c>
      <c r="BF63" s="175">
        <f t="shared" si="31"/>
        <v>0</v>
      </c>
      <c r="BG63" s="175">
        <f t="shared" si="31"/>
        <v>0</v>
      </c>
      <c r="BH63" s="175">
        <f>D63-BL63</f>
        <v>255.69</v>
      </c>
      <c r="BI63" s="175">
        <f t="shared" ref="BI63:BN63" si="32">BI64+BI65+BI66</f>
        <v>251.64</v>
      </c>
      <c r="BJ63" s="175">
        <f t="shared" si="32"/>
        <v>4.05</v>
      </c>
      <c r="BK63" s="175">
        <f t="shared" si="32"/>
        <v>0</v>
      </c>
      <c r="BL63" s="175">
        <f t="shared" si="32"/>
        <v>13.43</v>
      </c>
      <c r="BM63" s="175">
        <f t="shared" si="32"/>
        <v>-13.43</v>
      </c>
      <c r="BN63" s="175">
        <f t="shared" si="32"/>
        <v>255.69</v>
      </c>
    </row>
    <row r="64" spans="1:68" ht="21.75" customHeight="1">
      <c r="A64" s="14" t="s">
        <v>220</v>
      </c>
      <c r="B64" s="143" t="s">
        <v>461</v>
      </c>
      <c r="C64" s="5" t="s">
        <v>209</v>
      </c>
      <c r="D64" s="100">
        <f>#REF!</f>
        <v>264.45999999999998</v>
      </c>
      <c r="E64" s="100">
        <f t="shared" si="4"/>
        <v>0</v>
      </c>
      <c r="F64" s="100">
        <f t="shared" si="21"/>
        <v>0</v>
      </c>
      <c r="G64" s="100">
        <f t="shared" si="8"/>
        <v>0</v>
      </c>
      <c r="H64" s="100">
        <f t="shared" si="12"/>
        <v>0</v>
      </c>
      <c r="I64" s="100"/>
      <c r="J64" s="100"/>
      <c r="K64" s="100"/>
      <c r="L64" s="100"/>
      <c r="M64" s="100"/>
      <c r="N64" s="100"/>
      <c r="O64" s="100"/>
      <c r="P64" s="100"/>
      <c r="Q64" s="100"/>
      <c r="R64" s="100"/>
      <c r="S64" s="100"/>
      <c r="T64" s="100"/>
      <c r="U64" s="100"/>
      <c r="V64" s="100">
        <f t="shared" si="13"/>
        <v>12.82</v>
      </c>
      <c r="W64" s="100"/>
      <c r="X64" s="100"/>
      <c r="Y64" s="100"/>
      <c r="Z64" s="100"/>
      <c r="AA64" s="100">
        <v>5.51</v>
      </c>
      <c r="AB64" s="100">
        <v>1.47</v>
      </c>
      <c r="AC64" s="100">
        <v>2.19</v>
      </c>
      <c r="AD64" s="100"/>
      <c r="AE64" s="100">
        <f t="shared" si="27"/>
        <v>2.83</v>
      </c>
      <c r="AF64" s="100"/>
      <c r="AG64" s="100"/>
      <c r="AH64" s="100"/>
      <c r="AI64" s="100"/>
      <c r="AJ64" s="100"/>
      <c r="AK64" s="100"/>
      <c r="AL64" s="100">
        <v>2.83</v>
      </c>
      <c r="AM64" s="100"/>
      <c r="AN64" s="100"/>
      <c r="AO64" s="100"/>
      <c r="AP64" s="100"/>
      <c r="AQ64" s="100"/>
      <c r="AR64" s="100"/>
      <c r="AS64" s="100"/>
      <c r="AT64" s="100"/>
      <c r="AU64" s="100">
        <v>0.39</v>
      </c>
      <c r="AV64" s="100">
        <v>0.06</v>
      </c>
      <c r="AW64" s="100"/>
      <c r="AX64" s="100"/>
      <c r="AY64" s="100"/>
      <c r="AZ64" s="100"/>
      <c r="BA64" s="100"/>
      <c r="BB64" s="100"/>
      <c r="BC64" s="100">
        <v>0.37</v>
      </c>
      <c r="BD64" s="100"/>
      <c r="BE64" s="100"/>
      <c r="BF64" s="100"/>
      <c r="BG64" s="100"/>
      <c r="BH64" s="100">
        <f>BI64+BJ64+BK64</f>
        <v>251.64</v>
      </c>
      <c r="BI64" s="100">
        <f>D64-BL64</f>
        <v>251.64</v>
      </c>
      <c r="BJ64" s="100"/>
      <c r="BK64" s="100"/>
      <c r="BL64" s="100">
        <f>E64+V64</f>
        <v>12.82</v>
      </c>
      <c r="BM64" s="100">
        <f>BI67-BL64</f>
        <v>-12.82</v>
      </c>
      <c r="BN64" s="100">
        <f>D64+BM64</f>
        <v>251.64</v>
      </c>
      <c r="BP64" s="123"/>
    </row>
    <row r="65" spans="1:68" ht="21.75" customHeight="1">
      <c r="A65" s="14" t="s">
        <v>221</v>
      </c>
      <c r="B65" s="143" t="s">
        <v>462</v>
      </c>
      <c r="C65" s="5" t="s">
        <v>210</v>
      </c>
      <c r="D65" s="100">
        <f>#REF!</f>
        <v>4.66</v>
      </c>
      <c r="E65" s="100">
        <f t="shared" si="4"/>
        <v>0</v>
      </c>
      <c r="F65" s="100">
        <f t="shared" si="21"/>
        <v>0</v>
      </c>
      <c r="G65" s="100">
        <f t="shared" si="8"/>
        <v>0</v>
      </c>
      <c r="H65" s="100">
        <f t="shared" si="12"/>
        <v>0</v>
      </c>
      <c r="I65" s="100"/>
      <c r="J65" s="100"/>
      <c r="K65" s="100"/>
      <c r="L65" s="100"/>
      <c r="M65" s="100"/>
      <c r="N65" s="100"/>
      <c r="O65" s="100"/>
      <c r="P65" s="100"/>
      <c r="Q65" s="100"/>
      <c r="R65" s="100"/>
      <c r="S65" s="100"/>
      <c r="T65" s="100"/>
      <c r="U65" s="100"/>
      <c r="V65" s="100">
        <f t="shared" si="13"/>
        <v>0.61</v>
      </c>
      <c r="W65" s="100"/>
      <c r="X65" s="100"/>
      <c r="Y65" s="100"/>
      <c r="Z65" s="100"/>
      <c r="AA65" s="100"/>
      <c r="AB65" s="100"/>
      <c r="AC65" s="100"/>
      <c r="AD65" s="100"/>
      <c r="AE65" s="100">
        <f t="shared" si="27"/>
        <v>0.43</v>
      </c>
      <c r="AF65" s="100"/>
      <c r="AG65" s="100"/>
      <c r="AH65" s="100"/>
      <c r="AI65" s="100"/>
      <c r="AJ65" s="100"/>
      <c r="AK65" s="100"/>
      <c r="AL65" s="100">
        <v>0.43</v>
      </c>
      <c r="AM65" s="100"/>
      <c r="AN65" s="100"/>
      <c r="AO65" s="100"/>
      <c r="AP65" s="100"/>
      <c r="AQ65" s="100"/>
      <c r="AR65" s="100"/>
      <c r="AS65" s="100"/>
      <c r="AT65" s="100"/>
      <c r="AU65" s="100"/>
      <c r="AV65" s="100"/>
      <c r="AW65" s="100"/>
      <c r="AX65" s="100"/>
      <c r="AY65" s="100"/>
      <c r="AZ65" s="100"/>
      <c r="BA65" s="100"/>
      <c r="BB65" s="100"/>
      <c r="BC65" s="100">
        <v>0.18</v>
      </c>
      <c r="BD65" s="100"/>
      <c r="BE65" s="100"/>
      <c r="BF65" s="100"/>
      <c r="BG65" s="100"/>
      <c r="BH65" s="100">
        <f>BI65+BJ65+BK65</f>
        <v>4.05</v>
      </c>
      <c r="BI65" s="100"/>
      <c r="BJ65" s="100">
        <f>D65-BL65</f>
        <v>4.05</v>
      </c>
      <c r="BK65" s="100"/>
      <c r="BL65" s="100">
        <f>E65+V65</f>
        <v>0.61</v>
      </c>
      <c r="BM65" s="100">
        <f>BJ67-BL65</f>
        <v>-0.61</v>
      </c>
      <c r="BN65" s="100">
        <f>D65+BM65</f>
        <v>4.05</v>
      </c>
      <c r="BP65" s="123"/>
    </row>
    <row r="66" spans="1:68" ht="21.75" customHeight="1">
      <c r="A66" s="16" t="s">
        <v>222</v>
      </c>
      <c r="B66" s="145" t="s">
        <v>492</v>
      </c>
      <c r="C66" s="9" t="s">
        <v>211</v>
      </c>
      <c r="D66" s="280"/>
      <c r="E66" s="280">
        <f t="shared" si="4"/>
        <v>0</v>
      </c>
      <c r="F66" s="280">
        <f t="shared" si="21"/>
        <v>0</v>
      </c>
      <c r="G66" s="280">
        <f t="shared" si="8"/>
        <v>0</v>
      </c>
      <c r="H66" s="280">
        <f t="shared" si="12"/>
        <v>0</v>
      </c>
      <c r="I66" s="280"/>
      <c r="J66" s="280"/>
      <c r="K66" s="280"/>
      <c r="L66" s="280"/>
      <c r="M66" s="280"/>
      <c r="N66" s="280"/>
      <c r="O66" s="280"/>
      <c r="P66" s="280"/>
      <c r="Q66" s="280"/>
      <c r="R66" s="280"/>
      <c r="S66" s="280"/>
      <c r="T66" s="280"/>
      <c r="U66" s="280"/>
      <c r="V66" s="280">
        <f t="shared" si="13"/>
        <v>0</v>
      </c>
      <c r="W66" s="280"/>
      <c r="X66" s="280"/>
      <c r="Y66" s="280"/>
      <c r="Z66" s="280"/>
      <c r="AA66" s="280"/>
      <c r="AB66" s="280"/>
      <c r="AC66" s="280"/>
      <c r="AD66" s="280"/>
      <c r="AE66" s="280">
        <f t="shared" si="27"/>
        <v>0</v>
      </c>
      <c r="AF66" s="280"/>
      <c r="AG66" s="280"/>
      <c r="AH66" s="280"/>
      <c r="AI66" s="280"/>
      <c r="AJ66" s="280"/>
      <c r="AK66" s="280"/>
      <c r="AL66" s="280"/>
      <c r="AM66" s="280"/>
      <c r="AN66" s="280"/>
      <c r="AO66" s="280"/>
      <c r="AP66" s="280"/>
      <c r="AQ66" s="280"/>
      <c r="AR66" s="280"/>
      <c r="AS66" s="280"/>
      <c r="AT66" s="280"/>
      <c r="AU66" s="280"/>
      <c r="AV66" s="280"/>
      <c r="AW66" s="280"/>
      <c r="AX66" s="280"/>
      <c r="AY66" s="280"/>
      <c r="AZ66" s="280"/>
      <c r="BA66" s="280"/>
      <c r="BB66" s="280"/>
      <c r="BC66" s="280"/>
      <c r="BD66" s="280"/>
      <c r="BE66" s="280"/>
      <c r="BF66" s="280"/>
      <c r="BG66" s="280"/>
      <c r="BH66" s="280">
        <f>BI66+BJ66+BK66</f>
        <v>0</v>
      </c>
      <c r="BI66" s="280"/>
      <c r="BJ66" s="280"/>
      <c r="BK66" s="280">
        <f>D66-BL66</f>
        <v>0</v>
      </c>
      <c r="BL66" s="280">
        <f>E66+V66</f>
        <v>0</v>
      </c>
      <c r="BM66" s="280">
        <f>D66-BL66</f>
        <v>0</v>
      </c>
      <c r="BN66" s="280">
        <f>D66+BM66</f>
        <v>0</v>
      </c>
      <c r="BP66" s="123"/>
    </row>
    <row r="67" spans="1:68" s="113" customFormat="1" ht="24.75" customHeight="1">
      <c r="A67" s="17"/>
      <c r="B67" s="146" t="s">
        <v>190</v>
      </c>
      <c r="C67" s="11"/>
      <c r="D67" s="189"/>
      <c r="E67" s="189">
        <f>E25+E63</f>
        <v>1.06</v>
      </c>
      <c r="F67" s="189">
        <f>F18+F22+F23+F24+F25+F63</f>
        <v>0</v>
      </c>
      <c r="G67" s="189">
        <f>G17+G18+G22+G23+G24+G25+G63</f>
        <v>0</v>
      </c>
      <c r="H67" s="189">
        <f>H15+H16+H17+H18+H22+H23+H24+H25+H63</f>
        <v>0</v>
      </c>
      <c r="I67" s="189">
        <f>I13+I14+I15+I16+I17+I18+I22+I23+I24+I25+I63</f>
        <v>0</v>
      </c>
      <c r="J67" s="189">
        <f>J12+J14+J15+J16+J17+J18+J22+J23+J24+J25+J63</f>
        <v>0</v>
      </c>
      <c r="K67" s="189">
        <f>K12+K13+K15+K16+K17+K18+K22+K23+K24+K25+K63</f>
        <v>0</v>
      </c>
      <c r="L67" s="189">
        <f>L12+L13+L14+L16+L17+L18+L22+L23+L24+L25+L63</f>
        <v>0</v>
      </c>
      <c r="M67" s="189">
        <f>M12+M13+M14+M15+M17+M18+M22+M23+M24+M25+M63</f>
        <v>0</v>
      </c>
      <c r="N67" s="189">
        <f>N12+N13+N14+N15+N16+N18+N22+N23+N24+N25+N63</f>
        <v>0</v>
      </c>
      <c r="O67" s="189">
        <f>O9+O22+O23+O24+O25+O63</f>
        <v>0</v>
      </c>
      <c r="P67" s="189">
        <f>P10+P17+P20+P21+P22+P23+P24+P25+P63</f>
        <v>0</v>
      </c>
      <c r="Q67" s="735">
        <f>Q12+Q13+Q14+Q15+Q16+Q17+Q19+Q21+Q22+Q23+Q24+Q25+Q63</f>
        <v>0</v>
      </c>
      <c r="R67" s="735">
        <f>R12+R13+R14+R15+R16+R17+R19+R20+R22+R23+R24+R25+R63</f>
        <v>0</v>
      </c>
      <c r="S67" s="731">
        <f>S9+S18+S23+S24+S25+S63</f>
        <v>1.27</v>
      </c>
      <c r="T67" s="735">
        <f>T9+T18+T22+T24+T25+T63</f>
        <v>0</v>
      </c>
      <c r="U67" s="735">
        <f>U9+U18+U22+U23+U25+U63</f>
        <v>0</v>
      </c>
      <c r="V67" s="735">
        <f>V8+V63</f>
        <v>383.94</v>
      </c>
      <c r="W67" s="735">
        <f>W8+W27+W28+W29+W30+W31+W32+W33+W34+W46+W47+W48+W49+W50+W51+W52+W53+W54+W55+W56+W57+W58+W59+W60+W61+W62+W63</f>
        <v>0.63</v>
      </c>
      <c r="X67" s="735">
        <f>X8+X26+X28+X29+X30+X31+X32+X33+X34+X46+X47+X48+X49+X50+X51+X52+X53+X54+X55+X56+X57+X58+X59+X60+X61+X62+X63</f>
        <v>0</v>
      </c>
      <c r="Y67" s="735">
        <f>Y8+Y26+Y27+Y29+Y30+Y31+Y32+Y33+Y34+Y46+Y47+Y48+Y49+Y50+Y51+Y52+Y53+Y54+Y55+Y56+Y57+Y58+Y59+Y60+Y61+Y62+Y63</f>
        <v>0</v>
      </c>
      <c r="Z67" s="735">
        <f>Z8+Z26+Z27+Z28+Z30+Z31+Z32+Z33+Z34+Z46+Z47+Z48+Z49+Z50+Z51+Z52+Z53+Z54+Z55+Z56+Z57+Z58+Z59+Z60+Z61+Z62+Z63</f>
        <v>0</v>
      </c>
      <c r="AA67" s="735">
        <f>AA8+AA26+AA27+AA28+AA29+AA31+AA32+AA33+AA34+AA46+AA47+AA48+AA49+AA50+AA51+AA52+AA53+AA54+AA55+AA56+AA57+AA58+AA59+AA60+AA61+AA62+AA63</f>
        <v>199.79</v>
      </c>
      <c r="AB67" s="731">
        <f>AB8+AB26+AB27+AB28+AB29+AB30+AB32+AB33+AB34+AB46+AB47+AB48+AB49+AB50+AB51+AB52+AB53+AB54+AB55+AB56+AB57+AB58+AB59+AB60+AB61+AB62+AB63</f>
        <v>27.1</v>
      </c>
      <c r="AC67" s="731">
        <f>AC8+AC26+AC27+AC28+AC29+AC30+AC31+AC33+AC34+AC46+AC47+AC48+AC49+AC50+AC51+AC52+AC53+AC54+AC55+AC56+AC57+AC58+AC59+AC60+AC61+AC62+AC63</f>
        <v>91.61</v>
      </c>
      <c r="AD67" s="735">
        <f>AD8+AD26+AD27+AD28+AD29+AD30+AD31+AD32+AD34+AD46+AD47+AD48+AD49+AD50+AD51+AD52+AD53+AD54+AD55+AD56+AD57+AD58+AD59+AD60+AD61+AD62+AD63</f>
        <v>0</v>
      </c>
      <c r="AE67" s="735">
        <f>AE8+AE26+AE27+AE28+AE29+AE30+AE31+AE32+AE33+AE46+AE47+AE48+AE49+AE50+AE51+AE52+AE53+AE54+AE55+AE56+AE57+AE58+AE59+AE60+AE61+AE62+AE63</f>
        <v>79.62</v>
      </c>
      <c r="AF67" s="735">
        <f>AF8+AF26+AF27+AF28+AF29+AF30+AF31+AF32+AF33+AF3+AF36+AF37+AF38+AF39+AF40+AF41+AF42+AF43+AF44+AF45+AF46+AF47+AF48+AF49+AF50+AF51+AF52+AF53+AF54+AF55+AF56+AF57+AF58+AF59+AF60+AF61+AF62+AF63</f>
        <v>0.82000000000000006</v>
      </c>
      <c r="AG67" s="735">
        <f>AG8+AG26+AG27+AG28+AG29+AG30+AG31+AG32+AG33+AG35+AG37+AG38+AG39+AG40+AG41+AG42+AG43+AG44+AG45+AG46+AG47+AG48+AG49+AG50+AG51+AG52+AG53+AG54+AG55+AG56+AG57+AG58+AG59+AG60+AG61+AG62+AG63</f>
        <v>0</v>
      </c>
      <c r="AH67" s="735">
        <f>AH8+AH26+AH27+AH28+AH29+AH30+AH31+AH32+AH33+AH35+AH36+AH38+AH39+AH40+AH41+AH42+AH43+AH44+AH45+AH46+AH47+AH48+AH49+AH50+AH51+AH52+AH53+AH54+AH55+AH56+AH57+AH58+AH59+AH60+AH61+AH62+AH63</f>
        <v>0</v>
      </c>
      <c r="AI67" s="735">
        <f>AI8+AI26+AI27+AI28+AI29+AI30+AI31+AI32+AI33+AI35+AI36+AI37+AI39+AI40+AI41+AI42+AI43+AI44+AI45+AI46+AI47+AI48+AI49+AI50+AI51+AI52+AI53+AI54+AI55+AI56+AI57+AI58+AI59+AI60+AI61+AI62+AI63</f>
        <v>0</v>
      </c>
      <c r="AJ67" s="735">
        <f>AJ8+AJ26+AJ27+AJ28+AJ29+AJ30+AJ31+AJ32+AJ33+AJ35+AJ36+AJ37+AJ38+AJ40+AJ41+AJ42+AJ43+AJ44+AJ45+AJ46+AJ47+AJ48+AJ49+AJ50+AJ51+AJ52+AJ53+AJ54+AJ55+AJ56+AJ57+AJ58+AJ59+AJ60+AJ61+AJ62+AJ63</f>
        <v>0</v>
      </c>
      <c r="AK67" s="735">
        <f>AK8+AK26+AK27+AK28+AK29+AK30+AK31+AK32+AK33+AK35+AK36+AK37+AK38+AK39+AK41+AK42+AK43+AK44+AK45+AK46+AK47+AK48+AK49+AK50+AK51+AK52+AK53+AK54+AK55+AK56+AK57+AK58+AK59+AK60+AK61+AK62+AK63</f>
        <v>0</v>
      </c>
      <c r="AL67" s="731">
        <f>AL8+AL26+AL27+AL28+AL29+AL30+AL31+AL32+AL33+AL35+AL36+AL37+AL38+AL39+AL40+AL42+AL43+AL44+AL45+AL46+AL47+AL48+AL49+AL50+AL51+AL52+AL53+AL54+AL55+AL56+AL57+AL58+AL59+AL60+AL61+AL62+AL63</f>
        <v>79.580000000000013</v>
      </c>
      <c r="AM67" s="735">
        <f>AM8+AM26+AM27+AM28+AM29+AM30+AM31+AM32+AM33+AM35+AM36+AM37+AM38+AM39+AM40+AM41+AM43+AM44+AM45+AM46+AM47+AM48+AM49+AM50+AM51+AM52+AM53+AM54+AM55+AM56+AM57+AM58+AM59+AM60+AM61+AM62+AM63</f>
        <v>0.55000000000000004</v>
      </c>
      <c r="AN67" s="735">
        <f>AN8+AN26+AN27+AN28+AN29+AN30+AN31+AN32+AN33+AN35+AN36+AN37+AN38+AN39+AN40+AN41+AN42+AN44+AN45+AN46+AN47+AN48+AN49+AN50+AN51+AN52+AN53+AN54+AN55+AN56+AN57+AN58+AN59+AN60+AN61+AN62+AN63</f>
        <v>0</v>
      </c>
      <c r="AO67" s="735">
        <f>AO8+AO26+AO27+AO28+AO29+AO30+AO31+AO32+AO33+AO35+AO36+AO37+AO38+AO39+AO40+AO41+AO42+AO43+AO45+AO46+AO47+AO48+AO49+AO50+AO51+AO52+AO53+AO54+AO55+AO56+AO57+AO58+AO59+AO60+AO61+AO62+AO63</f>
        <v>0</v>
      </c>
      <c r="AP67" s="735">
        <f>AP8+AP26+AP27+AP28+AP29+AP30+AP31+AP32+AP33+AP35+AP36+AP37+AP38+AP39+AP40+AP41+AP42+AP43+AP44+AP46+AP47+AP48+AP49+AP50+AP51+AP52+AP53+AP54+AP55+AP56+AP57+AP58+AP59+AP60+AP61+AP62+AP63</f>
        <v>0</v>
      </c>
      <c r="AQ67" s="735">
        <f>AQ8+AQ26+AQ27+AQ28+AQ29+AQ30+AQ31+AQ32+AQ33+AQ34+AQ47+AQ48+AQ49+AQ50+AQ51+AQ52+AQ53+AQ54+AQ55+AQ56+AQ57+AQ58+AQ59+AQ60+AQ61+AQ62+AQ63</f>
        <v>0</v>
      </c>
      <c r="AR67" s="735">
        <f>AR8+AR26+AR27+AR28+AR29+AR30+AR31+AR32+AR33+AR34+AR46+AR48+AR49+AR50+AR51+AR52+AR53+AR54+AR55+AR56+AR57+AR58+AR59+AR60+AR61+AR62+AR63</f>
        <v>0</v>
      </c>
      <c r="AS67" s="735">
        <f>AS8+AS26+AS27+AS28+AS29+AS30+AS31+AS32+AS33+AS34+AS46+AS47+AS49+AS50+AS51+AS52+AS53+AS54+AS55+AS56+AS57+AS58+AS59+AS60+AS61+AS62+AS63</f>
        <v>0</v>
      </c>
      <c r="AT67" s="735">
        <f>AT8+AT26+AT27+AT28+AT29+AT30+AT31+AT32+AT33+AT34+AT46+AT47+AT48+AT50+AT51+AT52+AT53+AT54+AT55+AT56+AT57+AT58+AT59+AT60+AT61+AT62+AT63</f>
        <v>0</v>
      </c>
      <c r="AU67" s="731">
        <f>AU8+AU26+AU27+AU28+AU29+AU30+AU31+AU32+AU33+AU34+AU46+AU47+AU48+AU49+AU51+AU52+AU53+AU54+AU55+AU56+AU57+AU58+AU59+AU60+AU61+AU62+AU63</f>
        <v>13.780000000000001</v>
      </c>
      <c r="AV67" s="731">
        <f>AV8+AV26+AV27+AV28+AV29+AV30+AV31+AV32+AV33+AV34+AV46+AV47+AV48+AV49+AV50+AV52+AV53+AV54+AV55+AV56+AV57+AV58+AV59+AV60+AV61+AV62+AV63</f>
        <v>19.39</v>
      </c>
      <c r="AW67" s="735">
        <f>AW8+AW26+AW27+AW28+AW29+AW30+AW31+AW32+AW33+AW34+AW46+AW47+AW48+AW49+AW50+AW51+AW53+AW54+AW55+AW56+AW57+AW58+AW59+AW60+AW61+AW62+AW63</f>
        <v>0</v>
      </c>
      <c r="AX67" s="735">
        <f>AX8+AX26+AX27+AX28+AX29+AX30+AX31+AX32+AX33+AX34+AX46+AX47+AX48+AX49+AX50+AX51+AX52+AX54+AX55+AX56+AX57+AX58+AX59+AX60+AX61+AX62+AX63</f>
        <v>0</v>
      </c>
      <c r="AY67" s="735">
        <f>AY8+AY26+AY27+AY28+AY29+AY30+AY31+AY32+AY33+AY34+AY46+AY47+AY48+AY49+AY50+AY51+AY52+AY53+AY55+AY56+AY57+AY58+AY59+AY60+AY61+AY62+AY63</f>
        <v>0</v>
      </c>
      <c r="AZ67" s="735">
        <f>AZ8+AZ26+AZ27+AZ28+AZ29+AZ30+AZ31+AZ32+AZ33+AZ34+AZ46+AZ47+AZ48+AZ49+AZ50+AZ51+AZ52+AZ53+AZ54+AZ56+AZ57+AZ58+AZ59+AZ60+AZ61+AZ62+AZ63</f>
        <v>0</v>
      </c>
      <c r="BA67" s="735">
        <f>BA8+BA26+BA27+BA28+BA29+BA30+BA31+BA32+BA33+BA34+BA46+BA47+BA48+BA49+BA50+BA51+BA52+BA53+BA54+BA55+BA57+BA58+BA59+BA60+BA61+BA62+BA63</f>
        <v>0</v>
      </c>
      <c r="BB67" s="735">
        <f>BB8+BB26+BB27+BB28+BB29+BB30+BB31+BB32+BB33+BB34+BB46+BB47+BB48+BB49+BB50+BB51+BB52+BB53+BB54+BB55+BB56+BB58+BB59+BB60+BB61+BB62+BB63</f>
        <v>0</v>
      </c>
      <c r="BC67" s="731">
        <f>BC8+BC26+BC27+BC28+BC29+BC30+BC31+BC32+BC33+BC34+BC46+BC47+BC48+BC49+BC50+BC51+BC52+BC53+BC54+BC55+BC56+BC57+BC59+BC60+BC61+BC62+BC63</f>
        <v>9.02</v>
      </c>
      <c r="BD67" s="735">
        <f>BD8+BD26+BD27+BD28+BD29+BD30+BD31+BD32+BD33+BD34+BD46+BD47+BD48+BD49+BD50+BD51+BD52+BD53+BD54+BD55+BD56+BD57+BD58+BD60+BD61+BD62+BD63</f>
        <v>0</v>
      </c>
      <c r="BE67" s="735">
        <f>BE8+BE26+BE27+BE28+BE29+BE30+BE31+BE32+BE33+BE34+BE46+BE47+BE48+BE49+BE50+BE51+BE52+BE53+BE54+BE55+BE56+BE57+BE58+BE59+BE61+BE62+BE63</f>
        <v>0</v>
      </c>
      <c r="BF67" s="731">
        <f>BF8+BF26+BF27+BF28+BF29+BF30+BF31+BF32+BF33+BF34+BF46+BF47+BF48+BF49+BF50+BF51+BF52+BF53+BF54+BF55+BF56+BF57+BF58+BF59+BF60+BF62+BF63</f>
        <v>0</v>
      </c>
      <c r="BG67" s="735">
        <f>BG8+BG26+BG27+BG28+BG29+BG30+BG31+BG32+BG33+BG34+BG46+BG47+BG48+BG49+BG50+BG51+BG52+BG53+BG54+BG55+BG56+BG57+BG58+BG59+BG60+BG61+BG63</f>
        <v>0</v>
      </c>
      <c r="BH67" s="735">
        <f>BH8+BH25</f>
        <v>0</v>
      </c>
      <c r="BI67" s="735">
        <f>BI8+BI25+BI65+BI66</f>
        <v>0</v>
      </c>
      <c r="BJ67" s="735">
        <f>BJ8+BJ25+BJ64+BJ66</f>
        <v>0</v>
      </c>
      <c r="BK67" s="735">
        <f>BK8+BK25+BK64+BK65</f>
        <v>0</v>
      </c>
      <c r="BL67" s="735"/>
      <c r="BM67" s="189"/>
      <c r="BN67" s="189"/>
    </row>
    <row r="68" spans="1:68" s="103" customFormat="1" ht="31.5" customHeight="1">
      <c r="A68" s="18"/>
      <c r="B68" s="149" t="s">
        <v>695</v>
      </c>
      <c r="C68" s="10"/>
      <c r="D68" s="458">
        <f>BN7</f>
        <v>4033.8399999999997</v>
      </c>
      <c r="E68" s="458">
        <f>BN8</f>
        <v>2242.6999999999998</v>
      </c>
      <c r="F68" s="458">
        <f>BN9</f>
        <v>538.36999999999989</v>
      </c>
      <c r="G68" s="458">
        <f>BN10</f>
        <v>272.01</v>
      </c>
      <c r="H68" s="458">
        <f>BN11</f>
        <v>258.54000000000002</v>
      </c>
      <c r="I68" s="458">
        <f>BN12</f>
        <v>258.23</v>
      </c>
      <c r="J68" s="458">
        <f>BN13</f>
        <v>0.31</v>
      </c>
      <c r="K68" s="458">
        <f>BN14</f>
        <v>0</v>
      </c>
      <c r="L68" s="458">
        <f>BN15</f>
        <v>0</v>
      </c>
      <c r="M68" s="458">
        <f>BN16</f>
        <v>13.469999999999999</v>
      </c>
      <c r="N68" s="458">
        <f>BN17</f>
        <v>266.36</v>
      </c>
      <c r="O68" s="458">
        <f>BN18</f>
        <v>1055.8800000000001</v>
      </c>
      <c r="P68" s="458">
        <f>BN19</f>
        <v>1055.8800000000001</v>
      </c>
      <c r="Q68" s="458">
        <f>BN20</f>
        <v>0</v>
      </c>
      <c r="R68" s="458">
        <f>BN21</f>
        <v>0</v>
      </c>
      <c r="S68" s="458">
        <f>BN22</f>
        <v>648.44999999999993</v>
      </c>
      <c r="T68" s="458">
        <f>BN23</f>
        <v>0</v>
      </c>
      <c r="U68" s="458">
        <f>BN24</f>
        <v>0</v>
      </c>
      <c r="V68" s="458">
        <f>BN25</f>
        <v>1535.45</v>
      </c>
      <c r="W68" s="458">
        <f>BN26</f>
        <v>33.67</v>
      </c>
      <c r="X68" s="458">
        <f>BN27</f>
        <v>6.37</v>
      </c>
      <c r="Y68" s="458">
        <f>BN28</f>
        <v>0</v>
      </c>
      <c r="Z68" s="458">
        <f>BN29</f>
        <v>0</v>
      </c>
      <c r="AA68" s="458">
        <f>BN30</f>
        <v>199.79</v>
      </c>
      <c r="AB68" s="458">
        <f>BN31</f>
        <v>93.72</v>
      </c>
      <c r="AC68" s="458">
        <f>BN32</f>
        <v>93.74</v>
      </c>
      <c r="AD68" s="458">
        <f>BN33</f>
        <v>0</v>
      </c>
      <c r="AE68" s="458">
        <f>BN34</f>
        <v>280.55999999999995</v>
      </c>
      <c r="AF68" s="458">
        <f>BN35</f>
        <v>0.89</v>
      </c>
      <c r="AG68" s="458">
        <f>BN36</f>
        <v>0.25</v>
      </c>
      <c r="AH68" s="458">
        <f>BN37</f>
        <v>6.17</v>
      </c>
      <c r="AI68" s="458">
        <f>BN38</f>
        <v>0.92</v>
      </c>
      <c r="AJ68" s="458">
        <f>BN39</f>
        <v>0</v>
      </c>
      <c r="AK68" s="458">
        <f>BN40</f>
        <v>0.04</v>
      </c>
      <c r="AL68" s="458">
        <f>BN41</f>
        <v>215.43</v>
      </c>
      <c r="AM68" s="458">
        <f>BN42</f>
        <v>56.689999999999991</v>
      </c>
      <c r="AN68" s="458">
        <f>BN43</f>
        <v>0.06</v>
      </c>
      <c r="AO68" s="458">
        <f>BN44</f>
        <v>0.02</v>
      </c>
      <c r="AP68" s="458">
        <f>BN45</f>
        <v>0.09</v>
      </c>
      <c r="AQ68" s="458">
        <f>BN46</f>
        <v>0</v>
      </c>
      <c r="AR68" s="458">
        <f>BN47</f>
        <v>0</v>
      </c>
      <c r="AS68" s="458">
        <f>BN48</f>
        <v>1.9899999999999998</v>
      </c>
      <c r="AT68" s="458">
        <f>BN49</f>
        <v>0</v>
      </c>
      <c r="AU68" s="458">
        <f>BN50</f>
        <v>86.1</v>
      </c>
      <c r="AV68" s="458">
        <f>BN51</f>
        <v>31.69</v>
      </c>
      <c r="AW68" s="458">
        <f>BN52</f>
        <v>0</v>
      </c>
      <c r="AX68" s="458">
        <f>BN53</f>
        <v>0</v>
      </c>
      <c r="AY68" s="458">
        <f>BN54</f>
        <v>0</v>
      </c>
      <c r="AZ68" s="458">
        <f>BN55</f>
        <v>8.44</v>
      </c>
      <c r="BA68" s="458">
        <f>BN56</f>
        <v>0</v>
      </c>
      <c r="BB68" s="458">
        <f>BN57</f>
        <v>1.7599999999999998</v>
      </c>
      <c r="BC68" s="458">
        <f>BN58</f>
        <v>9.02</v>
      </c>
      <c r="BD68" s="458">
        <f>BN59</f>
        <v>0.45000000000000007</v>
      </c>
      <c r="BE68" s="458">
        <f>BN60</f>
        <v>688.15</v>
      </c>
      <c r="BF68" s="458">
        <f>BN61</f>
        <v>0</v>
      </c>
      <c r="BG68" s="458">
        <f>BN62</f>
        <v>0</v>
      </c>
      <c r="BH68" s="458">
        <f>BN63</f>
        <v>255.69</v>
      </c>
      <c r="BI68" s="458">
        <f>BN64</f>
        <v>251.64</v>
      </c>
      <c r="BJ68" s="458">
        <f>BN65</f>
        <v>4.05</v>
      </c>
      <c r="BK68" s="458">
        <f>BN66</f>
        <v>0</v>
      </c>
      <c r="BL68" s="458"/>
      <c r="BM68" s="458"/>
      <c r="BN68" s="458"/>
    </row>
    <row r="70" spans="1:68" ht="18" customHeight="1">
      <c r="A70" s="1300" t="s">
        <v>10</v>
      </c>
      <c r="B70" s="1300"/>
    </row>
    <row r="71" spans="1:68" ht="28.5" customHeight="1">
      <c r="A71" s="1300" t="s">
        <v>321</v>
      </c>
      <c r="B71" s="1300"/>
      <c r="C71" s="1300"/>
      <c r="D71" s="1300"/>
      <c r="E71" s="1300"/>
      <c r="F71" s="1300"/>
      <c r="G71" s="1300"/>
      <c r="H71" s="1300"/>
      <c r="I71" s="1300"/>
      <c r="J71" s="1300"/>
      <c r="K71" s="1300"/>
      <c r="L71" s="1300"/>
      <c r="M71" s="1300"/>
      <c r="N71" s="1300"/>
      <c r="O71" s="1300"/>
      <c r="P71" s="1300"/>
      <c r="Q71" s="1300"/>
      <c r="R71" s="1300"/>
      <c r="S71" s="1300"/>
      <c r="T71" s="1300"/>
      <c r="U71" s="1300"/>
      <c r="V71" s="1300"/>
      <c r="W71" s="1300"/>
      <c r="X71" s="1300"/>
      <c r="Y71" s="1300"/>
      <c r="Z71" s="1300"/>
      <c r="AA71" s="1300"/>
      <c r="AB71" s="1300"/>
      <c r="AC71" s="1300"/>
      <c r="AD71" s="1300"/>
      <c r="AE71" s="1300"/>
      <c r="AF71" s="1300"/>
      <c r="AG71" s="1300"/>
      <c r="AH71" s="1300"/>
      <c r="AI71" s="1300"/>
      <c r="AJ71" s="1300"/>
      <c r="AK71" s="1300"/>
      <c r="AL71" s="1300"/>
      <c r="AM71" s="1300"/>
      <c r="AN71" s="1300"/>
      <c r="AO71" s="1300"/>
      <c r="AP71" s="1300"/>
      <c r="AQ71" s="1300"/>
      <c r="AR71" s="1300"/>
      <c r="AS71" s="1300"/>
    </row>
    <row r="72" spans="1:68" ht="24.75" customHeight="1">
      <c r="A72" s="1300" t="s">
        <v>322</v>
      </c>
      <c r="B72" s="1300"/>
      <c r="C72" s="1300"/>
      <c r="D72" s="1300"/>
      <c r="E72" s="1300"/>
      <c r="F72" s="1300"/>
      <c r="G72" s="1300"/>
      <c r="H72" s="1300"/>
      <c r="I72" s="1300"/>
      <c r="J72" s="1300"/>
      <c r="K72" s="1300"/>
      <c r="L72" s="1300"/>
      <c r="M72" s="1300"/>
      <c r="N72" s="1300"/>
      <c r="O72" s="1300"/>
      <c r="P72" s="1300"/>
      <c r="Q72" s="1300"/>
      <c r="R72" s="1300"/>
      <c r="S72" s="1300"/>
      <c r="T72" s="1300"/>
      <c r="U72" s="1300"/>
      <c r="V72" s="1300"/>
      <c r="W72" s="1300"/>
      <c r="X72" s="1300"/>
      <c r="Y72" s="1300"/>
      <c r="Z72" s="1300"/>
      <c r="AA72" s="1300"/>
      <c r="AB72" s="1300"/>
      <c r="AC72" s="1300"/>
      <c r="AD72" s="1300"/>
      <c r="AE72" s="1300"/>
      <c r="AF72" s="1300"/>
      <c r="AG72" s="1300"/>
      <c r="AH72" s="1300"/>
      <c r="AI72" s="1300"/>
      <c r="AJ72" s="1300"/>
      <c r="AK72" s="1300"/>
      <c r="AL72" s="1300"/>
      <c r="AM72" s="1300"/>
      <c r="AN72" s="1300"/>
      <c r="AO72" s="1300"/>
      <c r="AP72" s="1300"/>
      <c r="AQ72" s="1300"/>
      <c r="AR72" s="1300"/>
      <c r="AS72" s="1300"/>
    </row>
    <row r="73" spans="1:68" ht="21.75" customHeight="1">
      <c r="AR73" s="1300" t="s">
        <v>138</v>
      </c>
      <c r="AS73" s="1300"/>
    </row>
    <row r="74" spans="1:68" ht="31.5" customHeight="1">
      <c r="A74" s="1300" t="s">
        <v>0</v>
      </c>
      <c r="B74" s="1300" t="s">
        <v>12</v>
      </c>
      <c r="C74" s="1300" t="s">
        <v>13</v>
      </c>
      <c r="D74" s="1300" t="s">
        <v>324</v>
      </c>
      <c r="E74" s="1300" t="s">
        <v>326</v>
      </c>
      <c r="F74" s="1300"/>
      <c r="G74" s="1300"/>
      <c r="H74" s="1300"/>
      <c r="I74" s="1300"/>
      <c r="J74" s="1300"/>
      <c r="K74" s="1300"/>
      <c r="L74" s="1300"/>
      <c r="M74" s="1300"/>
      <c r="N74" s="1300"/>
      <c r="O74" s="1300"/>
      <c r="P74" s="1300"/>
      <c r="Q74" s="1300"/>
      <c r="R74" s="1300"/>
      <c r="S74" s="1300"/>
      <c r="T74" s="1300"/>
      <c r="U74" s="1300"/>
      <c r="V74" s="1300"/>
      <c r="W74" s="1300"/>
      <c r="X74" s="1300"/>
      <c r="Y74" s="1300"/>
      <c r="Z74" s="1300"/>
      <c r="AA74" s="1300"/>
      <c r="AB74" s="1300"/>
      <c r="AC74" s="1300"/>
      <c r="AD74" s="1300"/>
      <c r="AE74" s="1300"/>
      <c r="AF74" s="1300"/>
      <c r="AG74" s="1300"/>
      <c r="AH74" s="1300"/>
      <c r="AI74" s="1300"/>
      <c r="AJ74" s="1300"/>
      <c r="AK74" s="1300"/>
      <c r="AL74" s="1300"/>
      <c r="AM74" s="1300"/>
      <c r="AN74" s="1300"/>
      <c r="AO74" s="1300"/>
      <c r="AP74" s="1300"/>
      <c r="AQ74" s="1300"/>
      <c r="AR74" s="1300" t="s">
        <v>191</v>
      </c>
      <c r="AS74" s="1300" t="s">
        <v>323</v>
      </c>
    </row>
    <row r="75" spans="1:68" ht="30" customHeight="1">
      <c r="A75" s="1300"/>
      <c r="B75" s="1300"/>
      <c r="C75" s="1300"/>
      <c r="D75" s="1300"/>
      <c r="E75" t="s">
        <v>15</v>
      </c>
      <c r="F75" t="s">
        <v>18</v>
      </c>
      <c r="G75" t="s">
        <v>20</v>
      </c>
      <c r="H75" t="s">
        <v>23</v>
      </c>
      <c r="I75" t="s">
        <v>26</v>
      </c>
      <c r="J75" t="s">
        <v>29</v>
      </c>
      <c r="K75" t="s">
        <v>32</v>
      </c>
      <c r="L75" t="s">
        <v>35</v>
      </c>
      <c r="M75" t="s">
        <v>38</v>
      </c>
      <c r="N75" t="s">
        <v>41</v>
      </c>
      <c r="O75" t="s">
        <v>44</v>
      </c>
      <c r="P75" t="s">
        <v>46</v>
      </c>
      <c r="Q75" t="s">
        <v>49</v>
      </c>
      <c r="R75" t="s">
        <v>52</v>
      </c>
      <c r="S75" t="s">
        <v>55</v>
      </c>
      <c r="T75" t="s">
        <v>58</v>
      </c>
      <c r="U75" t="s">
        <v>61</v>
      </c>
      <c r="V75" t="s">
        <v>64</v>
      </c>
      <c r="W75" t="s">
        <v>67</v>
      </c>
      <c r="X75" t="s">
        <v>70</v>
      </c>
      <c r="Y75" t="s">
        <v>72</v>
      </c>
      <c r="Z75" t="s">
        <v>75</v>
      </c>
      <c r="AA75" t="s">
        <v>78</v>
      </c>
      <c r="AB75" t="s">
        <v>81</v>
      </c>
      <c r="AC75" t="s">
        <v>84</v>
      </c>
      <c r="AD75" t="s">
        <v>87</v>
      </c>
      <c r="AE75" t="s">
        <v>90</v>
      </c>
      <c r="AF75" t="s">
        <v>93</v>
      </c>
      <c r="AG75" t="s">
        <v>96</v>
      </c>
      <c r="AH75" t="s">
        <v>99</v>
      </c>
      <c r="AI75" t="s">
        <v>101</v>
      </c>
      <c r="AJ75" t="s">
        <v>104</v>
      </c>
      <c r="AK75" t="s">
        <v>107</v>
      </c>
      <c r="AL75" t="s">
        <v>110</v>
      </c>
      <c r="AM75" t="s">
        <v>113</v>
      </c>
      <c r="AN75" t="s">
        <v>116</v>
      </c>
      <c r="AO75" t="s">
        <v>119</v>
      </c>
      <c r="AP75" t="s">
        <v>122</v>
      </c>
      <c r="AQ75" t="s">
        <v>124</v>
      </c>
      <c r="AR75" s="1300"/>
      <c r="AS75" s="1300"/>
    </row>
    <row r="76" spans="1:68" ht="27.75" customHeight="1">
      <c r="B76" t="s">
        <v>189</v>
      </c>
      <c r="D76">
        <f>D77+D88+D115</f>
        <v>4033.84</v>
      </c>
      <c r="E76">
        <f t="shared" ref="E76:AS76" si="33">E77+E88+E115</f>
        <v>2242.6999999999998</v>
      </c>
      <c r="F76">
        <f t="shared" si="33"/>
        <v>258.54000000000002</v>
      </c>
      <c r="G76">
        <f t="shared" si="33"/>
        <v>0</v>
      </c>
      <c r="H76">
        <f t="shared" si="33"/>
        <v>13.469999999999999</v>
      </c>
      <c r="I76">
        <f t="shared" si="33"/>
        <v>266.36</v>
      </c>
      <c r="J76">
        <f>J77+J88+J115</f>
        <v>1079.44</v>
      </c>
      <c r="K76">
        <f t="shared" si="33"/>
        <v>0</v>
      </c>
      <c r="L76">
        <f t="shared" si="33"/>
        <v>-23.560000000000002</v>
      </c>
      <c r="M76">
        <f t="shared" si="33"/>
        <v>648.44999999999993</v>
      </c>
      <c r="N76">
        <f t="shared" si="33"/>
        <v>0</v>
      </c>
      <c r="O76">
        <f t="shared" si="33"/>
        <v>0</v>
      </c>
      <c r="P76">
        <f t="shared" si="33"/>
        <v>1535.45</v>
      </c>
      <c r="Q76">
        <f t="shared" si="33"/>
        <v>33.67</v>
      </c>
      <c r="R76">
        <f t="shared" si="33"/>
        <v>6.37</v>
      </c>
      <c r="S76">
        <f t="shared" si="33"/>
        <v>0</v>
      </c>
      <c r="T76">
        <f t="shared" si="33"/>
        <v>0</v>
      </c>
      <c r="U76">
        <f t="shared" si="33"/>
        <v>199.79</v>
      </c>
      <c r="V76">
        <f t="shared" si="33"/>
        <v>93.72</v>
      </c>
      <c r="W76">
        <f t="shared" si="33"/>
        <v>93.740000000000009</v>
      </c>
      <c r="X76">
        <f t="shared" si="33"/>
        <v>0</v>
      </c>
      <c r="Y76">
        <f t="shared" si="33"/>
        <v>280.55999999999995</v>
      </c>
      <c r="Z76">
        <f t="shared" si="33"/>
        <v>0</v>
      </c>
      <c r="AA76">
        <f t="shared" si="33"/>
        <v>0</v>
      </c>
      <c r="AB76">
        <f t="shared" si="33"/>
        <v>1.9899999999999998</v>
      </c>
      <c r="AC76">
        <f t="shared" si="33"/>
        <v>0</v>
      </c>
      <c r="AD76">
        <f t="shared" si="33"/>
        <v>86.1</v>
      </c>
      <c r="AE76">
        <f t="shared" si="33"/>
        <v>31.69</v>
      </c>
      <c r="AF76">
        <f t="shared" si="33"/>
        <v>0</v>
      </c>
      <c r="AG76">
        <f t="shared" si="33"/>
        <v>0</v>
      </c>
      <c r="AH76">
        <f t="shared" si="33"/>
        <v>0</v>
      </c>
      <c r="AI76">
        <f t="shared" si="33"/>
        <v>8.44</v>
      </c>
      <c r="AJ76">
        <f t="shared" si="33"/>
        <v>0</v>
      </c>
      <c r="AK76">
        <f t="shared" si="33"/>
        <v>1.7599999999999998</v>
      </c>
      <c r="AL76">
        <f t="shared" si="33"/>
        <v>9.02</v>
      </c>
      <c r="AM76">
        <f t="shared" si="33"/>
        <v>0.45000000000000007</v>
      </c>
      <c r="AN76">
        <f t="shared" si="33"/>
        <v>688.15</v>
      </c>
      <c r="AO76">
        <f t="shared" si="33"/>
        <v>0</v>
      </c>
      <c r="AP76">
        <f t="shared" si="33"/>
        <v>0</v>
      </c>
      <c r="AQ76">
        <f t="shared" si="33"/>
        <v>13.430000000000001</v>
      </c>
      <c r="AS76">
        <f t="shared" si="33"/>
        <v>4033.8399999999997</v>
      </c>
    </row>
    <row r="77" spans="1:68" ht="20.25" customHeight="1">
      <c r="A77">
        <v>1</v>
      </c>
      <c r="B77" t="s">
        <v>14</v>
      </c>
      <c r="C77" t="s">
        <v>15</v>
      </c>
      <c r="D77">
        <f>D78+D80+D81+D82+D83+D84+D85+D86+D87</f>
        <v>2612.15</v>
      </c>
      <c r="E77">
        <f t="shared" ref="E77:AS77" si="34">E78+E80+E81+E82+E83+E84+E85+E86+E87</f>
        <v>2241.64</v>
      </c>
      <c r="F77">
        <f t="shared" si="34"/>
        <v>258.54000000000002</v>
      </c>
      <c r="G77">
        <f t="shared" si="34"/>
        <v>0</v>
      </c>
      <c r="H77">
        <f t="shared" si="34"/>
        <v>13.469999999999999</v>
      </c>
      <c r="I77">
        <f t="shared" si="34"/>
        <v>266.36</v>
      </c>
      <c r="J77">
        <f t="shared" si="34"/>
        <v>1079.44</v>
      </c>
      <c r="K77">
        <f t="shared" si="34"/>
        <v>0</v>
      </c>
      <c r="L77">
        <f t="shared" si="34"/>
        <v>-23.560000000000002</v>
      </c>
      <c r="M77">
        <f t="shared" si="34"/>
        <v>647.39</v>
      </c>
      <c r="N77">
        <f t="shared" si="34"/>
        <v>0</v>
      </c>
      <c r="O77">
        <f t="shared" si="34"/>
        <v>0</v>
      </c>
      <c r="P77">
        <f>P78+P80+P81+P82+P83+P84+P85+P86+P87</f>
        <v>370.51</v>
      </c>
      <c r="Q77">
        <f t="shared" si="34"/>
        <v>0.5</v>
      </c>
      <c r="R77">
        <f t="shared" si="34"/>
        <v>0</v>
      </c>
      <c r="S77">
        <f t="shared" si="34"/>
        <v>0</v>
      </c>
      <c r="T77">
        <f t="shared" si="34"/>
        <v>0</v>
      </c>
      <c r="U77">
        <f t="shared" si="34"/>
        <v>172.52</v>
      </c>
      <c r="V77">
        <f t="shared" si="34"/>
        <v>19.190000000000001</v>
      </c>
      <c r="W77">
        <f t="shared" si="34"/>
        <v>79.900000000000006</v>
      </c>
      <c r="X77">
        <f t="shared" si="34"/>
        <v>0</v>
      </c>
      <c r="Y77">
        <f t="shared" si="34"/>
        <v>68.44</v>
      </c>
      <c r="Z77">
        <f t="shared" si="34"/>
        <v>0</v>
      </c>
      <c r="AA77">
        <f t="shared" si="34"/>
        <v>0</v>
      </c>
      <c r="AB77">
        <f t="shared" si="34"/>
        <v>0</v>
      </c>
      <c r="AC77">
        <f t="shared" si="34"/>
        <v>0</v>
      </c>
      <c r="AD77">
        <f t="shared" si="34"/>
        <v>12.26</v>
      </c>
      <c r="AE77">
        <f t="shared" si="34"/>
        <v>10.34</v>
      </c>
      <c r="AF77">
        <f t="shared" si="34"/>
        <v>0</v>
      </c>
      <c r="AG77">
        <f t="shared" si="34"/>
        <v>0</v>
      </c>
      <c r="AH77">
        <f t="shared" si="34"/>
        <v>0</v>
      </c>
      <c r="AI77">
        <f t="shared" si="34"/>
        <v>0</v>
      </c>
      <c r="AJ77">
        <f t="shared" si="34"/>
        <v>0</v>
      </c>
      <c r="AK77">
        <f t="shared" si="34"/>
        <v>0</v>
      </c>
      <c r="AL77">
        <f t="shared" si="34"/>
        <v>7.3599999999999994</v>
      </c>
      <c r="AM77">
        <f t="shared" si="34"/>
        <v>0</v>
      </c>
      <c r="AN77">
        <f t="shared" si="34"/>
        <v>0</v>
      </c>
      <c r="AO77">
        <f t="shared" si="34"/>
        <v>0</v>
      </c>
      <c r="AP77">
        <f t="shared" si="34"/>
        <v>0</v>
      </c>
      <c r="AQ77">
        <f t="shared" si="34"/>
        <v>0</v>
      </c>
      <c r="AR77">
        <f>P77</f>
        <v>370.51</v>
      </c>
      <c r="AS77">
        <f t="shared" si="34"/>
        <v>2242.6999999999998</v>
      </c>
    </row>
    <row r="78" spans="1:68" ht="20.25" customHeight="1">
      <c r="A78" t="s">
        <v>16</v>
      </c>
      <c r="B78" t="s">
        <v>17</v>
      </c>
      <c r="C78" t="s">
        <v>18</v>
      </c>
      <c r="D78">
        <f>D11</f>
        <v>347.36</v>
      </c>
      <c r="E78">
        <f>F78+H78+I78+J78+K78+L78+M78+N78+O78</f>
        <v>258.54000000000002</v>
      </c>
      <c r="F78">
        <f>D78-AR78</f>
        <v>258.54000000000002</v>
      </c>
      <c r="G78">
        <f>I13</f>
        <v>0</v>
      </c>
      <c r="H78">
        <f>M11</f>
        <v>0</v>
      </c>
      <c r="I78">
        <f>N11</f>
        <v>0</v>
      </c>
      <c r="J78">
        <f t="shared" ref="J78:O79" si="35">P11</f>
        <v>0</v>
      </c>
      <c r="K78">
        <f t="shared" si="35"/>
        <v>0</v>
      </c>
      <c r="L78">
        <f t="shared" si="35"/>
        <v>0</v>
      </c>
      <c r="M78">
        <f t="shared" si="35"/>
        <v>0</v>
      </c>
      <c r="N78">
        <f t="shared" si="35"/>
        <v>0</v>
      </c>
      <c r="O78">
        <f t="shared" si="35"/>
        <v>0</v>
      </c>
      <c r="P78">
        <f>SUM(Q78:AP78)</f>
        <v>88.820000000000007</v>
      </c>
      <c r="Q78">
        <f t="shared" ref="Q78:Y79" si="36">W11</f>
        <v>0.23</v>
      </c>
      <c r="R78">
        <f t="shared" si="36"/>
        <v>0</v>
      </c>
      <c r="S78">
        <f t="shared" si="36"/>
        <v>0</v>
      </c>
      <c r="T78">
        <f t="shared" si="36"/>
        <v>0</v>
      </c>
      <c r="U78">
        <f t="shared" si="36"/>
        <v>15.57</v>
      </c>
      <c r="V78">
        <f t="shared" si="36"/>
        <v>11.79</v>
      </c>
      <c r="W78">
        <f t="shared" si="36"/>
        <v>5.51</v>
      </c>
      <c r="X78">
        <f t="shared" si="36"/>
        <v>0</v>
      </c>
      <c r="Y78">
        <f t="shared" si="36"/>
        <v>32.49</v>
      </c>
      <c r="Z78">
        <f>AQ11</f>
        <v>0</v>
      </c>
      <c r="AA78">
        <f t="shared" ref="AA78:AQ79" si="37">AR11</f>
        <v>0</v>
      </c>
      <c r="AB78">
        <f t="shared" si="37"/>
        <v>0</v>
      </c>
      <c r="AC78">
        <f t="shared" si="37"/>
        <v>0</v>
      </c>
      <c r="AD78">
        <f t="shared" si="37"/>
        <v>11.19</v>
      </c>
      <c r="AE78">
        <f t="shared" si="37"/>
        <v>6.28</v>
      </c>
      <c r="AF78">
        <f t="shared" si="37"/>
        <v>0</v>
      </c>
      <c r="AG78">
        <f t="shared" si="37"/>
        <v>0</v>
      </c>
      <c r="AH78">
        <f t="shared" si="37"/>
        <v>0</v>
      </c>
      <c r="AI78">
        <f t="shared" si="37"/>
        <v>0</v>
      </c>
      <c r="AJ78">
        <f t="shared" si="37"/>
        <v>0</v>
      </c>
      <c r="AK78">
        <f t="shared" si="37"/>
        <v>0</v>
      </c>
      <c r="AL78">
        <f t="shared" si="37"/>
        <v>5.76</v>
      </c>
      <c r="AM78">
        <f t="shared" si="37"/>
        <v>0</v>
      </c>
      <c r="AN78">
        <f t="shared" si="37"/>
        <v>0</v>
      </c>
      <c r="AO78">
        <f t="shared" si="37"/>
        <v>0</v>
      </c>
      <c r="AP78">
        <f t="shared" si="37"/>
        <v>0</v>
      </c>
      <c r="AQ78">
        <f t="shared" si="37"/>
        <v>0</v>
      </c>
      <c r="AR78">
        <f>H78+I78+J78+K78+L78+M78+N78+O78+P78+AQ78</f>
        <v>88.820000000000007</v>
      </c>
      <c r="AS78">
        <f>D78+F116-AR78</f>
        <v>258.54000000000002</v>
      </c>
    </row>
    <row r="79" spans="1:68" ht="20.25" customHeight="1">
      <c r="B79" t="s">
        <v>19</v>
      </c>
      <c r="C79" t="s">
        <v>20</v>
      </c>
      <c r="D79">
        <f>D12</f>
        <v>347.05</v>
      </c>
      <c r="E79">
        <f t="shared" ref="E79:E114" si="38">F79+H79+I79+J79+K79+L79+M79+N79+O79</f>
        <v>0</v>
      </c>
      <c r="G79">
        <f>D79-AR79</f>
        <v>258.23</v>
      </c>
      <c r="H79">
        <f>M12</f>
        <v>0</v>
      </c>
      <c r="I79">
        <f>N12</f>
        <v>0</v>
      </c>
      <c r="J79">
        <f t="shared" si="35"/>
        <v>0</v>
      </c>
      <c r="K79">
        <f t="shared" si="35"/>
        <v>0</v>
      </c>
      <c r="L79">
        <f t="shared" si="35"/>
        <v>0</v>
      </c>
      <c r="M79">
        <f t="shared" si="35"/>
        <v>0</v>
      </c>
      <c r="N79">
        <f t="shared" si="35"/>
        <v>0</v>
      </c>
      <c r="O79">
        <f t="shared" si="35"/>
        <v>0</v>
      </c>
      <c r="P79">
        <f t="shared" ref="P79:P87" si="39">SUM(Q79:AP79)</f>
        <v>88.820000000000007</v>
      </c>
      <c r="Q79">
        <f t="shared" si="36"/>
        <v>0.23</v>
      </c>
      <c r="R79">
        <f t="shared" si="36"/>
        <v>0</v>
      </c>
      <c r="S79">
        <f t="shared" si="36"/>
        <v>0</v>
      </c>
      <c r="T79">
        <f t="shared" si="36"/>
        <v>0</v>
      </c>
      <c r="U79">
        <f t="shared" si="36"/>
        <v>15.57</v>
      </c>
      <c r="V79">
        <f t="shared" si="36"/>
        <v>11.79</v>
      </c>
      <c r="W79">
        <f t="shared" si="36"/>
        <v>5.51</v>
      </c>
      <c r="X79">
        <f t="shared" si="36"/>
        <v>0</v>
      </c>
      <c r="Y79">
        <f t="shared" si="36"/>
        <v>32.49</v>
      </c>
      <c r="Z79">
        <f>AQ12</f>
        <v>0</v>
      </c>
      <c r="AA79">
        <f t="shared" si="37"/>
        <v>0</v>
      </c>
      <c r="AB79">
        <f t="shared" si="37"/>
        <v>0</v>
      </c>
      <c r="AC79">
        <f t="shared" si="37"/>
        <v>0</v>
      </c>
      <c r="AD79">
        <f t="shared" si="37"/>
        <v>11.19</v>
      </c>
      <c r="AE79">
        <f t="shared" si="37"/>
        <v>6.28</v>
      </c>
      <c r="AF79">
        <f t="shared" si="37"/>
        <v>0</v>
      </c>
      <c r="AG79">
        <f t="shared" si="37"/>
        <v>0</v>
      </c>
      <c r="AH79">
        <f t="shared" si="37"/>
        <v>0</v>
      </c>
      <c r="AI79">
        <f t="shared" si="37"/>
        <v>0</v>
      </c>
      <c r="AJ79">
        <f t="shared" si="37"/>
        <v>0</v>
      </c>
      <c r="AK79">
        <f t="shared" si="37"/>
        <v>0</v>
      </c>
      <c r="AL79">
        <f t="shared" si="37"/>
        <v>5.76</v>
      </c>
      <c r="AM79">
        <f t="shared" si="37"/>
        <v>0</v>
      </c>
      <c r="AN79">
        <f t="shared" si="37"/>
        <v>0</v>
      </c>
      <c r="AO79">
        <f t="shared" si="37"/>
        <v>0</v>
      </c>
      <c r="AP79">
        <f t="shared" si="37"/>
        <v>0</v>
      </c>
      <c r="AQ79">
        <f t="shared" si="37"/>
        <v>0</v>
      </c>
      <c r="AR79">
        <f>F79+H79+I79+J79+K79+L79+M79+N79+O79+P79</f>
        <v>88.820000000000007</v>
      </c>
      <c r="AS79">
        <f>D79+G116-AR79</f>
        <v>258.23</v>
      </c>
    </row>
    <row r="80" spans="1:68" ht="20.25" customHeight="1">
      <c r="A80" t="s">
        <v>21</v>
      </c>
      <c r="B80" t="s">
        <v>22</v>
      </c>
      <c r="C80" t="s">
        <v>23</v>
      </c>
      <c r="D80">
        <f>D16</f>
        <v>14.62</v>
      </c>
      <c r="E80">
        <f t="shared" si="38"/>
        <v>13.469999999999999</v>
      </c>
      <c r="F80">
        <f>H16</f>
        <v>0</v>
      </c>
      <c r="G80">
        <f>I16</f>
        <v>0</v>
      </c>
      <c r="H80">
        <f>D80-AR80</f>
        <v>13.469999999999999</v>
      </c>
      <c r="I80">
        <f>N16</f>
        <v>0</v>
      </c>
      <c r="J80">
        <f t="shared" ref="J80:O81" si="40">P16</f>
        <v>0</v>
      </c>
      <c r="K80">
        <f t="shared" si="40"/>
        <v>0</v>
      </c>
      <c r="L80">
        <f t="shared" si="40"/>
        <v>0</v>
      </c>
      <c r="M80">
        <f t="shared" si="40"/>
        <v>0</v>
      </c>
      <c r="N80">
        <f t="shared" si="40"/>
        <v>0</v>
      </c>
      <c r="O80">
        <f t="shared" si="40"/>
        <v>0</v>
      </c>
      <c r="P80">
        <f t="shared" si="39"/>
        <v>1.1499999999999999</v>
      </c>
      <c r="Q80">
        <f t="shared" ref="Q80:Y81" si="41">W16</f>
        <v>0</v>
      </c>
      <c r="R80">
        <f t="shared" si="41"/>
        <v>0</v>
      </c>
      <c r="S80">
        <f t="shared" si="41"/>
        <v>0</v>
      </c>
      <c r="T80">
        <f t="shared" si="41"/>
        <v>0</v>
      </c>
      <c r="U80">
        <f t="shared" si="41"/>
        <v>0.35</v>
      </c>
      <c r="V80">
        <f t="shared" si="41"/>
        <v>0.04</v>
      </c>
      <c r="W80">
        <f t="shared" si="41"/>
        <v>0.18</v>
      </c>
      <c r="X80">
        <f t="shared" si="41"/>
        <v>0</v>
      </c>
      <c r="Y80">
        <f t="shared" si="41"/>
        <v>0.32</v>
      </c>
      <c r="Z80">
        <f>AQ16</f>
        <v>0</v>
      </c>
      <c r="AA80">
        <f t="shared" ref="AA80:AQ81" si="42">AR16</f>
        <v>0</v>
      </c>
      <c r="AB80">
        <f t="shared" si="42"/>
        <v>0</v>
      </c>
      <c r="AC80">
        <f t="shared" si="42"/>
        <v>0</v>
      </c>
      <c r="AD80">
        <f t="shared" si="42"/>
        <v>0.17</v>
      </c>
      <c r="AE80">
        <f t="shared" si="42"/>
        <v>0.04</v>
      </c>
      <c r="AF80">
        <f t="shared" si="42"/>
        <v>0</v>
      </c>
      <c r="AG80">
        <f t="shared" si="42"/>
        <v>0</v>
      </c>
      <c r="AH80">
        <f t="shared" si="42"/>
        <v>0</v>
      </c>
      <c r="AI80">
        <f t="shared" si="42"/>
        <v>0</v>
      </c>
      <c r="AJ80">
        <f t="shared" si="42"/>
        <v>0</v>
      </c>
      <c r="AK80">
        <f t="shared" si="42"/>
        <v>0</v>
      </c>
      <c r="AL80">
        <f t="shared" si="42"/>
        <v>0.05</v>
      </c>
      <c r="AM80">
        <f t="shared" si="42"/>
        <v>0</v>
      </c>
      <c r="AN80">
        <f t="shared" si="42"/>
        <v>0</v>
      </c>
      <c r="AO80">
        <f t="shared" si="42"/>
        <v>0</v>
      </c>
      <c r="AP80">
        <f t="shared" si="42"/>
        <v>0</v>
      </c>
      <c r="AQ80">
        <f t="shared" si="42"/>
        <v>0</v>
      </c>
      <c r="AR80">
        <f>F80+I80+J80+K80+L80+M80+N80+O80+P80</f>
        <v>1.1499999999999999</v>
      </c>
      <c r="AS80">
        <f>D80+H116-AR80</f>
        <v>13.469999999999999</v>
      </c>
    </row>
    <row r="81" spans="1:45" ht="20.25" customHeight="1">
      <c r="A81" t="s">
        <v>24</v>
      </c>
      <c r="B81" t="s">
        <v>25</v>
      </c>
      <c r="C81" t="s">
        <v>26</v>
      </c>
      <c r="D81">
        <f>D17</f>
        <v>333.56</v>
      </c>
      <c r="E81">
        <f t="shared" si="38"/>
        <v>266.36</v>
      </c>
      <c r="F81">
        <f>H17</f>
        <v>0</v>
      </c>
      <c r="G81">
        <f>I17</f>
        <v>0</v>
      </c>
      <c r="H81">
        <f>M17</f>
        <v>0</v>
      </c>
      <c r="I81">
        <f>D81-AR81</f>
        <v>266.36</v>
      </c>
      <c r="J81">
        <f t="shared" si="40"/>
        <v>0</v>
      </c>
      <c r="K81">
        <f t="shared" si="40"/>
        <v>0</v>
      </c>
      <c r="L81">
        <f t="shared" si="40"/>
        <v>0</v>
      </c>
      <c r="M81">
        <f t="shared" si="40"/>
        <v>0</v>
      </c>
      <c r="N81">
        <f t="shared" si="40"/>
        <v>0</v>
      </c>
      <c r="O81">
        <f t="shared" si="40"/>
        <v>0</v>
      </c>
      <c r="P81">
        <f t="shared" si="39"/>
        <v>67.199999999999989</v>
      </c>
      <c r="Q81">
        <f t="shared" si="41"/>
        <v>0.27</v>
      </c>
      <c r="R81">
        <f t="shared" si="41"/>
        <v>0</v>
      </c>
      <c r="S81">
        <f t="shared" si="41"/>
        <v>0</v>
      </c>
      <c r="T81">
        <f t="shared" si="41"/>
        <v>0</v>
      </c>
      <c r="U81">
        <f t="shared" si="41"/>
        <v>23.1</v>
      </c>
      <c r="V81">
        <f t="shared" si="41"/>
        <v>6.94</v>
      </c>
      <c r="W81">
        <f t="shared" si="41"/>
        <v>14.94</v>
      </c>
      <c r="X81">
        <f t="shared" si="41"/>
        <v>0</v>
      </c>
      <c r="Y81">
        <f t="shared" si="41"/>
        <v>15.77</v>
      </c>
      <c r="Z81">
        <f>AQ17</f>
        <v>0</v>
      </c>
      <c r="AA81">
        <f t="shared" si="42"/>
        <v>0</v>
      </c>
      <c r="AB81">
        <f t="shared" si="42"/>
        <v>0</v>
      </c>
      <c r="AC81">
        <f t="shared" si="42"/>
        <v>0</v>
      </c>
      <c r="AD81">
        <f t="shared" si="42"/>
        <v>0.85</v>
      </c>
      <c r="AE81">
        <f t="shared" si="42"/>
        <v>3.78</v>
      </c>
      <c r="AF81">
        <f t="shared" si="42"/>
        <v>0</v>
      </c>
      <c r="AG81">
        <f t="shared" si="42"/>
        <v>0</v>
      </c>
      <c r="AH81">
        <f t="shared" si="42"/>
        <v>0</v>
      </c>
      <c r="AI81">
        <f t="shared" si="42"/>
        <v>0</v>
      </c>
      <c r="AJ81">
        <f t="shared" si="42"/>
        <v>0</v>
      </c>
      <c r="AK81">
        <f t="shared" si="42"/>
        <v>0</v>
      </c>
      <c r="AL81">
        <f t="shared" si="42"/>
        <v>1.55</v>
      </c>
      <c r="AM81">
        <f t="shared" si="42"/>
        <v>0</v>
      </c>
      <c r="AN81">
        <f t="shared" si="42"/>
        <v>0</v>
      </c>
      <c r="AO81">
        <f t="shared" si="42"/>
        <v>0</v>
      </c>
      <c r="AP81">
        <f t="shared" si="42"/>
        <v>0</v>
      </c>
      <c r="AQ81">
        <f t="shared" si="42"/>
        <v>0</v>
      </c>
      <c r="AR81">
        <f>F81+H81+J81+K81+L81+M81+N81+O81+P81</f>
        <v>67.199999999999989</v>
      </c>
      <c r="AS81">
        <f>D81+I116-AR81</f>
        <v>266.36</v>
      </c>
    </row>
    <row r="82" spans="1:45" ht="20.25" customHeight="1">
      <c r="A82" t="s">
        <v>27</v>
      </c>
      <c r="B82" t="s">
        <v>28</v>
      </c>
      <c r="C82" t="s">
        <v>29</v>
      </c>
      <c r="D82">
        <f t="shared" ref="D82:D87" si="43">D19</f>
        <v>1079.44</v>
      </c>
      <c r="E82">
        <f t="shared" si="38"/>
        <v>1079.44</v>
      </c>
      <c r="F82">
        <f>H20</f>
        <v>0</v>
      </c>
      <c r="G82">
        <f>I20</f>
        <v>0</v>
      </c>
      <c r="H82">
        <f>M20</f>
        <v>0</v>
      </c>
      <c r="I82">
        <f>N20</f>
        <v>0</v>
      </c>
      <c r="J82">
        <f>D82-AR82</f>
        <v>1079.44</v>
      </c>
      <c r="K82">
        <f>Q19</f>
        <v>0</v>
      </c>
      <c r="L82">
        <f>R19</f>
        <v>0</v>
      </c>
      <c r="M82">
        <f t="shared" ref="M82:O83" si="44">S20</f>
        <v>0</v>
      </c>
      <c r="N82">
        <f t="shared" si="44"/>
        <v>0</v>
      </c>
      <c r="O82">
        <f t="shared" si="44"/>
        <v>0</v>
      </c>
      <c r="P82">
        <f t="shared" si="39"/>
        <v>0</v>
      </c>
      <c r="Q82">
        <f>W20</f>
        <v>0</v>
      </c>
      <c r="R82">
        <f>X20</f>
        <v>0</v>
      </c>
      <c r="S82">
        <f>Z20</f>
        <v>0</v>
      </c>
      <c r="T82">
        <f t="shared" ref="T82:Y83" si="45">Z20</f>
        <v>0</v>
      </c>
      <c r="U82">
        <f t="shared" si="45"/>
        <v>0</v>
      </c>
      <c r="V82">
        <f t="shared" si="45"/>
        <v>0</v>
      </c>
      <c r="W82">
        <f t="shared" si="45"/>
        <v>0</v>
      </c>
      <c r="X82">
        <f t="shared" si="45"/>
        <v>0</v>
      </c>
      <c r="Y82">
        <f t="shared" si="45"/>
        <v>0</v>
      </c>
      <c r="Z82">
        <f>AQ20</f>
        <v>0</v>
      </c>
      <c r="AA82">
        <f t="shared" ref="AA82:AQ83" si="46">AR20</f>
        <v>0</v>
      </c>
      <c r="AB82">
        <f t="shared" si="46"/>
        <v>0</v>
      </c>
      <c r="AC82">
        <f t="shared" si="46"/>
        <v>0</v>
      </c>
      <c r="AD82">
        <f t="shared" si="46"/>
        <v>0</v>
      </c>
      <c r="AE82">
        <f t="shared" si="46"/>
        <v>0</v>
      </c>
      <c r="AF82">
        <f t="shared" si="46"/>
        <v>0</v>
      </c>
      <c r="AG82">
        <f t="shared" si="46"/>
        <v>0</v>
      </c>
      <c r="AH82">
        <f t="shared" si="46"/>
        <v>0</v>
      </c>
      <c r="AI82">
        <f t="shared" si="46"/>
        <v>0</v>
      </c>
      <c r="AJ82">
        <f t="shared" si="46"/>
        <v>0</v>
      </c>
      <c r="AK82">
        <f t="shared" si="46"/>
        <v>0</v>
      </c>
      <c r="AL82">
        <f t="shared" si="46"/>
        <v>0</v>
      </c>
      <c r="AM82">
        <f t="shared" si="46"/>
        <v>0</v>
      </c>
      <c r="AN82">
        <f t="shared" si="46"/>
        <v>0</v>
      </c>
      <c r="AO82">
        <f t="shared" si="46"/>
        <v>0</v>
      </c>
      <c r="AP82">
        <f t="shared" si="46"/>
        <v>0</v>
      </c>
      <c r="AQ82">
        <f t="shared" si="46"/>
        <v>0</v>
      </c>
      <c r="AR82">
        <f>F82+H82+I82+K82+L82+M82+N82+O82+P82</f>
        <v>0</v>
      </c>
      <c r="AS82">
        <f>D82+J116-AR82</f>
        <v>1079.44</v>
      </c>
    </row>
    <row r="83" spans="1:45" ht="20.25" customHeight="1">
      <c r="A83" t="s">
        <v>30</v>
      </c>
      <c r="B83" t="s">
        <v>31</v>
      </c>
      <c r="C83" t="s">
        <v>32</v>
      </c>
      <c r="D83">
        <f t="shared" si="43"/>
        <v>0</v>
      </c>
      <c r="E83">
        <f t="shared" si="38"/>
        <v>0</v>
      </c>
      <c r="F83">
        <f>H21</f>
        <v>0</v>
      </c>
      <c r="G83">
        <f>I21</f>
        <v>0</v>
      </c>
      <c r="H83">
        <f>M21</f>
        <v>0</v>
      </c>
      <c r="I83">
        <f>N21</f>
        <v>0</v>
      </c>
      <c r="J83">
        <f>P20</f>
        <v>0</v>
      </c>
      <c r="K83">
        <f>D83-AR83</f>
        <v>0</v>
      </c>
      <c r="L83">
        <f>R20</f>
        <v>0</v>
      </c>
      <c r="M83">
        <f t="shared" si="44"/>
        <v>0</v>
      </c>
      <c r="N83">
        <f t="shared" si="44"/>
        <v>0</v>
      </c>
      <c r="O83">
        <f t="shared" si="44"/>
        <v>0</v>
      </c>
      <c r="P83">
        <f t="shared" si="39"/>
        <v>0</v>
      </c>
      <c r="Q83">
        <f>W21</f>
        <v>0</v>
      </c>
      <c r="R83">
        <f>X21</f>
        <v>0</v>
      </c>
      <c r="S83">
        <f>Z21</f>
        <v>0</v>
      </c>
      <c r="T83">
        <f t="shared" si="45"/>
        <v>0</v>
      </c>
      <c r="U83">
        <f t="shared" si="45"/>
        <v>0</v>
      </c>
      <c r="V83">
        <f t="shared" si="45"/>
        <v>0</v>
      </c>
      <c r="W83">
        <f t="shared" si="45"/>
        <v>0</v>
      </c>
      <c r="X83">
        <f t="shared" si="45"/>
        <v>0</v>
      </c>
      <c r="Y83">
        <f t="shared" si="45"/>
        <v>0</v>
      </c>
      <c r="Z83">
        <f>AQ21</f>
        <v>0</v>
      </c>
      <c r="AA83">
        <f t="shared" si="46"/>
        <v>0</v>
      </c>
      <c r="AB83">
        <f t="shared" si="46"/>
        <v>0</v>
      </c>
      <c r="AC83">
        <f t="shared" si="46"/>
        <v>0</v>
      </c>
      <c r="AD83">
        <f t="shared" si="46"/>
        <v>0</v>
      </c>
      <c r="AE83">
        <f t="shared" si="46"/>
        <v>0</v>
      </c>
      <c r="AF83">
        <f t="shared" si="46"/>
        <v>0</v>
      </c>
      <c r="AG83">
        <f t="shared" si="46"/>
        <v>0</v>
      </c>
      <c r="AH83">
        <f t="shared" si="46"/>
        <v>0</v>
      </c>
      <c r="AI83">
        <f t="shared" si="46"/>
        <v>0</v>
      </c>
      <c r="AJ83">
        <f t="shared" si="46"/>
        <v>0</v>
      </c>
      <c r="AK83">
        <f t="shared" si="46"/>
        <v>0</v>
      </c>
      <c r="AL83">
        <f t="shared" si="46"/>
        <v>0</v>
      </c>
      <c r="AM83">
        <f t="shared" si="46"/>
        <v>0</v>
      </c>
      <c r="AN83">
        <f t="shared" si="46"/>
        <v>0</v>
      </c>
      <c r="AO83">
        <f t="shared" si="46"/>
        <v>0</v>
      </c>
      <c r="AP83">
        <f t="shared" si="46"/>
        <v>0</v>
      </c>
      <c r="AQ83">
        <f t="shared" si="46"/>
        <v>0</v>
      </c>
      <c r="AR83">
        <f>F83+H83+I83+J83+L83+M83+N83+O83+P83</f>
        <v>0</v>
      </c>
      <c r="AS83">
        <f>D83+K116-AR83</f>
        <v>0</v>
      </c>
    </row>
    <row r="84" spans="1:45" ht="20.25" customHeight="1">
      <c r="A84" t="s">
        <v>33</v>
      </c>
      <c r="B84" t="s">
        <v>34</v>
      </c>
      <c r="C84" t="s">
        <v>35</v>
      </c>
      <c r="D84">
        <f t="shared" si="43"/>
        <v>0</v>
      </c>
      <c r="E84">
        <f t="shared" si="38"/>
        <v>-23.35</v>
      </c>
      <c r="F84">
        <f>H19</f>
        <v>0</v>
      </c>
      <c r="G84">
        <f>I19</f>
        <v>0</v>
      </c>
      <c r="H84">
        <f>M19</f>
        <v>0</v>
      </c>
      <c r="I84">
        <f>N19</f>
        <v>0</v>
      </c>
      <c r="J84">
        <f>P21</f>
        <v>0</v>
      </c>
      <c r="K84">
        <f>Q21</f>
        <v>0</v>
      </c>
      <c r="L84">
        <f>D84-AR84</f>
        <v>-23.560000000000002</v>
      </c>
      <c r="M84">
        <f>S19</f>
        <v>0.21</v>
      </c>
      <c r="N84">
        <f>T19</f>
        <v>0</v>
      </c>
      <c r="O84">
        <f>U19</f>
        <v>0</v>
      </c>
      <c r="P84">
        <f t="shared" si="39"/>
        <v>23.35</v>
      </c>
      <c r="Q84">
        <f t="shared" ref="Q84:Y84" si="47">W19</f>
        <v>0</v>
      </c>
      <c r="R84">
        <f t="shared" si="47"/>
        <v>0</v>
      </c>
      <c r="S84">
        <f t="shared" si="47"/>
        <v>0</v>
      </c>
      <c r="T84">
        <f t="shared" si="47"/>
        <v>0</v>
      </c>
      <c r="U84">
        <f t="shared" si="47"/>
        <v>6.39</v>
      </c>
      <c r="V84">
        <f t="shared" si="47"/>
        <v>0</v>
      </c>
      <c r="W84">
        <f t="shared" si="47"/>
        <v>14.95</v>
      </c>
      <c r="X84">
        <f t="shared" si="47"/>
        <v>0</v>
      </c>
      <c r="Y84">
        <f t="shared" si="47"/>
        <v>2.0099999999999998</v>
      </c>
      <c r="Z84">
        <f>AQ19</f>
        <v>0</v>
      </c>
      <c r="AA84">
        <f t="shared" ref="AA84:AQ84" si="48">AR19</f>
        <v>0</v>
      </c>
      <c r="AB84">
        <f t="shared" si="48"/>
        <v>0</v>
      </c>
      <c r="AC84">
        <f t="shared" si="48"/>
        <v>0</v>
      </c>
      <c r="AD84">
        <f t="shared" si="48"/>
        <v>0</v>
      </c>
      <c r="AE84">
        <f t="shared" si="48"/>
        <v>0</v>
      </c>
      <c r="AF84">
        <f t="shared" si="48"/>
        <v>0</v>
      </c>
      <c r="AG84">
        <f t="shared" si="48"/>
        <v>0</v>
      </c>
      <c r="AH84">
        <f t="shared" si="48"/>
        <v>0</v>
      </c>
      <c r="AI84">
        <f t="shared" si="48"/>
        <v>0</v>
      </c>
      <c r="AJ84">
        <f t="shared" si="48"/>
        <v>0</v>
      </c>
      <c r="AK84">
        <f t="shared" si="48"/>
        <v>0</v>
      </c>
      <c r="AL84">
        <f t="shared" si="48"/>
        <v>0</v>
      </c>
      <c r="AM84">
        <f t="shared" si="48"/>
        <v>0</v>
      </c>
      <c r="AN84">
        <f t="shared" si="48"/>
        <v>0</v>
      </c>
      <c r="AO84">
        <f t="shared" si="48"/>
        <v>0</v>
      </c>
      <c r="AP84">
        <f t="shared" si="48"/>
        <v>0</v>
      </c>
      <c r="AQ84">
        <f t="shared" si="48"/>
        <v>0</v>
      </c>
      <c r="AR84">
        <f>F84+H84+I84+J84+K84+M84+N84+O84+P84</f>
        <v>23.560000000000002</v>
      </c>
      <c r="AS84">
        <f>D84+L116-AR84</f>
        <v>-23.560000000000002</v>
      </c>
    </row>
    <row r="85" spans="1:45" ht="20.25" customHeight="1">
      <c r="A85" t="s">
        <v>36</v>
      </c>
      <c r="B85" t="s">
        <v>37</v>
      </c>
      <c r="C85" t="s">
        <v>38</v>
      </c>
      <c r="D85">
        <f t="shared" si="43"/>
        <v>837.17</v>
      </c>
      <c r="E85">
        <f t="shared" si="38"/>
        <v>647.17999999999995</v>
      </c>
      <c r="F85">
        <f t="shared" ref="F85:G87" si="49">H22</f>
        <v>0</v>
      </c>
      <c r="G85">
        <f t="shared" si="49"/>
        <v>0</v>
      </c>
      <c r="H85">
        <f t="shared" ref="H85:I87" si="50">M22</f>
        <v>0</v>
      </c>
      <c r="I85">
        <f t="shared" si="50"/>
        <v>0</v>
      </c>
      <c r="J85">
        <f>P22</f>
        <v>0</v>
      </c>
      <c r="K85">
        <f>Q22</f>
        <v>0</v>
      </c>
      <c r="L85">
        <f>R22</f>
        <v>0</v>
      </c>
      <c r="M85">
        <f>D85-AR85</f>
        <v>647.17999999999995</v>
      </c>
      <c r="N85">
        <f>T22</f>
        <v>0</v>
      </c>
      <c r="O85">
        <f>U22</f>
        <v>0</v>
      </c>
      <c r="P85">
        <f>SUM(Q85:AP85)</f>
        <v>189.99</v>
      </c>
      <c r="Q85">
        <f t="shared" ref="Q85:Y87" si="51">W22</f>
        <v>0</v>
      </c>
      <c r="R85">
        <f t="shared" si="51"/>
        <v>0</v>
      </c>
      <c r="S85">
        <f t="shared" si="51"/>
        <v>0</v>
      </c>
      <c r="T85">
        <f t="shared" si="51"/>
        <v>0</v>
      </c>
      <c r="U85">
        <f t="shared" si="51"/>
        <v>127.11</v>
      </c>
      <c r="V85">
        <f t="shared" si="51"/>
        <v>0.42</v>
      </c>
      <c r="W85">
        <f t="shared" si="51"/>
        <v>44.32</v>
      </c>
      <c r="X85">
        <f t="shared" si="51"/>
        <v>0</v>
      </c>
      <c r="Y85">
        <f t="shared" si="51"/>
        <v>17.850000000000001</v>
      </c>
      <c r="Z85">
        <f t="shared" ref="Z85:AP85" si="52">AQ22</f>
        <v>0</v>
      </c>
      <c r="AA85">
        <f t="shared" si="52"/>
        <v>0</v>
      </c>
      <c r="AB85">
        <f t="shared" si="52"/>
        <v>0</v>
      </c>
      <c r="AC85">
        <f t="shared" si="52"/>
        <v>0</v>
      </c>
      <c r="AD85">
        <f t="shared" si="52"/>
        <v>0.05</v>
      </c>
      <c r="AE85">
        <f t="shared" si="52"/>
        <v>0.24</v>
      </c>
      <c r="AF85">
        <f t="shared" si="52"/>
        <v>0</v>
      </c>
      <c r="AG85">
        <f t="shared" si="52"/>
        <v>0</v>
      </c>
      <c r="AH85">
        <f t="shared" si="52"/>
        <v>0</v>
      </c>
      <c r="AI85">
        <f t="shared" si="52"/>
        <v>0</v>
      </c>
      <c r="AJ85">
        <f t="shared" si="52"/>
        <v>0</v>
      </c>
      <c r="AK85">
        <f t="shared" si="52"/>
        <v>0</v>
      </c>
      <c r="AL85">
        <f t="shared" si="52"/>
        <v>0</v>
      </c>
      <c r="AM85">
        <f t="shared" si="52"/>
        <v>0</v>
      </c>
      <c r="AN85">
        <f t="shared" si="52"/>
        <v>0</v>
      </c>
      <c r="AO85">
        <f t="shared" si="52"/>
        <v>0</v>
      </c>
      <c r="AP85">
        <f t="shared" si="52"/>
        <v>0</v>
      </c>
      <c r="AQ85">
        <f t="shared" ref="AA85:AQ87" si="53">BH22</f>
        <v>0</v>
      </c>
      <c r="AR85">
        <f>F85+H85+I85+J85+K85+L85+N85+O85+P85</f>
        <v>189.99</v>
      </c>
      <c r="AS85">
        <f>D85+M116-AR85</f>
        <v>648.44999999999993</v>
      </c>
    </row>
    <row r="86" spans="1:45" ht="20.25" customHeight="1">
      <c r="A86" t="s">
        <v>39</v>
      </c>
      <c r="B86" t="s">
        <v>40</v>
      </c>
      <c r="C86" t="s">
        <v>41</v>
      </c>
      <c r="D86">
        <f t="shared" si="43"/>
        <v>0</v>
      </c>
      <c r="E86">
        <f t="shared" si="38"/>
        <v>0</v>
      </c>
      <c r="F86">
        <f t="shared" si="49"/>
        <v>0</v>
      </c>
      <c r="G86">
        <f t="shared" si="49"/>
        <v>0</v>
      </c>
      <c r="H86">
        <f t="shared" si="50"/>
        <v>0</v>
      </c>
      <c r="I86">
        <f t="shared" si="50"/>
        <v>0</v>
      </c>
      <c r="J86">
        <f>P23</f>
        <v>0</v>
      </c>
      <c r="K86">
        <f>Q23</f>
        <v>0</v>
      </c>
      <c r="L86">
        <f>R23</f>
        <v>0</v>
      </c>
      <c r="M86">
        <f>S23</f>
        <v>0</v>
      </c>
      <c r="N86">
        <f>D86-AR86</f>
        <v>0</v>
      </c>
      <c r="O86">
        <f>U23</f>
        <v>0</v>
      </c>
      <c r="P86">
        <f t="shared" si="39"/>
        <v>0</v>
      </c>
      <c r="Q86">
        <f t="shared" si="51"/>
        <v>0</v>
      </c>
      <c r="R86">
        <f t="shared" si="51"/>
        <v>0</v>
      </c>
      <c r="S86">
        <f t="shared" si="51"/>
        <v>0</v>
      </c>
      <c r="T86">
        <f t="shared" si="51"/>
        <v>0</v>
      </c>
      <c r="U86">
        <f t="shared" si="51"/>
        <v>0</v>
      </c>
      <c r="V86">
        <f t="shared" si="51"/>
        <v>0</v>
      </c>
      <c r="W86">
        <f t="shared" si="51"/>
        <v>0</v>
      </c>
      <c r="X86">
        <f t="shared" si="51"/>
        <v>0</v>
      </c>
      <c r="Y86">
        <f t="shared" si="51"/>
        <v>0</v>
      </c>
      <c r="Z86">
        <f>AQ23</f>
        <v>0</v>
      </c>
      <c r="AA86">
        <f t="shared" si="53"/>
        <v>0</v>
      </c>
      <c r="AB86">
        <f t="shared" si="53"/>
        <v>0</v>
      </c>
      <c r="AC86">
        <f t="shared" si="53"/>
        <v>0</v>
      </c>
      <c r="AD86">
        <f t="shared" si="53"/>
        <v>0</v>
      </c>
      <c r="AE86">
        <f t="shared" si="53"/>
        <v>0</v>
      </c>
      <c r="AF86">
        <f t="shared" si="53"/>
        <v>0</v>
      </c>
      <c r="AG86">
        <f t="shared" si="53"/>
        <v>0</v>
      </c>
      <c r="AH86">
        <f t="shared" si="53"/>
        <v>0</v>
      </c>
      <c r="AI86">
        <f t="shared" si="53"/>
        <v>0</v>
      </c>
      <c r="AJ86">
        <f t="shared" si="53"/>
        <v>0</v>
      </c>
      <c r="AK86">
        <f t="shared" si="53"/>
        <v>0</v>
      </c>
      <c r="AL86">
        <f t="shared" si="53"/>
        <v>0</v>
      </c>
      <c r="AM86">
        <f t="shared" si="53"/>
        <v>0</v>
      </c>
      <c r="AN86">
        <f t="shared" si="53"/>
        <v>0</v>
      </c>
      <c r="AO86">
        <f t="shared" si="53"/>
        <v>0</v>
      </c>
      <c r="AP86">
        <f t="shared" si="53"/>
        <v>0</v>
      </c>
      <c r="AQ86">
        <f t="shared" si="53"/>
        <v>0</v>
      </c>
      <c r="AR86">
        <f>F86+H86+I86+J86+K86+L86+M86+O86+P86</f>
        <v>0</v>
      </c>
      <c r="AS86">
        <f>D86+N116-AR86</f>
        <v>0</v>
      </c>
    </row>
    <row r="87" spans="1:45" ht="20.25" customHeight="1">
      <c r="A87">
        <v>2</v>
      </c>
      <c r="B87" t="s">
        <v>43</v>
      </c>
      <c r="C87" t="s">
        <v>44</v>
      </c>
      <c r="D87">
        <f t="shared" si="43"/>
        <v>0</v>
      </c>
      <c r="E87">
        <f t="shared" si="38"/>
        <v>0</v>
      </c>
      <c r="F87">
        <f t="shared" si="49"/>
        <v>0</v>
      </c>
      <c r="G87">
        <f t="shared" si="49"/>
        <v>0</v>
      </c>
      <c r="H87">
        <f t="shared" si="50"/>
        <v>0</v>
      </c>
      <c r="I87">
        <f t="shared" si="50"/>
        <v>0</v>
      </c>
      <c r="J87">
        <f>P24</f>
        <v>0</v>
      </c>
      <c r="K87">
        <f>Q24</f>
        <v>0</v>
      </c>
      <c r="L87">
        <f>R24</f>
        <v>0</v>
      </c>
      <c r="M87">
        <f>S24</f>
        <v>0</v>
      </c>
      <c r="N87">
        <f>T24</f>
        <v>0</v>
      </c>
      <c r="O87">
        <f>D87-AR87</f>
        <v>0</v>
      </c>
      <c r="P87">
        <f t="shared" si="39"/>
        <v>0</v>
      </c>
      <c r="Q87">
        <f t="shared" si="51"/>
        <v>0</v>
      </c>
      <c r="R87">
        <f t="shared" si="51"/>
        <v>0</v>
      </c>
      <c r="S87">
        <f t="shared" si="51"/>
        <v>0</v>
      </c>
      <c r="T87">
        <f t="shared" si="51"/>
        <v>0</v>
      </c>
      <c r="U87">
        <f t="shared" si="51"/>
        <v>0</v>
      </c>
      <c r="V87">
        <f t="shared" si="51"/>
        <v>0</v>
      </c>
      <c r="W87">
        <f t="shared" si="51"/>
        <v>0</v>
      </c>
      <c r="X87">
        <f t="shared" si="51"/>
        <v>0</v>
      </c>
      <c r="Y87">
        <f t="shared" si="51"/>
        <v>0</v>
      </c>
      <c r="Z87">
        <f>AQ24</f>
        <v>0</v>
      </c>
      <c r="AA87">
        <f t="shared" si="53"/>
        <v>0</v>
      </c>
      <c r="AB87">
        <f t="shared" si="53"/>
        <v>0</v>
      </c>
      <c r="AC87">
        <f t="shared" si="53"/>
        <v>0</v>
      </c>
      <c r="AD87">
        <f t="shared" si="53"/>
        <v>0</v>
      </c>
      <c r="AE87">
        <f t="shared" si="53"/>
        <v>0</v>
      </c>
      <c r="AF87">
        <f t="shared" si="53"/>
        <v>0</v>
      </c>
      <c r="AG87">
        <f t="shared" si="53"/>
        <v>0</v>
      </c>
      <c r="AH87">
        <f t="shared" si="53"/>
        <v>0</v>
      </c>
      <c r="AI87">
        <f t="shared" si="53"/>
        <v>0</v>
      </c>
      <c r="AJ87">
        <f t="shared" si="53"/>
        <v>0</v>
      </c>
      <c r="AK87">
        <f t="shared" si="53"/>
        <v>0</v>
      </c>
      <c r="AL87">
        <f t="shared" si="53"/>
        <v>0</v>
      </c>
      <c r="AM87">
        <f t="shared" si="53"/>
        <v>0</v>
      </c>
      <c r="AN87">
        <f t="shared" si="53"/>
        <v>0</v>
      </c>
      <c r="AO87">
        <f t="shared" si="53"/>
        <v>0</v>
      </c>
      <c r="AP87">
        <f t="shared" si="53"/>
        <v>0</v>
      </c>
      <c r="AQ87">
        <f t="shared" si="53"/>
        <v>0</v>
      </c>
      <c r="AR87">
        <f>F87+H87+I87+J87+K87+L87+M87+N87+P87</f>
        <v>0</v>
      </c>
      <c r="AS87">
        <f>D87+O116-AR87</f>
        <v>0</v>
      </c>
    </row>
    <row r="88" spans="1:45" ht="20.25" customHeight="1">
      <c r="A88">
        <v>2</v>
      </c>
      <c r="B88" t="s">
        <v>45</v>
      </c>
      <c r="C88" t="s">
        <v>46</v>
      </c>
      <c r="D88">
        <f>SUM(D89:D114)</f>
        <v>1152.57</v>
      </c>
      <c r="E88">
        <f t="shared" ref="E88:AS88" si="54">SUM(E89:E114)</f>
        <v>1.06</v>
      </c>
      <c r="F88">
        <f t="shared" si="54"/>
        <v>0</v>
      </c>
      <c r="G88">
        <f t="shared" si="54"/>
        <v>0</v>
      </c>
      <c r="H88">
        <f t="shared" si="54"/>
        <v>0</v>
      </c>
      <c r="I88">
        <f t="shared" si="54"/>
        <v>0</v>
      </c>
      <c r="J88">
        <f t="shared" si="54"/>
        <v>0</v>
      </c>
      <c r="K88">
        <f t="shared" si="54"/>
        <v>0</v>
      </c>
      <c r="L88">
        <f t="shared" si="54"/>
        <v>0</v>
      </c>
      <c r="M88">
        <f t="shared" si="54"/>
        <v>1.06</v>
      </c>
      <c r="N88">
        <f t="shared" si="54"/>
        <v>0</v>
      </c>
      <c r="O88">
        <f t="shared" si="54"/>
        <v>0</v>
      </c>
      <c r="P88">
        <f t="shared" si="54"/>
        <v>1151.51</v>
      </c>
      <c r="Q88">
        <f t="shared" si="54"/>
        <v>33.17</v>
      </c>
      <c r="R88">
        <f t="shared" si="54"/>
        <v>6.37</v>
      </c>
      <c r="S88">
        <f t="shared" si="54"/>
        <v>0</v>
      </c>
      <c r="T88">
        <f t="shared" si="54"/>
        <v>0</v>
      </c>
      <c r="U88">
        <f t="shared" si="54"/>
        <v>21.76</v>
      </c>
      <c r="V88">
        <f t="shared" si="54"/>
        <v>73.06</v>
      </c>
      <c r="W88">
        <f t="shared" si="54"/>
        <v>11.65</v>
      </c>
      <c r="X88">
        <f t="shared" si="54"/>
        <v>0</v>
      </c>
      <c r="Y88">
        <f t="shared" si="54"/>
        <v>208.85999999999999</v>
      </c>
      <c r="Z88">
        <f t="shared" si="54"/>
        <v>0</v>
      </c>
      <c r="AA88">
        <f t="shared" si="54"/>
        <v>0</v>
      </c>
      <c r="AB88">
        <f t="shared" si="54"/>
        <v>1.9899999999999998</v>
      </c>
      <c r="AC88">
        <f t="shared" si="54"/>
        <v>0</v>
      </c>
      <c r="AD88">
        <f t="shared" si="54"/>
        <v>73.449999999999989</v>
      </c>
      <c r="AE88">
        <f t="shared" si="54"/>
        <v>21.290000000000003</v>
      </c>
      <c r="AF88">
        <f t="shared" si="54"/>
        <v>0</v>
      </c>
      <c r="AG88">
        <f t="shared" si="54"/>
        <v>0</v>
      </c>
      <c r="AH88">
        <f t="shared" si="54"/>
        <v>0</v>
      </c>
      <c r="AI88">
        <f t="shared" si="54"/>
        <v>8.44</v>
      </c>
      <c r="AJ88">
        <f t="shared" si="54"/>
        <v>0</v>
      </c>
      <c r="AK88">
        <f t="shared" si="54"/>
        <v>1.7599999999999998</v>
      </c>
      <c r="AL88">
        <f t="shared" si="54"/>
        <v>1.1100000000000001</v>
      </c>
      <c r="AM88">
        <f t="shared" si="54"/>
        <v>0.45000000000000007</v>
      </c>
      <c r="AN88">
        <f t="shared" si="54"/>
        <v>688.15</v>
      </c>
      <c r="AO88">
        <f t="shared" si="54"/>
        <v>0</v>
      </c>
      <c r="AP88">
        <f t="shared" si="54"/>
        <v>0</v>
      </c>
      <c r="AQ88">
        <f t="shared" si="54"/>
        <v>0</v>
      </c>
      <c r="AR88">
        <f>E88+AQ88</f>
        <v>1.06</v>
      </c>
      <c r="AS88">
        <f t="shared" si="54"/>
        <v>1535.45</v>
      </c>
    </row>
    <row r="89" spans="1:45" ht="20.25" customHeight="1">
      <c r="A89" t="s">
        <v>47</v>
      </c>
      <c r="B89" t="s">
        <v>48</v>
      </c>
      <c r="C89" t="s">
        <v>49</v>
      </c>
      <c r="D89">
        <f>D26</f>
        <v>38.9</v>
      </c>
      <c r="E89">
        <f t="shared" si="38"/>
        <v>0</v>
      </c>
      <c r="F89">
        <f>H26</f>
        <v>0</v>
      </c>
      <c r="G89">
        <f>I26</f>
        <v>0</v>
      </c>
      <c r="H89">
        <f>M26</f>
        <v>0</v>
      </c>
      <c r="I89">
        <f>N26</f>
        <v>0</v>
      </c>
      <c r="J89">
        <f t="shared" ref="J89:O97" si="55">P26</f>
        <v>0</v>
      </c>
      <c r="K89">
        <f t="shared" si="55"/>
        <v>0</v>
      </c>
      <c r="L89">
        <f t="shared" si="55"/>
        <v>0</v>
      </c>
      <c r="M89">
        <f t="shared" si="55"/>
        <v>0</v>
      </c>
      <c r="N89">
        <f t="shared" si="55"/>
        <v>0</v>
      </c>
      <c r="O89">
        <f t="shared" si="55"/>
        <v>0</v>
      </c>
      <c r="P89">
        <f>SUM(Q89:AP89)</f>
        <v>38.9</v>
      </c>
      <c r="Q89">
        <f>D89-AR89</f>
        <v>33.04</v>
      </c>
      <c r="R89">
        <f t="shared" ref="R89:Y89" si="56">X26</f>
        <v>0</v>
      </c>
      <c r="S89">
        <f t="shared" si="56"/>
        <v>0</v>
      </c>
      <c r="T89">
        <f t="shared" si="56"/>
        <v>0</v>
      </c>
      <c r="U89">
        <f t="shared" si="56"/>
        <v>0</v>
      </c>
      <c r="V89">
        <f t="shared" si="56"/>
        <v>1.01</v>
      </c>
      <c r="W89">
        <f t="shared" si="56"/>
        <v>0</v>
      </c>
      <c r="X89">
        <f t="shared" si="56"/>
        <v>0</v>
      </c>
      <c r="Y89">
        <f t="shared" si="56"/>
        <v>1.58</v>
      </c>
      <c r="Z89">
        <f t="shared" ref="Z89:AP89" si="57">AQ26</f>
        <v>0</v>
      </c>
      <c r="AA89">
        <f t="shared" si="57"/>
        <v>0</v>
      </c>
      <c r="AB89">
        <f t="shared" si="57"/>
        <v>0</v>
      </c>
      <c r="AC89">
        <f t="shared" si="57"/>
        <v>0</v>
      </c>
      <c r="AD89">
        <f t="shared" si="57"/>
        <v>0</v>
      </c>
      <c r="AE89">
        <f t="shared" si="57"/>
        <v>3.2</v>
      </c>
      <c r="AF89">
        <f t="shared" si="57"/>
        <v>0</v>
      </c>
      <c r="AG89">
        <f t="shared" si="57"/>
        <v>0</v>
      </c>
      <c r="AH89">
        <f t="shared" si="57"/>
        <v>0</v>
      </c>
      <c r="AI89">
        <f t="shared" si="57"/>
        <v>0</v>
      </c>
      <c r="AJ89">
        <f t="shared" si="57"/>
        <v>0</v>
      </c>
      <c r="AK89">
        <f t="shared" si="57"/>
        <v>0</v>
      </c>
      <c r="AL89">
        <f t="shared" si="57"/>
        <v>7.0000000000000007E-2</v>
      </c>
      <c r="AM89">
        <f t="shared" si="57"/>
        <v>0</v>
      </c>
      <c r="AN89">
        <f t="shared" si="57"/>
        <v>0</v>
      </c>
      <c r="AO89">
        <f t="shared" si="57"/>
        <v>0</v>
      </c>
      <c r="AP89">
        <f t="shared" si="57"/>
        <v>0</v>
      </c>
      <c r="AQ89">
        <f t="shared" ref="AA89:AQ97" si="58">BH26</f>
        <v>0</v>
      </c>
      <c r="AR89">
        <f>E89+R89+S89+T89+U89+V89+W89+X89+Y89+Z89+AA89+AB89+AC89+AD89+AE89+AF89+AG89+AH89+AI89+AJ89+AK89+AL89+AM89+AN89+AO89+AP89+AQ89</f>
        <v>5.86</v>
      </c>
      <c r="AS89">
        <f>D89+Q116-AR89</f>
        <v>33.67</v>
      </c>
    </row>
    <row r="90" spans="1:45" ht="20.25" customHeight="1">
      <c r="A90" t="s">
        <v>50</v>
      </c>
      <c r="B90" t="s">
        <v>51</v>
      </c>
      <c r="C90" t="s">
        <v>52</v>
      </c>
      <c r="D90">
        <f t="shared" ref="D90:D97" si="59">D27</f>
        <v>6.37</v>
      </c>
      <c r="E90">
        <f t="shared" si="38"/>
        <v>0</v>
      </c>
      <c r="F90">
        <f t="shared" ref="F90:G97" si="60">H27</f>
        <v>0</v>
      </c>
      <c r="G90">
        <f t="shared" si="60"/>
        <v>0</v>
      </c>
      <c r="H90">
        <f t="shared" ref="H90:I97" si="61">M27</f>
        <v>0</v>
      </c>
      <c r="I90">
        <f t="shared" si="61"/>
        <v>0</v>
      </c>
      <c r="J90">
        <f t="shared" si="55"/>
        <v>0</v>
      </c>
      <c r="K90">
        <f t="shared" si="55"/>
        <v>0</v>
      </c>
      <c r="L90">
        <f t="shared" si="55"/>
        <v>0</v>
      </c>
      <c r="M90">
        <f t="shared" si="55"/>
        <v>0</v>
      </c>
      <c r="N90">
        <f t="shared" si="55"/>
        <v>0</v>
      </c>
      <c r="O90">
        <f t="shared" si="55"/>
        <v>0</v>
      </c>
      <c r="P90">
        <f t="shared" ref="P90:P114" si="62">SUM(Q90:AP90)</f>
        <v>6.37</v>
      </c>
      <c r="Q90">
        <f>W27</f>
        <v>0</v>
      </c>
      <c r="R90">
        <f>D90-AR90</f>
        <v>6.37</v>
      </c>
      <c r="S90">
        <f t="shared" ref="S90:Y90" si="63">Y27</f>
        <v>0</v>
      </c>
      <c r="T90">
        <f t="shared" si="63"/>
        <v>0</v>
      </c>
      <c r="U90">
        <f t="shared" si="63"/>
        <v>0</v>
      </c>
      <c r="V90">
        <f t="shared" si="63"/>
        <v>0</v>
      </c>
      <c r="W90">
        <f t="shared" si="63"/>
        <v>0</v>
      </c>
      <c r="X90">
        <f t="shared" si="63"/>
        <v>0</v>
      </c>
      <c r="Y90">
        <f t="shared" si="63"/>
        <v>0</v>
      </c>
      <c r="Z90">
        <f t="shared" ref="Z90:Z97" si="64">AQ27</f>
        <v>0</v>
      </c>
      <c r="AA90">
        <f t="shared" si="58"/>
        <v>0</v>
      </c>
      <c r="AB90">
        <f t="shared" si="58"/>
        <v>0</v>
      </c>
      <c r="AC90">
        <f t="shared" si="58"/>
        <v>0</v>
      </c>
      <c r="AD90">
        <f t="shared" si="58"/>
        <v>0</v>
      </c>
      <c r="AE90">
        <f t="shared" si="58"/>
        <v>0</v>
      </c>
      <c r="AF90">
        <f t="shared" si="58"/>
        <v>0</v>
      </c>
      <c r="AG90">
        <f t="shared" si="58"/>
        <v>0</v>
      </c>
      <c r="AH90">
        <f t="shared" si="58"/>
        <v>0</v>
      </c>
      <c r="AI90">
        <f t="shared" si="58"/>
        <v>0</v>
      </c>
      <c r="AJ90">
        <f t="shared" si="58"/>
        <v>0</v>
      </c>
      <c r="AK90">
        <f t="shared" si="58"/>
        <v>0</v>
      </c>
      <c r="AL90">
        <f t="shared" si="58"/>
        <v>0</v>
      </c>
      <c r="AM90">
        <f t="shared" si="58"/>
        <v>0</v>
      </c>
      <c r="AN90">
        <f t="shared" si="58"/>
        <v>0</v>
      </c>
      <c r="AO90">
        <f t="shared" si="58"/>
        <v>0</v>
      </c>
      <c r="AP90">
        <f t="shared" si="58"/>
        <v>0</v>
      </c>
      <c r="AQ90">
        <f t="shared" si="58"/>
        <v>0</v>
      </c>
      <c r="AR90">
        <f>E90+Q90+S90+T90+U90+V90+W90+X90+Y90+Z90+AA90+AB90+AC90+AD90+AE90+AF90+AG90+AH90+AI90+AJ90+AK90+AL90+AM90+AN90+AO90+AP90+AQ90</f>
        <v>0</v>
      </c>
      <c r="AS90">
        <f>D90+R116-AR90</f>
        <v>6.37</v>
      </c>
    </row>
    <row r="91" spans="1:45" ht="20.25" customHeight="1">
      <c r="A91" t="s">
        <v>53</v>
      </c>
      <c r="B91" t="s">
        <v>54</v>
      </c>
      <c r="C91" t="s">
        <v>55</v>
      </c>
      <c r="D91">
        <f t="shared" si="59"/>
        <v>0</v>
      </c>
      <c r="E91">
        <f t="shared" si="38"/>
        <v>0</v>
      </c>
      <c r="F91">
        <f t="shared" si="60"/>
        <v>0</v>
      </c>
      <c r="G91">
        <f t="shared" si="60"/>
        <v>0</v>
      </c>
      <c r="H91">
        <f t="shared" si="61"/>
        <v>0</v>
      </c>
      <c r="I91">
        <f t="shared" si="61"/>
        <v>0</v>
      </c>
      <c r="J91">
        <f t="shared" si="55"/>
        <v>0</v>
      </c>
      <c r="K91">
        <f t="shared" si="55"/>
        <v>0</v>
      </c>
      <c r="L91">
        <f t="shared" si="55"/>
        <v>0</v>
      </c>
      <c r="M91">
        <f t="shared" si="55"/>
        <v>0</v>
      </c>
      <c r="N91">
        <f t="shared" si="55"/>
        <v>0</v>
      </c>
      <c r="O91">
        <f t="shared" si="55"/>
        <v>0</v>
      </c>
      <c r="P91">
        <f t="shared" si="62"/>
        <v>0</v>
      </c>
      <c r="Q91">
        <f t="shared" ref="Q91:S97" si="65">W28</f>
        <v>0</v>
      </c>
      <c r="R91">
        <f>X28</f>
        <v>0</v>
      </c>
      <c r="S91">
        <f>D91-AR91</f>
        <v>0</v>
      </c>
      <c r="T91">
        <f t="shared" ref="T91:Y91" si="66">Z28</f>
        <v>0</v>
      </c>
      <c r="U91">
        <f t="shared" si="66"/>
        <v>0</v>
      </c>
      <c r="V91">
        <f t="shared" si="66"/>
        <v>0</v>
      </c>
      <c r="W91">
        <f t="shared" si="66"/>
        <v>0</v>
      </c>
      <c r="X91">
        <f t="shared" si="66"/>
        <v>0</v>
      </c>
      <c r="Y91">
        <f t="shared" si="66"/>
        <v>0</v>
      </c>
      <c r="Z91">
        <f t="shared" si="64"/>
        <v>0</v>
      </c>
      <c r="AA91">
        <f t="shared" si="58"/>
        <v>0</v>
      </c>
      <c r="AB91">
        <f t="shared" si="58"/>
        <v>0</v>
      </c>
      <c r="AC91">
        <f t="shared" si="58"/>
        <v>0</v>
      </c>
      <c r="AD91">
        <f t="shared" si="58"/>
        <v>0</v>
      </c>
      <c r="AE91">
        <f t="shared" si="58"/>
        <v>0</v>
      </c>
      <c r="AF91">
        <f t="shared" si="58"/>
        <v>0</v>
      </c>
      <c r="AG91">
        <f t="shared" si="58"/>
        <v>0</v>
      </c>
      <c r="AH91">
        <f t="shared" si="58"/>
        <v>0</v>
      </c>
      <c r="AI91">
        <f t="shared" si="58"/>
        <v>0</v>
      </c>
      <c r="AJ91">
        <f t="shared" si="58"/>
        <v>0</v>
      </c>
      <c r="AK91">
        <f t="shared" si="58"/>
        <v>0</v>
      </c>
      <c r="AL91">
        <f t="shared" si="58"/>
        <v>0</v>
      </c>
      <c r="AM91">
        <f t="shared" si="58"/>
        <v>0</v>
      </c>
      <c r="AN91">
        <f t="shared" si="58"/>
        <v>0</v>
      </c>
      <c r="AO91">
        <f t="shared" si="58"/>
        <v>0</v>
      </c>
      <c r="AP91">
        <f t="shared" si="58"/>
        <v>0</v>
      </c>
      <c r="AQ91">
        <f t="shared" si="58"/>
        <v>0</v>
      </c>
      <c r="AR91">
        <f>E91+Q91+R91+T91+U91+V91+W91+X91+Y91+Z91+AA91+AB91+AC91+AD91+AE91+AF91+AG91+AH91+AI91+AJ91+AK91+AL91+AM91+AN91+AO91+AP91+AQ91</f>
        <v>0</v>
      </c>
      <c r="AS91">
        <f>D91+S116-AR91</f>
        <v>0</v>
      </c>
    </row>
    <row r="92" spans="1:45" ht="20.25" customHeight="1">
      <c r="A92" t="s">
        <v>56</v>
      </c>
      <c r="B92" t="s">
        <v>57</v>
      </c>
      <c r="C92" t="s">
        <v>58</v>
      </c>
      <c r="D92">
        <f t="shared" si="59"/>
        <v>0</v>
      </c>
      <c r="E92">
        <f t="shared" si="38"/>
        <v>0</v>
      </c>
      <c r="F92">
        <f t="shared" si="60"/>
        <v>0</v>
      </c>
      <c r="G92">
        <f t="shared" si="60"/>
        <v>0</v>
      </c>
      <c r="H92">
        <f t="shared" si="61"/>
        <v>0</v>
      </c>
      <c r="I92">
        <f t="shared" si="61"/>
        <v>0</v>
      </c>
      <c r="J92">
        <f t="shared" si="55"/>
        <v>0</v>
      </c>
      <c r="K92">
        <f t="shared" si="55"/>
        <v>0</v>
      </c>
      <c r="L92">
        <f t="shared" si="55"/>
        <v>0</v>
      </c>
      <c r="M92">
        <f t="shared" si="55"/>
        <v>0</v>
      </c>
      <c r="N92">
        <f t="shared" si="55"/>
        <v>0</v>
      </c>
      <c r="O92">
        <f t="shared" si="55"/>
        <v>0</v>
      </c>
      <c r="P92">
        <f t="shared" si="62"/>
        <v>0</v>
      </c>
      <c r="Q92">
        <f t="shared" si="65"/>
        <v>0</v>
      </c>
      <c r="R92">
        <f t="shared" si="65"/>
        <v>0</v>
      </c>
      <c r="S92">
        <f t="shared" si="65"/>
        <v>0</v>
      </c>
      <c r="T92">
        <f>D92-AR92</f>
        <v>0</v>
      </c>
      <c r="U92">
        <f>AA29</f>
        <v>0</v>
      </c>
      <c r="V92">
        <f>AB29</f>
        <v>0</v>
      </c>
      <c r="W92">
        <f>AC29</f>
        <v>0</v>
      </c>
      <c r="X92">
        <f>AD29</f>
        <v>0</v>
      </c>
      <c r="Y92">
        <f>AE29</f>
        <v>0</v>
      </c>
      <c r="Z92">
        <f t="shared" si="64"/>
        <v>0</v>
      </c>
      <c r="AA92">
        <f t="shared" si="58"/>
        <v>0</v>
      </c>
      <c r="AB92">
        <f t="shared" si="58"/>
        <v>0</v>
      </c>
      <c r="AC92">
        <f t="shared" si="58"/>
        <v>0</v>
      </c>
      <c r="AD92">
        <f t="shared" si="58"/>
        <v>0</v>
      </c>
      <c r="AE92">
        <f t="shared" si="58"/>
        <v>0</v>
      </c>
      <c r="AF92">
        <f t="shared" si="58"/>
        <v>0</v>
      </c>
      <c r="AG92">
        <f t="shared" si="58"/>
        <v>0</v>
      </c>
      <c r="AH92">
        <f t="shared" si="58"/>
        <v>0</v>
      </c>
      <c r="AI92">
        <f t="shared" si="58"/>
        <v>0</v>
      </c>
      <c r="AJ92">
        <f t="shared" si="58"/>
        <v>0</v>
      </c>
      <c r="AK92">
        <f t="shared" si="58"/>
        <v>0</v>
      </c>
      <c r="AL92">
        <f t="shared" si="58"/>
        <v>0</v>
      </c>
      <c r="AM92">
        <f t="shared" si="58"/>
        <v>0</v>
      </c>
      <c r="AN92">
        <f t="shared" si="58"/>
        <v>0</v>
      </c>
      <c r="AO92">
        <f t="shared" si="58"/>
        <v>0</v>
      </c>
      <c r="AP92">
        <f t="shared" si="58"/>
        <v>0</v>
      </c>
      <c r="AQ92">
        <f t="shared" si="58"/>
        <v>0</v>
      </c>
      <c r="AR92">
        <f>E92+Q92+R92+S92+U92+V92+W92+X92+Y92+Z92+AA92+AB92+AC92+AD92+AE92+AF92+AG92+AH92+AI92+AJ92+AK92+AL92+AM92+AN92+AO92+AP92+AQ92</f>
        <v>0</v>
      </c>
      <c r="AS92">
        <f>D92+T116-AR92</f>
        <v>0</v>
      </c>
    </row>
    <row r="93" spans="1:45" ht="20.25" customHeight="1">
      <c r="A93" t="s">
        <v>59</v>
      </c>
      <c r="B93" t="s">
        <v>60</v>
      </c>
      <c r="C93" t="s">
        <v>61</v>
      </c>
      <c r="D93">
        <f t="shared" si="59"/>
        <v>0</v>
      </c>
      <c r="E93">
        <f t="shared" si="38"/>
        <v>0</v>
      </c>
      <c r="F93">
        <f t="shared" si="60"/>
        <v>0</v>
      </c>
      <c r="G93">
        <f t="shared" si="60"/>
        <v>0</v>
      </c>
      <c r="H93">
        <f t="shared" si="61"/>
        <v>0</v>
      </c>
      <c r="I93">
        <f t="shared" si="61"/>
        <v>0</v>
      </c>
      <c r="J93">
        <f t="shared" si="55"/>
        <v>0</v>
      </c>
      <c r="K93">
        <f t="shared" si="55"/>
        <v>0</v>
      </c>
      <c r="L93">
        <f t="shared" si="55"/>
        <v>0</v>
      </c>
      <c r="M93">
        <f t="shared" si="55"/>
        <v>0</v>
      </c>
      <c r="N93">
        <f t="shared" si="55"/>
        <v>0</v>
      </c>
      <c r="O93">
        <f t="shared" si="55"/>
        <v>0</v>
      </c>
      <c r="P93">
        <f t="shared" si="62"/>
        <v>0</v>
      </c>
      <c r="Q93">
        <f t="shared" si="65"/>
        <v>0</v>
      </c>
      <c r="R93">
        <f t="shared" si="65"/>
        <v>0</v>
      </c>
      <c r="S93">
        <f t="shared" si="65"/>
        <v>0</v>
      </c>
      <c r="T93">
        <f>Z30</f>
        <v>0</v>
      </c>
      <c r="U93">
        <f>D93-AR93</f>
        <v>0</v>
      </c>
      <c r="V93">
        <f>AB30</f>
        <v>0</v>
      </c>
      <c r="W93">
        <f>AC30</f>
        <v>0</v>
      </c>
      <c r="X93">
        <f>AD30</f>
        <v>0</v>
      </c>
      <c r="Y93">
        <f>AE30</f>
        <v>0</v>
      </c>
      <c r="Z93">
        <f t="shared" si="64"/>
        <v>0</v>
      </c>
      <c r="AA93">
        <f t="shared" si="58"/>
        <v>0</v>
      </c>
      <c r="AB93">
        <f t="shared" si="58"/>
        <v>0</v>
      </c>
      <c r="AC93">
        <f t="shared" si="58"/>
        <v>0</v>
      </c>
      <c r="AD93">
        <f t="shared" si="58"/>
        <v>0</v>
      </c>
      <c r="AE93">
        <f t="shared" si="58"/>
        <v>0</v>
      </c>
      <c r="AF93">
        <f t="shared" si="58"/>
        <v>0</v>
      </c>
      <c r="AG93">
        <f t="shared" si="58"/>
        <v>0</v>
      </c>
      <c r="AH93">
        <f t="shared" si="58"/>
        <v>0</v>
      </c>
      <c r="AI93">
        <f t="shared" si="58"/>
        <v>0</v>
      </c>
      <c r="AJ93">
        <f t="shared" si="58"/>
        <v>0</v>
      </c>
      <c r="AK93">
        <f t="shared" si="58"/>
        <v>0</v>
      </c>
      <c r="AL93">
        <f t="shared" si="58"/>
        <v>0</v>
      </c>
      <c r="AM93">
        <f t="shared" si="58"/>
        <v>0</v>
      </c>
      <c r="AN93">
        <f t="shared" si="58"/>
        <v>0</v>
      </c>
      <c r="AO93">
        <f t="shared" si="58"/>
        <v>0</v>
      </c>
      <c r="AP93">
        <f t="shared" si="58"/>
        <v>0</v>
      </c>
      <c r="AQ93">
        <f t="shared" si="58"/>
        <v>0</v>
      </c>
      <c r="AR93">
        <f>E93+Q93+R93+S93+T93+V93+W93+X93+Y93+Z93+AA93+AB93+AC93+AD93+AE93+AF93+AG93+AH93+AI93+AJ93+AK93+AL93+AM93+AN93+AO93+AP93+AQ93</f>
        <v>0</v>
      </c>
      <c r="AS93">
        <f>D93+U116-AR93</f>
        <v>199.79</v>
      </c>
    </row>
    <row r="94" spans="1:45" ht="20.25" customHeight="1">
      <c r="A94" t="s">
        <v>62</v>
      </c>
      <c r="B94" t="s">
        <v>63</v>
      </c>
      <c r="C94" t="s">
        <v>64</v>
      </c>
      <c r="D94">
        <f t="shared" si="59"/>
        <v>66.75</v>
      </c>
      <c r="E94">
        <f t="shared" si="38"/>
        <v>0</v>
      </c>
      <c r="F94">
        <f t="shared" si="60"/>
        <v>0</v>
      </c>
      <c r="G94">
        <f t="shared" si="60"/>
        <v>0</v>
      </c>
      <c r="H94">
        <f t="shared" si="61"/>
        <v>0</v>
      </c>
      <c r="I94">
        <f t="shared" si="61"/>
        <v>0</v>
      </c>
      <c r="J94">
        <f t="shared" si="55"/>
        <v>0</v>
      </c>
      <c r="K94">
        <f t="shared" si="55"/>
        <v>0</v>
      </c>
      <c r="L94">
        <f t="shared" si="55"/>
        <v>0</v>
      </c>
      <c r="M94">
        <f t="shared" si="55"/>
        <v>0</v>
      </c>
      <c r="N94">
        <f t="shared" si="55"/>
        <v>0</v>
      </c>
      <c r="O94">
        <f t="shared" si="55"/>
        <v>0</v>
      </c>
      <c r="P94">
        <f t="shared" si="62"/>
        <v>66.75</v>
      </c>
      <c r="Q94">
        <f t="shared" si="65"/>
        <v>0</v>
      </c>
      <c r="R94">
        <f t="shared" si="65"/>
        <v>0</v>
      </c>
      <c r="S94">
        <f t="shared" si="65"/>
        <v>0</v>
      </c>
      <c r="T94">
        <f>Z31</f>
        <v>0</v>
      </c>
      <c r="U94">
        <f>AA31</f>
        <v>7.0000000000000007E-2</v>
      </c>
      <c r="V94">
        <f>D94-AR94</f>
        <v>66.62</v>
      </c>
      <c r="W94">
        <f>AC31</f>
        <v>0</v>
      </c>
      <c r="X94">
        <f>AD31</f>
        <v>0</v>
      </c>
      <c r="Y94">
        <f>AE31</f>
        <v>0.06</v>
      </c>
      <c r="Z94">
        <f t="shared" si="64"/>
        <v>0</v>
      </c>
      <c r="AA94">
        <f t="shared" si="58"/>
        <v>0</v>
      </c>
      <c r="AB94">
        <f t="shared" si="58"/>
        <v>0</v>
      </c>
      <c r="AC94">
        <f t="shared" si="58"/>
        <v>0</v>
      </c>
      <c r="AD94">
        <f t="shared" si="58"/>
        <v>0</v>
      </c>
      <c r="AE94">
        <f t="shared" si="58"/>
        <v>0</v>
      </c>
      <c r="AF94">
        <f t="shared" si="58"/>
        <v>0</v>
      </c>
      <c r="AG94">
        <f t="shared" si="58"/>
        <v>0</v>
      </c>
      <c r="AH94">
        <f t="shared" si="58"/>
        <v>0</v>
      </c>
      <c r="AI94">
        <f t="shared" si="58"/>
        <v>0</v>
      </c>
      <c r="AJ94">
        <f t="shared" si="58"/>
        <v>0</v>
      </c>
      <c r="AK94">
        <f t="shared" si="58"/>
        <v>0</v>
      </c>
      <c r="AL94">
        <f t="shared" si="58"/>
        <v>0</v>
      </c>
      <c r="AM94">
        <f t="shared" si="58"/>
        <v>0</v>
      </c>
      <c r="AN94">
        <f t="shared" si="58"/>
        <v>0</v>
      </c>
      <c r="AO94">
        <f t="shared" si="58"/>
        <v>0</v>
      </c>
      <c r="AP94">
        <f t="shared" si="58"/>
        <v>0</v>
      </c>
      <c r="AQ94">
        <f t="shared" si="58"/>
        <v>0</v>
      </c>
      <c r="AR94">
        <f>E94+Q94+R94+S94+T94+U94+W94+X94+Y94+Z94+AA94+AB94+AC94+AD94+AE94+AF94+AG94+AH94+AI94+AJ94+AK94+AL94+AM94+AN94+AO94+AP94+AQ94</f>
        <v>0.13</v>
      </c>
      <c r="AS94">
        <f>D94+V116-AR94</f>
        <v>93.72</v>
      </c>
    </row>
    <row r="95" spans="1:45" ht="20.25" customHeight="1">
      <c r="A95" t="s">
        <v>65</v>
      </c>
      <c r="B95" t="s">
        <v>66</v>
      </c>
      <c r="C95" t="s">
        <v>67</v>
      </c>
      <c r="D95">
        <f t="shared" si="59"/>
        <v>2.13</v>
      </c>
      <c r="E95">
        <f t="shared" si="38"/>
        <v>0</v>
      </c>
      <c r="F95">
        <f t="shared" si="60"/>
        <v>0</v>
      </c>
      <c r="G95">
        <f t="shared" si="60"/>
        <v>0</v>
      </c>
      <c r="H95">
        <f t="shared" si="61"/>
        <v>0</v>
      </c>
      <c r="I95">
        <f t="shared" si="61"/>
        <v>0</v>
      </c>
      <c r="J95">
        <f t="shared" si="55"/>
        <v>0</v>
      </c>
      <c r="K95">
        <f t="shared" si="55"/>
        <v>0</v>
      </c>
      <c r="L95">
        <f t="shared" si="55"/>
        <v>0</v>
      </c>
      <c r="M95">
        <f t="shared" si="55"/>
        <v>0</v>
      </c>
      <c r="N95">
        <f t="shared" si="55"/>
        <v>0</v>
      </c>
      <c r="O95">
        <f t="shared" si="55"/>
        <v>0</v>
      </c>
      <c r="P95">
        <f t="shared" si="62"/>
        <v>2.13</v>
      </c>
      <c r="Q95">
        <f t="shared" si="65"/>
        <v>0</v>
      </c>
      <c r="R95">
        <f t="shared" si="65"/>
        <v>0</v>
      </c>
      <c r="S95">
        <f t="shared" si="65"/>
        <v>0</v>
      </c>
      <c r="T95">
        <f>Z32</f>
        <v>0</v>
      </c>
      <c r="U95">
        <f>AA32</f>
        <v>0</v>
      </c>
      <c r="V95">
        <f>AB32</f>
        <v>0</v>
      </c>
      <c r="W95">
        <f>D95-AR95</f>
        <v>2.13</v>
      </c>
      <c r="X95">
        <f>AD32</f>
        <v>0</v>
      </c>
      <c r="Y95">
        <f>AE32</f>
        <v>0</v>
      </c>
      <c r="Z95">
        <f t="shared" si="64"/>
        <v>0</v>
      </c>
      <c r="AA95">
        <f t="shared" si="58"/>
        <v>0</v>
      </c>
      <c r="AB95">
        <f t="shared" si="58"/>
        <v>0</v>
      </c>
      <c r="AC95">
        <f t="shared" si="58"/>
        <v>0</v>
      </c>
      <c r="AD95">
        <f t="shared" si="58"/>
        <v>0</v>
      </c>
      <c r="AE95">
        <f t="shared" si="58"/>
        <v>0</v>
      </c>
      <c r="AF95">
        <f t="shared" si="58"/>
        <v>0</v>
      </c>
      <c r="AG95">
        <f t="shared" si="58"/>
        <v>0</v>
      </c>
      <c r="AH95">
        <f t="shared" si="58"/>
        <v>0</v>
      </c>
      <c r="AI95">
        <f t="shared" si="58"/>
        <v>0</v>
      </c>
      <c r="AJ95">
        <f t="shared" si="58"/>
        <v>0</v>
      </c>
      <c r="AK95">
        <f t="shared" si="58"/>
        <v>0</v>
      </c>
      <c r="AL95">
        <f t="shared" si="58"/>
        <v>0</v>
      </c>
      <c r="AM95">
        <f t="shared" si="58"/>
        <v>0</v>
      </c>
      <c r="AN95">
        <f t="shared" si="58"/>
        <v>0</v>
      </c>
      <c r="AO95">
        <f t="shared" si="58"/>
        <v>0</v>
      </c>
      <c r="AP95">
        <f t="shared" si="58"/>
        <v>0</v>
      </c>
      <c r="AQ95">
        <f t="shared" si="58"/>
        <v>0</v>
      </c>
      <c r="AR95">
        <f>E95+Q95+R95+S95+T95+U95+V95+X95+Y95+Z95+AA95+AB95+AC95+AD95+AE95+AF95+AG95+AH95+AI95+AJ95+AK95+AL95+AM95+AN95+AO95+AP95+AQ95</f>
        <v>0</v>
      </c>
      <c r="AS95">
        <f>D95+W116-AR95</f>
        <v>93.74</v>
      </c>
    </row>
    <row r="96" spans="1:45" ht="20.25" customHeight="1">
      <c r="A96" t="s">
        <v>68</v>
      </c>
      <c r="B96" t="s">
        <v>69</v>
      </c>
      <c r="C96" t="s">
        <v>70</v>
      </c>
      <c r="D96">
        <f t="shared" si="59"/>
        <v>0</v>
      </c>
      <c r="E96">
        <f t="shared" si="38"/>
        <v>0</v>
      </c>
      <c r="F96">
        <f t="shared" si="60"/>
        <v>0</v>
      </c>
      <c r="G96">
        <f t="shared" si="60"/>
        <v>0</v>
      </c>
      <c r="H96">
        <f t="shared" si="61"/>
        <v>0</v>
      </c>
      <c r="I96">
        <f t="shared" si="61"/>
        <v>0</v>
      </c>
      <c r="J96">
        <f t="shared" si="55"/>
        <v>0</v>
      </c>
      <c r="K96">
        <f t="shared" si="55"/>
        <v>0</v>
      </c>
      <c r="L96">
        <f t="shared" si="55"/>
        <v>0</v>
      </c>
      <c r="M96">
        <f t="shared" si="55"/>
        <v>0</v>
      </c>
      <c r="N96">
        <f t="shared" si="55"/>
        <v>0</v>
      </c>
      <c r="O96">
        <f t="shared" si="55"/>
        <v>0</v>
      </c>
      <c r="P96">
        <f t="shared" si="62"/>
        <v>0</v>
      </c>
      <c r="Q96">
        <f t="shared" si="65"/>
        <v>0</v>
      </c>
      <c r="R96">
        <f t="shared" si="65"/>
        <v>0</v>
      </c>
      <c r="S96">
        <f t="shared" si="65"/>
        <v>0</v>
      </c>
      <c r="T96">
        <f>Z33</f>
        <v>0</v>
      </c>
      <c r="U96">
        <f>AA33</f>
        <v>0</v>
      </c>
      <c r="V96">
        <f>AB33</f>
        <v>0</v>
      </c>
      <c r="W96">
        <f>AC33</f>
        <v>0</v>
      </c>
      <c r="X96">
        <f>D96-AR96</f>
        <v>0</v>
      </c>
      <c r="Y96">
        <f>AE33</f>
        <v>0</v>
      </c>
      <c r="Z96">
        <f t="shared" si="64"/>
        <v>0</v>
      </c>
      <c r="AA96">
        <f t="shared" si="58"/>
        <v>0</v>
      </c>
      <c r="AB96">
        <f t="shared" si="58"/>
        <v>0</v>
      </c>
      <c r="AC96">
        <f t="shared" si="58"/>
        <v>0</v>
      </c>
      <c r="AD96">
        <f t="shared" si="58"/>
        <v>0</v>
      </c>
      <c r="AE96">
        <f t="shared" si="58"/>
        <v>0</v>
      </c>
      <c r="AF96">
        <f t="shared" si="58"/>
        <v>0</v>
      </c>
      <c r="AG96">
        <f t="shared" si="58"/>
        <v>0</v>
      </c>
      <c r="AH96">
        <f t="shared" si="58"/>
        <v>0</v>
      </c>
      <c r="AI96">
        <f t="shared" si="58"/>
        <v>0</v>
      </c>
      <c r="AJ96">
        <f t="shared" si="58"/>
        <v>0</v>
      </c>
      <c r="AK96">
        <f t="shared" si="58"/>
        <v>0</v>
      </c>
      <c r="AL96">
        <f t="shared" si="58"/>
        <v>0</v>
      </c>
      <c r="AM96">
        <f t="shared" si="58"/>
        <v>0</v>
      </c>
      <c r="AN96">
        <f t="shared" si="58"/>
        <v>0</v>
      </c>
      <c r="AO96">
        <f t="shared" si="58"/>
        <v>0</v>
      </c>
      <c r="AP96">
        <f t="shared" si="58"/>
        <v>0</v>
      </c>
      <c r="AQ96">
        <f t="shared" si="58"/>
        <v>0</v>
      </c>
      <c r="AR96">
        <f>E96+Q96+R96+S96+T96+U96+V96+W96+Y96+Z96+AA96+AB96+AC96+AD96+AE96+AF96+AG96+AH96+AI96+AJ96+AK96+AL96+AM96+AN96+AO96+AP96+AQ96</f>
        <v>0</v>
      </c>
      <c r="AS96">
        <f>D96+X116-AR96</f>
        <v>0</v>
      </c>
    </row>
    <row r="97" spans="1:45" ht="38.25" customHeight="1">
      <c r="A97" t="s">
        <v>71</v>
      </c>
      <c r="B97" t="s">
        <v>135</v>
      </c>
      <c r="C97" t="s">
        <v>72</v>
      </c>
      <c r="D97">
        <f t="shared" si="59"/>
        <v>222.68</v>
      </c>
      <c r="E97">
        <f t="shared" si="38"/>
        <v>1.06</v>
      </c>
      <c r="F97">
        <f t="shared" si="60"/>
        <v>0</v>
      </c>
      <c r="G97">
        <f t="shared" si="60"/>
        <v>0</v>
      </c>
      <c r="H97">
        <f t="shared" si="61"/>
        <v>0</v>
      </c>
      <c r="I97">
        <f t="shared" si="61"/>
        <v>0</v>
      </c>
      <c r="J97">
        <f>P34</f>
        <v>0</v>
      </c>
      <c r="K97">
        <f t="shared" si="55"/>
        <v>0</v>
      </c>
      <c r="L97">
        <f t="shared" si="55"/>
        <v>0</v>
      </c>
      <c r="M97">
        <f t="shared" si="55"/>
        <v>1.06</v>
      </c>
      <c r="N97">
        <f t="shared" si="55"/>
        <v>0</v>
      </c>
      <c r="O97">
        <f t="shared" si="55"/>
        <v>0</v>
      </c>
      <c r="P97">
        <f t="shared" si="62"/>
        <v>221.61999999999998</v>
      </c>
      <c r="Q97">
        <f t="shared" si="65"/>
        <v>0.03</v>
      </c>
      <c r="R97">
        <f t="shared" si="65"/>
        <v>0</v>
      </c>
      <c r="S97">
        <f t="shared" si="65"/>
        <v>0</v>
      </c>
      <c r="T97">
        <f>Z34</f>
        <v>0</v>
      </c>
      <c r="U97">
        <f>AA34</f>
        <v>11.440000000000001</v>
      </c>
      <c r="V97">
        <f>AB34</f>
        <v>1.91</v>
      </c>
      <c r="W97">
        <f>AC34</f>
        <v>4.01</v>
      </c>
      <c r="X97">
        <f>AD34</f>
        <v>0</v>
      </c>
      <c r="Y97">
        <f>D97-AR97</f>
        <v>200.94</v>
      </c>
      <c r="Z97">
        <f t="shared" si="64"/>
        <v>0</v>
      </c>
      <c r="AA97">
        <f t="shared" si="58"/>
        <v>0</v>
      </c>
      <c r="AB97">
        <f t="shared" si="58"/>
        <v>0</v>
      </c>
      <c r="AC97">
        <f t="shared" si="58"/>
        <v>0</v>
      </c>
      <c r="AD97">
        <f t="shared" si="58"/>
        <v>1.1300000000000001</v>
      </c>
      <c r="AE97">
        <f t="shared" si="58"/>
        <v>1.3900000000000001</v>
      </c>
      <c r="AF97">
        <f t="shared" si="58"/>
        <v>0</v>
      </c>
      <c r="AG97">
        <f t="shared" si="58"/>
        <v>0</v>
      </c>
      <c r="AH97">
        <f t="shared" si="58"/>
        <v>0</v>
      </c>
      <c r="AI97">
        <f t="shared" si="58"/>
        <v>0</v>
      </c>
      <c r="AJ97">
        <f t="shared" si="58"/>
        <v>0</v>
      </c>
      <c r="AK97">
        <f t="shared" si="58"/>
        <v>0</v>
      </c>
      <c r="AL97">
        <f t="shared" si="58"/>
        <v>0.77</v>
      </c>
      <c r="AM97">
        <f t="shared" si="58"/>
        <v>0</v>
      </c>
      <c r="AN97">
        <f t="shared" si="58"/>
        <v>0</v>
      </c>
      <c r="AO97">
        <f t="shared" si="58"/>
        <v>0</v>
      </c>
      <c r="AP97">
        <f t="shared" si="58"/>
        <v>0</v>
      </c>
      <c r="AQ97">
        <f t="shared" si="58"/>
        <v>0</v>
      </c>
      <c r="AR97">
        <f>E97+Q97+R97+S97+T97+U97+V97+W97+X97+Z97+AA97+AB97+AC97+AD97+AE97+AF97+AG97+AH97+AI97+AJ97+AK97+AL97+AM97+AN97+AO97+AP97+AQ97</f>
        <v>21.740000000000002</v>
      </c>
      <c r="AS97">
        <f>D97+Y116-AR97</f>
        <v>280.56</v>
      </c>
    </row>
    <row r="98" spans="1:45" ht="20.25" customHeight="1">
      <c r="A98" t="s">
        <v>73</v>
      </c>
      <c r="B98" t="s">
        <v>74</v>
      </c>
      <c r="C98" t="s">
        <v>75</v>
      </c>
      <c r="D98">
        <f>D46</f>
        <v>0</v>
      </c>
      <c r="E98">
        <f t="shared" si="38"/>
        <v>0</v>
      </c>
      <c r="F98">
        <f>H46</f>
        <v>0</v>
      </c>
      <c r="G98">
        <f>I46</f>
        <v>0</v>
      </c>
      <c r="H98">
        <f>M46</f>
        <v>0</v>
      </c>
      <c r="I98">
        <f>N46</f>
        <v>0</v>
      </c>
      <c r="J98">
        <f t="shared" ref="J98:O113" si="67">P46</f>
        <v>0</v>
      </c>
      <c r="K98">
        <f t="shared" si="67"/>
        <v>0</v>
      </c>
      <c r="L98">
        <f t="shared" si="67"/>
        <v>0</v>
      </c>
      <c r="M98">
        <f t="shared" si="67"/>
        <v>0</v>
      </c>
      <c r="N98">
        <f t="shared" si="67"/>
        <v>0</v>
      </c>
      <c r="O98">
        <f t="shared" si="67"/>
        <v>0</v>
      </c>
      <c r="P98">
        <f t="shared" si="62"/>
        <v>0</v>
      </c>
      <c r="Q98">
        <f t="shared" ref="Q98:Y113" si="68">W46</f>
        <v>0</v>
      </c>
      <c r="R98">
        <f t="shared" si="68"/>
        <v>0</v>
      </c>
      <c r="S98">
        <f t="shared" si="68"/>
        <v>0</v>
      </c>
      <c r="T98">
        <f t="shared" si="68"/>
        <v>0</v>
      </c>
      <c r="U98">
        <f t="shared" si="68"/>
        <v>0</v>
      </c>
      <c r="V98">
        <f t="shared" si="68"/>
        <v>0</v>
      </c>
      <c r="W98">
        <f t="shared" si="68"/>
        <v>0</v>
      </c>
      <c r="X98">
        <f t="shared" si="68"/>
        <v>0</v>
      </c>
      <c r="Y98">
        <f t="shared" si="68"/>
        <v>0</v>
      </c>
      <c r="Z98">
        <f>D98-AR98</f>
        <v>0</v>
      </c>
      <c r="AA98">
        <f>AR46</f>
        <v>0</v>
      </c>
      <c r="AB98">
        <f t="shared" ref="AB98:AQ109" si="69">AS46</f>
        <v>0</v>
      </c>
      <c r="AC98">
        <f t="shared" si="69"/>
        <v>0</v>
      </c>
      <c r="AD98">
        <f t="shared" si="69"/>
        <v>0</v>
      </c>
      <c r="AE98">
        <f t="shared" si="69"/>
        <v>0</v>
      </c>
      <c r="AF98">
        <f t="shared" si="69"/>
        <v>0</v>
      </c>
      <c r="AG98">
        <f t="shared" si="69"/>
        <v>0</v>
      </c>
      <c r="AH98">
        <f t="shared" si="69"/>
        <v>0</v>
      </c>
      <c r="AI98">
        <f t="shared" si="69"/>
        <v>0</v>
      </c>
      <c r="AJ98">
        <f t="shared" si="69"/>
        <v>0</v>
      </c>
      <c r="AK98">
        <f t="shared" si="69"/>
        <v>0</v>
      </c>
      <c r="AL98">
        <f t="shared" si="69"/>
        <v>0</v>
      </c>
      <c r="AM98">
        <f t="shared" si="69"/>
        <v>0</v>
      </c>
      <c r="AN98">
        <f t="shared" si="69"/>
        <v>0</v>
      </c>
      <c r="AO98">
        <f t="shared" si="69"/>
        <v>0</v>
      </c>
      <c r="AP98">
        <f t="shared" si="69"/>
        <v>0</v>
      </c>
      <c r="AQ98">
        <f t="shared" si="69"/>
        <v>0</v>
      </c>
      <c r="AR98">
        <f>E98+Q98+R98+S98+T98+U98+V98+W98+X98+Y98+AA98+AB98+AC98+AD98+AE98+AF98+AG98+AH98+AI98+AJ98+AK98+AL98+AM98+AN98+AO98+AP98+AQ98</f>
        <v>0</v>
      </c>
      <c r="AS98">
        <f>D98+Z116-AR98</f>
        <v>0</v>
      </c>
    </row>
    <row r="99" spans="1:45" ht="20.25" customHeight="1">
      <c r="A99" t="s">
        <v>76</v>
      </c>
      <c r="B99" t="s">
        <v>77</v>
      </c>
      <c r="C99" t="s">
        <v>78</v>
      </c>
      <c r="D99">
        <f t="shared" ref="D99:D114" si="70">D47</f>
        <v>0</v>
      </c>
      <c r="E99">
        <f t="shared" si="38"/>
        <v>0</v>
      </c>
      <c r="F99">
        <f t="shared" ref="F99:G115" si="71">H47</f>
        <v>0</v>
      </c>
      <c r="G99">
        <f t="shared" si="71"/>
        <v>0</v>
      </c>
      <c r="H99">
        <f t="shared" ref="H99:I115" si="72">M47</f>
        <v>0</v>
      </c>
      <c r="I99">
        <f t="shared" si="72"/>
        <v>0</v>
      </c>
      <c r="J99">
        <f t="shared" si="67"/>
        <v>0</v>
      </c>
      <c r="K99">
        <f t="shared" si="67"/>
        <v>0</v>
      </c>
      <c r="L99">
        <f t="shared" si="67"/>
        <v>0</v>
      </c>
      <c r="M99">
        <f t="shared" si="67"/>
        <v>0</v>
      </c>
      <c r="N99">
        <f t="shared" si="67"/>
        <v>0</v>
      </c>
      <c r="O99">
        <f t="shared" si="67"/>
        <v>0</v>
      </c>
      <c r="P99">
        <f t="shared" si="62"/>
        <v>0</v>
      </c>
      <c r="Q99">
        <f t="shared" si="68"/>
        <v>0</v>
      </c>
      <c r="R99">
        <f t="shared" si="68"/>
        <v>0</v>
      </c>
      <c r="S99">
        <f t="shared" si="68"/>
        <v>0</v>
      </c>
      <c r="T99">
        <f t="shared" si="68"/>
        <v>0</v>
      </c>
      <c r="U99">
        <f t="shared" si="68"/>
        <v>0</v>
      </c>
      <c r="V99">
        <f t="shared" si="68"/>
        <v>0</v>
      </c>
      <c r="W99">
        <f t="shared" si="68"/>
        <v>0</v>
      </c>
      <c r="X99">
        <f t="shared" si="68"/>
        <v>0</v>
      </c>
      <c r="Y99">
        <f t="shared" si="68"/>
        <v>0</v>
      </c>
      <c r="Z99">
        <f>AQ47</f>
        <v>0</v>
      </c>
      <c r="AA99">
        <f>D99-AR99</f>
        <v>0</v>
      </c>
      <c r="AB99">
        <f>AS47</f>
        <v>0</v>
      </c>
      <c r="AC99">
        <f t="shared" si="69"/>
        <v>0</v>
      </c>
      <c r="AD99">
        <f t="shared" si="69"/>
        <v>0</v>
      </c>
      <c r="AE99">
        <f t="shared" si="69"/>
        <v>0</v>
      </c>
      <c r="AF99">
        <f t="shared" si="69"/>
        <v>0</v>
      </c>
      <c r="AG99">
        <f t="shared" si="69"/>
        <v>0</v>
      </c>
      <c r="AH99">
        <f t="shared" si="69"/>
        <v>0</v>
      </c>
      <c r="AI99">
        <f t="shared" si="69"/>
        <v>0</v>
      </c>
      <c r="AJ99">
        <f t="shared" si="69"/>
        <v>0</v>
      </c>
      <c r="AK99">
        <f t="shared" si="69"/>
        <v>0</v>
      </c>
      <c r="AL99">
        <f t="shared" si="69"/>
        <v>0</v>
      </c>
      <c r="AM99">
        <f t="shared" si="69"/>
        <v>0</v>
      </c>
      <c r="AN99">
        <f t="shared" si="69"/>
        <v>0</v>
      </c>
      <c r="AO99">
        <f t="shared" si="69"/>
        <v>0</v>
      </c>
      <c r="AP99">
        <f t="shared" si="69"/>
        <v>0</v>
      </c>
      <c r="AQ99">
        <f t="shared" si="69"/>
        <v>0</v>
      </c>
      <c r="AR99">
        <f>E99+Q99+R99+S99+T99+U99+V99+W99+X99+Y99+Z99+AB99+AC99+AD99+AE99+AF99+AG99+AH99+AI99+AJ99+AK99+AL99+AM99+AN99+AO99+AP99+AQ99</f>
        <v>0</v>
      </c>
      <c r="AS99">
        <f>D99+AA116-AR99</f>
        <v>0</v>
      </c>
    </row>
    <row r="100" spans="1:45" ht="20.25" customHeight="1">
      <c r="A100" t="s">
        <v>79</v>
      </c>
      <c r="B100" t="s">
        <v>80</v>
      </c>
      <c r="C100" t="s">
        <v>81</v>
      </c>
      <c r="D100">
        <f t="shared" si="70"/>
        <v>2.09</v>
      </c>
      <c r="E100">
        <f t="shared" si="38"/>
        <v>0</v>
      </c>
      <c r="F100">
        <f t="shared" si="71"/>
        <v>0</v>
      </c>
      <c r="G100">
        <f t="shared" si="71"/>
        <v>0</v>
      </c>
      <c r="H100">
        <f t="shared" si="72"/>
        <v>0</v>
      </c>
      <c r="I100">
        <f t="shared" si="72"/>
        <v>0</v>
      </c>
      <c r="J100">
        <f t="shared" si="67"/>
        <v>0</v>
      </c>
      <c r="K100">
        <f t="shared" si="67"/>
        <v>0</v>
      </c>
      <c r="L100">
        <f t="shared" si="67"/>
        <v>0</v>
      </c>
      <c r="M100">
        <f t="shared" si="67"/>
        <v>0</v>
      </c>
      <c r="N100">
        <f t="shared" si="67"/>
        <v>0</v>
      </c>
      <c r="O100">
        <f t="shared" si="67"/>
        <v>0</v>
      </c>
      <c r="P100">
        <f t="shared" si="62"/>
        <v>2.09</v>
      </c>
      <c r="Q100">
        <f t="shared" si="68"/>
        <v>0.1</v>
      </c>
      <c r="R100">
        <f t="shared" si="68"/>
        <v>0</v>
      </c>
      <c r="S100">
        <f t="shared" si="68"/>
        <v>0</v>
      </c>
      <c r="T100">
        <f t="shared" si="68"/>
        <v>0</v>
      </c>
      <c r="U100">
        <f t="shared" si="68"/>
        <v>0</v>
      </c>
      <c r="V100">
        <f t="shared" si="68"/>
        <v>0</v>
      </c>
      <c r="W100">
        <f t="shared" si="68"/>
        <v>0</v>
      </c>
      <c r="X100">
        <f t="shared" si="68"/>
        <v>0</v>
      </c>
      <c r="Y100">
        <f t="shared" si="68"/>
        <v>0</v>
      </c>
      <c r="Z100">
        <f t="shared" ref="Z100:AK115" si="73">AQ48</f>
        <v>0</v>
      </c>
      <c r="AA100">
        <f t="shared" si="73"/>
        <v>0</v>
      </c>
      <c r="AB100">
        <f>D100-AR100</f>
        <v>1.9899999999999998</v>
      </c>
      <c r="AC100">
        <f>AT48</f>
        <v>0</v>
      </c>
      <c r="AD100">
        <f t="shared" si="69"/>
        <v>0</v>
      </c>
      <c r="AE100">
        <f t="shared" si="69"/>
        <v>0</v>
      </c>
      <c r="AF100">
        <f t="shared" si="69"/>
        <v>0</v>
      </c>
      <c r="AG100">
        <f t="shared" si="69"/>
        <v>0</v>
      </c>
      <c r="AH100">
        <f t="shared" si="69"/>
        <v>0</v>
      </c>
      <c r="AI100">
        <f t="shared" si="69"/>
        <v>0</v>
      </c>
      <c r="AJ100">
        <f t="shared" si="69"/>
        <v>0</v>
      </c>
      <c r="AK100">
        <f t="shared" si="69"/>
        <v>0</v>
      </c>
      <c r="AL100">
        <f t="shared" si="69"/>
        <v>0</v>
      </c>
      <c r="AM100">
        <f t="shared" si="69"/>
        <v>0</v>
      </c>
      <c r="AN100">
        <f t="shared" si="69"/>
        <v>0</v>
      </c>
      <c r="AO100">
        <f t="shared" si="69"/>
        <v>0</v>
      </c>
      <c r="AP100">
        <f t="shared" si="69"/>
        <v>0</v>
      </c>
      <c r="AQ100">
        <f t="shared" si="69"/>
        <v>0</v>
      </c>
      <c r="AR100">
        <f>E100+Q100+R100+S100+T100+U100+V100+W100+X100+Y100+Z100+AA100+AC100+AD100+AE100+AF100+AG100+AH100+AI100+AJ100+AK100+AL100+AM100+AN100+AO100+AP100+AQ100</f>
        <v>0.1</v>
      </c>
      <c r="AS100">
        <f>D100+AB116-AR100</f>
        <v>1.9899999999999998</v>
      </c>
    </row>
    <row r="101" spans="1:45" ht="20.25" customHeight="1">
      <c r="A101" t="s">
        <v>82</v>
      </c>
      <c r="B101" t="s">
        <v>83</v>
      </c>
      <c r="C101" t="s">
        <v>84</v>
      </c>
      <c r="D101">
        <f t="shared" si="70"/>
        <v>0</v>
      </c>
      <c r="E101">
        <f t="shared" si="38"/>
        <v>0</v>
      </c>
      <c r="F101">
        <f t="shared" si="71"/>
        <v>0</v>
      </c>
      <c r="G101">
        <f t="shared" si="71"/>
        <v>0</v>
      </c>
      <c r="H101">
        <f t="shared" si="72"/>
        <v>0</v>
      </c>
      <c r="I101">
        <f t="shared" si="72"/>
        <v>0</v>
      </c>
      <c r="J101">
        <f t="shared" si="67"/>
        <v>0</v>
      </c>
      <c r="K101">
        <f t="shared" si="67"/>
        <v>0</v>
      </c>
      <c r="L101">
        <f t="shared" si="67"/>
        <v>0</v>
      </c>
      <c r="M101">
        <f t="shared" si="67"/>
        <v>0</v>
      </c>
      <c r="N101">
        <f t="shared" si="67"/>
        <v>0</v>
      </c>
      <c r="O101">
        <f t="shared" si="67"/>
        <v>0</v>
      </c>
      <c r="P101">
        <f t="shared" si="62"/>
        <v>0</v>
      </c>
      <c r="Q101">
        <f t="shared" si="68"/>
        <v>0</v>
      </c>
      <c r="R101">
        <f t="shared" si="68"/>
        <v>0</v>
      </c>
      <c r="S101">
        <f t="shared" si="68"/>
        <v>0</v>
      </c>
      <c r="T101">
        <f t="shared" si="68"/>
        <v>0</v>
      </c>
      <c r="U101">
        <f t="shared" si="68"/>
        <v>0</v>
      </c>
      <c r="V101">
        <f t="shared" si="68"/>
        <v>0</v>
      </c>
      <c r="W101">
        <f t="shared" si="68"/>
        <v>0</v>
      </c>
      <c r="X101">
        <f t="shared" si="68"/>
        <v>0</v>
      </c>
      <c r="Y101">
        <f t="shared" si="68"/>
        <v>0</v>
      </c>
      <c r="Z101">
        <f t="shared" si="73"/>
        <v>0</v>
      </c>
      <c r="AA101">
        <f t="shared" si="73"/>
        <v>0</v>
      </c>
      <c r="AB101">
        <f t="shared" si="73"/>
        <v>0</v>
      </c>
      <c r="AC101">
        <f>D101-AR101</f>
        <v>0</v>
      </c>
      <c r="AD101">
        <f>AU49</f>
        <v>0</v>
      </c>
      <c r="AE101">
        <f t="shared" si="69"/>
        <v>0</v>
      </c>
      <c r="AF101">
        <f t="shared" si="69"/>
        <v>0</v>
      </c>
      <c r="AG101">
        <f t="shared" si="69"/>
        <v>0</v>
      </c>
      <c r="AH101">
        <f t="shared" si="69"/>
        <v>0</v>
      </c>
      <c r="AI101">
        <f t="shared" si="69"/>
        <v>0</v>
      </c>
      <c r="AJ101">
        <f t="shared" si="69"/>
        <v>0</v>
      </c>
      <c r="AK101">
        <f t="shared" si="69"/>
        <v>0</v>
      </c>
      <c r="AL101">
        <f t="shared" si="69"/>
        <v>0</v>
      </c>
      <c r="AM101">
        <f t="shared" si="69"/>
        <v>0</v>
      </c>
      <c r="AN101">
        <f t="shared" si="69"/>
        <v>0</v>
      </c>
      <c r="AO101">
        <f t="shared" si="69"/>
        <v>0</v>
      </c>
      <c r="AP101">
        <f t="shared" si="69"/>
        <v>0</v>
      </c>
      <c r="AQ101">
        <f t="shared" si="69"/>
        <v>0</v>
      </c>
      <c r="AR101">
        <f>E101+Q101+R101+S101+T101+U101+V101+W101+X101+Y101+Z101+AA101+AB101+AD101+AE101+AF101+AG101+AH101+AI101+AJ101+AK101+AL101+AM101+AN101+AO101+AP101+AQ101</f>
        <v>0</v>
      </c>
      <c r="AS101">
        <f>D101+AC116-AR101</f>
        <v>0</v>
      </c>
    </row>
    <row r="102" spans="1:45" ht="20.25" customHeight="1">
      <c r="A102" t="s">
        <v>85</v>
      </c>
      <c r="B102" t="s">
        <v>86</v>
      </c>
      <c r="C102" t="s">
        <v>87</v>
      </c>
      <c r="D102">
        <f t="shared" si="70"/>
        <v>100.57</v>
      </c>
      <c r="E102">
        <f t="shared" si="38"/>
        <v>0</v>
      </c>
      <c r="F102">
        <f t="shared" si="71"/>
        <v>0</v>
      </c>
      <c r="G102">
        <f t="shared" si="71"/>
        <v>0</v>
      </c>
      <c r="H102">
        <f t="shared" si="72"/>
        <v>0</v>
      </c>
      <c r="I102">
        <f t="shared" si="72"/>
        <v>0</v>
      </c>
      <c r="J102">
        <f t="shared" si="67"/>
        <v>0</v>
      </c>
      <c r="K102">
        <f t="shared" si="67"/>
        <v>0</v>
      </c>
      <c r="L102">
        <f t="shared" si="67"/>
        <v>0</v>
      </c>
      <c r="M102">
        <f t="shared" si="67"/>
        <v>0</v>
      </c>
      <c r="N102">
        <f t="shared" si="67"/>
        <v>0</v>
      </c>
      <c r="O102">
        <f t="shared" si="67"/>
        <v>0</v>
      </c>
      <c r="P102">
        <f t="shared" si="62"/>
        <v>100.57</v>
      </c>
      <c r="Q102">
        <f t="shared" si="68"/>
        <v>0</v>
      </c>
      <c r="R102">
        <f t="shared" si="68"/>
        <v>0</v>
      </c>
      <c r="S102">
        <f t="shared" si="68"/>
        <v>0</v>
      </c>
      <c r="T102">
        <f t="shared" si="68"/>
        <v>0</v>
      </c>
      <c r="U102">
        <f t="shared" si="68"/>
        <v>8.6</v>
      </c>
      <c r="V102">
        <f t="shared" si="68"/>
        <v>3.52</v>
      </c>
      <c r="W102">
        <f t="shared" si="68"/>
        <v>5.41</v>
      </c>
      <c r="X102">
        <f t="shared" si="68"/>
        <v>0</v>
      </c>
      <c r="Y102">
        <f t="shared" si="68"/>
        <v>6.25</v>
      </c>
      <c r="Z102">
        <f t="shared" si="73"/>
        <v>0</v>
      </c>
      <c r="AA102">
        <f t="shared" si="73"/>
        <v>0</v>
      </c>
      <c r="AB102">
        <f t="shared" si="73"/>
        <v>0</v>
      </c>
      <c r="AC102">
        <f t="shared" si="73"/>
        <v>0</v>
      </c>
      <c r="AD102">
        <f>D102-AR102</f>
        <v>72.319999999999993</v>
      </c>
      <c r="AE102">
        <f>AV50</f>
        <v>4.2</v>
      </c>
      <c r="AF102">
        <f t="shared" si="69"/>
        <v>0</v>
      </c>
      <c r="AG102">
        <f t="shared" si="69"/>
        <v>0</v>
      </c>
      <c r="AH102">
        <f t="shared" si="69"/>
        <v>0</v>
      </c>
      <c r="AI102">
        <f t="shared" si="69"/>
        <v>0</v>
      </c>
      <c r="AJ102">
        <f t="shared" si="69"/>
        <v>0</v>
      </c>
      <c r="AK102">
        <f t="shared" si="69"/>
        <v>0</v>
      </c>
      <c r="AL102">
        <f t="shared" si="69"/>
        <v>0.27</v>
      </c>
      <c r="AM102">
        <f t="shared" si="69"/>
        <v>0</v>
      </c>
      <c r="AN102">
        <f t="shared" si="69"/>
        <v>0</v>
      </c>
      <c r="AO102">
        <f t="shared" si="69"/>
        <v>0</v>
      </c>
      <c r="AP102">
        <f t="shared" si="69"/>
        <v>0</v>
      </c>
      <c r="AQ102">
        <f t="shared" si="69"/>
        <v>0</v>
      </c>
      <c r="AR102">
        <f>E102+Q102+R102+S102+T102+U102+V102+W102+X102+Y102+Z102+AA102+AB102+AC102+AE102+AF102+AG102+AH102+AI102+AJ102+AK102+AL102+AM102+AN102+AO102+AP102+AQ102</f>
        <v>28.25</v>
      </c>
      <c r="AS102">
        <f>D102+AD116-AR102</f>
        <v>86.1</v>
      </c>
    </row>
    <row r="103" spans="1:45" ht="20.25" customHeight="1">
      <c r="A103" t="s">
        <v>88</v>
      </c>
      <c r="B103" t="s">
        <v>89</v>
      </c>
      <c r="C103" t="s">
        <v>90</v>
      </c>
      <c r="D103">
        <f t="shared" si="70"/>
        <v>12.3</v>
      </c>
      <c r="E103">
        <f t="shared" si="38"/>
        <v>0</v>
      </c>
      <c r="F103">
        <f t="shared" si="71"/>
        <v>0</v>
      </c>
      <c r="G103">
        <f t="shared" si="71"/>
        <v>0</v>
      </c>
      <c r="H103">
        <f t="shared" si="72"/>
        <v>0</v>
      </c>
      <c r="I103">
        <f t="shared" si="72"/>
        <v>0</v>
      </c>
      <c r="J103">
        <f t="shared" si="67"/>
        <v>0</v>
      </c>
      <c r="K103">
        <f t="shared" si="67"/>
        <v>0</v>
      </c>
      <c r="L103">
        <f t="shared" si="67"/>
        <v>0</v>
      </c>
      <c r="M103">
        <f t="shared" si="67"/>
        <v>0</v>
      </c>
      <c r="N103">
        <f t="shared" si="67"/>
        <v>0</v>
      </c>
      <c r="O103">
        <f t="shared" si="67"/>
        <v>0</v>
      </c>
      <c r="P103">
        <f t="shared" si="62"/>
        <v>12.3</v>
      </c>
      <c r="Q103">
        <f t="shared" si="68"/>
        <v>0</v>
      </c>
      <c r="R103">
        <f t="shared" si="68"/>
        <v>0</v>
      </c>
      <c r="S103">
        <f t="shared" si="68"/>
        <v>0</v>
      </c>
      <c r="T103">
        <f t="shared" si="68"/>
        <v>0</v>
      </c>
      <c r="U103">
        <f t="shared" si="68"/>
        <v>0</v>
      </c>
      <c r="V103">
        <f t="shared" si="68"/>
        <v>0</v>
      </c>
      <c r="W103">
        <f t="shared" si="68"/>
        <v>0</v>
      </c>
      <c r="X103">
        <f t="shared" si="68"/>
        <v>0</v>
      </c>
      <c r="Y103">
        <f t="shared" si="68"/>
        <v>0</v>
      </c>
      <c r="Z103">
        <f t="shared" si="73"/>
        <v>0</v>
      </c>
      <c r="AA103">
        <f t="shared" si="73"/>
        <v>0</v>
      </c>
      <c r="AB103">
        <f t="shared" si="73"/>
        <v>0</v>
      </c>
      <c r="AC103">
        <f t="shared" si="73"/>
        <v>0</v>
      </c>
      <c r="AD103">
        <f t="shared" si="73"/>
        <v>0</v>
      </c>
      <c r="AE103">
        <f>D103-AR103</f>
        <v>12.3</v>
      </c>
      <c r="AF103">
        <f>AW51</f>
        <v>0</v>
      </c>
      <c r="AG103">
        <f t="shared" si="69"/>
        <v>0</v>
      </c>
      <c r="AH103">
        <f t="shared" si="69"/>
        <v>0</v>
      </c>
      <c r="AI103">
        <f t="shared" si="69"/>
        <v>0</v>
      </c>
      <c r="AJ103">
        <f t="shared" si="69"/>
        <v>0</v>
      </c>
      <c r="AK103">
        <f t="shared" si="69"/>
        <v>0</v>
      </c>
      <c r="AL103">
        <f t="shared" si="69"/>
        <v>0</v>
      </c>
      <c r="AM103">
        <f t="shared" si="69"/>
        <v>0</v>
      </c>
      <c r="AN103">
        <f t="shared" si="69"/>
        <v>0</v>
      </c>
      <c r="AO103">
        <f t="shared" si="69"/>
        <v>0</v>
      </c>
      <c r="AP103">
        <f t="shared" si="69"/>
        <v>0</v>
      </c>
      <c r="AQ103">
        <f t="shared" si="69"/>
        <v>0</v>
      </c>
      <c r="AR103">
        <f>E103+Q103+R103+S103+T103+U103+V103+W103+X103+Y103+Z103+AA103+AB103+AC103+AD103+AF103+AG103+AH103+AI103+AJ103+AK103+AL103+AM103+AN103+AO103+AP103+AQ103</f>
        <v>0</v>
      </c>
      <c r="AS103">
        <f>D103+AE116-AR103</f>
        <v>31.69</v>
      </c>
    </row>
    <row r="104" spans="1:45" ht="37.5" customHeight="1">
      <c r="A104" t="s">
        <v>91</v>
      </c>
      <c r="B104" t="s">
        <v>92</v>
      </c>
      <c r="C104" t="s">
        <v>93</v>
      </c>
      <c r="D104">
        <f t="shared" si="70"/>
        <v>0</v>
      </c>
      <c r="E104">
        <f t="shared" si="38"/>
        <v>0</v>
      </c>
      <c r="F104">
        <f t="shared" si="71"/>
        <v>0</v>
      </c>
      <c r="G104">
        <f t="shared" si="71"/>
        <v>0</v>
      </c>
      <c r="H104">
        <f t="shared" si="72"/>
        <v>0</v>
      </c>
      <c r="I104">
        <f t="shared" si="72"/>
        <v>0</v>
      </c>
      <c r="J104">
        <f t="shared" si="67"/>
        <v>0</v>
      </c>
      <c r="K104">
        <f t="shared" si="67"/>
        <v>0</v>
      </c>
      <c r="L104">
        <f t="shared" si="67"/>
        <v>0</v>
      </c>
      <c r="M104">
        <f t="shared" si="67"/>
        <v>0</v>
      </c>
      <c r="N104">
        <f t="shared" si="67"/>
        <v>0</v>
      </c>
      <c r="O104">
        <f t="shared" si="67"/>
        <v>0</v>
      </c>
      <c r="P104">
        <f t="shared" si="62"/>
        <v>0</v>
      </c>
      <c r="Q104">
        <f t="shared" si="68"/>
        <v>0</v>
      </c>
      <c r="R104">
        <f t="shared" si="68"/>
        <v>0</v>
      </c>
      <c r="S104">
        <f t="shared" si="68"/>
        <v>0</v>
      </c>
      <c r="T104">
        <f t="shared" si="68"/>
        <v>0</v>
      </c>
      <c r="U104">
        <f t="shared" si="68"/>
        <v>0</v>
      </c>
      <c r="V104">
        <f t="shared" si="68"/>
        <v>0</v>
      </c>
      <c r="W104">
        <f t="shared" si="68"/>
        <v>0</v>
      </c>
      <c r="X104">
        <f t="shared" si="68"/>
        <v>0</v>
      </c>
      <c r="Y104">
        <f t="shared" si="68"/>
        <v>0</v>
      </c>
      <c r="Z104">
        <f t="shared" si="73"/>
        <v>0</v>
      </c>
      <c r="AA104">
        <f t="shared" si="73"/>
        <v>0</v>
      </c>
      <c r="AB104">
        <f t="shared" si="73"/>
        <v>0</v>
      </c>
      <c r="AC104">
        <f t="shared" si="73"/>
        <v>0</v>
      </c>
      <c r="AD104">
        <f t="shared" si="73"/>
        <v>0</v>
      </c>
      <c r="AE104">
        <f t="shared" si="73"/>
        <v>0</v>
      </c>
      <c r="AF104">
        <f>D104-AR104</f>
        <v>0</v>
      </c>
      <c r="AG104">
        <f>AX52</f>
        <v>0</v>
      </c>
      <c r="AH104">
        <f t="shared" si="69"/>
        <v>0</v>
      </c>
      <c r="AI104">
        <f t="shared" si="69"/>
        <v>0</v>
      </c>
      <c r="AJ104">
        <f t="shared" si="69"/>
        <v>0</v>
      </c>
      <c r="AK104">
        <f t="shared" si="69"/>
        <v>0</v>
      </c>
      <c r="AL104">
        <f t="shared" si="69"/>
        <v>0</v>
      </c>
      <c r="AM104">
        <f t="shared" si="69"/>
        <v>0</v>
      </c>
      <c r="AN104">
        <f t="shared" si="69"/>
        <v>0</v>
      </c>
      <c r="AO104">
        <f t="shared" si="69"/>
        <v>0</v>
      </c>
      <c r="AP104">
        <f t="shared" si="69"/>
        <v>0</v>
      </c>
      <c r="AQ104">
        <f t="shared" si="69"/>
        <v>0</v>
      </c>
      <c r="AR104">
        <f>E104+Q104+R104+S104+T104+U104+V104+W104+X104+Y104+Z104+AA104+AB104+AC104+AD104+AE104+AG104+AH104+AI104+AJ104+AK104+AL104+AM104+AN104+AO104+AP104+AQ104</f>
        <v>0</v>
      </c>
      <c r="AS104">
        <f>D104+AF116-AR104</f>
        <v>0</v>
      </c>
    </row>
    <row r="105" spans="1:45" ht="20.25" customHeight="1">
      <c r="A105" t="s">
        <v>94</v>
      </c>
      <c r="B105" t="s">
        <v>95</v>
      </c>
      <c r="C105" t="s">
        <v>96</v>
      </c>
      <c r="D105">
        <f t="shared" si="70"/>
        <v>0</v>
      </c>
      <c r="E105">
        <f t="shared" si="38"/>
        <v>0</v>
      </c>
      <c r="F105">
        <f t="shared" si="71"/>
        <v>0</v>
      </c>
      <c r="G105">
        <f t="shared" si="71"/>
        <v>0</v>
      </c>
      <c r="H105">
        <f t="shared" si="72"/>
        <v>0</v>
      </c>
      <c r="I105">
        <f t="shared" si="72"/>
        <v>0</v>
      </c>
      <c r="J105">
        <f t="shared" si="67"/>
        <v>0</v>
      </c>
      <c r="K105">
        <f t="shared" si="67"/>
        <v>0</v>
      </c>
      <c r="L105">
        <f t="shared" si="67"/>
        <v>0</v>
      </c>
      <c r="M105">
        <f t="shared" si="67"/>
        <v>0</v>
      </c>
      <c r="N105">
        <f t="shared" si="67"/>
        <v>0</v>
      </c>
      <c r="O105">
        <f t="shared" si="67"/>
        <v>0</v>
      </c>
      <c r="P105">
        <f t="shared" si="62"/>
        <v>0</v>
      </c>
      <c r="Q105">
        <f t="shared" si="68"/>
        <v>0</v>
      </c>
      <c r="R105">
        <f t="shared" si="68"/>
        <v>0</v>
      </c>
      <c r="S105">
        <f t="shared" si="68"/>
        <v>0</v>
      </c>
      <c r="T105">
        <f t="shared" si="68"/>
        <v>0</v>
      </c>
      <c r="U105">
        <f t="shared" si="68"/>
        <v>0</v>
      </c>
      <c r="V105">
        <f t="shared" si="68"/>
        <v>0</v>
      </c>
      <c r="W105">
        <f t="shared" si="68"/>
        <v>0</v>
      </c>
      <c r="X105">
        <f t="shared" si="68"/>
        <v>0</v>
      </c>
      <c r="Y105">
        <f t="shared" si="68"/>
        <v>0</v>
      </c>
      <c r="Z105">
        <f t="shared" si="73"/>
        <v>0</v>
      </c>
      <c r="AA105">
        <f t="shared" si="73"/>
        <v>0</v>
      </c>
      <c r="AB105">
        <f t="shared" si="73"/>
        <v>0</v>
      </c>
      <c r="AC105">
        <f t="shared" si="73"/>
        <v>0</v>
      </c>
      <c r="AD105">
        <f t="shared" si="73"/>
        <v>0</v>
      </c>
      <c r="AE105">
        <f t="shared" si="73"/>
        <v>0</v>
      </c>
      <c r="AF105">
        <f t="shared" si="73"/>
        <v>0</v>
      </c>
      <c r="AG105">
        <f>D105-AR105</f>
        <v>0</v>
      </c>
      <c r="AH105">
        <f>AY53</f>
        <v>0</v>
      </c>
      <c r="AI105">
        <f t="shared" si="69"/>
        <v>0</v>
      </c>
      <c r="AJ105">
        <f t="shared" si="69"/>
        <v>0</v>
      </c>
      <c r="AK105">
        <f t="shared" si="69"/>
        <v>0</v>
      </c>
      <c r="AL105">
        <f t="shared" si="69"/>
        <v>0</v>
      </c>
      <c r="AM105">
        <f t="shared" si="69"/>
        <v>0</v>
      </c>
      <c r="AN105">
        <f t="shared" si="69"/>
        <v>0</v>
      </c>
      <c r="AO105">
        <f t="shared" si="69"/>
        <v>0</v>
      </c>
      <c r="AP105">
        <f t="shared" si="69"/>
        <v>0</v>
      </c>
      <c r="AQ105">
        <f t="shared" si="69"/>
        <v>0</v>
      </c>
      <c r="AR105">
        <f>E105+Q105+R105+S105+T105+U105+V105+W105+X105+Y105+Z105+AA105+AB105+AC105+AD105+AE105+AF105+AH105+AI105+AJ105+AK105+AL105+AM105+AN105+AO105+AP105+AQ105</f>
        <v>0</v>
      </c>
      <c r="AS105">
        <f>D105+AG116-AR105</f>
        <v>0</v>
      </c>
    </row>
    <row r="106" spans="1:45" ht="20.25" customHeight="1">
      <c r="A106" t="s">
        <v>97</v>
      </c>
      <c r="B106" t="s">
        <v>98</v>
      </c>
      <c r="C106" t="s">
        <v>99</v>
      </c>
      <c r="D106">
        <f t="shared" si="70"/>
        <v>0</v>
      </c>
      <c r="E106">
        <f t="shared" si="38"/>
        <v>0</v>
      </c>
      <c r="F106">
        <f t="shared" si="71"/>
        <v>0</v>
      </c>
      <c r="G106">
        <f t="shared" si="71"/>
        <v>0</v>
      </c>
      <c r="H106">
        <f t="shared" si="72"/>
        <v>0</v>
      </c>
      <c r="I106">
        <f t="shared" si="72"/>
        <v>0</v>
      </c>
      <c r="J106">
        <f t="shared" si="67"/>
        <v>0</v>
      </c>
      <c r="K106">
        <f t="shared" si="67"/>
        <v>0</v>
      </c>
      <c r="L106">
        <f t="shared" si="67"/>
        <v>0</v>
      </c>
      <c r="M106">
        <f t="shared" si="67"/>
        <v>0</v>
      </c>
      <c r="N106">
        <f t="shared" si="67"/>
        <v>0</v>
      </c>
      <c r="O106">
        <f t="shared" si="67"/>
        <v>0</v>
      </c>
      <c r="P106">
        <f t="shared" si="62"/>
        <v>0</v>
      </c>
      <c r="Q106">
        <f t="shared" si="68"/>
        <v>0</v>
      </c>
      <c r="R106">
        <f t="shared" si="68"/>
        <v>0</v>
      </c>
      <c r="S106">
        <f t="shared" si="68"/>
        <v>0</v>
      </c>
      <c r="T106">
        <f t="shared" si="68"/>
        <v>0</v>
      </c>
      <c r="U106">
        <f t="shared" si="68"/>
        <v>0</v>
      </c>
      <c r="V106">
        <f t="shared" si="68"/>
        <v>0</v>
      </c>
      <c r="W106">
        <f t="shared" si="68"/>
        <v>0</v>
      </c>
      <c r="X106">
        <f t="shared" si="68"/>
        <v>0</v>
      </c>
      <c r="Y106">
        <f t="shared" si="68"/>
        <v>0</v>
      </c>
      <c r="Z106">
        <f t="shared" si="73"/>
        <v>0</v>
      </c>
      <c r="AA106">
        <f t="shared" si="73"/>
        <v>0</v>
      </c>
      <c r="AB106">
        <f t="shared" si="73"/>
        <v>0</v>
      </c>
      <c r="AC106">
        <f t="shared" si="73"/>
        <v>0</v>
      </c>
      <c r="AD106">
        <f t="shared" si="73"/>
        <v>0</v>
      </c>
      <c r="AE106">
        <f t="shared" si="73"/>
        <v>0</v>
      </c>
      <c r="AF106">
        <f t="shared" si="73"/>
        <v>0</v>
      </c>
      <c r="AG106">
        <f t="shared" si="73"/>
        <v>0</v>
      </c>
      <c r="AH106">
        <f>D106-AR106</f>
        <v>0</v>
      </c>
      <c r="AI106">
        <f>AZ54</f>
        <v>0</v>
      </c>
      <c r="AJ106">
        <f t="shared" si="69"/>
        <v>0</v>
      </c>
      <c r="AK106">
        <f t="shared" si="69"/>
        <v>0</v>
      </c>
      <c r="AL106">
        <f t="shared" si="69"/>
        <v>0</v>
      </c>
      <c r="AM106">
        <f t="shared" si="69"/>
        <v>0</v>
      </c>
      <c r="AN106">
        <f t="shared" si="69"/>
        <v>0</v>
      </c>
      <c r="AO106">
        <f t="shared" si="69"/>
        <v>0</v>
      </c>
      <c r="AP106">
        <f t="shared" si="69"/>
        <v>0</v>
      </c>
      <c r="AQ106">
        <f t="shared" si="69"/>
        <v>0</v>
      </c>
      <c r="AR106">
        <f>E106+Q106+R106+S106+T106+U106+V106+W106+X106+Y106+Z106+AA106+AB106+AC106+AD106+AE106+AF106+AG106+AI106+AJ106+AK106+AL106+AM106+AN106+AO106+AP106+AQ106</f>
        <v>0</v>
      </c>
      <c r="AS106">
        <f>D106+AH116-AR106</f>
        <v>0</v>
      </c>
    </row>
    <row r="107" spans="1:45" ht="31.5" customHeight="1">
      <c r="A107" t="s">
        <v>100</v>
      </c>
      <c r="B107" t="s">
        <v>134</v>
      </c>
      <c r="C107" t="s">
        <v>101</v>
      </c>
      <c r="D107">
        <f t="shared" si="70"/>
        <v>8.58</v>
      </c>
      <c r="E107">
        <f t="shared" si="38"/>
        <v>0</v>
      </c>
      <c r="F107">
        <f t="shared" si="71"/>
        <v>0</v>
      </c>
      <c r="G107">
        <f t="shared" si="71"/>
        <v>0</v>
      </c>
      <c r="H107">
        <f t="shared" si="72"/>
        <v>0</v>
      </c>
      <c r="I107">
        <f t="shared" si="72"/>
        <v>0</v>
      </c>
      <c r="J107">
        <f t="shared" si="67"/>
        <v>0</v>
      </c>
      <c r="K107">
        <f t="shared" si="67"/>
        <v>0</v>
      </c>
      <c r="L107">
        <f t="shared" si="67"/>
        <v>0</v>
      </c>
      <c r="M107">
        <f t="shared" si="67"/>
        <v>0</v>
      </c>
      <c r="N107">
        <f t="shared" si="67"/>
        <v>0</v>
      </c>
      <c r="O107">
        <f t="shared" si="67"/>
        <v>0</v>
      </c>
      <c r="P107">
        <f t="shared" si="62"/>
        <v>8.58</v>
      </c>
      <c r="Q107">
        <f t="shared" si="68"/>
        <v>0</v>
      </c>
      <c r="R107">
        <f t="shared" si="68"/>
        <v>0</v>
      </c>
      <c r="S107">
        <f t="shared" si="68"/>
        <v>0</v>
      </c>
      <c r="T107">
        <f t="shared" si="68"/>
        <v>0</v>
      </c>
      <c r="U107">
        <f t="shared" si="68"/>
        <v>0</v>
      </c>
      <c r="V107">
        <f t="shared" si="68"/>
        <v>0</v>
      </c>
      <c r="W107">
        <f t="shared" si="68"/>
        <v>0.1</v>
      </c>
      <c r="X107">
        <f t="shared" si="68"/>
        <v>0</v>
      </c>
      <c r="Y107">
        <f t="shared" si="68"/>
        <v>0.03</v>
      </c>
      <c r="Z107">
        <f t="shared" si="73"/>
        <v>0</v>
      </c>
      <c r="AA107">
        <f t="shared" si="73"/>
        <v>0</v>
      </c>
      <c r="AB107">
        <f t="shared" si="73"/>
        <v>0</v>
      </c>
      <c r="AC107">
        <f t="shared" si="73"/>
        <v>0</v>
      </c>
      <c r="AD107">
        <f t="shared" si="73"/>
        <v>0</v>
      </c>
      <c r="AE107">
        <f t="shared" si="73"/>
        <v>0.01</v>
      </c>
      <c r="AF107">
        <f t="shared" si="73"/>
        <v>0</v>
      </c>
      <c r="AG107">
        <f t="shared" si="73"/>
        <v>0</v>
      </c>
      <c r="AH107">
        <f t="shared" si="73"/>
        <v>0</v>
      </c>
      <c r="AI107">
        <f>D107-AR107</f>
        <v>8.44</v>
      </c>
      <c r="AJ107">
        <f>BA55</f>
        <v>0</v>
      </c>
      <c r="AK107">
        <f t="shared" si="69"/>
        <v>0</v>
      </c>
      <c r="AL107">
        <f t="shared" si="69"/>
        <v>0</v>
      </c>
      <c r="AM107">
        <f t="shared" si="69"/>
        <v>0</v>
      </c>
      <c r="AN107">
        <f t="shared" si="69"/>
        <v>0</v>
      </c>
      <c r="AO107">
        <f t="shared" si="69"/>
        <v>0</v>
      </c>
      <c r="AP107">
        <f t="shared" si="69"/>
        <v>0</v>
      </c>
      <c r="AQ107">
        <f t="shared" si="69"/>
        <v>0</v>
      </c>
      <c r="AR107">
        <f>E107+Q107+R107+S107+T107+U107+V107+W107+X107+Y107+Z107+AA107+AB107+AC107+AD107+AE107+AF107+AG107+AH107+AJ107+AK107+AL107+AM107+AN107+AO107+AP107+AQ107</f>
        <v>0.14000000000000001</v>
      </c>
      <c r="AS107">
        <f>D107+AI116-AR107</f>
        <v>8.44</v>
      </c>
    </row>
    <row r="108" spans="1:45" ht="20.25" customHeight="1">
      <c r="A108" t="s">
        <v>102</v>
      </c>
      <c r="B108" t="s">
        <v>103</v>
      </c>
      <c r="C108" t="s">
        <v>104</v>
      </c>
      <c r="D108">
        <f t="shared" si="70"/>
        <v>0</v>
      </c>
      <c r="E108">
        <f t="shared" si="38"/>
        <v>0</v>
      </c>
      <c r="F108">
        <f t="shared" si="71"/>
        <v>0</v>
      </c>
      <c r="G108">
        <f t="shared" si="71"/>
        <v>0</v>
      </c>
      <c r="H108">
        <f t="shared" si="72"/>
        <v>0</v>
      </c>
      <c r="I108">
        <f t="shared" si="72"/>
        <v>0</v>
      </c>
      <c r="J108">
        <f t="shared" si="67"/>
        <v>0</v>
      </c>
      <c r="K108">
        <f t="shared" si="67"/>
        <v>0</v>
      </c>
      <c r="L108">
        <f t="shared" si="67"/>
        <v>0</v>
      </c>
      <c r="M108">
        <f t="shared" si="67"/>
        <v>0</v>
      </c>
      <c r="N108">
        <f t="shared" si="67"/>
        <v>0</v>
      </c>
      <c r="O108">
        <f t="shared" si="67"/>
        <v>0</v>
      </c>
      <c r="P108">
        <f t="shared" si="62"/>
        <v>0</v>
      </c>
      <c r="Q108">
        <f t="shared" si="68"/>
        <v>0</v>
      </c>
      <c r="R108">
        <f t="shared" si="68"/>
        <v>0</v>
      </c>
      <c r="S108">
        <f t="shared" si="68"/>
        <v>0</v>
      </c>
      <c r="T108">
        <f t="shared" si="68"/>
        <v>0</v>
      </c>
      <c r="U108">
        <f t="shared" si="68"/>
        <v>0</v>
      </c>
      <c r="V108">
        <f t="shared" si="68"/>
        <v>0</v>
      </c>
      <c r="W108">
        <f t="shared" si="68"/>
        <v>0</v>
      </c>
      <c r="X108">
        <f t="shared" si="68"/>
        <v>0</v>
      </c>
      <c r="Y108">
        <f t="shared" si="68"/>
        <v>0</v>
      </c>
      <c r="Z108">
        <f t="shared" si="73"/>
        <v>0</v>
      </c>
      <c r="AA108">
        <f t="shared" si="73"/>
        <v>0</v>
      </c>
      <c r="AB108">
        <f t="shared" si="73"/>
        <v>0</v>
      </c>
      <c r="AC108">
        <f t="shared" si="73"/>
        <v>0</v>
      </c>
      <c r="AD108">
        <f t="shared" si="73"/>
        <v>0</v>
      </c>
      <c r="AE108">
        <f t="shared" si="73"/>
        <v>0</v>
      </c>
      <c r="AF108">
        <f t="shared" si="73"/>
        <v>0</v>
      </c>
      <c r="AG108">
        <f t="shared" si="73"/>
        <v>0</v>
      </c>
      <c r="AH108">
        <f t="shared" si="73"/>
        <v>0</v>
      </c>
      <c r="AI108">
        <f t="shared" si="73"/>
        <v>0</v>
      </c>
      <c r="AJ108">
        <f>D108-AR108</f>
        <v>0</v>
      </c>
      <c r="AK108">
        <f>BB56</f>
        <v>0</v>
      </c>
      <c r="AL108">
        <f t="shared" si="69"/>
        <v>0</v>
      </c>
      <c r="AM108">
        <f t="shared" si="69"/>
        <v>0</v>
      </c>
      <c r="AN108">
        <f t="shared" si="69"/>
        <v>0</v>
      </c>
      <c r="AO108">
        <f t="shared" si="69"/>
        <v>0</v>
      </c>
      <c r="AP108">
        <f t="shared" si="69"/>
        <v>0</v>
      </c>
      <c r="AQ108">
        <f t="shared" si="69"/>
        <v>0</v>
      </c>
      <c r="AR108">
        <f>E108+Q108+R108+S108+T108+U108+V108+W108+X108+Y108+Z108+AA108+AB108+AC108+AD108+AE108+AF108+AG108+AH108+AI108+AK108+AL108+AM108+AN108+AO108+AP108+AQ108</f>
        <v>0</v>
      </c>
      <c r="AS108">
        <f>D108+AJ116-AR108</f>
        <v>0</v>
      </c>
    </row>
    <row r="109" spans="1:45" ht="20.25" customHeight="1">
      <c r="A109" t="s">
        <v>105</v>
      </c>
      <c r="B109" t="s">
        <v>106</v>
      </c>
      <c r="C109" t="s">
        <v>107</v>
      </c>
      <c r="D109">
        <f t="shared" si="70"/>
        <v>2.2999999999999998</v>
      </c>
      <c r="E109">
        <f t="shared" si="38"/>
        <v>0</v>
      </c>
      <c r="F109">
        <f t="shared" si="71"/>
        <v>0</v>
      </c>
      <c r="G109">
        <f t="shared" si="71"/>
        <v>0</v>
      </c>
      <c r="H109">
        <f t="shared" si="72"/>
        <v>0</v>
      </c>
      <c r="I109">
        <f t="shared" si="72"/>
        <v>0</v>
      </c>
      <c r="J109">
        <f t="shared" si="67"/>
        <v>0</v>
      </c>
      <c r="K109">
        <f t="shared" si="67"/>
        <v>0</v>
      </c>
      <c r="L109">
        <f t="shared" si="67"/>
        <v>0</v>
      </c>
      <c r="M109">
        <f t="shared" si="67"/>
        <v>0</v>
      </c>
      <c r="N109">
        <f t="shared" si="67"/>
        <v>0</v>
      </c>
      <c r="O109">
        <f t="shared" si="67"/>
        <v>0</v>
      </c>
      <c r="P109">
        <f t="shared" si="62"/>
        <v>2.2999999999999998</v>
      </c>
      <c r="Q109">
        <f t="shared" si="68"/>
        <v>0</v>
      </c>
      <c r="R109">
        <f t="shared" si="68"/>
        <v>0</v>
      </c>
      <c r="S109">
        <f t="shared" si="68"/>
        <v>0</v>
      </c>
      <c r="T109">
        <f t="shared" si="68"/>
        <v>0</v>
      </c>
      <c r="U109">
        <f t="shared" si="68"/>
        <v>0.35</v>
      </c>
      <c r="V109">
        <f t="shared" si="68"/>
        <v>0</v>
      </c>
      <c r="W109">
        <f t="shared" si="68"/>
        <v>0</v>
      </c>
      <c r="X109">
        <f t="shared" si="68"/>
        <v>0</v>
      </c>
      <c r="Y109">
        <f t="shared" si="68"/>
        <v>0</v>
      </c>
      <c r="Z109">
        <f t="shared" si="73"/>
        <v>0</v>
      </c>
      <c r="AA109">
        <f t="shared" si="73"/>
        <v>0</v>
      </c>
      <c r="AB109">
        <f t="shared" si="73"/>
        <v>0</v>
      </c>
      <c r="AC109">
        <f t="shared" si="73"/>
        <v>0</v>
      </c>
      <c r="AD109">
        <f t="shared" si="73"/>
        <v>0</v>
      </c>
      <c r="AE109">
        <f t="shared" si="73"/>
        <v>0.19</v>
      </c>
      <c r="AF109">
        <f t="shared" si="73"/>
        <v>0</v>
      </c>
      <c r="AG109">
        <f t="shared" si="73"/>
        <v>0</v>
      </c>
      <c r="AH109">
        <f t="shared" si="73"/>
        <v>0</v>
      </c>
      <c r="AI109">
        <f t="shared" si="73"/>
        <v>0</v>
      </c>
      <c r="AJ109">
        <f t="shared" si="73"/>
        <v>0</v>
      </c>
      <c r="AK109">
        <f>D109-AR109</f>
        <v>1.7599999999999998</v>
      </c>
      <c r="AL109">
        <f t="shared" si="69"/>
        <v>0</v>
      </c>
      <c r="AM109">
        <f t="shared" si="69"/>
        <v>0</v>
      </c>
      <c r="AN109">
        <f t="shared" si="69"/>
        <v>0</v>
      </c>
      <c r="AO109">
        <f t="shared" si="69"/>
        <v>0</v>
      </c>
      <c r="AP109">
        <f t="shared" si="69"/>
        <v>0</v>
      </c>
      <c r="AQ109">
        <f t="shared" si="69"/>
        <v>0</v>
      </c>
      <c r="AR109">
        <f>E109+Q109+R109+S109+T109+U109+V109+W109+X109+Y109+Z109+AA109+AB109+AC109+AD109+AE109+AF109+AG109+AH109+AI109+AJ109+AL109+AM109+AN109+AO109+AP109+AQ109</f>
        <v>0.54</v>
      </c>
      <c r="AS109">
        <f>D109+AK116-AR109</f>
        <v>1.7599999999999998</v>
      </c>
    </row>
    <row r="110" spans="1:45" ht="20.25" customHeight="1">
      <c r="A110" t="s">
        <v>108</v>
      </c>
      <c r="B110" t="s">
        <v>109</v>
      </c>
      <c r="C110" t="s">
        <v>110</v>
      </c>
      <c r="D110">
        <f t="shared" si="70"/>
        <v>0</v>
      </c>
      <c r="E110">
        <f t="shared" si="38"/>
        <v>0</v>
      </c>
      <c r="F110">
        <f t="shared" si="71"/>
        <v>0</v>
      </c>
      <c r="G110">
        <f t="shared" si="71"/>
        <v>0</v>
      </c>
      <c r="H110">
        <f t="shared" si="72"/>
        <v>0</v>
      </c>
      <c r="I110">
        <f t="shared" si="72"/>
        <v>0</v>
      </c>
      <c r="J110">
        <f t="shared" si="67"/>
        <v>0</v>
      </c>
      <c r="K110">
        <f t="shared" si="67"/>
        <v>0</v>
      </c>
      <c r="L110">
        <f t="shared" si="67"/>
        <v>0</v>
      </c>
      <c r="M110">
        <f t="shared" si="67"/>
        <v>0</v>
      </c>
      <c r="N110">
        <f t="shared" si="67"/>
        <v>0</v>
      </c>
      <c r="O110">
        <f t="shared" si="67"/>
        <v>0</v>
      </c>
      <c r="P110">
        <f t="shared" si="62"/>
        <v>0</v>
      </c>
      <c r="Q110">
        <f t="shared" si="68"/>
        <v>0</v>
      </c>
      <c r="R110">
        <f t="shared" si="68"/>
        <v>0</v>
      </c>
      <c r="S110">
        <f t="shared" si="68"/>
        <v>0</v>
      </c>
      <c r="T110">
        <f t="shared" si="68"/>
        <v>0</v>
      </c>
      <c r="U110">
        <f t="shared" si="68"/>
        <v>0</v>
      </c>
      <c r="V110">
        <f t="shared" si="68"/>
        <v>0</v>
      </c>
      <c r="W110">
        <f t="shared" si="68"/>
        <v>0</v>
      </c>
      <c r="X110">
        <f t="shared" si="68"/>
        <v>0</v>
      </c>
      <c r="Y110">
        <f t="shared" si="68"/>
        <v>0</v>
      </c>
      <c r="Z110">
        <f t="shared" si="73"/>
        <v>0</v>
      </c>
      <c r="AA110">
        <f t="shared" si="73"/>
        <v>0</v>
      </c>
      <c r="AB110">
        <f t="shared" si="73"/>
        <v>0</v>
      </c>
      <c r="AC110">
        <f t="shared" si="73"/>
        <v>0</v>
      </c>
      <c r="AD110">
        <f t="shared" si="73"/>
        <v>0</v>
      </c>
      <c r="AE110">
        <f t="shared" si="73"/>
        <v>0</v>
      </c>
      <c r="AF110">
        <f t="shared" si="73"/>
        <v>0</v>
      </c>
      <c r="AG110">
        <f t="shared" si="73"/>
        <v>0</v>
      </c>
      <c r="AH110">
        <f t="shared" si="73"/>
        <v>0</v>
      </c>
      <c r="AI110">
        <f t="shared" si="73"/>
        <v>0</v>
      </c>
      <c r="AJ110">
        <f t="shared" si="73"/>
        <v>0</v>
      </c>
      <c r="AK110">
        <f t="shared" si="73"/>
        <v>0</v>
      </c>
      <c r="AL110">
        <f>D110-AR110</f>
        <v>0</v>
      </c>
      <c r="AM110">
        <f>BD58</f>
        <v>0</v>
      </c>
      <c r="AN110">
        <f>BE58</f>
        <v>0</v>
      </c>
      <c r="AO110">
        <f>BF58</f>
        <v>0</v>
      </c>
      <c r="AP110">
        <f>BG58</f>
        <v>0</v>
      </c>
      <c r="AQ110">
        <f>BH58</f>
        <v>0</v>
      </c>
      <c r="AR110">
        <f>E110+Q110+R110+S110+T110+U110+V110+W110+X110+Y110+Z110+AA110+AB110+AC110+AD110+AE110+AF110+AG110+AH110+AI110+AJ110+AK110+AM110+AN110+AO110+AP110+AQ110</f>
        <v>0</v>
      </c>
      <c r="AS110">
        <f>D110+AL116-AR110</f>
        <v>9.02</v>
      </c>
    </row>
    <row r="111" spans="1:45" ht="20.25" customHeight="1">
      <c r="A111" t="s">
        <v>111</v>
      </c>
      <c r="B111" t="s">
        <v>112</v>
      </c>
      <c r="C111" t="s">
        <v>113</v>
      </c>
      <c r="D111">
        <f t="shared" si="70"/>
        <v>0.54</v>
      </c>
      <c r="E111">
        <f t="shared" si="38"/>
        <v>0</v>
      </c>
      <c r="F111">
        <f t="shared" si="71"/>
        <v>0</v>
      </c>
      <c r="G111">
        <f t="shared" si="71"/>
        <v>0</v>
      </c>
      <c r="H111">
        <f t="shared" si="72"/>
        <v>0</v>
      </c>
      <c r="I111">
        <f t="shared" si="72"/>
        <v>0</v>
      </c>
      <c r="J111">
        <f t="shared" si="67"/>
        <v>0</v>
      </c>
      <c r="K111">
        <f t="shared" si="67"/>
        <v>0</v>
      </c>
      <c r="L111">
        <f t="shared" si="67"/>
        <v>0</v>
      </c>
      <c r="M111">
        <f t="shared" si="67"/>
        <v>0</v>
      </c>
      <c r="N111">
        <f t="shared" si="67"/>
        <v>0</v>
      </c>
      <c r="O111">
        <f t="shared" si="67"/>
        <v>0</v>
      </c>
      <c r="P111">
        <f t="shared" si="62"/>
        <v>0.54</v>
      </c>
      <c r="Q111">
        <f t="shared" si="68"/>
        <v>0</v>
      </c>
      <c r="R111">
        <f t="shared" si="68"/>
        <v>0</v>
      </c>
      <c r="S111">
        <f t="shared" si="68"/>
        <v>0</v>
      </c>
      <c r="T111">
        <f t="shared" si="68"/>
        <v>0</v>
      </c>
      <c r="U111">
        <f t="shared" si="68"/>
        <v>0.09</v>
      </c>
      <c r="V111">
        <f t="shared" si="68"/>
        <v>0</v>
      </c>
      <c r="W111">
        <f t="shared" si="68"/>
        <v>0</v>
      </c>
      <c r="X111">
        <f t="shared" si="68"/>
        <v>0</v>
      </c>
      <c r="Y111">
        <f t="shared" si="68"/>
        <v>0</v>
      </c>
      <c r="Z111">
        <f t="shared" si="73"/>
        <v>0</v>
      </c>
      <c r="AA111">
        <f t="shared" si="73"/>
        <v>0</v>
      </c>
      <c r="AB111">
        <f t="shared" si="73"/>
        <v>0</v>
      </c>
      <c r="AC111">
        <f t="shared" si="73"/>
        <v>0</v>
      </c>
      <c r="AD111">
        <f t="shared" si="73"/>
        <v>0</v>
      </c>
      <c r="AE111">
        <f t="shared" si="73"/>
        <v>0</v>
      </c>
      <c r="AF111">
        <f t="shared" si="73"/>
        <v>0</v>
      </c>
      <c r="AG111">
        <f t="shared" si="73"/>
        <v>0</v>
      </c>
      <c r="AH111">
        <f t="shared" si="73"/>
        <v>0</v>
      </c>
      <c r="AI111">
        <f t="shared" si="73"/>
        <v>0</v>
      </c>
      <c r="AJ111">
        <f t="shared" si="73"/>
        <v>0</v>
      </c>
      <c r="AK111">
        <f t="shared" si="73"/>
        <v>0</v>
      </c>
      <c r="AL111">
        <f>BC59</f>
        <v>0</v>
      </c>
      <c r="AM111">
        <f>D111-AR111</f>
        <v>0.45000000000000007</v>
      </c>
      <c r="AN111">
        <f>BE59</f>
        <v>0</v>
      </c>
      <c r="AO111">
        <f>BF59</f>
        <v>0</v>
      </c>
      <c r="AP111">
        <f>BG59</f>
        <v>0</v>
      </c>
      <c r="AQ111">
        <f>BH59</f>
        <v>0</v>
      </c>
      <c r="AR111">
        <f>E111+Q111+R111+S111+T111+U111+V111+W111+X111+Y111+Z111+AA111+AB111+AC111+AD111+AE111+AF111+AG111+AH111+AI111+AJ111+AK111+AL111+AN111+AO111+AP111+AQ111</f>
        <v>0.09</v>
      </c>
      <c r="AS111">
        <f>D111+AM116-AR111</f>
        <v>0.45000000000000007</v>
      </c>
    </row>
    <row r="112" spans="1:45" ht="20.25" customHeight="1">
      <c r="A112" t="s">
        <v>114</v>
      </c>
      <c r="B112" t="s">
        <v>115</v>
      </c>
      <c r="C112" t="s">
        <v>116</v>
      </c>
      <c r="D112">
        <f t="shared" si="70"/>
        <v>689.36</v>
      </c>
      <c r="E112">
        <f t="shared" si="38"/>
        <v>0</v>
      </c>
      <c r="F112">
        <f t="shared" si="71"/>
        <v>0</v>
      </c>
      <c r="G112">
        <f t="shared" si="71"/>
        <v>0</v>
      </c>
      <c r="H112">
        <f t="shared" si="72"/>
        <v>0</v>
      </c>
      <c r="I112">
        <f t="shared" si="72"/>
        <v>0</v>
      </c>
      <c r="J112">
        <f t="shared" si="67"/>
        <v>0</v>
      </c>
      <c r="K112">
        <f t="shared" si="67"/>
        <v>0</v>
      </c>
      <c r="L112">
        <f t="shared" si="67"/>
        <v>0</v>
      </c>
      <c r="M112">
        <f t="shared" si="67"/>
        <v>0</v>
      </c>
      <c r="N112">
        <f t="shared" si="67"/>
        <v>0</v>
      </c>
      <c r="O112">
        <f t="shared" si="67"/>
        <v>0</v>
      </c>
      <c r="P112">
        <f t="shared" si="62"/>
        <v>689.36</v>
      </c>
      <c r="Q112">
        <f t="shared" si="68"/>
        <v>0</v>
      </c>
      <c r="R112">
        <f t="shared" si="68"/>
        <v>0</v>
      </c>
      <c r="S112">
        <f t="shared" si="68"/>
        <v>0</v>
      </c>
      <c r="T112">
        <f t="shared" si="68"/>
        <v>0</v>
      </c>
      <c r="U112">
        <f t="shared" si="68"/>
        <v>1.21</v>
      </c>
      <c r="V112">
        <f t="shared" si="68"/>
        <v>0</v>
      </c>
      <c r="W112">
        <f t="shared" si="68"/>
        <v>0</v>
      </c>
      <c r="X112">
        <f t="shared" si="68"/>
        <v>0</v>
      </c>
      <c r="Y112">
        <f t="shared" si="68"/>
        <v>0</v>
      </c>
      <c r="Z112">
        <f t="shared" si="73"/>
        <v>0</v>
      </c>
      <c r="AA112">
        <f t="shared" si="73"/>
        <v>0</v>
      </c>
      <c r="AB112">
        <f t="shared" si="73"/>
        <v>0</v>
      </c>
      <c r="AC112">
        <f t="shared" si="73"/>
        <v>0</v>
      </c>
      <c r="AD112">
        <f t="shared" si="73"/>
        <v>0</v>
      </c>
      <c r="AE112">
        <f t="shared" si="73"/>
        <v>0</v>
      </c>
      <c r="AF112">
        <f t="shared" si="73"/>
        <v>0</v>
      </c>
      <c r="AG112">
        <f t="shared" si="73"/>
        <v>0</v>
      </c>
      <c r="AH112">
        <f t="shared" si="73"/>
        <v>0</v>
      </c>
      <c r="AI112">
        <f t="shared" si="73"/>
        <v>0</v>
      </c>
      <c r="AJ112">
        <f t="shared" si="73"/>
        <v>0</v>
      </c>
      <c r="AK112">
        <f t="shared" si="73"/>
        <v>0</v>
      </c>
      <c r="AL112">
        <f>BC60</f>
        <v>0</v>
      </c>
      <c r="AM112">
        <f>BD60</f>
        <v>0</v>
      </c>
      <c r="AN112">
        <f>D112-AR112</f>
        <v>688.15</v>
      </c>
      <c r="AO112">
        <f>BF60</f>
        <v>0</v>
      </c>
      <c r="AP112">
        <f>BG60</f>
        <v>0</v>
      </c>
      <c r="AQ112">
        <f>BH60</f>
        <v>0</v>
      </c>
      <c r="AR112">
        <f>E112+Q112+R112+S112+T112+U112+V112+W112+X112+Y112+Z112+AA112+AB112+AC112+AD112+AE112+AF112+AG112+AH112+AI112+AJ112+AK112+AL112+AM112+AO112+AP112+AQ112</f>
        <v>1.21</v>
      </c>
      <c r="AS112">
        <f>D112+AN116-AR112</f>
        <v>688.15</v>
      </c>
    </row>
    <row r="113" spans="1:45" ht="20.25" customHeight="1">
      <c r="A113" t="s">
        <v>117</v>
      </c>
      <c r="B113" t="s">
        <v>118</v>
      </c>
      <c r="C113" t="s">
        <v>119</v>
      </c>
      <c r="D113">
        <f t="shared" si="70"/>
        <v>0</v>
      </c>
      <c r="E113">
        <f t="shared" si="38"/>
        <v>0</v>
      </c>
      <c r="F113">
        <f t="shared" si="71"/>
        <v>0</v>
      </c>
      <c r="G113">
        <f t="shared" si="71"/>
        <v>0</v>
      </c>
      <c r="H113">
        <f t="shared" si="72"/>
        <v>0</v>
      </c>
      <c r="I113">
        <f t="shared" si="72"/>
        <v>0</v>
      </c>
      <c r="J113">
        <f t="shared" si="67"/>
        <v>0</v>
      </c>
      <c r="K113">
        <f t="shared" si="67"/>
        <v>0</v>
      </c>
      <c r="L113">
        <f t="shared" si="67"/>
        <v>0</v>
      </c>
      <c r="M113">
        <f t="shared" si="67"/>
        <v>0</v>
      </c>
      <c r="N113">
        <f t="shared" si="67"/>
        <v>0</v>
      </c>
      <c r="O113">
        <f t="shared" si="67"/>
        <v>0</v>
      </c>
      <c r="P113">
        <f t="shared" si="62"/>
        <v>0</v>
      </c>
      <c r="Q113">
        <f t="shared" si="68"/>
        <v>0</v>
      </c>
      <c r="R113">
        <f t="shared" si="68"/>
        <v>0</v>
      </c>
      <c r="S113">
        <f t="shared" si="68"/>
        <v>0</v>
      </c>
      <c r="T113">
        <f t="shared" si="68"/>
        <v>0</v>
      </c>
      <c r="U113">
        <f t="shared" si="68"/>
        <v>0</v>
      </c>
      <c r="V113">
        <f t="shared" si="68"/>
        <v>0</v>
      </c>
      <c r="W113">
        <f t="shared" si="68"/>
        <v>0</v>
      </c>
      <c r="X113">
        <f t="shared" si="68"/>
        <v>0</v>
      </c>
      <c r="Y113">
        <f t="shared" si="68"/>
        <v>0</v>
      </c>
      <c r="Z113">
        <f t="shared" si="73"/>
        <v>0</v>
      </c>
      <c r="AA113">
        <f t="shared" si="73"/>
        <v>0</v>
      </c>
      <c r="AB113">
        <f t="shared" si="73"/>
        <v>0</v>
      </c>
      <c r="AC113">
        <f t="shared" si="73"/>
        <v>0</v>
      </c>
      <c r="AD113">
        <f t="shared" si="73"/>
        <v>0</v>
      </c>
      <c r="AE113">
        <f t="shared" si="73"/>
        <v>0</v>
      </c>
      <c r="AF113">
        <f t="shared" si="73"/>
        <v>0</v>
      </c>
      <c r="AG113">
        <f t="shared" si="73"/>
        <v>0</v>
      </c>
      <c r="AH113">
        <f t="shared" si="73"/>
        <v>0</v>
      </c>
      <c r="AI113">
        <f t="shared" si="73"/>
        <v>0</v>
      </c>
      <c r="AJ113">
        <f t="shared" si="73"/>
        <v>0</v>
      </c>
      <c r="AK113">
        <f t="shared" si="73"/>
        <v>0</v>
      </c>
      <c r="AL113">
        <f>BC61</f>
        <v>0</v>
      </c>
      <c r="AM113">
        <f>BD61</f>
        <v>0</v>
      </c>
      <c r="AN113">
        <f>BE61</f>
        <v>0</v>
      </c>
      <c r="AO113">
        <f>D113-AR113</f>
        <v>0</v>
      </c>
      <c r="AP113">
        <f>BG61</f>
        <v>0</v>
      </c>
      <c r="AQ113">
        <f>BH61</f>
        <v>0</v>
      </c>
      <c r="AR113">
        <f>E113+Q113+R113+S113+T113+U113+V113+W113+X113+Y113+Z113+AA113+AB113+AC113+AD113+AE113+AF113+AG113+AH113+AI113+AJ113+AK113+AL113+AM113+AN113+AP113+AQ113</f>
        <v>0</v>
      </c>
      <c r="AS113">
        <f>D113+AO116-AR113</f>
        <v>0</v>
      </c>
    </row>
    <row r="114" spans="1:45" ht="20.25" customHeight="1">
      <c r="A114" t="s">
        <v>120</v>
      </c>
      <c r="B114" t="s">
        <v>121</v>
      </c>
      <c r="C114" t="s">
        <v>122</v>
      </c>
      <c r="D114">
        <f t="shared" si="70"/>
        <v>0</v>
      </c>
      <c r="E114">
        <f t="shared" si="38"/>
        <v>0</v>
      </c>
      <c r="F114">
        <f t="shared" si="71"/>
        <v>0</v>
      </c>
      <c r="G114">
        <f t="shared" si="71"/>
        <v>0</v>
      </c>
      <c r="H114">
        <f t="shared" si="72"/>
        <v>0</v>
      </c>
      <c r="I114">
        <f t="shared" si="72"/>
        <v>0</v>
      </c>
      <c r="J114">
        <f t="shared" ref="J114:O115" si="74">P62</f>
        <v>0</v>
      </c>
      <c r="K114">
        <f t="shared" si="74"/>
        <v>0</v>
      </c>
      <c r="L114">
        <f t="shared" si="74"/>
        <v>0</v>
      </c>
      <c r="M114">
        <f t="shared" si="74"/>
        <v>0</v>
      </c>
      <c r="N114">
        <f t="shared" si="74"/>
        <v>0</v>
      </c>
      <c r="O114">
        <f t="shared" si="74"/>
        <v>0</v>
      </c>
      <c r="P114">
        <f t="shared" si="62"/>
        <v>0</v>
      </c>
      <c r="Q114">
        <f t="shared" ref="Q114:Y115" si="75">W62</f>
        <v>0</v>
      </c>
      <c r="R114">
        <f t="shared" si="75"/>
        <v>0</v>
      </c>
      <c r="S114">
        <f t="shared" si="75"/>
        <v>0</v>
      </c>
      <c r="T114">
        <f t="shared" si="75"/>
        <v>0</v>
      </c>
      <c r="U114">
        <f t="shared" si="75"/>
        <v>0</v>
      </c>
      <c r="V114">
        <f t="shared" si="75"/>
        <v>0</v>
      </c>
      <c r="W114">
        <f t="shared" si="75"/>
        <v>0</v>
      </c>
      <c r="X114">
        <f t="shared" si="75"/>
        <v>0</v>
      </c>
      <c r="Y114">
        <f t="shared" si="75"/>
        <v>0</v>
      </c>
      <c r="Z114">
        <f t="shared" si="73"/>
        <v>0</v>
      </c>
      <c r="AA114">
        <f t="shared" si="73"/>
        <v>0</v>
      </c>
      <c r="AB114">
        <f t="shared" si="73"/>
        <v>0</v>
      </c>
      <c r="AC114">
        <f t="shared" si="73"/>
        <v>0</v>
      </c>
      <c r="AD114">
        <f t="shared" si="73"/>
        <v>0</v>
      </c>
      <c r="AE114">
        <f t="shared" si="73"/>
        <v>0</v>
      </c>
      <c r="AF114">
        <f t="shared" si="73"/>
        <v>0</v>
      </c>
      <c r="AG114">
        <f t="shared" si="73"/>
        <v>0</v>
      </c>
      <c r="AH114">
        <f t="shared" si="73"/>
        <v>0</v>
      </c>
      <c r="AI114">
        <f t="shared" si="73"/>
        <v>0</v>
      </c>
      <c r="AJ114">
        <f t="shared" si="73"/>
        <v>0</v>
      </c>
      <c r="AK114">
        <f t="shared" si="73"/>
        <v>0</v>
      </c>
      <c r="AL114">
        <f>BC62</f>
        <v>0</v>
      </c>
      <c r="AM114">
        <f>BD62</f>
        <v>0</v>
      </c>
      <c r="AN114">
        <f>BE62</f>
        <v>0</v>
      </c>
      <c r="AO114">
        <f>BF62</f>
        <v>0</v>
      </c>
      <c r="AP114">
        <f>D114-AR114</f>
        <v>0</v>
      </c>
      <c r="AQ114">
        <f>BH62</f>
        <v>0</v>
      </c>
      <c r="AR114">
        <f>E114+Q114+R114+S114+T114+U114+V114+W114+X114+Y114+Z114+AA114+AB114+AC114+AD114+AE114+AF114+AG114+AH114+AI114+AJ114+AK114+AL114+AM114+AN114+AO114+AQ114</f>
        <v>0</v>
      </c>
      <c r="AS114">
        <f>D114+AP116-AR114</f>
        <v>0</v>
      </c>
    </row>
    <row r="115" spans="1:45" ht="20.25" customHeight="1">
      <c r="A115">
        <v>3</v>
      </c>
      <c r="B115" t="s">
        <v>123</v>
      </c>
      <c r="C115" t="s">
        <v>124</v>
      </c>
      <c r="D115">
        <f>D63</f>
        <v>269.12</v>
      </c>
      <c r="E115">
        <f>F115+H115+I115+J115+K115+L115+M115+N115+O115</f>
        <v>0</v>
      </c>
      <c r="F115">
        <f t="shared" si="71"/>
        <v>0</v>
      </c>
      <c r="G115">
        <f t="shared" si="71"/>
        <v>0</v>
      </c>
      <c r="H115">
        <f t="shared" si="72"/>
        <v>0</v>
      </c>
      <c r="I115">
        <f t="shared" si="72"/>
        <v>0</v>
      </c>
      <c r="J115">
        <f t="shared" si="74"/>
        <v>0</v>
      </c>
      <c r="K115">
        <f t="shared" si="74"/>
        <v>0</v>
      </c>
      <c r="L115">
        <f t="shared" si="74"/>
        <v>0</v>
      </c>
      <c r="M115">
        <f t="shared" si="74"/>
        <v>0</v>
      </c>
      <c r="N115">
        <f t="shared" si="74"/>
        <v>0</v>
      </c>
      <c r="O115">
        <f t="shared" si="74"/>
        <v>0</v>
      </c>
      <c r="P115">
        <f>SUM(Q115:AP115)</f>
        <v>13.430000000000001</v>
      </c>
      <c r="Q115">
        <f t="shared" si="75"/>
        <v>0</v>
      </c>
      <c r="R115">
        <f t="shared" si="75"/>
        <v>0</v>
      </c>
      <c r="S115">
        <f t="shared" si="75"/>
        <v>0</v>
      </c>
      <c r="T115">
        <f t="shared" si="75"/>
        <v>0</v>
      </c>
      <c r="U115">
        <f t="shared" si="75"/>
        <v>5.51</v>
      </c>
      <c r="V115">
        <f t="shared" si="75"/>
        <v>1.47</v>
      </c>
      <c r="W115">
        <f t="shared" si="75"/>
        <v>2.19</v>
      </c>
      <c r="X115">
        <f t="shared" si="75"/>
        <v>0</v>
      </c>
      <c r="Y115">
        <f t="shared" si="75"/>
        <v>3.2600000000000002</v>
      </c>
      <c r="Z115">
        <f t="shared" si="73"/>
        <v>0</v>
      </c>
      <c r="AA115">
        <f t="shared" si="73"/>
        <v>0</v>
      </c>
      <c r="AB115">
        <f t="shared" si="73"/>
        <v>0</v>
      </c>
      <c r="AC115">
        <f t="shared" si="73"/>
        <v>0</v>
      </c>
      <c r="AD115">
        <f t="shared" si="73"/>
        <v>0.39</v>
      </c>
      <c r="AE115">
        <f t="shared" si="73"/>
        <v>0.06</v>
      </c>
      <c r="AF115">
        <f t="shared" si="73"/>
        <v>0</v>
      </c>
      <c r="AG115">
        <f t="shared" si="73"/>
        <v>0</v>
      </c>
      <c r="AH115">
        <f t="shared" si="73"/>
        <v>0</v>
      </c>
      <c r="AI115">
        <f t="shared" si="73"/>
        <v>0</v>
      </c>
      <c r="AJ115">
        <f t="shared" si="73"/>
        <v>0</v>
      </c>
      <c r="AK115">
        <f t="shared" si="73"/>
        <v>0</v>
      </c>
      <c r="AL115">
        <f>BC63</f>
        <v>0.55000000000000004</v>
      </c>
      <c r="AM115">
        <f>BD63</f>
        <v>0</v>
      </c>
      <c r="AN115">
        <f>BE63</f>
        <v>0</v>
      </c>
      <c r="AO115">
        <f>BF63</f>
        <v>0</v>
      </c>
      <c r="AP115">
        <f>BG63</f>
        <v>0</v>
      </c>
      <c r="AQ115">
        <f>AR115</f>
        <v>13.430000000000001</v>
      </c>
      <c r="AR115">
        <f>E115+Q115+R115+S115+T115+U115+V115+W115+X115+Y115+Z115+AA115+AB115+AC115+AD115+AE115+AF115+AG115+AH115+AI115+AJ115+AL115+AM115+AN115+AO115+AP115</f>
        <v>13.430000000000001</v>
      </c>
      <c r="AS115">
        <f>D115+AQ116-AR115</f>
        <v>255.69</v>
      </c>
    </row>
    <row r="116" spans="1:45" ht="20.25" customHeight="1">
      <c r="B116" t="s">
        <v>190</v>
      </c>
      <c r="E116">
        <f>E88+E115</f>
        <v>1.06</v>
      </c>
      <c r="F116">
        <f>F80+F81+F82+F83+F84+F85+F86+F87+F88+F115</f>
        <v>0</v>
      </c>
      <c r="G116">
        <f>G78+G80+G81+G82+G83+G84+G85+G86+G87+G88+G115</f>
        <v>0</v>
      </c>
      <c r="H116">
        <f>H78+H81+H82+H83+H84+H85+H86+H87+H88+H115</f>
        <v>0</v>
      </c>
      <c r="I116">
        <f>I78+I80+I82+I83+I84+I85+I86+I87+I88+I115</f>
        <v>0</v>
      </c>
      <c r="J116">
        <f>J78+J80+J81+J83+J84+J85+J86+J87+J88+J115</f>
        <v>0</v>
      </c>
      <c r="K116">
        <f>K78+K80+K81+K82+K84+K85+K86+K87+K88+K115</f>
        <v>0</v>
      </c>
      <c r="L116">
        <f>L78+L80+L81+L82+L83+L85+L86+L87+L88+L115</f>
        <v>0</v>
      </c>
      <c r="M116">
        <f>M78+M80+M81+M82+M83+M84+M86+M87+M88+M115</f>
        <v>1.27</v>
      </c>
      <c r="N116">
        <f>N78+N80+N81+N82+N83+N84+N85+N87+N88+N115</f>
        <v>0</v>
      </c>
      <c r="O116">
        <f>O78+O80+O81+O82+O83+O84+O85+O86+O88+O115</f>
        <v>0</v>
      </c>
      <c r="P116">
        <f>P77+P115</f>
        <v>383.94</v>
      </c>
      <c r="Q116">
        <f>Q77+Q90+Q91+Q92+Q93+Q94+Q95+Q96+Q97+Q98+Q99+Q100+Q101+Q102+Q103+Q104+Q105+Q106+Q107+Q108+Q109+Q110+Q111+Q112+Q113+Q114+Q115</f>
        <v>0.63</v>
      </c>
      <c r="R116">
        <f>R77+R89+R91+R92+R93+R94+R95+R96+R97+R98+R99+R100+R101+R102+R103+R104+R105+R106+R107+R108+R109+R110+R111+R112+R113+R114+R115</f>
        <v>0</v>
      </c>
      <c r="S116">
        <f>S77+S89+S90+S92+S93+S94+S95+S96+S97+S98+S99+S100+S101+S102+S103+S104+S105+S106+S107+S108+S109+S110+S111+S112+S113+S114+S115</f>
        <v>0</v>
      </c>
      <c r="T116">
        <f>T77+T89+T90+T91+T93+T94+T95+T96+T97+T98+T99+T100+T101+T102+T103+T104+T105+T106+T107+T108+T109+T110+T111+T112+T113+T114+T115</f>
        <v>0</v>
      </c>
      <c r="U116">
        <f>U77+U89+U90+U91+U92+U94+U95+U96+U97+U98+U99+U100+U101+U102+U103+U104+U105+U106+U107+U108+U109+U110+U111+U112+U113+U114+U115</f>
        <v>199.79</v>
      </c>
      <c r="V116">
        <f>V77+V89+V90+V91+V92+V93+V95+V96+V97+V98+V99+V100+V101+V102+V103+V104+V105+V106+V107+V108+V109+V110+V111+V112+V113+V114+V115</f>
        <v>27.1</v>
      </c>
      <c r="W116">
        <f>W77+W89+W90+W91+W92+W93+W94+W96+W97+W98+W99+W100+W101+W102+W103+W104+W105+W106+W107+W108+W109+W110+W111+W112+W113+W114+W115</f>
        <v>91.61</v>
      </c>
      <c r="X116">
        <f>X77+X89+X90+X91+X92+X93+X94+X95+X97+X98+X99+X100+X101+X102+X103+X104+X105+X106+X107+X108+X109+X110+X111+X112+X113+X114+X115</f>
        <v>0</v>
      </c>
      <c r="Y116">
        <f>Y77+Y89+Y90+Y91+Y92+Y93+Y94+Y95+Y96+Y98+Y99+Y100+Y101+Y102+Y103+Y104+Y105+Y106+Y107+Y108+Y109+Y110+Y111+Y112+Y113+Y114+Y115</f>
        <v>79.62</v>
      </c>
      <c r="Z116">
        <f>Z77+Z89+Z90+Z91+Z92+Z93+Z94+Z95+Z96+Z97+Z99+Z100+Z101+Z102+Z103+Z104+Z105+Z106+Z107+Z108+Z109+Z110+Z111+Z112+Z113+Z114+Z115</f>
        <v>0</v>
      </c>
      <c r="AA116">
        <f>AA77+AA89+AA90+AA91+AA92+AA93+AA94+AA95+AA96+AA97+AA98+AA100+AA101+AA102+AA103+AA104+AA105+AA106+AA107+AA108+AA109+AA110+AA111+AA112+AA113+AA114+AA115</f>
        <v>0</v>
      </c>
      <c r="AB116">
        <f>AB77+AB89+AB90+AB91+AB92+AB93+AB94+AB95+AB96+AB97+AB98+AB99+AB101+AB102+AB103+AB104+AB105+AB106+AB107+AB108+AB109+AB110+AB111+AB112+AB113+AB114+AB115</f>
        <v>0</v>
      </c>
      <c r="AC116">
        <f>AC77+AC89+AC90+AC91+AC92+AC93+AC94+AC95+AC96+AC97+AC98+AC99+AC100+AC102+AC103+AC104+AC105+AC106+AC107+AC108+AC109+AC110+AC111+AC112+AC113+AC114+AC115</f>
        <v>0</v>
      </c>
      <c r="AD116">
        <f>AD77+AD89+AD90+AD91+AD92+AD93+AD94+AD95+AD96+AD97+AD98+AD99+AD100+AD101+AD103+AD104+AD105+AD106+AD107+AD108+AD109+AD110+AD111+AD112+AD113+AD114+AD115</f>
        <v>13.780000000000001</v>
      </c>
      <c r="AE116">
        <f>AE77+AE89+AE90+AE91+AE92+AE93+AE94+AE95+AE96+AE97+AE98+AE99+AE100+AE101+AE102+AE104+AE105+AE106+AE107+AE108+AE109+AE110+AE111+AE112+AE113+AE114+AE115</f>
        <v>19.39</v>
      </c>
      <c r="AF116">
        <f>AF77+AF89+AF90+AF91+AF92+AF93+AF94+AF95+AF96+AF97+AF98+AF99+AF100+AF101+AF102+AF103+AF105+AF106+AF107+AF108+AF109+AF110+AF111+AF112+AF113+AF114+AF115</f>
        <v>0</v>
      </c>
      <c r="AG116">
        <f>AG77+AG89+AG90+AG91+AG92+AG93+AG94+AG95+AG96+AG97+AG98+AG99+AG100+AG101+AG102+AG103+AG104+AG106+AG107+AG108+AG109+AG110+AG111+AG112+AG113+AG114+AG115</f>
        <v>0</v>
      </c>
      <c r="AH116">
        <f>AH77+AH89+AH90+AH91+AH92+AH93+AH94+AH95+AH96+AH97+AH98+AH99+AH100+AH101+AH102+AH103+AH104+AH105+AH107+AH108+AH109+AH110+AH111+AH112+AH113+AH114+AH115</f>
        <v>0</v>
      </c>
      <c r="AI116">
        <f>AI77+AI89+AI90+AI91+AI92+AI93+AI94+AI95+AI96+AI97+AI98+AI99+AI100+AI101+AI102+AI103+AI104+AI105+AI106+AI108+AI109+AI110+AI111+AI112+AI113+AI114+AI115</f>
        <v>0</v>
      </c>
      <c r="AJ116">
        <f>AJ77+AJ89+AJ90+AJ91+AJ92+AJ93+AJ94+AJ95+AJ96+AJ97+AJ98+AJ99+AJ100+AJ101+AJ102+AJ103+AJ104+AJ105+AJ106+AJ107+AJ109+AJ110+AJ111+AJ112+AJ113+AJ114+AJ115</f>
        <v>0</v>
      </c>
      <c r="AK116">
        <f>AK77+AK89+AK90+AK91+AK92+AK93+AK94+AK95+AK96+AK97+AK98+AK99+AK100+AK101+AK102+AK103+AK104+AK105+AK106+AK107+AK108+AK110+AK111+AK112+AK113+AK114+AK115</f>
        <v>0</v>
      </c>
      <c r="AL116">
        <f>AL77+AL89+AL90+AL91+AL92+AL93+AL94+AL95+AL96+AL97+AL98+AL99+AL100+AL101+AL102+AL103+AL104+AL105+AL106+AL107+AL108+AL109+AL111+AL112+AL113+AL114+AL115</f>
        <v>9.02</v>
      </c>
      <c r="AM116">
        <f>AM77+AM89+AM90+AM91+AM92+AM93+AM94+AM95+AM96+AM97+AM98+AM99+AM100+AM101+AM102+AM103+AM104+AM105+AM106+AM107+AM108+AM109+AM110+AM112+AM113+AM114+AM115</f>
        <v>0</v>
      </c>
      <c r="AN116">
        <f>AN77+AN89+AN90+AN91+AN92+AN93+AN94+AN95+AN96+AN97+AN98+AN99+AN100+AN101+AN102+AN103+AN104+AN105+AN106+AN107+AN108+AN109+AN110+AN111+AN113+AN114+AN115</f>
        <v>0</v>
      </c>
      <c r="AO116">
        <f>AO77+AO89+AO90+AO91+AO92+AO93+AO94+AO95+AO96+AO97+AO98+AO99+AO100+AO101+AO102+AO103+AO104+AO105+AO106+AO107+AO108+AO109+AO110+AO111+AO112+AO114+AO115</f>
        <v>0</v>
      </c>
      <c r="AP116">
        <f>AP77+AP89+AP90+AP91+AP92+AP93+AP94+AP95+AP96+AP97+AP98+AP99+AP100+AP101+AP102+AP103+AP104+AP105+AP106+AP107+AP108+AP109+AP110+AP111+AP112+AP113+AP115</f>
        <v>0</v>
      </c>
      <c r="AQ116">
        <f>AQ77+AQ88</f>
        <v>0</v>
      </c>
    </row>
    <row r="117" spans="1:45" ht="25.5" customHeight="1">
      <c r="B117" t="s">
        <v>325</v>
      </c>
      <c r="D117">
        <f>AS76</f>
        <v>4033.8399999999997</v>
      </c>
      <c r="E117">
        <f>AS77</f>
        <v>2242.6999999999998</v>
      </c>
      <c r="F117">
        <f>AS78</f>
        <v>258.54000000000002</v>
      </c>
      <c r="G117">
        <f>AS79</f>
        <v>258.23</v>
      </c>
      <c r="H117">
        <f>AS80</f>
        <v>13.469999999999999</v>
      </c>
      <c r="I117">
        <f>AS81</f>
        <v>266.36</v>
      </c>
      <c r="J117">
        <f>AS82</f>
        <v>1079.44</v>
      </c>
      <c r="K117">
        <f>AS83</f>
        <v>0</v>
      </c>
      <c r="L117">
        <f>AS84</f>
        <v>-23.560000000000002</v>
      </c>
      <c r="M117">
        <f>AS85</f>
        <v>648.44999999999993</v>
      </c>
      <c r="N117">
        <f>AS86</f>
        <v>0</v>
      </c>
      <c r="O117">
        <f>AS87</f>
        <v>0</v>
      </c>
      <c r="P117">
        <f>AS88</f>
        <v>1535.45</v>
      </c>
      <c r="Q117">
        <f>AS89</f>
        <v>33.67</v>
      </c>
      <c r="R117">
        <f>AS90</f>
        <v>6.37</v>
      </c>
      <c r="S117">
        <f>AS91</f>
        <v>0</v>
      </c>
      <c r="T117">
        <f>AS92</f>
        <v>0</v>
      </c>
      <c r="U117">
        <f>AS93</f>
        <v>199.79</v>
      </c>
      <c r="V117">
        <f>AS94</f>
        <v>93.72</v>
      </c>
      <c r="W117">
        <f>AS95</f>
        <v>93.74</v>
      </c>
      <c r="X117">
        <f>AS96</f>
        <v>0</v>
      </c>
      <c r="Y117">
        <f>AS97</f>
        <v>280.56</v>
      </c>
      <c r="Z117">
        <f>AS98</f>
        <v>0</v>
      </c>
      <c r="AA117">
        <f>AS99</f>
        <v>0</v>
      </c>
      <c r="AB117">
        <f>AS100</f>
        <v>1.9899999999999998</v>
      </c>
      <c r="AC117">
        <f>AS101</f>
        <v>0</v>
      </c>
      <c r="AD117">
        <f>AS102</f>
        <v>86.1</v>
      </c>
      <c r="AE117">
        <f>AS103</f>
        <v>31.69</v>
      </c>
      <c r="AF117">
        <f>AS104</f>
        <v>0</v>
      </c>
      <c r="AG117">
        <f>AS105</f>
        <v>0</v>
      </c>
      <c r="AH117">
        <f>AS106</f>
        <v>0</v>
      </c>
      <c r="AI117">
        <f>AS107</f>
        <v>8.44</v>
      </c>
      <c r="AJ117">
        <f>AS108</f>
        <v>0</v>
      </c>
      <c r="AK117">
        <f>AS109</f>
        <v>1.7599999999999998</v>
      </c>
      <c r="AL117">
        <f>AS110</f>
        <v>9.02</v>
      </c>
      <c r="AM117">
        <f>AS111</f>
        <v>0.45000000000000007</v>
      </c>
      <c r="AN117">
        <f>AS112</f>
        <v>688.15</v>
      </c>
      <c r="AO117">
        <f>AS113</f>
        <v>0</v>
      </c>
      <c r="AP117">
        <f>AS114</f>
        <v>0</v>
      </c>
      <c r="AQ117">
        <f>AS115</f>
        <v>255.69</v>
      </c>
    </row>
  </sheetData>
  <mergeCells count="21">
    <mergeCell ref="A1:B1"/>
    <mergeCell ref="A2:BN2"/>
    <mergeCell ref="A4:A5"/>
    <mergeCell ref="B4:B5"/>
    <mergeCell ref="C4:C5"/>
    <mergeCell ref="A74:A75"/>
    <mergeCell ref="BN4:BN5"/>
    <mergeCell ref="A70:B70"/>
    <mergeCell ref="BM4:BM5"/>
    <mergeCell ref="A72:AS72"/>
    <mergeCell ref="AS74:AS75"/>
    <mergeCell ref="D4:D5"/>
    <mergeCell ref="C74:C75"/>
    <mergeCell ref="A71:AS71"/>
    <mergeCell ref="E74:AQ74"/>
    <mergeCell ref="D74:D75"/>
    <mergeCell ref="E4:BK4"/>
    <mergeCell ref="AR73:AS73"/>
    <mergeCell ref="BL4:BL5"/>
    <mergeCell ref="B74:B75"/>
    <mergeCell ref="AR74:AR75"/>
  </mergeCells>
  <phoneticPr fontId="4" type="noConversion"/>
  <pageMargins left="0.75" right="0.75" top="1" bottom="1" header="0.5" footer="0.5"/>
  <pageSetup paperSize="9" scale="45" orientation="portrait" r:id="rId1"/>
  <headerFooter alignWithMargins="0"/>
  <legacyDrawing r:id="rId2"/>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6"/>
  <dimension ref="A1:BP117"/>
  <sheetViews>
    <sheetView showZeros="0" topLeftCell="A4" zoomScale="75" workbookViewId="0">
      <pane xSplit="4" ySplit="4" topLeftCell="AU55" activePane="bottomRight" state="frozen"/>
      <selection activeCell="A4" sqref="A4"/>
      <selection pane="topRight" activeCell="E4" sqref="E4"/>
      <selection pane="bottomLeft" activeCell="A8" sqref="A8"/>
      <selection pane="bottomRight" activeCell="AU38" sqref="AU38"/>
    </sheetView>
  </sheetViews>
  <sheetFormatPr defaultRowHeight="24.95" customHeight="1"/>
  <cols>
    <col min="1" max="1" width="10" customWidth="1"/>
    <col min="2" max="2" width="47.140625" customWidth="1"/>
    <col min="3" max="3" width="8.28515625" customWidth="1"/>
    <col min="4" max="4" width="13.5703125" customWidth="1"/>
    <col min="5" max="5" width="11.5703125" customWidth="1"/>
    <col min="6" max="6" width="0.140625" hidden="1" customWidth="1"/>
    <col min="7" max="7" width="11.28515625" hidden="1" customWidth="1"/>
    <col min="8" max="8" width="10.85546875" customWidth="1"/>
    <col min="9" max="9" width="11.140625" customWidth="1"/>
    <col min="10" max="10" width="10.5703125" customWidth="1"/>
    <col min="11" max="11" width="10" hidden="1" customWidth="1"/>
    <col min="12" max="12" width="11.140625" hidden="1" customWidth="1"/>
    <col min="13" max="13" width="11.85546875" customWidth="1"/>
    <col min="14" max="14" width="11.28515625" customWidth="1"/>
    <col min="15" max="15" width="11.28515625" hidden="1" customWidth="1"/>
    <col min="16" max="16" width="12.85546875" customWidth="1"/>
    <col min="17" max="17" width="12.28515625" customWidth="1"/>
    <col min="18" max="18" width="10.85546875" customWidth="1"/>
    <col min="20" max="20" width="10.140625" customWidth="1"/>
    <col min="21" max="21" width="9.85546875" customWidth="1"/>
    <col min="22" max="22" width="11.5703125" customWidth="1"/>
    <col min="23" max="23" width="11.140625" customWidth="1"/>
    <col min="24" max="24" width="10.7109375" customWidth="1"/>
    <col min="25" max="25" width="10.42578125" customWidth="1"/>
    <col min="26" max="26" width="11.140625" customWidth="1"/>
    <col min="27" max="27" width="9.85546875" customWidth="1"/>
    <col min="28" max="39" width="10.42578125" customWidth="1"/>
    <col min="40" max="40" width="11" customWidth="1"/>
    <col min="41" max="43" width="9.42578125" customWidth="1"/>
    <col min="44" max="44" width="10.85546875" customWidth="1"/>
    <col min="45" max="45" width="7.42578125" customWidth="1"/>
    <col min="46" max="47" width="9.42578125" customWidth="1"/>
    <col min="48" max="48" width="11.5703125" customWidth="1"/>
    <col min="49" max="59" width="9" customWidth="1"/>
    <col min="60" max="60" width="10.140625" customWidth="1"/>
    <col min="61" max="62" width="9.85546875" customWidth="1"/>
    <col min="64" max="64" width="10.5703125" customWidth="1"/>
    <col min="65" max="65" width="12.140625" customWidth="1"/>
    <col min="66" max="66" width="13" customWidth="1"/>
  </cols>
  <sheetData>
    <row r="1" spans="1:68" ht="24.95" customHeight="1">
      <c r="A1" s="1300" t="s">
        <v>301</v>
      </c>
      <c r="B1" s="1300"/>
    </row>
    <row r="2" spans="1:68" ht="36.75" customHeight="1">
      <c r="A2" s="1282" t="s">
        <v>971</v>
      </c>
      <c r="B2" s="1282"/>
      <c r="C2" s="1282"/>
      <c r="D2" s="1282"/>
      <c r="E2" s="1282"/>
      <c r="F2" s="1282"/>
      <c r="G2" s="1282"/>
      <c r="H2" s="1282"/>
      <c r="I2" s="1282"/>
      <c r="J2" s="1282"/>
      <c r="K2" s="1282"/>
      <c r="L2" s="1282"/>
      <c r="M2" s="1282"/>
      <c r="N2" s="1282"/>
      <c r="O2" s="1282"/>
      <c r="P2" s="1282"/>
      <c r="Q2" s="1282"/>
      <c r="R2" s="1282"/>
      <c r="S2" s="1282"/>
      <c r="T2" s="1282"/>
      <c r="U2" s="1282"/>
      <c r="V2" s="1282"/>
      <c r="W2" s="1282"/>
      <c r="X2" s="1282"/>
      <c r="Y2" s="1282"/>
      <c r="Z2" s="1282"/>
      <c r="AA2" s="1282"/>
      <c r="AB2" s="1282"/>
      <c r="AC2" s="1282"/>
      <c r="AD2" s="1282"/>
      <c r="AE2" s="1282"/>
      <c r="AF2" s="1282"/>
      <c r="AG2" s="1282"/>
      <c r="AH2" s="1282"/>
      <c r="AI2" s="1282"/>
      <c r="AJ2" s="1282"/>
      <c r="AK2" s="1282"/>
      <c r="AL2" s="1282"/>
      <c r="AM2" s="1282"/>
      <c r="AN2" s="1282"/>
      <c r="AO2" s="1282"/>
      <c r="AP2" s="1282"/>
      <c r="AQ2" s="1282"/>
      <c r="AR2" s="1282"/>
      <c r="AS2" s="1282"/>
      <c r="AT2" s="1282"/>
      <c r="AU2" s="1282"/>
      <c r="AV2" s="1282"/>
      <c r="AW2" s="1282"/>
      <c r="AX2" s="1282"/>
      <c r="AY2" s="1282"/>
      <c r="AZ2" s="1282"/>
      <c r="BA2" s="1282"/>
      <c r="BB2" s="1282"/>
      <c r="BC2" s="1282"/>
      <c r="BD2" s="1282"/>
      <c r="BE2" s="1282"/>
      <c r="BF2" s="1282"/>
      <c r="BG2" s="1282"/>
      <c r="BH2" s="1282"/>
      <c r="BI2" s="1282"/>
      <c r="BJ2" s="1282"/>
      <c r="BK2" s="1282"/>
      <c r="BL2" s="1282"/>
      <c r="BM2" s="1282"/>
      <c r="BN2" s="1282"/>
    </row>
    <row r="4" spans="1:68" ht="33" customHeight="1">
      <c r="A4" s="1275" t="s">
        <v>136</v>
      </c>
      <c r="B4" s="1275" t="s">
        <v>469</v>
      </c>
      <c r="C4" s="1275" t="s">
        <v>13</v>
      </c>
      <c r="D4" s="1275" t="s">
        <v>693</v>
      </c>
      <c r="E4" s="1368" t="s">
        <v>694</v>
      </c>
      <c r="F4" s="1368"/>
      <c r="G4" s="1368"/>
      <c r="H4" s="1368"/>
      <c r="I4" s="1368"/>
      <c r="J4" s="1368"/>
      <c r="K4" s="1368"/>
      <c r="L4" s="1368"/>
      <c r="M4" s="1368"/>
      <c r="N4" s="1368"/>
      <c r="O4" s="1368"/>
      <c r="P4" s="1368"/>
      <c r="Q4" s="1368"/>
      <c r="R4" s="1368"/>
      <c r="S4" s="1368"/>
      <c r="T4" s="1368"/>
      <c r="U4" s="1368"/>
      <c r="V4" s="1368"/>
      <c r="W4" s="1368"/>
      <c r="X4" s="1368"/>
      <c r="Y4" s="1368"/>
      <c r="Z4" s="1368"/>
      <c r="AA4" s="1368"/>
      <c r="AB4" s="1368"/>
      <c r="AC4" s="1368"/>
      <c r="AD4" s="1368"/>
      <c r="AE4" s="1368"/>
      <c r="AF4" s="1368"/>
      <c r="AG4" s="1368"/>
      <c r="AH4" s="1368"/>
      <c r="AI4" s="1368"/>
      <c r="AJ4" s="1368"/>
      <c r="AK4" s="1368"/>
      <c r="AL4" s="1368"/>
      <c r="AM4" s="1368"/>
      <c r="AN4" s="1368"/>
      <c r="AO4" s="1368"/>
      <c r="AP4" s="1368"/>
      <c r="AQ4" s="1368"/>
      <c r="AR4" s="1368"/>
      <c r="AS4" s="1368"/>
      <c r="AT4" s="1368"/>
      <c r="AU4" s="1368"/>
      <c r="AV4" s="1368"/>
      <c r="AW4" s="1368"/>
      <c r="AX4" s="1368"/>
      <c r="AY4" s="1368"/>
      <c r="AZ4" s="1368"/>
      <c r="BA4" s="1368"/>
      <c r="BB4" s="1368"/>
      <c r="BC4" s="1368"/>
      <c r="BD4" s="1368"/>
      <c r="BE4" s="1368"/>
      <c r="BF4" s="1368"/>
      <c r="BG4" s="1368"/>
      <c r="BH4" s="1368"/>
      <c r="BI4" s="1368"/>
      <c r="BJ4" s="1368"/>
      <c r="BK4" s="1368"/>
      <c r="BL4" s="1365" t="s">
        <v>191</v>
      </c>
      <c r="BM4" s="1365" t="s">
        <v>493</v>
      </c>
      <c r="BN4" s="1365" t="s">
        <v>695</v>
      </c>
    </row>
    <row r="5" spans="1:68" ht="35.25" customHeight="1">
      <c r="A5" s="1275"/>
      <c r="B5" s="1275"/>
      <c r="C5" s="1275"/>
      <c r="D5" s="1275"/>
      <c r="E5" s="128" t="s">
        <v>15</v>
      </c>
      <c r="F5" s="128" t="s">
        <v>193</v>
      </c>
      <c r="G5" s="128" t="s">
        <v>194</v>
      </c>
      <c r="H5" s="128" t="s">
        <v>18</v>
      </c>
      <c r="I5" s="128" t="s">
        <v>20</v>
      </c>
      <c r="J5" s="128" t="s">
        <v>195</v>
      </c>
      <c r="K5" s="128" t="s">
        <v>196</v>
      </c>
      <c r="L5" s="128" t="s">
        <v>197</v>
      </c>
      <c r="M5" s="128" t="s">
        <v>23</v>
      </c>
      <c r="N5" s="128" t="s">
        <v>26</v>
      </c>
      <c r="O5" s="128" t="s">
        <v>198</v>
      </c>
      <c r="P5" s="128" t="s">
        <v>29</v>
      </c>
      <c r="Q5" s="128" t="s">
        <v>32</v>
      </c>
      <c r="R5" s="128" t="s">
        <v>35</v>
      </c>
      <c r="S5" s="128" t="s">
        <v>38</v>
      </c>
      <c r="T5" s="128" t="s">
        <v>41</v>
      </c>
      <c r="U5" s="128" t="s">
        <v>44</v>
      </c>
      <c r="V5" s="128" t="s">
        <v>46</v>
      </c>
      <c r="W5" s="128" t="s">
        <v>49</v>
      </c>
      <c r="X5" s="128" t="s">
        <v>52</v>
      </c>
      <c r="Y5" s="128" t="s">
        <v>55</v>
      </c>
      <c r="Z5" s="128" t="s">
        <v>58</v>
      </c>
      <c r="AA5" s="128" t="s">
        <v>61</v>
      </c>
      <c r="AB5" s="128" t="s">
        <v>64</v>
      </c>
      <c r="AC5" s="128" t="s">
        <v>67</v>
      </c>
      <c r="AD5" s="128" t="s">
        <v>70</v>
      </c>
      <c r="AE5" s="128" t="s">
        <v>72</v>
      </c>
      <c r="AF5" s="128" t="s">
        <v>202</v>
      </c>
      <c r="AG5" s="128" t="s">
        <v>203</v>
      </c>
      <c r="AH5" s="128" t="s">
        <v>204</v>
      </c>
      <c r="AI5" s="128" t="s">
        <v>205</v>
      </c>
      <c r="AJ5" s="128" t="s">
        <v>206</v>
      </c>
      <c r="AK5" s="128" t="s">
        <v>207</v>
      </c>
      <c r="AL5" s="128" t="s">
        <v>199</v>
      </c>
      <c r="AM5" s="128" t="s">
        <v>200</v>
      </c>
      <c r="AN5" s="128" t="s">
        <v>223</v>
      </c>
      <c r="AO5" s="128" t="s">
        <v>201</v>
      </c>
      <c r="AP5" s="128" t="s">
        <v>208</v>
      </c>
      <c r="AQ5" s="128" t="s">
        <v>75</v>
      </c>
      <c r="AR5" s="128" t="s">
        <v>78</v>
      </c>
      <c r="AS5" s="128" t="s">
        <v>81</v>
      </c>
      <c r="AT5" s="128" t="s">
        <v>84</v>
      </c>
      <c r="AU5" s="128" t="s">
        <v>87</v>
      </c>
      <c r="AV5" s="128" t="s">
        <v>90</v>
      </c>
      <c r="AW5" s="128" t="s">
        <v>93</v>
      </c>
      <c r="AX5" s="128" t="s">
        <v>96</v>
      </c>
      <c r="AY5" s="128" t="s">
        <v>99</v>
      </c>
      <c r="AZ5" s="128" t="s">
        <v>101</v>
      </c>
      <c r="BA5" s="128" t="s">
        <v>104</v>
      </c>
      <c r="BB5" s="128" t="s">
        <v>107</v>
      </c>
      <c r="BC5" s="128" t="s">
        <v>110</v>
      </c>
      <c r="BD5" s="128" t="s">
        <v>113</v>
      </c>
      <c r="BE5" s="128" t="s">
        <v>116</v>
      </c>
      <c r="BF5" s="128" t="s">
        <v>119</v>
      </c>
      <c r="BG5" s="128" t="s">
        <v>122</v>
      </c>
      <c r="BH5" s="128" t="s">
        <v>124</v>
      </c>
      <c r="BI5" s="128" t="s">
        <v>209</v>
      </c>
      <c r="BJ5" s="128" t="s">
        <v>210</v>
      </c>
      <c r="BK5" s="128" t="s">
        <v>211</v>
      </c>
      <c r="BL5" s="1366"/>
      <c r="BM5" s="1366"/>
      <c r="BN5" s="1366"/>
    </row>
    <row r="6" spans="1:68" ht="24.95" customHeight="1">
      <c r="A6" s="106" t="s">
        <v>235</v>
      </c>
      <c r="B6" s="106" t="s">
        <v>236</v>
      </c>
      <c r="C6" s="128" t="s">
        <v>237</v>
      </c>
      <c r="D6" s="128" t="s">
        <v>238</v>
      </c>
      <c r="E6" s="128" t="s">
        <v>239</v>
      </c>
      <c r="F6" s="128" t="s">
        <v>240</v>
      </c>
      <c r="G6" s="128" t="s">
        <v>241</v>
      </c>
      <c r="H6" s="128" t="s">
        <v>242</v>
      </c>
      <c r="I6" s="128" t="s">
        <v>243</v>
      </c>
      <c r="J6" s="128" t="s">
        <v>244</v>
      </c>
      <c r="K6" s="128" t="s">
        <v>245</v>
      </c>
      <c r="L6" s="128" t="s">
        <v>246</v>
      </c>
      <c r="M6" s="128" t="s">
        <v>247</v>
      </c>
      <c r="N6" s="128" t="s">
        <v>248</v>
      </c>
      <c r="O6" s="128" t="s">
        <v>249</v>
      </c>
      <c r="P6" s="128" t="s">
        <v>250</v>
      </c>
      <c r="Q6" s="128" t="s">
        <v>251</v>
      </c>
      <c r="R6" s="128" t="s">
        <v>252</v>
      </c>
      <c r="S6" s="128" t="s">
        <v>253</v>
      </c>
      <c r="T6" s="128" t="s">
        <v>254</v>
      </c>
      <c r="U6" s="128" t="s">
        <v>255</v>
      </c>
      <c r="V6" s="128" t="s">
        <v>256</v>
      </c>
      <c r="W6" s="128" t="s">
        <v>257</v>
      </c>
      <c r="X6" s="128" t="s">
        <v>258</v>
      </c>
      <c r="Y6" s="128" t="s">
        <v>259</v>
      </c>
      <c r="Z6" s="128" t="s">
        <v>260</v>
      </c>
      <c r="AA6" s="128" t="s">
        <v>261</v>
      </c>
      <c r="AB6" s="128" t="s">
        <v>262</v>
      </c>
      <c r="AC6" s="128" t="s">
        <v>263</v>
      </c>
      <c r="AD6" s="128" t="s">
        <v>264</v>
      </c>
      <c r="AE6" s="128" t="s">
        <v>265</v>
      </c>
      <c r="AF6" s="128" t="s">
        <v>266</v>
      </c>
      <c r="AG6" s="128" t="s">
        <v>267</v>
      </c>
      <c r="AH6" s="128" t="s">
        <v>268</v>
      </c>
      <c r="AI6" s="128" t="s">
        <v>269</v>
      </c>
      <c r="AJ6" s="128" t="s">
        <v>270</v>
      </c>
      <c r="AK6" s="128" t="s">
        <v>271</v>
      </c>
      <c r="AL6" s="128" t="s">
        <v>272</v>
      </c>
      <c r="AM6" s="128" t="s">
        <v>273</v>
      </c>
      <c r="AN6" s="128" t="s">
        <v>274</v>
      </c>
      <c r="AO6" s="128" t="s">
        <v>275</v>
      </c>
      <c r="AP6" s="128" t="s">
        <v>276</v>
      </c>
      <c r="AQ6" s="128" t="s">
        <v>277</v>
      </c>
      <c r="AR6" s="128" t="s">
        <v>278</v>
      </c>
      <c r="AS6" s="128" t="s">
        <v>279</v>
      </c>
      <c r="AT6" s="128" t="s">
        <v>280</v>
      </c>
      <c r="AU6" s="128" t="s">
        <v>281</v>
      </c>
      <c r="AV6" s="128" t="s">
        <v>282</v>
      </c>
      <c r="AW6" s="128" t="s">
        <v>283</v>
      </c>
      <c r="AX6" s="128" t="s">
        <v>284</v>
      </c>
      <c r="AY6" s="128" t="s">
        <v>285</v>
      </c>
      <c r="AZ6" s="128" t="s">
        <v>286</v>
      </c>
      <c r="BA6" s="128" t="s">
        <v>287</v>
      </c>
      <c r="BB6" s="128" t="s">
        <v>288</v>
      </c>
      <c r="BC6" s="128" t="s">
        <v>289</v>
      </c>
      <c r="BD6" s="128" t="s">
        <v>290</v>
      </c>
      <c r="BE6" s="128" t="s">
        <v>291</v>
      </c>
      <c r="BF6" s="128" t="s">
        <v>292</v>
      </c>
      <c r="BG6" s="128" t="s">
        <v>293</v>
      </c>
      <c r="BH6" s="128" t="s">
        <v>294</v>
      </c>
      <c r="BI6" s="128" t="s">
        <v>295</v>
      </c>
      <c r="BJ6" s="128" t="s">
        <v>296</v>
      </c>
      <c r="BK6" s="128" t="s">
        <v>297</v>
      </c>
      <c r="BL6" s="128" t="s">
        <v>298</v>
      </c>
      <c r="BM6" s="128" t="s">
        <v>299</v>
      </c>
      <c r="BN6" s="128" t="s">
        <v>300</v>
      </c>
    </row>
    <row r="7" spans="1:68" s="117" customFormat="1" ht="31.5" customHeight="1">
      <c r="A7" s="154"/>
      <c r="B7" s="154" t="s">
        <v>470</v>
      </c>
      <c r="C7" s="3"/>
      <c r="D7" s="174">
        <f>D8+D25+D63</f>
        <v>1317.0395000000001</v>
      </c>
      <c r="E7" s="174">
        <f>E8+E25+E63</f>
        <v>730.31000000000006</v>
      </c>
      <c r="F7" s="174">
        <f t="shared" ref="F7:BN7" si="0">F8+F25+F63</f>
        <v>58.51</v>
      </c>
      <c r="G7" s="174">
        <f t="shared" si="0"/>
        <v>31.22</v>
      </c>
      <c r="H7" s="174">
        <f t="shared" si="0"/>
        <v>17.09</v>
      </c>
      <c r="I7" s="174">
        <f t="shared" si="0"/>
        <v>17.09</v>
      </c>
      <c r="J7" s="174">
        <f t="shared" si="0"/>
        <v>0</v>
      </c>
      <c r="K7" s="174">
        <f t="shared" si="0"/>
        <v>0</v>
      </c>
      <c r="L7" s="174">
        <f t="shared" si="0"/>
        <v>0</v>
      </c>
      <c r="M7" s="174">
        <f t="shared" si="0"/>
        <v>14.13</v>
      </c>
      <c r="N7" s="174">
        <f t="shared" si="0"/>
        <v>27.29</v>
      </c>
      <c r="O7" s="174">
        <f t="shared" si="0"/>
        <v>535.12</v>
      </c>
      <c r="P7" s="174">
        <f t="shared" si="0"/>
        <v>512.98</v>
      </c>
      <c r="Q7" s="174">
        <f t="shared" si="0"/>
        <v>0</v>
      </c>
      <c r="R7" s="174">
        <f t="shared" si="0"/>
        <v>22.14</v>
      </c>
      <c r="S7" s="174">
        <f t="shared" si="0"/>
        <v>136.68</v>
      </c>
      <c r="T7" s="174">
        <f t="shared" si="0"/>
        <v>0</v>
      </c>
      <c r="U7" s="174">
        <f t="shared" si="0"/>
        <v>0</v>
      </c>
      <c r="V7" s="174">
        <f t="shared" si="0"/>
        <v>441.55950000000001</v>
      </c>
      <c r="W7" s="174">
        <f t="shared" si="0"/>
        <v>10.069999999999999</v>
      </c>
      <c r="X7" s="174">
        <f t="shared" si="0"/>
        <v>1.19</v>
      </c>
      <c r="Y7" s="174">
        <f t="shared" si="0"/>
        <v>0</v>
      </c>
      <c r="Z7" s="174">
        <f t="shared" si="0"/>
        <v>0</v>
      </c>
      <c r="AA7" s="174">
        <f t="shared" si="0"/>
        <v>0</v>
      </c>
      <c r="AB7" s="174">
        <f t="shared" si="0"/>
        <v>84.41</v>
      </c>
      <c r="AC7" s="174">
        <f t="shared" si="0"/>
        <v>0</v>
      </c>
      <c r="AD7" s="174">
        <f t="shared" si="0"/>
        <v>0</v>
      </c>
      <c r="AE7" s="174">
        <f t="shared" si="0"/>
        <v>168.08950000000002</v>
      </c>
      <c r="AF7" s="174">
        <f t="shared" si="0"/>
        <v>5.4799999999999995</v>
      </c>
      <c r="AG7" s="174">
        <f t="shared" si="0"/>
        <v>0.18</v>
      </c>
      <c r="AH7" s="174">
        <f t="shared" si="0"/>
        <v>2.5</v>
      </c>
      <c r="AI7" s="174">
        <f t="shared" si="0"/>
        <v>96.149500000000003</v>
      </c>
      <c r="AJ7" s="174">
        <f t="shared" si="0"/>
        <v>0</v>
      </c>
      <c r="AK7" s="174">
        <f t="shared" si="0"/>
        <v>0</v>
      </c>
      <c r="AL7" s="174">
        <f t="shared" si="0"/>
        <v>50.57</v>
      </c>
      <c r="AM7" s="174">
        <f t="shared" si="0"/>
        <v>12.950000000000001</v>
      </c>
      <c r="AN7" s="174">
        <f t="shared" si="0"/>
        <v>0.01</v>
      </c>
      <c r="AO7" s="174">
        <f t="shared" si="0"/>
        <v>0.25</v>
      </c>
      <c r="AP7" s="174">
        <f t="shared" si="0"/>
        <v>0</v>
      </c>
      <c r="AQ7" s="174">
        <f t="shared" si="0"/>
        <v>0.17</v>
      </c>
      <c r="AR7" s="174">
        <f t="shared" si="0"/>
        <v>0</v>
      </c>
      <c r="AS7" s="174">
        <f t="shared" si="0"/>
        <v>0</v>
      </c>
      <c r="AT7" s="174">
        <f t="shared" si="0"/>
        <v>0</v>
      </c>
      <c r="AU7" s="174">
        <f t="shared" si="0"/>
        <v>34.15</v>
      </c>
      <c r="AV7" s="174">
        <f t="shared" si="0"/>
        <v>0.3</v>
      </c>
      <c r="AW7" s="174">
        <f t="shared" si="0"/>
        <v>0</v>
      </c>
      <c r="AX7" s="174">
        <f t="shared" si="0"/>
        <v>0</v>
      </c>
      <c r="AY7" s="174">
        <f t="shared" si="0"/>
        <v>2</v>
      </c>
      <c r="AZ7" s="174">
        <f t="shared" si="0"/>
        <v>34.43</v>
      </c>
      <c r="BA7" s="174">
        <f t="shared" si="0"/>
        <v>0.04</v>
      </c>
      <c r="BB7" s="174">
        <f t="shared" si="0"/>
        <v>0.44</v>
      </c>
      <c r="BC7" s="174">
        <f t="shared" si="0"/>
        <v>0</v>
      </c>
      <c r="BD7" s="174">
        <f t="shared" si="0"/>
        <v>1.65</v>
      </c>
      <c r="BE7" s="174">
        <f t="shared" si="0"/>
        <v>104.61999999999999</v>
      </c>
      <c r="BF7" s="174">
        <f t="shared" si="0"/>
        <v>0</v>
      </c>
      <c r="BG7" s="174">
        <f t="shared" si="0"/>
        <v>0</v>
      </c>
      <c r="BH7" s="174">
        <f t="shared" si="0"/>
        <v>145.17000000000002</v>
      </c>
      <c r="BI7" s="174">
        <f t="shared" si="0"/>
        <v>144.21</v>
      </c>
      <c r="BJ7" s="174">
        <f t="shared" si="0"/>
        <v>0.96</v>
      </c>
      <c r="BK7" s="174">
        <f t="shared" si="0"/>
        <v>0</v>
      </c>
      <c r="BL7" s="174"/>
      <c r="BM7" s="174">
        <f t="shared" si="0"/>
        <v>0</v>
      </c>
      <c r="BN7" s="174">
        <f t="shared" si="0"/>
        <v>1317.0395000000001</v>
      </c>
    </row>
    <row r="8" spans="1:68" s="115" customFormat="1" ht="21" customHeight="1">
      <c r="A8" s="15">
        <v>1</v>
      </c>
      <c r="B8" s="142" t="s">
        <v>14</v>
      </c>
      <c r="C8" s="6" t="s">
        <v>15</v>
      </c>
      <c r="D8" s="175">
        <f>D9+D18+D22+D23+D24</f>
        <v>706.80000000000007</v>
      </c>
      <c r="E8" s="175">
        <f>D8-BL8</f>
        <v>705.08</v>
      </c>
      <c r="F8" s="175">
        <f>G8+N8</f>
        <v>58.51</v>
      </c>
      <c r="G8" s="175">
        <f>H8+L8+M8</f>
        <v>31.22</v>
      </c>
      <c r="H8" s="175">
        <f>I8+J8+K8</f>
        <v>17.09</v>
      </c>
      <c r="I8" s="175">
        <f>I9+I18+I22+I23+I24</f>
        <v>17.09</v>
      </c>
      <c r="J8" s="175">
        <f t="shared" ref="J8:BG8" si="1">J9+J18+J22+J23+J24</f>
        <v>0</v>
      </c>
      <c r="K8" s="175">
        <f t="shared" si="1"/>
        <v>0</v>
      </c>
      <c r="L8" s="175">
        <f t="shared" si="1"/>
        <v>0</v>
      </c>
      <c r="M8" s="175">
        <f t="shared" si="1"/>
        <v>14.13</v>
      </c>
      <c r="N8" s="175">
        <f t="shared" si="1"/>
        <v>27.29</v>
      </c>
      <c r="O8" s="175">
        <f>P8+Q8+R8</f>
        <v>535.12</v>
      </c>
      <c r="P8" s="175">
        <f t="shared" si="1"/>
        <v>512.98</v>
      </c>
      <c r="Q8" s="175">
        <f t="shared" si="1"/>
        <v>0</v>
      </c>
      <c r="R8" s="175">
        <f t="shared" si="1"/>
        <v>22.14</v>
      </c>
      <c r="S8" s="175">
        <f t="shared" si="1"/>
        <v>111.45</v>
      </c>
      <c r="T8" s="175">
        <f t="shared" si="1"/>
        <v>0</v>
      </c>
      <c r="U8" s="175">
        <f t="shared" si="1"/>
        <v>0</v>
      </c>
      <c r="V8" s="175">
        <f t="shared" si="1"/>
        <v>1.72</v>
      </c>
      <c r="W8" s="175">
        <f t="shared" si="1"/>
        <v>0.95</v>
      </c>
      <c r="X8" s="175">
        <f t="shared" si="1"/>
        <v>0</v>
      </c>
      <c r="Y8" s="175">
        <f t="shared" si="1"/>
        <v>0</v>
      </c>
      <c r="Z8" s="175">
        <f t="shared" si="1"/>
        <v>0</v>
      </c>
      <c r="AA8" s="175">
        <f t="shared" si="1"/>
        <v>0</v>
      </c>
      <c r="AB8" s="175">
        <f t="shared" si="1"/>
        <v>0</v>
      </c>
      <c r="AC8" s="175">
        <f t="shared" si="1"/>
        <v>0</v>
      </c>
      <c r="AD8" s="175">
        <f t="shared" si="1"/>
        <v>0</v>
      </c>
      <c r="AE8" s="175">
        <f t="shared" si="1"/>
        <v>0.27</v>
      </c>
      <c r="AF8" s="175">
        <f t="shared" si="1"/>
        <v>0</v>
      </c>
      <c r="AG8" s="175">
        <f t="shared" si="1"/>
        <v>0</v>
      </c>
      <c r="AH8" s="175">
        <f t="shared" si="1"/>
        <v>0</v>
      </c>
      <c r="AI8" s="175">
        <f t="shared" si="1"/>
        <v>0</v>
      </c>
      <c r="AJ8" s="175">
        <f t="shared" si="1"/>
        <v>0</v>
      </c>
      <c r="AK8" s="175">
        <f t="shared" si="1"/>
        <v>0</v>
      </c>
      <c r="AL8" s="175">
        <f t="shared" si="1"/>
        <v>0.27</v>
      </c>
      <c r="AM8" s="175">
        <f t="shared" si="1"/>
        <v>0</v>
      </c>
      <c r="AN8" s="175">
        <f t="shared" si="1"/>
        <v>0</v>
      </c>
      <c r="AO8" s="175">
        <f t="shared" si="1"/>
        <v>0</v>
      </c>
      <c r="AP8" s="175">
        <f t="shared" si="1"/>
        <v>0</v>
      </c>
      <c r="AQ8" s="175">
        <f t="shared" si="1"/>
        <v>0</v>
      </c>
      <c r="AR8" s="175">
        <f t="shared" si="1"/>
        <v>0</v>
      </c>
      <c r="AS8" s="175">
        <f t="shared" si="1"/>
        <v>0</v>
      </c>
      <c r="AT8" s="175">
        <f t="shared" si="1"/>
        <v>0</v>
      </c>
      <c r="AU8" s="175">
        <f t="shared" si="1"/>
        <v>0.5</v>
      </c>
      <c r="AV8" s="175">
        <f t="shared" si="1"/>
        <v>0</v>
      </c>
      <c r="AW8" s="175">
        <f t="shared" si="1"/>
        <v>0</v>
      </c>
      <c r="AX8" s="175">
        <f t="shared" si="1"/>
        <v>0</v>
      </c>
      <c r="AY8" s="175">
        <f t="shared" si="1"/>
        <v>0</v>
      </c>
      <c r="AZ8" s="175">
        <f t="shared" si="1"/>
        <v>0</v>
      </c>
      <c r="BA8" s="175">
        <f t="shared" si="1"/>
        <v>0</v>
      </c>
      <c r="BB8" s="175">
        <f t="shared" si="1"/>
        <v>0</v>
      </c>
      <c r="BC8" s="175">
        <f t="shared" si="1"/>
        <v>0</v>
      </c>
      <c r="BD8" s="175">
        <f t="shared" si="1"/>
        <v>0</v>
      </c>
      <c r="BE8" s="175">
        <f t="shared" si="1"/>
        <v>0</v>
      </c>
      <c r="BF8" s="175">
        <f t="shared" si="1"/>
        <v>0</v>
      </c>
      <c r="BG8" s="175">
        <f t="shared" si="1"/>
        <v>0</v>
      </c>
      <c r="BH8" s="175">
        <f>BH9+BH18+BH22+BH23+BH24</f>
        <v>0</v>
      </c>
      <c r="BI8" s="175">
        <f>BI9+BI18+BI22+BI23+BI24</f>
        <v>0</v>
      </c>
      <c r="BJ8" s="175">
        <f>BJ9+BJ18+BJ22+BJ23+BJ24</f>
        <v>0</v>
      </c>
      <c r="BK8" s="175">
        <f>BK9+BK18+BK22+BK23+BK24</f>
        <v>0</v>
      </c>
      <c r="BL8" s="175">
        <f>V8+BH8</f>
        <v>1.72</v>
      </c>
      <c r="BM8" s="175">
        <f>BM9+BM18+BM22+BM23+BM24</f>
        <v>23.51</v>
      </c>
      <c r="BN8" s="175">
        <f>BN9+BN18+BN22+BN23+BN24</f>
        <v>730.31</v>
      </c>
    </row>
    <row r="9" spans="1:68" ht="21.75" hidden="1" customHeight="1">
      <c r="A9" s="14" t="s">
        <v>16</v>
      </c>
      <c r="B9" s="143" t="s">
        <v>471</v>
      </c>
      <c r="C9" s="5" t="s">
        <v>193</v>
      </c>
      <c r="D9" s="100">
        <f>D10+D17</f>
        <v>59.01</v>
      </c>
      <c r="E9" s="100">
        <f>F9+O9+S9+T9+U9</f>
        <v>59.01</v>
      </c>
      <c r="F9" s="100">
        <f>D9-BK9</f>
        <v>59.01</v>
      </c>
      <c r="G9" s="100">
        <f>H9+L9+M9</f>
        <v>31.22</v>
      </c>
      <c r="H9" s="100">
        <f>I9+J9+K9</f>
        <v>17.09</v>
      </c>
      <c r="I9" s="100">
        <f>I10+I17</f>
        <v>17.09</v>
      </c>
      <c r="J9" s="100">
        <f t="shared" ref="J9:BG9" si="2">J10+J17</f>
        <v>0</v>
      </c>
      <c r="K9" s="100">
        <f t="shared" si="2"/>
        <v>0</v>
      </c>
      <c r="L9" s="100">
        <f t="shared" si="2"/>
        <v>0</v>
      </c>
      <c r="M9" s="100">
        <f t="shared" si="2"/>
        <v>14.13</v>
      </c>
      <c r="N9" s="100">
        <f t="shared" si="2"/>
        <v>27.29</v>
      </c>
      <c r="O9" s="100">
        <f t="shared" ref="O9:O17" si="3">P9+Q9+R9</f>
        <v>0</v>
      </c>
      <c r="P9" s="100">
        <f t="shared" si="2"/>
        <v>0</v>
      </c>
      <c r="Q9" s="100">
        <f t="shared" si="2"/>
        <v>0</v>
      </c>
      <c r="R9" s="100">
        <f t="shared" si="2"/>
        <v>0</v>
      </c>
      <c r="S9" s="100">
        <f t="shared" si="2"/>
        <v>0</v>
      </c>
      <c r="T9" s="100">
        <f t="shared" si="2"/>
        <v>0</v>
      </c>
      <c r="U9" s="100">
        <f t="shared" si="2"/>
        <v>0</v>
      </c>
      <c r="V9" s="100">
        <f t="shared" si="2"/>
        <v>0.5</v>
      </c>
      <c r="W9" s="100">
        <f t="shared" si="2"/>
        <v>0</v>
      </c>
      <c r="X9" s="100">
        <f t="shared" si="2"/>
        <v>0</v>
      </c>
      <c r="Y9" s="100">
        <f t="shared" si="2"/>
        <v>0</v>
      </c>
      <c r="Z9" s="100">
        <f t="shared" si="2"/>
        <v>0</v>
      </c>
      <c r="AA9" s="100">
        <f t="shared" si="2"/>
        <v>0</v>
      </c>
      <c r="AB9" s="100">
        <f t="shared" si="2"/>
        <v>0</v>
      </c>
      <c r="AC9" s="100">
        <f t="shared" si="2"/>
        <v>0</v>
      </c>
      <c r="AD9" s="100">
        <f t="shared" si="2"/>
        <v>0</v>
      </c>
      <c r="AE9" s="100">
        <f t="shared" si="2"/>
        <v>0</v>
      </c>
      <c r="AF9" s="100">
        <f t="shared" si="2"/>
        <v>0</v>
      </c>
      <c r="AG9" s="100">
        <f t="shared" si="2"/>
        <v>0</v>
      </c>
      <c r="AH9" s="100">
        <f t="shared" si="2"/>
        <v>0</v>
      </c>
      <c r="AI9" s="100">
        <f t="shared" si="2"/>
        <v>0</v>
      </c>
      <c r="AJ9" s="100">
        <f t="shared" si="2"/>
        <v>0</v>
      </c>
      <c r="AK9" s="100">
        <f t="shared" si="2"/>
        <v>0</v>
      </c>
      <c r="AL9" s="100">
        <f t="shared" si="2"/>
        <v>0</v>
      </c>
      <c r="AM9" s="100">
        <f t="shared" si="2"/>
        <v>0</v>
      </c>
      <c r="AN9" s="100">
        <f t="shared" si="2"/>
        <v>0</v>
      </c>
      <c r="AO9" s="100">
        <f t="shared" si="2"/>
        <v>0</v>
      </c>
      <c r="AP9" s="100">
        <f t="shared" si="2"/>
        <v>0</v>
      </c>
      <c r="AQ9" s="100">
        <f t="shared" si="2"/>
        <v>0</v>
      </c>
      <c r="AR9" s="100">
        <f t="shared" si="2"/>
        <v>0</v>
      </c>
      <c r="AS9" s="100">
        <f t="shared" si="2"/>
        <v>0</v>
      </c>
      <c r="AT9" s="100">
        <f t="shared" si="2"/>
        <v>0</v>
      </c>
      <c r="AU9" s="100">
        <f t="shared" si="2"/>
        <v>0.5</v>
      </c>
      <c r="AV9" s="100">
        <f t="shared" si="2"/>
        <v>0</v>
      </c>
      <c r="AW9" s="100">
        <f t="shared" si="2"/>
        <v>0</v>
      </c>
      <c r="AX9" s="100">
        <f t="shared" si="2"/>
        <v>0</v>
      </c>
      <c r="AY9" s="100">
        <f t="shared" si="2"/>
        <v>0</v>
      </c>
      <c r="AZ9" s="100">
        <f t="shared" si="2"/>
        <v>0</v>
      </c>
      <c r="BA9" s="100">
        <f t="shared" si="2"/>
        <v>0</v>
      </c>
      <c r="BB9" s="100">
        <f t="shared" si="2"/>
        <v>0</v>
      </c>
      <c r="BC9" s="100">
        <f t="shared" si="2"/>
        <v>0</v>
      </c>
      <c r="BD9" s="100">
        <f t="shared" si="2"/>
        <v>0</v>
      </c>
      <c r="BE9" s="100">
        <f t="shared" si="2"/>
        <v>0</v>
      </c>
      <c r="BF9" s="100">
        <f t="shared" si="2"/>
        <v>0</v>
      </c>
      <c r="BG9" s="100">
        <f t="shared" si="2"/>
        <v>0</v>
      </c>
      <c r="BH9" s="100">
        <f>BH10+BH17</f>
        <v>0</v>
      </c>
      <c r="BI9" s="100">
        <f>BI10+BI17</f>
        <v>0</v>
      </c>
      <c r="BJ9" s="100">
        <f>BJ10+BJ17</f>
        <v>0</v>
      </c>
      <c r="BK9" s="100">
        <f>BK10+BK17</f>
        <v>0</v>
      </c>
      <c r="BL9" s="100">
        <f>O9+S9+T9+U9+V9+BH9</f>
        <v>0.5</v>
      </c>
      <c r="BM9" s="100">
        <f>BM10+BM17</f>
        <v>-0.5</v>
      </c>
      <c r="BN9" s="100">
        <f>D9+BM9</f>
        <v>58.51</v>
      </c>
      <c r="BP9" s="123"/>
    </row>
    <row r="10" spans="1:68" ht="19.5" hidden="1" customHeight="1">
      <c r="A10" s="14" t="s">
        <v>212</v>
      </c>
      <c r="B10" s="143" t="s">
        <v>472</v>
      </c>
      <c r="C10" s="5" t="s">
        <v>194</v>
      </c>
      <c r="D10" s="100">
        <f>D11+D15+D16</f>
        <v>31.22</v>
      </c>
      <c r="E10" s="100">
        <f t="shared" ref="E10:E66" si="4">F10+O10+S10+T10+U10</f>
        <v>31.22</v>
      </c>
      <c r="F10" s="100">
        <f>G10+N10</f>
        <v>31.22</v>
      </c>
      <c r="G10" s="100">
        <f>D10-BL10</f>
        <v>31.22</v>
      </c>
      <c r="H10" s="100">
        <f>I10+J10+K10</f>
        <v>17.09</v>
      </c>
      <c r="I10" s="100">
        <f>I11+I15+I16</f>
        <v>17.09</v>
      </c>
      <c r="J10" s="100">
        <f t="shared" ref="J10:BG10" si="5">J11+J15+J16</f>
        <v>0</v>
      </c>
      <c r="K10" s="100">
        <f t="shared" si="5"/>
        <v>0</v>
      </c>
      <c r="L10" s="100">
        <f t="shared" si="5"/>
        <v>0</v>
      </c>
      <c r="M10" s="100">
        <f t="shared" si="5"/>
        <v>14.13</v>
      </c>
      <c r="N10" s="100">
        <f t="shared" si="5"/>
        <v>0</v>
      </c>
      <c r="O10" s="100">
        <f t="shared" si="3"/>
        <v>0</v>
      </c>
      <c r="P10" s="100">
        <f t="shared" si="5"/>
        <v>0</v>
      </c>
      <c r="Q10" s="100">
        <f t="shared" si="5"/>
        <v>0</v>
      </c>
      <c r="R10" s="100">
        <f t="shared" si="5"/>
        <v>0</v>
      </c>
      <c r="S10" s="100">
        <f t="shared" si="5"/>
        <v>0</v>
      </c>
      <c r="T10" s="100">
        <f t="shared" si="5"/>
        <v>0</v>
      </c>
      <c r="U10" s="100">
        <f t="shared" si="5"/>
        <v>0</v>
      </c>
      <c r="V10" s="100">
        <f t="shared" si="5"/>
        <v>0</v>
      </c>
      <c r="W10" s="100">
        <f t="shared" si="5"/>
        <v>0</v>
      </c>
      <c r="X10" s="100">
        <f t="shared" si="5"/>
        <v>0</v>
      </c>
      <c r="Y10" s="100">
        <f t="shared" si="5"/>
        <v>0</v>
      </c>
      <c r="Z10" s="100">
        <f t="shared" si="5"/>
        <v>0</v>
      </c>
      <c r="AA10" s="100">
        <f t="shared" si="5"/>
        <v>0</v>
      </c>
      <c r="AB10" s="100">
        <f t="shared" si="5"/>
        <v>0</v>
      </c>
      <c r="AC10" s="100">
        <f t="shared" si="5"/>
        <v>0</v>
      </c>
      <c r="AD10" s="100">
        <f t="shared" si="5"/>
        <v>0</v>
      </c>
      <c r="AE10" s="100">
        <f t="shared" si="5"/>
        <v>0</v>
      </c>
      <c r="AF10" s="100">
        <f t="shared" si="5"/>
        <v>0</v>
      </c>
      <c r="AG10" s="100">
        <f t="shared" si="5"/>
        <v>0</v>
      </c>
      <c r="AH10" s="100">
        <f t="shared" si="5"/>
        <v>0</v>
      </c>
      <c r="AI10" s="100">
        <f t="shared" si="5"/>
        <v>0</v>
      </c>
      <c r="AJ10" s="100">
        <f t="shared" si="5"/>
        <v>0</v>
      </c>
      <c r="AK10" s="100">
        <f t="shared" si="5"/>
        <v>0</v>
      </c>
      <c r="AL10" s="100">
        <f t="shared" si="5"/>
        <v>0</v>
      </c>
      <c r="AM10" s="100">
        <f t="shared" si="5"/>
        <v>0</v>
      </c>
      <c r="AN10" s="100">
        <f t="shared" si="5"/>
        <v>0</v>
      </c>
      <c r="AO10" s="100">
        <f t="shared" si="5"/>
        <v>0</v>
      </c>
      <c r="AP10" s="100">
        <f t="shared" si="5"/>
        <v>0</v>
      </c>
      <c r="AQ10" s="100">
        <f t="shared" si="5"/>
        <v>0</v>
      </c>
      <c r="AR10" s="100">
        <f t="shared" si="5"/>
        <v>0</v>
      </c>
      <c r="AS10" s="100">
        <f t="shared" si="5"/>
        <v>0</v>
      </c>
      <c r="AT10" s="100">
        <f t="shared" si="5"/>
        <v>0</v>
      </c>
      <c r="AU10" s="100">
        <f t="shared" si="5"/>
        <v>0</v>
      </c>
      <c r="AV10" s="100">
        <f t="shared" si="5"/>
        <v>0</v>
      </c>
      <c r="AW10" s="100">
        <f t="shared" si="5"/>
        <v>0</v>
      </c>
      <c r="AX10" s="100">
        <f t="shared" si="5"/>
        <v>0</v>
      </c>
      <c r="AY10" s="100">
        <f t="shared" si="5"/>
        <v>0</v>
      </c>
      <c r="AZ10" s="100">
        <f t="shared" si="5"/>
        <v>0</v>
      </c>
      <c r="BA10" s="100">
        <f t="shared" si="5"/>
        <v>0</v>
      </c>
      <c r="BB10" s="100">
        <f t="shared" si="5"/>
        <v>0</v>
      </c>
      <c r="BC10" s="100">
        <f t="shared" si="5"/>
        <v>0</v>
      </c>
      <c r="BD10" s="100">
        <f t="shared" si="5"/>
        <v>0</v>
      </c>
      <c r="BE10" s="100">
        <f t="shared" si="5"/>
        <v>0</v>
      </c>
      <c r="BF10" s="100">
        <f t="shared" si="5"/>
        <v>0</v>
      </c>
      <c r="BG10" s="100">
        <f t="shared" si="5"/>
        <v>0</v>
      </c>
      <c r="BH10" s="100">
        <f>BH11+BH15+BH16</f>
        <v>0</v>
      </c>
      <c r="BI10" s="100">
        <f>BI11+BI15+BI16</f>
        <v>0</v>
      </c>
      <c r="BJ10" s="100">
        <f>BJ11+BJ15+BJ16</f>
        <v>0</v>
      </c>
      <c r="BK10" s="100">
        <f>BK11+BK15+BK16</f>
        <v>0</v>
      </c>
      <c r="BL10" s="100">
        <f>N10+O10+S10+T10+U10+V10+BH10</f>
        <v>0</v>
      </c>
      <c r="BM10" s="100">
        <f>BM11+BM15+BM16</f>
        <v>0</v>
      </c>
      <c r="BN10" s="100">
        <f>BN11+BN15+BN16</f>
        <v>31.22</v>
      </c>
      <c r="BP10" s="123"/>
    </row>
    <row r="11" spans="1:68" ht="20.100000000000001" customHeight="1">
      <c r="A11" s="14" t="s">
        <v>213</v>
      </c>
      <c r="B11" s="143" t="s">
        <v>17</v>
      </c>
      <c r="C11" s="5" t="s">
        <v>18</v>
      </c>
      <c r="D11" s="100">
        <f>D12+D13+D14</f>
        <v>17.09</v>
      </c>
      <c r="E11" s="100">
        <f t="shared" si="4"/>
        <v>17.09</v>
      </c>
      <c r="F11" s="100">
        <f t="shared" ref="F11:F24" si="6">G11+N11</f>
        <v>17.09</v>
      </c>
      <c r="G11" s="100">
        <f>H11+L11+M11</f>
        <v>17.09</v>
      </c>
      <c r="H11" s="100">
        <f>D11-BL11</f>
        <v>17.09</v>
      </c>
      <c r="I11" s="100">
        <f>I12+I13+I14</f>
        <v>17.09</v>
      </c>
      <c r="J11" s="100">
        <f t="shared" ref="J11:BG11" si="7">J12+J13+J14</f>
        <v>0</v>
      </c>
      <c r="K11" s="100">
        <f t="shared" si="7"/>
        <v>0</v>
      </c>
      <c r="L11" s="100">
        <f t="shared" si="7"/>
        <v>0</v>
      </c>
      <c r="M11" s="100">
        <f t="shared" si="7"/>
        <v>0</v>
      </c>
      <c r="N11" s="100">
        <f t="shared" si="7"/>
        <v>0</v>
      </c>
      <c r="O11" s="100">
        <f t="shared" si="3"/>
        <v>0</v>
      </c>
      <c r="P11" s="100">
        <f t="shared" si="7"/>
        <v>0</v>
      </c>
      <c r="Q11" s="100">
        <f t="shared" si="7"/>
        <v>0</v>
      </c>
      <c r="R11" s="100">
        <f t="shared" si="7"/>
        <v>0</v>
      </c>
      <c r="S11" s="100">
        <f t="shared" si="7"/>
        <v>0</v>
      </c>
      <c r="T11" s="100">
        <f t="shared" si="7"/>
        <v>0</v>
      </c>
      <c r="U11" s="100">
        <f t="shared" si="7"/>
        <v>0</v>
      </c>
      <c r="V11" s="100">
        <f t="shared" si="7"/>
        <v>0</v>
      </c>
      <c r="W11" s="100">
        <f t="shared" si="7"/>
        <v>0</v>
      </c>
      <c r="X11" s="100">
        <f t="shared" si="7"/>
        <v>0</v>
      </c>
      <c r="Y11" s="100">
        <f t="shared" si="7"/>
        <v>0</v>
      </c>
      <c r="Z11" s="100">
        <f t="shared" si="7"/>
        <v>0</v>
      </c>
      <c r="AA11" s="100">
        <f t="shared" si="7"/>
        <v>0</v>
      </c>
      <c r="AB11" s="100">
        <f t="shared" si="7"/>
        <v>0</v>
      </c>
      <c r="AC11" s="100">
        <f t="shared" si="7"/>
        <v>0</v>
      </c>
      <c r="AD11" s="100">
        <f t="shared" si="7"/>
        <v>0</v>
      </c>
      <c r="AE11" s="100">
        <f t="shared" si="7"/>
        <v>0</v>
      </c>
      <c r="AF11" s="100">
        <f t="shared" si="7"/>
        <v>0</v>
      </c>
      <c r="AG11" s="100">
        <f t="shared" si="7"/>
        <v>0</v>
      </c>
      <c r="AH11" s="100">
        <f t="shared" si="7"/>
        <v>0</v>
      </c>
      <c r="AI11" s="100">
        <f t="shared" si="7"/>
        <v>0</v>
      </c>
      <c r="AJ11" s="100">
        <f t="shared" si="7"/>
        <v>0</v>
      </c>
      <c r="AK11" s="100">
        <f t="shared" si="7"/>
        <v>0</v>
      </c>
      <c r="AL11" s="100">
        <f t="shared" si="7"/>
        <v>0</v>
      </c>
      <c r="AM11" s="100">
        <f t="shared" si="7"/>
        <v>0</v>
      </c>
      <c r="AN11" s="100">
        <f t="shared" si="7"/>
        <v>0</v>
      </c>
      <c r="AO11" s="100">
        <f t="shared" si="7"/>
        <v>0</v>
      </c>
      <c r="AP11" s="100">
        <f t="shared" si="7"/>
        <v>0</v>
      </c>
      <c r="AQ11" s="100">
        <f t="shared" si="7"/>
        <v>0</v>
      </c>
      <c r="AR11" s="100">
        <f t="shared" si="7"/>
        <v>0</v>
      </c>
      <c r="AS11" s="100">
        <f t="shared" si="7"/>
        <v>0</v>
      </c>
      <c r="AT11" s="100">
        <f t="shared" si="7"/>
        <v>0</v>
      </c>
      <c r="AU11" s="100">
        <f t="shared" si="7"/>
        <v>0</v>
      </c>
      <c r="AV11" s="100">
        <f t="shared" si="7"/>
        <v>0</v>
      </c>
      <c r="AW11" s="100">
        <f t="shared" si="7"/>
        <v>0</v>
      </c>
      <c r="AX11" s="100">
        <f t="shared" si="7"/>
        <v>0</v>
      </c>
      <c r="AY11" s="100">
        <f t="shared" si="7"/>
        <v>0</v>
      </c>
      <c r="AZ11" s="100">
        <f t="shared" si="7"/>
        <v>0</v>
      </c>
      <c r="BA11" s="100">
        <f t="shared" si="7"/>
        <v>0</v>
      </c>
      <c r="BB11" s="100">
        <f t="shared" si="7"/>
        <v>0</v>
      </c>
      <c r="BC11" s="100">
        <f t="shared" si="7"/>
        <v>0</v>
      </c>
      <c r="BD11" s="100">
        <f t="shared" si="7"/>
        <v>0</v>
      </c>
      <c r="BE11" s="100">
        <f t="shared" si="7"/>
        <v>0</v>
      </c>
      <c r="BF11" s="100">
        <f t="shared" si="7"/>
        <v>0</v>
      </c>
      <c r="BG11" s="100">
        <f t="shared" si="7"/>
        <v>0</v>
      </c>
      <c r="BH11" s="100">
        <f>BH12+BH13+BH14</f>
        <v>0</v>
      </c>
      <c r="BI11" s="100">
        <f>BI12+BI13+BI14</f>
        <v>0</v>
      </c>
      <c r="BJ11" s="100">
        <f>BJ12+BJ13+BJ14</f>
        <v>0</v>
      </c>
      <c r="BK11" s="100">
        <f>BK12+BK13+BK14</f>
        <v>0</v>
      </c>
      <c r="BL11" s="100">
        <f>L11+M11+N11+S11+T11+U11+V11+BH11</f>
        <v>0</v>
      </c>
      <c r="BM11" s="100">
        <f>H67-BL11</f>
        <v>0</v>
      </c>
      <c r="BN11" s="100">
        <f>BN12+BN13+BN14</f>
        <v>17.09</v>
      </c>
      <c r="BP11" s="123"/>
    </row>
    <row r="12" spans="1:68" ht="20.100000000000001" customHeight="1">
      <c r="A12" s="14" t="s">
        <v>214</v>
      </c>
      <c r="B12" s="143" t="s">
        <v>473</v>
      </c>
      <c r="C12" s="5" t="s">
        <v>20</v>
      </c>
      <c r="D12" s="100">
        <f>#REF!</f>
        <v>17.09</v>
      </c>
      <c r="E12" s="100">
        <f t="shared" si="4"/>
        <v>17.09</v>
      </c>
      <c r="F12" s="100">
        <f t="shared" si="6"/>
        <v>17.09</v>
      </c>
      <c r="G12" s="100">
        <f t="shared" ref="G12:G66" si="8">H12+L12+M12</f>
        <v>17.09</v>
      </c>
      <c r="H12" s="100">
        <f>I12+J12+K12</f>
        <v>17.09</v>
      </c>
      <c r="I12" s="100">
        <f>D12-BL12</f>
        <v>17.09</v>
      </c>
      <c r="J12" s="100"/>
      <c r="K12" s="100"/>
      <c r="L12" s="100"/>
      <c r="M12" s="100"/>
      <c r="N12" s="100"/>
      <c r="O12" s="100">
        <f t="shared" si="3"/>
        <v>0</v>
      </c>
      <c r="P12" s="100"/>
      <c r="Q12" s="100"/>
      <c r="R12" s="100"/>
      <c r="S12" s="100"/>
      <c r="T12" s="100"/>
      <c r="U12" s="100"/>
      <c r="V12" s="100">
        <f>W12+X12+Y12+Z12+AA12+AB12+AC12+AD12+AE12+AQ12+AR12+AS12+AT12+AU12+AV12+AW12+AX12+AY12+AZ12+BA12+BB12+BC12+BD12+BE12+BF12+BG12</f>
        <v>0</v>
      </c>
      <c r="W12" s="100"/>
      <c r="X12" s="100"/>
      <c r="Y12" s="100"/>
      <c r="Z12" s="100"/>
      <c r="AA12" s="100"/>
      <c r="AB12" s="100"/>
      <c r="AC12" s="100"/>
      <c r="AD12" s="100"/>
      <c r="AE12" s="100">
        <f t="shared" ref="AE12:AE33" si="9">SUM(AF12:AP12)</f>
        <v>0</v>
      </c>
      <c r="AF12" s="100"/>
      <c r="AG12" s="100"/>
      <c r="AH12" s="100"/>
      <c r="AI12" s="100"/>
      <c r="AJ12" s="100"/>
      <c r="AK12" s="100"/>
      <c r="AL12" s="100"/>
      <c r="AM12" s="100"/>
      <c r="AN12" s="100"/>
      <c r="AO12" s="100"/>
      <c r="AP12" s="100"/>
      <c r="AQ12" s="100"/>
      <c r="AR12" s="100"/>
      <c r="AS12" s="100"/>
      <c r="AT12" s="100"/>
      <c r="AU12" s="100"/>
      <c r="AV12" s="100"/>
      <c r="AW12" s="100"/>
      <c r="AX12" s="100"/>
      <c r="AY12" s="100"/>
      <c r="AZ12" s="100"/>
      <c r="BA12" s="100"/>
      <c r="BB12" s="100"/>
      <c r="BC12" s="100"/>
      <c r="BD12" s="100"/>
      <c r="BE12" s="100"/>
      <c r="BF12" s="100"/>
      <c r="BG12" s="100"/>
      <c r="BH12" s="100">
        <f t="shared" ref="BH12:BH17" si="10">BI12+BJ12+BK12</f>
        <v>0</v>
      </c>
      <c r="BI12" s="100"/>
      <c r="BJ12" s="100"/>
      <c r="BK12" s="100"/>
      <c r="BL12" s="100">
        <f>J12+K12+L12+M12+N12+O12+S12+T12+U12+V12+BH12</f>
        <v>0</v>
      </c>
      <c r="BM12" s="100">
        <f>I67-BL12</f>
        <v>0</v>
      </c>
      <c r="BN12" s="100">
        <f t="shared" ref="BN12:BN17" si="11">D12+BM12</f>
        <v>17.09</v>
      </c>
      <c r="BP12" s="123"/>
    </row>
    <row r="13" spans="1:68" ht="18.75" customHeight="1">
      <c r="A13" s="14" t="s">
        <v>215</v>
      </c>
      <c r="B13" s="143" t="s">
        <v>474</v>
      </c>
      <c r="C13" s="5" t="s">
        <v>195</v>
      </c>
      <c r="D13" s="100"/>
      <c r="E13" s="100">
        <f t="shared" si="4"/>
        <v>0</v>
      </c>
      <c r="F13" s="100">
        <f t="shared" si="6"/>
        <v>0</v>
      </c>
      <c r="G13" s="100">
        <f t="shared" si="8"/>
        <v>0</v>
      </c>
      <c r="H13" s="100">
        <f t="shared" ref="H13:H66" si="12">I13+J13+K13</f>
        <v>0</v>
      </c>
      <c r="I13" s="100"/>
      <c r="J13" s="100">
        <f>D13-BL13</f>
        <v>0</v>
      </c>
      <c r="K13" s="100"/>
      <c r="L13" s="100"/>
      <c r="M13" s="100"/>
      <c r="N13" s="100"/>
      <c r="O13" s="100">
        <f t="shared" si="3"/>
        <v>0</v>
      </c>
      <c r="P13" s="100"/>
      <c r="Q13" s="100"/>
      <c r="R13" s="100"/>
      <c r="S13" s="100"/>
      <c r="T13" s="100"/>
      <c r="U13" s="100"/>
      <c r="V13" s="100">
        <f t="shared" ref="V13:V66" si="13">W13+X13+Y13+Z13+AA13+AB13+AC13+AD13+AE13+AQ13+AR13+AS13+AT13+AU13+AV13+AW13+AX13+AY13+AZ13+BA13+BB13+BC13+BD13+BE13+BF13+BG13</f>
        <v>0</v>
      </c>
      <c r="W13" s="100"/>
      <c r="X13" s="100"/>
      <c r="Y13" s="100"/>
      <c r="Z13" s="100"/>
      <c r="AA13" s="100"/>
      <c r="AB13" s="100"/>
      <c r="AC13" s="100"/>
      <c r="AD13" s="100"/>
      <c r="AE13" s="100">
        <f t="shared" si="9"/>
        <v>0</v>
      </c>
      <c r="AF13" s="100"/>
      <c r="AG13" s="100"/>
      <c r="AH13" s="100"/>
      <c r="AI13" s="100"/>
      <c r="AJ13" s="100"/>
      <c r="AK13" s="100"/>
      <c r="AL13" s="100"/>
      <c r="AM13" s="100"/>
      <c r="AN13" s="100"/>
      <c r="AO13" s="100"/>
      <c r="AP13" s="100"/>
      <c r="AQ13" s="100"/>
      <c r="AR13" s="100"/>
      <c r="AS13" s="100"/>
      <c r="AT13" s="100"/>
      <c r="AU13" s="100"/>
      <c r="AV13" s="100"/>
      <c r="AW13" s="100"/>
      <c r="AX13" s="100"/>
      <c r="AY13" s="100"/>
      <c r="AZ13" s="100"/>
      <c r="BA13" s="100"/>
      <c r="BB13" s="100"/>
      <c r="BC13" s="100"/>
      <c r="BD13" s="100"/>
      <c r="BE13" s="100"/>
      <c r="BF13" s="100"/>
      <c r="BG13" s="100"/>
      <c r="BH13" s="100">
        <f t="shared" si="10"/>
        <v>0</v>
      </c>
      <c r="BI13" s="100"/>
      <c r="BJ13" s="100"/>
      <c r="BK13" s="100"/>
      <c r="BL13" s="100">
        <f>I13+K13+L13+M13+N13+O13+S13+T13+U13+V13+BH13</f>
        <v>0</v>
      </c>
      <c r="BM13" s="100">
        <f>J67-BL13</f>
        <v>0</v>
      </c>
      <c r="BN13" s="100">
        <f t="shared" si="11"/>
        <v>0</v>
      </c>
      <c r="BP13" s="123"/>
    </row>
    <row r="14" spans="1:68" ht="19.5" hidden="1" customHeight="1">
      <c r="A14" s="14" t="s">
        <v>216</v>
      </c>
      <c r="B14" s="143" t="s">
        <v>475</v>
      </c>
      <c r="C14" s="5" t="s">
        <v>196</v>
      </c>
      <c r="D14" s="100"/>
      <c r="E14" s="100">
        <f t="shared" si="4"/>
        <v>0</v>
      </c>
      <c r="F14" s="100">
        <f t="shared" si="6"/>
        <v>0</v>
      </c>
      <c r="G14" s="100">
        <f t="shared" si="8"/>
        <v>0</v>
      </c>
      <c r="H14" s="100">
        <f t="shared" si="12"/>
        <v>0</v>
      </c>
      <c r="I14" s="100"/>
      <c r="J14" s="100"/>
      <c r="K14" s="100">
        <f>D14-BL14</f>
        <v>0</v>
      </c>
      <c r="L14" s="100"/>
      <c r="M14" s="100"/>
      <c r="N14" s="100"/>
      <c r="O14" s="100">
        <f t="shared" si="3"/>
        <v>0</v>
      </c>
      <c r="P14" s="100"/>
      <c r="Q14" s="100"/>
      <c r="R14" s="100"/>
      <c r="S14" s="100"/>
      <c r="T14" s="100"/>
      <c r="U14" s="100"/>
      <c r="V14" s="100">
        <f t="shared" si="13"/>
        <v>0</v>
      </c>
      <c r="W14" s="100"/>
      <c r="X14" s="100"/>
      <c r="Y14" s="100"/>
      <c r="Z14" s="100"/>
      <c r="AA14" s="100"/>
      <c r="AB14" s="100"/>
      <c r="AC14" s="100"/>
      <c r="AD14" s="100"/>
      <c r="AE14" s="100">
        <f t="shared" si="9"/>
        <v>0</v>
      </c>
      <c r="AF14" s="100"/>
      <c r="AG14" s="100"/>
      <c r="AH14" s="100"/>
      <c r="AI14" s="100"/>
      <c r="AJ14" s="100"/>
      <c r="AK14" s="100"/>
      <c r="AL14" s="100"/>
      <c r="AM14" s="100"/>
      <c r="AN14" s="100"/>
      <c r="AO14" s="100"/>
      <c r="AP14" s="100"/>
      <c r="AQ14" s="100"/>
      <c r="AR14" s="100"/>
      <c r="AS14" s="100"/>
      <c r="AT14" s="100"/>
      <c r="AU14" s="100"/>
      <c r="AV14" s="100"/>
      <c r="AW14" s="100"/>
      <c r="AX14" s="100"/>
      <c r="AY14" s="100"/>
      <c r="AZ14" s="100"/>
      <c r="BA14" s="100"/>
      <c r="BB14" s="100"/>
      <c r="BC14" s="100"/>
      <c r="BD14" s="100"/>
      <c r="BE14" s="100"/>
      <c r="BF14" s="100"/>
      <c r="BG14" s="100"/>
      <c r="BH14" s="100">
        <f t="shared" si="10"/>
        <v>0</v>
      </c>
      <c r="BI14" s="100"/>
      <c r="BJ14" s="100"/>
      <c r="BK14" s="100"/>
      <c r="BL14" s="100">
        <f>I14+J14+L14+M14+N14+O14+S14+T14+U14+V14+BH14</f>
        <v>0</v>
      </c>
      <c r="BM14" s="100">
        <f>K67-BL14</f>
        <v>0</v>
      </c>
      <c r="BN14" s="100">
        <f t="shared" si="11"/>
        <v>0</v>
      </c>
      <c r="BP14" s="123"/>
    </row>
    <row r="15" spans="1:68" ht="19.5" hidden="1" customHeight="1">
      <c r="A15" s="14" t="s">
        <v>217</v>
      </c>
      <c r="B15" s="143" t="s">
        <v>476</v>
      </c>
      <c r="C15" s="5" t="s">
        <v>197</v>
      </c>
      <c r="D15" s="100"/>
      <c r="E15" s="100">
        <f t="shared" si="4"/>
        <v>0</v>
      </c>
      <c r="F15" s="100">
        <f t="shared" si="6"/>
        <v>0</v>
      </c>
      <c r="G15" s="100">
        <f t="shared" si="8"/>
        <v>0</v>
      </c>
      <c r="H15" s="100">
        <f t="shared" si="12"/>
        <v>0</v>
      </c>
      <c r="I15" s="100"/>
      <c r="J15" s="100"/>
      <c r="K15" s="100"/>
      <c r="L15" s="100">
        <f>D15-BL15</f>
        <v>0</v>
      </c>
      <c r="M15" s="100"/>
      <c r="N15" s="100"/>
      <c r="O15" s="100">
        <f t="shared" si="3"/>
        <v>0</v>
      </c>
      <c r="P15" s="100"/>
      <c r="Q15" s="100"/>
      <c r="R15" s="100"/>
      <c r="S15" s="100"/>
      <c r="T15" s="100"/>
      <c r="U15" s="100"/>
      <c r="V15" s="100">
        <f t="shared" si="13"/>
        <v>0</v>
      </c>
      <c r="W15" s="100"/>
      <c r="X15" s="100"/>
      <c r="Y15" s="100"/>
      <c r="Z15" s="100"/>
      <c r="AA15" s="100"/>
      <c r="AB15" s="100"/>
      <c r="AC15" s="100"/>
      <c r="AD15" s="100"/>
      <c r="AE15" s="100">
        <f t="shared" si="9"/>
        <v>0</v>
      </c>
      <c r="AF15" s="100"/>
      <c r="AG15" s="100"/>
      <c r="AH15" s="100"/>
      <c r="AI15" s="100"/>
      <c r="AJ15" s="100"/>
      <c r="AK15" s="100"/>
      <c r="AL15" s="100"/>
      <c r="AM15" s="100"/>
      <c r="AN15" s="100"/>
      <c r="AO15" s="100"/>
      <c r="AP15" s="100"/>
      <c r="AQ15" s="100"/>
      <c r="AR15" s="100"/>
      <c r="AS15" s="100"/>
      <c r="AT15" s="100"/>
      <c r="AU15" s="100"/>
      <c r="AV15" s="100"/>
      <c r="AW15" s="100"/>
      <c r="AX15" s="100"/>
      <c r="AY15" s="100"/>
      <c r="AZ15" s="100"/>
      <c r="BA15" s="100"/>
      <c r="BB15" s="100"/>
      <c r="BC15" s="100"/>
      <c r="BD15" s="100"/>
      <c r="BE15" s="100"/>
      <c r="BF15" s="100"/>
      <c r="BG15" s="100"/>
      <c r="BH15" s="100">
        <f t="shared" si="10"/>
        <v>0</v>
      </c>
      <c r="BI15" s="100"/>
      <c r="BJ15" s="100"/>
      <c r="BK15" s="100"/>
      <c r="BL15" s="100">
        <f>H15+M15+N15+O15+S15+T15+U15+V15+BH15</f>
        <v>0</v>
      </c>
      <c r="BM15" s="100">
        <f>L67-BL15</f>
        <v>0</v>
      </c>
      <c r="BN15" s="100">
        <f t="shared" si="11"/>
        <v>0</v>
      </c>
      <c r="BP15" s="123"/>
    </row>
    <row r="16" spans="1:68" ht="20.100000000000001" customHeight="1">
      <c r="A16" s="14" t="s">
        <v>218</v>
      </c>
      <c r="B16" s="143" t="s">
        <v>22</v>
      </c>
      <c r="C16" s="5" t="s">
        <v>23</v>
      </c>
      <c r="D16" s="100">
        <f>#REF!</f>
        <v>14.13</v>
      </c>
      <c r="E16" s="100">
        <f t="shared" si="4"/>
        <v>14.13</v>
      </c>
      <c r="F16" s="100">
        <f t="shared" si="6"/>
        <v>14.13</v>
      </c>
      <c r="G16" s="100">
        <f t="shared" si="8"/>
        <v>14.13</v>
      </c>
      <c r="H16" s="100">
        <f t="shared" si="12"/>
        <v>0</v>
      </c>
      <c r="I16" s="100"/>
      <c r="J16" s="100"/>
      <c r="K16" s="100"/>
      <c r="L16" s="100"/>
      <c r="M16" s="100">
        <f>D16-BL16</f>
        <v>14.13</v>
      </c>
      <c r="N16" s="100"/>
      <c r="O16" s="100">
        <f t="shared" si="3"/>
        <v>0</v>
      </c>
      <c r="P16" s="100"/>
      <c r="Q16" s="100"/>
      <c r="R16" s="100"/>
      <c r="S16" s="100"/>
      <c r="T16" s="100"/>
      <c r="U16" s="100"/>
      <c r="V16" s="100">
        <f t="shared" si="13"/>
        <v>0</v>
      </c>
      <c r="W16" s="100"/>
      <c r="X16" s="100"/>
      <c r="Y16" s="100"/>
      <c r="Z16" s="100"/>
      <c r="AA16" s="100"/>
      <c r="AB16" s="100"/>
      <c r="AC16" s="100"/>
      <c r="AD16" s="100"/>
      <c r="AE16" s="100">
        <f t="shared" si="9"/>
        <v>0</v>
      </c>
      <c r="AF16" s="100"/>
      <c r="AG16" s="100"/>
      <c r="AH16" s="100"/>
      <c r="AI16" s="100"/>
      <c r="AJ16" s="100"/>
      <c r="AK16" s="100"/>
      <c r="AL16" s="100"/>
      <c r="AM16" s="100"/>
      <c r="AN16" s="100"/>
      <c r="AO16" s="100"/>
      <c r="AP16" s="100"/>
      <c r="AQ16" s="100"/>
      <c r="AR16" s="100"/>
      <c r="AS16" s="100"/>
      <c r="AT16" s="100"/>
      <c r="AU16" s="100"/>
      <c r="AV16" s="100"/>
      <c r="AW16" s="100"/>
      <c r="AX16" s="100"/>
      <c r="AY16" s="100"/>
      <c r="AZ16" s="100"/>
      <c r="BA16" s="100"/>
      <c r="BB16" s="100"/>
      <c r="BC16" s="100"/>
      <c r="BD16" s="100"/>
      <c r="BE16" s="100"/>
      <c r="BF16" s="100"/>
      <c r="BG16" s="100"/>
      <c r="BH16" s="100">
        <f t="shared" si="10"/>
        <v>0</v>
      </c>
      <c r="BI16" s="100"/>
      <c r="BJ16" s="100"/>
      <c r="BK16" s="100"/>
      <c r="BL16" s="100">
        <f>H16+L16+N16+S16+T16+U16+V16+BH16</f>
        <v>0</v>
      </c>
      <c r="BM16" s="100">
        <f>M67-BL16</f>
        <v>0</v>
      </c>
      <c r="BN16" s="100">
        <f t="shared" si="11"/>
        <v>14.13</v>
      </c>
      <c r="BP16" s="123"/>
    </row>
    <row r="17" spans="1:68" ht="18" customHeight="1">
      <c r="A17" s="14" t="s">
        <v>219</v>
      </c>
      <c r="B17" s="143" t="s">
        <v>25</v>
      </c>
      <c r="C17" s="5" t="s">
        <v>26</v>
      </c>
      <c r="D17" s="100">
        <f>#REF!</f>
        <v>27.79</v>
      </c>
      <c r="E17" s="100">
        <f t="shared" si="4"/>
        <v>27.29</v>
      </c>
      <c r="F17" s="100">
        <f t="shared" si="6"/>
        <v>27.29</v>
      </c>
      <c r="G17" s="100">
        <f t="shared" si="8"/>
        <v>0</v>
      </c>
      <c r="H17" s="100">
        <f t="shared" si="12"/>
        <v>0</v>
      </c>
      <c r="I17" s="100"/>
      <c r="J17" s="100"/>
      <c r="K17" s="100"/>
      <c r="L17" s="100"/>
      <c r="M17" s="100"/>
      <c r="N17" s="100">
        <f>D17-BL17</f>
        <v>27.29</v>
      </c>
      <c r="O17" s="100">
        <f t="shared" si="3"/>
        <v>0</v>
      </c>
      <c r="P17" s="100"/>
      <c r="Q17" s="100"/>
      <c r="R17" s="100"/>
      <c r="S17" s="100"/>
      <c r="T17" s="100"/>
      <c r="U17" s="100"/>
      <c r="V17" s="100">
        <f t="shared" si="13"/>
        <v>0.5</v>
      </c>
      <c r="W17" s="100"/>
      <c r="X17" s="100"/>
      <c r="Y17" s="100"/>
      <c r="Z17" s="100"/>
      <c r="AA17" s="100"/>
      <c r="AB17" s="100"/>
      <c r="AC17" s="100"/>
      <c r="AD17" s="100"/>
      <c r="AE17" s="100">
        <f t="shared" si="9"/>
        <v>0</v>
      </c>
      <c r="AF17" s="100"/>
      <c r="AG17" s="100"/>
      <c r="AH17" s="100"/>
      <c r="AI17" s="100"/>
      <c r="AJ17" s="100"/>
      <c r="AK17" s="100"/>
      <c r="AL17" s="100"/>
      <c r="AM17" s="100"/>
      <c r="AN17" s="100"/>
      <c r="AO17" s="100"/>
      <c r="AP17" s="100"/>
      <c r="AQ17" s="100"/>
      <c r="AR17" s="100"/>
      <c r="AS17" s="100"/>
      <c r="AT17" s="100"/>
      <c r="AU17" s="100">
        <v>0.5</v>
      </c>
      <c r="AV17" s="100"/>
      <c r="AW17" s="100"/>
      <c r="AX17" s="100"/>
      <c r="AY17" s="100"/>
      <c r="AZ17" s="100"/>
      <c r="BA17" s="100"/>
      <c r="BB17" s="100"/>
      <c r="BC17" s="100"/>
      <c r="BD17" s="100"/>
      <c r="BE17" s="100"/>
      <c r="BF17" s="100"/>
      <c r="BG17" s="100"/>
      <c r="BH17" s="100">
        <f t="shared" si="10"/>
        <v>0</v>
      </c>
      <c r="BI17" s="100"/>
      <c r="BJ17" s="100"/>
      <c r="BK17" s="100"/>
      <c r="BL17" s="100">
        <f>H17+L17+M17+O17+S17+T17+U17+V17+BH17</f>
        <v>0.5</v>
      </c>
      <c r="BM17" s="100">
        <f>N67-BL17</f>
        <v>-0.5</v>
      </c>
      <c r="BN17" s="100">
        <f t="shared" si="11"/>
        <v>27.29</v>
      </c>
      <c r="BP17" s="123"/>
    </row>
    <row r="18" spans="1:68" ht="19.5" hidden="1" customHeight="1">
      <c r="A18" s="14" t="s">
        <v>21</v>
      </c>
      <c r="B18" s="143" t="s">
        <v>477</v>
      </c>
      <c r="C18" s="5" t="s">
        <v>198</v>
      </c>
      <c r="D18" s="100">
        <f>D19+D20+D21</f>
        <v>536.34</v>
      </c>
      <c r="E18" s="100">
        <f t="shared" si="4"/>
        <v>535.12</v>
      </c>
      <c r="F18" s="100">
        <f t="shared" si="6"/>
        <v>0</v>
      </c>
      <c r="G18" s="100">
        <f t="shared" si="8"/>
        <v>0</v>
      </c>
      <c r="H18" s="100">
        <f t="shared" si="12"/>
        <v>0</v>
      </c>
      <c r="I18" s="100">
        <f t="shared" ref="I18:N18" si="14">I19+I20+I21</f>
        <v>0</v>
      </c>
      <c r="J18" s="100">
        <f t="shared" si="14"/>
        <v>0</v>
      </c>
      <c r="K18" s="100">
        <f t="shared" si="14"/>
        <v>0</v>
      </c>
      <c r="L18" s="100">
        <f t="shared" si="14"/>
        <v>0</v>
      </c>
      <c r="M18" s="100">
        <f t="shared" si="14"/>
        <v>0</v>
      </c>
      <c r="N18" s="100">
        <f t="shared" si="14"/>
        <v>0</v>
      </c>
      <c r="O18" s="100">
        <f>D18-BL18</f>
        <v>535.12</v>
      </c>
      <c r="P18" s="100">
        <f t="shared" ref="P18:BG18" si="15">P19+P20+P21</f>
        <v>512.98</v>
      </c>
      <c r="Q18" s="100">
        <f t="shared" si="15"/>
        <v>0</v>
      </c>
      <c r="R18" s="100">
        <f t="shared" si="15"/>
        <v>22.14</v>
      </c>
      <c r="S18" s="100">
        <f t="shared" si="15"/>
        <v>0</v>
      </c>
      <c r="T18" s="100">
        <f t="shared" si="15"/>
        <v>0</v>
      </c>
      <c r="U18" s="100">
        <f t="shared" si="15"/>
        <v>0</v>
      </c>
      <c r="V18" s="100">
        <f t="shared" si="15"/>
        <v>1.22</v>
      </c>
      <c r="W18" s="100">
        <f t="shared" si="15"/>
        <v>0.95</v>
      </c>
      <c r="X18" s="100">
        <f t="shared" si="15"/>
        <v>0</v>
      </c>
      <c r="Y18" s="100">
        <f t="shared" si="15"/>
        <v>0</v>
      </c>
      <c r="Z18" s="100">
        <f t="shared" si="15"/>
        <v>0</v>
      </c>
      <c r="AA18" s="100">
        <f t="shared" si="15"/>
        <v>0</v>
      </c>
      <c r="AB18" s="100">
        <f t="shared" si="15"/>
        <v>0</v>
      </c>
      <c r="AC18" s="100">
        <f t="shared" si="15"/>
        <v>0</v>
      </c>
      <c r="AD18" s="100">
        <f t="shared" si="15"/>
        <v>0</v>
      </c>
      <c r="AE18" s="100">
        <f t="shared" si="15"/>
        <v>0.27</v>
      </c>
      <c r="AF18" s="100">
        <f t="shared" si="15"/>
        <v>0</v>
      </c>
      <c r="AG18" s="100">
        <f t="shared" si="15"/>
        <v>0</v>
      </c>
      <c r="AH18" s="100">
        <f t="shared" si="15"/>
        <v>0</v>
      </c>
      <c r="AI18" s="100">
        <f t="shared" si="15"/>
        <v>0</v>
      </c>
      <c r="AJ18" s="100">
        <f t="shared" si="15"/>
        <v>0</v>
      </c>
      <c r="AK18" s="100">
        <f t="shared" si="15"/>
        <v>0</v>
      </c>
      <c r="AL18" s="100">
        <f t="shared" si="15"/>
        <v>0.27</v>
      </c>
      <c r="AM18" s="100">
        <f t="shared" si="15"/>
        <v>0</v>
      </c>
      <c r="AN18" s="100">
        <f t="shared" si="15"/>
        <v>0</v>
      </c>
      <c r="AO18" s="100">
        <f t="shared" si="15"/>
        <v>0</v>
      </c>
      <c r="AP18" s="100">
        <f t="shared" si="15"/>
        <v>0</v>
      </c>
      <c r="AQ18" s="100">
        <f t="shared" si="15"/>
        <v>0</v>
      </c>
      <c r="AR18" s="100">
        <f t="shared" si="15"/>
        <v>0</v>
      </c>
      <c r="AS18" s="100">
        <f t="shared" si="15"/>
        <v>0</v>
      </c>
      <c r="AT18" s="100">
        <f t="shared" si="15"/>
        <v>0</v>
      </c>
      <c r="AU18" s="100">
        <f t="shared" si="15"/>
        <v>0</v>
      </c>
      <c r="AV18" s="100">
        <f t="shared" si="15"/>
        <v>0</v>
      </c>
      <c r="AW18" s="100">
        <f t="shared" si="15"/>
        <v>0</v>
      </c>
      <c r="AX18" s="100">
        <f t="shared" si="15"/>
        <v>0</v>
      </c>
      <c r="AY18" s="100">
        <f t="shared" si="15"/>
        <v>0</v>
      </c>
      <c r="AZ18" s="100">
        <f t="shared" si="15"/>
        <v>0</v>
      </c>
      <c r="BA18" s="100">
        <f t="shared" si="15"/>
        <v>0</v>
      </c>
      <c r="BB18" s="100">
        <f t="shared" si="15"/>
        <v>0</v>
      </c>
      <c r="BC18" s="100">
        <f t="shared" si="15"/>
        <v>0</v>
      </c>
      <c r="BD18" s="100">
        <f t="shared" si="15"/>
        <v>0</v>
      </c>
      <c r="BE18" s="100">
        <f t="shared" si="15"/>
        <v>0</v>
      </c>
      <c r="BF18" s="100">
        <f t="shared" si="15"/>
        <v>0</v>
      </c>
      <c r="BG18" s="100">
        <f t="shared" si="15"/>
        <v>0</v>
      </c>
      <c r="BH18" s="100">
        <f>BH19+BH20+BH21</f>
        <v>0</v>
      </c>
      <c r="BI18" s="100">
        <f>BI19+BI20+BI21</f>
        <v>0</v>
      </c>
      <c r="BJ18" s="100">
        <f>BJ19+BJ20+BJ21</f>
        <v>0</v>
      </c>
      <c r="BK18" s="100">
        <f>BK19+BK20+BK21</f>
        <v>0</v>
      </c>
      <c r="BL18" s="100">
        <f>F18+S18+T18+U18+BH18+V18</f>
        <v>1.22</v>
      </c>
      <c r="BM18" s="100">
        <f>O67-BL18</f>
        <v>-1.22</v>
      </c>
      <c r="BN18" s="100">
        <f>BN19+BN20+BN21</f>
        <v>535.12</v>
      </c>
      <c r="BP18" s="123"/>
    </row>
    <row r="19" spans="1:68" ht="20.100000000000001" customHeight="1">
      <c r="A19" s="14" t="s">
        <v>182</v>
      </c>
      <c r="B19" s="143" t="s">
        <v>28</v>
      </c>
      <c r="C19" s="5" t="s">
        <v>29</v>
      </c>
      <c r="D19" s="100">
        <f>#REF!</f>
        <v>514.20000000000005</v>
      </c>
      <c r="E19" s="100">
        <f>F19+O19+S19+T19+U19</f>
        <v>512.98</v>
      </c>
      <c r="F19" s="100">
        <f>G19+N19</f>
        <v>0</v>
      </c>
      <c r="G19" s="100">
        <f>H19+L19+M19</f>
        <v>0</v>
      </c>
      <c r="H19" s="100">
        <f t="shared" si="12"/>
        <v>0</v>
      </c>
      <c r="I19" s="100"/>
      <c r="J19" s="100"/>
      <c r="K19" s="100"/>
      <c r="L19" s="100"/>
      <c r="M19" s="100"/>
      <c r="N19" s="100"/>
      <c r="O19" s="100">
        <f t="shared" ref="O19:O24" si="16">P19+Q19+R19</f>
        <v>512.98</v>
      </c>
      <c r="P19" s="100">
        <f>D19-BL19</f>
        <v>512.98</v>
      </c>
      <c r="Q19" s="100"/>
      <c r="R19" s="100"/>
      <c r="S19" s="100"/>
      <c r="T19" s="100"/>
      <c r="U19" s="100"/>
      <c r="V19" s="100">
        <f t="shared" si="13"/>
        <v>1.22</v>
      </c>
      <c r="W19" s="100">
        <v>0.95</v>
      </c>
      <c r="X19" s="100"/>
      <c r="Y19" s="100"/>
      <c r="Z19" s="100"/>
      <c r="AA19" s="100"/>
      <c r="AB19" s="100"/>
      <c r="AC19" s="100"/>
      <c r="AD19" s="100"/>
      <c r="AE19" s="100">
        <f t="shared" si="9"/>
        <v>0.27</v>
      </c>
      <c r="AF19" s="100"/>
      <c r="AG19" s="100"/>
      <c r="AH19" s="100"/>
      <c r="AI19" s="100"/>
      <c r="AJ19" s="100"/>
      <c r="AK19" s="100"/>
      <c r="AL19" s="100">
        <v>0.27</v>
      </c>
      <c r="AM19" s="100"/>
      <c r="AN19" s="100"/>
      <c r="AO19" s="100"/>
      <c r="AP19" s="100"/>
      <c r="AQ19" s="100"/>
      <c r="AR19" s="100"/>
      <c r="AS19" s="100"/>
      <c r="AT19" s="100"/>
      <c r="AU19" s="100"/>
      <c r="AV19" s="100"/>
      <c r="AW19" s="100"/>
      <c r="AX19" s="100"/>
      <c r="AY19" s="100"/>
      <c r="AZ19" s="100"/>
      <c r="BA19" s="100"/>
      <c r="BB19" s="100"/>
      <c r="BC19" s="100"/>
      <c r="BD19" s="100"/>
      <c r="BE19" s="100"/>
      <c r="BF19" s="100"/>
      <c r="BG19" s="100"/>
      <c r="BH19" s="100">
        <f t="shared" ref="BH19:BH24" si="17">BI19+BJ19+BK19</f>
        <v>0</v>
      </c>
      <c r="BI19" s="100"/>
      <c r="BJ19" s="100"/>
      <c r="BK19" s="100"/>
      <c r="BL19" s="100">
        <f>F19+Q19+R19+S19+T19+U19+V19+BH19</f>
        <v>1.22</v>
      </c>
      <c r="BM19" s="100">
        <f>P67-BL19</f>
        <v>-1.22</v>
      </c>
      <c r="BN19" s="100">
        <f t="shared" ref="BN19:BN24" si="18">D19+BM19</f>
        <v>512.98</v>
      </c>
      <c r="BP19" s="123"/>
    </row>
    <row r="20" spans="1:68" ht="20.100000000000001" customHeight="1">
      <c r="A20" s="14" t="s">
        <v>183</v>
      </c>
      <c r="B20" s="143" t="s">
        <v>31</v>
      </c>
      <c r="C20" s="5" t="s">
        <v>32</v>
      </c>
      <c r="D20" s="100"/>
      <c r="E20" s="100">
        <f t="shared" si="4"/>
        <v>0</v>
      </c>
      <c r="F20" s="100">
        <f t="shared" si="6"/>
        <v>0</v>
      </c>
      <c r="G20" s="100">
        <f t="shared" si="8"/>
        <v>0</v>
      </c>
      <c r="H20" s="100">
        <f t="shared" si="12"/>
        <v>0</v>
      </c>
      <c r="I20" s="100"/>
      <c r="J20" s="100"/>
      <c r="K20" s="100"/>
      <c r="L20" s="100"/>
      <c r="M20" s="100"/>
      <c r="N20" s="100"/>
      <c r="O20" s="100">
        <f t="shared" si="16"/>
        <v>0</v>
      </c>
      <c r="P20" s="100"/>
      <c r="Q20" s="100">
        <f>D20-BL20</f>
        <v>0</v>
      </c>
      <c r="R20" s="100"/>
      <c r="S20" s="100"/>
      <c r="T20" s="100"/>
      <c r="U20" s="100"/>
      <c r="V20" s="100">
        <f t="shared" si="13"/>
        <v>0</v>
      </c>
      <c r="W20" s="100"/>
      <c r="X20" s="100"/>
      <c r="Y20" s="100"/>
      <c r="Z20" s="100"/>
      <c r="AA20" s="100"/>
      <c r="AB20" s="100"/>
      <c r="AC20" s="100"/>
      <c r="AD20" s="100"/>
      <c r="AE20" s="100">
        <f t="shared" si="9"/>
        <v>0</v>
      </c>
      <c r="AF20" s="100"/>
      <c r="AG20" s="100"/>
      <c r="AH20" s="100"/>
      <c r="AI20" s="100"/>
      <c r="AJ20" s="100"/>
      <c r="AK20" s="100"/>
      <c r="AL20" s="100"/>
      <c r="AM20" s="100"/>
      <c r="AN20" s="100"/>
      <c r="AO20" s="100"/>
      <c r="AP20" s="100"/>
      <c r="AQ20" s="100"/>
      <c r="AR20" s="100"/>
      <c r="AS20" s="100"/>
      <c r="AT20" s="100"/>
      <c r="AU20" s="100"/>
      <c r="AV20" s="100"/>
      <c r="AW20" s="100"/>
      <c r="AX20" s="100"/>
      <c r="AY20" s="100"/>
      <c r="AZ20" s="100"/>
      <c r="BA20" s="100"/>
      <c r="BB20" s="100"/>
      <c r="BC20" s="100"/>
      <c r="BD20" s="100"/>
      <c r="BE20" s="100"/>
      <c r="BF20" s="100"/>
      <c r="BG20" s="100"/>
      <c r="BH20" s="100">
        <f t="shared" si="17"/>
        <v>0</v>
      </c>
      <c r="BI20" s="100"/>
      <c r="BJ20" s="100"/>
      <c r="BK20" s="100"/>
      <c r="BL20" s="100">
        <f>F20+P20+R20+S20+T20+U20+V20+BH20</f>
        <v>0</v>
      </c>
      <c r="BM20" s="100">
        <f>Q67-BL20</f>
        <v>0</v>
      </c>
      <c r="BN20" s="100">
        <f t="shared" si="18"/>
        <v>0</v>
      </c>
      <c r="BP20" s="123"/>
    </row>
    <row r="21" spans="1:68" ht="20.100000000000001" customHeight="1">
      <c r="A21" s="14" t="s">
        <v>184</v>
      </c>
      <c r="B21" s="143" t="s">
        <v>34</v>
      </c>
      <c r="C21" s="5" t="s">
        <v>35</v>
      </c>
      <c r="D21" s="100">
        <f>#REF!</f>
        <v>22.14</v>
      </c>
      <c r="E21" s="100">
        <f t="shared" si="4"/>
        <v>22.14</v>
      </c>
      <c r="F21" s="100">
        <f>G21+N21</f>
        <v>0</v>
      </c>
      <c r="G21" s="100">
        <f t="shared" si="8"/>
        <v>0</v>
      </c>
      <c r="H21" s="100">
        <f t="shared" si="12"/>
        <v>0</v>
      </c>
      <c r="I21" s="100"/>
      <c r="J21" s="100"/>
      <c r="K21" s="100"/>
      <c r="L21" s="100"/>
      <c r="M21" s="100"/>
      <c r="N21" s="100"/>
      <c r="O21" s="100">
        <f t="shared" si="16"/>
        <v>22.14</v>
      </c>
      <c r="P21" s="100"/>
      <c r="Q21" s="100"/>
      <c r="R21" s="100">
        <f>D21-BL21</f>
        <v>22.14</v>
      </c>
      <c r="S21" s="100"/>
      <c r="T21" s="100"/>
      <c r="U21" s="100"/>
      <c r="V21" s="100">
        <f t="shared" si="13"/>
        <v>0</v>
      </c>
      <c r="W21" s="100"/>
      <c r="X21" s="100"/>
      <c r="Y21" s="100"/>
      <c r="Z21" s="100"/>
      <c r="AA21" s="100"/>
      <c r="AB21" s="100"/>
      <c r="AC21" s="100"/>
      <c r="AD21" s="100"/>
      <c r="AE21" s="100">
        <f t="shared" si="9"/>
        <v>0</v>
      </c>
      <c r="AF21" s="100"/>
      <c r="AG21" s="100"/>
      <c r="AH21" s="100"/>
      <c r="AI21" s="100"/>
      <c r="AJ21" s="100"/>
      <c r="AK21" s="100"/>
      <c r="AL21" s="100"/>
      <c r="AM21" s="100"/>
      <c r="AN21" s="100"/>
      <c r="AO21" s="100"/>
      <c r="AP21" s="100"/>
      <c r="AQ21" s="100"/>
      <c r="AR21" s="100"/>
      <c r="AS21" s="100"/>
      <c r="AT21" s="100"/>
      <c r="AU21" s="100"/>
      <c r="AV21" s="100"/>
      <c r="AW21" s="100"/>
      <c r="AX21" s="100"/>
      <c r="AY21" s="100"/>
      <c r="AZ21" s="100"/>
      <c r="BA21" s="100"/>
      <c r="BB21" s="100"/>
      <c r="BC21" s="100"/>
      <c r="BD21" s="100"/>
      <c r="BE21" s="100"/>
      <c r="BF21" s="100"/>
      <c r="BG21" s="100"/>
      <c r="BH21" s="100">
        <f t="shared" si="17"/>
        <v>0</v>
      </c>
      <c r="BI21" s="100"/>
      <c r="BJ21" s="100"/>
      <c r="BK21" s="100"/>
      <c r="BL21" s="100">
        <f>F21+P21+Q21+S21+T21+U21+V21+BH21</f>
        <v>0</v>
      </c>
      <c r="BM21" s="100">
        <f>R67-BL21</f>
        <v>0</v>
      </c>
      <c r="BN21" s="100">
        <f t="shared" si="18"/>
        <v>22.14</v>
      </c>
      <c r="BP21" s="123"/>
    </row>
    <row r="22" spans="1:68" ht="20.100000000000001" customHeight="1">
      <c r="A22" s="14" t="s">
        <v>24</v>
      </c>
      <c r="B22" s="143" t="s">
        <v>37</v>
      </c>
      <c r="C22" s="5" t="s">
        <v>38</v>
      </c>
      <c r="D22" s="467">
        <f>#REF!</f>
        <v>111.45</v>
      </c>
      <c r="E22" s="100">
        <f>F22+O22+S22+T22+U22</f>
        <v>111.45</v>
      </c>
      <c r="F22" s="100">
        <f t="shared" si="6"/>
        <v>0</v>
      </c>
      <c r="G22" s="100">
        <f t="shared" si="8"/>
        <v>0</v>
      </c>
      <c r="H22" s="100">
        <f t="shared" si="12"/>
        <v>0</v>
      </c>
      <c r="I22" s="100"/>
      <c r="J22" s="100"/>
      <c r="K22" s="100"/>
      <c r="L22" s="100"/>
      <c r="M22" s="100"/>
      <c r="N22" s="100"/>
      <c r="O22" s="100">
        <f t="shared" si="16"/>
        <v>0</v>
      </c>
      <c r="P22" s="100"/>
      <c r="Q22" s="100"/>
      <c r="R22" s="100"/>
      <c r="S22" s="100">
        <f>D22-BL22</f>
        <v>111.45</v>
      </c>
      <c r="T22" s="100"/>
      <c r="U22" s="100"/>
      <c r="V22" s="100">
        <f t="shared" si="13"/>
        <v>0</v>
      </c>
      <c r="W22" s="100"/>
      <c r="X22" s="100"/>
      <c r="Y22" s="100"/>
      <c r="Z22" s="100"/>
      <c r="AA22" s="100"/>
      <c r="AB22" s="100"/>
      <c r="AC22" s="100"/>
      <c r="AD22" s="100"/>
      <c r="AE22" s="100">
        <f t="shared" si="9"/>
        <v>0</v>
      </c>
      <c r="AF22" s="100"/>
      <c r="AG22" s="100"/>
      <c r="AH22" s="100"/>
      <c r="AI22" s="100"/>
      <c r="AJ22" s="100"/>
      <c r="AK22" s="100"/>
      <c r="AL22" s="100"/>
      <c r="AM22" s="100"/>
      <c r="AN22" s="100"/>
      <c r="AO22" s="100"/>
      <c r="AP22" s="100"/>
      <c r="AQ22" s="100"/>
      <c r="AR22" s="100"/>
      <c r="AS22" s="100"/>
      <c r="AT22" s="100"/>
      <c r="AU22" s="100"/>
      <c r="AV22" s="100"/>
      <c r="AW22" s="100"/>
      <c r="AX22" s="100"/>
      <c r="AY22" s="100"/>
      <c r="AZ22" s="100"/>
      <c r="BA22" s="100"/>
      <c r="BB22" s="100"/>
      <c r="BC22" s="100"/>
      <c r="BD22" s="100"/>
      <c r="BE22" s="100"/>
      <c r="BF22" s="100"/>
      <c r="BG22" s="100"/>
      <c r="BH22" s="100">
        <f t="shared" si="17"/>
        <v>0</v>
      </c>
      <c r="BI22" s="100"/>
      <c r="BJ22" s="100"/>
      <c r="BK22" s="100"/>
      <c r="BL22" s="100">
        <f>G22+O22+T22+U22+V22+BH22</f>
        <v>0</v>
      </c>
      <c r="BM22" s="100">
        <f>S67-BL22</f>
        <v>25.23</v>
      </c>
      <c r="BN22" s="100">
        <f t="shared" si="18"/>
        <v>136.68</v>
      </c>
      <c r="BP22" s="123"/>
    </row>
    <row r="23" spans="1:68" ht="20.100000000000001" customHeight="1">
      <c r="A23" s="14" t="s">
        <v>27</v>
      </c>
      <c r="B23" s="143" t="s">
        <v>40</v>
      </c>
      <c r="C23" s="5" t="s">
        <v>41</v>
      </c>
      <c r="D23" s="100"/>
      <c r="E23" s="100">
        <f t="shared" si="4"/>
        <v>0</v>
      </c>
      <c r="F23" s="100">
        <f t="shared" si="6"/>
        <v>0</v>
      </c>
      <c r="G23" s="100">
        <f t="shared" si="8"/>
        <v>0</v>
      </c>
      <c r="H23" s="100">
        <f t="shared" si="12"/>
        <v>0</v>
      </c>
      <c r="I23" s="100"/>
      <c r="J23" s="100"/>
      <c r="K23" s="100"/>
      <c r="L23" s="100"/>
      <c r="M23" s="100"/>
      <c r="N23" s="100"/>
      <c r="O23" s="100">
        <f t="shared" si="16"/>
        <v>0</v>
      </c>
      <c r="P23" s="100"/>
      <c r="Q23" s="100"/>
      <c r="R23" s="100"/>
      <c r="S23" s="100"/>
      <c r="T23" s="100">
        <f>D23-BL23</f>
        <v>0</v>
      </c>
      <c r="U23" s="100"/>
      <c r="V23" s="100">
        <f t="shared" si="13"/>
        <v>0</v>
      </c>
      <c r="W23" s="100"/>
      <c r="X23" s="100"/>
      <c r="Y23" s="100"/>
      <c r="Z23" s="100"/>
      <c r="AA23" s="100"/>
      <c r="AB23" s="100"/>
      <c r="AC23" s="100"/>
      <c r="AD23" s="100"/>
      <c r="AE23" s="100">
        <f t="shared" si="9"/>
        <v>0</v>
      </c>
      <c r="AF23" s="100"/>
      <c r="AG23" s="100"/>
      <c r="AH23" s="100"/>
      <c r="AI23" s="100"/>
      <c r="AJ23" s="100"/>
      <c r="AK23" s="100"/>
      <c r="AL23" s="100"/>
      <c r="AM23" s="100"/>
      <c r="AN23" s="100"/>
      <c r="AO23" s="100"/>
      <c r="AP23" s="100"/>
      <c r="AQ23" s="100"/>
      <c r="AR23" s="100"/>
      <c r="AS23" s="100"/>
      <c r="AT23" s="100"/>
      <c r="AU23" s="100"/>
      <c r="AV23" s="100"/>
      <c r="AW23" s="100"/>
      <c r="AX23" s="100"/>
      <c r="AY23" s="100"/>
      <c r="AZ23" s="100"/>
      <c r="BA23" s="100"/>
      <c r="BB23" s="100"/>
      <c r="BC23" s="100"/>
      <c r="BD23" s="100"/>
      <c r="BE23" s="100"/>
      <c r="BF23" s="100"/>
      <c r="BG23" s="100"/>
      <c r="BH23" s="100">
        <f t="shared" si="17"/>
        <v>0</v>
      </c>
      <c r="BI23" s="100"/>
      <c r="BJ23" s="100"/>
      <c r="BK23" s="100"/>
      <c r="BL23" s="100">
        <f>F23+O23+S23+U23+V23+BH23</f>
        <v>0</v>
      </c>
      <c r="BM23" s="100">
        <f>T67-BL23</f>
        <v>0</v>
      </c>
      <c r="BN23" s="100">
        <f t="shared" si="18"/>
        <v>0</v>
      </c>
      <c r="BP23" s="123"/>
    </row>
    <row r="24" spans="1:68" ht="20.100000000000001" customHeight="1">
      <c r="A24" s="14" t="s">
        <v>30</v>
      </c>
      <c r="B24" s="143" t="s">
        <v>43</v>
      </c>
      <c r="C24" s="5" t="s">
        <v>44</v>
      </c>
      <c r="D24" s="100"/>
      <c r="E24" s="100">
        <f t="shared" si="4"/>
        <v>0</v>
      </c>
      <c r="F24" s="100">
        <f t="shared" si="6"/>
        <v>0</v>
      </c>
      <c r="G24" s="100">
        <f t="shared" si="8"/>
        <v>0</v>
      </c>
      <c r="H24" s="100">
        <f t="shared" si="12"/>
        <v>0</v>
      </c>
      <c r="I24" s="100"/>
      <c r="J24" s="100"/>
      <c r="K24" s="100"/>
      <c r="L24" s="100"/>
      <c r="M24" s="100"/>
      <c r="N24" s="100"/>
      <c r="O24" s="100">
        <f t="shared" si="16"/>
        <v>0</v>
      </c>
      <c r="P24" s="100"/>
      <c r="Q24" s="100"/>
      <c r="R24" s="100"/>
      <c r="S24" s="100"/>
      <c r="T24" s="100"/>
      <c r="U24" s="100">
        <f>D24-BL24</f>
        <v>0</v>
      </c>
      <c r="V24" s="100">
        <f t="shared" si="13"/>
        <v>0</v>
      </c>
      <c r="W24" s="100"/>
      <c r="X24" s="100"/>
      <c r="Y24" s="100"/>
      <c r="Z24" s="100"/>
      <c r="AA24" s="100"/>
      <c r="AB24" s="100"/>
      <c r="AC24" s="100"/>
      <c r="AD24" s="100"/>
      <c r="AE24" s="100">
        <f t="shared" si="9"/>
        <v>0</v>
      </c>
      <c r="AF24" s="100"/>
      <c r="AG24" s="100"/>
      <c r="AH24" s="100"/>
      <c r="AI24" s="100"/>
      <c r="AJ24" s="100"/>
      <c r="AK24" s="100"/>
      <c r="AL24" s="100"/>
      <c r="AM24" s="100"/>
      <c r="AN24" s="100"/>
      <c r="AO24" s="100"/>
      <c r="AP24" s="100"/>
      <c r="AQ24" s="100"/>
      <c r="AR24" s="100"/>
      <c r="AS24" s="100"/>
      <c r="AT24" s="100"/>
      <c r="AU24" s="100"/>
      <c r="AV24" s="100"/>
      <c r="AW24" s="100"/>
      <c r="AX24" s="100"/>
      <c r="AY24" s="100"/>
      <c r="AZ24" s="100"/>
      <c r="BA24" s="100"/>
      <c r="BB24" s="100"/>
      <c r="BC24" s="100"/>
      <c r="BD24" s="100"/>
      <c r="BE24" s="100"/>
      <c r="BF24" s="100"/>
      <c r="BG24" s="100"/>
      <c r="BH24" s="100">
        <f t="shared" si="17"/>
        <v>0</v>
      </c>
      <c r="BI24" s="100"/>
      <c r="BJ24" s="100"/>
      <c r="BK24" s="100"/>
      <c r="BL24" s="100">
        <f>F24+O24+S24+T24+BH24</f>
        <v>0</v>
      </c>
      <c r="BM24" s="100">
        <f>U67-BL24</f>
        <v>0</v>
      </c>
      <c r="BN24" s="100">
        <f t="shared" si="18"/>
        <v>0</v>
      </c>
      <c r="BP24" s="123"/>
    </row>
    <row r="25" spans="1:68" s="115" customFormat="1" ht="25.5" customHeight="1">
      <c r="A25" s="15">
        <v>2</v>
      </c>
      <c r="B25" s="142" t="s">
        <v>45</v>
      </c>
      <c r="C25" s="6" t="s">
        <v>46</v>
      </c>
      <c r="D25" s="175">
        <f>D26+D27+D28+D29+D30+D31+D32+D33+D34+D46+D47+D48+D49+D50+D51+D52+D53+D54+D55+D56+D57+D58+D59+D60+D61+D62</f>
        <v>463.99950000000001</v>
      </c>
      <c r="E25" s="175">
        <f>E26+E27+E28+E29+E30+E31+E32+E33+E34+E46+E47+E48+E49+E50+E51+E52+E53+E54+E55+E56+E57+E58+E59+E60+E61+E62</f>
        <v>25.23</v>
      </c>
      <c r="F25" s="175">
        <f t="shared" ref="F25:U25" si="19">F26+F27+F28+F29+F30+F31+F32+F33+F34+F46+F47+F48+F49+F50+F51+F52+F53+F54+F55+F56+F57+F58+F59+F60+F61+F62</f>
        <v>0</v>
      </c>
      <c r="G25" s="175">
        <f t="shared" si="19"/>
        <v>0</v>
      </c>
      <c r="H25" s="175">
        <f t="shared" si="19"/>
        <v>0</v>
      </c>
      <c r="I25" s="175">
        <f t="shared" si="19"/>
        <v>0</v>
      </c>
      <c r="J25" s="175">
        <f t="shared" si="19"/>
        <v>0</v>
      </c>
      <c r="K25" s="175">
        <f t="shared" si="19"/>
        <v>0</v>
      </c>
      <c r="L25" s="175">
        <f t="shared" si="19"/>
        <v>0</v>
      </c>
      <c r="M25" s="175">
        <f t="shared" si="19"/>
        <v>0</v>
      </c>
      <c r="N25" s="175">
        <f t="shared" si="19"/>
        <v>0</v>
      </c>
      <c r="O25" s="175">
        <f t="shared" si="19"/>
        <v>0</v>
      </c>
      <c r="P25" s="175">
        <f t="shared" si="19"/>
        <v>0</v>
      </c>
      <c r="Q25" s="175">
        <f t="shared" si="19"/>
        <v>0</v>
      </c>
      <c r="R25" s="175">
        <f t="shared" si="19"/>
        <v>0</v>
      </c>
      <c r="S25" s="175">
        <f t="shared" si="19"/>
        <v>25.23</v>
      </c>
      <c r="T25" s="175">
        <f t="shared" si="19"/>
        <v>0</v>
      </c>
      <c r="U25" s="175">
        <f t="shared" si="19"/>
        <v>0</v>
      </c>
      <c r="V25" s="175">
        <f>D25-BL25</f>
        <v>438.76949999999999</v>
      </c>
      <c r="W25" s="175">
        <f>W26+W27+W28+W29+W30+W31+W32+W33+W34+W46+W47+W48+W49+W50+W51+W52+W53+W54+W55+W56+W57+W58+W59+W60+W61+W62</f>
        <v>9.11</v>
      </c>
      <c r="X25" s="175">
        <f t="shared" ref="X25:BK25" si="20">X26+X27+X28+X29+X30+X31+X32+X33+X34+X46+X47+X48+X49+X50+X51+X52+X53+X54+X55+X56+X57+X58+X59+X60+X61+X62</f>
        <v>1.19</v>
      </c>
      <c r="Y25" s="175">
        <f t="shared" si="20"/>
        <v>0</v>
      </c>
      <c r="Z25" s="175">
        <f t="shared" si="20"/>
        <v>0</v>
      </c>
      <c r="AA25" s="175">
        <f t="shared" si="20"/>
        <v>0</v>
      </c>
      <c r="AB25" s="175">
        <f t="shared" si="20"/>
        <v>84.41</v>
      </c>
      <c r="AC25" s="175">
        <f t="shared" si="20"/>
        <v>0</v>
      </c>
      <c r="AD25" s="175">
        <f t="shared" si="20"/>
        <v>0</v>
      </c>
      <c r="AE25" s="175">
        <f t="shared" si="20"/>
        <v>166.7595</v>
      </c>
      <c r="AF25" s="175">
        <f t="shared" si="20"/>
        <v>5.4799999999999995</v>
      </c>
      <c r="AG25" s="175">
        <f t="shared" si="20"/>
        <v>0.18</v>
      </c>
      <c r="AH25" s="175">
        <f t="shared" si="20"/>
        <v>2.5</v>
      </c>
      <c r="AI25" s="175">
        <f t="shared" si="20"/>
        <v>96.149500000000003</v>
      </c>
      <c r="AJ25" s="175">
        <f t="shared" si="20"/>
        <v>0</v>
      </c>
      <c r="AK25" s="175">
        <f t="shared" si="20"/>
        <v>0</v>
      </c>
      <c r="AL25" s="175">
        <f t="shared" si="20"/>
        <v>49.239999999999995</v>
      </c>
      <c r="AM25" s="175">
        <f t="shared" si="20"/>
        <v>12.950000000000001</v>
      </c>
      <c r="AN25" s="175">
        <f t="shared" si="20"/>
        <v>0.01</v>
      </c>
      <c r="AO25" s="175">
        <f t="shared" si="20"/>
        <v>0.25</v>
      </c>
      <c r="AP25" s="175">
        <f t="shared" si="20"/>
        <v>0</v>
      </c>
      <c r="AQ25" s="175">
        <f t="shared" si="20"/>
        <v>0.17</v>
      </c>
      <c r="AR25" s="175">
        <f t="shared" si="20"/>
        <v>0</v>
      </c>
      <c r="AS25" s="175">
        <f t="shared" si="20"/>
        <v>0</v>
      </c>
      <c r="AT25" s="175">
        <f t="shared" si="20"/>
        <v>0</v>
      </c>
      <c r="AU25" s="175">
        <f t="shared" si="20"/>
        <v>33.65</v>
      </c>
      <c r="AV25" s="175">
        <f t="shared" si="20"/>
        <v>0.3</v>
      </c>
      <c r="AW25" s="175">
        <f t="shared" si="20"/>
        <v>0</v>
      </c>
      <c r="AX25" s="175">
        <f t="shared" si="20"/>
        <v>0</v>
      </c>
      <c r="AY25" s="175">
        <f t="shared" si="20"/>
        <v>2</v>
      </c>
      <c r="AZ25" s="175">
        <f t="shared" si="20"/>
        <v>34.43</v>
      </c>
      <c r="BA25" s="175">
        <f t="shared" si="20"/>
        <v>0.04</v>
      </c>
      <c r="BB25" s="175">
        <f t="shared" si="20"/>
        <v>0.44</v>
      </c>
      <c r="BC25" s="175">
        <f t="shared" si="20"/>
        <v>0</v>
      </c>
      <c r="BD25" s="175">
        <f t="shared" si="20"/>
        <v>1.65</v>
      </c>
      <c r="BE25" s="175">
        <f t="shared" si="20"/>
        <v>104.61999999999999</v>
      </c>
      <c r="BF25" s="175">
        <f t="shared" si="20"/>
        <v>0</v>
      </c>
      <c r="BG25" s="175">
        <f t="shared" si="20"/>
        <v>0</v>
      </c>
      <c r="BH25" s="175">
        <f t="shared" si="20"/>
        <v>0</v>
      </c>
      <c r="BI25" s="175">
        <f t="shared" si="20"/>
        <v>0</v>
      </c>
      <c r="BJ25" s="175">
        <f t="shared" si="20"/>
        <v>0</v>
      </c>
      <c r="BK25" s="175">
        <f t="shared" si="20"/>
        <v>0</v>
      </c>
      <c r="BL25" s="175">
        <f>E25+BH25</f>
        <v>25.23</v>
      </c>
      <c r="BM25" s="175">
        <f>BM26+BM27+BM28+BM29+BM30+BM31+BM32+BM33+BM34+BM46+BM47+BM48+BM49+BM50+BM51+BM52+BM53+BM54+BM55+BM56+BM57+BM58+BM59+BM60+BM61+BM62</f>
        <v>-22.44</v>
      </c>
      <c r="BN25" s="175">
        <f>BN26+BN27+BN28+BN29+BN30+BN31+BN32+BN33+BN34+BN46+BN47+BN48+BN49+BN50+BN51+BN52+BN53+BN54+BN55+BN56+BN57+BN58+BN59+BN60+BN61+BN62</f>
        <v>441.55950000000001</v>
      </c>
    </row>
    <row r="26" spans="1:68" s="472" customFormat="1" ht="20.100000000000001" customHeight="1">
      <c r="A26" s="468" t="s">
        <v>47</v>
      </c>
      <c r="B26" s="469" t="s">
        <v>48</v>
      </c>
      <c r="C26" s="470" t="s">
        <v>49</v>
      </c>
      <c r="D26" s="471">
        <f>#REF!</f>
        <v>7.87</v>
      </c>
      <c r="E26" s="471">
        <f t="shared" si="4"/>
        <v>0</v>
      </c>
      <c r="F26" s="471">
        <f>G26+N26</f>
        <v>0</v>
      </c>
      <c r="G26" s="471">
        <f t="shared" si="8"/>
        <v>0</v>
      </c>
      <c r="H26" s="471">
        <f t="shared" si="12"/>
        <v>0</v>
      </c>
      <c r="I26" s="471"/>
      <c r="J26" s="471"/>
      <c r="K26" s="471"/>
      <c r="L26" s="471"/>
      <c r="M26" s="471"/>
      <c r="N26" s="471"/>
      <c r="O26" s="471"/>
      <c r="P26" s="471"/>
      <c r="Q26" s="471"/>
      <c r="R26" s="471"/>
      <c r="S26" s="471"/>
      <c r="T26" s="471"/>
      <c r="U26" s="471"/>
      <c r="V26" s="471">
        <f t="shared" si="13"/>
        <v>7.87</v>
      </c>
      <c r="W26" s="471">
        <f>D26-BL26</f>
        <v>7.87</v>
      </c>
      <c r="X26" s="471"/>
      <c r="Y26" s="471"/>
      <c r="Z26" s="471"/>
      <c r="AA26" s="471"/>
      <c r="AB26" s="471"/>
      <c r="AC26" s="471"/>
      <c r="AD26" s="471"/>
      <c r="AE26" s="471">
        <f t="shared" si="9"/>
        <v>0</v>
      </c>
      <c r="AF26" s="471"/>
      <c r="AG26" s="471"/>
      <c r="AH26" s="471"/>
      <c r="AI26" s="471"/>
      <c r="AJ26" s="471"/>
      <c r="AK26" s="471"/>
      <c r="AL26" s="471"/>
      <c r="AM26" s="471"/>
      <c r="AN26" s="471"/>
      <c r="AO26" s="471"/>
      <c r="AP26" s="471"/>
      <c r="AQ26" s="471"/>
      <c r="AR26" s="471"/>
      <c r="AS26" s="471"/>
      <c r="AT26" s="471"/>
      <c r="AU26" s="471"/>
      <c r="AV26" s="471"/>
      <c r="AW26" s="471"/>
      <c r="AX26" s="471"/>
      <c r="AY26" s="471"/>
      <c r="AZ26" s="471"/>
      <c r="BA26" s="471"/>
      <c r="BB26" s="471"/>
      <c r="BC26" s="471"/>
      <c r="BD26" s="471"/>
      <c r="BE26" s="471"/>
      <c r="BF26" s="471"/>
      <c r="BG26" s="471"/>
      <c r="BH26" s="471">
        <f>BI26+BJ26+BK26</f>
        <v>0</v>
      </c>
      <c r="BI26" s="471"/>
      <c r="BJ26" s="471"/>
      <c r="BK26" s="471"/>
      <c r="BL26" s="471">
        <f>X26+Y26+Z26+AA26+AB26+AC26+AD26+AE26+AQ26+AR26+AS26+AT26+AU26+AV26+AW26+AX26+AY26+AZ26+BA26+BB26+BC26+BD26+BE26+BF26+BG26+BH26</f>
        <v>0</v>
      </c>
      <c r="BM26" s="471">
        <f>W67-BL26</f>
        <v>2.1999999999999997</v>
      </c>
      <c r="BN26" s="471">
        <f>D26+BM26</f>
        <v>10.07</v>
      </c>
    </row>
    <row r="27" spans="1:68" s="472" customFormat="1" ht="20.100000000000001" customHeight="1">
      <c r="A27" s="468" t="s">
        <v>50</v>
      </c>
      <c r="B27" s="469" t="s">
        <v>51</v>
      </c>
      <c r="C27" s="470" t="s">
        <v>52</v>
      </c>
      <c r="D27" s="471">
        <f>#REF!</f>
        <v>1.19</v>
      </c>
      <c r="E27" s="471">
        <f t="shared" si="4"/>
        <v>0</v>
      </c>
      <c r="F27" s="471">
        <f t="shared" ref="F27:F66" si="21">G27+N27</f>
        <v>0</v>
      </c>
      <c r="G27" s="471">
        <f t="shared" si="8"/>
        <v>0</v>
      </c>
      <c r="H27" s="471">
        <f t="shared" si="12"/>
        <v>0</v>
      </c>
      <c r="I27" s="471"/>
      <c r="J27" s="471"/>
      <c r="K27" s="471"/>
      <c r="L27" s="471"/>
      <c r="M27" s="471"/>
      <c r="N27" s="471"/>
      <c r="O27" s="471"/>
      <c r="P27" s="471"/>
      <c r="Q27" s="471"/>
      <c r="R27" s="471"/>
      <c r="S27" s="471"/>
      <c r="T27" s="471"/>
      <c r="U27" s="471"/>
      <c r="V27" s="471">
        <f t="shared" si="13"/>
        <v>1.19</v>
      </c>
      <c r="W27" s="471"/>
      <c r="X27" s="471">
        <f>D27-BL27</f>
        <v>1.19</v>
      </c>
      <c r="Y27" s="471"/>
      <c r="Z27" s="471"/>
      <c r="AA27" s="471"/>
      <c r="AB27" s="471"/>
      <c r="AC27" s="471"/>
      <c r="AD27" s="471"/>
      <c r="AE27" s="471">
        <f t="shared" si="9"/>
        <v>0</v>
      </c>
      <c r="AF27" s="471"/>
      <c r="AG27" s="471"/>
      <c r="AH27" s="471"/>
      <c r="AI27" s="471"/>
      <c r="AJ27" s="471"/>
      <c r="AK27" s="471"/>
      <c r="AL27" s="471"/>
      <c r="AM27" s="471"/>
      <c r="AN27" s="471"/>
      <c r="AO27" s="471"/>
      <c r="AP27" s="471"/>
      <c r="AQ27" s="471"/>
      <c r="AR27" s="471"/>
      <c r="AS27" s="471"/>
      <c r="AT27" s="471"/>
      <c r="AU27" s="471"/>
      <c r="AV27" s="471"/>
      <c r="AW27" s="471"/>
      <c r="AX27" s="471"/>
      <c r="AY27" s="471"/>
      <c r="AZ27" s="471"/>
      <c r="BA27" s="471"/>
      <c r="BB27" s="471"/>
      <c r="BC27" s="471"/>
      <c r="BD27" s="471"/>
      <c r="BE27" s="471"/>
      <c r="BF27" s="471"/>
      <c r="BG27" s="471"/>
      <c r="BH27" s="471">
        <f t="shared" ref="BH27:BH62" si="22">BI27+BJ27+BK27</f>
        <v>0</v>
      </c>
      <c r="BI27" s="471"/>
      <c r="BJ27" s="471"/>
      <c r="BK27" s="471"/>
      <c r="BL27" s="471">
        <f>F27+W27+Y27+Z27+AA27+AB27+AC27+AD27+AE27+AQ27+AR27+AS27+AT27+AU27+AV27+AW27+AX27+AY27+AZ27+BA27+BB27+BC27+BD27+BE27+BF27+BG27+BH27</f>
        <v>0</v>
      </c>
      <c r="BM27" s="471">
        <f>X67-BL27</f>
        <v>0</v>
      </c>
      <c r="BN27" s="471">
        <f t="shared" ref="BN27:BN33" si="23">D27+BM27</f>
        <v>1.19</v>
      </c>
    </row>
    <row r="28" spans="1:68" s="472" customFormat="1" ht="20.100000000000001" customHeight="1">
      <c r="A28" s="468" t="s">
        <v>53</v>
      </c>
      <c r="B28" s="469" t="s">
        <v>54</v>
      </c>
      <c r="C28" s="470" t="s">
        <v>55</v>
      </c>
      <c r="D28" s="471"/>
      <c r="E28" s="471">
        <f t="shared" si="4"/>
        <v>0</v>
      </c>
      <c r="F28" s="471">
        <f t="shared" si="21"/>
        <v>0</v>
      </c>
      <c r="G28" s="471">
        <f t="shared" si="8"/>
        <v>0</v>
      </c>
      <c r="H28" s="471">
        <f t="shared" si="12"/>
        <v>0</v>
      </c>
      <c r="I28" s="471"/>
      <c r="J28" s="471"/>
      <c r="K28" s="471"/>
      <c r="L28" s="471"/>
      <c r="M28" s="471"/>
      <c r="N28" s="471"/>
      <c r="O28" s="471"/>
      <c r="P28" s="471"/>
      <c r="Q28" s="471"/>
      <c r="R28" s="471"/>
      <c r="S28" s="471"/>
      <c r="T28" s="471"/>
      <c r="U28" s="471"/>
      <c r="V28" s="471">
        <f t="shared" si="13"/>
        <v>0</v>
      </c>
      <c r="W28" s="471"/>
      <c r="X28" s="471"/>
      <c r="Y28" s="471">
        <f>D28-BL28</f>
        <v>0</v>
      </c>
      <c r="Z28" s="471"/>
      <c r="AA28" s="471"/>
      <c r="AB28" s="471"/>
      <c r="AC28" s="471"/>
      <c r="AD28" s="471"/>
      <c r="AE28" s="471">
        <f t="shared" si="9"/>
        <v>0</v>
      </c>
      <c r="AF28" s="471"/>
      <c r="AG28" s="471"/>
      <c r="AH28" s="471"/>
      <c r="AI28" s="471"/>
      <c r="AJ28" s="471"/>
      <c r="AK28" s="471"/>
      <c r="AL28" s="471"/>
      <c r="AM28" s="471"/>
      <c r="AN28" s="471"/>
      <c r="AO28" s="471"/>
      <c r="AP28" s="471"/>
      <c r="AQ28" s="471"/>
      <c r="AR28" s="471"/>
      <c r="AS28" s="471"/>
      <c r="AT28" s="471"/>
      <c r="AU28" s="471"/>
      <c r="AV28" s="471"/>
      <c r="AW28" s="471"/>
      <c r="AX28" s="471"/>
      <c r="AY28" s="471"/>
      <c r="AZ28" s="471"/>
      <c r="BA28" s="471"/>
      <c r="BB28" s="471"/>
      <c r="BC28" s="471"/>
      <c r="BD28" s="471"/>
      <c r="BE28" s="471"/>
      <c r="BF28" s="471"/>
      <c r="BG28" s="471"/>
      <c r="BH28" s="471">
        <f t="shared" si="22"/>
        <v>0</v>
      </c>
      <c r="BI28" s="471"/>
      <c r="BJ28" s="471"/>
      <c r="BK28" s="471"/>
      <c r="BL28" s="471">
        <f>E28+W28+X28+Z28+AA28+AB28+AC28+AD28+AE28+AQ28+AR28+AS28+AT28+AU28+AV28+AW28+AX28+AY28+AZ28+BA28+BB28+BC28+BD28+BE28+BF28+BG28+BH28</f>
        <v>0</v>
      </c>
      <c r="BM28" s="471">
        <f>Y67-BL28</f>
        <v>0</v>
      </c>
      <c r="BN28" s="471">
        <f t="shared" si="23"/>
        <v>0</v>
      </c>
    </row>
    <row r="29" spans="1:68" s="472" customFormat="1" ht="20.100000000000001" customHeight="1">
      <c r="A29" s="468" t="s">
        <v>56</v>
      </c>
      <c r="B29" s="469" t="s">
        <v>57</v>
      </c>
      <c r="C29" s="470" t="s">
        <v>58</v>
      </c>
      <c r="D29" s="471"/>
      <c r="E29" s="471">
        <f t="shared" si="4"/>
        <v>0</v>
      </c>
      <c r="F29" s="471">
        <f t="shared" si="21"/>
        <v>0</v>
      </c>
      <c r="G29" s="471">
        <f t="shared" si="8"/>
        <v>0</v>
      </c>
      <c r="H29" s="471">
        <f t="shared" si="12"/>
        <v>0</v>
      </c>
      <c r="I29" s="471"/>
      <c r="J29" s="471"/>
      <c r="K29" s="471"/>
      <c r="L29" s="471"/>
      <c r="M29" s="471"/>
      <c r="N29" s="471"/>
      <c r="O29" s="471"/>
      <c r="P29" s="471"/>
      <c r="Q29" s="471"/>
      <c r="R29" s="471"/>
      <c r="S29" s="471"/>
      <c r="T29" s="471"/>
      <c r="U29" s="471"/>
      <c r="V29" s="471">
        <f t="shared" si="13"/>
        <v>0</v>
      </c>
      <c r="W29" s="471"/>
      <c r="X29" s="471"/>
      <c r="Y29" s="471"/>
      <c r="Z29" s="471">
        <f>D29-BL29</f>
        <v>0</v>
      </c>
      <c r="AA29" s="471"/>
      <c r="AB29" s="471"/>
      <c r="AC29" s="471"/>
      <c r="AD29" s="471"/>
      <c r="AE29" s="471">
        <f t="shared" si="9"/>
        <v>0</v>
      </c>
      <c r="AF29" s="471"/>
      <c r="AG29" s="471"/>
      <c r="AH29" s="471"/>
      <c r="AI29" s="471"/>
      <c r="AJ29" s="471"/>
      <c r="AK29" s="471"/>
      <c r="AL29" s="471"/>
      <c r="AM29" s="471"/>
      <c r="AN29" s="471"/>
      <c r="AO29" s="471"/>
      <c r="AP29" s="471"/>
      <c r="AQ29" s="471"/>
      <c r="AR29" s="471"/>
      <c r="AS29" s="471"/>
      <c r="AT29" s="471"/>
      <c r="AU29" s="471"/>
      <c r="AV29" s="471"/>
      <c r="AW29" s="471"/>
      <c r="AX29" s="471"/>
      <c r="AY29" s="471"/>
      <c r="AZ29" s="471"/>
      <c r="BA29" s="471"/>
      <c r="BB29" s="471"/>
      <c r="BC29" s="471"/>
      <c r="BD29" s="471"/>
      <c r="BE29" s="471"/>
      <c r="BF29" s="471"/>
      <c r="BG29" s="471"/>
      <c r="BH29" s="471">
        <f t="shared" si="22"/>
        <v>0</v>
      </c>
      <c r="BI29" s="471"/>
      <c r="BJ29" s="471"/>
      <c r="BK29" s="471"/>
      <c r="BL29" s="471">
        <f>E29+W29+X29+Y29+AA29+AB29+AC29+AD29+AE29+AQ29+AR29+AS29+AT29+AU29+AV29+AW29+AX29+AY29+AZ29+BA29+BB29+BC29+BD29+BE29+BF29+BG29+BH29</f>
        <v>0</v>
      </c>
      <c r="BM29" s="471">
        <f>Z67-BL29</f>
        <v>0</v>
      </c>
      <c r="BN29" s="471">
        <f t="shared" si="23"/>
        <v>0</v>
      </c>
    </row>
    <row r="30" spans="1:68" s="472" customFormat="1" ht="20.100000000000001" customHeight="1">
      <c r="A30" s="468" t="s">
        <v>59</v>
      </c>
      <c r="B30" s="469" t="s">
        <v>60</v>
      </c>
      <c r="C30" s="470" t="s">
        <v>61</v>
      </c>
      <c r="D30" s="471"/>
      <c r="E30" s="471">
        <f t="shared" si="4"/>
        <v>0</v>
      </c>
      <c r="F30" s="471">
        <f t="shared" si="21"/>
        <v>0</v>
      </c>
      <c r="G30" s="471">
        <f t="shared" si="8"/>
        <v>0</v>
      </c>
      <c r="H30" s="471">
        <f t="shared" si="12"/>
        <v>0</v>
      </c>
      <c r="I30" s="471"/>
      <c r="J30" s="471"/>
      <c r="K30" s="471"/>
      <c r="L30" s="471"/>
      <c r="M30" s="471"/>
      <c r="N30" s="471"/>
      <c r="O30" s="471"/>
      <c r="P30" s="471"/>
      <c r="Q30" s="471"/>
      <c r="R30" s="471"/>
      <c r="S30" s="471"/>
      <c r="T30" s="471"/>
      <c r="U30" s="471"/>
      <c r="V30" s="471">
        <f t="shared" si="13"/>
        <v>0</v>
      </c>
      <c r="W30" s="471"/>
      <c r="X30" s="471"/>
      <c r="Y30" s="471"/>
      <c r="Z30" s="471"/>
      <c r="AA30" s="471">
        <f>D30-BL30</f>
        <v>0</v>
      </c>
      <c r="AB30" s="471"/>
      <c r="AC30" s="471"/>
      <c r="AD30" s="471"/>
      <c r="AE30" s="471">
        <f t="shared" si="9"/>
        <v>0</v>
      </c>
      <c r="AF30" s="471"/>
      <c r="AG30" s="471"/>
      <c r="AH30" s="471"/>
      <c r="AI30" s="471"/>
      <c r="AJ30" s="471"/>
      <c r="AK30" s="471"/>
      <c r="AL30" s="471"/>
      <c r="AM30" s="471"/>
      <c r="AN30" s="471"/>
      <c r="AO30" s="471"/>
      <c r="AP30" s="471"/>
      <c r="AQ30" s="471"/>
      <c r="AR30" s="471"/>
      <c r="AS30" s="471"/>
      <c r="AT30" s="471"/>
      <c r="AU30" s="471"/>
      <c r="AV30" s="471"/>
      <c r="AW30" s="471"/>
      <c r="AX30" s="471"/>
      <c r="AY30" s="471"/>
      <c r="AZ30" s="471"/>
      <c r="BA30" s="471"/>
      <c r="BB30" s="471"/>
      <c r="BC30" s="471"/>
      <c r="BD30" s="471"/>
      <c r="BE30" s="471"/>
      <c r="BF30" s="471"/>
      <c r="BG30" s="471"/>
      <c r="BH30" s="471">
        <f t="shared" si="22"/>
        <v>0</v>
      </c>
      <c r="BI30" s="471"/>
      <c r="BJ30" s="471"/>
      <c r="BK30" s="471"/>
      <c r="BL30" s="471">
        <f>E30+W30+X30+Y30+Z30+AB30+AC30+AD30+AE30+AQ30+AR30+AS30+AT30+AU30+AV30+AW30+AX30+AY30+AZ30+BA30+BB30+BC30+BD30+BE30+BF30+BG30+BH30</f>
        <v>0</v>
      </c>
      <c r="BM30" s="471">
        <f>AA67-BL30</f>
        <v>0</v>
      </c>
      <c r="BN30" s="471">
        <f t="shared" si="23"/>
        <v>0</v>
      </c>
    </row>
    <row r="31" spans="1:68" s="472" customFormat="1" ht="20.100000000000001" customHeight="1">
      <c r="A31" s="468" t="s">
        <v>62</v>
      </c>
      <c r="B31" s="469" t="s">
        <v>63</v>
      </c>
      <c r="C31" s="470" t="s">
        <v>64</v>
      </c>
      <c r="D31" s="471">
        <f>#REF!</f>
        <v>87.67</v>
      </c>
      <c r="E31" s="471">
        <f t="shared" si="4"/>
        <v>0</v>
      </c>
      <c r="F31" s="471">
        <f t="shared" si="21"/>
        <v>0</v>
      </c>
      <c r="G31" s="471">
        <f t="shared" si="8"/>
        <v>0</v>
      </c>
      <c r="H31" s="471">
        <f t="shared" si="12"/>
        <v>0</v>
      </c>
      <c r="I31" s="471"/>
      <c r="J31" s="471"/>
      <c r="K31" s="471"/>
      <c r="L31" s="471"/>
      <c r="M31" s="471"/>
      <c r="N31" s="471"/>
      <c r="O31" s="471"/>
      <c r="P31" s="471"/>
      <c r="Q31" s="471"/>
      <c r="R31" s="471"/>
      <c r="S31" s="471"/>
      <c r="T31" s="471"/>
      <c r="U31" s="471"/>
      <c r="V31" s="471">
        <f>W31+X31+Y31+Z31+AA31+AB31+AC31+AD31+AE31+AQ31+AR31+AS31+AT31+AU31+AV31+AW31+AX31+AY31+AZ31+BA31+BB31+BC31+BD31+BE31+BF31+BG31</f>
        <v>87.669999999999987</v>
      </c>
      <c r="W31" s="471">
        <v>1.07</v>
      </c>
      <c r="X31" s="471"/>
      <c r="Y31" s="471"/>
      <c r="Z31" s="471"/>
      <c r="AA31" s="471"/>
      <c r="AB31" s="471">
        <f>D31-BL31</f>
        <v>84.41</v>
      </c>
      <c r="AC31" s="471"/>
      <c r="AD31" s="471"/>
      <c r="AE31" s="471">
        <f t="shared" si="9"/>
        <v>2.19</v>
      </c>
      <c r="AF31" s="471"/>
      <c r="AG31" s="471"/>
      <c r="AH31" s="471"/>
      <c r="AI31" s="471"/>
      <c r="AJ31" s="471"/>
      <c r="AK31" s="471"/>
      <c r="AL31" s="471">
        <v>2.19</v>
      </c>
      <c r="AM31" s="471"/>
      <c r="AN31" s="471"/>
      <c r="AO31" s="471"/>
      <c r="AP31" s="471"/>
      <c r="AQ31" s="471"/>
      <c r="AR31" s="471"/>
      <c r="AS31" s="471"/>
      <c r="AT31" s="471"/>
      <c r="AU31" s="471"/>
      <c r="AV31" s="471"/>
      <c r="AW31" s="471"/>
      <c r="AX31" s="471"/>
      <c r="AY31" s="471"/>
      <c r="AZ31" s="471"/>
      <c r="BA31" s="471"/>
      <c r="BB31" s="471"/>
      <c r="BC31" s="471"/>
      <c r="BD31" s="471"/>
      <c r="BE31" s="471"/>
      <c r="BF31" s="471"/>
      <c r="BG31" s="471"/>
      <c r="BH31" s="471">
        <f>BI31+BJ31+BK31</f>
        <v>0</v>
      </c>
      <c r="BI31" s="471"/>
      <c r="BJ31" s="471"/>
      <c r="BK31" s="471"/>
      <c r="BL31" s="471">
        <f>E31+W31+X31+Y31+Z31+AA31+AC31+AD31+AE31+AQ31+AR31+AS31+AT31+AU31+AV31+AW31+AX31+AY31+AZ31+BA31+BB31+BC31+BD31+BE31+BF31+BG31+BH31</f>
        <v>3.26</v>
      </c>
      <c r="BM31" s="471">
        <f>AB67-BL31</f>
        <v>-3.26</v>
      </c>
      <c r="BN31" s="471">
        <f t="shared" si="23"/>
        <v>84.41</v>
      </c>
    </row>
    <row r="32" spans="1:68" s="472" customFormat="1" ht="20.100000000000001" customHeight="1">
      <c r="A32" s="468" t="s">
        <v>65</v>
      </c>
      <c r="B32" s="469" t="s">
        <v>66</v>
      </c>
      <c r="C32" s="470" t="s">
        <v>67</v>
      </c>
      <c r="D32" s="471"/>
      <c r="E32" s="471">
        <f t="shared" si="4"/>
        <v>0</v>
      </c>
      <c r="F32" s="471">
        <f t="shared" si="21"/>
        <v>0</v>
      </c>
      <c r="G32" s="471">
        <f t="shared" si="8"/>
        <v>0</v>
      </c>
      <c r="H32" s="471">
        <f t="shared" si="12"/>
        <v>0</v>
      </c>
      <c r="I32" s="471"/>
      <c r="J32" s="471"/>
      <c r="K32" s="471"/>
      <c r="L32" s="471"/>
      <c r="M32" s="471"/>
      <c r="N32" s="471"/>
      <c r="O32" s="471"/>
      <c r="P32" s="471"/>
      <c r="Q32" s="471"/>
      <c r="R32" s="471"/>
      <c r="S32" s="471"/>
      <c r="T32" s="471"/>
      <c r="U32" s="471"/>
      <c r="V32" s="471">
        <f t="shared" si="13"/>
        <v>0</v>
      </c>
      <c r="W32" s="471"/>
      <c r="X32" s="471"/>
      <c r="Y32" s="471"/>
      <c r="Z32" s="471"/>
      <c r="AA32" s="471"/>
      <c r="AB32" s="471"/>
      <c r="AC32" s="471">
        <f>D32-BL32</f>
        <v>0</v>
      </c>
      <c r="AD32" s="471"/>
      <c r="AE32" s="471">
        <f t="shared" si="9"/>
        <v>0</v>
      </c>
      <c r="AF32" s="471"/>
      <c r="AG32" s="471"/>
      <c r="AH32" s="471"/>
      <c r="AI32" s="471"/>
      <c r="AJ32" s="471"/>
      <c r="AK32" s="471"/>
      <c r="AL32" s="471"/>
      <c r="AM32" s="471"/>
      <c r="AN32" s="471"/>
      <c r="AO32" s="471"/>
      <c r="AP32" s="471"/>
      <c r="AQ32" s="471"/>
      <c r="AR32" s="471"/>
      <c r="AS32" s="471"/>
      <c r="AT32" s="471"/>
      <c r="AU32" s="471"/>
      <c r="AV32" s="471"/>
      <c r="AW32" s="471"/>
      <c r="AX32" s="471"/>
      <c r="AY32" s="471"/>
      <c r="AZ32" s="471"/>
      <c r="BA32" s="471"/>
      <c r="BB32" s="471"/>
      <c r="BC32" s="471"/>
      <c r="BD32" s="471"/>
      <c r="BE32" s="471"/>
      <c r="BF32" s="471"/>
      <c r="BG32" s="471"/>
      <c r="BH32" s="471">
        <f t="shared" si="22"/>
        <v>0</v>
      </c>
      <c r="BI32" s="471"/>
      <c r="BJ32" s="471"/>
      <c r="BK32" s="471"/>
      <c r="BL32" s="471">
        <f>E32+W32+X32+Y32+Z32+AA32+AB32+AD32+AE32+AQ32+AR32+AS32+AT32+AU32+AV32+AW32+AX32+AY32+AZ32+BA32+BB32+BC32+BD32+BE32+BF32+BG32+BH32</f>
        <v>0</v>
      </c>
      <c r="BM32" s="471">
        <f>AC67-BL32</f>
        <v>0</v>
      </c>
      <c r="BN32" s="471">
        <f t="shared" si="23"/>
        <v>0</v>
      </c>
    </row>
    <row r="33" spans="1:68" s="472" customFormat="1" ht="20.100000000000001" customHeight="1">
      <c r="A33" s="468" t="s">
        <v>68</v>
      </c>
      <c r="B33" s="469" t="s">
        <v>69</v>
      </c>
      <c r="C33" s="470" t="s">
        <v>70</v>
      </c>
      <c r="D33" s="471"/>
      <c r="E33" s="471">
        <f t="shared" si="4"/>
        <v>0</v>
      </c>
      <c r="F33" s="471">
        <f t="shared" si="21"/>
        <v>0</v>
      </c>
      <c r="G33" s="471">
        <f t="shared" si="8"/>
        <v>0</v>
      </c>
      <c r="H33" s="471">
        <f t="shared" si="12"/>
        <v>0</v>
      </c>
      <c r="I33" s="471"/>
      <c r="J33" s="471"/>
      <c r="K33" s="471"/>
      <c r="L33" s="471"/>
      <c r="M33" s="471"/>
      <c r="N33" s="471"/>
      <c r="O33" s="471"/>
      <c r="P33" s="471"/>
      <c r="Q33" s="471"/>
      <c r="R33" s="471"/>
      <c r="S33" s="471"/>
      <c r="T33" s="471"/>
      <c r="U33" s="471"/>
      <c r="V33" s="471">
        <f t="shared" si="13"/>
        <v>0</v>
      </c>
      <c r="W33" s="471"/>
      <c r="X33" s="471"/>
      <c r="Y33" s="471"/>
      <c r="Z33" s="471"/>
      <c r="AA33" s="471"/>
      <c r="AB33" s="471"/>
      <c r="AC33" s="471"/>
      <c r="AD33" s="471">
        <f>D33-BL33</f>
        <v>0</v>
      </c>
      <c r="AE33" s="471">
        <f t="shared" si="9"/>
        <v>0</v>
      </c>
      <c r="AF33" s="471"/>
      <c r="AG33" s="471"/>
      <c r="AH33" s="471"/>
      <c r="AI33" s="471"/>
      <c r="AJ33" s="471"/>
      <c r="AK33" s="471"/>
      <c r="AL33" s="471"/>
      <c r="AM33" s="471"/>
      <c r="AN33" s="471"/>
      <c r="AO33" s="471"/>
      <c r="AP33" s="471"/>
      <c r="AQ33" s="471"/>
      <c r="AR33" s="471"/>
      <c r="AS33" s="471"/>
      <c r="AT33" s="471"/>
      <c r="AU33" s="471"/>
      <c r="AV33" s="471"/>
      <c r="AW33" s="471"/>
      <c r="AX33" s="471"/>
      <c r="AY33" s="471"/>
      <c r="AZ33" s="471"/>
      <c r="BA33" s="471"/>
      <c r="BB33" s="471"/>
      <c r="BC33" s="471"/>
      <c r="BD33" s="471"/>
      <c r="BE33" s="471"/>
      <c r="BF33" s="471"/>
      <c r="BG33" s="471"/>
      <c r="BH33" s="471">
        <f t="shared" si="22"/>
        <v>0</v>
      </c>
      <c r="BI33" s="471"/>
      <c r="BJ33" s="471"/>
      <c r="BK33" s="471"/>
      <c r="BL33" s="471">
        <f>E33+W33+X33+Y33+Z33+AA33+AB33+AC33+AE33+AQ33+AR33+AS33+AT33+AU33+AV33+AW33+AX33+AY33+AZ33+BA33+BB33+BC33+BD33+BE33+BF33+BG33+BH33</f>
        <v>0</v>
      </c>
      <c r="BM33" s="471">
        <f>AD67-BL33</f>
        <v>0</v>
      </c>
      <c r="BN33" s="471">
        <f t="shared" si="23"/>
        <v>0</v>
      </c>
    </row>
    <row r="34" spans="1:68" s="472" customFormat="1" ht="40.5" customHeight="1">
      <c r="A34" s="468" t="s">
        <v>71</v>
      </c>
      <c r="B34" s="469" t="s">
        <v>135</v>
      </c>
      <c r="C34" s="470" t="s">
        <v>72</v>
      </c>
      <c r="D34" s="471">
        <f>SUM(D35:D45)</f>
        <v>164.6095</v>
      </c>
      <c r="E34" s="471">
        <f>SUM(E35:E45)</f>
        <v>0</v>
      </c>
      <c r="F34" s="471">
        <f t="shared" ref="F34:U34" si="24">SUM(F35:F45)</f>
        <v>0</v>
      </c>
      <c r="G34" s="471">
        <f t="shared" si="24"/>
        <v>0</v>
      </c>
      <c r="H34" s="471">
        <f t="shared" si="24"/>
        <v>0</v>
      </c>
      <c r="I34" s="471">
        <f t="shared" si="24"/>
        <v>0</v>
      </c>
      <c r="J34" s="471">
        <f t="shared" si="24"/>
        <v>0</v>
      </c>
      <c r="K34" s="471">
        <f t="shared" si="24"/>
        <v>0</v>
      </c>
      <c r="L34" s="471">
        <f t="shared" si="24"/>
        <v>0</v>
      </c>
      <c r="M34" s="471">
        <f t="shared" si="24"/>
        <v>0</v>
      </c>
      <c r="N34" s="471">
        <f t="shared" si="24"/>
        <v>0</v>
      </c>
      <c r="O34" s="471">
        <f t="shared" si="24"/>
        <v>0</v>
      </c>
      <c r="P34" s="471">
        <f t="shared" si="24"/>
        <v>0</v>
      </c>
      <c r="Q34" s="471">
        <f t="shared" si="24"/>
        <v>0</v>
      </c>
      <c r="R34" s="471">
        <f t="shared" si="24"/>
        <v>0</v>
      </c>
      <c r="S34" s="471">
        <f t="shared" si="24"/>
        <v>0</v>
      </c>
      <c r="T34" s="471">
        <f t="shared" si="24"/>
        <v>0</v>
      </c>
      <c r="U34" s="471">
        <f t="shared" si="24"/>
        <v>0</v>
      </c>
      <c r="V34" s="471">
        <f>SUM(V35:V45)</f>
        <v>164.6095</v>
      </c>
      <c r="W34" s="471">
        <f t="shared" ref="W34:AD34" si="25">SUM(W35:W45)</f>
        <v>0.17</v>
      </c>
      <c r="X34" s="471">
        <f t="shared" si="25"/>
        <v>0</v>
      </c>
      <c r="Y34" s="471">
        <f t="shared" si="25"/>
        <v>0</v>
      </c>
      <c r="Z34" s="471">
        <f t="shared" si="25"/>
        <v>0</v>
      </c>
      <c r="AA34" s="471">
        <f t="shared" si="25"/>
        <v>0</v>
      </c>
      <c r="AB34" s="471">
        <f t="shared" si="25"/>
        <v>0</v>
      </c>
      <c r="AC34" s="471">
        <f t="shared" si="25"/>
        <v>0</v>
      </c>
      <c r="AD34" s="471">
        <f t="shared" si="25"/>
        <v>0</v>
      </c>
      <c r="AE34" s="471">
        <f>D34-BL34</f>
        <v>164.3895</v>
      </c>
      <c r="AF34" s="471">
        <f>SUM(AF35:AF45)</f>
        <v>5.4799999999999995</v>
      </c>
      <c r="AG34" s="471">
        <f t="shared" ref="AG34:BE34" si="26">SUM(AG35:AG45)</f>
        <v>0.18</v>
      </c>
      <c r="AH34" s="471">
        <f t="shared" si="26"/>
        <v>2.5</v>
      </c>
      <c r="AI34" s="471">
        <f t="shared" si="26"/>
        <v>96.149500000000003</v>
      </c>
      <c r="AJ34" s="471">
        <f t="shared" si="26"/>
        <v>0</v>
      </c>
      <c r="AK34" s="471">
        <f t="shared" si="26"/>
        <v>0</v>
      </c>
      <c r="AL34" s="471">
        <f t="shared" si="26"/>
        <v>46.87</v>
      </c>
      <c r="AM34" s="471">
        <f t="shared" si="26"/>
        <v>12.950000000000001</v>
      </c>
      <c r="AN34" s="471">
        <f t="shared" si="26"/>
        <v>0.01</v>
      </c>
      <c r="AO34" s="471">
        <f t="shared" si="26"/>
        <v>0.25</v>
      </c>
      <c r="AP34" s="471">
        <f t="shared" si="26"/>
        <v>0</v>
      </c>
      <c r="AQ34" s="471">
        <f t="shared" si="26"/>
        <v>0</v>
      </c>
      <c r="AR34" s="471">
        <f t="shared" si="26"/>
        <v>0</v>
      </c>
      <c r="AS34" s="471">
        <f t="shared" si="26"/>
        <v>0</v>
      </c>
      <c r="AT34" s="471">
        <f t="shared" si="26"/>
        <v>0</v>
      </c>
      <c r="AU34" s="471">
        <f t="shared" si="26"/>
        <v>0.05</v>
      </c>
      <c r="AV34" s="471">
        <f t="shared" si="26"/>
        <v>0</v>
      </c>
      <c r="AW34" s="471">
        <f t="shared" si="26"/>
        <v>0</v>
      </c>
      <c r="AX34" s="471">
        <f t="shared" si="26"/>
        <v>0</v>
      </c>
      <c r="AY34" s="471">
        <f t="shared" si="26"/>
        <v>0</v>
      </c>
      <c r="AZ34" s="471">
        <f t="shared" si="26"/>
        <v>0</v>
      </c>
      <c r="BA34" s="471">
        <f t="shared" si="26"/>
        <v>0</v>
      </c>
      <c r="BB34" s="471">
        <f t="shared" si="26"/>
        <v>0</v>
      </c>
      <c r="BC34" s="471">
        <f t="shared" si="26"/>
        <v>0</v>
      </c>
      <c r="BD34" s="471">
        <f t="shared" si="26"/>
        <v>0</v>
      </c>
      <c r="BE34" s="471">
        <f t="shared" si="26"/>
        <v>0</v>
      </c>
      <c r="BF34" s="471">
        <f>SUM(BF35:BF45)</f>
        <v>0</v>
      </c>
      <c r="BG34" s="471">
        <f>SUM(BG35:BG45)</f>
        <v>0</v>
      </c>
      <c r="BH34" s="471">
        <f>BI34+BJ34+BK34</f>
        <v>0</v>
      </c>
      <c r="BI34" s="471">
        <f>SUM(BI35:BI45)</f>
        <v>0</v>
      </c>
      <c r="BJ34" s="471">
        <f>SUM(BJ35:BJ45)</f>
        <v>0</v>
      </c>
      <c r="BK34" s="471">
        <f>SUM(BK35:BK45)</f>
        <v>0</v>
      </c>
      <c r="BL34" s="471">
        <f>E34+W34+X34+Y34+Z34+AA34+AB34+AC34+AQ34+AR34+AS34+AT34+AU34+AV34+AW34+AX34+AY34+AZ34+BA34+BB34+BC34+BD34+BE34+BF34+BG34+BH34</f>
        <v>0.22000000000000003</v>
      </c>
      <c r="BM34" s="471">
        <f>AE67-BL34</f>
        <v>3.48</v>
      </c>
      <c r="BN34" s="471">
        <f>SUM(BN35:BN45)</f>
        <v>168.08949999999999</v>
      </c>
    </row>
    <row r="35" spans="1:68" ht="20.100000000000001" customHeight="1">
      <c r="A35" s="14" t="s">
        <v>224</v>
      </c>
      <c r="B35" s="143" t="s">
        <v>478</v>
      </c>
      <c r="C35" s="5" t="s">
        <v>202</v>
      </c>
      <c r="D35" s="100">
        <f>#REF!</f>
        <v>5.64</v>
      </c>
      <c r="E35" s="100">
        <f t="shared" si="4"/>
        <v>0</v>
      </c>
      <c r="F35" s="100">
        <f t="shared" si="21"/>
        <v>0</v>
      </c>
      <c r="G35" s="100">
        <f t="shared" si="8"/>
        <v>0</v>
      </c>
      <c r="H35" s="100">
        <f t="shared" si="12"/>
        <v>0</v>
      </c>
      <c r="I35" s="100"/>
      <c r="J35" s="100"/>
      <c r="K35" s="100"/>
      <c r="L35" s="100"/>
      <c r="M35" s="100"/>
      <c r="N35" s="100"/>
      <c r="O35" s="100"/>
      <c r="P35" s="100"/>
      <c r="Q35" s="100"/>
      <c r="R35" s="100"/>
      <c r="S35" s="100"/>
      <c r="T35" s="100"/>
      <c r="U35" s="100"/>
      <c r="V35" s="100">
        <f t="shared" si="13"/>
        <v>5.64</v>
      </c>
      <c r="W35" s="100">
        <v>0.16</v>
      </c>
      <c r="X35" s="100"/>
      <c r="Y35" s="100"/>
      <c r="Z35" s="100"/>
      <c r="AA35" s="100"/>
      <c r="AB35" s="100"/>
      <c r="AC35" s="100"/>
      <c r="AD35" s="100"/>
      <c r="AE35" s="100">
        <f>SUM(AF35:AP35)</f>
        <v>5.4799999999999995</v>
      </c>
      <c r="AF35" s="100">
        <f>D35-BL35</f>
        <v>5.4799999999999995</v>
      </c>
      <c r="AG35" s="100"/>
      <c r="AH35" s="100"/>
      <c r="AI35" s="100"/>
      <c r="AJ35" s="100"/>
      <c r="AK35" s="100"/>
      <c r="AL35" s="100"/>
      <c r="AM35" s="100"/>
      <c r="AN35" s="100"/>
      <c r="AO35" s="100"/>
      <c r="AP35" s="100"/>
      <c r="AQ35" s="100"/>
      <c r="AR35" s="100"/>
      <c r="AS35" s="100"/>
      <c r="AT35" s="100"/>
      <c r="AU35" s="100"/>
      <c r="AV35" s="100"/>
      <c r="AW35" s="100"/>
      <c r="AX35" s="100"/>
      <c r="AY35" s="100"/>
      <c r="AZ35" s="100"/>
      <c r="BA35" s="100"/>
      <c r="BB35" s="100"/>
      <c r="BC35" s="100"/>
      <c r="BD35" s="100"/>
      <c r="BE35" s="100"/>
      <c r="BF35" s="100"/>
      <c r="BG35" s="100"/>
      <c r="BH35" s="100">
        <f t="shared" si="22"/>
        <v>0</v>
      </c>
      <c r="BI35" s="100"/>
      <c r="BJ35" s="100"/>
      <c r="BK35" s="100"/>
      <c r="BL35" s="100">
        <f>E35+W35+X35+Y35+Z35+AA35+AB35+AC35+AD35+AG35+AH35+AI35+AJ35+AK35+AL35+AM35+AN35+AO35+AP35+AQ35+AR35+AS35+AT35+AU35+AV35+AW35+AX35+AY35+AZ35+BA35+BB35+BC35+BD35</f>
        <v>0.16</v>
      </c>
      <c r="BM35" s="100">
        <f>AF67-BL35</f>
        <v>-0.16</v>
      </c>
      <c r="BN35" s="100">
        <f>D35+BM35</f>
        <v>5.4799999999999995</v>
      </c>
      <c r="BP35" s="123"/>
    </row>
    <row r="36" spans="1:68" ht="20.100000000000001" customHeight="1">
      <c r="A36" s="14" t="s">
        <v>225</v>
      </c>
      <c r="B36" s="143" t="s">
        <v>479</v>
      </c>
      <c r="C36" s="5" t="s">
        <v>203</v>
      </c>
      <c r="D36" s="100">
        <f>#REF!</f>
        <v>0.18</v>
      </c>
      <c r="E36" s="100">
        <f t="shared" si="4"/>
        <v>0</v>
      </c>
      <c r="F36" s="100">
        <f t="shared" si="21"/>
        <v>0</v>
      </c>
      <c r="G36" s="100">
        <f t="shared" si="8"/>
        <v>0</v>
      </c>
      <c r="H36" s="100">
        <f t="shared" si="12"/>
        <v>0</v>
      </c>
      <c r="I36" s="100"/>
      <c r="J36" s="100"/>
      <c r="K36" s="100"/>
      <c r="L36" s="100"/>
      <c r="M36" s="100"/>
      <c r="N36" s="100"/>
      <c r="O36" s="100"/>
      <c r="P36" s="100"/>
      <c r="Q36" s="100"/>
      <c r="R36" s="100"/>
      <c r="S36" s="100"/>
      <c r="T36" s="100"/>
      <c r="U36" s="100"/>
      <c r="V36" s="100">
        <f t="shared" si="13"/>
        <v>0.18</v>
      </c>
      <c r="W36" s="100"/>
      <c r="X36" s="100"/>
      <c r="Y36" s="100"/>
      <c r="Z36" s="100"/>
      <c r="AA36" s="100"/>
      <c r="AB36" s="100"/>
      <c r="AC36" s="100"/>
      <c r="AD36" s="100"/>
      <c r="AE36" s="100">
        <f t="shared" ref="AE36:AE66" si="27">SUM(AF36:AP36)</f>
        <v>0.18</v>
      </c>
      <c r="AF36" s="100"/>
      <c r="AG36" s="100">
        <f>D36-BL36</f>
        <v>0.18</v>
      </c>
      <c r="AH36" s="100"/>
      <c r="AI36" s="100"/>
      <c r="AJ36" s="100"/>
      <c r="AK36" s="100"/>
      <c r="AL36" s="100"/>
      <c r="AM36" s="100"/>
      <c r="AN36" s="100"/>
      <c r="AO36" s="100"/>
      <c r="AP36" s="100"/>
      <c r="AQ36" s="100"/>
      <c r="AR36" s="100"/>
      <c r="AS36" s="100"/>
      <c r="AT36" s="100"/>
      <c r="AU36" s="100"/>
      <c r="AV36" s="100"/>
      <c r="AW36" s="100"/>
      <c r="AX36" s="100"/>
      <c r="AY36" s="100"/>
      <c r="AZ36" s="100"/>
      <c r="BA36" s="100"/>
      <c r="BB36" s="100"/>
      <c r="BC36" s="100"/>
      <c r="BD36" s="100"/>
      <c r="BE36" s="100"/>
      <c r="BF36" s="100"/>
      <c r="BG36" s="100"/>
      <c r="BH36" s="100">
        <f t="shared" si="22"/>
        <v>0</v>
      </c>
      <c r="BI36" s="100"/>
      <c r="BJ36" s="100"/>
      <c r="BK36" s="100"/>
      <c r="BL36" s="100">
        <f>E36+W36+X36+Y36+Z36+AA36+AB36+AC36+AD36+AF36+AH36+AI36+AJ36+AK36+AL36+AM36+AN36+AO36+AP36+AQ36+AR36+AS36+AT36+AU36+AV36+AW36+AX36+AY36+AZ36+BA36+BB36+BC36+BD36+BE36+BF36+BG36+BH36</f>
        <v>0</v>
      </c>
      <c r="BM36" s="100">
        <f>AG67-BL36</f>
        <v>0</v>
      </c>
      <c r="BN36" s="100">
        <f t="shared" ref="BN36:BN45" si="28">D36+BM36</f>
        <v>0.18</v>
      </c>
      <c r="BP36" s="123"/>
    </row>
    <row r="37" spans="1:68" ht="20.100000000000001" customHeight="1">
      <c r="A37" s="14" t="s">
        <v>226</v>
      </c>
      <c r="B37" s="143" t="s">
        <v>480</v>
      </c>
      <c r="C37" s="5" t="s">
        <v>204</v>
      </c>
      <c r="D37" s="100">
        <f>#REF!</f>
        <v>2.5499999999999998</v>
      </c>
      <c r="E37" s="100">
        <f t="shared" si="4"/>
        <v>0</v>
      </c>
      <c r="F37" s="100">
        <f t="shared" si="21"/>
        <v>0</v>
      </c>
      <c r="G37" s="100">
        <f t="shared" si="8"/>
        <v>0</v>
      </c>
      <c r="H37" s="100">
        <f t="shared" si="12"/>
        <v>0</v>
      </c>
      <c r="I37" s="100"/>
      <c r="J37" s="100"/>
      <c r="K37" s="100"/>
      <c r="L37" s="100"/>
      <c r="M37" s="100"/>
      <c r="N37" s="100"/>
      <c r="O37" s="100"/>
      <c r="P37" s="100"/>
      <c r="Q37" s="100"/>
      <c r="R37" s="100"/>
      <c r="S37" s="100"/>
      <c r="T37" s="100"/>
      <c r="U37" s="100"/>
      <c r="V37" s="100">
        <f t="shared" si="13"/>
        <v>2.5499999999999998</v>
      </c>
      <c r="W37" s="100"/>
      <c r="X37" s="100"/>
      <c r="Y37" s="100"/>
      <c r="Z37" s="100"/>
      <c r="AA37" s="100"/>
      <c r="AB37" s="100"/>
      <c r="AC37" s="100"/>
      <c r="AD37" s="100"/>
      <c r="AE37" s="100">
        <f t="shared" si="27"/>
        <v>2.5</v>
      </c>
      <c r="AF37" s="100"/>
      <c r="AG37" s="100"/>
      <c r="AH37" s="100">
        <f>D37-BL37</f>
        <v>2.5</v>
      </c>
      <c r="AI37" s="100"/>
      <c r="AJ37" s="100"/>
      <c r="AK37" s="100"/>
      <c r="AL37" s="100"/>
      <c r="AM37" s="100"/>
      <c r="AN37" s="100"/>
      <c r="AO37" s="100"/>
      <c r="AP37" s="100"/>
      <c r="AQ37" s="100"/>
      <c r="AR37" s="100"/>
      <c r="AS37" s="100"/>
      <c r="AT37" s="100"/>
      <c r="AU37" s="100">
        <v>0.05</v>
      </c>
      <c r="AV37" s="100"/>
      <c r="AW37" s="100"/>
      <c r="AX37" s="100"/>
      <c r="AY37" s="100"/>
      <c r="AZ37" s="100"/>
      <c r="BA37" s="100"/>
      <c r="BB37" s="100"/>
      <c r="BC37" s="100"/>
      <c r="BD37" s="100"/>
      <c r="BE37" s="100"/>
      <c r="BF37" s="100"/>
      <c r="BG37" s="100"/>
      <c r="BH37" s="100">
        <f t="shared" si="22"/>
        <v>0</v>
      </c>
      <c r="BI37" s="100"/>
      <c r="BJ37" s="100"/>
      <c r="BK37" s="100"/>
      <c r="BL37" s="100">
        <f>E37+W37+X37+Y37+Z37+AA37+AB37+AC37+AD37+AF37+AG37+AI37+AJ37+AK37+AL37+AM37+AN37+AO37+AP37+AQ37+AR37+AS37+AT37+AU37+AV37+AW37+AX37+AY37+AZ37+BA37+BB37+BC37+BD37+BE37+BF37+BG37+BH37</f>
        <v>0.05</v>
      </c>
      <c r="BM37" s="100">
        <f>AH67-BL37</f>
        <v>-0.05</v>
      </c>
      <c r="BN37" s="100">
        <f t="shared" si="28"/>
        <v>2.5</v>
      </c>
      <c r="BP37" s="123"/>
    </row>
    <row r="38" spans="1:68" ht="20.100000000000001" customHeight="1">
      <c r="A38" s="14" t="s">
        <v>227</v>
      </c>
      <c r="B38" s="143" t="s">
        <v>481</v>
      </c>
      <c r="C38" s="5" t="s">
        <v>205</v>
      </c>
      <c r="D38" s="100">
        <f>#REF!</f>
        <v>96.149500000000003</v>
      </c>
      <c r="E38" s="100">
        <f t="shared" si="4"/>
        <v>0</v>
      </c>
      <c r="F38" s="100">
        <f t="shared" si="21"/>
        <v>0</v>
      </c>
      <c r="G38" s="100">
        <f t="shared" si="8"/>
        <v>0</v>
      </c>
      <c r="H38" s="100">
        <f t="shared" si="12"/>
        <v>0</v>
      </c>
      <c r="I38" s="100"/>
      <c r="J38" s="100"/>
      <c r="K38" s="100"/>
      <c r="L38" s="100"/>
      <c r="M38" s="100"/>
      <c r="N38" s="100"/>
      <c r="O38" s="100"/>
      <c r="P38" s="100"/>
      <c r="Q38" s="100"/>
      <c r="R38" s="100"/>
      <c r="S38" s="100"/>
      <c r="T38" s="100"/>
      <c r="U38" s="100"/>
      <c r="V38" s="100">
        <f t="shared" si="13"/>
        <v>96.149500000000003</v>
      </c>
      <c r="W38" s="100"/>
      <c r="X38" s="100"/>
      <c r="Y38" s="100"/>
      <c r="Z38" s="100"/>
      <c r="AA38" s="100"/>
      <c r="AB38" s="100"/>
      <c r="AC38" s="100"/>
      <c r="AD38" s="100"/>
      <c r="AE38" s="100">
        <f t="shared" si="27"/>
        <v>96.149500000000003</v>
      </c>
      <c r="AF38" s="100"/>
      <c r="AG38" s="100"/>
      <c r="AH38" s="100"/>
      <c r="AI38" s="100">
        <f>D38-BL38</f>
        <v>96.149500000000003</v>
      </c>
      <c r="AJ38" s="100"/>
      <c r="AK38" s="100"/>
      <c r="AL38" s="100"/>
      <c r="AM38" s="100"/>
      <c r="AN38" s="100"/>
      <c r="AO38" s="100"/>
      <c r="AP38" s="100"/>
      <c r="AQ38" s="100"/>
      <c r="AR38" s="100"/>
      <c r="AS38" s="100"/>
      <c r="AT38" s="100"/>
      <c r="AU38" s="100"/>
      <c r="AV38" s="100"/>
      <c r="AW38" s="100"/>
      <c r="AX38" s="100"/>
      <c r="AY38" s="100"/>
      <c r="AZ38" s="100"/>
      <c r="BA38" s="100"/>
      <c r="BB38" s="100"/>
      <c r="BC38" s="100"/>
      <c r="BD38" s="100"/>
      <c r="BE38" s="100"/>
      <c r="BF38" s="100"/>
      <c r="BG38" s="100"/>
      <c r="BH38" s="100">
        <f t="shared" si="22"/>
        <v>0</v>
      </c>
      <c r="BI38" s="100"/>
      <c r="BJ38" s="100"/>
      <c r="BK38" s="100"/>
      <c r="BL38" s="100">
        <f>E38+W38+X38+Y38+Z38+AA38+AB38+AC38+AD38+AF38+AG38+AH38+AJ38+AK38+AL38+AM38+AN38+AO38+AP38+AQ38+AR38+AS38+AT38+AU38+AV38+AW38+AX38+AY38+AZ38+BA38+BB38+BC38+BD38+BE38+BF38+BG38+BH38</f>
        <v>0</v>
      </c>
      <c r="BM38" s="100">
        <f>AI67-BL38</f>
        <v>0</v>
      </c>
      <c r="BN38" s="100">
        <f t="shared" si="28"/>
        <v>96.149500000000003</v>
      </c>
      <c r="BP38" s="123"/>
    </row>
    <row r="39" spans="1:68" ht="20.100000000000001" customHeight="1">
      <c r="A39" s="14" t="s">
        <v>228</v>
      </c>
      <c r="B39" s="143" t="s">
        <v>482</v>
      </c>
      <c r="C39" s="5" t="s">
        <v>206</v>
      </c>
      <c r="D39" s="100"/>
      <c r="E39" s="100">
        <f t="shared" si="4"/>
        <v>0</v>
      </c>
      <c r="F39" s="100">
        <f t="shared" si="21"/>
        <v>0</v>
      </c>
      <c r="G39" s="100">
        <f t="shared" si="8"/>
        <v>0</v>
      </c>
      <c r="H39" s="100">
        <f t="shared" si="12"/>
        <v>0</v>
      </c>
      <c r="I39" s="100"/>
      <c r="J39" s="100"/>
      <c r="K39" s="100"/>
      <c r="L39" s="100"/>
      <c r="M39" s="100"/>
      <c r="N39" s="100"/>
      <c r="O39" s="100"/>
      <c r="P39" s="100"/>
      <c r="Q39" s="100"/>
      <c r="R39" s="100"/>
      <c r="S39" s="100"/>
      <c r="T39" s="100"/>
      <c r="U39" s="100"/>
      <c r="V39" s="100">
        <f t="shared" si="13"/>
        <v>0</v>
      </c>
      <c r="W39" s="100"/>
      <c r="X39" s="100"/>
      <c r="Y39" s="100"/>
      <c r="Z39" s="100"/>
      <c r="AA39" s="100"/>
      <c r="AB39" s="100"/>
      <c r="AC39" s="100"/>
      <c r="AD39" s="100"/>
      <c r="AE39" s="100">
        <f t="shared" si="27"/>
        <v>0</v>
      </c>
      <c r="AF39" s="100"/>
      <c r="AG39" s="100"/>
      <c r="AH39" s="100"/>
      <c r="AI39" s="100"/>
      <c r="AJ39" s="100">
        <f>D39-BL39</f>
        <v>0</v>
      </c>
      <c r="AK39" s="100"/>
      <c r="AL39" s="100"/>
      <c r="AM39" s="100"/>
      <c r="AN39" s="100"/>
      <c r="AO39" s="100"/>
      <c r="AP39" s="100"/>
      <c r="AQ39" s="100"/>
      <c r="AR39" s="100"/>
      <c r="AS39" s="100"/>
      <c r="AT39" s="100"/>
      <c r="AU39" s="100"/>
      <c r="AV39" s="100"/>
      <c r="AW39" s="100"/>
      <c r="AX39" s="100"/>
      <c r="AY39" s="100"/>
      <c r="AZ39" s="100"/>
      <c r="BA39" s="100"/>
      <c r="BB39" s="100"/>
      <c r="BC39" s="100"/>
      <c r="BD39" s="100"/>
      <c r="BE39" s="100"/>
      <c r="BF39" s="100"/>
      <c r="BG39" s="100"/>
      <c r="BH39" s="100">
        <f t="shared" si="22"/>
        <v>0</v>
      </c>
      <c r="BI39" s="100"/>
      <c r="BJ39" s="100"/>
      <c r="BK39" s="100"/>
      <c r="BL39" s="100">
        <f>E39+W39+X39+Y39+Z39+AA39+AB39+AC39+AD39+AQ39+AR39+AS39+AT39+AU39+AV39+AW39+AX39+AY39+AZ39+BA39+BB39+BC39+BD39+BE39+BF39+BG39+BH39+AF39+AG39+AH39+AI39+AK39+AL39+AM39+AN39+AO39+AP39</f>
        <v>0</v>
      </c>
      <c r="BM39" s="100">
        <f>AJ67-BL39</f>
        <v>0</v>
      </c>
      <c r="BN39" s="100">
        <f t="shared" si="28"/>
        <v>0</v>
      </c>
      <c r="BP39" s="123"/>
    </row>
    <row r="40" spans="1:68" ht="20.100000000000001" customHeight="1">
      <c r="A40" s="14" t="s">
        <v>229</v>
      </c>
      <c r="B40" s="143" t="s">
        <v>483</v>
      </c>
      <c r="C40" s="5" t="s">
        <v>207</v>
      </c>
      <c r="D40" s="100"/>
      <c r="E40" s="100">
        <f t="shared" si="4"/>
        <v>0</v>
      </c>
      <c r="F40" s="100">
        <f t="shared" si="21"/>
        <v>0</v>
      </c>
      <c r="G40" s="100">
        <f t="shared" si="8"/>
        <v>0</v>
      </c>
      <c r="H40" s="100">
        <f t="shared" si="12"/>
        <v>0</v>
      </c>
      <c r="I40" s="100"/>
      <c r="J40" s="100"/>
      <c r="K40" s="100"/>
      <c r="L40" s="100"/>
      <c r="M40" s="100"/>
      <c r="N40" s="100"/>
      <c r="O40" s="100"/>
      <c r="P40" s="100"/>
      <c r="Q40" s="100"/>
      <c r="R40" s="100"/>
      <c r="S40" s="100"/>
      <c r="T40" s="100"/>
      <c r="U40" s="100"/>
      <c r="V40" s="100">
        <f t="shared" si="13"/>
        <v>0</v>
      </c>
      <c r="W40" s="100"/>
      <c r="X40" s="100"/>
      <c r="Y40" s="100"/>
      <c r="Z40" s="100"/>
      <c r="AA40" s="100"/>
      <c r="AB40" s="100"/>
      <c r="AC40" s="100"/>
      <c r="AD40" s="100"/>
      <c r="AE40" s="100">
        <f t="shared" si="27"/>
        <v>0</v>
      </c>
      <c r="AF40" s="100"/>
      <c r="AG40" s="100"/>
      <c r="AH40" s="100"/>
      <c r="AI40" s="100"/>
      <c r="AJ40" s="100"/>
      <c r="AK40" s="100">
        <f>D40-BL40</f>
        <v>0</v>
      </c>
      <c r="AL40" s="100"/>
      <c r="AM40" s="100"/>
      <c r="AN40" s="100"/>
      <c r="AO40" s="100"/>
      <c r="AP40" s="100"/>
      <c r="AQ40" s="100"/>
      <c r="AR40" s="100"/>
      <c r="AS40" s="100"/>
      <c r="AT40" s="100"/>
      <c r="AU40" s="100"/>
      <c r="AV40" s="100"/>
      <c r="AW40" s="100"/>
      <c r="AX40" s="100"/>
      <c r="AY40" s="100"/>
      <c r="AZ40" s="100"/>
      <c r="BA40" s="100"/>
      <c r="BB40" s="100"/>
      <c r="BC40" s="100"/>
      <c r="BD40" s="100"/>
      <c r="BE40" s="100"/>
      <c r="BF40" s="100"/>
      <c r="BG40" s="100"/>
      <c r="BH40" s="100">
        <f t="shared" si="22"/>
        <v>0</v>
      </c>
      <c r="BI40" s="100"/>
      <c r="BJ40" s="100"/>
      <c r="BK40" s="100"/>
      <c r="BL40" s="100">
        <f>E40+W40+X40+Y40+Z40+AA40+AB40+AC40+AD40+AF40+AG40+AH40+AI40+AJ40+AL40+AM40+AN40+AO40+AP40+AQ40+AR40+AS40+AT40+AU40+AV40+AW40+AX40+AY40+AZ40+BA40+BB40+BC40+BD40+BE40+BF40+BG40+BH40</f>
        <v>0</v>
      </c>
      <c r="BM40" s="100">
        <f>AK67-BL40</f>
        <v>0</v>
      </c>
      <c r="BN40" s="100">
        <f t="shared" si="28"/>
        <v>0</v>
      </c>
      <c r="BP40" s="123"/>
    </row>
    <row r="41" spans="1:68" ht="20.100000000000001" customHeight="1">
      <c r="A41" s="14" t="s">
        <v>230</v>
      </c>
      <c r="B41" s="143" t="s">
        <v>484</v>
      </c>
      <c r="C41" s="5" t="s">
        <v>199</v>
      </c>
      <c r="D41" s="100">
        <f>#REF!</f>
        <v>46.87</v>
      </c>
      <c r="E41" s="100">
        <f t="shared" si="4"/>
        <v>0</v>
      </c>
      <c r="F41" s="100">
        <f t="shared" si="21"/>
        <v>0</v>
      </c>
      <c r="G41" s="100">
        <f t="shared" si="8"/>
        <v>0</v>
      </c>
      <c r="H41" s="100">
        <f t="shared" si="12"/>
        <v>0</v>
      </c>
      <c r="I41" s="100"/>
      <c r="J41" s="100"/>
      <c r="K41" s="100"/>
      <c r="L41" s="100"/>
      <c r="M41" s="100"/>
      <c r="N41" s="100"/>
      <c r="O41" s="100"/>
      <c r="P41" s="100"/>
      <c r="Q41" s="100"/>
      <c r="R41" s="100"/>
      <c r="S41" s="100"/>
      <c r="T41" s="100"/>
      <c r="U41" s="100"/>
      <c r="V41" s="100">
        <f t="shared" si="13"/>
        <v>46.87</v>
      </c>
      <c r="W41" s="100"/>
      <c r="X41" s="100"/>
      <c r="Y41" s="100"/>
      <c r="Z41" s="100"/>
      <c r="AA41" s="100"/>
      <c r="AB41" s="100"/>
      <c r="AC41" s="100"/>
      <c r="AD41" s="100"/>
      <c r="AE41" s="100">
        <f t="shared" si="27"/>
        <v>46.87</v>
      </c>
      <c r="AF41" s="100"/>
      <c r="AG41" s="100"/>
      <c r="AH41" s="100"/>
      <c r="AI41" s="100"/>
      <c r="AJ41" s="100"/>
      <c r="AK41" s="100"/>
      <c r="AL41" s="100">
        <f>D41-BL41</f>
        <v>46.87</v>
      </c>
      <c r="AM41" s="100"/>
      <c r="AN41" s="100"/>
      <c r="AO41" s="100"/>
      <c r="AP41" s="100"/>
      <c r="AQ41" s="100"/>
      <c r="AR41" s="100"/>
      <c r="AS41" s="100"/>
      <c r="AT41" s="100"/>
      <c r="AU41" s="100"/>
      <c r="AV41" s="100"/>
      <c r="AW41" s="100"/>
      <c r="AX41" s="100"/>
      <c r="AY41" s="100"/>
      <c r="AZ41" s="100"/>
      <c r="BA41" s="100"/>
      <c r="BB41" s="100"/>
      <c r="BC41" s="100"/>
      <c r="BD41" s="100"/>
      <c r="BE41" s="100"/>
      <c r="BF41" s="100"/>
      <c r="BG41" s="100"/>
      <c r="BH41" s="100">
        <f t="shared" si="22"/>
        <v>0</v>
      </c>
      <c r="BI41" s="100"/>
      <c r="BJ41" s="100"/>
      <c r="BK41" s="100"/>
      <c r="BL41" s="100">
        <f>E41+W41+X41+Y41+Z41+AA41+AB41+AC41+AD41+AF41+AG41+AH41+AI41+AJ41+AK41+AM41+AN41+AO41+AP41+AQ41+AR41+AS41+AT41+AU41+AV41+AW41+AX41+AY41+AZ41+BA41+BB41+BC41+BD41+BE41+BF41+BG41+BH41</f>
        <v>0</v>
      </c>
      <c r="BM41" s="100">
        <f>AL67-BL41</f>
        <v>3.7</v>
      </c>
      <c r="BN41" s="100">
        <f t="shared" si="28"/>
        <v>50.57</v>
      </c>
      <c r="BP41" s="123"/>
    </row>
    <row r="42" spans="1:68" ht="20.100000000000001" customHeight="1">
      <c r="A42" s="14" t="s">
        <v>231</v>
      </c>
      <c r="B42" s="143" t="s">
        <v>485</v>
      </c>
      <c r="C42" s="5" t="s">
        <v>200</v>
      </c>
      <c r="D42" s="100">
        <f>#REF!</f>
        <v>12.96</v>
      </c>
      <c r="E42" s="100">
        <f t="shared" si="4"/>
        <v>0</v>
      </c>
      <c r="F42" s="100">
        <f t="shared" si="21"/>
        <v>0</v>
      </c>
      <c r="G42" s="100">
        <f t="shared" si="8"/>
        <v>0</v>
      </c>
      <c r="H42" s="100">
        <f t="shared" si="12"/>
        <v>0</v>
      </c>
      <c r="I42" s="100"/>
      <c r="J42" s="100"/>
      <c r="K42" s="100"/>
      <c r="L42" s="100"/>
      <c r="M42" s="100"/>
      <c r="N42" s="100"/>
      <c r="O42" s="100"/>
      <c r="P42" s="100"/>
      <c r="Q42" s="100"/>
      <c r="R42" s="100"/>
      <c r="S42" s="100"/>
      <c r="T42" s="100"/>
      <c r="U42" s="100"/>
      <c r="V42" s="100">
        <f t="shared" si="13"/>
        <v>12.96</v>
      </c>
      <c r="W42" s="100">
        <v>0.01</v>
      </c>
      <c r="X42" s="100"/>
      <c r="Y42" s="100"/>
      <c r="Z42" s="100"/>
      <c r="AA42" s="100"/>
      <c r="AB42" s="100"/>
      <c r="AC42" s="100"/>
      <c r="AD42" s="100"/>
      <c r="AE42" s="100">
        <f t="shared" si="27"/>
        <v>12.950000000000001</v>
      </c>
      <c r="AF42" s="100"/>
      <c r="AG42" s="100"/>
      <c r="AH42" s="100"/>
      <c r="AI42" s="100"/>
      <c r="AJ42" s="100"/>
      <c r="AK42" s="100"/>
      <c r="AL42" s="100"/>
      <c r="AM42" s="100">
        <f>D42-BL42</f>
        <v>12.950000000000001</v>
      </c>
      <c r="AN42" s="100"/>
      <c r="AO42" s="100"/>
      <c r="AP42" s="100"/>
      <c r="AQ42" s="100"/>
      <c r="AR42" s="100"/>
      <c r="AS42" s="100"/>
      <c r="AT42" s="100"/>
      <c r="AU42" s="100"/>
      <c r="AV42" s="100"/>
      <c r="AW42" s="100"/>
      <c r="AX42" s="100"/>
      <c r="AY42" s="100"/>
      <c r="AZ42" s="100"/>
      <c r="BA42" s="100"/>
      <c r="BB42" s="100"/>
      <c r="BC42" s="100"/>
      <c r="BD42" s="100"/>
      <c r="BE42" s="100"/>
      <c r="BF42" s="100"/>
      <c r="BG42" s="100"/>
      <c r="BH42" s="100">
        <f t="shared" si="22"/>
        <v>0</v>
      </c>
      <c r="BI42" s="100"/>
      <c r="BJ42" s="100"/>
      <c r="BK42" s="100"/>
      <c r="BL42" s="100">
        <f>E42+W42+X42+Y42+Z42+AA42+AB42+AC42+AD42+AF42+AG42+AH42+AI42+AJ42+AK42+AL42+AN42+AO42+AP42+AQ42+AR42+AS42+AT42+AU42+AV42+AW42+AX42+AY42+AZ42+BA42+BB42+BC42+BD42+BE42+BF42+BG42+BH42</f>
        <v>0.01</v>
      </c>
      <c r="BM42" s="100">
        <f>AM67-BL42</f>
        <v>-0.01</v>
      </c>
      <c r="BN42" s="100">
        <f t="shared" si="28"/>
        <v>12.950000000000001</v>
      </c>
      <c r="BP42" s="123"/>
    </row>
    <row r="43" spans="1:68" ht="20.100000000000001" customHeight="1">
      <c r="A43" s="14" t="s">
        <v>232</v>
      </c>
      <c r="B43" s="143" t="s">
        <v>486</v>
      </c>
      <c r="C43" s="5" t="s">
        <v>223</v>
      </c>
      <c r="D43" s="100">
        <f>#REF!</f>
        <v>0.01</v>
      </c>
      <c r="E43" s="100">
        <f t="shared" si="4"/>
        <v>0</v>
      </c>
      <c r="F43" s="100">
        <f t="shared" si="21"/>
        <v>0</v>
      </c>
      <c r="G43" s="100">
        <f t="shared" si="8"/>
        <v>0</v>
      </c>
      <c r="H43" s="100">
        <f t="shared" si="12"/>
        <v>0</v>
      </c>
      <c r="I43" s="100"/>
      <c r="J43" s="100"/>
      <c r="K43" s="100"/>
      <c r="L43" s="100"/>
      <c r="M43" s="100"/>
      <c r="N43" s="100"/>
      <c r="O43" s="100"/>
      <c r="P43" s="100"/>
      <c r="Q43" s="100"/>
      <c r="R43" s="100"/>
      <c r="S43" s="100"/>
      <c r="T43" s="100"/>
      <c r="U43" s="100"/>
      <c r="V43" s="100">
        <f t="shared" si="13"/>
        <v>0.01</v>
      </c>
      <c r="W43" s="100"/>
      <c r="X43" s="100"/>
      <c r="Y43" s="100"/>
      <c r="Z43" s="100"/>
      <c r="AA43" s="100"/>
      <c r="AB43" s="100"/>
      <c r="AC43" s="100"/>
      <c r="AD43" s="100"/>
      <c r="AE43" s="100">
        <f t="shared" si="27"/>
        <v>0.01</v>
      </c>
      <c r="AF43" s="100"/>
      <c r="AG43" s="100"/>
      <c r="AH43" s="100"/>
      <c r="AI43" s="100"/>
      <c r="AJ43" s="100"/>
      <c r="AK43" s="100"/>
      <c r="AL43" s="100"/>
      <c r="AM43" s="100"/>
      <c r="AN43" s="100">
        <f>D43-BL43</f>
        <v>0.01</v>
      </c>
      <c r="AO43" s="100"/>
      <c r="AP43" s="100"/>
      <c r="AQ43" s="100"/>
      <c r="AR43" s="100"/>
      <c r="AS43" s="100"/>
      <c r="AT43" s="100"/>
      <c r="AU43" s="100"/>
      <c r="AV43" s="100"/>
      <c r="AW43" s="100"/>
      <c r="AX43" s="100"/>
      <c r="AY43" s="100"/>
      <c r="AZ43" s="100"/>
      <c r="BA43" s="100"/>
      <c r="BB43" s="100"/>
      <c r="BC43" s="100"/>
      <c r="BD43" s="100"/>
      <c r="BE43" s="100"/>
      <c r="BF43" s="100"/>
      <c r="BG43" s="100"/>
      <c r="BH43" s="100">
        <f t="shared" si="22"/>
        <v>0</v>
      </c>
      <c r="BI43" s="100"/>
      <c r="BJ43" s="100"/>
      <c r="BK43" s="100"/>
      <c r="BL43" s="100">
        <f>E43+W43+X43+Y43+Z43+AA43+AB43+AC43+AD43+AF43+AG43+AH43+AI43+AJ43+AK43+AL43+AM43+AO43+AP43+AQ43+AR43+AS43+AT43+AU43+AV43+AW43+AX43+AY43+AZ43+BA43+BB43+BC43+BD43+BE43+BF43+BG43+BH43</f>
        <v>0</v>
      </c>
      <c r="BM43" s="100">
        <f>AN67-BL43</f>
        <v>0</v>
      </c>
      <c r="BN43" s="100">
        <f t="shared" si="28"/>
        <v>0.01</v>
      </c>
      <c r="BP43" s="123"/>
    </row>
    <row r="44" spans="1:68" ht="20.100000000000001" customHeight="1">
      <c r="A44" s="14" t="s">
        <v>233</v>
      </c>
      <c r="B44" s="143" t="s">
        <v>487</v>
      </c>
      <c r="C44" s="5" t="s">
        <v>201</v>
      </c>
      <c r="D44" s="100">
        <f>#REF!</f>
        <v>0.25</v>
      </c>
      <c r="E44" s="100">
        <f t="shared" si="4"/>
        <v>0</v>
      </c>
      <c r="F44" s="100">
        <f t="shared" si="21"/>
        <v>0</v>
      </c>
      <c r="G44" s="100">
        <f t="shared" si="8"/>
        <v>0</v>
      </c>
      <c r="H44" s="100">
        <f t="shared" si="12"/>
        <v>0</v>
      </c>
      <c r="I44" s="100"/>
      <c r="J44" s="100"/>
      <c r="K44" s="100"/>
      <c r="L44" s="100"/>
      <c r="M44" s="100"/>
      <c r="N44" s="100"/>
      <c r="O44" s="100"/>
      <c r="P44" s="100"/>
      <c r="Q44" s="100"/>
      <c r="R44" s="100"/>
      <c r="S44" s="100"/>
      <c r="T44" s="100"/>
      <c r="U44" s="100"/>
      <c r="V44" s="100">
        <f t="shared" si="13"/>
        <v>0.25</v>
      </c>
      <c r="W44" s="100"/>
      <c r="X44" s="100"/>
      <c r="Y44" s="100"/>
      <c r="Z44" s="100"/>
      <c r="AA44" s="100"/>
      <c r="AB44" s="100"/>
      <c r="AC44" s="100"/>
      <c r="AD44" s="100"/>
      <c r="AE44" s="100">
        <f t="shared" si="27"/>
        <v>0.25</v>
      </c>
      <c r="AF44" s="100"/>
      <c r="AG44" s="100"/>
      <c r="AH44" s="100"/>
      <c r="AI44" s="100"/>
      <c r="AJ44" s="100"/>
      <c r="AK44" s="100"/>
      <c r="AL44" s="100"/>
      <c r="AM44" s="100"/>
      <c r="AN44" s="100"/>
      <c r="AO44" s="100">
        <f>D44-BL44</f>
        <v>0.25</v>
      </c>
      <c r="AP44" s="100"/>
      <c r="AQ44" s="100"/>
      <c r="AR44" s="100"/>
      <c r="AS44" s="100"/>
      <c r="AT44" s="100"/>
      <c r="AU44" s="100"/>
      <c r="AV44" s="100"/>
      <c r="AW44" s="100"/>
      <c r="AX44" s="100"/>
      <c r="AY44" s="100"/>
      <c r="AZ44" s="100"/>
      <c r="BA44" s="100"/>
      <c r="BB44" s="100"/>
      <c r="BC44" s="100"/>
      <c r="BD44" s="100"/>
      <c r="BE44" s="100"/>
      <c r="BF44" s="100"/>
      <c r="BG44" s="100"/>
      <c r="BH44" s="100">
        <f t="shared" si="22"/>
        <v>0</v>
      </c>
      <c r="BI44" s="100"/>
      <c r="BJ44" s="100"/>
      <c r="BK44" s="100"/>
      <c r="BL44" s="100">
        <f>E44+W44+X44+Y44+Z44+AA44+AB44+AC44+AD44+AF44+AG44+AH44+AI44+AJ44+AK44+AL44+AM44+AN44+AP44+AQ44+AR44+AS44+AT44+AU44+AV44+AW44+AX44+AY44+AZ44+BA44+BB44+BC44+BD44+BE44+BF44+BG44+BH44</f>
        <v>0</v>
      </c>
      <c r="BM44" s="100">
        <f>AO67-BL44</f>
        <v>0</v>
      </c>
      <c r="BN44" s="100">
        <f t="shared" si="28"/>
        <v>0.25</v>
      </c>
      <c r="BP44" s="123"/>
    </row>
    <row r="45" spans="1:68" ht="20.100000000000001" customHeight="1">
      <c r="A45" s="14" t="s">
        <v>234</v>
      </c>
      <c r="B45" s="143" t="s">
        <v>488</v>
      </c>
      <c r="C45" s="5" t="s">
        <v>208</v>
      </c>
      <c r="D45" s="100"/>
      <c r="E45" s="100">
        <f t="shared" si="4"/>
        <v>0</v>
      </c>
      <c r="F45" s="100">
        <f t="shared" si="21"/>
        <v>0</v>
      </c>
      <c r="G45" s="100">
        <f t="shared" si="8"/>
        <v>0</v>
      </c>
      <c r="H45" s="100">
        <f t="shared" si="12"/>
        <v>0</v>
      </c>
      <c r="I45" s="100"/>
      <c r="J45" s="100"/>
      <c r="K45" s="100"/>
      <c r="L45" s="100"/>
      <c r="M45" s="100"/>
      <c r="N45" s="100"/>
      <c r="O45" s="100"/>
      <c r="P45" s="100"/>
      <c r="Q45" s="100"/>
      <c r="R45" s="100"/>
      <c r="S45" s="100"/>
      <c r="T45" s="100"/>
      <c r="U45" s="100"/>
      <c r="V45" s="100">
        <f t="shared" si="13"/>
        <v>0</v>
      </c>
      <c r="W45" s="100"/>
      <c r="X45" s="100"/>
      <c r="Y45" s="100"/>
      <c r="Z45" s="100"/>
      <c r="AA45" s="100"/>
      <c r="AB45" s="100"/>
      <c r="AC45" s="100"/>
      <c r="AD45" s="100"/>
      <c r="AE45" s="100">
        <f t="shared" si="27"/>
        <v>0</v>
      </c>
      <c r="AF45" s="100"/>
      <c r="AG45" s="100"/>
      <c r="AH45" s="100"/>
      <c r="AI45" s="100"/>
      <c r="AJ45" s="100"/>
      <c r="AK45" s="100"/>
      <c r="AL45" s="100"/>
      <c r="AM45" s="100"/>
      <c r="AN45" s="100"/>
      <c r="AO45" s="100"/>
      <c r="AP45" s="100">
        <f>D45-BL45</f>
        <v>0</v>
      </c>
      <c r="AQ45" s="100"/>
      <c r="AR45" s="100"/>
      <c r="AS45" s="100"/>
      <c r="AT45" s="100"/>
      <c r="AU45" s="100"/>
      <c r="AV45" s="100"/>
      <c r="AW45" s="100"/>
      <c r="AX45" s="100"/>
      <c r="AY45" s="100"/>
      <c r="AZ45" s="100"/>
      <c r="BA45" s="100"/>
      <c r="BB45" s="100"/>
      <c r="BC45" s="100"/>
      <c r="BD45" s="100"/>
      <c r="BE45" s="100"/>
      <c r="BF45" s="100"/>
      <c r="BG45" s="100"/>
      <c r="BH45" s="100">
        <f t="shared" si="22"/>
        <v>0</v>
      </c>
      <c r="BI45" s="100"/>
      <c r="BJ45" s="100"/>
      <c r="BK45" s="100"/>
      <c r="BL45" s="100">
        <f>E45+W45+X45+Y45+Z45+AA45+AB45+AC45+AD45+AF45+AG45+AH45+AI45+AJ45+AK45+AL45+AM45+AN45+AO45+AQ45+AR45+AS45+AT45+AU45+AV45+AW45+AX45+AY45+AZ45+BA45+BB45+BC45+BD45+BE45+BF45+BG45+BH45</f>
        <v>0</v>
      </c>
      <c r="BM45" s="100">
        <f>AP67-BL45</f>
        <v>0</v>
      </c>
      <c r="BN45" s="100">
        <f t="shared" si="28"/>
        <v>0</v>
      </c>
      <c r="BP45" s="123"/>
    </row>
    <row r="46" spans="1:68" ht="20.100000000000001" customHeight="1">
      <c r="A46" s="19" t="s">
        <v>73</v>
      </c>
      <c r="B46" s="144" t="s">
        <v>74</v>
      </c>
      <c r="C46" s="5" t="s">
        <v>75</v>
      </c>
      <c r="D46" s="100">
        <f>#REF!</f>
        <v>0.17</v>
      </c>
      <c r="E46" s="100">
        <f t="shared" si="4"/>
        <v>0</v>
      </c>
      <c r="F46" s="100">
        <f t="shared" si="21"/>
        <v>0</v>
      </c>
      <c r="G46" s="100">
        <f t="shared" si="8"/>
        <v>0</v>
      </c>
      <c r="H46" s="100">
        <f t="shared" si="12"/>
        <v>0</v>
      </c>
      <c r="I46" s="100"/>
      <c r="J46" s="100"/>
      <c r="K46" s="100"/>
      <c r="L46" s="100"/>
      <c r="M46" s="100"/>
      <c r="N46" s="100"/>
      <c r="O46" s="100"/>
      <c r="P46" s="100"/>
      <c r="Q46" s="100"/>
      <c r="R46" s="100"/>
      <c r="S46" s="100"/>
      <c r="T46" s="100"/>
      <c r="U46" s="100"/>
      <c r="V46" s="100">
        <f t="shared" si="13"/>
        <v>0.17</v>
      </c>
      <c r="W46" s="100"/>
      <c r="X46" s="100"/>
      <c r="Y46" s="100"/>
      <c r="Z46" s="100"/>
      <c r="AA46" s="100"/>
      <c r="AB46" s="100"/>
      <c r="AC46" s="100"/>
      <c r="AD46" s="100"/>
      <c r="AE46" s="100">
        <f t="shared" si="27"/>
        <v>0</v>
      </c>
      <c r="AF46" s="100"/>
      <c r="AG46" s="100"/>
      <c r="AH46" s="100"/>
      <c r="AI46" s="100"/>
      <c r="AJ46" s="100"/>
      <c r="AK46" s="100"/>
      <c r="AL46" s="100"/>
      <c r="AM46" s="100"/>
      <c r="AN46" s="100"/>
      <c r="AO46" s="100"/>
      <c r="AP46" s="100"/>
      <c r="AQ46" s="100">
        <f>D46-BL46</f>
        <v>0.17</v>
      </c>
      <c r="AR46" s="100"/>
      <c r="AS46" s="100"/>
      <c r="AT46" s="100"/>
      <c r="AU46" s="100"/>
      <c r="AV46" s="100"/>
      <c r="AW46" s="100"/>
      <c r="AX46" s="100"/>
      <c r="AY46" s="100"/>
      <c r="AZ46" s="100"/>
      <c r="BA46" s="100"/>
      <c r="BB46" s="100"/>
      <c r="BC46" s="100"/>
      <c r="BD46" s="100"/>
      <c r="BE46" s="100"/>
      <c r="BF46" s="100"/>
      <c r="BG46" s="100"/>
      <c r="BH46" s="100">
        <f t="shared" si="22"/>
        <v>0</v>
      </c>
      <c r="BI46" s="100"/>
      <c r="BJ46" s="100"/>
      <c r="BK46" s="100"/>
      <c r="BL46" s="100">
        <f>E46+W46+X46+Y46+Z46+AA46+AB46+AC46+AD46+AE46+AR46+AS46+AT46+AU46+AV46+AW46+AX46+AY46+AZ46+BA46+BB46+BC46+BD46+BE46+BF46+BG46+BH46</f>
        <v>0</v>
      </c>
      <c r="BM46" s="100">
        <f>AQ67-BL46</f>
        <v>0</v>
      </c>
      <c r="BN46" s="100">
        <f>D46+BM46</f>
        <v>0.17</v>
      </c>
      <c r="BP46" s="123"/>
    </row>
    <row r="47" spans="1:68" ht="20.100000000000001" customHeight="1">
      <c r="A47" s="19" t="s">
        <v>76</v>
      </c>
      <c r="B47" s="144" t="s">
        <v>77</v>
      </c>
      <c r="C47" s="5" t="s">
        <v>78</v>
      </c>
      <c r="D47" s="100"/>
      <c r="E47" s="100">
        <f t="shared" si="4"/>
        <v>0</v>
      </c>
      <c r="F47" s="100">
        <f t="shared" si="21"/>
        <v>0</v>
      </c>
      <c r="G47" s="100">
        <f t="shared" si="8"/>
        <v>0</v>
      </c>
      <c r="H47" s="100">
        <f t="shared" si="12"/>
        <v>0</v>
      </c>
      <c r="I47" s="100"/>
      <c r="J47" s="100"/>
      <c r="K47" s="100"/>
      <c r="L47" s="100"/>
      <c r="M47" s="100"/>
      <c r="N47" s="100"/>
      <c r="O47" s="100"/>
      <c r="P47" s="100"/>
      <c r="Q47" s="100"/>
      <c r="R47" s="100"/>
      <c r="S47" s="100"/>
      <c r="T47" s="100"/>
      <c r="U47" s="100"/>
      <c r="V47" s="100">
        <f t="shared" si="13"/>
        <v>0</v>
      </c>
      <c r="W47" s="100"/>
      <c r="X47" s="100"/>
      <c r="Y47" s="100"/>
      <c r="Z47" s="100"/>
      <c r="AA47" s="100"/>
      <c r="AB47" s="100"/>
      <c r="AC47" s="100"/>
      <c r="AD47" s="100"/>
      <c r="AE47" s="100">
        <f t="shared" si="27"/>
        <v>0</v>
      </c>
      <c r="AF47" s="100"/>
      <c r="AG47" s="100"/>
      <c r="AH47" s="100"/>
      <c r="AI47" s="100"/>
      <c r="AJ47" s="100"/>
      <c r="AK47" s="100"/>
      <c r="AL47" s="100"/>
      <c r="AM47" s="100"/>
      <c r="AN47" s="100"/>
      <c r="AO47" s="100"/>
      <c r="AP47" s="100"/>
      <c r="AQ47" s="100"/>
      <c r="AR47" s="100">
        <f>D47-BL47</f>
        <v>0</v>
      </c>
      <c r="AS47" s="100"/>
      <c r="AT47" s="100"/>
      <c r="AU47" s="100"/>
      <c r="AV47" s="100"/>
      <c r="AW47" s="100"/>
      <c r="AX47" s="100"/>
      <c r="AY47" s="100"/>
      <c r="AZ47" s="100"/>
      <c r="BA47" s="100"/>
      <c r="BB47" s="100"/>
      <c r="BC47" s="100"/>
      <c r="BD47" s="100"/>
      <c r="BE47" s="100"/>
      <c r="BF47" s="100"/>
      <c r="BG47" s="100"/>
      <c r="BH47" s="100">
        <f t="shared" si="22"/>
        <v>0</v>
      </c>
      <c r="BI47" s="100"/>
      <c r="BJ47" s="100"/>
      <c r="BK47" s="100"/>
      <c r="BL47" s="100">
        <f>E47+W47+X47+Y47+Z47+AA47+AB47+AC47+AD47+AE47+AQ47+AS47+AT47+AU47+AV47+AW47+AX47+AY47+AZ47+BA47+BB47+BC47+BD47+BE47+BF47+BG47+BH47</f>
        <v>0</v>
      </c>
      <c r="BM47" s="100">
        <f>AR67-BL47</f>
        <v>0</v>
      </c>
      <c r="BN47" s="100">
        <f t="shared" ref="BN47:BN62" si="29">D47+BM47</f>
        <v>0</v>
      </c>
      <c r="BP47" s="123"/>
    </row>
    <row r="48" spans="1:68" ht="20.100000000000001" customHeight="1">
      <c r="A48" s="19" t="s">
        <v>79</v>
      </c>
      <c r="B48" s="144" t="s">
        <v>80</v>
      </c>
      <c r="C48" s="5" t="s">
        <v>81</v>
      </c>
      <c r="D48" s="100"/>
      <c r="E48" s="100">
        <f t="shared" si="4"/>
        <v>0</v>
      </c>
      <c r="F48" s="100">
        <f t="shared" si="21"/>
        <v>0</v>
      </c>
      <c r="G48" s="100">
        <f t="shared" si="8"/>
        <v>0</v>
      </c>
      <c r="H48" s="100">
        <f t="shared" si="12"/>
        <v>0</v>
      </c>
      <c r="I48" s="100"/>
      <c r="J48" s="100"/>
      <c r="K48" s="100"/>
      <c r="L48" s="100"/>
      <c r="M48" s="100"/>
      <c r="N48" s="100"/>
      <c r="O48" s="100"/>
      <c r="P48" s="100"/>
      <c r="Q48" s="100"/>
      <c r="R48" s="100"/>
      <c r="S48" s="100"/>
      <c r="T48" s="100"/>
      <c r="U48" s="100"/>
      <c r="V48" s="100">
        <f t="shared" si="13"/>
        <v>0</v>
      </c>
      <c r="W48" s="100"/>
      <c r="X48" s="100"/>
      <c r="Y48" s="100"/>
      <c r="Z48" s="100"/>
      <c r="AA48" s="100"/>
      <c r="AB48" s="100"/>
      <c r="AC48" s="100"/>
      <c r="AD48" s="100"/>
      <c r="AE48" s="100">
        <f t="shared" si="27"/>
        <v>0</v>
      </c>
      <c r="AF48" s="100"/>
      <c r="AG48" s="100"/>
      <c r="AH48" s="100"/>
      <c r="AI48" s="100"/>
      <c r="AJ48" s="100"/>
      <c r="AK48" s="100"/>
      <c r="AL48" s="100"/>
      <c r="AM48" s="100"/>
      <c r="AN48" s="100"/>
      <c r="AO48" s="100"/>
      <c r="AP48" s="100"/>
      <c r="AQ48" s="100"/>
      <c r="AR48" s="100"/>
      <c r="AS48" s="100">
        <f>D48-BL48</f>
        <v>0</v>
      </c>
      <c r="AT48" s="100"/>
      <c r="AU48" s="100"/>
      <c r="AV48" s="100"/>
      <c r="AW48" s="100"/>
      <c r="AX48" s="100"/>
      <c r="AY48" s="100"/>
      <c r="AZ48" s="100"/>
      <c r="BA48" s="100"/>
      <c r="BB48" s="100"/>
      <c r="BC48" s="100"/>
      <c r="BD48" s="100"/>
      <c r="BE48" s="100"/>
      <c r="BF48" s="100"/>
      <c r="BG48" s="100"/>
      <c r="BH48" s="100">
        <f t="shared" si="22"/>
        <v>0</v>
      </c>
      <c r="BI48" s="100"/>
      <c r="BJ48" s="100"/>
      <c r="BK48" s="100"/>
      <c r="BL48" s="100">
        <f>E48+W48+X48+Y48+Z48+AA48+AB48+AC48+AD48+AQ48+AR48+AT48+AU48+AV48+AW48+AX48+AY48+AZ48+BA48+BB48+BC48+BD48+BE48+BF48+BG48+BH48</f>
        <v>0</v>
      </c>
      <c r="BM48" s="100">
        <f>AS67-BL48</f>
        <v>0</v>
      </c>
      <c r="BN48" s="100">
        <f t="shared" si="29"/>
        <v>0</v>
      </c>
      <c r="BP48" s="123"/>
    </row>
    <row r="49" spans="1:68" ht="20.100000000000001" customHeight="1">
      <c r="A49" s="19" t="s">
        <v>82</v>
      </c>
      <c r="B49" s="144" t="s">
        <v>83</v>
      </c>
      <c r="C49" s="5" t="s">
        <v>84</v>
      </c>
      <c r="D49" s="100"/>
      <c r="E49" s="100">
        <f t="shared" si="4"/>
        <v>0</v>
      </c>
      <c r="F49" s="100">
        <f t="shared" si="21"/>
        <v>0</v>
      </c>
      <c r="G49" s="100">
        <f t="shared" si="8"/>
        <v>0</v>
      </c>
      <c r="H49" s="100">
        <f t="shared" si="12"/>
        <v>0</v>
      </c>
      <c r="I49" s="100"/>
      <c r="J49" s="100"/>
      <c r="K49" s="100"/>
      <c r="L49" s="100"/>
      <c r="M49" s="100"/>
      <c r="N49" s="100"/>
      <c r="O49" s="100"/>
      <c r="P49" s="100"/>
      <c r="Q49" s="100"/>
      <c r="R49" s="100"/>
      <c r="S49" s="100"/>
      <c r="T49" s="100"/>
      <c r="U49" s="100"/>
      <c r="V49" s="100">
        <f t="shared" si="13"/>
        <v>0</v>
      </c>
      <c r="W49" s="100"/>
      <c r="X49" s="100"/>
      <c r="Y49" s="100"/>
      <c r="Z49" s="100"/>
      <c r="AA49" s="100"/>
      <c r="AB49" s="100"/>
      <c r="AC49" s="100"/>
      <c r="AD49" s="100"/>
      <c r="AE49" s="100">
        <f t="shared" si="27"/>
        <v>0</v>
      </c>
      <c r="AF49" s="100"/>
      <c r="AG49" s="100"/>
      <c r="AH49" s="100"/>
      <c r="AI49" s="100"/>
      <c r="AJ49" s="100"/>
      <c r="AK49" s="100"/>
      <c r="AL49" s="100"/>
      <c r="AM49" s="100"/>
      <c r="AN49" s="100"/>
      <c r="AO49" s="100"/>
      <c r="AP49" s="100"/>
      <c r="AQ49" s="100"/>
      <c r="AR49" s="100"/>
      <c r="AS49" s="100"/>
      <c r="AT49" s="100">
        <f>D49-BL49</f>
        <v>0</v>
      </c>
      <c r="AU49" s="100"/>
      <c r="AV49" s="100"/>
      <c r="AW49" s="100"/>
      <c r="AX49" s="100"/>
      <c r="AY49" s="100"/>
      <c r="AZ49" s="100"/>
      <c r="BA49" s="100"/>
      <c r="BB49" s="100"/>
      <c r="BC49" s="100"/>
      <c r="BD49" s="100"/>
      <c r="BE49" s="100"/>
      <c r="BF49" s="100"/>
      <c r="BG49" s="100"/>
      <c r="BH49" s="100">
        <f t="shared" si="22"/>
        <v>0</v>
      </c>
      <c r="BI49" s="100"/>
      <c r="BJ49" s="100"/>
      <c r="BK49" s="100"/>
      <c r="BL49" s="100">
        <f>E49+W49+X49+Y49+Z49+AA49+AB49+AC49+AD49+AE49+AQ49+AR49+AS49+AU49+AV49+AW49+AX49+AY49+AZ49+BA49+BB49+BC49+BD49+BE49+BF49+BG49+BH49</f>
        <v>0</v>
      </c>
      <c r="BM49" s="100">
        <f>AT67-BL49</f>
        <v>0</v>
      </c>
      <c r="BN49" s="100">
        <f t="shared" si="29"/>
        <v>0</v>
      </c>
      <c r="BP49" s="123"/>
    </row>
    <row r="50" spans="1:68" ht="20.100000000000001" customHeight="1">
      <c r="A50" s="19" t="s">
        <v>85</v>
      </c>
      <c r="B50" s="144" t="s">
        <v>86</v>
      </c>
      <c r="C50" s="5" t="s">
        <v>87</v>
      </c>
      <c r="D50" s="100">
        <f>#REF!</f>
        <v>33.78</v>
      </c>
      <c r="E50" s="100">
        <f t="shared" si="4"/>
        <v>0</v>
      </c>
      <c r="F50" s="100">
        <f t="shared" si="21"/>
        <v>0</v>
      </c>
      <c r="G50" s="100">
        <f t="shared" si="8"/>
        <v>0</v>
      </c>
      <c r="H50" s="100">
        <f t="shared" si="12"/>
        <v>0</v>
      </c>
      <c r="I50" s="100"/>
      <c r="J50" s="100"/>
      <c r="K50" s="100"/>
      <c r="L50" s="100"/>
      <c r="M50" s="100"/>
      <c r="N50" s="100"/>
      <c r="O50" s="100"/>
      <c r="P50" s="100"/>
      <c r="Q50" s="100"/>
      <c r="R50" s="100"/>
      <c r="S50" s="100"/>
      <c r="T50" s="100"/>
      <c r="U50" s="100"/>
      <c r="V50" s="100">
        <f t="shared" si="13"/>
        <v>33.78</v>
      </c>
      <c r="W50" s="100"/>
      <c r="X50" s="100"/>
      <c r="Y50" s="100"/>
      <c r="Z50" s="100"/>
      <c r="AA50" s="100"/>
      <c r="AB50" s="100"/>
      <c r="AC50" s="100"/>
      <c r="AD50" s="100"/>
      <c r="AE50" s="100">
        <f t="shared" si="27"/>
        <v>0.18</v>
      </c>
      <c r="AF50" s="100"/>
      <c r="AG50" s="100"/>
      <c r="AH50" s="100"/>
      <c r="AI50" s="100"/>
      <c r="AJ50" s="100"/>
      <c r="AK50" s="100"/>
      <c r="AL50" s="100">
        <v>0.18</v>
      </c>
      <c r="AM50" s="100"/>
      <c r="AN50" s="100"/>
      <c r="AO50" s="100"/>
      <c r="AP50" s="100"/>
      <c r="AQ50" s="100"/>
      <c r="AR50" s="100"/>
      <c r="AS50" s="100"/>
      <c r="AT50" s="100"/>
      <c r="AU50" s="100">
        <f>D50-BL50</f>
        <v>33.6</v>
      </c>
      <c r="AV50" s="100"/>
      <c r="AW50" s="100"/>
      <c r="AX50" s="100"/>
      <c r="AY50" s="100"/>
      <c r="AZ50" s="100"/>
      <c r="BA50" s="100"/>
      <c r="BB50" s="100"/>
      <c r="BC50" s="100"/>
      <c r="BD50" s="100"/>
      <c r="BE50" s="100"/>
      <c r="BF50" s="100"/>
      <c r="BG50" s="100"/>
      <c r="BH50" s="100">
        <f t="shared" si="22"/>
        <v>0</v>
      </c>
      <c r="BI50" s="100"/>
      <c r="BJ50" s="100"/>
      <c r="BK50" s="100"/>
      <c r="BL50" s="100">
        <f>E50+W50+X50+Y50+Z50+AA50+AB50+AC50+AD50+AE50+AQ50+AR50+AS50+AT50+AV50+AW50+AX50+AY50+AZ50+BA50+BB50+BC50+BD50+BE50+BF50+BG50+BH50</f>
        <v>0.18</v>
      </c>
      <c r="BM50" s="100">
        <f>AU67-BL50</f>
        <v>0.37000000000000005</v>
      </c>
      <c r="BN50" s="100">
        <f t="shared" si="29"/>
        <v>34.15</v>
      </c>
      <c r="BP50" s="123"/>
    </row>
    <row r="51" spans="1:68" ht="20.100000000000001" customHeight="1">
      <c r="A51" s="19" t="s">
        <v>88</v>
      </c>
      <c r="B51" s="144" t="s">
        <v>89</v>
      </c>
      <c r="C51" s="5" t="s">
        <v>90</v>
      </c>
      <c r="D51" s="100">
        <f>#REF!</f>
        <v>0.3</v>
      </c>
      <c r="E51" s="100">
        <f t="shared" si="4"/>
        <v>0</v>
      </c>
      <c r="F51" s="100">
        <f t="shared" si="21"/>
        <v>0</v>
      </c>
      <c r="G51" s="100">
        <f t="shared" si="8"/>
        <v>0</v>
      </c>
      <c r="H51" s="100">
        <f t="shared" si="12"/>
        <v>0</v>
      </c>
      <c r="I51" s="100"/>
      <c r="J51" s="100"/>
      <c r="K51" s="100"/>
      <c r="L51" s="100"/>
      <c r="M51" s="100"/>
      <c r="N51" s="100"/>
      <c r="O51" s="100"/>
      <c r="P51" s="100"/>
      <c r="Q51" s="100"/>
      <c r="R51" s="100"/>
      <c r="S51" s="100"/>
      <c r="T51" s="100"/>
      <c r="U51" s="100"/>
      <c r="V51" s="100">
        <f t="shared" si="13"/>
        <v>0.3</v>
      </c>
      <c r="W51" s="100"/>
      <c r="X51" s="100"/>
      <c r="Y51" s="100"/>
      <c r="Z51" s="100"/>
      <c r="AA51" s="100"/>
      <c r="AB51" s="100"/>
      <c r="AC51" s="100"/>
      <c r="AD51" s="100"/>
      <c r="AE51" s="100">
        <f t="shared" si="27"/>
        <v>0</v>
      </c>
      <c r="AF51" s="100"/>
      <c r="AG51" s="100"/>
      <c r="AH51" s="100"/>
      <c r="AI51" s="100"/>
      <c r="AJ51" s="100"/>
      <c r="AK51" s="100"/>
      <c r="AL51" s="100"/>
      <c r="AM51" s="100"/>
      <c r="AN51" s="100"/>
      <c r="AO51" s="100"/>
      <c r="AP51" s="100"/>
      <c r="AQ51" s="100"/>
      <c r="AR51" s="100"/>
      <c r="AS51" s="100"/>
      <c r="AT51" s="100"/>
      <c r="AU51" s="100"/>
      <c r="AV51" s="100">
        <f>D51-BL51</f>
        <v>0.3</v>
      </c>
      <c r="AW51" s="100"/>
      <c r="AX51" s="100"/>
      <c r="AY51" s="100"/>
      <c r="AZ51" s="100"/>
      <c r="BA51" s="100"/>
      <c r="BB51" s="100"/>
      <c r="BC51" s="100"/>
      <c r="BD51" s="100"/>
      <c r="BE51" s="100"/>
      <c r="BF51" s="100"/>
      <c r="BG51" s="100"/>
      <c r="BH51" s="100">
        <f t="shared" si="22"/>
        <v>0</v>
      </c>
      <c r="BI51" s="100"/>
      <c r="BJ51" s="100"/>
      <c r="BK51" s="100"/>
      <c r="BL51" s="100">
        <f>E51+W51+X51+Y51+Z51+AA51+AB51+AC51+AD51+AE51+AQ51+AR51+AS51+AT51+AU51+AW51+AX51+AY51+AZ51+BA51+BB51+BC51+BD51+BE51+BF51+BG51+BH51</f>
        <v>0</v>
      </c>
      <c r="BM51" s="100">
        <f>AV67-BL51</f>
        <v>0</v>
      </c>
      <c r="BN51" s="100">
        <f t="shared" si="29"/>
        <v>0.3</v>
      </c>
      <c r="BP51" s="123"/>
    </row>
    <row r="52" spans="1:68" ht="20.100000000000001" customHeight="1">
      <c r="A52" s="19" t="s">
        <v>91</v>
      </c>
      <c r="B52" s="144" t="s">
        <v>489</v>
      </c>
      <c r="C52" s="5" t="s">
        <v>93</v>
      </c>
      <c r="D52" s="100"/>
      <c r="E52" s="100">
        <f t="shared" si="4"/>
        <v>0</v>
      </c>
      <c r="F52" s="100">
        <f t="shared" si="21"/>
        <v>0</v>
      </c>
      <c r="G52" s="100">
        <f t="shared" si="8"/>
        <v>0</v>
      </c>
      <c r="H52" s="100">
        <f t="shared" si="12"/>
        <v>0</v>
      </c>
      <c r="I52" s="100"/>
      <c r="J52" s="100"/>
      <c r="K52" s="100"/>
      <c r="L52" s="100"/>
      <c r="M52" s="100"/>
      <c r="N52" s="100"/>
      <c r="O52" s="100"/>
      <c r="P52" s="100"/>
      <c r="Q52" s="100"/>
      <c r="R52" s="100"/>
      <c r="S52" s="100"/>
      <c r="T52" s="100"/>
      <c r="U52" s="100"/>
      <c r="V52" s="100">
        <f t="shared" si="13"/>
        <v>0</v>
      </c>
      <c r="W52" s="100"/>
      <c r="X52" s="100"/>
      <c r="Y52" s="100"/>
      <c r="Z52" s="100"/>
      <c r="AA52" s="100"/>
      <c r="AB52" s="100"/>
      <c r="AC52" s="100"/>
      <c r="AD52" s="100"/>
      <c r="AE52" s="100">
        <f t="shared" si="27"/>
        <v>0</v>
      </c>
      <c r="AF52" s="100"/>
      <c r="AG52" s="100"/>
      <c r="AH52" s="100"/>
      <c r="AI52" s="100"/>
      <c r="AJ52" s="100"/>
      <c r="AK52" s="100"/>
      <c r="AL52" s="100"/>
      <c r="AM52" s="100"/>
      <c r="AN52" s="100"/>
      <c r="AO52" s="100"/>
      <c r="AP52" s="100"/>
      <c r="AQ52" s="100"/>
      <c r="AR52" s="100"/>
      <c r="AS52" s="100"/>
      <c r="AT52" s="100"/>
      <c r="AU52" s="100"/>
      <c r="AV52" s="100"/>
      <c r="AW52" s="100">
        <f>D52-BL52</f>
        <v>0</v>
      </c>
      <c r="AX52" s="100"/>
      <c r="AY52" s="100"/>
      <c r="AZ52" s="100"/>
      <c r="BA52" s="100"/>
      <c r="BB52" s="100"/>
      <c r="BC52" s="100"/>
      <c r="BD52" s="100"/>
      <c r="BE52" s="100"/>
      <c r="BF52" s="100"/>
      <c r="BG52" s="100"/>
      <c r="BH52" s="100">
        <f t="shared" si="22"/>
        <v>0</v>
      </c>
      <c r="BI52" s="100"/>
      <c r="BJ52" s="100"/>
      <c r="BK52" s="100"/>
      <c r="BL52" s="100">
        <f>E52+W52+X52+Y52+Z52+AA52+AB52+AC52+AD52+AE52+AQ52+AR52+AS52+AT52+AU52+AV52+AX52+AY52+AZ52+BA52+BB52+BC52+BD52+BE52+BF52+BG52+BH52</f>
        <v>0</v>
      </c>
      <c r="BM52" s="100">
        <f>AW67-BL52</f>
        <v>0</v>
      </c>
      <c r="BN52" s="100">
        <f t="shared" si="29"/>
        <v>0</v>
      </c>
      <c r="BP52" s="123"/>
    </row>
    <row r="53" spans="1:68" ht="20.100000000000001" customHeight="1">
      <c r="A53" s="19" t="s">
        <v>94</v>
      </c>
      <c r="B53" s="144" t="s">
        <v>95</v>
      </c>
      <c r="C53" s="5" t="s">
        <v>96</v>
      </c>
      <c r="D53" s="100"/>
      <c r="E53" s="100">
        <f t="shared" si="4"/>
        <v>0</v>
      </c>
      <c r="F53" s="100">
        <f t="shared" si="21"/>
        <v>0</v>
      </c>
      <c r="G53" s="100">
        <f t="shared" si="8"/>
        <v>0</v>
      </c>
      <c r="H53" s="100">
        <f t="shared" si="12"/>
        <v>0</v>
      </c>
      <c r="I53" s="100"/>
      <c r="J53" s="100"/>
      <c r="K53" s="100"/>
      <c r="L53" s="100"/>
      <c r="M53" s="100"/>
      <c r="N53" s="100"/>
      <c r="O53" s="100"/>
      <c r="P53" s="100"/>
      <c r="Q53" s="100"/>
      <c r="R53" s="100"/>
      <c r="S53" s="100"/>
      <c r="T53" s="100"/>
      <c r="U53" s="100"/>
      <c r="V53" s="100">
        <f t="shared" si="13"/>
        <v>0</v>
      </c>
      <c r="W53" s="100"/>
      <c r="X53" s="100"/>
      <c r="Y53" s="100"/>
      <c r="Z53" s="100"/>
      <c r="AA53" s="100"/>
      <c r="AB53" s="100"/>
      <c r="AC53" s="100"/>
      <c r="AD53" s="100"/>
      <c r="AE53" s="100">
        <f t="shared" si="27"/>
        <v>0</v>
      </c>
      <c r="AF53" s="100"/>
      <c r="AG53" s="100"/>
      <c r="AH53" s="100"/>
      <c r="AI53" s="100"/>
      <c r="AJ53" s="100"/>
      <c r="AK53" s="100"/>
      <c r="AL53" s="100"/>
      <c r="AM53" s="100"/>
      <c r="AN53" s="100"/>
      <c r="AO53" s="100"/>
      <c r="AP53" s="100"/>
      <c r="AQ53" s="100"/>
      <c r="AR53" s="100"/>
      <c r="AS53" s="100"/>
      <c r="AT53" s="100"/>
      <c r="AU53" s="100"/>
      <c r="AV53" s="100"/>
      <c r="AW53" s="100"/>
      <c r="AX53" s="100">
        <f>D53-BL53</f>
        <v>0</v>
      </c>
      <c r="AY53" s="100"/>
      <c r="AZ53" s="100"/>
      <c r="BA53" s="100"/>
      <c r="BB53" s="100"/>
      <c r="BC53" s="100"/>
      <c r="BD53" s="100"/>
      <c r="BE53" s="100"/>
      <c r="BF53" s="100"/>
      <c r="BG53" s="100"/>
      <c r="BH53" s="100">
        <f t="shared" si="22"/>
        <v>0</v>
      </c>
      <c r="BI53" s="100"/>
      <c r="BJ53" s="100"/>
      <c r="BK53" s="100"/>
      <c r="BL53" s="100">
        <f>E53+W53+X53+Y53+Z53+AA53+AB53+AC53+AD53+AE53+AQ53+AR53+AS53+AT53+AU53+AV53+AW53+AY53+AZ53+BA53+BB53+BC53+BD53+BE53+BF53+BG53+BH53</f>
        <v>0</v>
      </c>
      <c r="BM53" s="100">
        <f>AX67-BL53</f>
        <v>0</v>
      </c>
      <c r="BN53" s="100">
        <f t="shared" si="29"/>
        <v>0</v>
      </c>
      <c r="BP53" s="123"/>
    </row>
    <row r="54" spans="1:68" ht="20.100000000000001" customHeight="1">
      <c r="A54" s="19" t="s">
        <v>97</v>
      </c>
      <c r="B54" s="144" t="s">
        <v>98</v>
      </c>
      <c r="C54" s="5" t="s">
        <v>99</v>
      </c>
      <c r="D54" s="100">
        <f>#REF!</f>
        <v>2</v>
      </c>
      <c r="E54" s="100">
        <f t="shared" si="4"/>
        <v>0</v>
      </c>
      <c r="F54" s="100">
        <f t="shared" si="21"/>
        <v>0</v>
      </c>
      <c r="G54" s="100">
        <f t="shared" si="8"/>
        <v>0</v>
      </c>
      <c r="H54" s="100">
        <f t="shared" si="12"/>
        <v>0</v>
      </c>
      <c r="I54" s="100"/>
      <c r="J54" s="100"/>
      <c r="K54" s="100"/>
      <c r="L54" s="100"/>
      <c r="M54" s="100"/>
      <c r="N54" s="100"/>
      <c r="O54" s="100"/>
      <c r="P54" s="100"/>
      <c r="Q54" s="100"/>
      <c r="R54" s="100"/>
      <c r="S54" s="100"/>
      <c r="T54" s="100"/>
      <c r="U54" s="100"/>
      <c r="V54" s="100">
        <f t="shared" si="13"/>
        <v>2</v>
      </c>
      <c r="W54" s="100"/>
      <c r="X54" s="100"/>
      <c r="Y54" s="100"/>
      <c r="Z54" s="100"/>
      <c r="AA54" s="100"/>
      <c r="AB54" s="100"/>
      <c r="AC54" s="100"/>
      <c r="AD54" s="100"/>
      <c r="AE54" s="100">
        <f t="shared" si="27"/>
        <v>0</v>
      </c>
      <c r="AF54" s="100"/>
      <c r="AG54" s="100"/>
      <c r="AH54" s="100"/>
      <c r="AI54" s="100"/>
      <c r="AJ54" s="100"/>
      <c r="AK54" s="100"/>
      <c r="AL54" s="100"/>
      <c r="AM54" s="100"/>
      <c r="AN54" s="100"/>
      <c r="AO54" s="100"/>
      <c r="AP54" s="100"/>
      <c r="AQ54" s="100"/>
      <c r="AR54" s="100"/>
      <c r="AS54" s="100"/>
      <c r="AT54" s="100"/>
      <c r="AU54" s="100"/>
      <c r="AV54" s="100"/>
      <c r="AW54" s="100"/>
      <c r="AX54" s="100"/>
      <c r="AY54" s="100">
        <f>D54-BL54</f>
        <v>2</v>
      </c>
      <c r="AZ54" s="100"/>
      <c r="BA54" s="100"/>
      <c r="BB54" s="100"/>
      <c r="BC54" s="100"/>
      <c r="BD54" s="100"/>
      <c r="BE54" s="100"/>
      <c r="BF54" s="100"/>
      <c r="BG54" s="100"/>
      <c r="BH54" s="100">
        <f t="shared" si="22"/>
        <v>0</v>
      </c>
      <c r="BI54" s="100"/>
      <c r="BJ54" s="100"/>
      <c r="BK54" s="100"/>
      <c r="BL54" s="100">
        <f>E54+W54+X54+Y54+Z54+AA54+AB54+AC54+AD54+AE54+AQ54+AR54+AS54+AT54+AU54+AV54+AW54+AX54+AZ54+BA54+BB54+BC54+BD54+BE54+BF54+BG54+BH54</f>
        <v>0</v>
      </c>
      <c r="BM54" s="100">
        <f>AY67-BL54</f>
        <v>0</v>
      </c>
      <c r="BN54" s="100">
        <f t="shared" si="29"/>
        <v>2</v>
      </c>
      <c r="BP54" s="123"/>
    </row>
    <row r="55" spans="1:68" ht="29.25" customHeight="1">
      <c r="A55" s="19" t="s">
        <v>100</v>
      </c>
      <c r="B55" s="144" t="s">
        <v>490</v>
      </c>
      <c r="C55" s="5" t="s">
        <v>101</v>
      </c>
      <c r="D55" s="100">
        <f>#REF!</f>
        <v>34.43</v>
      </c>
      <c r="E55" s="100">
        <f t="shared" si="4"/>
        <v>0</v>
      </c>
      <c r="F55" s="100">
        <f t="shared" si="21"/>
        <v>0</v>
      </c>
      <c r="G55" s="100">
        <f t="shared" si="8"/>
        <v>0</v>
      </c>
      <c r="H55" s="100">
        <f t="shared" si="12"/>
        <v>0</v>
      </c>
      <c r="I55" s="100"/>
      <c r="J55" s="100"/>
      <c r="K55" s="100"/>
      <c r="L55" s="100"/>
      <c r="M55" s="100"/>
      <c r="N55" s="100"/>
      <c r="O55" s="100"/>
      <c r="P55" s="100"/>
      <c r="Q55" s="100"/>
      <c r="R55" s="100"/>
      <c r="S55" s="100"/>
      <c r="T55" s="100"/>
      <c r="U55" s="100"/>
      <c r="V55" s="100">
        <f t="shared" si="13"/>
        <v>34.43</v>
      </c>
      <c r="W55" s="100"/>
      <c r="X55" s="100"/>
      <c r="Y55" s="100"/>
      <c r="Z55" s="100"/>
      <c r="AA55" s="100"/>
      <c r="AB55" s="100"/>
      <c r="AC55" s="100"/>
      <c r="AD55" s="100"/>
      <c r="AE55" s="100">
        <f t="shared" si="27"/>
        <v>0</v>
      </c>
      <c r="AF55" s="100"/>
      <c r="AG55" s="100"/>
      <c r="AH55" s="100"/>
      <c r="AI55" s="100"/>
      <c r="AJ55" s="100"/>
      <c r="AK55" s="100"/>
      <c r="AL55" s="100"/>
      <c r="AM55" s="100"/>
      <c r="AN55" s="100"/>
      <c r="AO55" s="100"/>
      <c r="AP55" s="100"/>
      <c r="AQ55" s="100"/>
      <c r="AR55" s="100"/>
      <c r="AS55" s="100"/>
      <c r="AT55" s="100"/>
      <c r="AU55" s="100"/>
      <c r="AV55" s="100"/>
      <c r="AW55" s="100"/>
      <c r="AX55" s="100"/>
      <c r="AY55" s="100"/>
      <c r="AZ55" s="100">
        <f>D55-BL55</f>
        <v>34.43</v>
      </c>
      <c r="BA55" s="100"/>
      <c r="BB55" s="100"/>
      <c r="BC55" s="100"/>
      <c r="BD55" s="100"/>
      <c r="BE55" s="100"/>
      <c r="BF55" s="100"/>
      <c r="BG55" s="100"/>
      <c r="BH55" s="100">
        <f t="shared" si="22"/>
        <v>0</v>
      </c>
      <c r="BI55" s="100"/>
      <c r="BJ55" s="100"/>
      <c r="BK55" s="100"/>
      <c r="BL55" s="100">
        <f>E55+W55+X55+Y55+Z55+AA55+AB55+AC55+AD55+AE55+AQ55+AR55+AS55+AT55+AU55+AV55+AW55+AX55+AY55+BA55+BB55+BC55+BD55+BE55+BF55+BG55+BH55</f>
        <v>0</v>
      </c>
      <c r="BM55" s="100">
        <f>AZ67-BL55</f>
        <v>0</v>
      </c>
      <c r="BN55" s="100">
        <f t="shared" si="29"/>
        <v>34.43</v>
      </c>
      <c r="BP55" s="123"/>
    </row>
    <row r="56" spans="1:68" ht="20.100000000000001" customHeight="1">
      <c r="A56" s="19" t="s">
        <v>102</v>
      </c>
      <c r="B56" s="144" t="s">
        <v>103</v>
      </c>
      <c r="C56" s="5" t="s">
        <v>104</v>
      </c>
      <c r="D56" s="100">
        <f>#REF!</f>
        <v>0.04</v>
      </c>
      <c r="E56" s="100">
        <f t="shared" si="4"/>
        <v>0</v>
      </c>
      <c r="F56" s="100">
        <f t="shared" si="21"/>
        <v>0</v>
      </c>
      <c r="G56" s="100">
        <f t="shared" si="8"/>
        <v>0</v>
      </c>
      <c r="H56" s="100">
        <f t="shared" si="12"/>
        <v>0</v>
      </c>
      <c r="I56" s="100"/>
      <c r="J56" s="100"/>
      <c r="K56" s="100"/>
      <c r="L56" s="100"/>
      <c r="M56" s="100"/>
      <c r="N56" s="100"/>
      <c r="O56" s="100"/>
      <c r="P56" s="100"/>
      <c r="Q56" s="100"/>
      <c r="R56" s="100"/>
      <c r="S56" s="100"/>
      <c r="T56" s="100"/>
      <c r="U56" s="100"/>
      <c r="V56" s="100">
        <f t="shared" si="13"/>
        <v>0.04</v>
      </c>
      <c r="W56" s="100"/>
      <c r="X56" s="100"/>
      <c r="Y56" s="100"/>
      <c r="Z56" s="100"/>
      <c r="AA56" s="100"/>
      <c r="AB56" s="100"/>
      <c r="AC56" s="100"/>
      <c r="AD56" s="100"/>
      <c r="AE56" s="100">
        <f t="shared" si="27"/>
        <v>0</v>
      </c>
      <c r="AF56" s="100"/>
      <c r="AG56" s="100"/>
      <c r="AH56" s="100"/>
      <c r="AI56" s="100"/>
      <c r="AJ56" s="100"/>
      <c r="AK56" s="100"/>
      <c r="AL56" s="100"/>
      <c r="AM56" s="100"/>
      <c r="AN56" s="100"/>
      <c r="AO56" s="100"/>
      <c r="AP56" s="100"/>
      <c r="AQ56" s="100"/>
      <c r="AR56" s="100"/>
      <c r="AS56" s="100"/>
      <c r="AT56" s="100"/>
      <c r="AU56" s="100"/>
      <c r="AV56" s="100"/>
      <c r="AW56" s="100"/>
      <c r="AX56" s="100"/>
      <c r="AY56" s="100"/>
      <c r="AZ56" s="100"/>
      <c r="BA56" s="100">
        <f>D56-BL56</f>
        <v>0.04</v>
      </c>
      <c r="BB56" s="100"/>
      <c r="BC56" s="100"/>
      <c r="BD56" s="100"/>
      <c r="BE56" s="100"/>
      <c r="BF56" s="100"/>
      <c r="BG56" s="100"/>
      <c r="BH56" s="100">
        <f t="shared" si="22"/>
        <v>0</v>
      </c>
      <c r="BI56" s="100"/>
      <c r="BJ56" s="100"/>
      <c r="BK56" s="100"/>
      <c r="BL56" s="100">
        <f>E56+W56+X56+Y56+Z56+AA56+AB56+AC56+AD56+AE56+AQ56+AR56+AS56+AT56+AU56+AV56+AW56+AX56+AY56+AZ56+BB56+BC56+BD56+BE56+BF56+BG56+BH56</f>
        <v>0</v>
      </c>
      <c r="BM56" s="100">
        <f>BA67-BL56</f>
        <v>0</v>
      </c>
      <c r="BN56" s="100">
        <f t="shared" si="29"/>
        <v>0.04</v>
      </c>
      <c r="BP56" s="123"/>
    </row>
    <row r="57" spans="1:68" ht="20.100000000000001" customHeight="1">
      <c r="A57" s="19" t="s">
        <v>105</v>
      </c>
      <c r="B57" s="144" t="s">
        <v>106</v>
      </c>
      <c r="C57" s="5" t="s">
        <v>107</v>
      </c>
      <c r="D57" s="100">
        <f>#REF!</f>
        <v>0.44</v>
      </c>
      <c r="E57" s="100">
        <f t="shared" si="4"/>
        <v>0</v>
      </c>
      <c r="F57" s="100">
        <f t="shared" si="21"/>
        <v>0</v>
      </c>
      <c r="G57" s="100">
        <f t="shared" si="8"/>
        <v>0</v>
      </c>
      <c r="H57" s="100">
        <f t="shared" si="12"/>
        <v>0</v>
      </c>
      <c r="I57" s="100"/>
      <c r="J57" s="100"/>
      <c r="K57" s="100"/>
      <c r="L57" s="100"/>
      <c r="M57" s="100"/>
      <c r="N57" s="100"/>
      <c r="O57" s="100"/>
      <c r="P57" s="100"/>
      <c r="Q57" s="100"/>
      <c r="R57" s="100"/>
      <c r="S57" s="100"/>
      <c r="T57" s="100"/>
      <c r="U57" s="100"/>
      <c r="V57" s="100">
        <f t="shared" si="13"/>
        <v>0.44</v>
      </c>
      <c r="W57" s="100"/>
      <c r="X57" s="100"/>
      <c r="Y57" s="100"/>
      <c r="Z57" s="100"/>
      <c r="AA57" s="100"/>
      <c r="AB57" s="100"/>
      <c r="AC57" s="100"/>
      <c r="AD57" s="100"/>
      <c r="AE57" s="100">
        <f>SUM(AF57:AP57)</f>
        <v>0</v>
      </c>
      <c r="AF57" s="100"/>
      <c r="AG57" s="100"/>
      <c r="AH57" s="100"/>
      <c r="AI57" s="100"/>
      <c r="AJ57" s="100"/>
      <c r="AK57" s="100"/>
      <c r="AL57" s="100"/>
      <c r="AM57" s="100"/>
      <c r="AN57" s="100"/>
      <c r="AO57" s="100"/>
      <c r="AP57" s="100"/>
      <c r="AQ57" s="100"/>
      <c r="AR57" s="100"/>
      <c r="AS57" s="100"/>
      <c r="AT57" s="100"/>
      <c r="AU57" s="100"/>
      <c r="AV57" s="100"/>
      <c r="AW57" s="100"/>
      <c r="AX57" s="100"/>
      <c r="AY57" s="100"/>
      <c r="AZ57" s="100"/>
      <c r="BA57" s="100"/>
      <c r="BB57" s="100">
        <f>D57-BL57</f>
        <v>0.44</v>
      </c>
      <c r="BC57" s="100"/>
      <c r="BD57" s="100"/>
      <c r="BE57" s="100"/>
      <c r="BF57" s="100"/>
      <c r="BG57" s="100"/>
      <c r="BH57" s="100">
        <f t="shared" si="22"/>
        <v>0</v>
      </c>
      <c r="BI57" s="100"/>
      <c r="BJ57" s="100"/>
      <c r="BK57" s="100"/>
      <c r="BL57" s="100">
        <f>E57+W57+X57+Y57+Z57+AA57+AB57+AC57+AD57+AE57+AQ57+AR57+AS57+AT57+AU57+AV57+AW57+AX57+AY57+AZ57+BA57+BC57+BD57+BE57+BF57+BG57+BH57</f>
        <v>0</v>
      </c>
      <c r="BM57" s="100">
        <f>BB67-BL57</f>
        <v>0</v>
      </c>
      <c r="BN57" s="100">
        <f t="shared" si="29"/>
        <v>0.44</v>
      </c>
      <c r="BP57" s="123"/>
    </row>
    <row r="58" spans="1:68" ht="20.100000000000001" customHeight="1">
      <c r="A58" s="19" t="s">
        <v>108</v>
      </c>
      <c r="B58" s="144" t="s">
        <v>491</v>
      </c>
      <c r="C58" s="5" t="s">
        <v>110</v>
      </c>
      <c r="D58" s="100"/>
      <c r="E58" s="100">
        <f t="shared" si="4"/>
        <v>0</v>
      </c>
      <c r="F58" s="100">
        <f t="shared" si="21"/>
        <v>0</v>
      </c>
      <c r="G58" s="100">
        <f t="shared" si="8"/>
        <v>0</v>
      </c>
      <c r="H58" s="100">
        <f t="shared" si="12"/>
        <v>0</v>
      </c>
      <c r="I58" s="100"/>
      <c r="J58" s="100"/>
      <c r="K58" s="100"/>
      <c r="L58" s="100"/>
      <c r="M58" s="100"/>
      <c r="N58" s="100"/>
      <c r="O58" s="100"/>
      <c r="P58" s="100"/>
      <c r="Q58" s="100"/>
      <c r="R58" s="100"/>
      <c r="S58" s="100"/>
      <c r="T58" s="100"/>
      <c r="U58" s="100"/>
      <c r="V58" s="100">
        <f t="shared" si="13"/>
        <v>0</v>
      </c>
      <c r="W58" s="100"/>
      <c r="X58" s="100"/>
      <c r="Y58" s="100"/>
      <c r="Z58" s="100"/>
      <c r="AA58" s="100"/>
      <c r="AB58" s="100"/>
      <c r="AC58" s="100"/>
      <c r="AD58" s="100"/>
      <c r="AE58" s="100">
        <f t="shared" si="27"/>
        <v>0</v>
      </c>
      <c r="AF58" s="100"/>
      <c r="AG58" s="100"/>
      <c r="AH58" s="100"/>
      <c r="AI58" s="100"/>
      <c r="AJ58" s="100"/>
      <c r="AK58" s="100"/>
      <c r="AL58" s="100"/>
      <c r="AM58" s="100"/>
      <c r="AN58" s="100"/>
      <c r="AO58" s="100"/>
      <c r="AP58" s="100"/>
      <c r="AQ58" s="100"/>
      <c r="AR58" s="100"/>
      <c r="AS58" s="100"/>
      <c r="AT58" s="100"/>
      <c r="AU58" s="100"/>
      <c r="AV58" s="100"/>
      <c r="AW58" s="100"/>
      <c r="AX58" s="100"/>
      <c r="AY58" s="100"/>
      <c r="AZ58" s="100"/>
      <c r="BA58" s="100"/>
      <c r="BB58" s="100"/>
      <c r="BC58" s="100">
        <f>D58-BL58</f>
        <v>0</v>
      </c>
      <c r="BD58" s="100"/>
      <c r="BE58" s="100"/>
      <c r="BF58" s="100"/>
      <c r="BG58" s="100"/>
      <c r="BH58" s="100">
        <f t="shared" si="22"/>
        <v>0</v>
      </c>
      <c r="BI58" s="100"/>
      <c r="BJ58" s="100"/>
      <c r="BK58" s="100"/>
      <c r="BL58" s="100">
        <f>E58+W58+X58+Y58+Z58+AA58+AB58+AC58+AD58+AE58+AQ58+AR58+AS58+AT58+AU58+AV58+AW58+AX58+AY58+AZ58+BA58+BB58+BD58+BE58+BF58+BG58+BH58</f>
        <v>0</v>
      </c>
      <c r="BM58" s="100">
        <f>BC67-BL58</f>
        <v>0</v>
      </c>
      <c r="BN58" s="100">
        <f t="shared" si="29"/>
        <v>0</v>
      </c>
      <c r="BP58" s="123"/>
    </row>
    <row r="59" spans="1:68" ht="20.100000000000001" customHeight="1">
      <c r="A59" s="19" t="s">
        <v>111</v>
      </c>
      <c r="B59" s="144" t="s">
        <v>112</v>
      </c>
      <c r="C59" s="5" t="s">
        <v>113</v>
      </c>
      <c r="D59" s="100">
        <f>#REF!</f>
        <v>1.65</v>
      </c>
      <c r="E59" s="100">
        <f t="shared" si="4"/>
        <v>0</v>
      </c>
      <c r="F59" s="100">
        <f t="shared" si="21"/>
        <v>0</v>
      </c>
      <c r="G59" s="100">
        <f t="shared" si="8"/>
        <v>0</v>
      </c>
      <c r="H59" s="100">
        <f t="shared" si="12"/>
        <v>0</v>
      </c>
      <c r="I59" s="100"/>
      <c r="J59" s="100"/>
      <c r="K59" s="100"/>
      <c r="L59" s="100"/>
      <c r="M59" s="100"/>
      <c r="N59" s="100"/>
      <c r="O59" s="100"/>
      <c r="P59" s="100"/>
      <c r="Q59" s="100"/>
      <c r="R59" s="100"/>
      <c r="S59" s="100"/>
      <c r="T59" s="100"/>
      <c r="U59" s="100"/>
      <c r="V59" s="100">
        <f t="shared" si="13"/>
        <v>1.65</v>
      </c>
      <c r="W59" s="100"/>
      <c r="X59" s="100"/>
      <c r="Y59" s="100"/>
      <c r="Z59" s="100"/>
      <c r="AA59" s="100"/>
      <c r="AB59" s="100"/>
      <c r="AC59" s="100"/>
      <c r="AD59" s="100"/>
      <c r="AE59" s="100">
        <f t="shared" si="27"/>
        <v>0</v>
      </c>
      <c r="AF59" s="100"/>
      <c r="AG59" s="100"/>
      <c r="AH59" s="100"/>
      <c r="AI59" s="100"/>
      <c r="AJ59" s="100"/>
      <c r="AK59" s="100"/>
      <c r="AL59" s="100"/>
      <c r="AM59" s="100"/>
      <c r="AN59" s="100"/>
      <c r="AO59" s="100"/>
      <c r="AP59" s="100"/>
      <c r="AQ59" s="100"/>
      <c r="AR59" s="100"/>
      <c r="AS59" s="100"/>
      <c r="AT59" s="100"/>
      <c r="AU59" s="100"/>
      <c r="AV59" s="100"/>
      <c r="AW59" s="100"/>
      <c r="AX59" s="100"/>
      <c r="AY59" s="100"/>
      <c r="AZ59" s="100"/>
      <c r="BA59" s="100"/>
      <c r="BB59" s="100"/>
      <c r="BC59" s="100"/>
      <c r="BD59" s="100">
        <f>D59-BL59</f>
        <v>1.65</v>
      </c>
      <c r="BE59" s="100"/>
      <c r="BF59" s="100"/>
      <c r="BG59" s="100"/>
      <c r="BH59" s="100">
        <f t="shared" si="22"/>
        <v>0</v>
      </c>
      <c r="BI59" s="100"/>
      <c r="BJ59" s="100"/>
      <c r="BK59" s="100"/>
      <c r="BL59" s="100">
        <f>E59+W59+X59+Y59+Z59+AA59+AB59+AC59+AD59+AE59+AQ59+AR59+AS59+AT59+AU59+AV59+AW59+AX59+AY59+AZ59+BA59+BB59+BC59+BE59+BF59+BG59+BH59</f>
        <v>0</v>
      </c>
      <c r="BM59" s="100">
        <f>BD67-BL59</f>
        <v>0</v>
      </c>
      <c r="BN59" s="100">
        <f t="shared" si="29"/>
        <v>1.65</v>
      </c>
      <c r="BP59" s="123"/>
    </row>
    <row r="60" spans="1:68" ht="20.100000000000001" customHeight="1">
      <c r="A60" s="19" t="s">
        <v>114</v>
      </c>
      <c r="B60" s="144" t="s">
        <v>115</v>
      </c>
      <c r="C60" s="5" t="s">
        <v>116</v>
      </c>
      <c r="D60" s="100">
        <f>#REF!</f>
        <v>129.85</v>
      </c>
      <c r="E60" s="100">
        <f t="shared" si="4"/>
        <v>25.23</v>
      </c>
      <c r="F60" s="100">
        <f t="shared" si="21"/>
        <v>0</v>
      </c>
      <c r="G60" s="100">
        <f t="shared" si="8"/>
        <v>0</v>
      </c>
      <c r="H60" s="100">
        <f t="shared" si="12"/>
        <v>0</v>
      </c>
      <c r="I60" s="100"/>
      <c r="J60" s="100"/>
      <c r="K60" s="100"/>
      <c r="L60" s="100"/>
      <c r="M60" s="100"/>
      <c r="N60" s="100"/>
      <c r="O60" s="100"/>
      <c r="P60" s="100"/>
      <c r="Q60" s="100"/>
      <c r="R60" s="100"/>
      <c r="S60" s="100">
        <v>25.23</v>
      </c>
      <c r="T60" s="100"/>
      <c r="U60" s="100"/>
      <c r="V60" s="100">
        <f t="shared" si="13"/>
        <v>104.61999999999999</v>
      </c>
      <c r="W60" s="100"/>
      <c r="X60" s="100"/>
      <c r="Y60" s="100"/>
      <c r="Z60" s="100"/>
      <c r="AA60" s="100"/>
      <c r="AB60" s="100"/>
      <c r="AC60" s="100"/>
      <c r="AD60" s="100"/>
      <c r="AE60" s="100">
        <f t="shared" si="27"/>
        <v>0</v>
      </c>
      <c r="AF60" s="100"/>
      <c r="AG60" s="100"/>
      <c r="AH60" s="100"/>
      <c r="AI60" s="100"/>
      <c r="AJ60" s="100"/>
      <c r="AK60" s="100"/>
      <c r="AL60" s="100"/>
      <c r="AM60" s="100"/>
      <c r="AN60" s="100"/>
      <c r="AO60" s="100"/>
      <c r="AP60" s="100"/>
      <c r="AQ60" s="100"/>
      <c r="AR60" s="100"/>
      <c r="AS60" s="100"/>
      <c r="AT60" s="100"/>
      <c r="AU60" s="100"/>
      <c r="AV60" s="100"/>
      <c r="AW60" s="100"/>
      <c r="AX60" s="100"/>
      <c r="AY60" s="100"/>
      <c r="AZ60" s="100"/>
      <c r="BA60" s="100"/>
      <c r="BB60" s="100"/>
      <c r="BC60" s="100"/>
      <c r="BD60" s="100"/>
      <c r="BE60" s="100">
        <f>D60-BL60</f>
        <v>104.61999999999999</v>
      </c>
      <c r="BF60" s="100"/>
      <c r="BG60" s="100"/>
      <c r="BH60" s="100">
        <f t="shared" si="22"/>
        <v>0</v>
      </c>
      <c r="BI60" s="100"/>
      <c r="BJ60" s="100"/>
      <c r="BK60" s="100"/>
      <c r="BL60" s="100">
        <f>E60+W60+X60+Y60+Z60+AA60+AB60+AC60+AD60+AE60+AQ60+AR60+AS60+AT60+AU60+AV60+AW60+AX60+AY60+AZ60+BA60+BB60+BC60+BD60+BF60+BG60+BH60</f>
        <v>25.23</v>
      </c>
      <c r="BM60" s="100">
        <f>BE67-BL60</f>
        <v>-25.23</v>
      </c>
      <c r="BN60" s="100">
        <f t="shared" si="29"/>
        <v>104.61999999999999</v>
      </c>
      <c r="BP60" s="123"/>
    </row>
    <row r="61" spans="1:68" ht="20.100000000000001" customHeight="1">
      <c r="A61" s="19" t="s">
        <v>117</v>
      </c>
      <c r="B61" s="144" t="s">
        <v>118</v>
      </c>
      <c r="C61" s="5" t="s">
        <v>119</v>
      </c>
      <c r="D61" s="100"/>
      <c r="E61" s="100">
        <f t="shared" si="4"/>
        <v>0</v>
      </c>
      <c r="F61" s="100">
        <f t="shared" si="21"/>
        <v>0</v>
      </c>
      <c r="G61" s="100">
        <f t="shared" si="8"/>
        <v>0</v>
      </c>
      <c r="H61" s="100">
        <f t="shared" si="12"/>
        <v>0</v>
      </c>
      <c r="I61" s="100"/>
      <c r="J61" s="100"/>
      <c r="K61" s="100"/>
      <c r="L61" s="100"/>
      <c r="M61" s="100"/>
      <c r="N61" s="100"/>
      <c r="O61" s="100"/>
      <c r="P61" s="100"/>
      <c r="Q61" s="100"/>
      <c r="R61" s="100"/>
      <c r="S61" s="100"/>
      <c r="T61" s="100"/>
      <c r="U61" s="100"/>
      <c r="V61" s="100">
        <f t="shared" si="13"/>
        <v>0</v>
      </c>
      <c r="W61" s="100"/>
      <c r="X61" s="100"/>
      <c r="Y61" s="100"/>
      <c r="Z61" s="100"/>
      <c r="AA61" s="100"/>
      <c r="AB61" s="100"/>
      <c r="AC61" s="100"/>
      <c r="AD61" s="100"/>
      <c r="AE61" s="100">
        <f t="shared" si="27"/>
        <v>0</v>
      </c>
      <c r="AF61" s="100"/>
      <c r="AG61" s="100"/>
      <c r="AH61" s="100"/>
      <c r="AI61" s="100"/>
      <c r="AJ61" s="100"/>
      <c r="AK61" s="100"/>
      <c r="AL61" s="100"/>
      <c r="AM61" s="100"/>
      <c r="AN61" s="100"/>
      <c r="AO61" s="100"/>
      <c r="AP61" s="100"/>
      <c r="AQ61" s="100"/>
      <c r="AR61" s="100"/>
      <c r="AS61" s="100"/>
      <c r="AT61" s="100"/>
      <c r="AU61" s="100"/>
      <c r="AV61" s="100"/>
      <c r="AW61" s="100"/>
      <c r="AX61" s="100"/>
      <c r="AY61" s="100"/>
      <c r="AZ61" s="100"/>
      <c r="BA61" s="100"/>
      <c r="BB61" s="100"/>
      <c r="BC61" s="100"/>
      <c r="BD61" s="100"/>
      <c r="BE61" s="100"/>
      <c r="BF61" s="100">
        <f>D61-BL61</f>
        <v>0</v>
      </c>
      <c r="BG61" s="100"/>
      <c r="BH61" s="100">
        <f t="shared" si="22"/>
        <v>0</v>
      </c>
      <c r="BI61" s="100"/>
      <c r="BJ61" s="100"/>
      <c r="BK61" s="100"/>
      <c r="BL61" s="100">
        <f>E61+W61+X61+Y61+Z61+AA61+AB61+AC61+AD61+AE61+AQ61+AR61+AS61+AT61+AU61+AV61+AW61+AX61+AY61+AZ61+BA61+BB61+BC61+BD61+BE61+BG61+BH61</f>
        <v>0</v>
      </c>
      <c r="BM61" s="100">
        <f>BF67-BL61</f>
        <v>0</v>
      </c>
      <c r="BN61" s="100">
        <f t="shared" si="29"/>
        <v>0</v>
      </c>
      <c r="BP61" s="123"/>
    </row>
    <row r="62" spans="1:68" ht="20.100000000000001" customHeight="1">
      <c r="A62" s="19" t="s">
        <v>120</v>
      </c>
      <c r="B62" s="144" t="s">
        <v>121</v>
      </c>
      <c r="C62" s="5" t="s">
        <v>122</v>
      </c>
      <c r="D62" s="100"/>
      <c r="E62" s="100">
        <f t="shared" si="4"/>
        <v>0</v>
      </c>
      <c r="F62" s="100">
        <f t="shared" si="21"/>
        <v>0</v>
      </c>
      <c r="G62" s="100">
        <f t="shared" si="8"/>
        <v>0</v>
      </c>
      <c r="H62" s="100">
        <f t="shared" si="12"/>
        <v>0</v>
      </c>
      <c r="I62" s="100"/>
      <c r="J62" s="100"/>
      <c r="K62" s="100"/>
      <c r="L62" s="100"/>
      <c r="M62" s="100"/>
      <c r="N62" s="100"/>
      <c r="O62" s="100"/>
      <c r="P62" s="100"/>
      <c r="Q62" s="100"/>
      <c r="R62" s="100"/>
      <c r="S62" s="100"/>
      <c r="T62" s="100"/>
      <c r="U62" s="100"/>
      <c r="V62" s="100">
        <f t="shared" si="13"/>
        <v>0</v>
      </c>
      <c r="W62" s="100"/>
      <c r="X62" s="100"/>
      <c r="Y62" s="100"/>
      <c r="Z62" s="100"/>
      <c r="AA62" s="100"/>
      <c r="AB62" s="100"/>
      <c r="AC62" s="100"/>
      <c r="AD62" s="100"/>
      <c r="AE62" s="100">
        <f t="shared" si="27"/>
        <v>0</v>
      </c>
      <c r="AF62" s="100"/>
      <c r="AG62" s="100"/>
      <c r="AH62" s="100"/>
      <c r="AI62" s="100"/>
      <c r="AJ62" s="100"/>
      <c r="AK62" s="100"/>
      <c r="AL62" s="100"/>
      <c r="AM62" s="100"/>
      <c r="AN62" s="100"/>
      <c r="AO62" s="100"/>
      <c r="AP62" s="100"/>
      <c r="AQ62" s="100"/>
      <c r="AR62" s="100"/>
      <c r="AS62" s="100"/>
      <c r="AT62" s="100"/>
      <c r="AU62" s="100"/>
      <c r="AV62" s="100"/>
      <c r="AW62" s="100"/>
      <c r="AX62" s="100"/>
      <c r="AY62" s="100"/>
      <c r="AZ62" s="100"/>
      <c r="BA62" s="100"/>
      <c r="BB62" s="100"/>
      <c r="BC62" s="100"/>
      <c r="BD62" s="100"/>
      <c r="BE62" s="100"/>
      <c r="BF62" s="100"/>
      <c r="BG62" s="100">
        <f>D62-BL62</f>
        <v>0</v>
      </c>
      <c r="BH62" s="100">
        <f t="shared" si="22"/>
        <v>0</v>
      </c>
      <c r="BI62" s="100"/>
      <c r="BJ62" s="100"/>
      <c r="BK62" s="100"/>
      <c r="BL62" s="100">
        <f>E62+W62+X62+Y62+Z62+AA62+AB62+AC62+AD62+AE62+AQ62+AR62+AS62+AT62+AU62+AV62+AW62+AX62+AY62+AZ62+BA62+BB62+BC62+BD62+BE62+BF62+BH62</f>
        <v>0</v>
      </c>
      <c r="BM62" s="100">
        <f>BG67-BL62</f>
        <v>0</v>
      </c>
      <c r="BN62" s="100">
        <f t="shared" si="29"/>
        <v>0</v>
      </c>
      <c r="BP62" s="123"/>
    </row>
    <row r="63" spans="1:68" s="115" customFormat="1" ht="21.75" customHeight="1">
      <c r="A63" s="158">
        <v>3</v>
      </c>
      <c r="B63" s="142" t="s">
        <v>123</v>
      </c>
      <c r="C63" s="6" t="s">
        <v>124</v>
      </c>
      <c r="D63" s="175">
        <f>D64+D65+D66</f>
        <v>146.24</v>
      </c>
      <c r="E63" s="175">
        <f>E64+E65+E66</f>
        <v>0</v>
      </c>
      <c r="F63" s="175">
        <f t="shared" ref="F63:U63" si="30">F64+F65+F66</f>
        <v>0</v>
      </c>
      <c r="G63" s="175">
        <f t="shared" si="30"/>
        <v>0</v>
      </c>
      <c r="H63" s="175">
        <f t="shared" si="30"/>
        <v>0</v>
      </c>
      <c r="I63" s="175">
        <f t="shared" si="30"/>
        <v>0</v>
      </c>
      <c r="J63" s="175">
        <f t="shared" si="30"/>
        <v>0</v>
      </c>
      <c r="K63" s="175">
        <f t="shared" si="30"/>
        <v>0</v>
      </c>
      <c r="L63" s="175">
        <f t="shared" si="30"/>
        <v>0</v>
      </c>
      <c r="M63" s="175">
        <f t="shared" si="30"/>
        <v>0</v>
      </c>
      <c r="N63" s="175">
        <f t="shared" si="30"/>
        <v>0</v>
      </c>
      <c r="O63" s="175">
        <f t="shared" si="30"/>
        <v>0</v>
      </c>
      <c r="P63" s="175">
        <f t="shared" si="30"/>
        <v>0</v>
      </c>
      <c r="Q63" s="175">
        <f t="shared" si="30"/>
        <v>0</v>
      </c>
      <c r="R63" s="175">
        <f t="shared" si="30"/>
        <v>0</v>
      </c>
      <c r="S63" s="175">
        <f t="shared" si="30"/>
        <v>0</v>
      </c>
      <c r="T63" s="175">
        <f t="shared" si="30"/>
        <v>0</v>
      </c>
      <c r="U63" s="175">
        <f t="shared" si="30"/>
        <v>0</v>
      </c>
      <c r="V63" s="175">
        <f>V64+V65+V66</f>
        <v>1.07</v>
      </c>
      <c r="W63" s="175">
        <f t="shared" ref="W63:BG63" si="31">W64+W65+W66</f>
        <v>0.01</v>
      </c>
      <c r="X63" s="175">
        <f t="shared" si="31"/>
        <v>0</v>
      </c>
      <c r="Y63" s="175">
        <f t="shared" si="31"/>
        <v>0</v>
      </c>
      <c r="Z63" s="175">
        <f t="shared" si="31"/>
        <v>0</v>
      </c>
      <c r="AA63" s="175">
        <f t="shared" si="31"/>
        <v>0</v>
      </c>
      <c r="AB63" s="175">
        <f t="shared" si="31"/>
        <v>0</v>
      </c>
      <c r="AC63" s="175">
        <f t="shared" si="31"/>
        <v>0</v>
      </c>
      <c r="AD63" s="175">
        <f t="shared" si="31"/>
        <v>0</v>
      </c>
      <c r="AE63" s="175">
        <f t="shared" si="31"/>
        <v>1.06</v>
      </c>
      <c r="AF63" s="175">
        <f t="shared" si="31"/>
        <v>0</v>
      </c>
      <c r="AG63" s="175">
        <f t="shared" si="31"/>
        <v>0</v>
      </c>
      <c r="AH63" s="175">
        <f t="shared" si="31"/>
        <v>0</v>
      </c>
      <c r="AI63" s="175">
        <f t="shared" si="31"/>
        <v>0</v>
      </c>
      <c r="AJ63" s="175">
        <f t="shared" si="31"/>
        <v>0</v>
      </c>
      <c r="AK63" s="175">
        <f t="shared" si="31"/>
        <v>0</v>
      </c>
      <c r="AL63" s="175">
        <f t="shared" si="31"/>
        <v>1.06</v>
      </c>
      <c r="AM63" s="175">
        <f t="shared" si="31"/>
        <v>0</v>
      </c>
      <c r="AN63" s="175">
        <f t="shared" si="31"/>
        <v>0</v>
      </c>
      <c r="AO63" s="175">
        <f t="shared" si="31"/>
        <v>0</v>
      </c>
      <c r="AP63" s="175">
        <f t="shared" si="31"/>
        <v>0</v>
      </c>
      <c r="AQ63" s="175">
        <f t="shared" si="31"/>
        <v>0</v>
      </c>
      <c r="AR63" s="175">
        <f t="shared" si="31"/>
        <v>0</v>
      </c>
      <c r="AS63" s="175">
        <f t="shared" si="31"/>
        <v>0</v>
      </c>
      <c r="AT63" s="175">
        <f t="shared" si="31"/>
        <v>0</v>
      </c>
      <c r="AU63" s="175">
        <f t="shared" si="31"/>
        <v>0</v>
      </c>
      <c r="AV63" s="175">
        <f t="shared" si="31"/>
        <v>0</v>
      </c>
      <c r="AW63" s="175">
        <f t="shared" si="31"/>
        <v>0</v>
      </c>
      <c r="AX63" s="175">
        <f t="shared" si="31"/>
        <v>0</v>
      </c>
      <c r="AY63" s="175">
        <f t="shared" si="31"/>
        <v>0</v>
      </c>
      <c r="AZ63" s="175">
        <f t="shared" si="31"/>
        <v>0</v>
      </c>
      <c r="BA63" s="175">
        <f t="shared" si="31"/>
        <v>0</v>
      </c>
      <c r="BB63" s="175">
        <f t="shared" si="31"/>
        <v>0</v>
      </c>
      <c r="BC63" s="175">
        <f t="shared" si="31"/>
        <v>0</v>
      </c>
      <c r="BD63" s="175">
        <f t="shared" si="31"/>
        <v>0</v>
      </c>
      <c r="BE63" s="175">
        <f t="shared" si="31"/>
        <v>0</v>
      </c>
      <c r="BF63" s="175">
        <f t="shared" si="31"/>
        <v>0</v>
      </c>
      <c r="BG63" s="175">
        <f t="shared" si="31"/>
        <v>0</v>
      </c>
      <c r="BH63" s="175">
        <f>D63-BL63</f>
        <v>145.17000000000002</v>
      </c>
      <c r="BI63" s="175">
        <f t="shared" ref="BI63:BN63" si="32">BI64+BI65+BI66</f>
        <v>144.21</v>
      </c>
      <c r="BJ63" s="175">
        <f t="shared" si="32"/>
        <v>0.96</v>
      </c>
      <c r="BK63" s="175">
        <f t="shared" si="32"/>
        <v>0</v>
      </c>
      <c r="BL63" s="175">
        <f t="shared" si="32"/>
        <v>1.07</v>
      </c>
      <c r="BM63" s="175">
        <f t="shared" si="32"/>
        <v>-1.07</v>
      </c>
      <c r="BN63" s="175">
        <f t="shared" si="32"/>
        <v>145.17000000000002</v>
      </c>
    </row>
    <row r="64" spans="1:68" ht="21.75" customHeight="1">
      <c r="A64" s="14" t="s">
        <v>220</v>
      </c>
      <c r="B64" s="143" t="s">
        <v>461</v>
      </c>
      <c r="C64" s="5" t="s">
        <v>209</v>
      </c>
      <c r="D64" s="100">
        <f>#REF!</f>
        <v>145.28</v>
      </c>
      <c r="E64" s="100">
        <f t="shared" si="4"/>
        <v>0</v>
      </c>
      <c r="F64" s="100">
        <f t="shared" si="21"/>
        <v>0</v>
      </c>
      <c r="G64" s="100">
        <f t="shared" si="8"/>
        <v>0</v>
      </c>
      <c r="H64" s="100">
        <f t="shared" si="12"/>
        <v>0</v>
      </c>
      <c r="I64" s="100"/>
      <c r="J64" s="100"/>
      <c r="K64" s="100"/>
      <c r="L64" s="100"/>
      <c r="M64" s="100"/>
      <c r="N64" s="100"/>
      <c r="O64" s="100"/>
      <c r="P64" s="100"/>
      <c r="Q64" s="100"/>
      <c r="R64" s="100"/>
      <c r="S64" s="100"/>
      <c r="T64" s="100"/>
      <c r="U64" s="100"/>
      <c r="V64" s="100">
        <f t="shared" si="13"/>
        <v>1.07</v>
      </c>
      <c r="W64" s="100">
        <v>0.01</v>
      </c>
      <c r="X64" s="100"/>
      <c r="Y64" s="100"/>
      <c r="Z64" s="100"/>
      <c r="AA64" s="100"/>
      <c r="AB64" s="100"/>
      <c r="AC64" s="100"/>
      <c r="AD64" s="100"/>
      <c r="AE64" s="100">
        <f t="shared" si="27"/>
        <v>1.06</v>
      </c>
      <c r="AF64" s="100"/>
      <c r="AG64" s="100"/>
      <c r="AH64" s="100"/>
      <c r="AI64" s="100"/>
      <c r="AJ64" s="100"/>
      <c r="AK64" s="100"/>
      <c r="AL64" s="100">
        <v>1.06</v>
      </c>
      <c r="AM64" s="100"/>
      <c r="AN64" s="100"/>
      <c r="AO64" s="100"/>
      <c r="AP64" s="100"/>
      <c r="AQ64" s="100"/>
      <c r="AR64" s="100"/>
      <c r="AS64" s="100"/>
      <c r="AT64" s="100"/>
      <c r="AU64" s="100"/>
      <c r="AV64" s="100"/>
      <c r="AW64" s="100"/>
      <c r="AX64" s="100"/>
      <c r="AY64" s="100"/>
      <c r="AZ64" s="100"/>
      <c r="BA64" s="100"/>
      <c r="BB64" s="100"/>
      <c r="BC64" s="100"/>
      <c r="BD64" s="100"/>
      <c r="BE64" s="100"/>
      <c r="BF64" s="100"/>
      <c r="BG64" s="100"/>
      <c r="BH64" s="100">
        <f>BI64+BJ64+BK64</f>
        <v>144.21</v>
      </c>
      <c r="BI64" s="100">
        <f>D64-BL64</f>
        <v>144.21</v>
      </c>
      <c r="BJ64" s="100"/>
      <c r="BK64" s="100"/>
      <c r="BL64" s="100">
        <f>E64+V64</f>
        <v>1.07</v>
      </c>
      <c r="BM64" s="100">
        <f>BI67-BL64</f>
        <v>-1.07</v>
      </c>
      <c r="BN64" s="100">
        <f>D64+BM64</f>
        <v>144.21</v>
      </c>
      <c r="BP64" s="123"/>
    </row>
    <row r="65" spans="1:68" ht="21.75" customHeight="1">
      <c r="A65" s="14" t="s">
        <v>221</v>
      </c>
      <c r="B65" s="143" t="s">
        <v>462</v>
      </c>
      <c r="C65" s="5" t="s">
        <v>210</v>
      </c>
      <c r="D65" s="100">
        <f>#REF!</f>
        <v>0.96</v>
      </c>
      <c r="E65" s="100">
        <f t="shared" si="4"/>
        <v>0</v>
      </c>
      <c r="F65" s="100">
        <f t="shared" si="21"/>
        <v>0</v>
      </c>
      <c r="G65" s="100">
        <f t="shared" si="8"/>
        <v>0</v>
      </c>
      <c r="H65" s="100">
        <f t="shared" si="12"/>
        <v>0</v>
      </c>
      <c r="I65" s="100"/>
      <c r="J65" s="100"/>
      <c r="K65" s="100"/>
      <c r="L65" s="100"/>
      <c r="M65" s="100"/>
      <c r="N65" s="100"/>
      <c r="O65" s="100"/>
      <c r="P65" s="100"/>
      <c r="Q65" s="100"/>
      <c r="R65" s="100"/>
      <c r="S65" s="100"/>
      <c r="T65" s="100"/>
      <c r="U65" s="100"/>
      <c r="V65" s="100">
        <f t="shared" si="13"/>
        <v>0</v>
      </c>
      <c r="W65" s="100"/>
      <c r="X65" s="100"/>
      <c r="Y65" s="100"/>
      <c r="Z65" s="100"/>
      <c r="AA65" s="100"/>
      <c r="AB65" s="100"/>
      <c r="AC65" s="100"/>
      <c r="AD65" s="100"/>
      <c r="AE65" s="100">
        <f t="shared" si="27"/>
        <v>0</v>
      </c>
      <c r="AF65" s="100"/>
      <c r="AG65" s="100"/>
      <c r="AH65" s="100"/>
      <c r="AI65" s="100"/>
      <c r="AJ65" s="100"/>
      <c r="AK65" s="100"/>
      <c r="AL65" s="100"/>
      <c r="AM65" s="100"/>
      <c r="AN65" s="100"/>
      <c r="AO65" s="100"/>
      <c r="AP65" s="100"/>
      <c r="AQ65" s="100"/>
      <c r="AR65" s="100"/>
      <c r="AS65" s="100"/>
      <c r="AT65" s="100"/>
      <c r="AU65" s="100"/>
      <c r="AV65" s="100"/>
      <c r="AW65" s="100"/>
      <c r="AX65" s="100"/>
      <c r="AY65" s="100"/>
      <c r="AZ65" s="100"/>
      <c r="BA65" s="100"/>
      <c r="BB65" s="100"/>
      <c r="BC65" s="100"/>
      <c r="BD65" s="100"/>
      <c r="BE65" s="100"/>
      <c r="BF65" s="100"/>
      <c r="BG65" s="100"/>
      <c r="BH65" s="100">
        <f>BI65+BJ65+BK65</f>
        <v>0.96</v>
      </c>
      <c r="BI65" s="100"/>
      <c r="BJ65" s="100">
        <f>D65-BL65</f>
        <v>0.96</v>
      </c>
      <c r="BK65" s="100"/>
      <c r="BL65" s="100">
        <f>E65+V65</f>
        <v>0</v>
      </c>
      <c r="BM65" s="100">
        <f>BJ67-BL65</f>
        <v>0</v>
      </c>
      <c r="BN65" s="100">
        <f>D65+BM65</f>
        <v>0.96</v>
      </c>
      <c r="BP65" s="123"/>
    </row>
    <row r="66" spans="1:68" ht="21.75" customHeight="1">
      <c r="A66" s="16" t="s">
        <v>222</v>
      </c>
      <c r="B66" s="145" t="s">
        <v>492</v>
      </c>
      <c r="C66" s="9" t="s">
        <v>211</v>
      </c>
      <c r="D66" s="280"/>
      <c r="E66" s="280">
        <f t="shared" si="4"/>
        <v>0</v>
      </c>
      <c r="F66" s="280">
        <f t="shared" si="21"/>
        <v>0</v>
      </c>
      <c r="G66" s="280">
        <f t="shared" si="8"/>
        <v>0</v>
      </c>
      <c r="H66" s="280">
        <f t="shared" si="12"/>
        <v>0</v>
      </c>
      <c r="I66" s="280"/>
      <c r="J66" s="280"/>
      <c r="K66" s="280"/>
      <c r="L66" s="280"/>
      <c r="M66" s="280"/>
      <c r="N66" s="280"/>
      <c r="O66" s="280"/>
      <c r="P66" s="280"/>
      <c r="Q66" s="280"/>
      <c r="R66" s="280"/>
      <c r="S66" s="280"/>
      <c r="T66" s="280"/>
      <c r="U66" s="280"/>
      <c r="V66" s="280">
        <f t="shared" si="13"/>
        <v>0</v>
      </c>
      <c r="W66" s="280"/>
      <c r="X66" s="280"/>
      <c r="Y66" s="280"/>
      <c r="Z66" s="280"/>
      <c r="AA66" s="280"/>
      <c r="AB66" s="280"/>
      <c r="AC66" s="280"/>
      <c r="AD66" s="280"/>
      <c r="AE66" s="280">
        <f t="shared" si="27"/>
        <v>0</v>
      </c>
      <c r="AF66" s="280"/>
      <c r="AG66" s="280"/>
      <c r="AH66" s="280"/>
      <c r="AI66" s="280"/>
      <c r="AJ66" s="280"/>
      <c r="AK66" s="280"/>
      <c r="AL66" s="280"/>
      <c r="AM66" s="280"/>
      <c r="AN66" s="280"/>
      <c r="AO66" s="280"/>
      <c r="AP66" s="280"/>
      <c r="AQ66" s="280"/>
      <c r="AR66" s="280"/>
      <c r="AS66" s="280"/>
      <c r="AT66" s="280"/>
      <c r="AU66" s="280"/>
      <c r="AV66" s="280"/>
      <c r="AW66" s="280"/>
      <c r="AX66" s="280"/>
      <c r="AY66" s="280"/>
      <c r="AZ66" s="280"/>
      <c r="BA66" s="280"/>
      <c r="BB66" s="280"/>
      <c r="BC66" s="280"/>
      <c r="BD66" s="280"/>
      <c r="BE66" s="280"/>
      <c r="BF66" s="280"/>
      <c r="BG66" s="280"/>
      <c r="BH66" s="280">
        <f>BI66+BJ66+BK66</f>
        <v>0</v>
      </c>
      <c r="BI66" s="280"/>
      <c r="BJ66" s="280"/>
      <c r="BK66" s="280">
        <f>D66-BL66</f>
        <v>0</v>
      </c>
      <c r="BL66" s="280">
        <f>E66+V66</f>
        <v>0</v>
      </c>
      <c r="BM66" s="280">
        <f>D66-BL66</f>
        <v>0</v>
      </c>
      <c r="BN66" s="280">
        <f>D66+BM66</f>
        <v>0</v>
      </c>
      <c r="BP66" s="123"/>
    </row>
    <row r="67" spans="1:68" s="113" customFormat="1" ht="24.75" customHeight="1">
      <c r="A67" s="17"/>
      <c r="B67" s="146" t="s">
        <v>190</v>
      </c>
      <c r="C67" s="11"/>
      <c r="D67" s="189"/>
      <c r="E67" s="189">
        <f>E25+E63</f>
        <v>25.23</v>
      </c>
      <c r="F67" s="189">
        <f>F18+F22+F23+F24+F25+F63</f>
        <v>0</v>
      </c>
      <c r="G67" s="189">
        <f>G17+G18+G22+G23+G24+G25+G63</f>
        <v>0</v>
      </c>
      <c r="H67" s="189">
        <f>H15+H16+H17+H18+H22+H23+H24+H25+H63</f>
        <v>0</v>
      </c>
      <c r="I67" s="189">
        <f>I13+I14+I15+I16+I17+I18+I22+I23+I24+I25+I63</f>
        <v>0</v>
      </c>
      <c r="J67" s="189">
        <f>J12+J14+J15+J16+J17+J18+J22+J23+J24+J25+J63</f>
        <v>0</v>
      </c>
      <c r="K67" s="189">
        <f>K12+K13+K15+K16+K17+K18+K22+K23+K24+K25+K63</f>
        <v>0</v>
      </c>
      <c r="L67" s="735">
        <f>L12+L13+L14+L16+L17+L18+L22+L23+L24+L25+L63</f>
        <v>0</v>
      </c>
      <c r="M67" s="735">
        <f>M12+M13+M14+M15+M17+M18+M22+M23+M24+M25+M63</f>
        <v>0</v>
      </c>
      <c r="N67" s="735">
        <f>N12+N13+N14+N15+N16+N18+N22+N23+N24+N25+N63</f>
        <v>0</v>
      </c>
      <c r="O67" s="735">
        <f>O9+O22+O23+O24+O25+O63</f>
        <v>0</v>
      </c>
      <c r="P67" s="735">
        <f>P10+P17+P20+P21+P22+P23+P24+P25+P63</f>
        <v>0</v>
      </c>
      <c r="Q67" s="735">
        <f>Q12+Q13+Q14+Q15+Q16+Q17+Q19+Q21+Q22+Q23+Q24+Q25+Q63</f>
        <v>0</v>
      </c>
      <c r="R67" s="735">
        <f>R12+R13+R14+R15+R16+R17+R19+R20+R22+R23+R24+R25+R63</f>
        <v>0</v>
      </c>
      <c r="S67" s="731">
        <f>S9+S18+S23+S24+S25+S63</f>
        <v>25.23</v>
      </c>
      <c r="T67" s="735">
        <f>T9+T18+T22+T24+T25+T63</f>
        <v>0</v>
      </c>
      <c r="U67" s="735">
        <f>U9+U18+U22+U23+U25+U63</f>
        <v>0</v>
      </c>
      <c r="V67" s="735">
        <f>V8+V63</f>
        <v>2.79</v>
      </c>
      <c r="W67" s="731">
        <f>W8+W27+W28+W29+W30+W31+W32+W33+W34+W46+W47+W48+W49+W50+W51+W52+W53+W54+W55+W56+W57+W58+W59+W60+W61+W62+W63</f>
        <v>2.1999999999999997</v>
      </c>
      <c r="X67" s="735">
        <f>X8+X26+X28+X29+X30+X31+X32+X33+X34+X46+X47+X48+X49+X50+X51+X52+X53+X54+X55+X56+X57+X58+X59+X60+X61+X62+X63</f>
        <v>0</v>
      </c>
      <c r="Y67" s="735">
        <f>Y8+Y26+Y27+Y29+Y30+Y31+Y32+Y33+Y34+Y46+Y47+Y48+Y49+Y50+Y51+Y52+Y53+Y54+Y55+Y56+Y57+Y58+Y59+Y60+Y61+Y62+Y63</f>
        <v>0</v>
      </c>
      <c r="Z67" s="735">
        <f>Z8+Z26+Z27+Z28+Z30+Z31+Z32+Z33+Z34+Z46+Z47+Z48+Z49+Z50+Z51+Z52+Z53+Z54+Z55+Z56+Z57+Z58+Z59+Z60+Z61+Z62+Z63</f>
        <v>0</v>
      </c>
      <c r="AA67" s="735">
        <f>AA8+AA26+AA27+AA28+AA29+AA31+AA32+AA33+AA34+AA46+AA47+AA48+AA49+AA50+AA51+AA52+AA53+AA54+AA55+AA56+AA57+AA58+AA59+AA60+AA61+AA62+AA63</f>
        <v>0</v>
      </c>
      <c r="AB67" s="735">
        <f>AB8+AB26+AB27+AB28+AB29+AB30+AB32+AB33+AB34+AB46+AB47+AB48+AB49+AB50+AB51+AB52+AB53+AB54+AB55+AB56+AB57+AB58+AB59+AB60+AB61+AB62+AB63</f>
        <v>0</v>
      </c>
      <c r="AC67" s="735">
        <f>AC8+AC26+AC27+AC28+AC29+AC30+AC31+AC33+AC34+AC46+AC47+AC48+AC49+AC50+AC51+AC52+AC53+AC54+AC55+AC56+AC57+AC58+AC59+AC60+AC61+AC62+AC63</f>
        <v>0</v>
      </c>
      <c r="AD67" s="735">
        <f>AD8+AD26+AD27+AD28+AD29+AD30+AD31+AD32+AD34+AD46+AD47+AD48+AD49+AD50+AD51+AD52+AD53+AD54+AD55+AD56+AD57+AD58+AD59+AD60+AD61+AD62+AD63</f>
        <v>0</v>
      </c>
      <c r="AE67" s="735">
        <f>AE8+AE26+AE27+AE28+AE29+AE30+AE31+AE32+AE33+AE46+AE47+AE48+AE49+AE50+AE51+AE52+AE53+AE54+AE55+AE56+AE57+AE58+AE59+AE60+AE61+AE62+AE63</f>
        <v>3.7</v>
      </c>
      <c r="AF67" s="735">
        <f>AF8+AF26+AF27+AF28+AF29+AF30+AF31+AF32+AF33+AF3+AF36+AF37+AF38+AF39+AF40+AF41+AF42+AF43+AF44+AF45+AF46+AF47+AF48+AF49+AF50+AF51+AF52+AF53+AF54+AF55+AF56+AF57+AF58+AF59+AF60+AF61+AF62+AF63</f>
        <v>0</v>
      </c>
      <c r="AG67" s="735">
        <f>AG8+AG26+AG27+AG28+AG29+AG30+AG31+AG32+AG33+AG35+AG37+AG38+AG39+AG40+AG41+AG42+AG43+AG44+AG45+AG46+AG47+AG48+AG49+AG50+AG51+AG52+AG53+AG54+AG55+AG56+AG57+AG58+AG59+AG60+AG61+AG62+AG63</f>
        <v>0</v>
      </c>
      <c r="AH67" s="735">
        <f>AH8+AH26+AH27+AH28+AH29+AH30+AH31+AH32+AH33+AH35+AH36+AH38+AH39+AH40+AH41+AH42+AH43+AH44+AH45+AH46+AH47+AH48+AH49+AH50+AH51+AH52+AH53+AH54+AH55+AH56+AH57+AH58+AH59+AH60+AH61+AH62+AH63</f>
        <v>0</v>
      </c>
      <c r="AI67" s="735">
        <f>AI8+AI26+AI27+AI28+AI29+AI30+AI31+AI32+AI33+AI35+AI36+AI37+AI39+AI40+AI41+AI42+AI43+AI44+AI45+AI46+AI47+AI48+AI49+AI50+AI51+AI52+AI53+AI54+AI55+AI56+AI57+AI58+AI59+AI60+AI61+AI62+AI63</f>
        <v>0</v>
      </c>
      <c r="AJ67" s="735">
        <f>AJ8+AJ26+AJ27+AJ28+AJ29+AJ30+AJ31+AJ32+AJ33+AJ35+AJ36+AJ37+AJ38+AJ40+AJ41+AJ42+AJ43+AJ44+AJ45+AJ46+AJ47+AJ48+AJ49+AJ50+AJ51+AJ52+AJ53+AJ54+AJ55+AJ56+AJ57+AJ58+AJ59+AJ60+AJ61+AJ62+AJ63</f>
        <v>0</v>
      </c>
      <c r="AK67" s="735">
        <f>AK8+AK26+AK27+AK28+AK29+AK30+AK31+AK32+AK33+AK35+AK36+AK37+AK38+AK39+AK41+AK42+AK43+AK44+AK45+AK46+AK47+AK48+AK49+AK50+AK51+AK52+AK53+AK54+AK55+AK56+AK57+AK58+AK59+AK60+AK61+AK62+AK63</f>
        <v>0</v>
      </c>
      <c r="AL67" s="735">
        <f>AL8+AL26+AL27+AL28+AL29+AL30+AL31+AL32+AL33+AL35+AL36+AL37+AL38+AL39+AL40+AL42+AL43+AL44+AL45+AL46+AL47+AL48+AL49+AL50+AL51+AL52+AL53+AL54+AL55+AL56+AL57+AL58+AL59+AL60+AL61+AL62+AL63</f>
        <v>3.7</v>
      </c>
      <c r="AM67" s="735">
        <f>AM8+AM26+AM27+AM28+AM29+AM30+AM31+AM32+AM33+AM35+AM36+AM37+AM38+AM39+AM40+AM41+AM43+AM44+AM45+AM46+AM47+AM48+AM49+AM50+AM51+AM52+AM53+AM54+AM55+AM56+AM57+AM58+AM59+AM60+AM61+AM62+AM63</f>
        <v>0</v>
      </c>
      <c r="AN67" s="731">
        <f>AN8+AN26+AN27+AN28+AN29+AN30+AN31+AN32+AN33+AN35+AN36+AN37+AN38+AN39+AN40+AN41+AN42+AN44+AN45+AN46+AN47+AN48+AN49+AN50+AN51+AN52+AN53+AN54+AN55+AN56+AN57+AN58+AN59+AN60+AN61+AN62+AN63</f>
        <v>0</v>
      </c>
      <c r="AO67" s="735">
        <f>AO8+AO26+AO27+AO28+AO29+AO30+AO31+AO32+AO33+AO35+AO36+AO37+AO38+AO39+AO40+AO41+AO42+AO43+AO45+AO46+AO47+AO48+AO49+AO50+AO51+AO52+AO53+AO54+AO55+AO56+AO57+AO58+AO59+AO60+AO61+AO62+AO63</f>
        <v>0</v>
      </c>
      <c r="AP67" s="735">
        <f>AP8+AP26+AP27+AP28+AP29+AP30+AP31+AP32+AP33+AP35+AP36+AP37+AP38+AP39+AP40+AP41+AP42+AP43+AP44+AP46+AP47+AP48+AP49+AP50+AP51+AP52+AP53+AP54+AP55+AP56+AP57+AP58+AP59+AP60+AP61+AP62+AP63</f>
        <v>0</v>
      </c>
      <c r="AQ67" s="735">
        <f>AQ8+AQ26+AQ27+AQ28+AQ29+AQ30+AQ31+AQ32+AQ33+AQ34+AQ47+AQ48+AQ49+AQ50+AQ51+AQ52+AQ53+AQ54+AQ55+AQ56+AQ57+AQ58+AQ59+AQ60+AQ61+AQ62+AQ63</f>
        <v>0</v>
      </c>
      <c r="AR67" s="735">
        <f>AR8+AR26+AR27+AR28+AR29+AR30+AR31+AR32+AR33+AR34+AR46+AR48+AR49+AR50+AR51+AR52+AR53+AR54+AR55+AR56+AR57+AR58+AR59+AR60+AR61+AR62+AR63</f>
        <v>0</v>
      </c>
      <c r="AS67" s="735">
        <f>AS8+AS26+AS27+AS28+AS29+AS30+AS31+AS32+AS33+AS34+AS46+AS47+AS49+AS50+AS51+AS52+AS53+AS54+AS55+AS56+AS57+AS58+AS59+AS60+AS61+AS62+AS63</f>
        <v>0</v>
      </c>
      <c r="AT67" s="735">
        <f>AT8+AT26+AT27+AT28+AT29+AT30+AT31+AT32+AT33+AT34+AT46+AT47+AT48+AT50+AT51+AT52+AT53+AT54+AT55+AT56+AT57+AT58+AT59+AT60+AT61+AT62+AT63</f>
        <v>0</v>
      </c>
      <c r="AU67" s="731">
        <f>AU8+AU26+AU27+AU28+AU29+AU30+AU31+AU32+AU33+AU34+AU46+AU47+AU48+AU49+AU51+AU52+AU53+AU54+AU55+AU56+AU57+AU58+AU59+AU60+AU61+AU62+AU63</f>
        <v>0.55000000000000004</v>
      </c>
      <c r="AV67" s="735">
        <f>AV8+AV26+AV27+AV28+AV29+AV30+AV31+AV32+AV33+AV34+AV46+AV47+AV48+AV49+AV50+AV52+AV53+AV54+AV55+AV56+AV57+AV58+AV59+AV60+AV61+AV62+AV63</f>
        <v>0</v>
      </c>
      <c r="AW67" s="735">
        <f>AW8+AW26+AW27+AW28+AW29+AW30+AW31+AW32+AW33+AW34+AW46+AW47+AW48+AW49+AW50+AW51+AW53+AW54+AW55+AW56+AW57+AW58+AW59+AW60+AW61+AW62+AW63</f>
        <v>0</v>
      </c>
      <c r="AX67" s="735">
        <f>AX8+AX26+AX27+AX28+AX29+AX30+AX31+AX32+AX33+AX34+AX46+AX47+AX48+AX49+AX50+AX51+AX52+AX54+AX55+AX56+AX57+AX58+AX59+AX60+AX61+AX62+AX63</f>
        <v>0</v>
      </c>
      <c r="AY67" s="735">
        <f>AY8+AY26+AY27+AY28+AY29+AY30+AY31+AY32+AY33+AY34+AY46+AY47+AY48+AY49+AY50+AY51+AY52+AY53+AY55+AY56+AY57+AY58+AY59+AY60+AY61+AY62+AY63</f>
        <v>0</v>
      </c>
      <c r="AZ67" s="735">
        <f>AZ8+AZ26+AZ27+AZ28+AZ29+AZ30+AZ31+AZ32+AZ33+AZ34+AZ46+AZ47+AZ48+AZ49+AZ50+AZ51+AZ52+AZ53+AZ54+AZ56+AZ57+AZ58+AZ59+AZ60+AZ61+AZ62+AZ63</f>
        <v>0</v>
      </c>
      <c r="BA67" s="735">
        <f>BA8+BA26+BA27+BA28+BA29+BA30+BA31+BA32+BA33+BA34+BA46+BA47+BA48+BA49+BA50+BA51+BA52+BA53+BA54+BA55+BA57+BA58+BA59+BA60+BA61+BA62+BA63</f>
        <v>0</v>
      </c>
      <c r="BB67" s="735">
        <f>BB8+BB26+BB27+BB28+BB29+BB30+BB31+BB32+BB33+BB34+BB46+BB47+BB48+BB49+BB50+BB51+BB52+BB53+BB54+BB55+BB56+BB58+BB59+BB60+BB61+BB62+BB63</f>
        <v>0</v>
      </c>
      <c r="BC67" s="735">
        <f>BC8+BC26+BC27+BC28+BC29+BC30+BC31+BC32+BC33+BC34+BC46+BC47+BC48+BC49+BC50+BC51+BC52+BC53+BC54+BC55+BC56+BC57+BC59+BC60+BC61+BC62+BC63</f>
        <v>0</v>
      </c>
      <c r="BD67" s="735">
        <f>BD8+BD26+BD27+BD28+BD29+BD30+BD31+BD32+BD33+BD34+BD46+BD47+BD48+BD49+BD50+BD51+BD52+BD53+BD54+BD55+BD56+BD57+BD58+BD60+BD61+BD62+BD63</f>
        <v>0</v>
      </c>
      <c r="BE67" s="735">
        <f>BE8+BE26+BE27+BE28+BE29+BE30+BE31+BE32+BE33+BE34+BE46+BE47+BE48+BE49+BE50+BE51+BE52+BE53+BE54+BE55+BE56+BE57+BE58+BE59+BE61+BE62+BE63</f>
        <v>0</v>
      </c>
      <c r="BF67" s="735">
        <f>BF8+BF26+BF27+BF28+BF29+BF30+BF31+BF32+BF33+BF34+BF46+BF47+BF48+BF49+BF50+BF51+BF52+BF53+BF54+BF55+BF56+BF57+BF58+BF59+BF60+BF62+BF63</f>
        <v>0</v>
      </c>
      <c r="BG67" s="735">
        <f>BG8+BG26+BG27+BG28+BG29+BG30+BG31+BG32+BG33+BG34+BG46+BG47+BG48+BG49+BG50+BG51+BG52+BG53+BG54+BG55+BG56+BG57+BG58+BG59+BG60+BG61+BG63</f>
        <v>0</v>
      </c>
      <c r="BH67" s="735">
        <f>BH8+BH25</f>
        <v>0</v>
      </c>
      <c r="BI67" s="735">
        <f>BI8+BI25+BI65+BI66</f>
        <v>0</v>
      </c>
      <c r="BJ67" s="189">
        <f>BJ8+BJ25+BJ64+BJ66</f>
        <v>0</v>
      </c>
      <c r="BK67" s="189">
        <f>BK8+BK25+BK64+BK65</f>
        <v>0</v>
      </c>
      <c r="BL67" s="189"/>
      <c r="BM67" s="189"/>
      <c r="BN67" s="189"/>
    </row>
    <row r="68" spans="1:68" s="103" customFormat="1" ht="31.5" customHeight="1">
      <c r="A68" s="18"/>
      <c r="B68" s="149" t="s">
        <v>695</v>
      </c>
      <c r="C68" s="10"/>
      <c r="D68" s="458">
        <f>BN7</f>
        <v>1317.0395000000001</v>
      </c>
      <c r="E68" s="458">
        <f>BN8</f>
        <v>730.31</v>
      </c>
      <c r="F68" s="458">
        <f>BN9</f>
        <v>58.51</v>
      </c>
      <c r="G68" s="458">
        <f>BN10</f>
        <v>31.22</v>
      </c>
      <c r="H68" s="458">
        <f>BN11</f>
        <v>17.09</v>
      </c>
      <c r="I68" s="458">
        <f>BN12</f>
        <v>17.09</v>
      </c>
      <c r="J68" s="458">
        <f>BN13</f>
        <v>0</v>
      </c>
      <c r="K68" s="458">
        <f>BN14</f>
        <v>0</v>
      </c>
      <c r="L68" s="458">
        <f>BN15</f>
        <v>0</v>
      </c>
      <c r="M68" s="458">
        <f>BN16</f>
        <v>14.13</v>
      </c>
      <c r="N68" s="458">
        <f>BN17</f>
        <v>27.29</v>
      </c>
      <c r="O68" s="458">
        <f>BN18</f>
        <v>535.12</v>
      </c>
      <c r="P68" s="458">
        <f>BN19</f>
        <v>512.98</v>
      </c>
      <c r="Q68" s="458">
        <f>BN20</f>
        <v>0</v>
      </c>
      <c r="R68" s="458">
        <f>BN21</f>
        <v>22.14</v>
      </c>
      <c r="S68" s="458">
        <f>BN22</f>
        <v>136.68</v>
      </c>
      <c r="T68" s="458">
        <f>BN23</f>
        <v>0</v>
      </c>
      <c r="U68" s="458">
        <f>BN24</f>
        <v>0</v>
      </c>
      <c r="V68" s="458">
        <f>BN25</f>
        <v>441.55950000000001</v>
      </c>
      <c r="W68" s="458">
        <f>BN26</f>
        <v>10.07</v>
      </c>
      <c r="X68" s="458">
        <f>BN27</f>
        <v>1.19</v>
      </c>
      <c r="Y68" s="458">
        <f>BN28</f>
        <v>0</v>
      </c>
      <c r="Z68" s="458">
        <f>BN29</f>
        <v>0</v>
      </c>
      <c r="AA68" s="458">
        <f>BN30</f>
        <v>0</v>
      </c>
      <c r="AB68" s="458">
        <f>BN31</f>
        <v>84.41</v>
      </c>
      <c r="AC68" s="458">
        <f>BN32</f>
        <v>0</v>
      </c>
      <c r="AD68" s="458">
        <f>BN33</f>
        <v>0</v>
      </c>
      <c r="AE68" s="458">
        <f>BN34</f>
        <v>168.08949999999999</v>
      </c>
      <c r="AF68" s="458">
        <f>BN35</f>
        <v>5.4799999999999995</v>
      </c>
      <c r="AG68" s="458">
        <f>BN36</f>
        <v>0.18</v>
      </c>
      <c r="AH68" s="458">
        <f>BN37</f>
        <v>2.5</v>
      </c>
      <c r="AI68" s="458">
        <f>BN38</f>
        <v>96.149500000000003</v>
      </c>
      <c r="AJ68" s="458">
        <f>BN39</f>
        <v>0</v>
      </c>
      <c r="AK68" s="458">
        <f>BN40</f>
        <v>0</v>
      </c>
      <c r="AL68" s="458">
        <f>BN41</f>
        <v>50.57</v>
      </c>
      <c r="AM68" s="458">
        <f>BN42</f>
        <v>12.950000000000001</v>
      </c>
      <c r="AN68" s="458">
        <f>BN43</f>
        <v>0.01</v>
      </c>
      <c r="AO68" s="458">
        <f>BN44</f>
        <v>0.25</v>
      </c>
      <c r="AP68" s="458">
        <f>BN45</f>
        <v>0</v>
      </c>
      <c r="AQ68" s="458">
        <f>BN46</f>
        <v>0.17</v>
      </c>
      <c r="AR68" s="458">
        <f>BN47</f>
        <v>0</v>
      </c>
      <c r="AS68" s="458">
        <f>BN48</f>
        <v>0</v>
      </c>
      <c r="AT68" s="458">
        <f>BN49</f>
        <v>0</v>
      </c>
      <c r="AU68" s="458">
        <f>BN50</f>
        <v>34.15</v>
      </c>
      <c r="AV68" s="458">
        <f>BN51</f>
        <v>0.3</v>
      </c>
      <c r="AW68" s="458">
        <f>BN52</f>
        <v>0</v>
      </c>
      <c r="AX68" s="458">
        <f>BN53</f>
        <v>0</v>
      </c>
      <c r="AY68" s="458">
        <f>BN54</f>
        <v>2</v>
      </c>
      <c r="AZ68" s="458">
        <f>BN55</f>
        <v>34.43</v>
      </c>
      <c r="BA68" s="458">
        <f>BN56</f>
        <v>0.04</v>
      </c>
      <c r="BB68" s="458">
        <f>BN57</f>
        <v>0.44</v>
      </c>
      <c r="BC68" s="458">
        <f>BN58</f>
        <v>0</v>
      </c>
      <c r="BD68" s="458">
        <f>BN59</f>
        <v>1.65</v>
      </c>
      <c r="BE68" s="458">
        <f>BN60</f>
        <v>104.61999999999999</v>
      </c>
      <c r="BF68" s="458">
        <f>BN61</f>
        <v>0</v>
      </c>
      <c r="BG68" s="458">
        <f>BN62</f>
        <v>0</v>
      </c>
      <c r="BH68" s="458">
        <f>BN63</f>
        <v>145.17000000000002</v>
      </c>
      <c r="BI68" s="458">
        <f>BN64</f>
        <v>144.21</v>
      </c>
      <c r="BJ68" s="458">
        <f>BN65</f>
        <v>0.96</v>
      </c>
      <c r="BK68" s="458">
        <f>BN66</f>
        <v>0</v>
      </c>
      <c r="BL68" s="458"/>
      <c r="BM68" s="458"/>
      <c r="BN68" s="458"/>
    </row>
    <row r="70" spans="1:68" ht="18" customHeight="1">
      <c r="A70" s="1300" t="s">
        <v>10</v>
      </c>
      <c r="B70" s="1300"/>
    </row>
    <row r="71" spans="1:68" ht="28.5" customHeight="1">
      <c r="A71" s="1300" t="s">
        <v>321</v>
      </c>
      <c r="B71" s="1300"/>
      <c r="C71" s="1300"/>
      <c r="D71" s="1300"/>
      <c r="E71" s="1300"/>
      <c r="F71" s="1300"/>
      <c r="G71" s="1300"/>
      <c r="H71" s="1300"/>
      <c r="I71" s="1300"/>
      <c r="J71" s="1300"/>
      <c r="K71" s="1300"/>
      <c r="L71" s="1300"/>
      <c r="M71" s="1300"/>
      <c r="N71" s="1300"/>
      <c r="O71" s="1300"/>
      <c r="P71" s="1300"/>
      <c r="Q71" s="1300"/>
      <c r="R71" s="1300"/>
      <c r="S71" s="1300"/>
      <c r="T71" s="1300"/>
      <c r="U71" s="1300"/>
      <c r="V71" s="1300"/>
      <c r="W71" s="1300"/>
      <c r="X71" s="1300"/>
      <c r="Y71" s="1300"/>
      <c r="Z71" s="1300"/>
      <c r="AA71" s="1300"/>
      <c r="AB71" s="1300"/>
      <c r="AC71" s="1300"/>
      <c r="AD71" s="1300"/>
      <c r="AE71" s="1300"/>
      <c r="AF71" s="1300"/>
      <c r="AG71" s="1300"/>
      <c r="AH71" s="1300"/>
      <c r="AI71" s="1300"/>
      <c r="AJ71" s="1300"/>
      <c r="AK71" s="1300"/>
      <c r="AL71" s="1300"/>
      <c r="AM71" s="1300"/>
      <c r="AN71" s="1300"/>
      <c r="AO71" s="1300"/>
      <c r="AP71" s="1300"/>
      <c r="AQ71" s="1300"/>
      <c r="AR71" s="1300"/>
      <c r="AS71" s="1300"/>
    </row>
    <row r="72" spans="1:68" ht="24.75" customHeight="1">
      <c r="A72" s="1300" t="s">
        <v>322</v>
      </c>
      <c r="B72" s="1300"/>
      <c r="C72" s="1300"/>
      <c r="D72" s="1300"/>
      <c r="E72" s="1300"/>
      <c r="F72" s="1300"/>
      <c r="G72" s="1300"/>
      <c r="H72" s="1300"/>
      <c r="I72" s="1300"/>
      <c r="J72" s="1300"/>
      <c r="K72" s="1300"/>
      <c r="L72" s="1300"/>
      <c r="M72" s="1300"/>
      <c r="N72" s="1300"/>
      <c r="O72" s="1300"/>
      <c r="P72" s="1300"/>
      <c r="Q72" s="1300"/>
      <c r="R72" s="1300"/>
      <c r="S72" s="1300"/>
      <c r="T72" s="1300"/>
      <c r="U72" s="1300"/>
      <c r="V72" s="1300"/>
      <c r="W72" s="1300"/>
      <c r="X72" s="1300"/>
      <c r="Y72" s="1300"/>
      <c r="Z72" s="1300"/>
      <c r="AA72" s="1300"/>
      <c r="AB72" s="1300"/>
      <c r="AC72" s="1300"/>
      <c r="AD72" s="1300"/>
      <c r="AE72" s="1300"/>
      <c r="AF72" s="1300"/>
      <c r="AG72" s="1300"/>
      <c r="AH72" s="1300"/>
      <c r="AI72" s="1300"/>
      <c r="AJ72" s="1300"/>
      <c r="AK72" s="1300"/>
      <c r="AL72" s="1300"/>
      <c r="AM72" s="1300"/>
      <c r="AN72" s="1300"/>
      <c r="AO72" s="1300"/>
      <c r="AP72" s="1300"/>
      <c r="AQ72" s="1300"/>
      <c r="AR72" s="1300"/>
      <c r="AS72" s="1300"/>
    </row>
    <row r="73" spans="1:68" ht="21.75" customHeight="1">
      <c r="AR73" s="1300" t="s">
        <v>138</v>
      </c>
      <c r="AS73" s="1300"/>
    </row>
    <row r="74" spans="1:68" ht="31.5" customHeight="1">
      <c r="A74" s="1300" t="s">
        <v>0</v>
      </c>
      <c r="B74" s="1300" t="s">
        <v>12</v>
      </c>
      <c r="C74" s="1300" t="s">
        <v>13</v>
      </c>
      <c r="D74" s="1300" t="s">
        <v>324</v>
      </c>
      <c r="E74" s="1300" t="s">
        <v>326</v>
      </c>
      <c r="F74" s="1300"/>
      <c r="G74" s="1300"/>
      <c r="H74" s="1300"/>
      <c r="I74" s="1300"/>
      <c r="J74" s="1300"/>
      <c r="K74" s="1300"/>
      <c r="L74" s="1300"/>
      <c r="M74" s="1300"/>
      <c r="N74" s="1300"/>
      <c r="O74" s="1300"/>
      <c r="P74" s="1300"/>
      <c r="Q74" s="1300"/>
      <c r="R74" s="1300"/>
      <c r="S74" s="1300"/>
      <c r="T74" s="1300"/>
      <c r="U74" s="1300"/>
      <c r="V74" s="1300"/>
      <c r="W74" s="1300"/>
      <c r="X74" s="1300"/>
      <c r="Y74" s="1300"/>
      <c r="Z74" s="1300"/>
      <c r="AA74" s="1300"/>
      <c r="AB74" s="1300"/>
      <c r="AC74" s="1300"/>
      <c r="AD74" s="1300"/>
      <c r="AE74" s="1300"/>
      <c r="AF74" s="1300"/>
      <c r="AG74" s="1300"/>
      <c r="AH74" s="1300"/>
      <c r="AI74" s="1300"/>
      <c r="AJ74" s="1300"/>
      <c r="AK74" s="1300"/>
      <c r="AL74" s="1300"/>
      <c r="AM74" s="1300"/>
      <c r="AN74" s="1300"/>
      <c r="AO74" s="1300"/>
      <c r="AP74" s="1300"/>
      <c r="AQ74" s="1300"/>
      <c r="AR74" s="1300" t="s">
        <v>191</v>
      </c>
      <c r="AS74" s="1300" t="s">
        <v>323</v>
      </c>
    </row>
    <row r="75" spans="1:68" ht="30" customHeight="1">
      <c r="A75" s="1300"/>
      <c r="B75" s="1300"/>
      <c r="C75" s="1300"/>
      <c r="D75" s="1300"/>
      <c r="E75" t="s">
        <v>15</v>
      </c>
      <c r="F75" t="s">
        <v>18</v>
      </c>
      <c r="G75" t="s">
        <v>20</v>
      </c>
      <c r="H75" t="s">
        <v>23</v>
      </c>
      <c r="I75" t="s">
        <v>26</v>
      </c>
      <c r="J75" t="s">
        <v>29</v>
      </c>
      <c r="K75" t="s">
        <v>32</v>
      </c>
      <c r="L75" t="s">
        <v>35</v>
      </c>
      <c r="M75" t="s">
        <v>38</v>
      </c>
      <c r="N75" t="s">
        <v>41</v>
      </c>
      <c r="O75" t="s">
        <v>44</v>
      </c>
      <c r="P75" t="s">
        <v>46</v>
      </c>
      <c r="Q75" t="s">
        <v>49</v>
      </c>
      <c r="R75" t="s">
        <v>52</v>
      </c>
      <c r="S75" t="s">
        <v>55</v>
      </c>
      <c r="T75" t="s">
        <v>58</v>
      </c>
      <c r="U75" t="s">
        <v>61</v>
      </c>
      <c r="V75" t="s">
        <v>64</v>
      </c>
      <c r="W75" t="s">
        <v>67</v>
      </c>
      <c r="X75" t="s">
        <v>70</v>
      </c>
      <c r="Y75" t="s">
        <v>72</v>
      </c>
      <c r="Z75" t="s">
        <v>75</v>
      </c>
      <c r="AA75" t="s">
        <v>78</v>
      </c>
      <c r="AB75" t="s">
        <v>81</v>
      </c>
      <c r="AC75" t="s">
        <v>84</v>
      </c>
      <c r="AD75" t="s">
        <v>87</v>
      </c>
      <c r="AE75" t="s">
        <v>90</v>
      </c>
      <c r="AF75" t="s">
        <v>93</v>
      </c>
      <c r="AG75" t="s">
        <v>96</v>
      </c>
      <c r="AH75" t="s">
        <v>99</v>
      </c>
      <c r="AI75" t="s">
        <v>101</v>
      </c>
      <c r="AJ75" t="s">
        <v>104</v>
      </c>
      <c r="AK75" t="s">
        <v>107</v>
      </c>
      <c r="AL75" t="s">
        <v>110</v>
      </c>
      <c r="AM75" t="s">
        <v>113</v>
      </c>
      <c r="AN75" t="s">
        <v>116</v>
      </c>
      <c r="AO75" t="s">
        <v>119</v>
      </c>
      <c r="AP75" t="s">
        <v>122</v>
      </c>
      <c r="AQ75" t="s">
        <v>124</v>
      </c>
      <c r="AR75" s="1300"/>
      <c r="AS75" s="1300"/>
    </row>
    <row r="76" spans="1:68" ht="27.75" customHeight="1">
      <c r="B76" t="s">
        <v>189</v>
      </c>
      <c r="D76">
        <f>D77+D88+D115</f>
        <v>1317.0395000000001</v>
      </c>
      <c r="E76">
        <f t="shared" ref="E76:AS76" si="33">E77+E88+E115</f>
        <v>730.31000000000006</v>
      </c>
      <c r="F76">
        <f t="shared" si="33"/>
        <v>17.09</v>
      </c>
      <c r="G76">
        <f t="shared" si="33"/>
        <v>0</v>
      </c>
      <c r="H76">
        <f t="shared" si="33"/>
        <v>14.13</v>
      </c>
      <c r="I76">
        <f t="shared" si="33"/>
        <v>27.29</v>
      </c>
      <c r="J76">
        <f>J77+J88+J115</f>
        <v>514.20000000000005</v>
      </c>
      <c r="K76">
        <f t="shared" si="33"/>
        <v>0</v>
      </c>
      <c r="L76">
        <f t="shared" si="33"/>
        <v>20.92</v>
      </c>
      <c r="M76">
        <f t="shared" si="33"/>
        <v>136.68</v>
      </c>
      <c r="N76">
        <f t="shared" si="33"/>
        <v>0</v>
      </c>
      <c r="O76">
        <f t="shared" si="33"/>
        <v>0</v>
      </c>
      <c r="P76">
        <f t="shared" si="33"/>
        <v>441.55950000000001</v>
      </c>
      <c r="Q76">
        <f t="shared" si="33"/>
        <v>10.069999999999999</v>
      </c>
      <c r="R76">
        <f t="shared" si="33"/>
        <v>1.19</v>
      </c>
      <c r="S76">
        <f t="shared" si="33"/>
        <v>0</v>
      </c>
      <c r="T76">
        <f t="shared" si="33"/>
        <v>0</v>
      </c>
      <c r="U76">
        <f t="shared" si="33"/>
        <v>0</v>
      </c>
      <c r="V76">
        <f t="shared" si="33"/>
        <v>84.41</v>
      </c>
      <c r="W76">
        <f t="shared" si="33"/>
        <v>0</v>
      </c>
      <c r="X76">
        <f t="shared" si="33"/>
        <v>0</v>
      </c>
      <c r="Y76">
        <f t="shared" si="33"/>
        <v>168.08950000000002</v>
      </c>
      <c r="Z76">
        <f t="shared" si="33"/>
        <v>0.17</v>
      </c>
      <c r="AA76">
        <f t="shared" si="33"/>
        <v>0</v>
      </c>
      <c r="AB76">
        <f t="shared" si="33"/>
        <v>0</v>
      </c>
      <c r="AC76">
        <f t="shared" si="33"/>
        <v>0</v>
      </c>
      <c r="AD76">
        <f t="shared" si="33"/>
        <v>34.15</v>
      </c>
      <c r="AE76">
        <f t="shared" si="33"/>
        <v>0.3</v>
      </c>
      <c r="AF76">
        <f t="shared" si="33"/>
        <v>0</v>
      </c>
      <c r="AG76">
        <f t="shared" si="33"/>
        <v>0</v>
      </c>
      <c r="AH76">
        <f t="shared" si="33"/>
        <v>2</v>
      </c>
      <c r="AI76">
        <f t="shared" si="33"/>
        <v>34.43</v>
      </c>
      <c r="AJ76">
        <f t="shared" si="33"/>
        <v>0.04</v>
      </c>
      <c r="AK76">
        <f t="shared" si="33"/>
        <v>0.44</v>
      </c>
      <c r="AL76">
        <f t="shared" si="33"/>
        <v>0</v>
      </c>
      <c r="AM76">
        <f t="shared" si="33"/>
        <v>1.65</v>
      </c>
      <c r="AN76">
        <f t="shared" si="33"/>
        <v>104.61999999999999</v>
      </c>
      <c r="AO76">
        <f t="shared" si="33"/>
        <v>0</v>
      </c>
      <c r="AP76">
        <f t="shared" si="33"/>
        <v>0</v>
      </c>
      <c r="AQ76">
        <f t="shared" si="33"/>
        <v>1.07</v>
      </c>
      <c r="AS76">
        <f t="shared" si="33"/>
        <v>1317.0395000000001</v>
      </c>
    </row>
    <row r="77" spans="1:68" ht="20.25" customHeight="1">
      <c r="A77">
        <v>1</v>
      </c>
      <c r="B77" t="s">
        <v>14</v>
      </c>
      <c r="C77" t="s">
        <v>15</v>
      </c>
      <c r="D77">
        <f>D78+D80+D81+D82+D83+D84+D85+D86+D87</f>
        <v>706.80000000000007</v>
      </c>
      <c r="E77">
        <f t="shared" ref="E77:AS77" si="34">E78+E80+E81+E82+E83+E84+E85+E86+E87</f>
        <v>705.08</v>
      </c>
      <c r="F77">
        <f t="shared" si="34"/>
        <v>17.09</v>
      </c>
      <c r="G77">
        <f t="shared" si="34"/>
        <v>0</v>
      </c>
      <c r="H77">
        <f t="shared" si="34"/>
        <v>14.13</v>
      </c>
      <c r="I77">
        <f t="shared" si="34"/>
        <v>27.29</v>
      </c>
      <c r="J77">
        <f t="shared" si="34"/>
        <v>514.20000000000005</v>
      </c>
      <c r="K77">
        <f t="shared" si="34"/>
        <v>0</v>
      </c>
      <c r="L77">
        <f t="shared" si="34"/>
        <v>20.92</v>
      </c>
      <c r="M77">
        <f t="shared" si="34"/>
        <v>111.45</v>
      </c>
      <c r="N77">
        <f t="shared" si="34"/>
        <v>0</v>
      </c>
      <c r="O77">
        <f t="shared" si="34"/>
        <v>0</v>
      </c>
      <c r="P77">
        <f>P78+P80+P81+P82+P83+P84+P85+P86+P87</f>
        <v>1.72</v>
      </c>
      <c r="Q77">
        <f t="shared" si="34"/>
        <v>0.95</v>
      </c>
      <c r="R77">
        <f t="shared" si="34"/>
        <v>0</v>
      </c>
      <c r="S77">
        <f t="shared" si="34"/>
        <v>0</v>
      </c>
      <c r="T77">
        <f t="shared" si="34"/>
        <v>0</v>
      </c>
      <c r="U77">
        <f t="shared" si="34"/>
        <v>0</v>
      </c>
      <c r="V77">
        <f t="shared" si="34"/>
        <v>0</v>
      </c>
      <c r="W77">
        <f t="shared" si="34"/>
        <v>0</v>
      </c>
      <c r="X77">
        <f t="shared" si="34"/>
        <v>0</v>
      </c>
      <c r="Y77">
        <f t="shared" si="34"/>
        <v>0.27</v>
      </c>
      <c r="Z77">
        <f t="shared" si="34"/>
        <v>0</v>
      </c>
      <c r="AA77">
        <f t="shared" si="34"/>
        <v>0</v>
      </c>
      <c r="AB77">
        <f t="shared" si="34"/>
        <v>0</v>
      </c>
      <c r="AC77">
        <f t="shared" si="34"/>
        <v>0</v>
      </c>
      <c r="AD77">
        <f t="shared" si="34"/>
        <v>0.5</v>
      </c>
      <c r="AE77">
        <f t="shared" si="34"/>
        <v>0</v>
      </c>
      <c r="AF77">
        <f t="shared" si="34"/>
        <v>0</v>
      </c>
      <c r="AG77">
        <f t="shared" si="34"/>
        <v>0</v>
      </c>
      <c r="AH77">
        <f t="shared" si="34"/>
        <v>0</v>
      </c>
      <c r="AI77">
        <f t="shared" si="34"/>
        <v>0</v>
      </c>
      <c r="AJ77">
        <f t="shared" si="34"/>
        <v>0</v>
      </c>
      <c r="AK77">
        <f t="shared" si="34"/>
        <v>0</v>
      </c>
      <c r="AL77">
        <f t="shared" si="34"/>
        <v>0</v>
      </c>
      <c r="AM77">
        <f t="shared" si="34"/>
        <v>0</v>
      </c>
      <c r="AN77">
        <f t="shared" si="34"/>
        <v>0</v>
      </c>
      <c r="AO77">
        <f t="shared" si="34"/>
        <v>0</v>
      </c>
      <c r="AP77">
        <f t="shared" si="34"/>
        <v>0</v>
      </c>
      <c r="AQ77">
        <f t="shared" si="34"/>
        <v>0</v>
      </c>
      <c r="AR77">
        <f>P77</f>
        <v>1.72</v>
      </c>
      <c r="AS77">
        <f t="shared" si="34"/>
        <v>730.31</v>
      </c>
    </row>
    <row r="78" spans="1:68" ht="20.25" customHeight="1">
      <c r="A78" t="s">
        <v>16</v>
      </c>
      <c r="B78" t="s">
        <v>17</v>
      </c>
      <c r="C78" t="s">
        <v>18</v>
      </c>
      <c r="D78">
        <f>D11</f>
        <v>17.09</v>
      </c>
      <c r="E78">
        <f>F78+H78+I78+J78+K78+L78+M78+N78+O78</f>
        <v>17.09</v>
      </c>
      <c r="F78">
        <f>D78-AR78</f>
        <v>17.09</v>
      </c>
      <c r="G78">
        <f>I13</f>
        <v>0</v>
      </c>
      <c r="H78">
        <f>M11</f>
        <v>0</v>
      </c>
      <c r="I78">
        <f>N11</f>
        <v>0</v>
      </c>
      <c r="J78">
        <f t="shared" ref="J78:O79" si="35">P11</f>
        <v>0</v>
      </c>
      <c r="K78">
        <f t="shared" si="35"/>
        <v>0</v>
      </c>
      <c r="L78">
        <f t="shared" si="35"/>
        <v>0</v>
      </c>
      <c r="M78">
        <f t="shared" si="35"/>
        <v>0</v>
      </c>
      <c r="N78">
        <f t="shared" si="35"/>
        <v>0</v>
      </c>
      <c r="O78">
        <f t="shared" si="35"/>
        <v>0</v>
      </c>
      <c r="P78">
        <f>SUM(Q78:AP78)</f>
        <v>0</v>
      </c>
      <c r="Q78">
        <f t="shared" ref="Q78:Y79" si="36">W11</f>
        <v>0</v>
      </c>
      <c r="R78">
        <f t="shared" si="36"/>
        <v>0</v>
      </c>
      <c r="S78">
        <f t="shared" si="36"/>
        <v>0</v>
      </c>
      <c r="T78">
        <f t="shared" si="36"/>
        <v>0</v>
      </c>
      <c r="U78">
        <f t="shared" si="36"/>
        <v>0</v>
      </c>
      <c r="V78">
        <f t="shared" si="36"/>
        <v>0</v>
      </c>
      <c r="W78">
        <f t="shared" si="36"/>
        <v>0</v>
      </c>
      <c r="X78">
        <f t="shared" si="36"/>
        <v>0</v>
      </c>
      <c r="Y78">
        <f t="shared" si="36"/>
        <v>0</v>
      </c>
      <c r="Z78">
        <f>AQ11</f>
        <v>0</v>
      </c>
      <c r="AA78">
        <f t="shared" ref="AA78:AQ79" si="37">AR11</f>
        <v>0</v>
      </c>
      <c r="AB78">
        <f t="shared" si="37"/>
        <v>0</v>
      </c>
      <c r="AC78">
        <f t="shared" si="37"/>
        <v>0</v>
      </c>
      <c r="AD78">
        <f t="shared" si="37"/>
        <v>0</v>
      </c>
      <c r="AE78">
        <f t="shared" si="37"/>
        <v>0</v>
      </c>
      <c r="AF78">
        <f t="shared" si="37"/>
        <v>0</v>
      </c>
      <c r="AG78">
        <f t="shared" si="37"/>
        <v>0</v>
      </c>
      <c r="AH78">
        <f t="shared" si="37"/>
        <v>0</v>
      </c>
      <c r="AI78">
        <f t="shared" si="37"/>
        <v>0</v>
      </c>
      <c r="AJ78">
        <f t="shared" si="37"/>
        <v>0</v>
      </c>
      <c r="AK78">
        <f t="shared" si="37"/>
        <v>0</v>
      </c>
      <c r="AL78">
        <f t="shared" si="37"/>
        <v>0</v>
      </c>
      <c r="AM78">
        <f t="shared" si="37"/>
        <v>0</v>
      </c>
      <c r="AN78">
        <f t="shared" si="37"/>
        <v>0</v>
      </c>
      <c r="AO78">
        <f t="shared" si="37"/>
        <v>0</v>
      </c>
      <c r="AP78">
        <f t="shared" si="37"/>
        <v>0</v>
      </c>
      <c r="AQ78">
        <f t="shared" si="37"/>
        <v>0</v>
      </c>
      <c r="AR78">
        <f>H78+I78+J78+K78+L78+M78+N78+O78+P78+AQ78</f>
        <v>0</v>
      </c>
      <c r="AS78">
        <f>D78+F116-AR78</f>
        <v>17.09</v>
      </c>
    </row>
    <row r="79" spans="1:68" ht="20.25" customHeight="1">
      <c r="B79" t="s">
        <v>19</v>
      </c>
      <c r="C79" t="s">
        <v>20</v>
      </c>
      <c r="D79">
        <f>D12</f>
        <v>17.09</v>
      </c>
      <c r="E79">
        <f t="shared" ref="E79:E114" si="38">F79+H79+I79+J79+K79+L79+M79+N79+O79</f>
        <v>0</v>
      </c>
      <c r="G79">
        <f>D79-AR79</f>
        <v>17.09</v>
      </c>
      <c r="H79">
        <f>M12</f>
        <v>0</v>
      </c>
      <c r="I79">
        <f>N12</f>
        <v>0</v>
      </c>
      <c r="J79">
        <f t="shared" si="35"/>
        <v>0</v>
      </c>
      <c r="K79">
        <f t="shared" si="35"/>
        <v>0</v>
      </c>
      <c r="L79">
        <f t="shared" si="35"/>
        <v>0</v>
      </c>
      <c r="M79">
        <f t="shared" si="35"/>
        <v>0</v>
      </c>
      <c r="N79">
        <f t="shared" si="35"/>
        <v>0</v>
      </c>
      <c r="O79">
        <f t="shared" si="35"/>
        <v>0</v>
      </c>
      <c r="P79">
        <f t="shared" ref="P79:P87" si="39">SUM(Q79:AP79)</f>
        <v>0</v>
      </c>
      <c r="Q79">
        <f t="shared" si="36"/>
        <v>0</v>
      </c>
      <c r="R79">
        <f t="shared" si="36"/>
        <v>0</v>
      </c>
      <c r="S79">
        <f t="shared" si="36"/>
        <v>0</v>
      </c>
      <c r="T79">
        <f t="shared" si="36"/>
        <v>0</v>
      </c>
      <c r="U79">
        <f t="shared" si="36"/>
        <v>0</v>
      </c>
      <c r="V79">
        <f t="shared" si="36"/>
        <v>0</v>
      </c>
      <c r="W79">
        <f t="shared" si="36"/>
        <v>0</v>
      </c>
      <c r="X79">
        <f t="shared" si="36"/>
        <v>0</v>
      </c>
      <c r="Y79">
        <f t="shared" si="36"/>
        <v>0</v>
      </c>
      <c r="Z79">
        <f>AQ12</f>
        <v>0</v>
      </c>
      <c r="AA79">
        <f t="shared" si="37"/>
        <v>0</v>
      </c>
      <c r="AB79">
        <f t="shared" si="37"/>
        <v>0</v>
      </c>
      <c r="AC79">
        <f t="shared" si="37"/>
        <v>0</v>
      </c>
      <c r="AD79">
        <f t="shared" si="37"/>
        <v>0</v>
      </c>
      <c r="AE79">
        <f t="shared" si="37"/>
        <v>0</v>
      </c>
      <c r="AF79">
        <f t="shared" si="37"/>
        <v>0</v>
      </c>
      <c r="AG79">
        <f t="shared" si="37"/>
        <v>0</v>
      </c>
      <c r="AH79">
        <f t="shared" si="37"/>
        <v>0</v>
      </c>
      <c r="AI79">
        <f t="shared" si="37"/>
        <v>0</v>
      </c>
      <c r="AJ79">
        <f t="shared" si="37"/>
        <v>0</v>
      </c>
      <c r="AK79">
        <f t="shared" si="37"/>
        <v>0</v>
      </c>
      <c r="AL79">
        <f t="shared" si="37"/>
        <v>0</v>
      </c>
      <c r="AM79">
        <f t="shared" si="37"/>
        <v>0</v>
      </c>
      <c r="AN79">
        <f t="shared" si="37"/>
        <v>0</v>
      </c>
      <c r="AO79">
        <f t="shared" si="37"/>
        <v>0</v>
      </c>
      <c r="AP79">
        <f t="shared" si="37"/>
        <v>0</v>
      </c>
      <c r="AQ79">
        <f t="shared" si="37"/>
        <v>0</v>
      </c>
      <c r="AR79">
        <f>F79+H79+I79+J79+K79+L79+M79+N79+O79+P79</f>
        <v>0</v>
      </c>
      <c r="AS79">
        <f>D79+G116-AR79</f>
        <v>17.09</v>
      </c>
    </row>
    <row r="80" spans="1:68" ht="20.25" customHeight="1">
      <c r="A80" t="s">
        <v>21</v>
      </c>
      <c r="B80" t="s">
        <v>22</v>
      </c>
      <c r="C80" t="s">
        <v>23</v>
      </c>
      <c r="D80">
        <f>D16</f>
        <v>14.13</v>
      </c>
      <c r="E80">
        <f t="shared" si="38"/>
        <v>14.13</v>
      </c>
      <c r="F80">
        <f>H16</f>
        <v>0</v>
      </c>
      <c r="G80">
        <f>I16</f>
        <v>0</v>
      </c>
      <c r="H80">
        <f>D80-AR80</f>
        <v>14.13</v>
      </c>
      <c r="I80">
        <f>N16</f>
        <v>0</v>
      </c>
      <c r="J80">
        <f t="shared" ref="J80:O81" si="40">P16</f>
        <v>0</v>
      </c>
      <c r="K80">
        <f t="shared" si="40"/>
        <v>0</v>
      </c>
      <c r="L80">
        <f t="shared" si="40"/>
        <v>0</v>
      </c>
      <c r="M80">
        <f t="shared" si="40"/>
        <v>0</v>
      </c>
      <c r="N80">
        <f t="shared" si="40"/>
        <v>0</v>
      </c>
      <c r="O80">
        <f t="shared" si="40"/>
        <v>0</v>
      </c>
      <c r="P80">
        <f t="shared" si="39"/>
        <v>0</v>
      </c>
      <c r="Q80">
        <f t="shared" ref="Q80:Y81" si="41">W16</f>
        <v>0</v>
      </c>
      <c r="R80">
        <f t="shared" si="41"/>
        <v>0</v>
      </c>
      <c r="S80">
        <f t="shared" si="41"/>
        <v>0</v>
      </c>
      <c r="T80">
        <f t="shared" si="41"/>
        <v>0</v>
      </c>
      <c r="U80">
        <f t="shared" si="41"/>
        <v>0</v>
      </c>
      <c r="V80">
        <f t="shared" si="41"/>
        <v>0</v>
      </c>
      <c r="W80">
        <f t="shared" si="41"/>
        <v>0</v>
      </c>
      <c r="X80">
        <f t="shared" si="41"/>
        <v>0</v>
      </c>
      <c r="Y80">
        <f t="shared" si="41"/>
        <v>0</v>
      </c>
      <c r="Z80">
        <f>AQ16</f>
        <v>0</v>
      </c>
      <c r="AA80">
        <f t="shared" ref="AA80:AQ81" si="42">AR16</f>
        <v>0</v>
      </c>
      <c r="AB80">
        <f t="shared" si="42"/>
        <v>0</v>
      </c>
      <c r="AC80">
        <f t="shared" si="42"/>
        <v>0</v>
      </c>
      <c r="AD80">
        <f t="shared" si="42"/>
        <v>0</v>
      </c>
      <c r="AE80">
        <f t="shared" si="42"/>
        <v>0</v>
      </c>
      <c r="AF80">
        <f t="shared" si="42"/>
        <v>0</v>
      </c>
      <c r="AG80">
        <f t="shared" si="42"/>
        <v>0</v>
      </c>
      <c r="AH80">
        <f t="shared" si="42"/>
        <v>0</v>
      </c>
      <c r="AI80">
        <f t="shared" si="42"/>
        <v>0</v>
      </c>
      <c r="AJ80">
        <f t="shared" si="42"/>
        <v>0</v>
      </c>
      <c r="AK80">
        <f t="shared" si="42"/>
        <v>0</v>
      </c>
      <c r="AL80">
        <f t="shared" si="42"/>
        <v>0</v>
      </c>
      <c r="AM80">
        <f t="shared" si="42"/>
        <v>0</v>
      </c>
      <c r="AN80">
        <f t="shared" si="42"/>
        <v>0</v>
      </c>
      <c r="AO80">
        <f t="shared" si="42"/>
        <v>0</v>
      </c>
      <c r="AP80">
        <f t="shared" si="42"/>
        <v>0</v>
      </c>
      <c r="AQ80">
        <f t="shared" si="42"/>
        <v>0</v>
      </c>
      <c r="AR80">
        <f>F80+I80+J80+K80+L80+M80+N80+O80+P80</f>
        <v>0</v>
      </c>
      <c r="AS80">
        <f>D80+H116-AR80</f>
        <v>14.13</v>
      </c>
    </row>
    <row r="81" spans="1:45" ht="20.25" customHeight="1">
      <c r="A81" t="s">
        <v>24</v>
      </c>
      <c r="B81" t="s">
        <v>25</v>
      </c>
      <c r="C81" t="s">
        <v>26</v>
      </c>
      <c r="D81">
        <f>D17</f>
        <v>27.79</v>
      </c>
      <c r="E81">
        <f t="shared" si="38"/>
        <v>27.29</v>
      </c>
      <c r="F81">
        <f>H17</f>
        <v>0</v>
      </c>
      <c r="G81">
        <f>I17</f>
        <v>0</v>
      </c>
      <c r="H81">
        <f>M17</f>
        <v>0</v>
      </c>
      <c r="I81">
        <f>D81-AR81</f>
        <v>27.29</v>
      </c>
      <c r="J81">
        <f t="shared" si="40"/>
        <v>0</v>
      </c>
      <c r="K81">
        <f t="shared" si="40"/>
        <v>0</v>
      </c>
      <c r="L81">
        <f t="shared" si="40"/>
        <v>0</v>
      </c>
      <c r="M81">
        <f t="shared" si="40"/>
        <v>0</v>
      </c>
      <c r="N81">
        <f t="shared" si="40"/>
        <v>0</v>
      </c>
      <c r="O81">
        <f t="shared" si="40"/>
        <v>0</v>
      </c>
      <c r="P81">
        <f t="shared" si="39"/>
        <v>0.5</v>
      </c>
      <c r="Q81">
        <f t="shared" si="41"/>
        <v>0</v>
      </c>
      <c r="R81">
        <f t="shared" si="41"/>
        <v>0</v>
      </c>
      <c r="S81">
        <f t="shared" si="41"/>
        <v>0</v>
      </c>
      <c r="T81">
        <f t="shared" si="41"/>
        <v>0</v>
      </c>
      <c r="U81">
        <f t="shared" si="41"/>
        <v>0</v>
      </c>
      <c r="V81">
        <f t="shared" si="41"/>
        <v>0</v>
      </c>
      <c r="W81">
        <f t="shared" si="41"/>
        <v>0</v>
      </c>
      <c r="X81">
        <f t="shared" si="41"/>
        <v>0</v>
      </c>
      <c r="Y81">
        <f t="shared" si="41"/>
        <v>0</v>
      </c>
      <c r="Z81">
        <f>AQ17</f>
        <v>0</v>
      </c>
      <c r="AA81">
        <f t="shared" si="42"/>
        <v>0</v>
      </c>
      <c r="AB81">
        <f t="shared" si="42"/>
        <v>0</v>
      </c>
      <c r="AC81">
        <f t="shared" si="42"/>
        <v>0</v>
      </c>
      <c r="AD81">
        <f t="shared" si="42"/>
        <v>0.5</v>
      </c>
      <c r="AE81">
        <f t="shared" si="42"/>
        <v>0</v>
      </c>
      <c r="AF81">
        <f t="shared" si="42"/>
        <v>0</v>
      </c>
      <c r="AG81">
        <f t="shared" si="42"/>
        <v>0</v>
      </c>
      <c r="AH81">
        <f t="shared" si="42"/>
        <v>0</v>
      </c>
      <c r="AI81">
        <f t="shared" si="42"/>
        <v>0</v>
      </c>
      <c r="AJ81">
        <f t="shared" si="42"/>
        <v>0</v>
      </c>
      <c r="AK81">
        <f t="shared" si="42"/>
        <v>0</v>
      </c>
      <c r="AL81">
        <f t="shared" si="42"/>
        <v>0</v>
      </c>
      <c r="AM81">
        <f t="shared" si="42"/>
        <v>0</v>
      </c>
      <c r="AN81">
        <f t="shared" si="42"/>
        <v>0</v>
      </c>
      <c r="AO81">
        <f t="shared" si="42"/>
        <v>0</v>
      </c>
      <c r="AP81">
        <f t="shared" si="42"/>
        <v>0</v>
      </c>
      <c r="AQ81">
        <f t="shared" si="42"/>
        <v>0</v>
      </c>
      <c r="AR81">
        <f>F81+H81+J81+K81+L81+M81+N81+O81+P81</f>
        <v>0.5</v>
      </c>
      <c r="AS81">
        <f>D81+I116-AR81</f>
        <v>27.29</v>
      </c>
    </row>
    <row r="82" spans="1:45" ht="20.25" customHeight="1">
      <c r="A82" t="s">
        <v>27</v>
      </c>
      <c r="B82" t="s">
        <v>28</v>
      </c>
      <c r="C82" t="s">
        <v>29</v>
      </c>
      <c r="D82">
        <f t="shared" ref="D82:D87" si="43">D19</f>
        <v>514.20000000000005</v>
      </c>
      <c r="E82">
        <f t="shared" si="38"/>
        <v>514.20000000000005</v>
      </c>
      <c r="F82">
        <f>H20</f>
        <v>0</v>
      </c>
      <c r="G82">
        <f>I20</f>
        <v>0</v>
      </c>
      <c r="H82">
        <f>M20</f>
        <v>0</v>
      </c>
      <c r="I82">
        <f>N20</f>
        <v>0</v>
      </c>
      <c r="J82">
        <f>D82-AR82</f>
        <v>514.20000000000005</v>
      </c>
      <c r="K82">
        <f>Q19</f>
        <v>0</v>
      </c>
      <c r="L82">
        <f>R19</f>
        <v>0</v>
      </c>
      <c r="M82">
        <f t="shared" ref="M82:O83" si="44">S20</f>
        <v>0</v>
      </c>
      <c r="N82">
        <f t="shared" si="44"/>
        <v>0</v>
      </c>
      <c r="O82">
        <f t="shared" si="44"/>
        <v>0</v>
      </c>
      <c r="P82">
        <f t="shared" si="39"/>
        <v>0</v>
      </c>
      <c r="Q82">
        <f>W20</f>
        <v>0</v>
      </c>
      <c r="R82">
        <f>X20</f>
        <v>0</v>
      </c>
      <c r="S82">
        <f>Z20</f>
        <v>0</v>
      </c>
      <c r="T82">
        <f t="shared" ref="T82:Y83" si="45">Z20</f>
        <v>0</v>
      </c>
      <c r="U82">
        <f t="shared" si="45"/>
        <v>0</v>
      </c>
      <c r="V82">
        <f t="shared" si="45"/>
        <v>0</v>
      </c>
      <c r="W82">
        <f t="shared" si="45"/>
        <v>0</v>
      </c>
      <c r="X82">
        <f t="shared" si="45"/>
        <v>0</v>
      </c>
      <c r="Y82">
        <f t="shared" si="45"/>
        <v>0</v>
      </c>
      <c r="Z82">
        <f>AQ20</f>
        <v>0</v>
      </c>
      <c r="AA82">
        <f t="shared" ref="AA82:AQ83" si="46">AR20</f>
        <v>0</v>
      </c>
      <c r="AB82">
        <f t="shared" si="46"/>
        <v>0</v>
      </c>
      <c r="AC82">
        <f t="shared" si="46"/>
        <v>0</v>
      </c>
      <c r="AD82">
        <f t="shared" si="46"/>
        <v>0</v>
      </c>
      <c r="AE82">
        <f t="shared" si="46"/>
        <v>0</v>
      </c>
      <c r="AF82">
        <f t="shared" si="46"/>
        <v>0</v>
      </c>
      <c r="AG82">
        <f t="shared" si="46"/>
        <v>0</v>
      </c>
      <c r="AH82">
        <f t="shared" si="46"/>
        <v>0</v>
      </c>
      <c r="AI82">
        <f t="shared" si="46"/>
        <v>0</v>
      </c>
      <c r="AJ82">
        <f t="shared" si="46"/>
        <v>0</v>
      </c>
      <c r="AK82">
        <f t="shared" si="46"/>
        <v>0</v>
      </c>
      <c r="AL82">
        <f t="shared" si="46"/>
        <v>0</v>
      </c>
      <c r="AM82">
        <f t="shared" si="46"/>
        <v>0</v>
      </c>
      <c r="AN82">
        <f t="shared" si="46"/>
        <v>0</v>
      </c>
      <c r="AO82">
        <f t="shared" si="46"/>
        <v>0</v>
      </c>
      <c r="AP82">
        <f t="shared" si="46"/>
        <v>0</v>
      </c>
      <c r="AQ82">
        <f t="shared" si="46"/>
        <v>0</v>
      </c>
      <c r="AR82">
        <f>F82+H82+I82+K82+L82+M82+N82+O82+P82</f>
        <v>0</v>
      </c>
      <c r="AS82">
        <f>D82+J116-AR82</f>
        <v>514.20000000000005</v>
      </c>
    </row>
    <row r="83" spans="1:45" ht="20.25" customHeight="1">
      <c r="A83" t="s">
        <v>30</v>
      </c>
      <c r="B83" t="s">
        <v>31</v>
      </c>
      <c r="C83" t="s">
        <v>32</v>
      </c>
      <c r="D83">
        <f t="shared" si="43"/>
        <v>0</v>
      </c>
      <c r="E83">
        <f t="shared" si="38"/>
        <v>0</v>
      </c>
      <c r="F83">
        <f>H21</f>
        <v>0</v>
      </c>
      <c r="G83">
        <f>I21</f>
        <v>0</v>
      </c>
      <c r="H83">
        <f>M21</f>
        <v>0</v>
      </c>
      <c r="I83">
        <f>N21</f>
        <v>0</v>
      </c>
      <c r="J83">
        <f>P20</f>
        <v>0</v>
      </c>
      <c r="K83">
        <f>D83-AR83</f>
        <v>0</v>
      </c>
      <c r="L83">
        <f>R20</f>
        <v>0</v>
      </c>
      <c r="M83">
        <f t="shared" si="44"/>
        <v>0</v>
      </c>
      <c r="N83">
        <f t="shared" si="44"/>
        <v>0</v>
      </c>
      <c r="O83">
        <f t="shared" si="44"/>
        <v>0</v>
      </c>
      <c r="P83">
        <f t="shared" si="39"/>
        <v>0</v>
      </c>
      <c r="Q83">
        <f>W21</f>
        <v>0</v>
      </c>
      <c r="R83">
        <f>X21</f>
        <v>0</v>
      </c>
      <c r="S83">
        <f>Z21</f>
        <v>0</v>
      </c>
      <c r="T83">
        <f t="shared" si="45"/>
        <v>0</v>
      </c>
      <c r="U83">
        <f t="shared" si="45"/>
        <v>0</v>
      </c>
      <c r="V83">
        <f t="shared" si="45"/>
        <v>0</v>
      </c>
      <c r="W83">
        <f t="shared" si="45"/>
        <v>0</v>
      </c>
      <c r="X83">
        <f t="shared" si="45"/>
        <v>0</v>
      </c>
      <c r="Y83">
        <f t="shared" si="45"/>
        <v>0</v>
      </c>
      <c r="Z83">
        <f>AQ21</f>
        <v>0</v>
      </c>
      <c r="AA83">
        <f t="shared" si="46"/>
        <v>0</v>
      </c>
      <c r="AB83">
        <f t="shared" si="46"/>
        <v>0</v>
      </c>
      <c r="AC83">
        <f t="shared" si="46"/>
        <v>0</v>
      </c>
      <c r="AD83">
        <f t="shared" si="46"/>
        <v>0</v>
      </c>
      <c r="AE83">
        <f t="shared" si="46"/>
        <v>0</v>
      </c>
      <c r="AF83">
        <f t="shared" si="46"/>
        <v>0</v>
      </c>
      <c r="AG83">
        <f t="shared" si="46"/>
        <v>0</v>
      </c>
      <c r="AH83">
        <f t="shared" si="46"/>
        <v>0</v>
      </c>
      <c r="AI83">
        <f t="shared" si="46"/>
        <v>0</v>
      </c>
      <c r="AJ83">
        <f t="shared" si="46"/>
        <v>0</v>
      </c>
      <c r="AK83">
        <f t="shared" si="46"/>
        <v>0</v>
      </c>
      <c r="AL83">
        <f t="shared" si="46"/>
        <v>0</v>
      </c>
      <c r="AM83">
        <f t="shared" si="46"/>
        <v>0</v>
      </c>
      <c r="AN83">
        <f t="shared" si="46"/>
        <v>0</v>
      </c>
      <c r="AO83">
        <f t="shared" si="46"/>
        <v>0</v>
      </c>
      <c r="AP83">
        <f t="shared" si="46"/>
        <v>0</v>
      </c>
      <c r="AQ83">
        <f t="shared" si="46"/>
        <v>0</v>
      </c>
      <c r="AR83">
        <f>F83+H83+I83+J83+L83+M83+N83+O83+P83</f>
        <v>0</v>
      </c>
      <c r="AS83">
        <f>D83+K116-AR83</f>
        <v>0</v>
      </c>
    </row>
    <row r="84" spans="1:45" ht="20.25" customHeight="1">
      <c r="A84" t="s">
        <v>33</v>
      </c>
      <c r="B84" t="s">
        <v>34</v>
      </c>
      <c r="C84" t="s">
        <v>35</v>
      </c>
      <c r="D84">
        <f t="shared" si="43"/>
        <v>22.14</v>
      </c>
      <c r="E84">
        <f t="shared" si="38"/>
        <v>20.92</v>
      </c>
      <c r="F84">
        <f>H19</f>
        <v>0</v>
      </c>
      <c r="G84">
        <f>I19</f>
        <v>0</v>
      </c>
      <c r="H84">
        <f>M19</f>
        <v>0</v>
      </c>
      <c r="I84">
        <f>N19</f>
        <v>0</v>
      </c>
      <c r="J84">
        <f>P21</f>
        <v>0</v>
      </c>
      <c r="K84">
        <f>Q21</f>
        <v>0</v>
      </c>
      <c r="L84">
        <f>D84-AR84</f>
        <v>20.92</v>
      </c>
      <c r="M84">
        <f>S19</f>
        <v>0</v>
      </c>
      <c r="N84">
        <f>T19</f>
        <v>0</v>
      </c>
      <c r="O84">
        <f>U19</f>
        <v>0</v>
      </c>
      <c r="P84">
        <f t="shared" si="39"/>
        <v>1.22</v>
      </c>
      <c r="Q84">
        <f t="shared" ref="Q84:Y84" si="47">W19</f>
        <v>0.95</v>
      </c>
      <c r="R84">
        <f t="shared" si="47"/>
        <v>0</v>
      </c>
      <c r="S84">
        <f t="shared" si="47"/>
        <v>0</v>
      </c>
      <c r="T84">
        <f t="shared" si="47"/>
        <v>0</v>
      </c>
      <c r="U84">
        <f t="shared" si="47"/>
        <v>0</v>
      </c>
      <c r="V84">
        <f t="shared" si="47"/>
        <v>0</v>
      </c>
      <c r="W84">
        <f t="shared" si="47"/>
        <v>0</v>
      </c>
      <c r="X84">
        <f t="shared" si="47"/>
        <v>0</v>
      </c>
      <c r="Y84">
        <f t="shared" si="47"/>
        <v>0.27</v>
      </c>
      <c r="Z84">
        <f>AQ19</f>
        <v>0</v>
      </c>
      <c r="AA84">
        <f t="shared" ref="AA84:AQ84" si="48">AR19</f>
        <v>0</v>
      </c>
      <c r="AB84">
        <f t="shared" si="48"/>
        <v>0</v>
      </c>
      <c r="AC84">
        <f t="shared" si="48"/>
        <v>0</v>
      </c>
      <c r="AD84">
        <f t="shared" si="48"/>
        <v>0</v>
      </c>
      <c r="AE84">
        <f t="shared" si="48"/>
        <v>0</v>
      </c>
      <c r="AF84">
        <f t="shared" si="48"/>
        <v>0</v>
      </c>
      <c r="AG84">
        <f t="shared" si="48"/>
        <v>0</v>
      </c>
      <c r="AH84">
        <f t="shared" si="48"/>
        <v>0</v>
      </c>
      <c r="AI84">
        <f t="shared" si="48"/>
        <v>0</v>
      </c>
      <c r="AJ84">
        <f t="shared" si="48"/>
        <v>0</v>
      </c>
      <c r="AK84">
        <f t="shared" si="48"/>
        <v>0</v>
      </c>
      <c r="AL84">
        <f t="shared" si="48"/>
        <v>0</v>
      </c>
      <c r="AM84">
        <f t="shared" si="48"/>
        <v>0</v>
      </c>
      <c r="AN84">
        <f t="shared" si="48"/>
        <v>0</v>
      </c>
      <c r="AO84">
        <f t="shared" si="48"/>
        <v>0</v>
      </c>
      <c r="AP84">
        <f t="shared" si="48"/>
        <v>0</v>
      </c>
      <c r="AQ84">
        <f t="shared" si="48"/>
        <v>0</v>
      </c>
      <c r="AR84">
        <f>F84+H84+I84+J84+K84+M84+N84+O84+P84</f>
        <v>1.22</v>
      </c>
      <c r="AS84">
        <f>D84+L116-AR84</f>
        <v>20.92</v>
      </c>
    </row>
    <row r="85" spans="1:45" ht="20.25" customHeight="1">
      <c r="A85" t="s">
        <v>36</v>
      </c>
      <c r="B85" t="s">
        <v>37</v>
      </c>
      <c r="C85" t="s">
        <v>38</v>
      </c>
      <c r="D85">
        <f t="shared" si="43"/>
        <v>111.45</v>
      </c>
      <c r="E85">
        <f t="shared" si="38"/>
        <v>111.45</v>
      </c>
      <c r="F85">
        <f t="shared" ref="F85:G87" si="49">H22</f>
        <v>0</v>
      </c>
      <c r="G85">
        <f t="shared" si="49"/>
        <v>0</v>
      </c>
      <c r="H85">
        <f t="shared" ref="H85:I87" si="50">M22</f>
        <v>0</v>
      </c>
      <c r="I85">
        <f t="shared" si="50"/>
        <v>0</v>
      </c>
      <c r="J85">
        <f>P22</f>
        <v>0</v>
      </c>
      <c r="K85">
        <f>Q22</f>
        <v>0</v>
      </c>
      <c r="L85">
        <f>R22</f>
        <v>0</v>
      </c>
      <c r="M85">
        <f>D85-AR85</f>
        <v>111.45</v>
      </c>
      <c r="N85">
        <f>T22</f>
        <v>0</v>
      </c>
      <c r="O85">
        <f>U22</f>
        <v>0</v>
      </c>
      <c r="P85">
        <f>SUM(Q85:AP85)</f>
        <v>0</v>
      </c>
      <c r="Q85">
        <f t="shared" ref="Q85:Y87" si="51">W22</f>
        <v>0</v>
      </c>
      <c r="R85">
        <f t="shared" si="51"/>
        <v>0</v>
      </c>
      <c r="S85">
        <f t="shared" si="51"/>
        <v>0</v>
      </c>
      <c r="T85">
        <f t="shared" si="51"/>
        <v>0</v>
      </c>
      <c r="U85">
        <f t="shared" si="51"/>
        <v>0</v>
      </c>
      <c r="V85">
        <f t="shared" si="51"/>
        <v>0</v>
      </c>
      <c r="W85">
        <f t="shared" si="51"/>
        <v>0</v>
      </c>
      <c r="X85">
        <f t="shared" si="51"/>
        <v>0</v>
      </c>
      <c r="Y85">
        <f t="shared" si="51"/>
        <v>0</v>
      </c>
      <c r="Z85">
        <f t="shared" ref="Z85:AP85" si="52">AQ22</f>
        <v>0</v>
      </c>
      <c r="AA85">
        <f t="shared" si="52"/>
        <v>0</v>
      </c>
      <c r="AB85">
        <f t="shared" si="52"/>
        <v>0</v>
      </c>
      <c r="AC85">
        <f t="shared" si="52"/>
        <v>0</v>
      </c>
      <c r="AD85">
        <f t="shared" si="52"/>
        <v>0</v>
      </c>
      <c r="AE85">
        <f t="shared" si="52"/>
        <v>0</v>
      </c>
      <c r="AF85">
        <f t="shared" si="52"/>
        <v>0</v>
      </c>
      <c r="AG85">
        <f t="shared" si="52"/>
        <v>0</v>
      </c>
      <c r="AH85">
        <f t="shared" si="52"/>
        <v>0</v>
      </c>
      <c r="AI85">
        <f t="shared" si="52"/>
        <v>0</v>
      </c>
      <c r="AJ85">
        <f t="shared" si="52"/>
        <v>0</v>
      </c>
      <c r="AK85">
        <f t="shared" si="52"/>
        <v>0</v>
      </c>
      <c r="AL85">
        <f t="shared" si="52"/>
        <v>0</v>
      </c>
      <c r="AM85">
        <f t="shared" si="52"/>
        <v>0</v>
      </c>
      <c r="AN85">
        <f t="shared" si="52"/>
        <v>0</v>
      </c>
      <c r="AO85">
        <f t="shared" si="52"/>
        <v>0</v>
      </c>
      <c r="AP85">
        <f t="shared" si="52"/>
        <v>0</v>
      </c>
      <c r="AQ85">
        <f t="shared" ref="AA85:AQ87" si="53">BH22</f>
        <v>0</v>
      </c>
      <c r="AR85">
        <f>F85+H85+I85+J85+K85+L85+N85+O85+P85</f>
        <v>0</v>
      </c>
      <c r="AS85">
        <f>D85+M116-AR85</f>
        <v>136.68</v>
      </c>
    </row>
    <row r="86" spans="1:45" ht="20.25" customHeight="1">
      <c r="A86" t="s">
        <v>39</v>
      </c>
      <c r="B86" t="s">
        <v>40</v>
      </c>
      <c r="C86" t="s">
        <v>41</v>
      </c>
      <c r="D86">
        <f t="shared" si="43"/>
        <v>0</v>
      </c>
      <c r="E86">
        <f t="shared" si="38"/>
        <v>0</v>
      </c>
      <c r="F86">
        <f t="shared" si="49"/>
        <v>0</v>
      </c>
      <c r="G86">
        <f t="shared" si="49"/>
        <v>0</v>
      </c>
      <c r="H86">
        <f t="shared" si="50"/>
        <v>0</v>
      </c>
      <c r="I86">
        <f t="shared" si="50"/>
        <v>0</v>
      </c>
      <c r="J86">
        <f>P23</f>
        <v>0</v>
      </c>
      <c r="K86">
        <f>Q23</f>
        <v>0</v>
      </c>
      <c r="L86">
        <f>R23</f>
        <v>0</v>
      </c>
      <c r="M86">
        <f>S23</f>
        <v>0</v>
      </c>
      <c r="N86">
        <f>D86-AR86</f>
        <v>0</v>
      </c>
      <c r="O86">
        <f>U23</f>
        <v>0</v>
      </c>
      <c r="P86">
        <f t="shared" si="39"/>
        <v>0</v>
      </c>
      <c r="Q86">
        <f t="shared" si="51"/>
        <v>0</v>
      </c>
      <c r="R86">
        <f t="shared" si="51"/>
        <v>0</v>
      </c>
      <c r="S86">
        <f t="shared" si="51"/>
        <v>0</v>
      </c>
      <c r="T86">
        <f t="shared" si="51"/>
        <v>0</v>
      </c>
      <c r="U86">
        <f t="shared" si="51"/>
        <v>0</v>
      </c>
      <c r="V86">
        <f t="shared" si="51"/>
        <v>0</v>
      </c>
      <c r="W86">
        <f t="shared" si="51"/>
        <v>0</v>
      </c>
      <c r="X86">
        <f t="shared" si="51"/>
        <v>0</v>
      </c>
      <c r="Y86">
        <f t="shared" si="51"/>
        <v>0</v>
      </c>
      <c r="Z86">
        <f>AQ23</f>
        <v>0</v>
      </c>
      <c r="AA86">
        <f t="shared" si="53"/>
        <v>0</v>
      </c>
      <c r="AB86">
        <f t="shared" si="53"/>
        <v>0</v>
      </c>
      <c r="AC86">
        <f t="shared" si="53"/>
        <v>0</v>
      </c>
      <c r="AD86">
        <f t="shared" si="53"/>
        <v>0</v>
      </c>
      <c r="AE86">
        <f t="shared" si="53"/>
        <v>0</v>
      </c>
      <c r="AF86">
        <f t="shared" si="53"/>
        <v>0</v>
      </c>
      <c r="AG86">
        <f t="shared" si="53"/>
        <v>0</v>
      </c>
      <c r="AH86">
        <f t="shared" si="53"/>
        <v>0</v>
      </c>
      <c r="AI86">
        <f t="shared" si="53"/>
        <v>0</v>
      </c>
      <c r="AJ86">
        <f t="shared" si="53"/>
        <v>0</v>
      </c>
      <c r="AK86">
        <f t="shared" si="53"/>
        <v>0</v>
      </c>
      <c r="AL86">
        <f t="shared" si="53"/>
        <v>0</v>
      </c>
      <c r="AM86">
        <f t="shared" si="53"/>
        <v>0</v>
      </c>
      <c r="AN86">
        <f t="shared" si="53"/>
        <v>0</v>
      </c>
      <c r="AO86">
        <f t="shared" si="53"/>
        <v>0</v>
      </c>
      <c r="AP86">
        <f t="shared" si="53"/>
        <v>0</v>
      </c>
      <c r="AQ86">
        <f t="shared" si="53"/>
        <v>0</v>
      </c>
      <c r="AR86">
        <f>F86+H86+I86+J86+K86+L86+M86+O86+P86</f>
        <v>0</v>
      </c>
      <c r="AS86">
        <f>D86+N116-AR86</f>
        <v>0</v>
      </c>
    </row>
    <row r="87" spans="1:45" ht="20.25" customHeight="1">
      <c r="A87">
        <v>2</v>
      </c>
      <c r="B87" t="s">
        <v>43</v>
      </c>
      <c r="C87" t="s">
        <v>44</v>
      </c>
      <c r="D87">
        <f t="shared" si="43"/>
        <v>0</v>
      </c>
      <c r="E87">
        <f t="shared" si="38"/>
        <v>0</v>
      </c>
      <c r="F87">
        <f t="shared" si="49"/>
        <v>0</v>
      </c>
      <c r="G87">
        <f t="shared" si="49"/>
        <v>0</v>
      </c>
      <c r="H87">
        <f t="shared" si="50"/>
        <v>0</v>
      </c>
      <c r="I87">
        <f t="shared" si="50"/>
        <v>0</v>
      </c>
      <c r="J87">
        <f>P24</f>
        <v>0</v>
      </c>
      <c r="K87">
        <f>Q24</f>
        <v>0</v>
      </c>
      <c r="L87">
        <f>R24</f>
        <v>0</v>
      </c>
      <c r="M87">
        <f>S24</f>
        <v>0</v>
      </c>
      <c r="N87">
        <f>T24</f>
        <v>0</v>
      </c>
      <c r="O87">
        <f>D87-AR87</f>
        <v>0</v>
      </c>
      <c r="P87">
        <f t="shared" si="39"/>
        <v>0</v>
      </c>
      <c r="Q87">
        <f t="shared" si="51"/>
        <v>0</v>
      </c>
      <c r="R87">
        <f t="shared" si="51"/>
        <v>0</v>
      </c>
      <c r="S87">
        <f t="shared" si="51"/>
        <v>0</v>
      </c>
      <c r="T87">
        <f t="shared" si="51"/>
        <v>0</v>
      </c>
      <c r="U87">
        <f t="shared" si="51"/>
        <v>0</v>
      </c>
      <c r="V87">
        <f t="shared" si="51"/>
        <v>0</v>
      </c>
      <c r="W87">
        <f t="shared" si="51"/>
        <v>0</v>
      </c>
      <c r="X87">
        <f t="shared" si="51"/>
        <v>0</v>
      </c>
      <c r="Y87">
        <f t="shared" si="51"/>
        <v>0</v>
      </c>
      <c r="Z87">
        <f>AQ24</f>
        <v>0</v>
      </c>
      <c r="AA87">
        <f t="shared" si="53"/>
        <v>0</v>
      </c>
      <c r="AB87">
        <f t="shared" si="53"/>
        <v>0</v>
      </c>
      <c r="AC87">
        <f t="shared" si="53"/>
        <v>0</v>
      </c>
      <c r="AD87">
        <f t="shared" si="53"/>
        <v>0</v>
      </c>
      <c r="AE87">
        <f t="shared" si="53"/>
        <v>0</v>
      </c>
      <c r="AF87">
        <f t="shared" si="53"/>
        <v>0</v>
      </c>
      <c r="AG87">
        <f t="shared" si="53"/>
        <v>0</v>
      </c>
      <c r="AH87">
        <f t="shared" si="53"/>
        <v>0</v>
      </c>
      <c r="AI87">
        <f t="shared" si="53"/>
        <v>0</v>
      </c>
      <c r="AJ87">
        <f t="shared" si="53"/>
        <v>0</v>
      </c>
      <c r="AK87">
        <f t="shared" si="53"/>
        <v>0</v>
      </c>
      <c r="AL87">
        <f t="shared" si="53"/>
        <v>0</v>
      </c>
      <c r="AM87">
        <f t="shared" si="53"/>
        <v>0</v>
      </c>
      <c r="AN87">
        <f t="shared" si="53"/>
        <v>0</v>
      </c>
      <c r="AO87">
        <f t="shared" si="53"/>
        <v>0</v>
      </c>
      <c r="AP87">
        <f t="shared" si="53"/>
        <v>0</v>
      </c>
      <c r="AQ87">
        <f t="shared" si="53"/>
        <v>0</v>
      </c>
      <c r="AR87">
        <f>F87+H87+I87+J87+K87+L87+M87+N87+P87</f>
        <v>0</v>
      </c>
      <c r="AS87">
        <f>D87+O116-AR87</f>
        <v>0</v>
      </c>
    </row>
    <row r="88" spans="1:45" ht="20.25" customHeight="1">
      <c r="A88">
        <v>2</v>
      </c>
      <c r="B88" t="s">
        <v>45</v>
      </c>
      <c r="C88" t="s">
        <v>46</v>
      </c>
      <c r="D88">
        <f>SUM(D89:D114)</f>
        <v>463.99950000000001</v>
      </c>
      <c r="E88">
        <f t="shared" ref="E88:AS88" si="54">SUM(E89:E114)</f>
        <v>25.23</v>
      </c>
      <c r="F88">
        <f t="shared" si="54"/>
        <v>0</v>
      </c>
      <c r="G88">
        <f t="shared" si="54"/>
        <v>0</v>
      </c>
      <c r="H88">
        <f t="shared" si="54"/>
        <v>0</v>
      </c>
      <c r="I88">
        <f t="shared" si="54"/>
        <v>0</v>
      </c>
      <c r="J88">
        <f t="shared" si="54"/>
        <v>0</v>
      </c>
      <c r="K88">
        <f t="shared" si="54"/>
        <v>0</v>
      </c>
      <c r="L88">
        <f t="shared" si="54"/>
        <v>0</v>
      </c>
      <c r="M88">
        <f t="shared" si="54"/>
        <v>25.23</v>
      </c>
      <c r="N88">
        <f t="shared" si="54"/>
        <v>0</v>
      </c>
      <c r="O88">
        <f t="shared" si="54"/>
        <v>0</v>
      </c>
      <c r="P88">
        <f t="shared" si="54"/>
        <v>438.76949999999999</v>
      </c>
      <c r="Q88">
        <f t="shared" si="54"/>
        <v>9.11</v>
      </c>
      <c r="R88">
        <f t="shared" si="54"/>
        <v>1.19</v>
      </c>
      <c r="S88">
        <f t="shared" si="54"/>
        <v>0</v>
      </c>
      <c r="T88">
        <f t="shared" si="54"/>
        <v>0</v>
      </c>
      <c r="U88">
        <f t="shared" si="54"/>
        <v>0</v>
      </c>
      <c r="V88">
        <f t="shared" si="54"/>
        <v>84.41</v>
      </c>
      <c r="W88">
        <f t="shared" si="54"/>
        <v>0</v>
      </c>
      <c r="X88">
        <f t="shared" si="54"/>
        <v>0</v>
      </c>
      <c r="Y88">
        <f t="shared" si="54"/>
        <v>166.7595</v>
      </c>
      <c r="Z88">
        <f t="shared" si="54"/>
        <v>0.17</v>
      </c>
      <c r="AA88">
        <f t="shared" si="54"/>
        <v>0</v>
      </c>
      <c r="AB88">
        <f t="shared" si="54"/>
        <v>0</v>
      </c>
      <c r="AC88">
        <f t="shared" si="54"/>
        <v>0</v>
      </c>
      <c r="AD88">
        <f t="shared" si="54"/>
        <v>33.65</v>
      </c>
      <c r="AE88">
        <f t="shared" si="54"/>
        <v>0.3</v>
      </c>
      <c r="AF88">
        <f t="shared" si="54"/>
        <v>0</v>
      </c>
      <c r="AG88">
        <f t="shared" si="54"/>
        <v>0</v>
      </c>
      <c r="AH88">
        <f t="shared" si="54"/>
        <v>2</v>
      </c>
      <c r="AI88">
        <f t="shared" si="54"/>
        <v>34.43</v>
      </c>
      <c r="AJ88">
        <f t="shared" si="54"/>
        <v>0.04</v>
      </c>
      <c r="AK88">
        <f t="shared" si="54"/>
        <v>0.44</v>
      </c>
      <c r="AL88">
        <f t="shared" si="54"/>
        <v>0</v>
      </c>
      <c r="AM88">
        <f t="shared" si="54"/>
        <v>1.65</v>
      </c>
      <c r="AN88">
        <f t="shared" si="54"/>
        <v>104.61999999999999</v>
      </c>
      <c r="AO88">
        <f t="shared" si="54"/>
        <v>0</v>
      </c>
      <c r="AP88">
        <f t="shared" si="54"/>
        <v>0</v>
      </c>
      <c r="AQ88">
        <f t="shared" si="54"/>
        <v>0</v>
      </c>
      <c r="AR88">
        <f>E88+AQ88</f>
        <v>25.23</v>
      </c>
      <c r="AS88">
        <f t="shared" si="54"/>
        <v>441.55950000000001</v>
      </c>
    </row>
    <row r="89" spans="1:45" ht="20.25" customHeight="1">
      <c r="A89" t="s">
        <v>47</v>
      </c>
      <c r="B89" t="s">
        <v>48</v>
      </c>
      <c r="C89" t="s">
        <v>49</v>
      </c>
      <c r="D89">
        <f>D26</f>
        <v>7.87</v>
      </c>
      <c r="E89">
        <f t="shared" si="38"/>
        <v>0</v>
      </c>
      <c r="F89">
        <f>H26</f>
        <v>0</v>
      </c>
      <c r="G89">
        <f>I26</f>
        <v>0</v>
      </c>
      <c r="H89">
        <f>M26</f>
        <v>0</v>
      </c>
      <c r="I89">
        <f>N26</f>
        <v>0</v>
      </c>
      <c r="J89">
        <f t="shared" ref="J89:O97" si="55">P26</f>
        <v>0</v>
      </c>
      <c r="K89">
        <f t="shared" si="55"/>
        <v>0</v>
      </c>
      <c r="L89">
        <f t="shared" si="55"/>
        <v>0</v>
      </c>
      <c r="M89">
        <f t="shared" si="55"/>
        <v>0</v>
      </c>
      <c r="N89">
        <f t="shared" si="55"/>
        <v>0</v>
      </c>
      <c r="O89">
        <f t="shared" si="55"/>
        <v>0</v>
      </c>
      <c r="P89">
        <f>SUM(Q89:AP89)</f>
        <v>7.87</v>
      </c>
      <c r="Q89">
        <f>D89-AR89</f>
        <v>7.87</v>
      </c>
      <c r="R89">
        <f t="shared" ref="R89:Y89" si="56">X26</f>
        <v>0</v>
      </c>
      <c r="S89">
        <f t="shared" si="56"/>
        <v>0</v>
      </c>
      <c r="T89">
        <f t="shared" si="56"/>
        <v>0</v>
      </c>
      <c r="U89">
        <f t="shared" si="56"/>
        <v>0</v>
      </c>
      <c r="V89">
        <f t="shared" si="56"/>
        <v>0</v>
      </c>
      <c r="W89">
        <f t="shared" si="56"/>
        <v>0</v>
      </c>
      <c r="X89">
        <f t="shared" si="56"/>
        <v>0</v>
      </c>
      <c r="Y89">
        <f t="shared" si="56"/>
        <v>0</v>
      </c>
      <c r="Z89">
        <f t="shared" ref="Z89:AP89" si="57">AQ26</f>
        <v>0</v>
      </c>
      <c r="AA89">
        <f t="shared" si="57"/>
        <v>0</v>
      </c>
      <c r="AB89">
        <f t="shared" si="57"/>
        <v>0</v>
      </c>
      <c r="AC89">
        <f t="shared" si="57"/>
        <v>0</v>
      </c>
      <c r="AD89">
        <f t="shared" si="57"/>
        <v>0</v>
      </c>
      <c r="AE89">
        <f t="shared" si="57"/>
        <v>0</v>
      </c>
      <c r="AF89">
        <f t="shared" si="57"/>
        <v>0</v>
      </c>
      <c r="AG89">
        <f t="shared" si="57"/>
        <v>0</v>
      </c>
      <c r="AH89">
        <f t="shared" si="57"/>
        <v>0</v>
      </c>
      <c r="AI89">
        <f t="shared" si="57"/>
        <v>0</v>
      </c>
      <c r="AJ89">
        <f t="shared" si="57"/>
        <v>0</v>
      </c>
      <c r="AK89">
        <f t="shared" si="57"/>
        <v>0</v>
      </c>
      <c r="AL89">
        <f t="shared" si="57"/>
        <v>0</v>
      </c>
      <c r="AM89">
        <f t="shared" si="57"/>
        <v>0</v>
      </c>
      <c r="AN89">
        <f t="shared" si="57"/>
        <v>0</v>
      </c>
      <c r="AO89">
        <f t="shared" si="57"/>
        <v>0</v>
      </c>
      <c r="AP89">
        <f t="shared" si="57"/>
        <v>0</v>
      </c>
      <c r="AQ89">
        <f t="shared" ref="AA89:AQ97" si="58">BH26</f>
        <v>0</v>
      </c>
      <c r="AR89">
        <f>E89+R89+S89+T89+U89+V89+W89+X89+Y89+Z89+AA89+AB89+AC89+AD89+AE89+AF89+AG89+AH89+AI89+AJ89+AK89+AL89+AM89+AN89+AO89+AP89+AQ89</f>
        <v>0</v>
      </c>
      <c r="AS89">
        <f>D89+Q116-AR89</f>
        <v>10.07</v>
      </c>
    </row>
    <row r="90" spans="1:45" ht="20.25" customHeight="1">
      <c r="A90" t="s">
        <v>50</v>
      </c>
      <c r="B90" t="s">
        <v>51</v>
      </c>
      <c r="C90" t="s">
        <v>52</v>
      </c>
      <c r="D90">
        <f t="shared" ref="D90:D97" si="59">D27</f>
        <v>1.19</v>
      </c>
      <c r="E90">
        <f t="shared" si="38"/>
        <v>0</v>
      </c>
      <c r="F90">
        <f t="shared" ref="F90:G97" si="60">H27</f>
        <v>0</v>
      </c>
      <c r="G90">
        <f t="shared" si="60"/>
        <v>0</v>
      </c>
      <c r="H90">
        <f t="shared" ref="H90:I97" si="61">M27</f>
        <v>0</v>
      </c>
      <c r="I90">
        <f t="shared" si="61"/>
        <v>0</v>
      </c>
      <c r="J90">
        <f t="shared" si="55"/>
        <v>0</v>
      </c>
      <c r="K90">
        <f t="shared" si="55"/>
        <v>0</v>
      </c>
      <c r="L90">
        <f t="shared" si="55"/>
        <v>0</v>
      </c>
      <c r="M90">
        <f t="shared" si="55"/>
        <v>0</v>
      </c>
      <c r="N90">
        <f t="shared" si="55"/>
        <v>0</v>
      </c>
      <c r="O90">
        <f t="shared" si="55"/>
        <v>0</v>
      </c>
      <c r="P90">
        <f t="shared" ref="P90:P114" si="62">SUM(Q90:AP90)</f>
        <v>1.19</v>
      </c>
      <c r="Q90">
        <f>W27</f>
        <v>0</v>
      </c>
      <c r="R90">
        <f>D90-AR90</f>
        <v>1.19</v>
      </c>
      <c r="S90">
        <f t="shared" ref="S90:Y90" si="63">Y27</f>
        <v>0</v>
      </c>
      <c r="T90">
        <f t="shared" si="63"/>
        <v>0</v>
      </c>
      <c r="U90">
        <f t="shared" si="63"/>
        <v>0</v>
      </c>
      <c r="V90">
        <f t="shared" si="63"/>
        <v>0</v>
      </c>
      <c r="W90">
        <f t="shared" si="63"/>
        <v>0</v>
      </c>
      <c r="X90">
        <f t="shared" si="63"/>
        <v>0</v>
      </c>
      <c r="Y90">
        <f t="shared" si="63"/>
        <v>0</v>
      </c>
      <c r="Z90">
        <f t="shared" ref="Z90:Z97" si="64">AQ27</f>
        <v>0</v>
      </c>
      <c r="AA90">
        <f t="shared" si="58"/>
        <v>0</v>
      </c>
      <c r="AB90">
        <f t="shared" si="58"/>
        <v>0</v>
      </c>
      <c r="AC90">
        <f t="shared" si="58"/>
        <v>0</v>
      </c>
      <c r="AD90">
        <f t="shared" si="58"/>
        <v>0</v>
      </c>
      <c r="AE90">
        <f t="shared" si="58"/>
        <v>0</v>
      </c>
      <c r="AF90">
        <f t="shared" si="58"/>
        <v>0</v>
      </c>
      <c r="AG90">
        <f t="shared" si="58"/>
        <v>0</v>
      </c>
      <c r="AH90">
        <f t="shared" si="58"/>
        <v>0</v>
      </c>
      <c r="AI90">
        <f t="shared" si="58"/>
        <v>0</v>
      </c>
      <c r="AJ90">
        <f t="shared" si="58"/>
        <v>0</v>
      </c>
      <c r="AK90">
        <f t="shared" si="58"/>
        <v>0</v>
      </c>
      <c r="AL90">
        <f t="shared" si="58"/>
        <v>0</v>
      </c>
      <c r="AM90">
        <f t="shared" si="58"/>
        <v>0</v>
      </c>
      <c r="AN90">
        <f t="shared" si="58"/>
        <v>0</v>
      </c>
      <c r="AO90">
        <f t="shared" si="58"/>
        <v>0</v>
      </c>
      <c r="AP90">
        <f t="shared" si="58"/>
        <v>0</v>
      </c>
      <c r="AQ90">
        <f t="shared" si="58"/>
        <v>0</v>
      </c>
      <c r="AR90">
        <f>E90+Q90+S90+T90+U90+V90+W90+X90+Y90+Z90+AA90+AB90+AC90+AD90+AE90+AF90+AG90+AH90+AI90+AJ90+AK90+AL90+AM90+AN90+AO90+AP90+AQ90</f>
        <v>0</v>
      </c>
      <c r="AS90">
        <f>D90+R116-AR90</f>
        <v>1.19</v>
      </c>
    </row>
    <row r="91" spans="1:45" ht="20.25" customHeight="1">
      <c r="A91" t="s">
        <v>53</v>
      </c>
      <c r="B91" t="s">
        <v>54</v>
      </c>
      <c r="C91" t="s">
        <v>55</v>
      </c>
      <c r="D91">
        <f t="shared" si="59"/>
        <v>0</v>
      </c>
      <c r="E91">
        <f t="shared" si="38"/>
        <v>0</v>
      </c>
      <c r="F91">
        <f t="shared" si="60"/>
        <v>0</v>
      </c>
      <c r="G91">
        <f t="shared" si="60"/>
        <v>0</v>
      </c>
      <c r="H91">
        <f t="shared" si="61"/>
        <v>0</v>
      </c>
      <c r="I91">
        <f t="shared" si="61"/>
        <v>0</v>
      </c>
      <c r="J91">
        <f t="shared" si="55"/>
        <v>0</v>
      </c>
      <c r="K91">
        <f t="shared" si="55"/>
        <v>0</v>
      </c>
      <c r="L91">
        <f t="shared" si="55"/>
        <v>0</v>
      </c>
      <c r="M91">
        <f t="shared" si="55"/>
        <v>0</v>
      </c>
      <c r="N91">
        <f t="shared" si="55"/>
        <v>0</v>
      </c>
      <c r="O91">
        <f t="shared" si="55"/>
        <v>0</v>
      </c>
      <c r="P91">
        <f t="shared" si="62"/>
        <v>0</v>
      </c>
      <c r="Q91">
        <f t="shared" ref="Q91:S97" si="65">W28</f>
        <v>0</v>
      </c>
      <c r="R91">
        <f>X28</f>
        <v>0</v>
      </c>
      <c r="S91">
        <f>D91-AR91</f>
        <v>0</v>
      </c>
      <c r="T91">
        <f t="shared" ref="T91:Y91" si="66">Z28</f>
        <v>0</v>
      </c>
      <c r="U91">
        <f t="shared" si="66"/>
        <v>0</v>
      </c>
      <c r="V91">
        <f t="shared" si="66"/>
        <v>0</v>
      </c>
      <c r="W91">
        <f t="shared" si="66"/>
        <v>0</v>
      </c>
      <c r="X91">
        <f t="shared" si="66"/>
        <v>0</v>
      </c>
      <c r="Y91">
        <f t="shared" si="66"/>
        <v>0</v>
      </c>
      <c r="Z91">
        <f t="shared" si="64"/>
        <v>0</v>
      </c>
      <c r="AA91">
        <f t="shared" si="58"/>
        <v>0</v>
      </c>
      <c r="AB91">
        <f t="shared" si="58"/>
        <v>0</v>
      </c>
      <c r="AC91">
        <f t="shared" si="58"/>
        <v>0</v>
      </c>
      <c r="AD91">
        <f t="shared" si="58"/>
        <v>0</v>
      </c>
      <c r="AE91">
        <f t="shared" si="58"/>
        <v>0</v>
      </c>
      <c r="AF91">
        <f t="shared" si="58"/>
        <v>0</v>
      </c>
      <c r="AG91">
        <f t="shared" si="58"/>
        <v>0</v>
      </c>
      <c r="AH91">
        <f t="shared" si="58"/>
        <v>0</v>
      </c>
      <c r="AI91">
        <f t="shared" si="58"/>
        <v>0</v>
      </c>
      <c r="AJ91">
        <f t="shared" si="58"/>
        <v>0</v>
      </c>
      <c r="AK91">
        <f t="shared" si="58"/>
        <v>0</v>
      </c>
      <c r="AL91">
        <f t="shared" si="58"/>
        <v>0</v>
      </c>
      <c r="AM91">
        <f t="shared" si="58"/>
        <v>0</v>
      </c>
      <c r="AN91">
        <f t="shared" si="58"/>
        <v>0</v>
      </c>
      <c r="AO91">
        <f t="shared" si="58"/>
        <v>0</v>
      </c>
      <c r="AP91">
        <f t="shared" si="58"/>
        <v>0</v>
      </c>
      <c r="AQ91">
        <f t="shared" si="58"/>
        <v>0</v>
      </c>
      <c r="AR91">
        <f>E91+Q91+R91+T91+U91+V91+W91+X91+Y91+Z91+AA91+AB91+AC91+AD91+AE91+AF91+AG91+AH91+AI91+AJ91+AK91+AL91+AM91+AN91+AO91+AP91+AQ91</f>
        <v>0</v>
      </c>
      <c r="AS91">
        <f>D91+S116-AR91</f>
        <v>0</v>
      </c>
    </row>
    <row r="92" spans="1:45" ht="20.25" customHeight="1">
      <c r="A92" t="s">
        <v>56</v>
      </c>
      <c r="B92" t="s">
        <v>57</v>
      </c>
      <c r="C92" t="s">
        <v>58</v>
      </c>
      <c r="D92">
        <f t="shared" si="59"/>
        <v>0</v>
      </c>
      <c r="E92">
        <f t="shared" si="38"/>
        <v>0</v>
      </c>
      <c r="F92">
        <f t="shared" si="60"/>
        <v>0</v>
      </c>
      <c r="G92">
        <f t="shared" si="60"/>
        <v>0</v>
      </c>
      <c r="H92">
        <f t="shared" si="61"/>
        <v>0</v>
      </c>
      <c r="I92">
        <f t="shared" si="61"/>
        <v>0</v>
      </c>
      <c r="J92">
        <f t="shared" si="55"/>
        <v>0</v>
      </c>
      <c r="K92">
        <f t="shared" si="55"/>
        <v>0</v>
      </c>
      <c r="L92">
        <f t="shared" si="55"/>
        <v>0</v>
      </c>
      <c r="M92">
        <f t="shared" si="55"/>
        <v>0</v>
      </c>
      <c r="N92">
        <f t="shared" si="55"/>
        <v>0</v>
      </c>
      <c r="O92">
        <f t="shared" si="55"/>
        <v>0</v>
      </c>
      <c r="P92">
        <f t="shared" si="62"/>
        <v>0</v>
      </c>
      <c r="Q92">
        <f t="shared" si="65"/>
        <v>0</v>
      </c>
      <c r="R92">
        <f t="shared" si="65"/>
        <v>0</v>
      </c>
      <c r="S92">
        <f t="shared" si="65"/>
        <v>0</v>
      </c>
      <c r="T92">
        <f>D92-AR92</f>
        <v>0</v>
      </c>
      <c r="U92">
        <f>AA29</f>
        <v>0</v>
      </c>
      <c r="V92">
        <f>AB29</f>
        <v>0</v>
      </c>
      <c r="W92">
        <f>AC29</f>
        <v>0</v>
      </c>
      <c r="X92">
        <f>AD29</f>
        <v>0</v>
      </c>
      <c r="Y92">
        <f>AE29</f>
        <v>0</v>
      </c>
      <c r="Z92">
        <f t="shared" si="64"/>
        <v>0</v>
      </c>
      <c r="AA92">
        <f t="shared" si="58"/>
        <v>0</v>
      </c>
      <c r="AB92">
        <f t="shared" si="58"/>
        <v>0</v>
      </c>
      <c r="AC92">
        <f t="shared" si="58"/>
        <v>0</v>
      </c>
      <c r="AD92">
        <f t="shared" si="58"/>
        <v>0</v>
      </c>
      <c r="AE92">
        <f t="shared" si="58"/>
        <v>0</v>
      </c>
      <c r="AF92">
        <f t="shared" si="58"/>
        <v>0</v>
      </c>
      <c r="AG92">
        <f t="shared" si="58"/>
        <v>0</v>
      </c>
      <c r="AH92">
        <f t="shared" si="58"/>
        <v>0</v>
      </c>
      <c r="AI92">
        <f t="shared" si="58"/>
        <v>0</v>
      </c>
      <c r="AJ92">
        <f t="shared" si="58"/>
        <v>0</v>
      </c>
      <c r="AK92">
        <f t="shared" si="58"/>
        <v>0</v>
      </c>
      <c r="AL92">
        <f t="shared" si="58"/>
        <v>0</v>
      </c>
      <c r="AM92">
        <f t="shared" si="58"/>
        <v>0</v>
      </c>
      <c r="AN92">
        <f t="shared" si="58"/>
        <v>0</v>
      </c>
      <c r="AO92">
        <f t="shared" si="58"/>
        <v>0</v>
      </c>
      <c r="AP92">
        <f t="shared" si="58"/>
        <v>0</v>
      </c>
      <c r="AQ92">
        <f t="shared" si="58"/>
        <v>0</v>
      </c>
      <c r="AR92">
        <f>E92+Q92+R92+S92+U92+V92+W92+X92+Y92+Z92+AA92+AB92+AC92+AD92+AE92+AF92+AG92+AH92+AI92+AJ92+AK92+AL92+AM92+AN92+AO92+AP92+AQ92</f>
        <v>0</v>
      </c>
      <c r="AS92">
        <f>D92+T116-AR92</f>
        <v>0</v>
      </c>
    </row>
    <row r="93" spans="1:45" ht="20.25" customHeight="1">
      <c r="A93" t="s">
        <v>59</v>
      </c>
      <c r="B93" t="s">
        <v>60</v>
      </c>
      <c r="C93" t="s">
        <v>61</v>
      </c>
      <c r="D93">
        <f t="shared" si="59"/>
        <v>0</v>
      </c>
      <c r="E93">
        <f t="shared" si="38"/>
        <v>0</v>
      </c>
      <c r="F93">
        <f t="shared" si="60"/>
        <v>0</v>
      </c>
      <c r="G93">
        <f t="shared" si="60"/>
        <v>0</v>
      </c>
      <c r="H93">
        <f t="shared" si="61"/>
        <v>0</v>
      </c>
      <c r="I93">
        <f t="shared" si="61"/>
        <v>0</v>
      </c>
      <c r="J93">
        <f t="shared" si="55"/>
        <v>0</v>
      </c>
      <c r="K93">
        <f t="shared" si="55"/>
        <v>0</v>
      </c>
      <c r="L93">
        <f t="shared" si="55"/>
        <v>0</v>
      </c>
      <c r="M93">
        <f t="shared" si="55"/>
        <v>0</v>
      </c>
      <c r="N93">
        <f t="shared" si="55"/>
        <v>0</v>
      </c>
      <c r="O93">
        <f t="shared" si="55"/>
        <v>0</v>
      </c>
      <c r="P93">
        <f t="shared" si="62"/>
        <v>0</v>
      </c>
      <c r="Q93">
        <f t="shared" si="65"/>
        <v>0</v>
      </c>
      <c r="R93">
        <f t="shared" si="65"/>
        <v>0</v>
      </c>
      <c r="S93">
        <f t="shared" si="65"/>
        <v>0</v>
      </c>
      <c r="T93">
        <f>Z30</f>
        <v>0</v>
      </c>
      <c r="U93">
        <f>D93-AR93</f>
        <v>0</v>
      </c>
      <c r="V93">
        <f>AB30</f>
        <v>0</v>
      </c>
      <c r="W93">
        <f>AC30</f>
        <v>0</v>
      </c>
      <c r="X93">
        <f>AD30</f>
        <v>0</v>
      </c>
      <c r="Y93">
        <f>AE30</f>
        <v>0</v>
      </c>
      <c r="Z93">
        <f t="shared" si="64"/>
        <v>0</v>
      </c>
      <c r="AA93">
        <f t="shared" si="58"/>
        <v>0</v>
      </c>
      <c r="AB93">
        <f t="shared" si="58"/>
        <v>0</v>
      </c>
      <c r="AC93">
        <f t="shared" si="58"/>
        <v>0</v>
      </c>
      <c r="AD93">
        <f t="shared" si="58"/>
        <v>0</v>
      </c>
      <c r="AE93">
        <f t="shared" si="58"/>
        <v>0</v>
      </c>
      <c r="AF93">
        <f t="shared" si="58"/>
        <v>0</v>
      </c>
      <c r="AG93">
        <f t="shared" si="58"/>
        <v>0</v>
      </c>
      <c r="AH93">
        <f t="shared" si="58"/>
        <v>0</v>
      </c>
      <c r="AI93">
        <f t="shared" si="58"/>
        <v>0</v>
      </c>
      <c r="AJ93">
        <f t="shared" si="58"/>
        <v>0</v>
      </c>
      <c r="AK93">
        <f t="shared" si="58"/>
        <v>0</v>
      </c>
      <c r="AL93">
        <f t="shared" si="58"/>
        <v>0</v>
      </c>
      <c r="AM93">
        <f t="shared" si="58"/>
        <v>0</v>
      </c>
      <c r="AN93">
        <f t="shared" si="58"/>
        <v>0</v>
      </c>
      <c r="AO93">
        <f t="shared" si="58"/>
        <v>0</v>
      </c>
      <c r="AP93">
        <f t="shared" si="58"/>
        <v>0</v>
      </c>
      <c r="AQ93">
        <f t="shared" si="58"/>
        <v>0</v>
      </c>
      <c r="AR93">
        <f>E93+Q93+R93+S93+T93+V93+W93+X93+Y93+Z93+AA93+AB93+AC93+AD93+AE93+AF93+AG93+AH93+AI93+AJ93+AK93+AL93+AM93+AN93+AO93+AP93+AQ93</f>
        <v>0</v>
      </c>
      <c r="AS93">
        <f>D93+U116-AR93</f>
        <v>0</v>
      </c>
    </row>
    <row r="94" spans="1:45" ht="20.25" customHeight="1">
      <c r="A94" t="s">
        <v>62</v>
      </c>
      <c r="B94" t="s">
        <v>63</v>
      </c>
      <c r="C94" t="s">
        <v>64</v>
      </c>
      <c r="D94">
        <f t="shared" si="59"/>
        <v>87.67</v>
      </c>
      <c r="E94">
        <f t="shared" si="38"/>
        <v>0</v>
      </c>
      <c r="F94">
        <f t="shared" si="60"/>
        <v>0</v>
      </c>
      <c r="G94">
        <f t="shared" si="60"/>
        <v>0</v>
      </c>
      <c r="H94">
        <f t="shared" si="61"/>
        <v>0</v>
      </c>
      <c r="I94">
        <f t="shared" si="61"/>
        <v>0</v>
      </c>
      <c r="J94">
        <f t="shared" si="55"/>
        <v>0</v>
      </c>
      <c r="K94">
        <f t="shared" si="55"/>
        <v>0</v>
      </c>
      <c r="L94">
        <f t="shared" si="55"/>
        <v>0</v>
      </c>
      <c r="M94">
        <f t="shared" si="55"/>
        <v>0</v>
      </c>
      <c r="N94">
        <f t="shared" si="55"/>
        <v>0</v>
      </c>
      <c r="O94">
        <f t="shared" si="55"/>
        <v>0</v>
      </c>
      <c r="P94">
        <f t="shared" si="62"/>
        <v>87.669999999999987</v>
      </c>
      <c r="Q94">
        <f t="shared" si="65"/>
        <v>1.07</v>
      </c>
      <c r="R94">
        <f t="shared" si="65"/>
        <v>0</v>
      </c>
      <c r="S94">
        <f t="shared" si="65"/>
        <v>0</v>
      </c>
      <c r="T94">
        <f>Z31</f>
        <v>0</v>
      </c>
      <c r="U94">
        <f>AA31</f>
        <v>0</v>
      </c>
      <c r="V94">
        <f>D94-AR94</f>
        <v>84.41</v>
      </c>
      <c r="W94">
        <f>AC31</f>
        <v>0</v>
      </c>
      <c r="X94">
        <f>AD31</f>
        <v>0</v>
      </c>
      <c r="Y94">
        <f>AE31</f>
        <v>2.19</v>
      </c>
      <c r="Z94">
        <f t="shared" si="64"/>
        <v>0</v>
      </c>
      <c r="AA94">
        <f t="shared" si="58"/>
        <v>0</v>
      </c>
      <c r="AB94">
        <f t="shared" si="58"/>
        <v>0</v>
      </c>
      <c r="AC94">
        <f t="shared" si="58"/>
        <v>0</v>
      </c>
      <c r="AD94">
        <f t="shared" si="58"/>
        <v>0</v>
      </c>
      <c r="AE94">
        <f t="shared" si="58"/>
        <v>0</v>
      </c>
      <c r="AF94">
        <f t="shared" si="58"/>
        <v>0</v>
      </c>
      <c r="AG94">
        <f t="shared" si="58"/>
        <v>0</v>
      </c>
      <c r="AH94">
        <f t="shared" si="58"/>
        <v>0</v>
      </c>
      <c r="AI94">
        <f t="shared" si="58"/>
        <v>0</v>
      </c>
      <c r="AJ94">
        <f t="shared" si="58"/>
        <v>0</v>
      </c>
      <c r="AK94">
        <f t="shared" si="58"/>
        <v>0</v>
      </c>
      <c r="AL94">
        <f t="shared" si="58"/>
        <v>0</v>
      </c>
      <c r="AM94">
        <f t="shared" si="58"/>
        <v>0</v>
      </c>
      <c r="AN94">
        <f t="shared" si="58"/>
        <v>0</v>
      </c>
      <c r="AO94">
        <f t="shared" si="58"/>
        <v>0</v>
      </c>
      <c r="AP94">
        <f t="shared" si="58"/>
        <v>0</v>
      </c>
      <c r="AQ94">
        <f t="shared" si="58"/>
        <v>0</v>
      </c>
      <c r="AR94">
        <f>E94+Q94+R94+S94+T94+U94+W94+X94+Y94+Z94+AA94+AB94+AC94+AD94+AE94+AF94+AG94+AH94+AI94+AJ94+AK94+AL94+AM94+AN94+AO94+AP94+AQ94</f>
        <v>3.26</v>
      </c>
      <c r="AS94">
        <f>D94+V116-AR94</f>
        <v>84.41</v>
      </c>
    </row>
    <row r="95" spans="1:45" ht="20.25" customHeight="1">
      <c r="A95" t="s">
        <v>65</v>
      </c>
      <c r="B95" t="s">
        <v>66</v>
      </c>
      <c r="C95" t="s">
        <v>67</v>
      </c>
      <c r="D95">
        <f t="shared" si="59"/>
        <v>0</v>
      </c>
      <c r="E95">
        <f t="shared" si="38"/>
        <v>0</v>
      </c>
      <c r="F95">
        <f t="shared" si="60"/>
        <v>0</v>
      </c>
      <c r="G95">
        <f t="shared" si="60"/>
        <v>0</v>
      </c>
      <c r="H95">
        <f t="shared" si="61"/>
        <v>0</v>
      </c>
      <c r="I95">
        <f t="shared" si="61"/>
        <v>0</v>
      </c>
      <c r="J95">
        <f t="shared" si="55"/>
        <v>0</v>
      </c>
      <c r="K95">
        <f t="shared" si="55"/>
        <v>0</v>
      </c>
      <c r="L95">
        <f t="shared" si="55"/>
        <v>0</v>
      </c>
      <c r="M95">
        <f t="shared" si="55"/>
        <v>0</v>
      </c>
      <c r="N95">
        <f t="shared" si="55"/>
        <v>0</v>
      </c>
      <c r="O95">
        <f t="shared" si="55"/>
        <v>0</v>
      </c>
      <c r="P95">
        <f t="shared" si="62"/>
        <v>0</v>
      </c>
      <c r="Q95">
        <f t="shared" si="65"/>
        <v>0</v>
      </c>
      <c r="R95">
        <f t="shared" si="65"/>
        <v>0</v>
      </c>
      <c r="S95">
        <f t="shared" si="65"/>
        <v>0</v>
      </c>
      <c r="T95">
        <f>Z32</f>
        <v>0</v>
      </c>
      <c r="U95">
        <f>AA32</f>
        <v>0</v>
      </c>
      <c r="V95">
        <f>AB32</f>
        <v>0</v>
      </c>
      <c r="W95">
        <f>D95-AR95</f>
        <v>0</v>
      </c>
      <c r="X95">
        <f>AD32</f>
        <v>0</v>
      </c>
      <c r="Y95">
        <f>AE32</f>
        <v>0</v>
      </c>
      <c r="Z95">
        <f t="shared" si="64"/>
        <v>0</v>
      </c>
      <c r="AA95">
        <f t="shared" si="58"/>
        <v>0</v>
      </c>
      <c r="AB95">
        <f t="shared" si="58"/>
        <v>0</v>
      </c>
      <c r="AC95">
        <f t="shared" si="58"/>
        <v>0</v>
      </c>
      <c r="AD95">
        <f t="shared" si="58"/>
        <v>0</v>
      </c>
      <c r="AE95">
        <f t="shared" si="58"/>
        <v>0</v>
      </c>
      <c r="AF95">
        <f t="shared" si="58"/>
        <v>0</v>
      </c>
      <c r="AG95">
        <f t="shared" si="58"/>
        <v>0</v>
      </c>
      <c r="AH95">
        <f t="shared" si="58"/>
        <v>0</v>
      </c>
      <c r="AI95">
        <f t="shared" si="58"/>
        <v>0</v>
      </c>
      <c r="AJ95">
        <f t="shared" si="58"/>
        <v>0</v>
      </c>
      <c r="AK95">
        <f t="shared" si="58"/>
        <v>0</v>
      </c>
      <c r="AL95">
        <f t="shared" si="58"/>
        <v>0</v>
      </c>
      <c r="AM95">
        <f t="shared" si="58"/>
        <v>0</v>
      </c>
      <c r="AN95">
        <f t="shared" si="58"/>
        <v>0</v>
      </c>
      <c r="AO95">
        <f t="shared" si="58"/>
        <v>0</v>
      </c>
      <c r="AP95">
        <f t="shared" si="58"/>
        <v>0</v>
      </c>
      <c r="AQ95">
        <f t="shared" si="58"/>
        <v>0</v>
      </c>
      <c r="AR95">
        <f>E95+Q95+R95+S95+T95+U95+V95+X95+Y95+Z95+AA95+AB95+AC95+AD95+AE95+AF95+AG95+AH95+AI95+AJ95+AK95+AL95+AM95+AN95+AO95+AP95+AQ95</f>
        <v>0</v>
      </c>
      <c r="AS95">
        <f>D95+W116-AR95</f>
        <v>0</v>
      </c>
    </row>
    <row r="96" spans="1:45" ht="20.25" customHeight="1">
      <c r="A96" t="s">
        <v>68</v>
      </c>
      <c r="B96" t="s">
        <v>69</v>
      </c>
      <c r="C96" t="s">
        <v>70</v>
      </c>
      <c r="D96">
        <f t="shared" si="59"/>
        <v>0</v>
      </c>
      <c r="E96">
        <f t="shared" si="38"/>
        <v>0</v>
      </c>
      <c r="F96">
        <f t="shared" si="60"/>
        <v>0</v>
      </c>
      <c r="G96">
        <f t="shared" si="60"/>
        <v>0</v>
      </c>
      <c r="H96">
        <f t="shared" si="61"/>
        <v>0</v>
      </c>
      <c r="I96">
        <f t="shared" si="61"/>
        <v>0</v>
      </c>
      <c r="J96">
        <f t="shared" si="55"/>
        <v>0</v>
      </c>
      <c r="K96">
        <f t="shared" si="55"/>
        <v>0</v>
      </c>
      <c r="L96">
        <f t="shared" si="55"/>
        <v>0</v>
      </c>
      <c r="M96">
        <f t="shared" si="55"/>
        <v>0</v>
      </c>
      <c r="N96">
        <f t="shared" si="55"/>
        <v>0</v>
      </c>
      <c r="O96">
        <f t="shared" si="55"/>
        <v>0</v>
      </c>
      <c r="P96">
        <f t="shared" si="62"/>
        <v>0</v>
      </c>
      <c r="Q96">
        <f t="shared" si="65"/>
        <v>0</v>
      </c>
      <c r="R96">
        <f t="shared" si="65"/>
        <v>0</v>
      </c>
      <c r="S96">
        <f t="shared" si="65"/>
        <v>0</v>
      </c>
      <c r="T96">
        <f>Z33</f>
        <v>0</v>
      </c>
      <c r="U96">
        <f>AA33</f>
        <v>0</v>
      </c>
      <c r="V96">
        <f>AB33</f>
        <v>0</v>
      </c>
      <c r="W96">
        <f>AC33</f>
        <v>0</v>
      </c>
      <c r="X96">
        <f>D96-AR96</f>
        <v>0</v>
      </c>
      <c r="Y96">
        <f>AE33</f>
        <v>0</v>
      </c>
      <c r="Z96">
        <f t="shared" si="64"/>
        <v>0</v>
      </c>
      <c r="AA96">
        <f t="shared" si="58"/>
        <v>0</v>
      </c>
      <c r="AB96">
        <f t="shared" si="58"/>
        <v>0</v>
      </c>
      <c r="AC96">
        <f t="shared" si="58"/>
        <v>0</v>
      </c>
      <c r="AD96">
        <f t="shared" si="58"/>
        <v>0</v>
      </c>
      <c r="AE96">
        <f t="shared" si="58"/>
        <v>0</v>
      </c>
      <c r="AF96">
        <f t="shared" si="58"/>
        <v>0</v>
      </c>
      <c r="AG96">
        <f t="shared" si="58"/>
        <v>0</v>
      </c>
      <c r="AH96">
        <f t="shared" si="58"/>
        <v>0</v>
      </c>
      <c r="AI96">
        <f t="shared" si="58"/>
        <v>0</v>
      </c>
      <c r="AJ96">
        <f t="shared" si="58"/>
        <v>0</v>
      </c>
      <c r="AK96">
        <f t="shared" si="58"/>
        <v>0</v>
      </c>
      <c r="AL96">
        <f t="shared" si="58"/>
        <v>0</v>
      </c>
      <c r="AM96">
        <f t="shared" si="58"/>
        <v>0</v>
      </c>
      <c r="AN96">
        <f t="shared" si="58"/>
        <v>0</v>
      </c>
      <c r="AO96">
        <f t="shared" si="58"/>
        <v>0</v>
      </c>
      <c r="AP96">
        <f t="shared" si="58"/>
        <v>0</v>
      </c>
      <c r="AQ96">
        <f t="shared" si="58"/>
        <v>0</v>
      </c>
      <c r="AR96">
        <f>E96+Q96+R96+S96+T96+U96+V96+W96+Y96+Z96+AA96+AB96+AC96+AD96+AE96+AF96+AG96+AH96+AI96+AJ96+AK96+AL96+AM96+AN96+AO96+AP96+AQ96</f>
        <v>0</v>
      </c>
      <c r="AS96">
        <f>D96+X116-AR96</f>
        <v>0</v>
      </c>
    </row>
    <row r="97" spans="1:45" ht="38.25" customHeight="1">
      <c r="A97" t="s">
        <v>71</v>
      </c>
      <c r="B97" t="s">
        <v>135</v>
      </c>
      <c r="C97" t="s">
        <v>72</v>
      </c>
      <c r="D97">
        <f t="shared" si="59"/>
        <v>164.6095</v>
      </c>
      <c r="E97">
        <f t="shared" si="38"/>
        <v>0</v>
      </c>
      <c r="F97">
        <f t="shared" si="60"/>
        <v>0</v>
      </c>
      <c r="G97">
        <f t="shared" si="60"/>
        <v>0</v>
      </c>
      <c r="H97">
        <f t="shared" si="61"/>
        <v>0</v>
      </c>
      <c r="I97">
        <f t="shared" si="61"/>
        <v>0</v>
      </c>
      <c r="J97">
        <f>P34</f>
        <v>0</v>
      </c>
      <c r="K97">
        <f t="shared" si="55"/>
        <v>0</v>
      </c>
      <c r="L97">
        <f t="shared" si="55"/>
        <v>0</v>
      </c>
      <c r="M97">
        <f t="shared" si="55"/>
        <v>0</v>
      </c>
      <c r="N97">
        <f t="shared" si="55"/>
        <v>0</v>
      </c>
      <c r="O97">
        <f t="shared" si="55"/>
        <v>0</v>
      </c>
      <c r="P97">
        <f t="shared" si="62"/>
        <v>164.6095</v>
      </c>
      <c r="Q97">
        <f t="shared" si="65"/>
        <v>0.17</v>
      </c>
      <c r="R97">
        <f t="shared" si="65"/>
        <v>0</v>
      </c>
      <c r="S97">
        <f t="shared" si="65"/>
        <v>0</v>
      </c>
      <c r="T97">
        <f>Z34</f>
        <v>0</v>
      </c>
      <c r="U97">
        <f>AA34</f>
        <v>0</v>
      </c>
      <c r="V97">
        <f>AB34</f>
        <v>0</v>
      </c>
      <c r="W97">
        <f>AC34</f>
        <v>0</v>
      </c>
      <c r="X97">
        <f>AD34</f>
        <v>0</v>
      </c>
      <c r="Y97">
        <f>D97-AR97</f>
        <v>164.3895</v>
      </c>
      <c r="Z97">
        <f t="shared" si="64"/>
        <v>0</v>
      </c>
      <c r="AA97">
        <f t="shared" si="58"/>
        <v>0</v>
      </c>
      <c r="AB97">
        <f t="shared" si="58"/>
        <v>0</v>
      </c>
      <c r="AC97">
        <f t="shared" si="58"/>
        <v>0</v>
      </c>
      <c r="AD97">
        <f t="shared" si="58"/>
        <v>0.05</v>
      </c>
      <c r="AE97">
        <f t="shared" si="58"/>
        <v>0</v>
      </c>
      <c r="AF97">
        <f t="shared" si="58"/>
        <v>0</v>
      </c>
      <c r="AG97">
        <f t="shared" si="58"/>
        <v>0</v>
      </c>
      <c r="AH97">
        <f t="shared" si="58"/>
        <v>0</v>
      </c>
      <c r="AI97">
        <f t="shared" si="58"/>
        <v>0</v>
      </c>
      <c r="AJ97">
        <f t="shared" si="58"/>
        <v>0</v>
      </c>
      <c r="AK97">
        <f t="shared" si="58"/>
        <v>0</v>
      </c>
      <c r="AL97">
        <f t="shared" si="58"/>
        <v>0</v>
      </c>
      <c r="AM97">
        <f t="shared" si="58"/>
        <v>0</v>
      </c>
      <c r="AN97">
        <f t="shared" si="58"/>
        <v>0</v>
      </c>
      <c r="AO97">
        <f t="shared" si="58"/>
        <v>0</v>
      </c>
      <c r="AP97">
        <f t="shared" si="58"/>
        <v>0</v>
      </c>
      <c r="AQ97">
        <f t="shared" si="58"/>
        <v>0</v>
      </c>
      <c r="AR97">
        <f>E97+Q97+R97+S97+T97+U97+V97+W97+X97+Z97+AA97+AB97+AC97+AD97+AE97+AF97+AG97+AH97+AI97+AJ97+AK97+AL97+AM97+AN97+AO97+AP97+AQ97</f>
        <v>0.22000000000000003</v>
      </c>
      <c r="AS97">
        <f>D97+Y116-AR97</f>
        <v>168.08949999999999</v>
      </c>
    </row>
    <row r="98" spans="1:45" ht="20.25" customHeight="1">
      <c r="A98" t="s">
        <v>73</v>
      </c>
      <c r="B98" t="s">
        <v>74</v>
      </c>
      <c r="C98" t="s">
        <v>75</v>
      </c>
      <c r="D98">
        <f>D46</f>
        <v>0.17</v>
      </c>
      <c r="E98">
        <f t="shared" si="38"/>
        <v>0</v>
      </c>
      <c r="F98">
        <f>H46</f>
        <v>0</v>
      </c>
      <c r="G98">
        <f>I46</f>
        <v>0</v>
      </c>
      <c r="H98">
        <f>M46</f>
        <v>0</v>
      </c>
      <c r="I98">
        <f>N46</f>
        <v>0</v>
      </c>
      <c r="J98">
        <f t="shared" ref="J98:O113" si="67">P46</f>
        <v>0</v>
      </c>
      <c r="K98">
        <f t="shared" si="67"/>
        <v>0</v>
      </c>
      <c r="L98">
        <f t="shared" si="67"/>
        <v>0</v>
      </c>
      <c r="M98">
        <f t="shared" si="67"/>
        <v>0</v>
      </c>
      <c r="N98">
        <f t="shared" si="67"/>
        <v>0</v>
      </c>
      <c r="O98">
        <f t="shared" si="67"/>
        <v>0</v>
      </c>
      <c r="P98">
        <f t="shared" si="62"/>
        <v>0.17</v>
      </c>
      <c r="Q98">
        <f t="shared" ref="Q98:Y113" si="68">W46</f>
        <v>0</v>
      </c>
      <c r="R98">
        <f t="shared" si="68"/>
        <v>0</v>
      </c>
      <c r="S98">
        <f t="shared" si="68"/>
        <v>0</v>
      </c>
      <c r="T98">
        <f t="shared" si="68"/>
        <v>0</v>
      </c>
      <c r="U98">
        <f t="shared" si="68"/>
        <v>0</v>
      </c>
      <c r="V98">
        <f t="shared" si="68"/>
        <v>0</v>
      </c>
      <c r="W98">
        <f t="shared" si="68"/>
        <v>0</v>
      </c>
      <c r="X98">
        <f t="shared" si="68"/>
        <v>0</v>
      </c>
      <c r="Y98">
        <f t="shared" si="68"/>
        <v>0</v>
      </c>
      <c r="Z98">
        <f>D98-AR98</f>
        <v>0.17</v>
      </c>
      <c r="AA98">
        <f>AR46</f>
        <v>0</v>
      </c>
      <c r="AB98">
        <f t="shared" ref="AB98:AQ109" si="69">AS46</f>
        <v>0</v>
      </c>
      <c r="AC98">
        <f t="shared" si="69"/>
        <v>0</v>
      </c>
      <c r="AD98">
        <f t="shared" si="69"/>
        <v>0</v>
      </c>
      <c r="AE98">
        <f t="shared" si="69"/>
        <v>0</v>
      </c>
      <c r="AF98">
        <f t="shared" si="69"/>
        <v>0</v>
      </c>
      <c r="AG98">
        <f t="shared" si="69"/>
        <v>0</v>
      </c>
      <c r="AH98">
        <f t="shared" si="69"/>
        <v>0</v>
      </c>
      <c r="AI98">
        <f t="shared" si="69"/>
        <v>0</v>
      </c>
      <c r="AJ98">
        <f t="shared" si="69"/>
        <v>0</v>
      </c>
      <c r="AK98">
        <f t="shared" si="69"/>
        <v>0</v>
      </c>
      <c r="AL98">
        <f t="shared" si="69"/>
        <v>0</v>
      </c>
      <c r="AM98">
        <f t="shared" si="69"/>
        <v>0</v>
      </c>
      <c r="AN98">
        <f t="shared" si="69"/>
        <v>0</v>
      </c>
      <c r="AO98">
        <f t="shared" si="69"/>
        <v>0</v>
      </c>
      <c r="AP98">
        <f t="shared" si="69"/>
        <v>0</v>
      </c>
      <c r="AQ98">
        <f t="shared" si="69"/>
        <v>0</v>
      </c>
      <c r="AR98">
        <f>E98+Q98+R98+S98+T98+U98+V98+W98+X98+Y98+AA98+AB98+AC98+AD98+AE98+AF98+AG98+AH98+AI98+AJ98+AK98+AL98+AM98+AN98+AO98+AP98+AQ98</f>
        <v>0</v>
      </c>
      <c r="AS98">
        <f>D98+Z116-AR98</f>
        <v>0.17</v>
      </c>
    </row>
    <row r="99" spans="1:45" ht="20.25" customHeight="1">
      <c r="A99" t="s">
        <v>76</v>
      </c>
      <c r="B99" t="s">
        <v>77</v>
      </c>
      <c r="C99" t="s">
        <v>78</v>
      </c>
      <c r="D99">
        <f t="shared" ref="D99:D114" si="70">D47</f>
        <v>0</v>
      </c>
      <c r="E99">
        <f t="shared" si="38"/>
        <v>0</v>
      </c>
      <c r="F99">
        <f t="shared" ref="F99:G115" si="71">H47</f>
        <v>0</v>
      </c>
      <c r="G99">
        <f t="shared" si="71"/>
        <v>0</v>
      </c>
      <c r="H99">
        <f t="shared" ref="H99:I115" si="72">M47</f>
        <v>0</v>
      </c>
      <c r="I99">
        <f t="shared" si="72"/>
        <v>0</v>
      </c>
      <c r="J99">
        <f t="shared" si="67"/>
        <v>0</v>
      </c>
      <c r="K99">
        <f t="shared" si="67"/>
        <v>0</v>
      </c>
      <c r="L99">
        <f t="shared" si="67"/>
        <v>0</v>
      </c>
      <c r="M99">
        <f t="shared" si="67"/>
        <v>0</v>
      </c>
      <c r="N99">
        <f t="shared" si="67"/>
        <v>0</v>
      </c>
      <c r="O99">
        <f t="shared" si="67"/>
        <v>0</v>
      </c>
      <c r="P99">
        <f t="shared" si="62"/>
        <v>0</v>
      </c>
      <c r="Q99">
        <f t="shared" si="68"/>
        <v>0</v>
      </c>
      <c r="R99">
        <f t="shared" si="68"/>
        <v>0</v>
      </c>
      <c r="S99">
        <f t="shared" si="68"/>
        <v>0</v>
      </c>
      <c r="T99">
        <f t="shared" si="68"/>
        <v>0</v>
      </c>
      <c r="U99">
        <f t="shared" si="68"/>
        <v>0</v>
      </c>
      <c r="V99">
        <f t="shared" si="68"/>
        <v>0</v>
      </c>
      <c r="W99">
        <f t="shared" si="68"/>
        <v>0</v>
      </c>
      <c r="X99">
        <f t="shared" si="68"/>
        <v>0</v>
      </c>
      <c r="Y99">
        <f t="shared" si="68"/>
        <v>0</v>
      </c>
      <c r="Z99">
        <f>AQ47</f>
        <v>0</v>
      </c>
      <c r="AA99">
        <f>D99-AR99</f>
        <v>0</v>
      </c>
      <c r="AB99">
        <f>AS47</f>
        <v>0</v>
      </c>
      <c r="AC99">
        <f t="shared" si="69"/>
        <v>0</v>
      </c>
      <c r="AD99">
        <f t="shared" si="69"/>
        <v>0</v>
      </c>
      <c r="AE99">
        <f t="shared" si="69"/>
        <v>0</v>
      </c>
      <c r="AF99">
        <f t="shared" si="69"/>
        <v>0</v>
      </c>
      <c r="AG99">
        <f t="shared" si="69"/>
        <v>0</v>
      </c>
      <c r="AH99">
        <f t="shared" si="69"/>
        <v>0</v>
      </c>
      <c r="AI99">
        <f t="shared" si="69"/>
        <v>0</v>
      </c>
      <c r="AJ99">
        <f t="shared" si="69"/>
        <v>0</v>
      </c>
      <c r="AK99">
        <f t="shared" si="69"/>
        <v>0</v>
      </c>
      <c r="AL99">
        <f t="shared" si="69"/>
        <v>0</v>
      </c>
      <c r="AM99">
        <f t="shared" si="69"/>
        <v>0</v>
      </c>
      <c r="AN99">
        <f t="shared" si="69"/>
        <v>0</v>
      </c>
      <c r="AO99">
        <f t="shared" si="69"/>
        <v>0</v>
      </c>
      <c r="AP99">
        <f t="shared" si="69"/>
        <v>0</v>
      </c>
      <c r="AQ99">
        <f t="shared" si="69"/>
        <v>0</v>
      </c>
      <c r="AR99">
        <f>E99+Q99+R99+S99+T99+U99+V99+W99+X99+Y99+Z99+AB99+AC99+AD99+AE99+AF99+AG99+AH99+AI99+AJ99+AK99+AL99+AM99+AN99+AO99+AP99+AQ99</f>
        <v>0</v>
      </c>
      <c r="AS99">
        <f>D99+AA116-AR99</f>
        <v>0</v>
      </c>
    </row>
    <row r="100" spans="1:45" ht="20.25" customHeight="1">
      <c r="A100" t="s">
        <v>79</v>
      </c>
      <c r="B100" t="s">
        <v>80</v>
      </c>
      <c r="C100" t="s">
        <v>81</v>
      </c>
      <c r="D100">
        <f t="shared" si="70"/>
        <v>0</v>
      </c>
      <c r="E100">
        <f t="shared" si="38"/>
        <v>0</v>
      </c>
      <c r="F100">
        <f t="shared" si="71"/>
        <v>0</v>
      </c>
      <c r="G100">
        <f t="shared" si="71"/>
        <v>0</v>
      </c>
      <c r="H100">
        <f t="shared" si="72"/>
        <v>0</v>
      </c>
      <c r="I100">
        <f t="shared" si="72"/>
        <v>0</v>
      </c>
      <c r="J100">
        <f t="shared" si="67"/>
        <v>0</v>
      </c>
      <c r="K100">
        <f t="shared" si="67"/>
        <v>0</v>
      </c>
      <c r="L100">
        <f t="shared" si="67"/>
        <v>0</v>
      </c>
      <c r="M100">
        <f t="shared" si="67"/>
        <v>0</v>
      </c>
      <c r="N100">
        <f t="shared" si="67"/>
        <v>0</v>
      </c>
      <c r="O100">
        <f t="shared" si="67"/>
        <v>0</v>
      </c>
      <c r="P100">
        <f t="shared" si="62"/>
        <v>0</v>
      </c>
      <c r="Q100">
        <f t="shared" si="68"/>
        <v>0</v>
      </c>
      <c r="R100">
        <f t="shared" si="68"/>
        <v>0</v>
      </c>
      <c r="S100">
        <f t="shared" si="68"/>
        <v>0</v>
      </c>
      <c r="T100">
        <f t="shared" si="68"/>
        <v>0</v>
      </c>
      <c r="U100">
        <f t="shared" si="68"/>
        <v>0</v>
      </c>
      <c r="V100">
        <f t="shared" si="68"/>
        <v>0</v>
      </c>
      <c r="W100">
        <f t="shared" si="68"/>
        <v>0</v>
      </c>
      <c r="X100">
        <f t="shared" si="68"/>
        <v>0</v>
      </c>
      <c r="Y100">
        <f t="shared" si="68"/>
        <v>0</v>
      </c>
      <c r="Z100">
        <f t="shared" ref="Z100:AK115" si="73">AQ48</f>
        <v>0</v>
      </c>
      <c r="AA100">
        <f t="shared" si="73"/>
        <v>0</v>
      </c>
      <c r="AB100">
        <f>D100-AR100</f>
        <v>0</v>
      </c>
      <c r="AC100">
        <f>AT48</f>
        <v>0</v>
      </c>
      <c r="AD100">
        <f t="shared" si="69"/>
        <v>0</v>
      </c>
      <c r="AE100">
        <f t="shared" si="69"/>
        <v>0</v>
      </c>
      <c r="AF100">
        <f t="shared" si="69"/>
        <v>0</v>
      </c>
      <c r="AG100">
        <f t="shared" si="69"/>
        <v>0</v>
      </c>
      <c r="AH100">
        <f t="shared" si="69"/>
        <v>0</v>
      </c>
      <c r="AI100">
        <f t="shared" si="69"/>
        <v>0</v>
      </c>
      <c r="AJ100">
        <f t="shared" si="69"/>
        <v>0</v>
      </c>
      <c r="AK100">
        <f t="shared" si="69"/>
        <v>0</v>
      </c>
      <c r="AL100">
        <f t="shared" si="69"/>
        <v>0</v>
      </c>
      <c r="AM100">
        <f t="shared" si="69"/>
        <v>0</v>
      </c>
      <c r="AN100">
        <f t="shared" si="69"/>
        <v>0</v>
      </c>
      <c r="AO100">
        <f t="shared" si="69"/>
        <v>0</v>
      </c>
      <c r="AP100">
        <f t="shared" si="69"/>
        <v>0</v>
      </c>
      <c r="AQ100">
        <f t="shared" si="69"/>
        <v>0</v>
      </c>
      <c r="AR100">
        <f>E100+Q100+R100+S100+T100+U100+V100+W100+X100+Y100+Z100+AA100+AC100+AD100+AE100+AF100+AG100+AH100+AI100+AJ100+AK100+AL100+AM100+AN100+AO100+AP100+AQ100</f>
        <v>0</v>
      </c>
      <c r="AS100">
        <f>D100+AB116-AR100</f>
        <v>0</v>
      </c>
    </row>
    <row r="101" spans="1:45" ht="20.25" customHeight="1">
      <c r="A101" t="s">
        <v>82</v>
      </c>
      <c r="B101" t="s">
        <v>83</v>
      </c>
      <c r="C101" t="s">
        <v>84</v>
      </c>
      <c r="D101">
        <f t="shared" si="70"/>
        <v>0</v>
      </c>
      <c r="E101">
        <f t="shared" si="38"/>
        <v>0</v>
      </c>
      <c r="F101">
        <f t="shared" si="71"/>
        <v>0</v>
      </c>
      <c r="G101">
        <f t="shared" si="71"/>
        <v>0</v>
      </c>
      <c r="H101">
        <f t="shared" si="72"/>
        <v>0</v>
      </c>
      <c r="I101">
        <f t="shared" si="72"/>
        <v>0</v>
      </c>
      <c r="J101">
        <f t="shared" si="67"/>
        <v>0</v>
      </c>
      <c r="K101">
        <f t="shared" si="67"/>
        <v>0</v>
      </c>
      <c r="L101">
        <f t="shared" si="67"/>
        <v>0</v>
      </c>
      <c r="M101">
        <f t="shared" si="67"/>
        <v>0</v>
      </c>
      <c r="N101">
        <f t="shared" si="67"/>
        <v>0</v>
      </c>
      <c r="O101">
        <f t="shared" si="67"/>
        <v>0</v>
      </c>
      <c r="P101">
        <f t="shared" si="62"/>
        <v>0</v>
      </c>
      <c r="Q101">
        <f t="shared" si="68"/>
        <v>0</v>
      </c>
      <c r="R101">
        <f t="shared" si="68"/>
        <v>0</v>
      </c>
      <c r="S101">
        <f t="shared" si="68"/>
        <v>0</v>
      </c>
      <c r="T101">
        <f t="shared" si="68"/>
        <v>0</v>
      </c>
      <c r="U101">
        <f t="shared" si="68"/>
        <v>0</v>
      </c>
      <c r="V101">
        <f t="shared" si="68"/>
        <v>0</v>
      </c>
      <c r="W101">
        <f t="shared" si="68"/>
        <v>0</v>
      </c>
      <c r="X101">
        <f t="shared" si="68"/>
        <v>0</v>
      </c>
      <c r="Y101">
        <f t="shared" si="68"/>
        <v>0</v>
      </c>
      <c r="Z101">
        <f t="shared" si="73"/>
        <v>0</v>
      </c>
      <c r="AA101">
        <f t="shared" si="73"/>
        <v>0</v>
      </c>
      <c r="AB101">
        <f t="shared" si="73"/>
        <v>0</v>
      </c>
      <c r="AC101">
        <f>D101-AR101</f>
        <v>0</v>
      </c>
      <c r="AD101">
        <f>AU49</f>
        <v>0</v>
      </c>
      <c r="AE101">
        <f t="shared" si="69"/>
        <v>0</v>
      </c>
      <c r="AF101">
        <f t="shared" si="69"/>
        <v>0</v>
      </c>
      <c r="AG101">
        <f t="shared" si="69"/>
        <v>0</v>
      </c>
      <c r="AH101">
        <f t="shared" si="69"/>
        <v>0</v>
      </c>
      <c r="AI101">
        <f t="shared" si="69"/>
        <v>0</v>
      </c>
      <c r="AJ101">
        <f t="shared" si="69"/>
        <v>0</v>
      </c>
      <c r="AK101">
        <f t="shared" si="69"/>
        <v>0</v>
      </c>
      <c r="AL101">
        <f t="shared" si="69"/>
        <v>0</v>
      </c>
      <c r="AM101">
        <f t="shared" si="69"/>
        <v>0</v>
      </c>
      <c r="AN101">
        <f t="shared" si="69"/>
        <v>0</v>
      </c>
      <c r="AO101">
        <f t="shared" si="69"/>
        <v>0</v>
      </c>
      <c r="AP101">
        <f t="shared" si="69"/>
        <v>0</v>
      </c>
      <c r="AQ101">
        <f t="shared" si="69"/>
        <v>0</v>
      </c>
      <c r="AR101">
        <f>E101+Q101+R101+S101+T101+U101+V101+W101+X101+Y101+Z101+AA101+AB101+AD101+AE101+AF101+AG101+AH101+AI101+AJ101+AK101+AL101+AM101+AN101+AO101+AP101+AQ101</f>
        <v>0</v>
      </c>
      <c r="AS101">
        <f>D101+AC116-AR101</f>
        <v>0</v>
      </c>
    </row>
    <row r="102" spans="1:45" ht="20.25" customHeight="1">
      <c r="A102" t="s">
        <v>85</v>
      </c>
      <c r="B102" t="s">
        <v>86</v>
      </c>
      <c r="C102" t="s">
        <v>87</v>
      </c>
      <c r="D102">
        <f t="shared" si="70"/>
        <v>33.78</v>
      </c>
      <c r="E102">
        <f t="shared" si="38"/>
        <v>0</v>
      </c>
      <c r="F102">
        <f t="shared" si="71"/>
        <v>0</v>
      </c>
      <c r="G102">
        <f t="shared" si="71"/>
        <v>0</v>
      </c>
      <c r="H102">
        <f t="shared" si="72"/>
        <v>0</v>
      </c>
      <c r="I102">
        <f t="shared" si="72"/>
        <v>0</v>
      </c>
      <c r="J102">
        <f t="shared" si="67"/>
        <v>0</v>
      </c>
      <c r="K102">
        <f t="shared" si="67"/>
        <v>0</v>
      </c>
      <c r="L102">
        <f t="shared" si="67"/>
        <v>0</v>
      </c>
      <c r="M102">
        <f t="shared" si="67"/>
        <v>0</v>
      </c>
      <c r="N102">
        <f t="shared" si="67"/>
        <v>0</v>
      </c>
      <c r="O102">
        <f t="shared" si="67"/>
        <v>0</v>
      </c>
      <c r="P102">
        <f t="shared" si="62"/>
        <v>33.78</v>
      </c>
      <c r="Q102">
        <f t="shared" si="68"/>
        <v>0</v>
      </c>
      <c r="R102">
        <f t="shared" si="68"/>
        <v>0</v>
      </c>
      <c r="S102">
        <f t="shared" si="68"/>
        <v>0</v>
      </c>
      <c r="T102">
        <f t="shared" si="68"/>
        <v>0</v>
      </c>
      <c r="U102">
        <f t="shared" si="68"/>
        <v>0</v>
      </c>
      <c r="V102">
        <f t="shared" si="68"/>
        <v>0</v>
      </c>
      <c r="W102">
        <f t="shared" si="68"/>
        <v>0</v>
      </c>
      <c r="X102">
        <f t="shared" si="68"/>
        <v>0</v>
      </c>
      <c r="Y102">
        <f t="shared" si="68"/>
        <v>0.18</v>
      </c>
      <c r="Z102">
        <f t="shared" si="73"/>
        <v>0</v>
      </c>
      <c r="AA102">
        <f t="shared" si="73"/>
        <v>0</v>
      </c>
      <c r="AB102">
        <f t="shared" si="73"/>
        <v>0</v>
      </c>
      <c r="AC102">
        <f t="shared" si="73"/>
        <v>0</v>
      </c>
      <c r="AD102">
        <f>D102-AR102</f>
        <v>33.6</v>
      </c>
      <c r="AE102">
        <f>AV50</f>
        <v>0</v>
      </c>
      <c r="AF102">
        <f t="shared" si="69"/>
        <v>0</v>
      </c>
      <c r="AG102">
        <f t="shared" si="69"/>
        <v>0</v>
      </c>
      <c r="AH102">
        <f t="shared" si="69"/>
        <v>0</v>
      </c>
      <c r="AI102">
        <f t="shared" si="69"/>
        <v>0</v>
      </c>
      <c r="AJ102">
        <f t="shared" si="69"/>
        <v>0</v>
      </c>
      <c r="AK102">
        <f t="shared" si="69"/>
        <v>0</v>
      </c>
      <c r="AL102">
        <f t="shared" si="69"/>
        <v>0</v>
      </c>
      <c r="AM102">
        <f t="shared" si="69"/>
        <v>0</v>
      </c>
      <c r="AN102">
        <f t="shared" si="69"/>
        <v>0</v>
      </c>
      <c r="AO102">
        <f t="shared" si="69"/>
        <v>0</v>
      </c>
      <c r="AP102">
        <f t="shared" si="69"/>
        <v>0</v>
      </c>
      <c r="AQ102">
        <f t="shared" si="69"/>
        <v>0</v>
      </c>
      <c r="AR102">
        <f>E102+Q102+R102+S102+T102+U102+V102+W102+X102+Y102+Z102+AA102+AB102+AC102+AE102+AF102+AG102+AH102+AI102+AJ102+AK102+AL102+AM102+AN102+AO102+AP102+AQ102</f>
        <v>0.18</v>
      </c>
      <c r="AS102">
        <f>D102+AD116-AR102</f>
        <v>34.15</v>
      </c>
    </row>
    <row r="103" spans="1:45" ht="20.25" customHeight="1">
      <c r="A103" t="s">
        <v>88</v>
      </c>
      <c r="B103" t="s">
        <v>89</v>
      </c>
      <c r="C103" t="s">
        <v>90</v>
      </c>
      <c r="D103">
        <f t="shared" si="70"/>
        <v>0.3</v>
      </c>
      <c r="E103">
        <f t="shared" si="38"/>
        <v>0</v>
      </c>
      <c r="F103">
        <f t="shared" si="71"/>
        <v>0</v>
      </c>
      <c r="G103">
        <f t="shared" si="71"/>
        <v>0</v>
      </c>
      <c r="H103">
        <f t="shared" si="72"/>
        <v>0</v>
      </c>
      <c r="I103">
        <f t="shared" si="72"/>
        <v>0</v>
      </c>
      <c r="J103">
        <f t="shared" si="67"/>
        <v>0</v>
      </c>
      <c r="K103">
        <f t="shared" si="67"/>
        <v>0</v>
      </c>
      <c r="L103">
        <f t="shared" si="67"/>
        <v>0</v>
      </c>
      <c r="M103">
        <f t="shared" si="67"/>
        <v>0</v>
      </c>
      <c r="N103">
        <f t="shared" si="67"/>
        <v>0</v>
      </c>
      <c r="O103">
        <f t="shared" si="67"/>
        <v>0</v>
      </c>
      <c r="P103">
        <f t="shared" si="62"/>
        <v>0.3</v>
      </c>
      <c r="Q103">
        <f t="shared" si="68"/>
        <v>0</v>
      </c>
      <c r="R103">
        <f t="shared" si="68"/>
        <v>0</v>
      </c>
      <c r="S103">
        <f t="shared" si="68"/>
        <v>0</v>
      </c>
      <c r="T103">
        <f t="shared" si="68"/>
        <v>0</v>
      </c>
      <c r="U103">
        <f t="shared" si="68"/>
        <v>0</v>
      </c>
      <c r="V103">
        <f t="shared" si="68"/>
        <v>0</v>
      </c>
      <c r="W103">
        <f t="shared" si="68"/>
        <v>0</v>
      </c>
      <c r="X103">
        <f t="shared" si="68"/>
        <v>0</v>
      </c>
      <c r="Y103">
        <f t="shared" si="68"/>
        <v>0</v>
      </c>
      <c r="Z103">
        <f t="shared" si="73"/>
        <v>0</v>
      </c>
      <c r="AA103">
        <f t="shared" si="73"/>
        <v>0</v>
      </c>
      <c r="AB103">
        <f t="shared" si="73"/>
        <v>0</v>
      </c>
      <c r="AC103">
        <f t="shared" si="73"/>
        <v>0</v>
      </c>
      <c r="AD103">
        <f t="shared" si="73"/>
        <v>0</v>
      </c>
      <c r="AE103">
        <f>D103-AR103</f>
        <v>0.3</v>
      </c>
      <c r="AF103">
        <f>AW51</f>
        <v>0</v>
      </c>
      <c r="AG103">
        <f t="shared" si="69"/>
        <v>0</v>
      </c>
      <c r="AH103">
        <f t="shared" si="69"/>
        <v>0</v>
      </c>
      <c r="AI103">
        <f t="shared" si="69"/>
        <v>0</v>
      </c>
      <c r="AJ103">
        <f t="shared" si="69"/>
        <v>0</v>
      </c>
      <c r="AK103">
        <f t="shared" si="69"/>
        <v>0</v>
      </c>
      <c r="AL103">
        <f t="shared" si="69"/>
        <v>0</v>
      </c>
      <c r="AM103">
        <f t="shared" si="69"/>
        <v>0</v>
      </c>
      <c r="AN103">
        <f t="shared" si="69"/>
        <v>0</v>
      </c>
      <c r="AO103">
        <f t="shared" si="69"/>
        <v>0</v>
      </c>
      <c r="AP103">
        <f t="shared" si="69"/>
        <v>0</v>
      </c>
      <c r="AQ103">
        <f t="shared" si="69"/>
        <v>0</v>
      </c>
      <c r="AR103">
        <f>E103+Q103+R103+S103+T103+U103+V103+W103+X103+Y103+Z103+AA103+AB103+AC103+AD103+AF103+AG103+AH103+AI103+AJ103+AK103+AL103+AM103+AN103+AO103+AP103+AQ103</f>
        <v>0</v>
      </c>
      <c r="AS103">
        <f>D103+AE116-AR103</f>
        <v>0.3</v>
      </c>
    </row>
    <row r="104" spans="1:45" ht="37.5" customHeight="1">
      <c r="A104" t="s">
        <v>91</v>
      </c>
      <c r="B104" t="s">
        <v>92</v>
      </c>
      <c r="C104" t="s">
        <v>93</v>
      </c>
      <c r="D104">
        <f t="shared" si="70"/>
        <v>0</v>
      </c>
      <c r="E104">
        <f t="shared" si="38"/>
        <v>0</v>
      </c>
      <c r="F104">
        <f t="shared" si="71"/>
        <v>0</v>
      </c>
      <c r="G104">
        <f t="shared" si="71"/>
        <v>0</v>
      </c>
      <c r="H104">
        <f t="shared" si="72"/>
        <v>0</v>
      </c>
      <c r="I104">
        <f t="shared" si="72"/>
        <v>0</v>
      </c>
      <c r="J104">
        <f t="shared" si="67"/>
        <v>0</v>
      </c>
      <c r="K104">
        <f t="shared" si="67"/>
        <v>0</v>
      </c>
      <c r="L104">
        <f t="shared" si="67"/>
        <v>0</v>
      </c>
      <c r="M104">
        <f t="shared" si="67"/>
        <v>0</v>
      </c>
      <c r="N104">
        <f t="shared" si="67"/>
        <v>0</v>
      </c>
      <c r="O104">
        <f t="shared" si="67"/>
        <v>0</v>
      </c>
      <c r="P104">
        <f t="shared" si="62"/>
        <v>0</v>
      </c>
      <c r="Q104">
        <f t="shared" si="68"/>
        <v>0</v>
      </c>
      <c r="R104">
        <f t="shared" si="68"/>
        <v>0</v>
      </c>
      <c r="S104">
        <f t="shared" si="68"/>
        <v>0</v>
      </c>
      <c r="T104">
        <f t="shared" si="68"/>
        <v>0</v>
      </c>
      <c r="U104">
        <f t="shared" si="68"/>
        <v>0</v>
      </c>
      <c r="V104">
        <f t="shared" si="68"/>
        <v>0</v>
      </c>
      <c r="W104">
        <f t="shared" si="68"/>
        <v>0</v>
      </c>
      <c r="X104">
        <f t="shared" si="68"/>
        <v>0</v>
      </c>
      <c r="Y104">
        <f t="shared" si="68"/>
        <v>0</v>
      </c>
      <c r="Z104">
        <f t="shared" si="73"/>
        <v>0</v>
      </c>
      <c r="AA104">
        <f t="shared" si="73"/>
        <v>0</v>
      </c>
      <c r="AB104">
        <f t="shared" si="73"/>
        <v>0</v>
      </c>
      <c r="AC104">
        <f t="shared" si="73"/>
        <v>0</v>
      </c>
      <c r="AD104">
        <f t="shared" si="73"/>
        <v>0</v>
      </c>
      <c r="AE104">
        <f t="shared" si="73"/>
        <v>0</v>
      </c>
      <c r="AF104">
        <f>D104-AR104</f>
        <v>0</v>
      </c>
      <c r="AG104">
        <f>AX52</f>
        <v>0</v>
      </c>
      <c r="AH104">
        <f t="shared" si="69"/>
        <v>0</v>
      </c>
      <c r="AI104">
        <f t="shared" si="69"/>
        <v>0</v>
      </c>
      <c r="AJ104">
        <f t="shared" si="69"/>
        <v>0</v>
      </c>
      <c r="AK104">
        <f t="shared" si="69"/>
        <v>0</v>
      </c>
      <c r="AL104">
        <f t="shared" si="69"/>
        <v>0</v>
      </c>
      <c r="AM104">
        <f t="shared" si="69"/>
        <v>0</v>
      </c>
      <c r="AN104">
        <f t="shared" si="69"/>
        <v>0</v>
      </c>
      <c r="AO104">
        <f t="shared" si="69"/>
        <v>0</v>
      </c>
      <c r="AP104">
        <f t="shared" si="69"/>
        <v>0</v>
      </c>
      <c r="AQ104">
        <f t="shared" si="69"/>
        <v>0</v>
      </c>
      <c r="AR104">
        <f>E104+Q104+R104+S104+T104+U104+V104+W104+X104+Y104+Z104+AA104+AB104+AC104+AD104+AE104+AG104+AH104+AI104+AJ104+AK104+AL104+AM104+AN104+AO104+AP104+AQ104</f>
        <v>0</v>
      </c>
      <c r="AS104">
        <f>D104+AF116-AR104</f>
        <v>0</v>
      </c>
    </row>
    <row r="105" spans="1:45" ht="20.25" customHeight="1">
      <c r="A105" t="s">
        <v>94</v>
      </c>
      <c r="B105" t="s">
        <v>95</v>
      </c>
      <c r="C105" t="s">
        <v>96</v>
      </c>
      <c r="D105">
        <f t="shared" si="70"/>
        <v>0</v>
      </c>
      <c r="E105">
        <f t="shared" si="38"/>
        <v>0</v>
      </c>
      <c r="F105">
        <f t="shared" si="71"/>
        <v>0</v>
      </c>
      <c r="G105">
        <f t="shared" si="71"/>
        <v>0</v>
      </c>
      <c r="H105">
        <f t="shared" si="72"/>
        <v>0</v>
      </c>
      <c r="I105">
        <f t="shared" si="72"/>
        <v>0</v>
      </c>
      <c r="J105">
        <f t="shared" si="67"/>
        <v>0</v>
      </c>
      <c r="K105">
        <f t="shared" si="67"/>
        <v>0</v>
      </c>
      <c r="L105">
        <f t="shared" si="67"/>
        <v>0</v>
      </c>
      <c r="M105">
        <f t="shared" si="67"/>
        <v>0</v>
      </c>
      <c r="N105">
        <f t="shared" si="67"/>
        <v>0</v>
      </c>
      <c r="O105">
        <f t="shared" si="67"/>
        <v>0</v>
      </c>
      <c r="P105">
        <f t="shared" si="62"/>
        <v>0</v>
      </c>
      <c r="Q105">
        <f t="shared" si="68"/>
        <v>0</v>
      </c>
      <c r="R105">
        <f t="shared" si="68"/>
        <v>0</v>
      </c>
      <c r="S105">
        <f t="shared" si="68"/>
        <v>0</v>
      </c>
      <c r="T105">
        <f t="shared" si="68"/>
        <v>0</v>
      </c>
      <c r="U105">
        <f t="shared" si="68"/>
        <v>0</v>
      </c>
      <c r="V105">
        <f t="shared" si="68"/>
        <v>0</v>
      </c>
      <c r="W105">
        <f t="shared" si="68"/>
        <v>0</v>
      </c>
      <c r="X105">
        <f t="shared" si="68"/>
        <v>0</v>
      </c>
      <c r="Y105">
        <f t="shared" si="68"/>
        <v>0</v>
      </c>
      <c r="Z105">
        <f t="shared" si="73"/>
        <v>0</v>
      </c>
      <c r="AA105">
        <f t="shared" si="73"/>
        <v>0</v>
      </c>
      <c r="AB105">
        <f t="shared" si="73"/>
        <v>0</v>
      </c>
      <c r="AC105">
        <f t="shared" si="73"/>
        <v>0</v>
      </c>
      <c r="AD105">
        <f t="shared" si="73"/>
        <v>0</v>
      </c>
      <c r="AE105">
        <f t="shared" si="73"/>
        <v>0</v>
      </c>
      <c r="AF105">
        <f t="shared" si="73"/>
        <v>0</v>
      </c>
      <c r="AG105">
        <f>D105-AR105</f>
        <v>0</v>
      </c>
      <c r="AH105">
        <f>AY53</f>
        <v>0</v>
      </c>
      <c r="AI105">
        <f t="shared" si="69"/>
        <v>0</v>
      </c>
      <c r="AJ105">
        <f t="shared" si="69"/>
        <v>0</v>
      </c>
      <c r="AK105">
        <f t="shared" si="69"/>
        <v>0</v>
      </c>
      <c r="AL105">
        <f t="shared" si="69"/>
        <v>0</v>
      </c>
      <c r="AM105">
        <f t="shared" si="69"/>
        <v>0</v>
      </c>
      <c r="AN105">
        <f t="shared" si="69"/>
        <v>0</v>
      </c>
      <c r="AO105">
        <f t="shared" si="69"/>
        <v>0</v>
      </c>
      <c r="AP105">
        <f t="shared" si="69"/>
        <v>0</v>
      </c>
      <c r="AQ105">
        <f t="shared" si="69"/>
        <v>0</v>
      </c>
      <c r="AR105">
        <f>E105+Q105+R105+S105+T105+U105+V105+W105+X105+Y105+Z105+AA105+AB105+AC105+AD105+AE105+AF105+AH105+AI105+AJ105+AK105+AL105+AM105+AN105+AO105+AP105+AQ105</f>
        <v>0</v>
      </c>
      <c r="AS105">
        <f>D105+AG116-AR105</f>
        <v>0</v>
      </c>
    </row>
    <row r="106" spans="1:45" ht="20.25" customHeight="1">
      <c r="A106" t="s">
        <v>97</v>
      </c>
      <c r="B106" t="s">
        <v>98</v>
      </c>
      <c r="C106" t="s">
        <v>99</v>
      </c>
      <c r="D106">
        <f t="shared" si="70"/>
        <v>2</v>
      </c>
      <c r="E106">
        <f t="shared" si="38"/>
        <v>0</v>
      </c>
      <c r="F106">
        <f t="shared" si="71"/>
        <v>0</v>
      </c>
      <c r="G106">
        <f t="shared" si="71"/>
        <v>0</v>
      </c>
      <c r="H106">
        <f t="shared" si="72"/>
        <v>0</v>
      </c>
      <c r="I106">
        <f t="shared" si="72"/>
        <v>0</v>
      </c>
      <c r="J106">
        <f t="shared" si="67"/>
        <v>0</v>
      </c>
      <c r="K106">
        <f t="shared" si="67"/>
        <v>0</v>
      </c>
      <c r="L106">
        <f t="shared" si="67"/>
        <v>0</v>
      </c>
      <c r="M106">
        <f t="shared" si="67"/>
        <v>0</v>
      </c>
      <c r="N106">
        <f t="shared" si="67"/>
        <v>0</v>
      </c>
      <c r="O106">
        <f t="shared" si="67"/>
        <v>0</v>
      </c>
      <c r="P106">
        <f t="shared" si="62"/>
        <v>2</v>
      </c>
      <c r="Q106">
        <f t="shared" si="68"/>
        <v>0</v>
      </c>
      <c r="R106">
        <f t="shared" si="68"/>
        <v>0</v>
      </c>
      <c r="S106">
        <f t="shared" si="68"/>
        <v>0</v>
      </c>
      <c r="T106">
        <f t="shared" si="68"/>
        <v>0</v>
      </c>
      <c r="U106">
        <f t="shared" si="68"/>
        <v>0</v>
      </c>
      <c r="V106">
        <f t="shared" si="68"/>
        <v>0</v>
      </c>
      <c r="W106">
        <f t="shared" si="68"/>
        <v>0</v>
      </c>
      <c r="X106">
        <f t="shared" si="68"/>
        <v>0</v>
      </c>
      <c r="Y106">
        <f t="shared" si="68"/>
        <v>0</v>
      </c>
      <c r="Z106">
        <f t="shared" si="73"/>
        <v>0</v>
      </c>
      <c r="AA106">
        <f t="shared" si="73"/>
        <v>0</v>
      </c>
      <c r="AB106">
        <f t="shared" si="73"/>
        <v>0</v>
      </c>
      <c r="AC106">
        <f t="shared" si="73"/>
        <v>0</v>
      </c>
      <c r="AD106">
        <f t="shared" si="73"/>
        <v>0</v>
      </c>
      <c r="AE106">
        <f t="shared" si="73"/>
        <v>0</v>
      </c>
      <c r="AF106">
        <f t="shared" si="73"/>
        <v>0</v>
      </c>
      <c r="AG106">
        <f t="shared" si="73"/>
        <v>0</v>
      </c>
      <c r="AH106">
        <f>D106-AR106</f>
        <v>2</v>
      </c>
      <c r="AI106">
        <f>AZ54</f>
        <v>0</v>
      </c>
      <c r="AJ106">
        <f t="shared" si="69"/>
        <v>0</v>
      </c>
      <c r="AK106">
        <f t="shared" si="69"/>
        <v>0</v>
      </c>
      <c r="AL106">
        <f t="shared" si="69"/>
        <v>0</v>
      </c>
      <c r="AM106">
        <f t="shared" si="69"/>
        <v>0</v>
      </c>
      <c r="AN106">
        <f t="shared" si="69"/>
        <v>0</v>
      </c>
      <c r="AO106">
        <f t="shared" si="69"/>
        <v>0</v>
      </c>
      <c r="AP106">
        <f t="shared" si="69"/>
        <v>0</v>
      </c>
      <c r="AQ106">
        <f t="shared" si="69"/>
        <v>0</v>
      </c>
      <c r="AR106">
        <f>E106+Q106+R106+S106+T106+U106+V106+W106+X106+Y106+Z106+AA106+AB106+AC106+AD106+AE106+AF106+AG106+AI106+AJ106+AK106+AL106+AM106+AN106+AO106+AP106+AQ106</f>
        <v>0</v>
      </c>
      <c r="AS106">
        <f>D106+AH116-AR106</f>
        <v>2</v>
      </c>
    </row>
    <row r="107" spans="1:45" ht="31.5" customHeight="1">
      <c r="A107" t="s">
        <v>100</v>
      </c>
      <c r="B107" t="s">
        <v>134</v>
      </c>
      <c r="C107" t="s">
        <v>101</v>
      </c>
      <c r="D107">
        <f t="shared" si="70"/>
        <v>34.43</v>
      </c>
      <c r="E107">
        <f t="shared" si="38"/>
        <v>0</v>
      </c>
      <c r="F107">
        <f t="shared" si="71"/>
        <v>0</v>
      </c>
      <c r="G107">
        <f t="shared" si="71"/>
        <v>0</v>
      </c>
      <c r="H107">
        <f t="shared" si="72"/>
        <v>0</v>
      </c>
      <c r="I107">
        <f t="shared" si="72"/>
        <v>0</v>
      </c>
      <c r="J107">
        <f t="shared" si="67"/>
        <v>0</v>
      </c>
      <c r="K107">
        <f t="shared" si="67"/>
        <v>0</v>
      </c>
      <c r="L107">
        <f t="shared" si="67"/>
        <v>0</v>
      </c>
      <c r="M107">
        <f t="shared" si="67"/>
        <v>0</v>
      </c>
      <c r="N107">
        <f t="shared" si="67"/>
        <v>0</v>
      </c>
      <c r="O107">
        <f t="shared" si="67"/>
        <v>0</v>
      </c>
      <c r="P107">
        <f t="shared" si="62"/>
        <v>34.43</v>
      </c>
      <c r="Q107">
        <f t="shared" si="68"/>
        <v>0</v>
      </c>
      <c r="R107">
        <f t="shared" si="68"/>
        <v>0</v>
      </c>
      <c r="S107">
        <f t="shared" si="68"/>
        <v>0</v>
      </c>
      <c r="T107">
        <f t="shared" si="68"/>
        <v>0</v>
      </c>
      <c r="U107">
        <f t="shared" si="68"/>
        <v>0</v>
      </c>
      <c r="V107">
        <f t="shared" si="68"/>
        <v>0</v>
      </c>
      <c r="W107">
        <f t="shared" si="68"/>
        <v>0</v>
      </c>
      <c r="X107">
        <f t="shared" si="68"/>
        <v>0</v>
      </c>
      <c r="Y107">
        <f t="shared" si="68"/>
        <v>0</v>
      </c>
      <c r="Z107">
        <f t="shared" si="73"/>
        <v>0</v>
      </c>
      <c r="AA107">
        <f t="shared" si="73"/>
        <v>0</v>
      </c>
      <c r="AB107">
        <f t="shared" si="73"/>
        <v>0</v>
      </c>
      <c r="AC107">
        <f t="shared" si="73"/>
        <v>0</v>
      </c>
      <c r="AD107">
        <f t="shared" si="73"/>
        <v>0</v>
      </c>
      <c r="AE107">
        <f t="shared" si="73"/>
        <v>0</v>
      </c>
      <c r="AF107">
        <f t="shared" si="73"/>
        <v>0</v>
      </c>
      <c r="AG107">
        <f t="shared" si="73"/>
        <v>0</v>
      </c>
      <c r="AH107">
        <f t="shared" si="73"/>
        <v>0</v>
      </c>
      <c r="AI107">
        <f>D107-AR107</f>
        <v>34.43</v>
      </c>
      <c r="AJ107">
        <f>BA55</f>
        <v>0</v>
      </c>
      <c r="AK107">
        <f t="shared" si="69"/>
        <v>0</v>
      </c>
      <c r="AL107">
        <f t="shared" si="69"/>
        <v>0</v>
      </c>
      <c r="AM107">
        <f t="shared" si="69"/>
        <v>0</v>
      </c>
      <c r="AN107">
        <f t="shared" si="69"/>
        <v>0</v>
      </c>
      <c r="AO107">
        <f t="shared" si="69"/>
        <v>0</v>
      </c>
      <c r="AP107">
        <f t="shared" si="69"/>
        <v>0</v>
      </c>
      <c r="AQ107">
        <f t="shared" si="69"/>
        <v>0</v>
      </c>
      <c r="AR107">
        <f>E107+Q107+R107+S107+T107+U107+V107+W107+X107+Y107+Z107+AA107+AB107+AC107+AD107+AE107+AF107+AG107+AH107+AJ107+AK107+AL107+AM107+AN107+AO107+AP107+AQ107</f>
        <v>0</v>
      </c>
      <c r="AS107">
        <f>D107+AI116-AR107</f>
        <v>34.43</v>
      </c>
    </row>
    <row r="108" spans="1:45" ht="20.25" customHeight="1">
      <c r="A108" t="s">
        <v>102</v>
      </c>
      <c r="B108" t="s">
        <v>103</v>
      </c>
      <c r="C108" t="s">
        <v>104</v>
      </c>
      <c r="D108">
        <f t="shared" si="70"/>
        <v>0.04</v>
      </c>
      <c r="E108">
        <f t="shared" si="38"/>
        <v>0</v>
      </c>
      <c r="F108">
        <f t="shared" si="71"/>
        <v>0</v>
      </c>
      <c r="G108">
        <f t="shared" si="71"/>
        <v>0</v>
      </c>
      <c r="H108">
        <f t="shared" si="72"/>
        <v>0</v>
      </c>
      <c r="I108">
        <f t="shared" si="72"/>
        <v>0</v>
      </c>
      <c r="J108">
        <f t="shared" si="67"/>
        <v>0</v>
      </c>
      <c r="K108">
        <f t="shared" si="67"/>
        <v>0</v>
      </c>
      <c r="L108">
        <f t="shared" si="67"/>
        <v>0</v>
      </c>
      <c r="M108">
        <f t="shared" si="67"/>
        <v>0</v>
      </c>
      <c r="N108">
        <f t="shared" si="67"/>
        <v>0</v>
      </c>
      <c r="O108">
        <f t="shared" si="67"/>
        <v>0</v>
      </c>
      <c r="P108">
        <f t="shared" si="62"/>
        <v>0.04</v>
      </c>
      <c r="Q108">
        <f t="shared" si="68"/>
        <v>0</v>
      </c>
      <c r="R108">
        <f t="shared" si="68"/>
        <v>0</v>
      </c>
      <c r="S108">
        <f t="shared" si="68"/>
        <v>0</v>
      </c>
      <c r="T108">
        <f t="shared" si="68"/>
        <v>0</v>
      </c>
      <c r="U108">
        <f t="shared" si="68"/>
        <v>0</v>
      </c>
      <c r="V108">
        <f t="shared" si="68"/>
        <v>0</v>
      </c>
      <c r="W108">
        <f t="shared" si="68"/>
        <v>0</v>
      </c>
      <c r="X108">
        <f t="shared" si="68"/>
        <v>0</v>
      </c>
      <c r="Y108">
        <f t="shared" si="68"/>
        <v>0</v>
      </c>
      <c r="Z108">
        <f t="shared" si="73"/>
        <v>0</v>
      </c>
      <c r="AA108">
        <f t="shared" si="73"/>
        <v>0</v>
      </c>
      <c r="AB108">
        <f t="shared" si="73"/>
        <v>0</v>
      </c>
      <c r="AC108">
        <f t="shared" si="73"/>
        <v>0</v>
      </c>
      <c r="AD108">
        <f t="shared" si="73"/>
        <v>0</v>
      </c>
      <c r="AE108">
        <f t="shared" si="73"/>
        <v>0</v>
      </c>
      <c r="AF108">
        <f t="shared" si="73"/>
        <v>0</v>
      </c>
      <c r="AG108">
        <f t="shared" si="73"/>
        <v>0</v>
      </c>
      <c r="AH108">
        <f t="shared" si="73"/>
        <v>0</v>
      </c>
      <c r="AI108">
        <f t="shared" si="73"/>
        <v>0</v>
      </c>
      <c r="AJ108">
        <f>D108-AR108</f>
        <v>0.04</v>
      </c>
      <c r="AK108">
        <f>BB56</f>
        <v>0</v>
      </c>
      <c r="AL108">
        <f t="shared" si="69"/>
        <v>0</v>
      </c>
      <c r="AM108">
        <f t="shared" si="69"/>
        <v>0</v>
      </c>
      <c r="AN108">
        <f t="shared" si="69"/>
        <v>0</v>
      </c>
      <c r="AO108">
        <f t="shared" si="69"/>
        <v>0</v>
      </c>
      <c r="AP108">
        <f t="shared" si="69"/>
        <v>0</v>
      </c>
      <c r="AQ108">
        <f t="shared" si="69"/>
        <v>0</v>
      </c>
      <c r="AR108">
        <f>E108+Q108+R108+S108+T108+U108+V108+W108+X108+Y108+Z108+AA108+AB108+AC108+AD108+AE108+AF108+AG108+AH108+AI108+AK108+AL108+AM108+AN108+AO108+AP108+AQ108</f>
        <v>0</v>
      </c>
      <c r="AS108">
        <f>D108+AJ116-AR108</f>
        <v>0.04</v>
      </c>
    </row>
    <row r="109" spans="1:45" ht="20.25" customHeight="1">
      <c r="A109" t="s">
        <v>105</v>
      </c>
      <c r="B109" t="s">
        <v>106</v>
      </c>
      <c r="C109" t="s">
        <v>107</v>
      </c>
      <c r="D109">
        <f t="shared" si="70"/>
        <v>0.44</v>
      </c>
      <c r="E109">
        <f t="shared" si="38"/>
        <v>0</v>
      </c>
      <c r="F109">
        <f t="shared" si="71"/>
        <v>0</v>
      </c>
      <c r="G109">
        <f t="shared" si="71"/>
        <v>0</v>
      </c>
      <c r="H109">
        <f t="shared" si="72"/>
        <v>0</v>
      </c>
      <c r="I109">
        <f t="shared" si="72"/>
        <v>0</v>
      </c>
      <c r="J109">
        <f t="shared" si="67"/>
        <v>0</v>
      </c>
      <c r="K109">
        <f t="shared" si="67"/>
        <v>0</v>
      </c>
      <c r="L109">
        <f t="shared" si="67"/>
        <v>0</v>
      </c>
      <c r="M109">
        <f t="shared" si="67"/>
        <v>0</v>
      </c>
      <c r="N109">
        <f t="shared" si="67"/>
        <v>0</v>
      </c>
      <c r="O109">
        <f t="shared" si="67"/>
        <v>0</v>
      </c>
      <c r="P109">
        <f t="shared" si="62"/>
        <v>0.44</v>
      </c>
      <c r="Q109">
        <f t="shared" si="68"/>
        <v>0</v>
      </c>
      <c r="R109">
        <f t="shared" si="68"/>
        <v>0</v>
      </c>
      <c r="S109">
        <f t="shared" si="68"/>
        <v>0</v>
      </c>
      <c r="T109">
        <f t="shared" si="68"/>
        <v>0</v>
      </c>
      <c r="U109">
        <f t="shared" si="68"/>
        <v>0</v>
      </c>
      <c r="V109">
        <f t="shared" si="68"/>
        <v>0</v>
      </c>
      <c r="W109">
        <f t="shared" si="68"/>
        <v>0</v>
      </c>
      <c r="X109">
        <f t="shared" si="68"/>
        <v>0</v>
      </c>
      <c r="Y109">
        <f t="shared" si="68"/>
        <v>0</v>
      </c>
      <c r="Z109">
        <f t="shared" si="73"/>
        <v>0</v>
      </c>
      <c r="AA109">
        <f t="shared" si="73"/>
        <v>0</v>
      </c>
      <c r="AB109">
        <f t="shared" si="73"/>
        <v>0</v>
      </c>
      <c r="AC109">
        <f t="shared" si="73"/>
        <v>0</v>
      </c>
      <c r="AD109">
        <f t="shared" si="73"/>
        <v>0</v>
      </c>
      <c r="AE109">
        <f t="shared" si="73"/>
        <v>0</v>
      </c>
      <c r="AF109">
        <f t="shared" si="73"/>
        <v>0</v>
      </c>
      <c r="AG109">
        <f t="shared" si="73"/>
        <v>0</v>
      </c>
      <c r="AH109">
        <f t="shared" si="73"/>
        <v>0</v>
      </c>
      <c r="AI109">
        <f t="shared" si="73"/>
        <v>0</v>
      </c>
      <c r="AJ109">
        <f t="shared" si="73"/>
        <v>0</v>
      </c>
      <c r="AK109">
        <f>D109-AR109</f>
        <v>0.44</v>
      </c>
      <c r="AL109">
        <f t="shared" si="69"/>
        <v>0</v>
      </c>
      <c r="AM109">
        <f t="shared" si="69"/>
        <v>0</v>
      </c>
      <c r="AN109">
        <f t="shared" si="69"/>
        <v>0</v>
      </c>
      <c r="AO109">
        <f t="shared" si="69"/>
        <v>0</v>
      </c>
      <c r="AP109">
        <f t="shared" si="69"/>
        <v>0</v>
      </c>
      <c r="AQ109">
        <f t="shared" si="69"/>
        <v>0</v>
      </c>
      <c r="AR109">
        <f>E109+Q109+R109+S109+T109+U109+V109+W109+X109+Y109+Z109+AA109+AB109+AC109+AD109+AE109+AF109+AG109+AH109+AI109+AJ109+AL109+AM109+AN109+AO109+AP109+AQ109</f>
        <v>0</v>
      </c>
      <c r="AS109">
        <f>D109+AK116-AR109</f>
        <v>0.44</v>
      </c>
    </row>
    <row r="110" spans="1:45" ht="20.25" customHeight="1">
      <c r="A110" t="s">
        <v>108</v>
      </c>
      <c r="B110" t="s">
        <v>109</v>
      </c>
      <c r="C110" t="s">
        <v>110</v>
      </c>
      <c r="D110">
        <f t="shared" si="70"/>
        <v>0</v>
      </c>
      <c r="E110">
        <f t="shared" si="38"/>
        <v>0</v>
      </c>
      <c r="F110">
        <f t="shared" si="71"/>
        <v>0</v>
      </c>
      <c r="G110">
        <f t="shared" si="71"/>
        <v>0</v>
      </c>
      <c r="H110">
        <f t="shared" si="72"/>
        <v>0</v>
      </c>
      <c r="I110">
        <f t="shared" si="72"/>
        <v>0</v>
      </c>
      <c r="J110">
        <f t="shared" si="67"/>
        <v>0</v>
      </c>
      <c r="K110">
        <f t="shared" si="67"/>
        <v>0</v>
      </c>
      <c r="L110">
        <f t="shared" si="67"/>
        <v>0</v>
      </c>
      <c r="M110">
        <f t="shared" si="67"/>
        <v>0</v>
      </c>
      <c r="N110">
        <f t="shared" si="67"/>
        <v>0</v>
      </c>
      <c r="O110">
        <f t="shared" si="67"/>
        <v>0</v>
      </c>
      <c r="P110">
        <f t="shared" si="62"/>
        <v>0</v>
      </c>
      <c r="Q110">
        <f t="shared" si="68"/>
        <v>0</v>
      </c>
      <c r="R110">
        <f t="shared" si="68"/>
        <v>0</v>
      </c>
      <c r="S110">
        <f t="shared" si="68"/>
        <v>0</v>
      </c>
      <c r="T110">
        <f t="shared" si="68"/>
        <v>0</v>
      </c>
      <c r="U110">
        <f t="shared" si="68"/>
        <v>0</v>
      </c>
      <c r="V110">
        <f t="shared" si="68"/>
        <v>0</v>
      </c>
      <c r="W110">
        <f t="shared" si="68"/>
        <v>0</v>
      </c>
      <c r="X110">
        <f t="shared" si="68"/>
        <v>0</v>
      </c>
      <c r="Y110">
        <f t="shared" si="68"/>
        <v>0</v>
      </c>
      <c r="Z110">
        <f t="shared" si="73"/>
        <v>0</v>
      </c>
      <c r="AA110">
        <f t="shared" si="73"/>
        <v>0</v>
      </c>
      <c r="AB110">
        <f t="shared" si="73"/>
        <v>0</v>
      </c>
      <c r="AC110">
        <f t="shared" si="73"/>
        <v>0</v>
      </c>
      <c r="AD110">
        <f t="shared" si="73"/>
        <v>0</v>
      </c>
      <c r="AE110">
        <f t="shared" si="73"/>
        <v>0</v>
      </c>
      <c r="AF110">
        <f t="shared" si="73"/>
        <v>0</v>
      </c>
      <c r="AG110">
        <f t="shared" si="73"/>
        <v>0</v>
      </c>
      <c r="AH110">
        <f t="shared" si="73"/>
        <v>0</v>
      </c>
      <c r="AI110">
        <f t="shared" si="73"/>
        <v>0</v>
      </c>
      <c r="AJ110">
        <f t="shared" si="73"/>
        <v>0</v>
      </c>
      <c r="AK110">
        <f t="shared" si="73"/>
        <v>0</v>
      </c>
      <c r="AL110">
        <f>D110-AR110</f>
        <v>0</v>
      </c>
      <c r="AM110">
        <f>BD58</f>
        <v>0</v>
      </c>
      <c r="AN110">
        <f>BE58</f>
        <v>0</v>
      </c>
      <c r="AO110">
        <f>BF58</f>
        <v>0</v>
      </c>
      <c r="AP110">
        <f>BG58</f>
        <v>0</v>
      </c>
      <c r="AQ110">
        <f>BH58</f>
        <v>0</v>
      </c>
      <c r="AR110">
        <f>E110+Q110+R110+S110+T110+U110+V110+W110+X110+Y110+Z110+AA110+AB110+AC110+AD110+AE110+AF110+AG110+AH110+AI110+AJ110+AK110+AM110+AN110+AO110+AP110+AQ110</f>
        <v>0</v>
      </c>
      <c r="AS110">
        <f>D110+AL116-AR110</f>
        <v>0</v>
      </c>
    </row>
    <row r="111" spans="1:45" ht="20.25" customHeight="1">
      <c r="A111" t="s">
        <v>111</v>
      </c>
      <c r="B111" t="s">
        <v>112</v>
      </c>
      <c r="C111" t="s">
        <v>113</v>
      </c>
      <c r="D111">
        <f t="shared" si="70"/>
        <v>1.65</v>
      </c>
      <c r="E111">
        <f t="shared" si="38"/>
        <v>0</v>
      </c>
      <c r="F111">
        <f t="shared" si="71"/>
        <v>0</v>
      </c>
      <c r="G111">
        <f t="shared" si="71"/>
        <v>0</v>
      </c>
      <c r="H111">
        <f t="shared" si="72"/>
        <v>0</v>
      </c>
      <c r="I111">
        <f t="shared" si="72"/>
        <v>0</v>
      </c>
      <c r="J111">
        <f t="shared" si="67"/>
        <v>0</v>
      </c>
      <c r="K111">
        <f t="shared" si="67"/>
        <v>0</v>
      </c>
      <c r="L111">
        <f t="shared" si="67"/>
        <v>0</v>
      </c>
      <c r="M111">
        <f t="shared" si="67"/>
        <v>0</v>
      </c>
      <c r="N111">
        <f t="shared" si="67"/>
        <v>0</v>
      </c>
      <c r="O111">
        <f t="shared" si="67"/>
        <v>0</v>
      </c>
      <c r="P111">
        <f t="shared" si="62"/>
        <v>1.65</v>
      </c>
      <c r="Q111">
        <f t="shared" si="68"/>
        <v>0</v>
      </c>
      <c r="R111">
        <f t="shared" si="68"/>
        <v>0</v>
      </c>
      <c r="S111">
        <f t="shared" si="68"/>
        <v>0</v>
      </c>
      <c r="T111">
        <f t="shared" si="68"/>
        <v>0</v>
      </c>
      <c r="U111">
        <f t="shared" si="68"/>
        <v>0</v>
      </c>
      <c r="V111">
        <f t="shared" si="68"/>
        <v>0</v>
      </c>
      <c r="W111">
        <f t="shared" si="68"/>
        <v>0</v>
      </c>
      <c r="X111">
        <f t="shared" si="68"/>
        <v>0</v>
      </c>
      <c r="Y111">
        <f t="shared" si="68"/>
        <v>0</v>
      </c>
      <c r="Z111">
        <f t="shared" si="73"/>
        <v>0</v>
      </c>
      <c r="AA111">
        <f t="shared" si="73"/>
        <v>0</v>
      </c>
      <c r="AB111">
        <f t="shared" si="73"/>
        <v>0</v>
      </c>
      <c r="AC111">
        <f t="shared" si="73"/>
        <v>0</v>
      </c>
      <c r="AD111">
        <f t="shared" si="73"/>
        <v>0</v>
      </c>
      <c r="AE111">
        <f t="shared" si="73"/>
        <v>0</v>
      </c>
      <c r="AF111">
        <f t="shared" si="73"/>
        <v>0</v>
      </c>
      <c r="AG111">
        <f t="shared" si="73"/>
        <v>0</v>
      </c>
      <c r="AH111">
        <f t="shared" si="73"/>
        <v>0</v>
      </c>
      <c r="AI111">
        <f t="shared" si="73"/>
        <v>0</v>
      </c>
      <c r="AJ111">
        <f t="shared" si="73"/>
        <v>0</v>
      </c>
      <c r="AK111">
        <f t="shared" si="73"/>
        <v>0</v>
      </c>
      <c r="AL111">
        <f>BC59</f>
        <v>0</v>
      </c>
      <c r="AM111">
        <f>D111-AR111</f>
        <v>1.65</v>
      </c>
      <c r="AN111">
        <f>BE59</f>
        <v>0</v>
      </c>
      <c r="AO111">
        <f>BF59</f>
        <v>0</v>
      </c>
      <c r="AP111">
        <f>BG59</f>
        <v>0</v>
      </c>
      <c r="AQ111">
        <f>BH59</f>
        <v>0</v>
      </c>
      <c r="AR111">
        <f>E111+Q111+R111+S111+T111+U111+V111+W111+X111+Y111+Z111+AA111+AB111+AC111+AD111+AE111+AF111+AG111+AH111+AI111+AJ111+AK111+AL111+AN111+AO111+AP111+AQ111</f>
        <v>0</v>
      </c>
      <c r="AS111">
        <f>D111+AM116-AR111</f>
        <v>1.65</v>
      </c>
    </row>
    <row r="112" spans="1:45" ht="20.25" customHeight="1">
      <c r="A112" t="s">
        <v>114</v>
      </c>
      <c r="B112" t="s">
        <v>115</v>
      </c>
      <c r="C112" t="s">
        <v>116</v>
      </c>
      <c r="D112">
        <f t="shared" si="70"/>
        <v>129.85</v>
      </c>
      <c r="E112">
        <f t="shared" si="38"/>
        <v>25.23</v>
      </c>
      <c r="F112">
        <f t="shared" si="71"/>
        <v>0</v>
      </c>
      <c r="G112">
        <f t="shared" si="71"/>
        <v>0</v>
      </c>
      <c r="H112">
        <f t="shared" si="72"/>
        <v>0</v>
      </c>
      <c r="I112">
        <f t="shared" si="72"/>
        <v>0</v>
      </c>
      <c r="J112">
        <f t="shared" si="67"/>
        <v>0</v>
      </c>
      <c r="K112">
        <f t="shared" si="67"/>
        <v>0</v>
      </c>
      <c r="L112">
        <f t="shared" si="67"/>
        <v>0</v>
      </c>
      <c r="M112">
        <f t="shared" si="67"/>
        <v>25.23</v>
      </c>
      <c r="N112">
        <f t="shared" si="67"/>
        <v>0</v>
      </c>
      <c r="O112">
        <f t="shared" si="67"/>
        <v>0</v>
      </c>
      <c r="P112">
        <f t="shared" si="62"/>
        <v>104.61999999999999</v>
      </c>
      <c r="Q112">
        <f t="shared" si="68"/>
        <v>0</v>
      </c>
      <c r="R112">
        <f t="shared" si="68"/>
        <v>0</v>
      </c>
      <c r="S112">
        <f t="shared" si="68"/>
        <v>0</v>
      </c>
      <c r="T112">
        <f t="shared" si="68"/>
        <v>0</v>
      </c>
      <c r="U112">
        <f t="shared" si="68"/>
        <v>0</v>
      </c>
      <c r="V112">
        <f t="shared" si="68"/>
        <v>0</v>
      </c>
      <c r="W112">
        <f t="shared" si="68"/>
        <v>0</v>
      </c>
      <c r="X112">
        <f t="shared" si="68"/>
        <v>0</v>
      </c>
      <c r="Y112">
        <f t="shared" si="68"/>
        <v>0</v>
      </c>
      <c r="Z112">
        <f t="shared" si="73"/>
        <v>0</v>
      </c>
      <c r="AA112">
        <f t="shared" si="73"/>
        <v>0</v>
      </c>
      <c r="AB112">
        <f t="shared" si="73"/>
        <v>0</v>
      </c>
      <c r="AC112">
        <f t="shared" si="73"/>
        <v>0</v>
      </c>
      <c r="AD112">
        <f t="shared" si="73"/>
        <v>0</v>
      </c>
      <c r="AE112">
        <f t="shared" si="73"/>
        <v>0</v>
      </c>
      <c r="AF112">
        <f t="shared" si="73"/>
        <v>0</v>
      </c>
      <c r="AG112">
        <f t="shared" si="73"/>
        <v>0</v>
      </c>
      <c r="AH112">
        <f t="shared" si="73"/>
        <v>0</v>
      </c>
      <c r="AI112">
        <f t="shared" si="73"/>
        <v>0</v>
      </c>
      <c r="AJ112">
        <f t="shared" si="73"/>
        <v>0</v>
      </c>
      <c r="AK112">
        <f t="shared" si="73"/>
        <v>0</v>
      </c>
      <c r="AL112">
        <f>BC60</f>
        <v>0</v>
      </c>
      <c r="AM112">
        <f>BD60</f>
        <v>0</v>
      </c>
      <c r="AN112">
        <f>D112-AR112</f>
        <v>104.61999999999999</v>
      </c>
      <c r="AO112">
        <f>BF60</f>
        <v>0</v>
      </c>
      <c r="AP112">
        <f>BG60</f>
        <v>0</v>
      </c>
      <c r="AQ112">
        <f>BH60</f>
        <v>0</v>
      </c>
      <c r="AR112">
        <f>E112+Q112+R112+S112+T112+U112+V112+W112+X112+Y112+Z112+AA112+AB112+AC112+AD112+AE112+AF112+AG112+AH112+AI112+AJ112+AK112+AL112+AM112+AO112+AP112+AQ112</f>
        <v>25.23</v>
      </c>
      <c r="AS112">
        <f>D112+AN116-AR112</f>
        <v>104.61999999999999</v>
      </c>
    </row>
    <row r="113" spans="1:45" ht="20.25" customHeight="1">
      <c r="A113" t="s">
        <v>117</v>
      </c>
      <c r="B113" t="s">
        <v>118</v>
      </c>
      <c r="C113" t="s">
        <v>119</v>
      </c>
      <c r="D113">
        <f t="shared" si="70"/>
        <v>0</v>
      </c>
      <c r="E113">
        <f t="shared" si="38"/>
        <v>0</v>
      </c>
      <c r="F113">
        <f t="shared" si="71"/>
        <v>0</v>
      </c>
      <c r="G113">
        <f t="shared" si="71"/>
        <v>0</v>
      </c>
      <c r="H113">
        <f t="shared" si="72"/>
        <v>0</v>
      </c>
      <c r="I113">
        <f t="shared" si="72"/>
        <v>0</v>
      </c>
      <c r="J113">
        <f t="shared" si="67"/>
        <v>0</v>
      </c>
      <c r="K113">
        <f t="shared" si="67"/>
        <v>0</v>
      </c>
      <c r="L113">
        <f t="shared" si="67"/>
        <v>0</v>
      </c>
      <c r="M113">
        <f t="shared" si="67"/>
        <v>0</v>
      </c>
      <c r="N113">
        <f t="shared" si="67"/>
        <v>0</v>
      </c>
      <c r="O113">
        <f t="shared" si="67"/>
        <v>0</v>
      </c>
      <c r="P113">
        <f t="shared" si="62"/>
        <v>0</v>
      </c>
      <c r="Q113">
        <f t="shared" si="68"/>
        <v>0</v>
      </c>
      <c r="R113">
        <f t="shared" si="68"/>
        <v>0</v>
      </c>
      <c r="S113">
        <f t="shared" si="68"/>
        <v>0</v>
      </c>
      <c r="T113">
        <f t="shared" si="68"/>
        <v>0</v>
      </c>
      <c r="U113">
        <f t="shared" si="68"/>
        <v>0</v>
      </c>
      <c r="V113">
        <f t="shared" si="68"/>
        <v>0</v>
      </c>
      <c r="W113">
        <f t="shared" si="68"/>
        <v>0</v>
      </c>
      <c r="X113">
        <f t="shared" si="68"/>
        <v>0</v>
      </c>
      <c r="Y113">
        <f t="shared" si="68"/>
        <v>0</v>
      </c>
      <c r="Z113">
        <f t="shared" si="73"/>
        <v>0</v>
      </c>
      <c r="AA113">
        <f t="shared" si="73"/>
        <v>0</v>
      </c>
      <c r="AB113">
        <f t="shared" si="73"/>
        <v>0</v>
      </c>
      <c r="AC113">
        <f t="shared" si="73"/>
        <v>0</v>
      </c>
      <c r="AD113">
        <f t="shared" si="73"/>
        <v>0</v>
      </c>
      <c r="AE113">
        <f t="shared" si="73"/>
        <v>0</v>
      </c>
      <c r="AF113">
        <f t="shared" si="73"/>
        <v>0</v>
      </c>
      <c r="AG113">
        <f t="shared" si="73"/>
        <v>0</v>
      </c>
      <c r="AH113">
        <f t="shared" si="73"/>
        <v>0</v>
      </c>
      <c r="AI113">
        <f t="shared" si="73"/>
        <v>0</v>
      </c>
      <c r="AJ113">
        <f t="shared" si="73"/>
        <v>0</v>
      </c>
      <c r="AK113">
        <f t="shared" si="73"/>
        <v>0</v>
      </c>
      <c r="AL113">
        <f>BC61</f>
        <v>0</v>
      </c>
      <c r="AM113">
        <f>BD61</f>
        <v>0</v>
      </c>
      <c r="AN113">
        <f>BE61</f>
        <v>0</v>
      </c>
      <c r="AO113">
        <f>D113-AR113</f>
        <v>0</v>
      </c>
      <c r="AP113">
        <f>BG61</f>
        <v>0</v>
      </c>
      <c r="AQ113">
        <f>BH61</f>
        <v>0</v>
      </c>
      <c r="AR113">
        <f>E113+Q113+R113+S113+T113+U113+V113+W113+X113+Y113+Z113+AA113+AB113+AC113+AD113+AE113+AF113+AG113+AH113+AI113+AJ113+AK113+AL113+AM113+AN113+AP113+AQ113</f>
        <v>0</v>
      </c>
      <c r="AS113">
        <f>D113+AO116-AR113</f>
        <v>0</v>
      </c>
    </row>
    <row r="114" spans="1:45" ht="20.25" customHeight="1">
      <c r="A114" t="s">
        <v>120</v>
      </c>
      <c r="B114" t="s">
        <v>121</v>
      </c>
      <c r="C114" t="s">
        <v>122</v>
      </c>
      <c r="D114">
        <f t="shared" si="70"/>
        <v>0</v>
      </c>
      <c r="E114">
        <f t="shared" si="38"/>
        <v>0</v>
      </c>
      <c r="F114">
        <f t="shared" si="71"/>
        <v>0</v>
      </c>
      <c r="G114">
        <f t="shared" si="71"/>
        <v>0</v>
      </c>
      <c r="H114">
        <f t="shared" si="72"/>
        <v>0</v>
      </c>
      <c r="I114">
        <f t="shared" si="72"/>
        <v>0</v>
      </c>
      <c r="J114">
        <f t="shared" ref="J114:O115" si="74">P62</f>
        <v>0</v>
      </c>
      <c r="K114">
        <f t="shared" si="74"/>
        <v>0</v>
      </c>
      <c r="L114">
        <f t="shared" si="74"/>
        <v>0</v>
      </c>
      <c r="M114">
        <f t="shared" si="74"/>
        <v>0</v>
      </c>
      <c r="N114">
        <f t="shared" si="74"/>
        <v>0</v>
      </c>
      <c r="O114">
        <f t="shared" si="74"/>
        <v>0</v>
      </c>
      <c r="P114">
        <f t="shared" si="62"/>
        <v>0</v>
      </c>
      <c r="Q114">
        <f t="shared" ref="Q114:Y115" si="75">W62</f>
        <v>0</v>
      </c>
      <c r="R114">
        <f t="shared" si="75"/>
        <v>0</v>
      </c>
      <c r="S114">
        <f t="shared" si="75"/>
        <v>0</v>
      </c>
      <c r="T114">
        <f t="shared" si="75"/>
        <v>0</v>
      </c>
      <c r="U114">
        <f t="shared" si="75"/>
        <v>0</v>
      </c>
      <c r="V114">
        <f t="shared" si="75"/>
        <v>0</v>
      </c>
      <c r="W114">
        <f t="shared" si="75"/>
        <v>0</v>
      </c>
      <c r="X114">
        <f t="shared" si="75"/>
        <v>0</v>
      </c>
      <c r="Y114">
        <f t="shared" si="75"/>
        <v>0</v>
      </c>
      <c r="Z114">
        <f t="shared" si="73"/>
        <v>0</v>
      </c>
      <c r="AA114">
        <f t="shared" si="73"/>
        <v>0</v>
      </c>
      <c r="AB114">
        <f t="shared" si="73"/>
        <v>0</v>
      </c>
      <c r="AC114">
        <f t="shared" si="73"/>
        <v>0</v>
      </c>
      <c r="AD114">
        <f t="shared" si="73"/>
        <v>0</v>
      </c>
      <c r="AE114">
        <f t="shared" si="73"/>
        <v>0</v>
      </c>
      <c r="AF114">
        <f t="shared" si="73"/>
        <v>0</v>
      </c>
      <c r="AG114">
        <f t="shared" si="73"/>
        <v>0</v>
      </c>
      <c r="AH114">
        <f t="shared" si="73"/>
        <v>0</v>
      </c>
      <c r="AI114">
        <f t="shared" si="73"/>
        <v>0</v>
      </c>
      <c r="AJ114">
        <f t="shared" si="73"/>
        <v>0</v>
      </c>
      <c r="AK114">
        <f t="shared" si="73"/>
        <v>0</v>
      </c>
      <c r="AL114">
        <f>BC62</f>
        <v>0</v>
      </c>
      <c r="AM114">
        <f>BD62</f>
        <v>0</v>
      </c>
      <c r="AN114">
        <f>BE62</f>
        <v>0</v>
      </c>
      <c r="AO114">
        <f>BF62</f>
        <v>0</v>
      </c>
      <c r="AP114">
        <f>D114-AR114</f>
        <v>0</v>
      </c>
      <c r="AQ114">
        <f>BH62</f>
        <v>0</v>
      </c>
      <c r="AR114">
        <f>E114+Q114+R114+S114+T114+U114+V114+W114+X114+Y114+Z114+AA114+AB114+AC114+AD114+AE114+AF114+AG114+AH114+AI114+AJ114+AK114+AL114+AM114+AN114+AO114+AQ114</f>
        <v>0</v>
      </c>
      <c r="AS114">
        <f>D114+AP116-AR114</f>
        <v>0</v>
      </c>
    </row>
    <row r="115" spans="1:45" ht="20.25" customHeight="1">
      <c r="A115">
        <v>3</v>
      </c>
      <c r="B115" t="s">
        <v>123</v>
      </c>
      <c r="C115" t="s">
        <v>124</v>
      </c>
      <c r="D115">
        <f>D63</f>
        <v>146.24</v>
      </c>
      <c r="E115">
        <f>F115+H115+I115+J115+K115+L115+M115+N115+O115</f>
        <v>0</v>
      </c>
      <c r="F115">
        <f t="shared" si="71"/>
        <v>0</v>
      </c>
      <c r="G115">
        <f t="shared" si="71"/>
        <v>0</v>
      </c>
      <c r="H115">
        <f t="shared" si="72"/>
        <v>0</v>
      </c>
      <c r="I115">
        <f t="shared" si="72"/>
        <v>0</v>
      </c>
      <c r="J115">
        <f t="shared" si="74"/>
        <v>0</v>
      </c>
      <c r="K115">
        <f t="shared" si="74"/>
        <v>0</v>
      </c>
      <c r="L115">
        <f t="shared" si="74"/>
        <v>0</v>
      </c>
      <c r="M115">
        <f t="shared" si="74"/>
        <v>0</v>
      </c>
      <c r="N115">
        <f t="shared" si="74"/>
        <v>0</v>
      </c>
      <c r="O115">
        <f t="shared" si="74"/>
        <v>0</v>
      </c>
      <c r="P115">
        <f>SUM(Q115:AP115)</f>
        <v>1.07</v>
      </c>
      <c r="Q115">
        <f t="shared" si="75"/>
        <v>0.01</v>
      </c>
      <c r="R115">
        <f t="shared" si="75"/>
        <v>0</v>
      </c>
      <c r="S115">
        <f t="shared" si="75"/>
        <v>0</v>
      </c>
      <c r="T115">
        <f t="shared" si="75"/>
        <v>0</v>
      </c>
      <c r="U115">
        <f t="shared" si="75"/>
        <v>0</v>
      </c>
      <c r="V115">
        <f t="shared" si="75"/>
        <v>0</v>
      </c>
      <c r="W115">
        <f t="shared" si="75"/>
        <v>0</v>
      </c>
      <c r="X115">
        <f t="shared" si="75"/>
        <v>0</v>
      </c>
      <c r="Y115">
        <f t="shared" si="75"/>
        <v>1.06</v>
      </c>
      <c r="Z115">
        <f t="shared" si="73"/>
        <v>0</v>
      </c>
      <c r="AA115">
        <f t="shared" si="73"/>
        <v>0</v>
      </c>
      <c r="AB115">
        <f t="shared" si="73"/>
        <v>0</v>
      </c>
      <c r="AC115">
        <f t="shared" si="73"/>
        <v>0</v>
      </c>
      <c r="AD115">
        <f t="shared" si="73"/>
        <v>0</v>
      </c>
      <c r="AE115">
        <f t="shared" si="73"/>
        <v>0</v>
      </c>
      <c r="AF115">
        <f t="shared" si="73"/>
        <v>0</v>
      </c>
      <c r="AG115">
        <f t="shared" si="73"/>
        <v>0</v>
      </c>
      <c r="AH115">
        <f t="shared" si="73"/>
        <v>0</v>
      </c>
      <c r="AI115">
        <f t="shared" si="73"/>
        <v>0</v>
      </c>
      <c r="AJ115">
        <f t="shared" si="73"/>
        <v>0</v>
      </c>
      <c r="AK115">
        <f t="shared" si="73"/>
        <v>0</v>
      </c>
      <c r="AL115">
        <f>BC63</f>
        <v>0</v>
      </c>
      <c r="AM115">
        <f>BD63</f>
        <v>0</v>
      </c>
      <c r="AN115">
        <f>BE63</f>
        <v>0</v>
      </c>
      <c r="AO115">
        <f>BF63</f>
        <v>0</v>
      </c>
      <c r="AP115">
        <f>BG63</f>
        <v>0</v>
      </c>
      <c r="AQ115">
        <f>AR115</f>
        <v>1.07</v>
      </c>
      <c r="AR115">
        <f>E115+Q115+R115+S115+T115+U115+V115+W115+X115+Y115+Z115+AA115+AB115+AC115+AD115+AE115+AF115+AG115+AH115+AI115+AJ115+AL115+AM115+AN115+AO115+AP115</f>
        <v>1.07</v>
      </c>
      <c r="AS115">
        <f>D115+AQ116-AR115</f>
        <v>145.17000000000002</v>
      </c>
    </row>
    <row r="116" spans="1:45" ht="20.25" customHeight="1">
      <c r="B116" t="s">
        <v>190</v>
      </c>
      <c r="E116">
        <f>E88+E115</f>
        <v>25.23</v>
      </c>
      <c r="F116">
        <f>F80+F81+F82+F83+F84+F85+F86+F87+F88+F115</f>
        <v>0</v>
      </c>
      <c r="G116">
        <f>G78+G80+G81+G82+G83+G84+G85+G86+G87+G88+G115</f>
        <v>0</v>
      </c>
      <c r="H116">
        <f>H78+H81+H82+H83+H84+H85+H86+H87+H88+H115</f>
        <v>0</v>
      </c>
      <c r="I116">
        <f>I78+I80+I82+I83+I84+I85+I86+I87+I88+I115</f>
        <v>0</v>
      </c>
      <c r="J116">
        <f>J78+J80+J81+J83+J84+J85+J86+J87+J88+J115</f>
        <v>0</v>
      </c>
      <c r="K116">
        <f>K78+K80+K81+K82+K84+K85+K86+K87+K88+K115</f>
        <v>0</v>
      </c>
      <c r="L116">
        <f>L78+L80+L81+L82+L83+L85+L86+L87+L88+L115</f>
        <v>0</v>
      </c>
      <c r="M116">
        <f>M78+M80+M81+M82+M83+M84+M86+M87+M88+M115</f>
        <v>25.23</v>
      </c>
      <c r="N116">
        <f>N78+N80+N81+N82+N83+N84+N85+N87+N88+N115</f>
        <v>0</v>
      </c>
      <c r="O116">
        <f>O78+O80+O81+O82+O83+O84+O85+O86+O88+O115</f>
        <v>0</v>
      </c>
      <c r="P116">
        <f>P77+P115</f>
        <v>2.79</v>
      </c>
      <c r="Q116">
        <f>Q77+Q90+Q91+Q92+Q93+Q94+Q95+Q96+Q97+Q98+Q99+Q100+Q101+Q102+Q103+Q104+Q105+Q106+Q107+Q108+Q109+Q110+Q111+Q112+Q113+Q114+Q115</f>
        <v>2.1999999999999997</v>
      </c>
      <c r="R116">
        <f>R77+R89+R91+R92+R93+R94+R95+R96+R97+R98+R99+R100+R101+R102+R103+R104+R105+R106+R107+R108+R109+R110+R111+R112+R113+R114+R115</f>
        <v>0</v>
      </c>
      <c r="S116">
        <f>S77+S89+S90+S92+S93+S94+S95+S96+S97+S98+S99+S100+S101+S102+S103+S104+S105+S106+S107+S108+S109+S110+S111+S112+S113+S114+S115</f>
        <v>0</v>
      </c>
      <c r="T116">
        <f>T77+T89+T90+T91+T93+T94+T95+T96+T97+T98+T99+T100+T101+T102+T103+T104+T105+T106+T107+T108+T109+T110+T111+T112+T113+T114+T115</f>
        <v>0</v>
      </c>
      <c r="U116">
        <f>U77+U89+U90+U91+U92+U94+U95+U96+U97+U98+U99+U100+U101+U102+U103+U104+U105+U106+U107+U108+U109+U110+U111+U112+U113+U114+U115</f>
        <v>0</v>
      </c>
      <c r="V116">
        <f>V77+V89+V90+V91+V92+V93+V95+V96+V97+V98+V99+V100+V101+V102+V103+V104+V105+V106+V107+V108+V109+V110+V111+V112+V113+V114+V115</f>
        <v>0</v>
      </c>
      <c r="W116">
        <f>W77+W89+W90+W91+W92+W93+W94+W96+W97+W98+W99+W100+W101+W102+W103+W104+W105+W106+W107+W108+W109+W110+W111+W112+W113+W114+W115</f>
        <v>0</v>
      </c>
      <c r="X116">
        <f>X77+X89+X90+X91+X92+X93+X94+X95+X97+X98+X99+X100+X101+X102+X103+X104+X105+X106+X107+X108+X109+X110+X111+X112+X113+X114+X115</f>
        <v>0</v>
      </c>
      <c r="Y116">
        <f>Y77+Y89+Y90+Y91+Y92+Y93+Y94+Y95+Y96+Y98+Y99+Y100+Y101+Y102+Y103+Y104+Y105+Y106+Y107+Y108+Y109+Y110+Y111+Y112+Y113+Y114+Y115</f>
        <v>3.7</v>
      </c>
      <c r="Z116">
        <f>Z77+Z89+Z90+Z91+Z92+Z93+Z94+Z95+Z96+Z97+Z99+Z100+Z101+Z102+Z103+Z104+Z105+Z106+Z107+Z108+Z109+Z110+Z111+Z112+Z113+Z114+Z115</f>
        <v>0</v>
      </c>
      <c r="AA116">
        <f>AA77+AA89+AA90+AA91+AA92+AA93+AA94+AA95+AA96+AA97+AA98+AA100+AA101+AA102+AA103+AA104+AA105+AA106+AA107+AA108+AA109+AA110+AA111+AA112+AA113+AA114+AA115</f>
        <v>0</v>
      </c>
      <c r="AB116">
        <f>AB77+AB89+AB90+AB91+AB92+AB93+AB94+AB95+AB96+AB97+AB98+AB99+AB101+AB102+AB103+AB104+AB105+AB106+AB107+AB108+AB109+AB110+AB111+AB112+AB113+AB114+AB115</f>
        <v>0</v>
      </c>
      <c r="AC116">
        <f>AC77+AC89+AC90+AC91+AC92+AC93+AC94+AC95+AC96+AC97+AC98+AC99+AC100+AC102+AC103+AC104+AC105+AC106+AC107+AC108+AC109+AC110+AC111+AC112+AC113+AC114+AC115</f>
        <v>0</v>
      </c>
      <c r="AD116">
        <f>AD77+AD89+AD90+AD91+AD92+AD93+AD94+AD95+AD96+AD97+AD98+AD99+AD100+AD101+AD103+AD104+AD105+AD106+AD107+AD108+AD109+AD110+AD111+AD112+AD113+AD114+AD115</f>
        <v>0.55000000000000004</v>
      </c>
      <c r="AE116">
        <f>AE77+AE89+AE90+AE91+AE92+AE93+AE94+AE95+AE96+AE97+AE98+AE99+AE100+AE101+AE102+AE104+AE105+AE106+AE107+AE108+AE109+AE110+AE111+AE112+AE113+AE114+AE115</f>
        <v>0</v>
      </c>
      <c r="AF116">
        <f>AF77+AF89+AF90+AF91+AF92+AF93+AF94+AF95+AF96+AF97+AF98+AF99+AF100+AF101+AF102+AF103+AF105+AF106+AF107+AF108+AF109+AF110+AF111+AF112+AF113+AF114+AF115</f>
        <v>0</v>
      </c>
      <c r="AG116">
        <f>AG77+AG89+AG90+AG91+AG92+AG93+AG94+AG95+AG96+AG97+AG98+AG99+AG100+AG101+AG102+AG103+AG104+AG106+AG107+AG108+AG109+AG110+AG111+AG112+AG113+AG114+AG115</f>
        <v>0</v>
      </c>
      <c r="AH116">
        <f>AH77+AH89+AH90+AH91+AH92+AH93+AH94+AH95+AH96+AH97+AH98+AH99+AH100+AH101+AH102+AH103+AH104+AH105+AH107+AH108+AH109+AH110+AH111+AH112+AH113+AH114+AH115</f>
        <v>0</v>
      </c>
      <c r="AI116">
        <f>AI77+AI89+AI90+AI91+AI92+AI93+AI94+AI95+AI96+AI97+AI98+AI99+AI100+AI101+AI102+AI103+AI104+AI105+AI106+AI108+AI109+AI110+AI111+AI112+AI113+AI114+AI115</f>
        <v>0</v>
      </c>
      <c r="AJ116">
        <f>AJ77+AJ89+AJ90+AJ91+AJ92+AJ93+AJ94+AJ95+AJ96+AJ97+AJ98+AJ99+AJ100+AJ101+AJ102+AJ103+AJ104+AJ105+AJ106+AJ107+AJ109+AJ110+AJ111+AJ112+AJ113+AJ114+AJ115</f>
        <v>0</v>
      </c>
      <c r="AK116">
        <f>AK77+AK89+AK90+AK91+AK92+AK93+AK94+AK95+AK96+AK97+AK98+AK99+AK100+AK101+AK102+AK103+AK104+AK105+AK106+AK107+AK108+AK110+AK111+AK112+AK113+AK114+AK115</f>
        <v>0</v>
      </c>
      <c r="AL116">
        <f>AL77+AL89+AL90+AL91+AL92+AL93+AL94+AL95+AL96+AL97+AL98+AL99+AL100+AL101+AL102+AL103+AL104+AL105+AL106+AL107+AL108+AL109+AL111+AL112+AL113+AL114+AL115</f>
        <v>0</v>
      </c>
      <c r="AM116">
        <f>AM77+AM89+AM90+AM91+AM92+AM93+AM94+AM95+AM96+AM97+AM98+AM99+AM100+AM101+AM102+AM103+AM104+AM105+AM106+AM107+AM108+AM109+AM110+AM112+AM113+AM114+AM115</f>
        <v>0</v>
      </c>
      <c r="AN116">
        <f>AN77+AN89+AN90+AN91+AN92+AN93+AN94+AN95+AN96+AN97+AN98+AN99+AN100+AN101+AN102+AN103+AN104+AN105+AN106+AN107+AN108+AN109+AN110+AN111+AN113+AN114+AN115</f>
        <v>0</v>
      </c>
      <c r="AO116">
        <f>AO77+AO89+AO90+AO91+AO92+AO93+AO94+AO95+AO96+AO97+AO98+AO99+AO100+AO101+AO102+AO103+AO104+AO105+AO106+AO107+AO108+AO109+AO110+AO111+AO112+AO114+AO115</f>
        <v>0</v>
      </c>
      <c r="AP116">
        <f>AP77+AP89+AP90+AP91+AP92+AP93+AP94+AP95+AP96+AP97+AP98+AP99+AP100+AP101+AP102+AP103+AP104+AP105+AP106+AP107+AP108+AP109+AP110+AP111+AP112+AP113+AP115</f>
        <v>0</v>
      </c>
      <c r="AQ116">
        <f>AQ77+AQ88</f>
        <v>0</v>
      </c>
    </row>
    <row r="117" spans="1:45" ht="25.5" customHeight="1">
      <c r="B117" t="s">
        <v>325</v>
      </c>
      <c r="D117">
        <f>AS76</f>
        <v>1317.0395000000001</v>
      </c>
      <c r="E117">
        <f>AS77</f>
        <v>730.31</v>
      </c>
      <c r="F117">
        <f>AS78</f>
        <v>17.09</v>
      </c>
      <c r="G117">
        <f>AS79</f>
        <v>17.09</v>
      </c>
      <c r="H117">
        <f>AS80</f>
        <v>14.13</v>
      </c>
      <c r="I117">
        <f>AS81</f>
        <v>27.29</v>
      </c>
      <c r="J117">
        <f>AS82</f>
        <v>514.20000000000005</v>
      </c>
      <c r="K117">
        <f>AS83</f>
        <v>0</v>
      </c>
      <c r="L117">
        <f>AS84</f>
        <v>20.92</v>
      </c>
      <c r="M117">
        <f>AS85</f>
        <v>136.68</v>
      </c>
      <c r="N117">
        <f>AS86</f>
        <v>0</v>
      </c>
      <c r="O117">
        <f>AS87</f>
        <v>0</v>
      </c>
      <c r="P117">
        <f>AS88</f>
        <v>441.55950000000001</v>
      </c>
      <c r="Q117">
        <f>AS89</f>
        <v>10.07</v>
      </c>
      <c r="R117">
        <f>AS90</f>
        <v>1.19</v>
      </c>
      <c r="S117">
        <f>AS91</f>
        <v>0</v>
      </c>
      <c r="T117">
        <f>AS92</f>
        <v>0</v>
      </c>
      <c r="U117">
        <f>AS93</f>
        <v>0</v>
      </c>
      <c r="V117">
        <f>AS94</f>
        <v>84.41</v>
      </c>
      <c r="W117">
        <f>AS95</f>
        <v>0</v>
      </c>
      <c r="X117">
        <f>AS96</f>
        <v>0</v>
      </c>
      <c r="Y117">
        <f>AS97</f>
        <v>168.08949999999999</v>
      </c>
      <c r="Z117">
        <f>AS98</f>
        <v>0.17</v>
      </c>
      <c r="AA117">
        <f>AS99</f>
        <v>0</v>
      </c>
      <c r="AB117">
        <f>AS100</f>
        <v>0</v>
      </c>
      <c r="AC117">
        <f>AS101</f>
        <v>0</v>
      </c>
      <c r="AD117">
        <f>AS102</f>
        <v>34.15</v>
      </c>
      <c r="AE117">
        <f>AS103</f>
        <v>0.3</v>
      </c>
      <c r="AF117">
        <f>AS104</f>
        <v>0</v>
      </c>
      <c r="AG117">
        <f>AS105</f>
        <v>0</v>
      </c>
      <c r="AH117">
        <f>AS106</f>
        <v>2</v>
      </c>
      <c r="AI117">
        <f>AS107</f>
        <v>34.43</v>
      </c>
      <c r="AJ117">
        <f>AS108</f>
        <v>0.04</v>
      </c>
      <c r="AK117">
        <f>AS109</f>
        <v>0.44</v>
      </c>
      <c r="AL117">
        <f>AS110</f>
        <v>0</v>
      </c>
      <c r="AM117">
        <f>AS111</f>
        <v>1.65</v>
      </c>
      <c r="AN117">
        <f>AS112</f>
        <v>104.61999999999999</v>
      </c>
      <c r="AO117">
        <f>AS113</f>
        <v>0</v>
      </c>
      <c r="AP117">
        <f>AS114</f>
        <v>0</v>
      </c>
      <c r="AQ117">
        <f>AS115</f>
        <v>145.17000000000002</v>
      </c>
    </row>
  </sheetData>
  <mergeCells count="21">
    <mergeCell ref="A1:B1"/>
    <mergeCell ref="A2:BN2"/>
    <mergeCell ref="A4:A5"/>
    <mergeCell ref="B4:B5"/>
    <mergeCell ref="C4:C5"/>
    <mergeCell ref="A74:A75"/>
    <mergeCell ref="BN4:BN5"/>
    <mergeCell ref="A70:B70"/>
    <mergeCell ref="BM4:BM5"/>
    <mergeCell ref="A72:AS72"/>
    <mergeCell ref="AS74:AS75"/>
    <mergeCell ref="D4:D5"/>
    <mergeCell ref="C74:C75"/>
    <mergeCell ref="A71:AS71"/>
    <mergeCell ref="E74:AQ74"/>
    <mergeCell ref="D74:D75"/>
    <mergeCell ref="E4:BK4"/>
    <mergeCell ref="AR73:AS73"/>
    <mergeCell ref="BL4:BL5"/>
    <mergeCell ref="B74:B75"/>
    <mergeCell ref="AR74:AR75"/>
  </mergeCells>
  <phoneticPr fontId="4" type="noConversion"/>
  <pageMargins left="0.75" right="0.75" top="1" bottom="1" header="0.5" footer="0.5"/>
  <pageSetup paperSize="9" scale="45" orientation="portrait" r:id="rId1"/>
  <headerFooter alignWithMargins="0"/>
  <legacyDrawing r:id="rId2"/>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7"/>
  <dimension ref="A1:BP117"/>
  <sheetViews>
    <sheetView showZeros="0" topLeftCell="A4" zoomScale="75" workbookViewId="0">
      <pane xSplit="4" ySplit="4" topLeftCell="AU58" activePane="bottomRight" state="frozen"/>
      <selection activeCell="A4" sqref="A4"/>
      <selection pane="topRight" activeCell="E4" sqref="E4"/>
      <selection pane="bottomLeft" activeCell="A8" sqref="A8"/>
      <selection pane="bottomRight" activeCell="AU38" sqref="AU38"/>
    </sheetView>
  </sheetViews>
  <sheetFormatPr defaultRowHeight="24.95" customHeight="1"/>
  <cols>
    <col min="1" max="1" width="10.5703125" customWidth="1"/>
    <col min="2" max="2" width="47.140625" customWidth="1"/>
    <col min="3" max="3" width="8.28515625" customWidth="1"/>
    <col min="4" max="4" width="13.5703125" customWidth="1"/>
    <col min="5" max="6" width="11.85546875" customWidth="1"/>
    <col min="7" max="7" width="11.28515625" customWidth="1"/>
    <col min="8" max="8" width="10.85546875" customWidth="1"/>
    <col min="9" max="9" width="11.140625" customWidth="1"/>
    <col min="10" max="10" width="11" customWidth="1"/>
    <col min="11" max="11" width="10" customWidth="1"/>
    <col min="12" max="12" width="11.140625" customWidth="1"/>
    <col min="13" max="13" width="11.85546875" customWidth="1"/>
    <col min="14" max="15" width="11.28515625" customWidth="1"/>
    <col min="16" max="16" width="12.85546875" customWidth="1"/>
    <col min="17" max="17" width="12.28515625" customWidth="1"/>
    <col min="18" max="18" width="10.85546875" customWidth="1"/>
    <col min="20" max="20" width="10.140625" customWidth="1"/>
    <col min="21" max="21" width="9.85546875" customWidth="1"/>
    <col min="22" max="22" width="11.5703125" customWidth="1"/>
    <col min="23" max="23" width="11.140625" customWidth="1"/>
    <col min="24" max="24" width="10.7109375" customWidth="1"/>
    <col min="25" max="25" width="10.42578125" customWidth="1"/>
    <col min="26" max="26" width="11.140625" customWidth="1"/>
    <col min="27" max="27" width="9.85546875" customWidth="1"/>
    <col min="28" max="39" width="10.42578125" customWidth="1"/>
    <col min="40" max="40" width="11" customWidth="1"/>
    <col min="41" max="43" width="9.42578125" customWidth="1"/>
    <col min="44" max="44" width="10.85546875" customWidth="1"/>
    <col min="45" max="45" width="9.28515625" customWidth="1"/>
    <col min="46" max="47" width="9.42578125" customWidth="1"/>
    <col min="48" max="48" width="11.5703125" customWidth="1"/>
    <col min="49" max="59" width="9" customWidth="1"/>
    <col min="60" max="60" width="10.140625" customWidth="1"/>
    <col min="61" max="62" width="9.85546875" customWidth="1"/>
    <col min="64" max="64" width="10.5703125" customWidth="1"/>
    <col min="65" max="65" width="12.140625" customWidth="1"/>
    <col min="66" max="66" width="13" customWidth="1"/>
    <col min="67" max="67" width="9.5703125" bestFit="1" customWidth="1"/>
  </cols>
  <sheetData>
    <row r="1" spans="1:68" ht="24.95" customHeight="1">
      <c r="A1" s="1300" t="s">
        <v>301</v>
      </c>
      <c r="B1" s="1300"/>
    </row>
    <row r="2" spans="1:68" ht="36.75" customHeight="1">
      <c r="A2" s="1282" t="s">
        <v>972</v>
      </c>
      <c r="B2" s="1282"/>
      <c r="C2" s="1282"/>
      <c r="D2" s="1282"/>
      <c r="E2" s="1282"/>
      <c r="F2" s="1282"/>
      <c r="G2" s="1282"/>
      <c r="H2" s="1282"/>
      <c r="I2" s="1282"/>
      <c r="J2" s="1282"/>
      <c r="K2" s="1282"/>
      <c r="L2" s="1282"/>
      <c r="M2" s="1282"/>
      <c r="N2" s="1282"/>
      <c r="O2" s="1282"/>
      <c r="P2" s="1282"/>
      <c r="Q2" s="1282"/>
      <c r="R2" s="1282"/>
      <c r="S2" s="1282"/>
      <c r="T2" s="1282"/>
      <c r="U2" s="1282"/>
      <c r="V2" s="1282"/>
      <c r="W2" s="1282"/>
      <c r="X2" s="1282"/>
      <c r="Y2" s="1282"/>
      <c r="Z2" s="1282"/>
      <c r="AA2" s="1282"/>
      <c r="AB2" s="1282"/>
      <c r="AC2" s="1282"/>
      <c r="AD2" s="1282"/>
      <c r="AE2" s="1282"/>
      <c r="AF2" s="1282"/>
      <c r="AG2" s="1282"/>
      <c r="AH2" s="1282"/>
      <c r="AI2" s="1282"/>
      <c r="AJ2" s="1282"/>
      <c r="AK2" s="1282"/>
      <c r="AL2" s="1282"/>
      <c r="AM2" s="1282"/>
      <c r="AN2" s="1282"/>
      <c r="AO2" s="1282"/>
      <c r="AP2" s="1282"/>
      <c r="AQ2" s="1282"/>
      <c r="AR2" s="1282"/>
      <c r="AS2" s="1282"/>
      <c r="AT2" s="1282"/>
      <c r="AU2" s="1282"/>
      <c r="AV2" s="1282"/>
      <c r="AW2" s="1282"/>
      <c r="AX2" s="1282"/>
      <c r="AY2" s="1282"/>
      <c r="AZ2" s="1282"/>
      <c r="BA2" s="1282"/>
      <c r="BB2" s="1282"/>
      <c r="BC2" s="1282"/>
      <c r="BD2" s="1282"/>
      <c r="BE2" s="1282"/>
      <c r="BF2" s="1282"/>
      <c r="BG2" s="1282"/>
      <c r="BH2" s="1282"/>
      <c r="BI2" s="1282"/>
      <c r="BJ2" s="1282"/>
      <c r="BK2" s="1282"/>
      <c r="BL2" s="1282"/>
      <c r="BM2" s="1282"/>
      <c r="BN2" s="1282"/>
    </row>
    <row r="4" spans="1:68" ht="33" customHeight="1">
      <c r="A4" s="1275" t="s">
        <v>136</v>
      </c>
      <c r="B4" s="1275" t="s">
        <v>469</v>
      </c>
      <c r="C4" s="1275" t="s">
        <v>13</v>
      </c>
      <c r="D4" s="1275" t="s">
        <v>693</v>
      </c>
      <c r="E4" s="1368" t="s">
        <v>694</v>
      </c>
      <c r="F4" s="1368"/>
      <c r="G4" s="1368"/>
      <c r="H4" s="1368"/>
      <c r="I4" s="1368"/>
      <c r="J4" s="1368"/>
      <c r="K4" s="1368"/>
      <c r="L4" s="1368"/>
      <c r="M4" s="1368"/>
      <c r="N4" s="1368"/>
      <c r="O4" s="1368"/>
      <c r="P4" s="1368"/>
      <c r="Q4" s="1368"/>
      <c r="R4" s="1368"/>
      <c r="S4" s="1368"/>
      <c r="T4" s="1368"/>
      <c r="U4" s="1368"/>
      <c r="V4" s="1368"/>
      <c r="W4" s="1368"/>
      <c r="X4" s="1368"/>
      <c r="Y4" s="1368"/>
      <c r="Z4" s="1368"/>
      <c r="AA4" s="1368"/>
      <c r="AB4" s="1368"/>
      <c r="AC4" s="1368"/>
      <c r="AD4" s="1368"/>
      <c r="AE4" s="1368"/>
      <c r="AF4" s="1368"/>
      <c r="AG4" s="1368"/>
      <c r="AH4" s="1368"/>
      <c r="AI4" s="1368"/>
      <c r="AJ4" s="1368"/>
      <c r="AK4" s="1368"/>
      <c r="AL4" s="1368"/>
      <c r="AM4" s="1368"/>
      <c r="AN4" s="1368"/>
      <c r="AO4" s="1368"/>
      <c r="AP4" s="1368"/>
      <c r="AQ4" s="1368"/>
      <c r="AR4" s="1368"/>
      <c r="AS4" s="1368"/>
      <c r="AT4" s="1368"/>
      <c r="AU4" s="1368"/>
      <c r="AV4" s="1368"/>
      <c r="AW4" s="1368"/>
      <c r="AX4" s="1368"/>
      <c r="AY4" s="1368"/>
      <c r="AZ4" s="1368"/>
      <c r="BA4" s="1368"/>
      <c r="BB4" s="1368"/>
      <c r="BC4" s="1368"/>
      <c r="BD4" s="1368"/>
      <c r="BE4" s="1368"/>
      <c r="BF4" s="1368"/>
      <c r="BG4" s="1368"/>
      <c r="BH4" s="1368"/>
      <c r="BI4" s="1368"/>
      <c r="BJ4" s="1368"/>
      <c r="BK4" s="1368"/>
      <c r="BL4" s="1365" t="s">
        <v>191</v>
      </c>
      <c r="BM4" s="1365" t="s">
        <v>493</v>
      </c>
      <c r="BN4" s="1365" t="s">
        <v>695</v>
      </c>
    </row>
    <row r="5" spans="1:68" ht="35.25" customHeight="1">
      <c r="A5" s="1275"/>
      <c r="B5" s="1275"/>
      <c r="C5" s="1275"/>
      <c r="D5" s="1275"/>
      <c r="E5" s="128" t="s">
        <v>15</v>
      </c>
      <c r="F5" s="128" t="s">
        <v>193</v>
      </c>
      <c r="G5" s="128" t="s">
        <v>194</v>
      </c>
      <c r="H5" s="128" t="s">
        <v>18</v>
      </c>
      <c r="I5" s="128" t="s">
        <v>20</v>
      </c>
      <c r="J5" s="128" t="s">
        <v>195</v>
      </c>
      <c r="K5" s="128" t="s">
        <v>196</v>
      </c>
      <c r="L5" s="128" t="s">
        <v>197</v>
      </c>
      <c r="M5" s="128" t="s">
        <v>23</v>
      </c>
      <c r="N5" s="128" t="s">
        <v>26</v>
      </c>
      <c r="O5" s="128" t="s">
        <v>198</v>
      </c>
      <c r="P5" s="128" t="s">
        <v>29</v>
      </c>
      <c r="Q5" s="128" t="s">
        <v>32</v>
      </c>
      <c r="R5" s="128" t="s">
        <v>35</v>
      </c>
      <c r="S5" s="128" t="s">
        <v>38</v>
      </c>
      <c r="T5" s="128" t="s">
        <v>41</v>
      </c>
      <c r="U5" s="128" t="s">
        <v>44</v>
      </c>
      <c r="V5" s="128" t="s">
        <v>46</v>
      </c>
      <c r="W5" s="128" t="s">
        <v>49</v>
      </c>
      <c r="X5" s="128" t="s">
        <v>52</v>
      </c>
      <c r="Y5" s="128" t="s">
        <v>55</v>
      </c>
      <c r="Z5" s="128" t="s">
        <v>58</v>
      </c>
      <c r="AA5" s="128" t="s">
        <v>61</v>
      </c>
      <c r="AB5" s="128" t="s">
        <v>64</v>
      </c>
      <c r="AC5" s="128" t="s">
        <v>67</v>
      </c>
      <c r="AD5" s="128" t="s">
        <v>70</v>
      </c>
      <c r="AE5" s="128" t="s">
        <v>72</v>
      </c>
      <c r="AF5" s="128" t="s">
        <v>202</v>
      </c>
      <c r="AG5" s="128" t="s">
        <v>203</v>
      </c>
      <c r="AH5" s="128" t="s">
        <v>204</v>
      </c>
      <c r="AI5" s="128" t="s">
        <v>205</v>
      </c>
      <c r="AJ5" s="128" t="s">
        <v>206</v>
      </c>
      <c r="AK5" s="128" t="s">
        <v>207</v>
      </c>
      <c r="AL5" s="128" t="s">
        <v>199</v>
      </c>
      <c r="AM5" s="128" t="s">
        <v>200</v>
      </c>
      <c r="AN5" s="128" t="s">
        <v>223</v>
      </c>
      <c r="AO5" s="128" t="s">
        <v>201</v>
      </c>
      <c r="AP5" s="128" t="s">
        <v>208</v>
      </c>
      <c r="AQ5" s="128" t="s">
        <v>75</v>
      </c>
      <c r="AR5" s="128" t="s">
        <v>78</v>
      </c>
      <c r="AS5" s="128" t="s">
        <v>81</v>
      </c>
      <c r="AT5" s="128" t="s">
        <v>84</v>
      </c>
      <c r="AU5" s="128" t="s">
        <v>87</v>
      </c>
      <c r="AV5" s="128" t="s">
        <v>90</v>
      </c>
      <c r="AW5" s="128" t="s">
        <v>93</v>
      </c>
      <c r="AX5" s="128" t="s">
        <v>96</v>
      </c>
      <c r="AY5" s="128" t="s">
        <v>99</v>
      </c>
      <c r="AZ5" s="128" t="s">
        <v>101</v>
      </c>
      <c r="BA5" s="128" t="s">
        <v>104</v>
      </c>
      <c r="BB5" s="128" t="s">
        <v>107</v>
      </c>
      <c r="BC5" s="128" t="s">
        <v>110</v>
      </c>
      <c r="BD5" s="128" t="s">
        <v>113</v>
      </c>
      <c r="BE5" s="128" t="s">
        <v>116</v>
      </c>
      <c r="BF5" s="128" t="s">
        <v>119</v>
      </c>
      <c r="BG5" s="128" t="s">
        <v>122</v>
      </c>
      <c r="BH5" s="128" t="s">
        <v>124</v>
      </c>
      <c r="BI5" s="128" t="s">
        <v>209</v>
      </c>
      <c r="BJ5" s="128" t="s">
        <v>210</v>
      </c>
      <c r="BK5" s="128" t="s">
        <v>211</v>
      </c>
      <c r="BL5" s="1366"/>
      <c r="BM5" s="1366"/>
      <c r="BN5" s="1366"/>
    </row>
    <row r="6" spans="1:68" ht="24.95" customHeight="1">
      <c r="A6" s="130" t="s">
        <v>235</v>
      </c>
      <c r="B6" s="130" t="s">
        <v>236</v>
      </c>
      <c r="C6" s="128" t="s">
        <v>237</v>
      </c>
      <c r="D6" s="128" t="s">
        <v>238</v>
      </c>
      <c r="E6" s="128" t="s">
        <v>239</v>
      </c>
      <c r="F6" s="128" t="s">
        <v>240</v>
      </c>
      <c r="G6" s="128" t="s">
        <v>241</v>
      </c>
      <c r="H6" s="128" t="s">
        <v>242</v>
      </c>
      <c r="I6" s="128" t="s">
        <v>243</v>
      </c>
      <c r="J6" s="128" t="s">
        <v>244</v>
      </c>
      <c r="K6" s="128" t="s">
        <v>245</v>
      </c>
      <c r="L6" s="128" t="s">
        <v>246</v>
      </c>
      <c r="M6" s="128" t="s">
        <v>247</v>
      </c>
      <c r="N6" s="128" t="s">
        <v>248</v>
      </c>
      <c r="O6" s="128" t="s">
        <v>249</v>
      </c>
      <c r="P6" s="128" t="s">
        <v>250</v>
      </c>
      <c r="Q6" s="128" t="s">
        <v>251</v>
      </c>
      <c r="R6" s="128" t="s">
        <v>252</v>
      </c>
      <c r="S6" s="128" t="s">
        <v>253</v>
      </c>
      <c r="T6" s="128" t="s">
        <v>254</v>
      </c>
      <c r="U6" s="128" t="s">
        <v>255</v>
      </c>
      <c r="V6" s="128" t="s">
        <v>256</v>
      </c>
      <c r="W6" s="128" t="s">
        <v>257</v>
      </c>
      <c r="X6" s="128" t="s">
        <v>258</v>
      </c>
      <c r="Y6" s="128" t="s">
        <v>259</v>
      </c>
      <c r="Z6" s="128" t="s">
        <v>260</v>
      </c>
      <c r="AA6" s="128" t="s">
        <v>261</v>
      </c>
      <c r="AB6" s="128" t="s">
        <v>262</v>
      </c>
      <c r="AC6" s="128" t="s">
        <v>263</v>
      </c>
      <c r="AD6" s="128" t="s">
        <v>264</v>
      </c>
      <c r="AE6" s="128" t="s">
        <v>265</v>
      </c>
      <c r="AF6" s="128" t="s">
        <v>266</v>
      </c>
      <c r="AG6" s="128" t="s">
        <v>267</v>
      </c>
      <c r="AH6" s="128" t="s">
        <v>268</v>
      </c>
      <c r="AI6" s="128" t="s">
        <v>269</v>
      </c>
      <c r="AJ6" s="128" t="s">
        <v>270</v>
      </c>
      <c r="AK6" s="128" t="s">
        <v>271</v>
      </c>
      <c r="AL6" s="128" t="s">
        <v>272</v>
      </c>
      <c r="AM6" s="128" t="s">
        <v>273</v>
      </c>
      <c r="AN6" s="128" t="s">
        <v>274</v>
      </c>
      <c r="AO6" s="128" t="s">
        <v>275</v>
      </c>
      <c r="AP6" s="128" t="s">
        <v>276</v>
      </c>
      <c r="AQ6" s="128" t="s">
        <v>277</v>
      </c>
      <c r="AR6" s="128" t="s">
        <v>278</v>
      </c>
      <c r="AS6" s="128" t="s">
        <v>279</v>
      </c>
      <c r="AT6" s="128" t="s">
        <v>280</v>
      </c>
      <c r="AU6" s="128" t="s">
        <v>281</v>
      </c>
      <c r="AV6" s="128" t="s">
        <v>282</v>
      </c>
      <c r="AW6" s="128" t="s">
        <v>283</v>
      </c>
      <c r="AX6" s="128" t="s">
        <v>284</v>
      </c>
      <c r="AY6" s="128" t="s">
        <v>285</v>
      </c>
      <c r="AZ6" s="128" t="s">
        <v>286</v>
      </c>
      <c r="BA6" s="128" t="s">
        <v>287</v>
      </c>
      <c r="BB6" s="128" t="s">
        <v>288</v>
      </c>
      <c r="BC6" s="128" t="s">
        <v>289</v>
      </c>
      <c r="BD6" s="128" t="s">
        <v>290</v>
      </c>
      <c r="BE6" s="128" t="s">
        <v>291</v>
      </c>
      <c r="BF6" s="128" t="s">
        <v>292</v>
      </c>
      <c r="BG6" s="128" t="s">
        <v>293</v>
      </c>
      <c r="BH6" s="128" t="s">
        <v>294</v>
      </c>
      <c r="BI6" s="128" t="s">
        <v>295</v>
      </c>
      <c r="BJ6" s="128" t="s">
        <v>296</v>
      </c>
      <c r="BK6" s="128" t="s">
        <v>297</v>
      </c>
      <c r="BL6" s="128" t="s">
        <v>298</v>
      </c>
      <c r="BM6" s="128" t="s">
        <v>299</v>
      </c>
      <c r="BN6" s="128" t="s">
        <v>300</v>
      </c>
    </row>
    <row r="7" spans="1:68" s="117" customFormat="1" ht="31.5" customHeight="1">
      <c r="A7" s="150"/>
      <c r="B7" s="150" t="s">
        <v>470</v>
      </c>
      <c r="C7" s="150"/>
      <c r="D7" s="151">
        <f>D8+D25+D63</f>
        <v>1098.6099999999999</v>
      </c>
      <c r="E7" s="151">
        <f>E8+E25+E63</f>
        <v>783.12000000000012</v>
      </c>
      <c r="F7" s="151">
        <f t="shared" ref="F7:BN7" si="0">F8+F25+F63</f>
        <v>309.40999999999997</v>
      </c>
      <c r="G7" s="151">
        <f t="shared" si="0"/>
        <v>257.69</v>
      </c>
      <c r="H7" s="151">
        <f t="shared" si="0"/>
        <v>181.16</v>
      </c>
      <c r="I7" s="151">
        <f t="shared" si="0"/>
        <v>181.18</v>
      </c>
      <c r="J7" s="151">
        <f t="shared" si="0"/>
        <v>-0.02</v>
      </c>
      <c r="K7" s="151">
        <f t="shared" si="0"/>
        <v>0</v>
      </c>
      <c r="L7" s="151">
        <f t="shared" si="0"/>
        <v>0</v>
      </c>
      <c r="M7" s="151">
        <f t="shared" si="0"/>
        <v>76.53</v>
      </c>
      <c r="N7" s="151">
        <f t="shared" si="0"/>
        <v>51.72</v>
      </c>
      <c r="O7" s="151">
        <f t="shared" si="0"/>
        <v>178.92</v>
      </c>
      <c r="P7" s="151">
        <f t="shared" si="0"/>
        <v>178.92</v>
      </c>
      <c r="Q7" s="151">
        <f t="shared" si="0"/>
        <v>0</v>
      </c>
      <c r="R7" s="151">
        <f t="shared" si="0"/>
        <v>0</v>
      </c>
      <c r="S7" s="151">
        <f t="shared" si="0"/>
        <v>255.57</v>
      </c>
      <c r="T7" s="151">
        <f t="shared" si="0"/>
        <v>0</v>
      </c>
      <c r="U7" s="151">
        <f t="shared" si="0"/>
        <v>0</v>
      </c>
      <c r="V7" s="151">
        <f t="shared" si="0"/>
        <v>285.93999999999988</v>
      </c>
      <c r="W7" s="151">
        <f t="shared" si="0"/>
        <v>0.28999999999999998</v>
      </c>
      <c r="X7" s="151">
        <f t="shared" si="0"/>
        <v>0.39</v>
      </c>
      <c r="Y7" s="151">
        <f t="shared" si="0"/>
        <v>0</v>
      </c>
      <c r="Z7" s="151">
        <f t="shared" si="0"/>
        <v>0</v>
      </c>
      <c r="AA7" s="151">
        <f t="shared" si="0"/>
        <v>0</v>
      </c>
      <c r="AB7" s="151">
        <f t="shared" si="0"/>
        <v>0.36</v>
      </c>
      <c r="AC7" s="151">
        <f t="shared" si="0"/>
        <v>0</v>
      </c>
      <c r="AD7" s="151">
        <f t="shared" si="0"/>
        <v>0</v>
      </c>
      <c r="AE7" s="151">
        <f t="shared" si="0"/>
        <v>118.78999999999998</v>
      </c>
      <c r="AF7" s="151">
        <f t="shared" si="0"/>
        <v>0.6</v>
      </c>
      <c r="AG7" s="151">
        <f t="shared" si="0"/>
        <v>0.13</v>
      </c>
      <c r="AH7" s="151">
        <f t="shared" si="0"/>
        <v>3.5300000000000002</v>
      </c>
      <c r="AI7" s="151">
        <f t="shared" si="0"/>
        <v>0.86</v>
      </c>
      <c r="AJ7" s="151">
        <f t="shared" si="0"/>
        <v>0</v>
      </c>
      <c r="AK7" s="151">
        <f t="shared" si="0"/>
        <v>0</v>
      </c>
      <c r="AL7" s="151">
        <f t="shared" si="0"/>
        <v>64.599999999999994</v>
      </c>
      <c r="AM7" s="151">
        <f t="shared" si="0"/>
        <v>48.96</v>
      </c>
      <c r="AN7" s="151">
        <f t="shared" si="0"/>
        <v>0.01</v>
      </c>
      <c r="AO7" s="151">
        <f t="shared" si="0"/>
        <v>0.02</v>
      </c>
      <c r="AP7" s="151">
        <f t="shared" si="0"/>
        <v>0.08</v>
      </c>
      <c r="AQ7" s="151">
        <f t="shared" si="0"/>
        <v>0</v>
      </c>
      <c r="AR7" s="151">
        <f t="shared" si="0"/>
        <v>0</v>
      </c>
      <c r="AS7" s="151">
        <f t="shared" si="0"/>
        <v>0</v>
      </c>
      <c r="AT7" s="151">
        <f t="shared" si="0"/>
        <v>0</v>
      </c>
      <c r="AU7" s="151">
        <f t="shared" si="0"/>
        <v>28.979999999999997</v>
      </c>
      <c r="AV7" s="151">
        <f t="shared" si="0"/>
        <v>0.81</v>
      </c>
      <c r="AW7" s="151">
        <f t="shared" si="0"/>
        <v>0</v>
      </c>
      <c r="AX7" s="151">
        <f t="shared" si="0"/>
        <v>0</v>
      </c>
      <c r="AY7" s="151">
        <f t="shared" si="0"/>
        <v>0.14000000000000001</v>
      </c>
      <c r="AZ7" s="151">
        <f t="shared" si="0"/>
        <v>35.35</v>
      </c>
      <c r="BA7" s="151">
        <f t="shared" si="0"/>
        <v>0.09</v>
      </c>
      <c r="BB7" s="151">
        <f t="shared" si="0"/>
        <v>0</v>
      </c>
      <c r="BC7" s="151">
        <f t="shared" si="0"/>
        <v>0.22</v>
      </c>
      <c r="BD7" s="151">
        <f t="shared" si="0"/>
        <v>0.64</v>
      </c>
      <c r="BE7" s="151">
        <f t="shared" si="0"/>
        <v>95.82</v>
      </c>
      <c r="BF7" s="151">
        <f t="shared" si="0"/>
        <v>0</v>
      </c>
      <c r="BG7" s="151">
        <f t="shared" si="0"/>
        <v>0</v>
      </c>
      <c r="BH7" s="151">
        <f t="shared" si="0"/>
        <v>29.55</v>
      </c>
      <c r="BI7" s="151">
        <f t="shared" si="0"/>
        <v>29.5</v>
      </c>
      <c r="BJ7" s="151">
        <f t="shared" si="0"/>
        <v>0.05</v>
      </c>
      <c r="BK7" s="151">
        <f t="shared" si="0"/>
        <v>0</v>
      </c>
      <c r="BL7" s="151"/>
      <c r="BM7" s="151">
        <f t="shared" si="0"/>
        <v>0</v>
      </c>
      <c r="BN7" s="151">
        <f t="shared" si="0"/>
        <v>1098.6099999999999</v>
      </c>
    </row>
    <row r="8" spans="1:68" s="115" customFormat="1" ht="21" customHeight="1">
      <c r="A8" s="15">
        <v>1</v>
      </c>
      <c r="B8" s="142" t="s">
        <v>14</v>
      </c>
      <c r="C8" s="6" t="s">
        <v>15</v>
      </c>
      <c r="D8" s="175">
        <f>D9+D18+D22+D23+D24</f>
        <v>783.6400000000001</v>
      </c>
      <c r="E8" s="175">
        <f>D8-BL8</f>
        <v>783.12000000000012</v>
      </c>
      <c r="F8" s="175">
        <f>G8+N8</f>
        <v>309.40999999999997</v>
      </c>
      <c r="G8" s="175">
        <f>H8+L8+M8</f>
        <v>257.69</v>
      </c>
      <c r="H8" s="175">
        <f>I8+J8+K8</f>
        <v>181.16</v>
      </c>
      <c r="I8" s="175">
        <f>I9+I18+I22+I23+I24</f>
        <v>181.18</v>
      </c>
      <c r="J8" s="175">
        <f t="shared" ref="J8:BG8" si="1">J9+J18+J22+J23+J24</f>
        <v>-0.02</v>
      </c>
      <c r="K8" s="175">
        <f t="shared" si="1"/>
        <v>0</v>
      </c>
      <c r="L8" s="175">
        <f t="shared" si="1"/>
        <v>0</v>
      </c>
      <c r="M8" s="175">
        <f t="shared" si="1"/>
        <v>76.53</v>
      </c>
      <c r="N8" s="175">
        <f t="shared" si="1"/>
        <v>51.72</v>
      </c>
      <c r="O8" s="175">
        <f>P8+Q8+R8</f>
        <v>178.92</v>
      </c>
      <c r="P8" s="175">
        <f t="shared" si="1"/>
        <v>178.92</v>
      </c>
      <c r="Q8" s="175">
        <f t="shared" si="1"/>
        <v>0</v>
      </c>
      <c r="R8" s="175">
        <f t="shared" si="1"/>
        <v>0</v>
      </c>
      <c r="S8" s="175">
        <f t="shared" si="1"/>
        <v>255.57</v>
      </c>
      <c r="T8" s="175">
        <f t="shared" si="1"/>
        <v>0</v>
      </c>
      <c r="U8" s="175">
        <f t="shared" si="1"/>
        <v>0</v>
      </c>
      <c r="V8" s="175">
        <f t="shared" si="1"/>
        <v>0.52</v>
      </c>
      <c r="W8" s="175">
        <f t="shared" si="1"/>
        <v>0</v>
      </c>
      <c r="X8" s="175">
        <f t="shared" si="1"/>
        <v>0</v>
      </c>
      <c r="Y8" s="175">
        <f t="shared" si="1"/>
        <v>0</v>
      </c>
      <c r="Z8" s="175">
        <f t="shared" si="1"/>
        <v>0</v>
      </c>
      <c r="AA8" s="175">
        <f t="shared" si="1"/>
        <v>0</v>
      </c>
      <c r="AB8" s="175">
        <f t="shared" si="1"/>
        <v>0</v>
      </c>
      <c r="AC8" s="175">
        <f t="shared" si="1"/>
        <v>0</v>
      </c>
      <c r="AD8" s="175">
        <f t="shared" si="1"/>
        <v>0</v>
      </c>
      <c r="AE8" s="175">
        <f t="shared" si="1"/>
        <v>0.02</v>
      </c>
      <c r="AF8" s="175">
        <f t="shared" si="1"/>
        <v>0</v>
      </c>
      <c r="AG8" s="175">
        <f t="shared" si="1"/>
        <v>0</v>
      </c>
      <c r="AH8" s="175">
        <f t="shared" si="1"/>
        <v>0.02</v>
      </c>
      <c r="AI8" s="175">
        <f t="shared" si="1"/>
        <v>0</v>
      </c>
      <c r="AJ8" s="175">
        <f t="shared" si="1"/>
        <v>0</v>
      </c>
      <c r="AK8" s="175">
        <f t="shared" si="1"/>
        <v>0</v>
      </c>
      <c r="AL8" s="175">
        <f t="shared" si="1"/>
        <v>0</v>
      </c>
      <c r="AM8" s="175">
        <f t="shared" si="1"/>
        <v>0</v>
      </c>
      <c r="AN8" s="175">
        <f t="shared" si="1"/>
        <v>0</v>
      </c>
      <c r="AO8" s="175">
        <f t="shared" si="1"/>
        <v>0</v>
      </c>
      <c r="AP8" s="175">
        <f t="shared" si="1"/>
        <v>0</v>
      </c>
      <c r="AQ8" s="175">
        <f t="shared" si="1"/>
        <v>0</v>
      </c>
      <c r="AR8" s="175">
        <f t="shared" si="1"/>
        <v>0</v>
      </c>
      <c r="AS8" s="175">
        <f t="shared" si="1"/>
        <v>0</v>
      </c>
      <c r="AT8" s="175">
        <f t="shared" si="1"/>
        <v>0</v>
      </c>
      <c r="AU8" s="175">
        <f t="shared" si="1"/>
        <v>0.5</v>
      </c>
      <c r="AV8" s="175">
        <f t="shared" si="1"/>
        <v>0</v>
      </c>
      <c r="AW8" s="175">
        <f t="shared" si="1"/>
        <v>0</v>
      </c>
      <c r="AX8" s="175">
        <f t="shared" si="1"/>
        <v>0</v>
      </c>
      <c r="AY8" s="175">
        <f t="shared" si="1"/>
        <v>0</v>
      </c>
      <c r="AZ8" s="175">
        <f t="shared" si="1"/>
        <v>0</v>
      </c>
      <c r="BA8" s="175">
        <f t="shared" si="1"/>
        <v>0</v>
      </c>
      <c r="BB8" s="175">
        <f t="shared" si="1"/>
        <v>0</v>
      </c>
      <c r="BC8" s="175">
        <f t="shared" si="1"/>
        <v>0</v>
      </c>
      <c r="BD8" s="175">
        <f t="shared" si="1"/>
        <v>0</v>
      </c>
      <c r="BE8" s="175">
        <f t="shared" si="1"/>
        <v>0</v>
      </c>
      <c r="BF8" s="175">
        <f t="shared" si="1"/>
        <v>0</v>
      </c>
      <c r="BG8" s="175">
        <f t="shared" si="1"/>
        <v>0</v>
      </c>
      <c r="BH8" s="175">
        <f>BH9+BH18+BH22+BH23+BH24</f>
        <v>0</v>
      </c>
      <c r="BI8" s="175">
        <f>BI9+BI18+BI22+BI23+BI24</f>
        <v>0</v>
      </c>
      <c r="BJ8" s="175">
        <f>BJ9+BJ18+BJ22+BJ23+BJ24</f>
        <v>0</v>
      </c>
      <c r="BK8" s="175">
        <f>BK9+BK18+BK22+BK23+BK24</f>
        <v>0</v>
      </c>
      <c r="BL8" s="175">
        <f>V8+BH8</f>
        <v>0.52</v>
      </c>
      <c r="BM8" s="175">
        <f>BM9+BM18+BM22+BM23+BM24</f>
        <v>-0.52</v>
      </c>
      <c r="BN8" s="175">
        <f>BN9+BN18+BN22+BN23+BN24</f>
        <v>783.12000000000012</v>
      </c>
    </row>
    <row r="9" spans="1:68" ht="21.75" hidden="1" customHeight="1">
      <c r="A9" s="14" t="s">
        <v>16</v>
      </c>
      <c r="B9" s="143" t="s">
        <v>471</v>
      </c>
      <c r="C9" s="5" t="s">
        <v>193</v>
      </c>
      <c r="D9" s="100">
        <f>D10+D17</f>
        <v>309.93000000000006</v>
      </c>
      <c r="E9" s="100">
        <f>F9+O9+S9+T9+U9</f>
        <v>309.93000000000006</v>
      </c>
      <c r="F9" s="100">
        <f>D9-BK9</f>
        <v>309.93000000000006</v>
      </c>
      <c r="G9" s="100">
        <f>H9+L9+M9</f>
        <v>257.69</v>
      </c>
      <c r="H9" s="100">
        <f>I9+J9+K9</f>
        <v>181.16</v>
      </c>
      <c r="I9" s="100">
        <f>I10+I17</f>
        <v>181.18</v>
      </c>
      <c r="J9" s="100">
        <f t="shared" ref="J9:BG9" si="2">J10+J17</f>
        <v>-0.02</v>
      </c>
      <c r="K9" s="100">
        <f t="shared" si="2"/>
        <v>0</v>
      </c>
      <c r="L9" s="100">
        <f t="shared" si="2"/>
        <v>0</v>
      </c>
      <c r="M9" s="100">
        <f t="shared" si="2"/>
        <v>76.53</v>
      </c>
      <c r="N9" s="100">
        <f t="shared" si="2"/>
        <v>51.72</v>
      </c>
      <c r="O9" s="100">
        <f t="shared" ref="O9:O17" si="3">P9+Q9+R9</f>
        <v>0</v>
      </c>
      <c r="P9" s="100">
        <f t="shared" si="2"/>
        <v>0</v>
      </c>
      <c r="Q9" s="100">
        <f t="shared" si="2"/>
        <v>0</v>
      </c>
      <c r="R9" s="100">
        <f t="shared" si="2"/>
        <v>0</v>
      </c>
      <c r="S9" s="100">
        <f t="shared" si="2"/>
        <v>0</v>
      </c>
      <c r="T9" s="100">
        <f t="shared" si="2"/>
        <v>0</v>
      </c>
      <c r="U9" s="100">
        <f t="shared" si="2"/>
        <v>0</v>
      </c>
      <c r="V9" s="100">
        <f t="shared" si="2"/>
        <v>0.52</v>
      </c>
      <c r="W9" s="100">
        <f t="shared" si="2"/>
        <v>0</v>
      </c>
      <c r="X9" s="100">
        <f t="shared" si="2"/>
        <v>0</v>
      </c>
      <c r="Y9" s="100">
        <f t="shared" si="2"/>
        <v>0</v>
      </c>
      <c r="Z9" s="100">
        <f t="shared" si="2"/>
        <v>0</v>
      </c>
      <c r="AA9" s="100">
        <f t="shared" si="2"/>
        <v>0</v>
      </c>
      <c r="AB9" s="100">
        <f t="shared" si="2"/>
        <v>0</v>
      </c>
      <c r="AC9" s="100">
        <f t="shared" si="2"/>
        <v>0</v>
      </c>
      <c r="AD9" s="100">
        <f t="shared" si="2"/>
        <v>0</v>
      </c>
      <c r="AE9" s="100">
        <f t="shared" si="2"/>
        <v>0.02</v>
      </c>
      <c r="AF9" s="100">
        <f t="shared" si="2"/>
        <v>0</v>
      </c>
      <c r="AG9" s="100">
        <f t="shared" si="2"/>
        <v>0</v>
      </c>
      <c r="AH9" s="100">
        <f t="shared" si="2"/>
        <v>0.02</v>
      </c>
      <c r="AI9" s="100">
        <f t="shared" si="2"/>
        <v>0</v>
      </c>
      <c r="AJ9" s="100">
        <f t="shared" si="2"/>
        <v>0</v>
      </c>
      <c r="AK9" s="100">
        <f t="shared" si="2"/>
        <v>0</v>
      </c>
      <c r="AL9" s="100">
        <f t="shared" si="2"/>
        <v>0</v>
      </c>
      <c r="AM9" s="100">
        <f t="shared" si="2"/>
        <v>0</v>
      </c>
      <c r="AN9" s="100">
        <f t="shared" si="2"/>
        <v>0</v>
      </c>
      <c r="AO9" s="100">
        <f t="shared" si="2"/>
        <v>0</v>
      </c>
      <c r="AP9" s="100">
        <f t="shared" si="2"/>
        <v>0</v>
      </c>
      <c r="AQ9" s="100">
        <f t="shared" si="2"/>
        <v>0</v>
      </c>
      <c r="AR9" s="100">
        <f t="shared" si="2"/>
        <v>0</v>
      </c>
      <c r="AS9" s="100">
        <f t="shared" si="2"/>
        <v>0</v>
      </c>
      <c r="AT9" s="100">
        <f t="shared" si="2"/>
        <v>0</v>
      </c>
      <c r="AU9" s="100">
        <f t="shared" si="2"/>
        <v>0.5</v>
      </c>
      <c r="AV9" s="100">
        <f t="shared" si="2"/>
        <v>0</v>
      </c>
      <c r="AW9" s="100">
        <f t="shared" si="2"/>
        <v>0</v>
      </c>
      <c r="AX9" s="100">
        <f t="shared" si="2"/>
        <v>0</v>
      </c>
      <c r="AY9" s="100">
        <f t="shared" si="2"/>
        <v>0</v>
      </c>
      <c r="AZ9" s="100">
        <f t="shared" si="2"/>
        <v>0</v>
      </c>
      <c r="BA9" s="100">
        <f t="shared" si="2"/>
        <v>0</v>
      </c>
      <c r="BB9" s="100">
        <f t="shared" si="2"/>
        <v>0</v>
      </c>
      <c r="BC9" s="100">
        <f t="shared" si="2"/>
        <v>0</v>
      </c>
      <c r="BD9" s="100">
        <f t="shared" si="2"/>
        <v>0</v>
      </c>
      <c r="BE9" s="100">
        <f t="shared" si="2"/>
        <v>0</v>
      </c>
      <c r="BF9" s="100">
        <f t="shared" si="2"/>
        <v>0</v>
      </c>
      <c r="BG9" s="100">
        <f t="shared" si="2"/>
        <v>0</v>
      </c>
      <c r="BH9" s="100">
        <f>BH10+BH17</f>
        <v>0</v>
      </c>
      <c r="BI9" s="100">
        <f>BI10+BI17</f>
        <v>0</v>
      </c>
      <c r="BJ9" s="100">
        <f>BJ10+BJ17</f>
        <v>0</v>
      </c>
      <c r="BK9" s="100">
        <f>BK10+BK17</f>
        <v>0</v>
      </c>
      <c r="BL9" s="100">
        <f>O9+S9+T9+U9+V9+BH9</f>
        <v>0.52</v>
      </c>
      <c r="BM9" s="100">
        <f>BM10+BM17</f>
        <v>-0.52</v>
      </c>
      <c r="BN9" s="100">
        <f>D9+BM9</f>
        <v>309.41000000000008</v>
      </c>
      <c r="BP9" s="123"/>
    </row>
    <row r="10" spans="1:68" ht="19.5" hidden="1" customHeight="1">
      <c r="A10" s="14" t="s">
        <v>212</v>
      </c>
      <c r="B10" s="143" t="s">
        <v>472</v>
      </c>
      <c r="C10" s="5" t="s">
        <v>194</v>
      </c>
      <c r="D10" s="100">
        <f>D11+D15+D16</f>
        <v>257.71000000000004</v>
      </c>
      <c r="E10" s="100">
        <f t="shared" ref="E10:E66" si="4">F10+O10+S10+T10+U10</f>
        <v>257.69000000000005</v>
      </c>
      <c r="F10" s="100">
        <f>G10+N10</f>
        <v>257.69000000000005</v>
      </c>
      <c r="G10" s="100">
        <f>D10-BL10</f>
        <v>257.69000000000005</v>
      </c>
      <c r="H10" s="100">
        <f>I10+J10+K10</f>
        <v>181.16</v>
      </c>
      <c r="I10" s="100">
        <f>I11+I15+I16</f>
        <v>181.18</v>
      </c>
      <c r="J10" s="100">
        <f t="shared" ref="J10:BG10" si="5">J11+J15+J16</f>
        <v>-0.02</v>
      </c>
      <c r="K10" s="100">
        <f t="shared" si="5"/>
        <v>0</v>
      </c>
      <c r="L10" s="100">
        <f t="shared" si="5"/>
        <v>0</v>
      </c>
      <c r="M10" s="100">
        <f t="shared" si="5"/>
        <v>76.53</v>
      </c>
      <c r="N10" s="100">
        <f t="shared" si="5"/>
        <v>0</v>
      </c>
      <c r="O10" s="100">
        <f t="shared" si="3"/>
        <v>0</v>
      </c>
      <c r="P10" s="100">
        <f t="shared" si="5"/>
        <v>0</v>
      </c>
      <c r="Q10" s="100">
        <f t="shared" si="5"/>
        <v>0</v>
      </c>
      <c r="R10" s="100">
        <f t="shared" si="5"/>
        <v>0</v>
      </c>
      <c r="S10" s="100">
        <f t="shared" si="5"/>
        <v>0</v>
      </c>
      <c r="T10" s="100">
        <f t="shared" si="5"/>
        <v>0</v>
      </c>
      <c r="U10" s="100">
        <f t="shared" si="5"/>
        <v>0</v>
      </c>
      <c r="V10" s="100">
        <f t="shared" si="5"/>
        <v>0.02</v>
      </c>
      <c r="W10" s="100">
        <f t="shared" si="5"/>
        <v>0</v>
      </c>
      <c r="X10" s="100">
        <f t="shared" si="5"/>
        <v>0</v>
      </c>
      <c r="Y10" s="100">
        <f t="shared" si="5"/>
        <v>0</v>
      </c>
      <c r="Z10" s="100">
        <f t="shared" si="5"/>
        <v>0</v>
      </c>
      <c r="AA10" s="100">
        <f t="shared" si="5"/>
        <v>0</v>
      </c>
      <c r="AB10" s="100">
        <f t="shared" si="5"/>
        <v>0</v>
      </c>
      <c r="AC10" s="100">
        <f t="shared" si="5"/>
        <v>0</v>
      </c>
      <c r="AD10" s="100">
        <f t="shared" si="5"/>
        <v>0</v>
      </c>
      <c r="AE10" s="100">
        <f t="shared" si="5"/>
        <v>0.02</v>
      </c>
      <c r="AF10" s="100">
        <f t="shared" si="5"/>
        <v>0</v>
      </c>
      <c r="AG10" s="100">
        <f t="shared" si="5"/>
        <v>0</v>
      </c>
      <c r="AH10" s="100">
        <f t="shared" si="5"/>
        <v>0.02</v>
      </c>
      <c r="AI10" s="100">
        <f t="shared" si="5"/>
        <v>0</v>
      </c>
      <c r="AJ10" s="100">
        <f t="shared" si="5"/>
        <v>0</v>
      </c>
      <c r="AK10" s="100">
        <f t="shared" si="5"/>
        <v>0</v>
      </c>
      <c r="AL10" s="100">
        <f t="shared" si="5"/>
        <v>0</v>
      </c>
      <c r="AM10" s="100">
        <f t="shared" si="5"/>
        <v>0</v>
      </c>
      <c r="AN10" s="100">
        <f t="shared" si="5"/>
        <v>0</v>
      </c>
      <c r="AO10" s="100">
        <f t="shared" si="5"/>
        <v>0</v>
      </c>
      <c r="AP10" s="100">
        <f t="shared" si="5"/>
        <v>0</v>
      </c>
      <c r="AQ10" s="100">
        <f t="shared" si="5"/>
        <v>0</v>
      </c>
      <c r="AR10" s="100">
        <f t="shared" si="5"/>
        <v>0</v>
      </c>
      <c r="AS10" s="100">
        <f t="shared" si="5"/>
        <v>0</v>
      </c>
      <c r="AT10" s="100">
        <f t="shared" si="5"/>
        <v>0</v>
      </c>
      <c r="AU10" s="100">
        <f t="shared" si="5"/>
        <v>0</v>
      </c>
      <c r="AV10" s="100">
        <f t="shared" si="5"/>
        <v>0</v>
      </c>
      <c r="AW10" s="100">
        <f t="shared" si="5"/>
        <v>0</v>
      </c>
      <c r="AX10" s="100">
        <f t="shared" si="5"/>
        <v>0</v>
      </c>
      <c r="AY10" s="100">
        <f t="shared" si="5"/>
        <v>0</v>
      </c>
      <c r="AZ10" s="100">
        <f t="shared" si="5"/>
        <v>0</v>
      </c>
      <c r="BA10" s="100">
        <f t="shared" si="5"/>
        <v>0</v>
      </c>
      <c r="BB10" s="100">
        <f t="shared" si="5"/>
        <v>0</v>
      </c>
      <c r="BC10" s="100">
        <f t="shared" si="5"/>
        <v>0</v>
      </c>
      <c r="BD10" s="100">
        <f t="shared" si="5"/>
        <v>0</v>
      </c>
      <c r="BE10" s="100">
        <f t="shared" si="5"/>
        <v>0</v>
      </c>
      <c r="BF10" s="100">
        <f t="shared" si="5"/>
        <v>0</v>
      </c>
      <c r="BG10" s="100">
        <f t="shared" si="5"/>
        <v>0</v>
      </c>
      <c r="BH10" s="100">
        <f>BH11+BH15+BH16</f>
        <v>0</v>
      </c>
      <c r="BI10" s="100">
        <f>BI11+BI15+BI16</f>
        <v>0</v>
      </c>
      <c r="BJ10" s="100">
        <f>BJ11+BJ15+BJ16</f>
        <v>0</v>
      </c>
      <c r="BK10" s="100">
        <f>BK11+BK15+BK16</f>
        <v>0</v>
      </c>
      <c r="BL10" s="100">
        <f>N10+O10+S10+T10+U10+V10+BH10</f>
        <v>0.02</v>
      </c>
      <c r="BM10" s="100">
        <f>BM11+BM15+BM16</f>
        <v>-0.02</v>
      </c>
      <c r="BN10" s="100">
        <f>BN11+BN15+BN16</f>
        <v>257.69</v>
      </c>
      <c r="BP10" s="123"/>
    </row>
    <row r="11" spans="1:68" ht="20.100000000000001" customHeight="1">
      <c r="A11" s="14" t="s">
        <v>213</v>
      </c>
      <c r="B11" s="143" t="s">
        <v>17</v>
      </c>
      <c r="C11" s="5" t="s">
        <v>18</v>
      </c>
      <c r="D11" s="100">
        <f>D12+D13+D14</f>
        <v>181.18</v>
      </c>
      <c r="E11" s="100">
        <f t="shared" si="4"/>
        <v>181.16</v>
      </c>
      <c r="F11" s="100">
        <f t="shared" ref="F11:F24" si="6">G11+N11</f>
        <v>181.16</v>
      </c>
      <c r="G11" s="100">
        <f>H11+L11+M11</f>
        <v>181.16</v>
      </c>
      <c r="H11" s="100">
        <f>D11-BL11</f>
        <v>181.16</v>
      </c>
      <c r="I11" s="100">
        <f>I12+I13+I14</f>
        <v>181.18</v>
      </c>
      <c r="J11" s="100">
        <f t="shared" ref="J11:BG11" si="7">J12+J13+J14</f>
        <v>-0.02</v>
      </c>
      <c r="K11" s="100">
        <f t="shared" si="7"/>
        <v>0</v>
      </c>
      <c r="L11" s="100">
        <f t="shared" si="7"/>
        <v>0</v>
      </c>
      <c r="M11" s="100">
        <f t="shared" si="7"/>
        <v>0</v>
      </c>
      <c r="N11" s="100">
        <f t="shared" si="7"/>
        <v>0</v>
      </c>
      <c r="O11" s="100">
        <f t="shared" si="3"/>
        <v>0</v>
      </c>
      <c r="P11" s="100">
        <f t="shared" si="7"/>
        <v>0</v>
      </c>
      <c r="Q11" s="100">
        <f t="shared" si="7"/>
        <v>0</v>
      </c>
      <c r="R11" s="100">
        <f t="shared" si="7"/>
        <v>0</v>
      </c>
      <c r="S11" s="100">
        <f t="shared" si="7"/>
        <v>0</v>
      </c>
      <c r="T11" s="100">
        <f t="shared" si="7"/>
        <v>0</v>
      </c>
      <c r="U11" s="100">
        <f t="shared" si="7"/>
        <v>0</v>
      </c>
      <c r="V11" s="100">
        <f t="shared" si="7"/>
        <v>0.02</v>
      </c>
      <c r="W11" s="100">
        <f t="shared" si="7"/>
        <v>0</v>
      </c>
      <c r="X11" s="100">
        <f t="shared" si="7"/>
        <v>0</v>
      </c>
      <c r="Y11" s="100">
        <f t="shared" si="7"/>
        <v>0</v>
      </c>
      <c r="Z11" s="100">
        <f t="shared" si="7"/>
        <v>0</v>
      </c>
      <c r="AA11" s="100">
        <f t="shared" si="7"/>
        <v>0</v>
      </c>
      <c r="AB11" s="100">
        <f t="shared" si="7"/>
        <v>0</v>
      </c>
      <c r="AC11" s="100">
        <f t="shared" si="7"/>
        <v>0</v>
      </c>
      <c r="AD11" s="100">
        <f t="shared" si="7"/>
        <v>0</v>
      </c>
      <c r="AE11" s="100">
        <f t="shared" si="7"/>
        <v>0.02</v>
      </c>
      <c r="AF11" s="100">
        <f t="shared" si="7"/>
        <v>0</v>
      </c>
      <c r="AG11" s="100">
        <f t="shared" si="7"/>
        <v>0</v>
      </c>
      <c r="AH11" s="100">
        <f t="shared" si="7"/>
        <v>0.02</v>
      </c>
      <c r="AI11" s="100">
        <f t="shared" si="7"/>
        <v>0</v>
      </c>
      <c r="AJ11" s="100">
        <f t="shared" si="7"/>
        <v>0</v>
      </c>
      <c r="AK11" s="100">
        <f t="shared" si="7"/>
        <v>0</v>
      </c>
      <c r="AL11" s="100">
        <f t="shared" si="7"/>
        <v>0</v>
      </c>
      <c r="AM11" s="100">
        <f t="shared" si="7"/>
        <v>0</v>
      </c>
      <c r="AN11" s="100">
        <f t="shared" si="7"/>
        <v>0</v>
      </c>
      <c r="AO11" s="100">
        <f t="shared" si="7"/>
        <v>0</v>
      </c>
      <c r="AP11" s="100">
        <f t="shared" si="7"/>
        <v>0</v>
      </c>
      <c r="AQ11" s="100">
        <f t="shared" si="7"/>
        <v>0</v>
      </c>
      <c r="AR11" s="100">
        <f t="shared" si="7"/>
        <v>0</v>
      </c>
      <c r="AS11" s="100">
        <f t="shared" si="7"/>
        <v>0</v>
      </c>
      <c r="AT11" s="100">
        <f t="shared" si="7"/>
        <v>0</v>
      </c>
      <c r="AU11" s="100">
        <f t="shared" si="7"/>
        <v>0</v>
      </c>
      <c r="AV11" s="100">
        <f t="shared" si="7"/>
        <v>0</v>
      </c>
      <c r="AW11" s="100">
        <f t="shared" si="7"/>
        <v>0</v>
      </c>
      <c r="AX11" s="100">
        <f t="shared" si="7"/>
        <v>0</v>
      </c>
      <c r="AY11" s="100">
        <f t="shared" si="7"/>
        <v>0</v>
      </c>
      <c r="AZ11" s="100">
        <f t="shared" si="7"/>
        <v>0</v>
      </c>
      <c r="BA11" s="100">
        <f t="shared" si="7"/>
        <v>0</v>
      </c>
      <c r="BB11" s="100">
        <f t="shared" si="7"/>
        <v>0</v>
      </c>
      <c r="BC11" s="100">
        <f t="shared" si="7"/>
        <v>0</v>
      </c>
      <c r="BD11" s="100">
        <f t="shared" si="7"/>
        <v>0</v>
      </c>
      <c r="BE11" s="100">
        <f t="shared" si="7"/>
        <v>0</v>
      </c>
      <c r="BF11" s="100">
        <f t="shared" si="7"/>
        <v>0</v>
      </c>
      <c r="BG11" s="100">
        <f t="shared" si="7"/>
        <v>0</v>
      </c>
      <c r="BH11" s="100">
        <f>BH12+BH13+BH14</f>
        <v>0</v>
      </c>
      <c r="BI11" s="100">
        <f>BI12+BI13+BI14</f>
        <v>0</v>
      </c>
      <c r="BJ11" s="100">
        <f>BJ12+BJ13+BJ14</f>
        <v>0</v>
      </c>
      <c r="BK11" s="100">
        <f>BK12+BK13+BK14</f>
        <v>0</v>
      </c>
      <c r="BL11" s="100">
        <f>L11+M11+N11+S11+T11+U11+V11+BH11</f>
        <v>0.02</v>
      </c>
      <c r="BM11" s="100">
        <f>H67-BL11</f>
        <v>-0.02</v>
      </c>
      <c r="BN11" s="100">
        <f>BN12+BN13+BN14</f>
        <v>181.16</v>
      </c>
      <c r="BP11" s="123"/>
    </row>
    <row r="12" spans="1:68" ht="20.100000000000001" customHeight="1">
      <c r="A12" s="14" t="s">
        <v>214</v>
      </c>
      <c r="B12" s="143" t="s">
        <v>473</v>
      </c>
      <c r="C12" s="5" t="s">
        <v>20</v>
      </c>
      <c r="D12" s="100">
        <f>#REF!</f>
        <v>181.18</v>
      </c>
      <c r="E12" s="100">
        <f t="shared" si="4"/>
        <v>181.18</v>
      </c>
      <c r="F12" s="100">
        <f t="shared" si="6"/>
        <v>181.18</v>
      </c>
      <c r="G12" s="100">
        <f t="shared" ref="G12:G66" si="8">H12+L12+M12</f>
        <v>181.18</v>
      </c>
      <c r="H12" s="100">
        <f>I12+J12+K12</f>
        <v>181.18</v>
      </c>
      <c r="I12" s="100">
        <f>D12-BL12</f>
        <v>181.18</v>
      </c>
      <c r="J12" s="100"/>
      <c r="K12" s="100"/>
      <c r="L12" s="100"/>
      <c r="M12" s="100"/>
      <c r="N12" s="100"/>
      <c r="O12" s="100">
        <f t="shared" si="3"/>
        <v>0</v>
      </c>
      <c r="P12" s="100"/>
      <c r="Q12" s="100"/>
      <c r="R12" s="100"/>
      <c r="S12" s="100"/>
      <c r="T12" s="100"/>
      <c r="U12" s="100"/>
      <c r="V12" s="100">
        <f>W12+X12+Y12+Z12+AA12+AB12+AC12+AD12+AE12+AQ12+AR12+AS12+AT12+AU12+AV12+AW12+AX12+AY12+AZ12+BA12+BB12+BC12+BD12+BE12+BF12+BG12</f>
        <v>0</v>
      </c>
      <c r="W12" s="100"/>
      <c r="X12" s="100"/>
      <c r="Y12" s="100"/>
      <c r="Z12" s="100"/>
      <c r="AA12" s="100"/>
      <c r="AB12" s="100"/>
      <c r="AC12" s="100"/>
      <c r="AD12" s="100"/>
      <c r="AE12" s="100">
        <f t="shared" ref="AE12:AE33" si="9">SUM(AF12:AP12)</f>
        <v>0</v>
      </c>
      <c r="AF12" s="100"/>
      <c r="AG12" s="100"/>
      <c r="AH12" s="100"/>
      <c r="AI12" s="100"/>
      <c r="AJ12" s="100"/>
      <c r="AK12" s="100"/>
      <c r="AL12" s="100"/>
      <c r="AM12" s="100"/>
      <c r="AN12" s="100"/>
      <c r="AO12" s="100"/>
      <c r="AP12" s="100"/>
      <c r="AQ12" s="100"/>
      <c r="AR12" s="100"/>
      <c r="AS12" s="100"/>
      <c r="AT12" s="100"/>
      <c r="AU12" s="100"/>
      <c r="AV12" s="100"/>
      <c r="AW12" s="100"/>
      <c r="AX12" s="100"/>
      <c r="AY12" s="100"/>
      <c r="AZ12" s="100"/>
      <c r="BA12" s="100"/>
      <c r="BB12" s="100"/>
      <c r="BC12" s="100"/>
      <c r="BD12" s="100"/>
      <c r="BE12" s="100"/>
      <c r="BF12" s="100"/>
      <c r="BG12" s="100"/>
      <c r="BH12" s="100">
        <f t="shared" ref="BH12:BH17" si="10">BI12+BJ12+BK12</f>
        <v>0</v>
      </c>
      <c r="BI12" s="100"/>
      <c r="BJ12" s="100"/>
      <c r="BK12" s="100"/>
      <c r="BL12" s="100">
        <f>J12+K12+L12+M12+N12+O12+S12+T12+U12+V12+BH12</f>
        <v>0</v>
      </c>
      <c r="BM12" s="100">
        <f>I67-BL12</f>
        <v>0</v>
      </c>
      <c r="BN12" s="100">
        <f t="shared" ref="BN12:BN17" si="11">D12+BM12</f>
        <v>181.18</v>
      </c>
      <c r="BP12" s="123"/>
    </row>
    <row r="13" spans="1:68" ht="18.75" customHeight="1">
      <c r="A13" s="14" t="s">
        <v>215</v>
      </c>
      <c r="B13" s="143" t="s">
        <v>474</v>
      </c>
      <c r="C13" s="5" t="s">
        <v>195</v>
      </c>
      <c r="D13" s="100"/>
      <c r="E13" s="100">
        <f t="shared" si="4"/>
        <v>-0.02</v>
      </c>
      <c r="F13" s="100">
        <f t="shared" si="6"/>
        <v>-0.02</v>
      </c>
      <c r="G13" s="100">
        <f t="shared" si="8"/>
        <v>-0.02</v>
      </c>
      <c r="H13" s="100">
        <f t="shared" ref="H13:H66" si="12">I13+J13+K13</f>
        <v>-0.02</v>
      </c>
      <c r="I13" s="100"/>
      <c r="J13" s="100">
        <f>D13-BL13</f>
        <v>-0.02</v>
      </c>
      <c r="K13" s="100"/>
      <c r="L13" s="100"/>
      <c r="M13" s="100"/>
      <c r="N13" s="100"/>
      <c r="O13" s="100">
        <f t="shared" si="3"/>
        <v>0</v>
      </c>
      <c r="P13" s="100"/>
      <c r="Q13" s="100"/>
      <c r="R13" s="100"/>
      <c r="S13" s="100"/>
      <c r="T13" s="100"/>
      <c r="U13" s="100"/>
      <c r="V13" s="100">
        <f t="shared" ref="V13:V66" si="13">W13+X13+Y13+Z13+AA13+AB13+AC13+AD13+AE13+AQ13+AR13+AS13+AT13+AU13+AV13+AW13+AX13+AY13+AZ13+BA13+BB13+BC13+BD13+BE13+BF13+BG13</f>
        <v>0.02</v>
      </c>
      <c r="W13" s="100"/>
      <c r="X13" s="100"/>
      <c r="Y13" s="100"/>
      <c r="Z13" s="100"/>
      <c r="AA13" s="100"/>
      <c r="AB13" s="100"/>
      <c r="AC13" s="100"/>
      <c r="AD13" s="100"/>
      <c r="AE13" s="100">
        <f t="shared" si="9"/>
        <v>0.02</v>
      </c>
      <c r="AF13" s="100"/>
      <c r="AG13" s="100"/>
      <c r="AH13" s="100">
        <v>0.02</v>
      </c>
      <c r="AI13" s="100"/>
      <c r="AJ13" s="100"/>
      <c r="AK13" s="100"/>
      <c r="AL13" s="100"/>
      <c r="AM13" s="100"/>
      <c r="AN13" s="100"/>
      <c r="AO13" s="100"/>
      <c r="AP13" s="100"/>
      <c r="AQ13" s="100"/>
      <c r="AR13" s="100"/>
      <c r="AS13" s="100"/>
      <c r="AT13" s="100"/>
      <c r="AU13" s="100"/>
      <c r="AV13" s="100"/>
      <c r="AW13" s="100"/>
      <c r="AX13" s="100"/>
      <c r="AY13" s="100"/>
      <c r="AZ13" s="100"/>
      <c r="BA13" s="100"/>
      <c r="BB13" s="100"/>
      <c r="BC13" s="100"/>
      <c r="BD13" s="100"/>
      <c r="BE13" s="100"/>
      <c r="BF13" s="100"/>
      <c r="BG13" s="100"/>
      <c r="BH13" s="100">
        <f t="shared" si="10"/>
        <v>0</v>
      </c>
      <c r="BI13" s="100"/>
      <c r="BJ13" s="100"/>
      <c r="BK13" s="100"/>
      <c r="BL13" s="100">
        <f>I13+K13+L13+M13+N13+O13+S13+T13+U13+V13+BH13</f>
        <v>0.02</v>
      </c>
      <c r="BM13" s="100">
        <f>J67-BL13</f>
        <v>-0.02</v>
      </c>
      <c r="BN13" s="100">
        <f t="shared" si="11"/>
        <v>-0.02</v>
      </c>
      <c r="BP13" s="123"/>
    </row>
    <row r="14" spans="1:68" ht="19.5" hidden="1" customHeight="1">
      <c r="A14" s="14" t="s">
        <v>216</v>
      </c>
      <c r="B14" s="143" t="s">
        <v>475</v>
      </c>
      <c r="C14" s="5" t="s">
        <v>196</v>
      </c>
      <c r="D14" s="100"/>
      <c r="E14" s="100">
        <f t="shared" si="4"/>
        <v>0</v>
      </c>
      <c r="F14" s="100">
        <f t="shared" si="6"/>
        <v>0</v>
      </c>
      <c r="G14" s="100">
        <f t="shared" si="8"/>
        <v>0</v>
      </c>
      <c r="H14" s="100">
        <f t="shared" si="12"/>
        <v>0</v>
      </c>
      <c r="I14" s="100"/>
      <c r="J14" s="100"/>
      <c r="K14" s="100">
        <f>D14-BL14</f>
        <v>0</v>
      </c>
      <c r="L14" s="100"/>
      <c r="M14" s="100"/>
      <c r="N14" s="100"/>
      <c r="O14" s="100">
        <f t="shared" si="3"/>
        <v>0</v>
      </c>
      <c r="P14" s="100"/>
      <c r="Q14" s="100"/>
      <c r="R14" s="100"/>
      <c r="S14" s="100"/>
      <c r="T14" s="100"/>
      <c r="U14" s="100"/>
      <c r="V14" s="100">
        <f t="shared" si="13"/>
        <v>0</v>
      </c>
      <c r="W14" s="100"/>
      <c r="X14" s="100"/>
      <c r="Y14" s="100"/>
      <c r="Z14" s="100"/>
      <c r="AA14" s="100"/>
      <c r="AB14" s="100"/>
      <c r="AC14" s="100"/>
      <c r="AD14" s="100"/>
      <c r="AE14" s="100">
        <f t="shared" si="9"/>
        <v>0</v>
      </c>
      <c r="AF14" s="100"/>
      <c r="AG14" s="100"/>
      <c r="AH14" s="100"/>
      <c r="AI14" s="100"/>
      <c r="AJ14" s="100"/>
      <c r="AK14" s="100"/>
      <c r="AL14" s="100"/>
      <c r="AM14" s="100"/>
      <c r="AN14" s="100"/>
      <c r="AO14" s="100"/>
      <c r="AP14" s="100"/>
      <c r="AQ14" s="100"/>
      <c r="AR14" s="100"/>
      <c r="AS14" s="100"/>
      <c r="AT14" s="100"/>
      <c r="AU14" s="100"/>
      <c r="AV14" s="100"/>
      <c r="AW14" s="100"/>
      <c r="AX14" s="100"/>
      <c r="AY14" s="100"/>
      <c r="AZ14" s="100"/>
      <c r="BA14" s="100"/>
      <c r="BB14" s="100"/>
      <c r="BC14" s="100"/>
      <c r="BD14" s="100"/>
      <c r="BE14" s="100"/>
      <c r="BF14" s="100"/>
      <c r="BG14" s="100"/>
      <c r="BH14" s="100">
        <f t="shared" si="10"/>
        <v>0</v>
      </c>
      <c r="BI14" s="100"/>
      <c r="BJ14" s="100"/>
      <c r="BK14" s="100"/>
      <c r="BL14" s="100">
        <f>I14+J14+L14+M14+N14+O14+S14+T14+U14+V14+BH14</f>
        <v>0</v>
      </c>
      <c r="BM14" s="100">
        <f>K67-BL14</f>
        <v>0</v>
      </c>
      <c r="BN14" s="100">
        <f t="shared" si="11"/>
        <v>0</v>
      </c>
      <c r="BP14" s="123"/>
    </row>
    <row r="15" spans="1:68" ht="19.5" hidden="1" customHeight="1">
      <c r="A15" s="14" t="s">
        <v>217</v>
      </c>
      <c r="B15" s="143" t="s">
        <v>476</v>
      </c>
      <c r="C15" s="5" t="s">
        <v>197</v>
      </c>
      <c r="D15" s="100"/>
      <c r="E15" s="100">
        <f t="shared" si="4"/>
        <v>0</v>
      </c>
      <c r="F15" s="100">
        <f t="shared" si="6"/>
        <v>0</v>
      </c>
      <c r="G15" s="100">
        <f t="shared" si="8"/>
        <v>0</v>
      </c>
      <c r="H15" s="100">
        <f t="shared" si="12"/>
        <v>0</v>
      </c>
      <c r="I15" s="100"/>
      <c r="J15" s="100"/>
      <c r="K15" s="100"/>
      <c r="L15" s="100">
        <f>D15-BL15</f>
        <v>0</v>
      </c>
      <c r="M15" s="100"/>
      <c r="N15" s="100"/>
      <c r="O15" s="100">
        <f t="shared" si="3"/>
        <v>0</v>
      </c>
      <c r="P15" s="100"/>
      <c r="Q15" s="100"/>
      <c r="R15" s="100"/>
      <c r="S15" s="100"/>
      <c r="T15" s="100"/>
      <c r="U15" s="100"/>
      <c r="V15" s="100">
        <f t="shared" si="13"/>
        <v>0</v>
      </c>
      <c r="W15" s="100"/>
      <c r="X15" s="100"/>
      <c r="Y15" s="100"/>
      <c r="Z15" s="100"/>
      <c r="AA15" s="100"/>
      <c r="AB15" s="100"/>
      <c r="AC15" s="100"/>
      <c r="AD15" s="100"/>
      <c r="AE15" s="100">
        <f t="shared" si="9"/>
        <v>0</v>
      </c>
      <c r="AF15" s="100"/>
      <c r="AG15" s="100"/>
      <c r="AH15" s="100"/>
      <c r="AI15" s="100"/>
      <c r="AJ15" s="100"/>
      <c r="AK15" s="100"/>
      <c r="AL15" s="100"/>
      <c r="AM15" s="100"/>
      <c r="AN15" s="100"/>
      <c r="AO15" s="100"/>
      <c r="AP15" s="100"/>
      <c r="AQ15" s="100"/>
      <c r="AR15" s="100"/>
      <c r="AS15" s="100"/>
      <c r="AT15" s="100"/>
      <c r="AU15" s="100"/>
      <c r="AV15" s="100"/>
      <c r="AW15" s="100"/>
      <c r="AX15" s="100"/>
      <c r="AY15" s="100"/>
      <c r="AZ15" s="100"/>
      <c r="BA15" s="100"/>
      <c r="BB15" s="100"/>
      <c r="BC15" s="100"/>
      <c r="BD15" s="100"/>
      <c r="BE15" s="100"/>
      <c r="BF15" s="100"/>
      <c r="BG15" s="100"/>
      <c r="BH15" s="100">
        <f t="shared" si="10"/>
        <v>0</v>
      </c>
      <c r="BI15" s="100"/>
      <c r="BJ15" s="100"/>
      <c r="BK15" s="100"/>
      <c r="BL15" s="100">
        <f>H15+M15+N15+O15+S15+T15+U15+V15+BH15</f>
        <v>0</v>
      </c>
      <c r="BM15" s="100">
        <f>L67-BL15</f>
        <v>0</v>
      </c>
      <c r="BN15" s="100">
        <f t="shared" si="11"/>
        <v>0</v>
      </c>
      <c r="BP15" s="123"/>
    </row>
    <row r="16" spans="1:68" ht="20.25" customHeight="1">
      <c r="A16" s="14" t="s">
        <v>218</v>
      </c>
      <c r="B16" s="143" t="s">
        <v>22</v>
      </c>
      <c r="C16" s="5" t="s">
        <v>23</v>
      </c>
      <c r="D16" s="100">
        <f>#REF!</f>
        <v>76.53</v>
      </c>
      <c r="E16" s="100">
        <f t="shared" si="4"/>
        <v>76.53</v>
      </c>
      <c r="F16" s="100">
        <f t="shared" si="6"/>
        <v>76.53</v>
      </c>
      <c r="G16" s="100">
        <f t="shared" si="8"/>
        <v>76.53</v>
      </c>
      <c r="H16" s="100">
        <f t="shared" si="12"/>
        <v>0</v>
      </c>
      <c r="I16" s="100"/>
      <c r="J16" s="100"/>
      <c r="K16" s="100"/>
      <c r="L16" s="100"/>
      <c r="M16" s="100">
        <f>D16-BL16</f>
        <v>76.53</v>
      </c>
      <c r="N16" s="100"/>
      <c r="O16" s="100">
        <f t="shared" si="3"/>
        <v>0</v>
      </c>
      <c r="P16" s="100"/>
      <c r="Q16" s="100"/>
      <c r="R16" s="100"/>
      <c r="S16" s="100"/>
      <c r="T16" s="100"/>
      <c r="U16" s="100"/>
      <c r="V16" s="100">
        <f t="shared" si="13"/>
        <v>0</v>
      </c>
      <c r="W16" s="100"/>
      <c r="X16" s="100"/>
      <c r="Y16" s="100"/>
      <c r="Z16" s="100"/>
      <c r="AA16" s="100"/>
      <c r="AB16" s="100"/>
      <c r="AC16" s="100"/>
      <c r="AD16" s="100"/>
      <c r="AE16" s="100">
        <f t="shared" si="9"/>
        <v>0</v>
      </c>
      <c r="AF16" s="100"/>
      <c r="AG16" s="100"/>
      <c r="AH16" s="100"/>
      <c r="AI16" s="100"/>
      <c r="AJ16" s="100"/>
      <c r="AK16" s="100"/>
      <c r="AL16" s="100"/>
      <c r="AM16" s="100"/>
      <c r="AN16" s="100"/>
      <c r="AO16" s="100"/>
      <c r="AP16" s="100"/>
      <c r="AQ16" s="100"/>
      <c r="AR16" s="100"/>
      <c r="AS16" s="100"/>
      <c r="AT16" s="100"/>
      <c r="AU16" s="100"/>
      <c r="AV16" s="100"/>
      <c r="AW16" s="100"/>
      <c r="AX16" s="100"/>
      <c r="AY16" s="100"/>
      <c r="AZ16" s="100"/>
      <c r="BA16" s="100"/>
      <c r="BB16" s="100"/>
      <c r="BC16" s="100"/>
      <c r="BD16" s="100"/>
      <c r="BE16" s="100"/>
      <c r="BF16" s="100"/>
      <c r="BG16" s="100"/>
      <c r="BH16" s="100">
        <f t="shared" si="10"/>
        <v>0</v>
      </c>
      <c r="BI16" s="100"/>
      <c r="BJ16" s="100"/>
      <c r="BK16" s="100"/>
      <c r="BL16" s="100">
        <f>H16+L16+N16+S16+T16+U16+V16+BH16</f>
        <v>0</v>
      </c>
      <c r="BM16" s="100">
        <f>M67-BL16</f>
        <v>0</v>
      </c>
      <c r="BN16" s="100">
        <f t="shared" si="11"/>
        <v>76.53</v>
      </c>
      <c r="BP16" s="123"/>
    </row>
    <row r="17" spans="1:68" ht="18.75" customHeight="1">
      <c r="A17" s="14" t="s">
        <v>219</v>
      </c>
      <c r="B17" s="143" t="s">
        <v>25</v>
      </c>
      <c r="C17" s="5" t="s">
        <v>26</v>
      </c>
      <c r="D17" s="467">
        <f>#REF!</f>
        <v>52.22</v>
      </c>
      <c r="E17" s="100">
        <f t="shared" si="4"/>
        <v>51.72</v>
      </c>
      <c r="F17" s="100">
        <f t="shared" si="6"/>
        <v>51.72</v>
      </c>
      <c r="G17" s="100">
        <f t="shared" si="8"/>
        <v>0</v>
      </c>
      <c r="H17" s="100">
        <f t="shared" si="12"/>
        <v>0</v>
      </c>
      <c r="I17" s="100"/>
      <c r="J17" s="100"/>
      <c r="K17" s="100"/>
      <c r="L17" s="100"/>
      <c r="M17" s="100"/>
      <c r="N17" s="100">
        <f>D17-BL17</f>
        <v>51.72</v>
      </c>
      <c r="O17" s="100">
        <f t="shared" si="3"/>
        <v>0</v>
      </c>
      <c r="P17" s="100"/>
      <c r="Q17" s="100"/>
      <c r="R17" s="100"/>
      <c r="S17" s="100"/>
      <c r="T17" s="100"/>
      <c r="U17" s="100"/>
      <c r="V17" s="100">
        <f t="shared" si="13"/>
        <v>0.5</v>
      </c>
      <c r="W17" s="100"/>
      <c r="X17" s="100"/>
      <c r="Y17" s="100"/>
      <c r="Z17" s="100"/>
      <c r="AA17" s="100"/>
      <c r="AB17" s="100"/>
      <c r="AC17" s="100"/>
      <c r="AD17" s="100"/>
      <c r="AE17" s="100">
        <f t="shared" si="9"/>
        <v>0</v>
      </c>
      <c r="AF17" s="100"/>
      <c r="AG17" s="100"/>
      <c r="AH17" s="100"/>
      <c r="AI17" s="100"/>
      <c r="AJ17" s="100"/>
      <c r="AK17" s="100"/>
      <c r="AL17" s="100"/>
      <c r="AM17" s="100"/>
      <c r="AN17" s="100"/>
      <c r="AO17" s="100"/>
      <c r="AP17" s="100"/>
      <c r="AQ17" s="100"/>
      <c r="AR17" s="100"/>
      <c r="AS17" s="100"/>
      <c r="AT17" s="100"/>
      <c r="AU17" s="100">
        <v>0.5</v>
      </c>
      <c r="AV17" s="100"/>
      <c r="AW17" s="100"/>
      <c r="AX17" s="100"/>
      <c r="AY17" s="100"/>
      <c r="AZ17" s="100"/>
      <c r="BA17" s="100"/>
      <c r="BB17" s="100"/>
      <c r="BC17" s="100"/>
      <c r="BD17" s="100"/>
      <c r="BE17" s="100"/>
      <c r="BF17" s="100"/>
      <c r="BG17" s="100"/>
      <c r="BH17" s="100">
        <f t="shared" si="10"/>
        <v>0</v>
      </c>
      <c r="BI17" s="100"/>
      <c r="BJ17" s="100"/>
      <c r="BK17" s="100"/>
      <c r="BL17" s="100">
        <f>H17+L17+M17+O17+S17+T17+U17+V17+BH17</f>
        <v>0.5</v>
      </c>
      <c r="BM17" s="100">
        <f>N67-BL17</f>
        <v>-0.5</v>
      </c>
      <c r="BN17" s="100">
        <f t="shared" si="11"/>
        <v>51.72</v>
      </c>
      <c r="BP17" s="123"/>
    </row>
    <row r="18" spans="1:68" ht="19.5" hidden="1" customHeight="1">
      <c r="A18" s="14" t="s">
        <v>21</v>
      </c>
      <c r="B18" s="143" t="s">
        <v>477</v>
      </c>
      <c r="C18" s="5" t="s">
        <v>198</v>
      </c>
      <c r="D18" s="100">
        <f>D19+D20+D21</f>
        <v>218.14</v>
      </c>
      <c r="E18" s="100">
        <f t="shared" si="4"/>
        <v>218.14</v>
      </c>
      <c r="F18" s="100">
        <f t="shared" si="6"/>
        <v>0</v>
      </c>
      <c r="G18" s="100">
        <f t="shared" si="8"/>
        <v>0</v>
      </c>
      <c r="H18" s="100">
        <f t="shared" si="12"/>
        <v>0</v>
      </c>
      <c r="I18" s="100">
        <f t="shared" ref="I18:N18" si="14">I19+I20+I21</f>
        <v>0</v>
      </c>
      <c r="J18" s="100">
        <f t="shared" si="14"/>
        <v>0</v>
      </c>
      <c r="K18" s="100">
        <f t="shared" si="14"/>
        <v>0</v>
      </c>
      <c r="L18" s="100">
        <f t="shared" si="14"/>
        <v>0</v>
      </c>
      <c r="M18" s="100">
        <f t="shared" si="14"/>
        <v>0</v>
      </c>
      <c r="N18" s="100">
        <f t="shared" si="14"/>
        <v>0</v>
      </c>
      <c r="O18" s="100">
        <f>D18-BL18</f>
        <v>218.14</v>
      </c>
      <c r="P18" s="100">
        <f t="shared" ref="P18:BG18" si="15">P19+P20+P21</f>
        <v>178.92</v>
      </c>
      <c r="Q18" s="100">
        <f t="shared" si="15"/>
        <v>0</v>
      </c>
      <c r="R18" s="100">
        <f t="shared" si="15"/>
        <v>0</v>
      </c>
      <c r="S18" s="100">
        <f t="shared" si="15"/>
        <v>0</v>
      </c>
      <c r="T18" s="100">
        <f t="shared" si="15"/>
        <v>0</v>
      </c>
      <c r="U18" s="100">
        <f t="shared" si="15"/>
        <v>0</v>
      </c>
      <c r="V18" s="100">
        <f t="shared" si="15"/>
        <v>0</v>
      </c>
      <c r="W18" s="100">
        <f t="shared" si="15"/>
        <v>0</v>
      </c>
      <c r="X18" s="100">
        <f t="shared" si="15"/>
        <v>0</v>
      </c>
      <c r="Y18" s="100">
        <f t="shared" si="15"/>
        <v>0</v>
      </c>
      <c r="Z18" s="100">
        <f t="shared" si="15"/>
        <v>0</v>
      </c>
      <c r="AA18" s="100">
        <f t="shared" si="15"/>
        <v>0</v>
      </c>
      <c r="AB18" s="100">
        <f t="shared" si="15"/>
        <v>0</v>
      </c>
      <c r="AC18" s="100">
        <f t="shared" si="15"/>
        <v>0</v>
      </c>
      <c r="AD18" s="100">
        <f t="shared" si="15"/>
        <v>0</v>
      </c>
      <c r="AE18" s="100">
        <f t="shared" si="15"/>
        <v>0</v>
      </c>
      <c r="AF18" s="100">
        <f t="shared" si="15"/>
        <v>0</v>
      </c>
      <c r="AG18" s="100">
        <f t="shared" si="15"/>
        <v>0</v>
      </c>
      <c r="AH18" s="100">
        <f t="shared" si="15"/>
        <v>0</v>
      </c>
      <c r="AI18" s="100">
        <f t="shared" si="15"/>
        <v>0</v>
      </c>
      <c r="AJ18" s="100">
        <f t="shared" si="15"/>
        <v>0</v>
      </c>
      <c r="AK18" s="100">
        <f t="shared" si="15"/>
        <v>0</v>
      </c>
      <c r="AL18" s="100">
        <f t="shared" si="15"/>
        <v>0</v>
      </c>
      <c r="AM18" s="100">
        <f t="shared" si="15"/>
        <v>0</v>
      </c>
      <c r="AN18" s="100">
        <f t="shared" si="15"/>
        <v>0</v>
      </c>
      <c r="AO18" s="100">
        <f t="shared" si="15"/>
        <v>0</v>
      </c>
      <c r="AP18" s="100">
        <f t="shared" si="15"/>
        <v>0</v>
      </c>
      <c r="AQ18" s="100">
        <f t="shared" si="15"/>
        <v>0</v>
      </c>
      <c r="AR18" s="100">
        <f t="shared" si="15"/>
        <v>0</v>
      </c>
      <c r="AS18" s="100">
        <f t="shared" si="15"/>
        <v>0</v>
      </c>
      <c r="AT18" s="100">
        <f t="shared" si="15"/>
        <v>0</v>
      </c>
      <c r="AU18" s="100">
        <f t="shared" si="15"/>
        <v>0</v>
      </c>
      <c r="AV18" s="100">
        <f t="shared" si="15"/>
        <v>0</v>
      </c>
      <c r="AW18" s="100">
        <f t="shared" si="15"/>
        <v>0</v>
      </c>
      <c r="AX18" s="100">
        <f t="shared" si="15"/>
        <v>0</v>
      </c>
      <c r="AY18" s="100">
        <f t="shared" si="15"/>
        <v>0</v>
      </c>
      <c r="AZ18" s="100">
        <f t="shared" si="15"/>
        <v>0</v>
      </c>
      <c r="BA18" s="100">
        <f t="shared" si="15"/>
        <v>0</v>
      </c>
      <c r="BB18" s="100">
        <f t="shared" si="15"/>
        <v>0</v>
      </c>
      <c r="BC18" s="100">
        <f t="shared" si="15"/>
        <v>0</v>
      </c>
      <c r="BD18" s="100">
        <f t="shared" si="15"/>
        <v>0</v>
      </c>
      <c r="BE18" s="100">
        <f t="shared" si="15"/>
        <v>0</v>
      </c>
      <c r="BF18" s="100">
        <f t="shared" si="15"/>
        <v>0</v>
      </c>
      <c r="BG18" s="100">
        <f t="shared" si="15"/>
        <v>0</v>
      </c>
      <c r="BH18" s="100">
        <f>BH19+BH20+BH21</f>
        <v>0</v>
      </c>
      <c r="BI18" s="100">
        <f>BI19+BI20+BI21</f>
        <v>0</v>
      </c>
      <c r="BJ18" s="100">
        <f>BJ19+BJ20+BJ21</f>
        <v>0</v>
      </c>
      <c r="BK18" s="100">
        <f>BK19+BK20+BK21</f>
        <v>0</v>
      </c>
      <c r="BL18" s="100">
        <f>F18+S18+T18+U18+BH18+V18</f>
        <v>0</v>
      </c>
      <c r="BM18" s="100">
        <f>O67-BL18</f>
        <v>0</v>
      </c>
      <c r="BN18" s="100">
        <f>BN19+BN20+BN21</f>
        <v>218.14</v>
      </c>
      <c r="BP18" s="123"/>
    </row>
    <row r="19" spans="1:68" ht="20.100000000000001" customHeight="1">
      <c r="A19" s="14" t="s">
        <v>182</v>
      </c>
      <c r="B19" s="143" t="s">
        <v>28</v>
      </c>
      <c r="C19" s="5" t="s">
        <v>29</v>
      </c>
      <c r="D19" s="100">
        <f>#REF!</f>
        <v>178.92</v>
      </c>
      <c r="E19" s="100">
        <f>F19+O19+S19+T19+U19</f>
        <v>178.92</v>
      </c>
      <c r="F19" s="100">
        <f>G19+N19</f>
        <v>0</v>
      </c>
      <c r="G19" s="100">
        <f>H19+L19+M19</f>
        <v>0</v>
      </c>
      <c r="H19" s="100">
        <f t="shared" si="12"/>
        <v>0</v>
      </c>
      <c r="I19" s="100"/>
      <c r="J19" s="100"/>
      <c r="K19" s="100"/>
      <c r="L19" s="100"/>
      <c r="M19" s="100"/>
      <c r="N19" s="100"/>
      <c r="O19" s="100">
        <f t="shared" ref="O19:O24" si="16">P19+Q19+R19</f>
        <v>178.92</v>
      </c>
      <c r="P19" s="100">
        <f>D19-BL19</f>
        <v>178.92</v>
      </c>
      <c r="Q19" s="100"/>
      <c r="R19" s="100"/>
      <c r="S19" s="100"/>
      <c r="T19" s="100"/>
      <c r="U19" s="100"/>
      <c r="V19" s="100">
        <f t="shared" si="13"/>
        <v>0</v>
      </c>
      <c r="W19" s="100"/>
      <c r="X19" s="100"/>
      <c r="Y19" s="100"/>
      <c r="Z19" s="100"/>
      <c r="AA19" s="100"/>
      <c r="AB19" s="100"/>
      <c r="AC19" s="100"/>
      <c r="AD19" s="100"/>
      <c r="AE19" s="100">
        <f t="shared" si="9"/>
        <v>0</v>
      </c>
      <c r="AF19" s="100"/>
      <c r="AG19" s="100"/>
      <c r="AH19" s="100"/>
      <c r="AI19" s="100"/>
      <c r="AJ19" s="100"/>
      <c r="AK19" s="100"/>
      <c r="AL19" s="100"/>
      <c r="AM19" s="100"/>
      <c r="AN19" s="100"/>
      <c r="AO19" s="100"/>
      <c r="AP19" s="100"/>
      <c r="AQ19" s="100"/>
      <c r="AR19" s="100"/>
      <c r="AS19" s="100"/>
      <c r="AT19" s="100"/>
      <c r="AU19" s="100"/>
      <c r="AV19" s="100"/>
      <c r="AW19" s="100"/>
      <c r="AX19" s="100"/>
      <c r="AY19" s="100"/>
      <c r="AZ19" s="100"/>
      <c r="BA19" s="100"/>
      <c r="BB19" s="100"/>
      <c r="BC19" s="100"/>
      <c r="BD19" s="100"/>
      <c r="BE19" s="100"/>
      <c r="BF19" s="100"/>
      <c r="BG19" s="100"/>
      <c r="BH19" s="100">
        <f t="shared" ref="BH19:BH24" si="17">BI19+BJ19+BK19</f>
        <v>0</v>
      </c>
      <c r="BI19" s="100"/>
      <c r="BJ19" s="100"/>
      <c r="BK19" s="100"/>
      <c r="BL19" s="100">
        <f>F19+Q19+R19+S19+T19+U19+V19+BH19</f>
        <v>0</v>
      </c>
      <c r="BM19" s="100">
        <f>P67-BL19</f>
        <v>0</v>
      </c>
      <c r="BN19" s="100">
        <f t="shared" ref="BN19:BN24" si="18">D19+BM19</f>
        <v>178.92</v>
      </c>
      <c r="BP19" s="123"/>
    </row>
    <row r="20" spans="1:68" ht="20.100000000000001" customHeight="1">
      <c r="A20" s="14" t="s">
        <v>183</v>
      </c>
      <c r="B20" s="143" t="s">
        <v>31</v>
      </c>
      <c r="C20" s="5" t="s">
        <v>32</v>
      </c>
      <c r="D20" s="100"/>
      <c r="E20" s="100">
        <f t="shared" si="4"/>
        <v>0</v>
      </c>
      <c r="F20" s="100">
        <f t="shared" si="6"/>
        <v>0</v>
      </c>
      <c r="G20" s="100">
        <f t="shared" si="8"/>
        <v>0</v>
      </c>
      <c r="H20" s="100">
        <f t="shared" si="12"/>
        <v>0</v>
      </c>
      <c r="I20" s="100"/>
      <c r="J20" s="100"/>
      <c r="K20" s="100"/>
      <c r="L20" s="100"/>
      <c r="M20" s="100"/>
      <c r="N20" s="100"/>
      <c r="O20" s="100">
        <f t="shared" si="16"/>
        <v>0</v>
      </c>
      <c r="P20" s="100"/>
      <c r="Q20" s="100">
        <f>D20-BL20</f>
        <v>0</v>
      </c>
      <c r="R20" s="100"/>
      <c r="S20" s="100"/>
      <c r="T20" s="100"/>
      <c r="U20" s="100"/>
      <c r="V20" s="100">
        <f t="shared" si="13"/>
        <v>0</v>
      </c>
      <c r="W20" s="100"/>
      <c r="X20" s="100"/>
      <c r="Y20" s="100"/>
      <c r="Z20" s="100"/>
      <c r="AA20" s="100"/>
      <c r="AB20" s="100"/>
      <c r="AC20" s="100"/>
      <c r="AD20" s="100"/>
      <c r="AE20" s="100">
        <f t="shared" si="9"/>
        <v>0</v>
      </c>
      <c r="AF20" s="100"/>
      <c r="AG20" s="100"/>
      <c r="AH20" s="100"/>
      <c r="AI20" s="100"/>
      <c r="AJ20" s="100"/>
      <c r="AK20" s="100"/>
      <c r="AL20" s="100"/>
      <c r="AM20" s="100"/>
      <c r="AN20" s="100"/>
      <c r="AO20" s="100"/>
      <c r="AP20" s="100"/>
      <c r="AQ20" s="100"/>
      <c r="AR20" s="100"/>
      <c r="AS20" s="100"/>
      <c r="AT20" s="100"/>
      <c r="AU20" s="100"/>
      <c r="AV20" s="100"/>
      <c r="AW20" s="100"/>
      <c r="AX20" s="100"/>
      <c r="AY20" s="100"/>
      <c r="AZ20" s="100"/>
      <c r="BA20" s="100"/>
      <c r="BB20" s="100"/>
      <c r="BC20" s="100"/>
      <c r="BD20" s="100"/>
      <c r="BE20" s="100"/>
      <c r="BF20" s="100"/>
      <c r="BG20" s="100"/>
      <c r="BH20" s="100">
        <f t="shared" si="17"/>
        <v>0</v>
      </c>
      <c r="BI20" s="100"/>
      <c r="BJ20" s="100"/>
      <c r="BK20" s="100"/>
      <c r="BL20" s="100">
        <f>F20+P20+R20+S20+T20+U20+V20+BH20</f>
        <v>0</v>
      </c>
      <c r="BM20" s="100">
        <f>Q67-BL20</f>
        <v>0</v>
      </c>
      <c r="BN20" s="100">
        <f t="shared" si="18"/>
        <v>0</v>
      </c>
      <c r="BP20" s="123"/>
    </row>
    <row r="21" spans="1:68" ht="20.100000000000001" customHeight="1">
      <c r="A21" s="14" t="s">
        <v>184</v>
      </c>
      <c r="B21" s="143" t="s">
        <v>34</v>
      </c>
      <c r="C21" s="5" t="s">
        <v>35</v>
      </c>
      <c r="D21" s="100">
        <f>#REF!</f>
        <v>39.22</v>
      </c>
      <c r="E21" s="100">
        <f t="shared" si="4"/>
        <v>0</v>
      </c>
      <c r="F21" s="100">
        <f>G21+N21</f>
        <v>0</v>
      </c>
      <c r="G21" s="100">
        <f t="shared" si="8"/>
        <v>0</v>
      </c>
      <c r="H21" s="100">
        <f t="shared" si="12"/>
        <v>0</v>
      </c>
      <c r="I21" s="100"/>
      <c r="J21" s="100"/>
      <c r="K21" s="100"/>
      <c r="L21" s="100"/>
      <c r="M21" s="100"/>
      <c r="N21" s="100"/>
      <c r="O21" s="100">
        <f t="shared" si="16"/>
        <v>0</v>
      </c>
      <c r="P21" s="100"/>
      <c r="Q21" s="100"/>
      <c r="R21" s="100"/>
      <c r="S21" s="100"/>
      <c r="T21" s="100"/>
      <c r="U21" s="100"/>
      <c r="V21" s="100">
        <f t="shared" si="13"/>
        <v>0</v>
      </c>
      <c r="W21" s="100"/>
      <c r="X21" s="100"/>
      <c r="Y21" s="100"/>
      <c r="Z21" s="100"/>
      <c r="AA21" s="100"/>
      <c r="AB21" s="100"/>
      <c r="AC21" s="100"/>
      <c r="AD21" s="100"/>
      <c r="AE21" s="100">
        <f t="shared" si="9"/>
        <v>0</v>
      </c>
      <c r="AF21" s="100"/>
      <c r="AG21" s="100"/>
      <c r="AH21" s="100"/>
      <c r="AI21" s="100"/>
      <c r="AJ21" s="100"/>
      <c r="AK21" s="100"/>
      <c r="AL21" s="100"/>
      <c r="AM21" s="100"/>
      <c r="AN21" s="100"/>
      <c r="AO21" s="100"/>
      <c r="AP21" s="100"/>
      <c r="AQ21" s="100"/>
      <c r="AR21" s="100"/>
      <c r="AS21" s="100"/>
      <c r="AT21" s="100"/>
      <c r="AU21" s="100"/>
      <c r="AV21" s="100"/>
      <c r="AW21" s="100"/>
      <c r="AX21" s="100"/>
      <c r="AY21" s="100"/>
      <c r="AZ21" s="100"/>
      <c r="BA21" s="100"/>
      <c r="BB21" s="100"/>
      <c r="BC21" s="100"/>
      <c r="BD21" s="100"/>
      <c r="BE21" s="100"/>
      <c r="BF21" s="100"/>
      <c r="BG21" s="100"/>
      <c r="BH21" s="100">
        <f t="shared" si="17"/>
        <v>0</v>
      </c>
      <c r="BI21" s="100"/>
      <c r="BJ21" s="100"/>
      <c r="BK21" s="100"/>
      <c r="BL21" s="100">
        <f>F21+P21+Q21+S21+T21+U21+V21+BH21</f>
        <v>0</v>
      </c>
      <c r="BM21" s="100">
        <f>R67-BL21</f>
        <v>0</v>
      </c>
      <c r="BN21" s="100">
        <f t="shared" si="18"/>
        <v>39.22</v>
      </c>
      <c r="BP21" s="123"/>
    </row>
    <row r="22" spans="1:68" ht="18.75" customHeight="1">
      <c r="A22" s="14" t="s">
        <v>24</v>
      </c>
      <c r="B22" s="143" t="s">
        <v>37</v>
      </c>
      <c r="C22" s="5" t="s">
        <v>38</v>
      </c>
      <c r="D22" s="100">
        <f>#REF!</f>
        <v>255.57</v>
      </c>
      <c r="E22" s="100">
        <f>F22+O22+S22+T22+U22</f>
        <v>255.57</v>
      </c>
      <c r="F22" s="100">
        <f t="shared" si="6"/>
        <v>0</v>
      </c>
      <c r="G22" s="100">
        <f t="shared" si="8"/>
        <v>0</v>
      </c>
      <c r="H22" s="100">
        <f t="shared" si="12"/>
        <v>0</v>
      </c>
      <c r="I22" s="100"/>
      <c r="J22" s="100"/>
      <c r="K22" s="100"/>
      <c r="L22" s="100"/>
      <c r="M22" s="100"/>
      <c r="N22" s="100"/>
      <c r="O22" s="100">
        <f t="shared" si="16"/>
        <v>0</v>
      </c>
      <c r="P22" s="100"/>
      <c r="Q22" s="100"/>
      <c r="R22" s="100"/>
      <c r="S22" s="100">
        <f>D22-BL22</f>
        <v>255.57</v>
      </c>
      <c r="T22" s="100"/>
      <c r="U22" s="100"/>
      <c r="V22" s="100">
        <f t="shared" si="13"/>
        <v>0</v>
      </c>
      <c r="W22" s="100"/>
      <c r="X22" s="100"/>
      <c r="Y22" s="100"/>
      <c r="Z22" s="100"/>
      <c r="AA22" s="100"/>
      <c r="AB22" s="100"/>
      <c r="AC22" s="100"/>
      <c r="AD22" s="100"/>
      <c r="AE22" s="100">
        <f t="shared" si="9"/>
        <v>0</v>
      </c>
      <c r="AF22" s="100"/>
      <c r="AG22" s="100"/>
      <c r="AH22" s="100"/>
      <c r="AI22" s="100"/>
      <c r="AJ22" s="100"/>
      <c r="AK22" s="100"/>
      <c r="AL22" s="100"/>
      <c r="AM22" s="100"/>
      <c r="AN22" s="100"/>
      <c r="AO22" s="100"/>
      <c r="AP22" s="100"/>
      <c r="AQ22" s="100"/>
      <c r="AR22" s="100"/>
      <c r="AS22" s="100"/>
      <c r="AT22" s="100"/>
      <c r="AU22" s="100"/>
      <c r="AV22" s="100"/>
      <c r="AW22" s="100"/>
      <c r="AX22" s="100"/>
      <c r="AY22" s="100"/>
      <c r="AZ22" s="100"/>
      <c r="BA22" s="100"/>
      <c r="BB22" s="100"/>
      <c r="BC22" s="100"/>
      <c r="BD22" s="100"/>
      <c r="BE22" s="100"/>
      <c r="BF22" s="100"/>
      <c r="BG22" s="100"/>
      <c r="BH22" s="100">
        <f t="shared" si="17"/>
        <v>0</v>
      </c>
      <c r="BI22" s="100"/>
      <c r="BJ22" s="100"/>
      <c r="BK22" s="100"/>
      <c r="BL22" s="100">
        <f>G22+O22+T22+U22+V22+BH22</f>
        <v>0</v>
      </c>
      <c r="BM22" s="100">
        <f>S67-BL22</f>
        <v>0</v>
      </c>
      <c r="BN22" s="100">
        <f t="shared" si="18"/>
        <v>255.57</v>
      </c>
      <c r="BP22" s="123"/>
    </row>
    <row r="23" spans="1:68" ht="19.5" hidden="1" customHeight="1">
      <c r="A23" s="14" t="s">
        <v>27</v>
      </c>
      <c r="B23" s="143" t="s">
        <v>40</v>
      </c>
      <c r="C23" s="5" t="s">
        <v>41</v>
      </c>
      <c r="D23" s="100"/>
      <c r="E23" s="100">
        <f t="shared" si="4"/>
        <v>0</v>
      </c>
      <c r="F23" s="100">
        <f t="shared" si="6"/>
        <v>0</v>
      </c>
      <c r="G23" s="100">
        <f t="shared" si="8"/>
        <v>0</v>
      </c>
      <c r="H23" s="100">
        <f t="shared" si="12"/>
        <v>0</v>
      </c>
      <c r="I23" s="100"/>
      <c r="J23" s="100"/>
      <c r="K23" s="100"/>
      <c r="L23" s="100"/>
      <c r="M23" s="100"/>
      <c r="N23" s="100"/>
      <c r="O23" s="100">
        <f t="shared" si="16"/>
        <v>0</v>
      </c>
      <c r="P23" s="100"/>
      <c r="Q23" s="100"/>
      <c r="R23" s="100"/>
      <c r="S23" s="100"/>
      <c r="T23" s="100">
        <f>D23-BL23</f>
        <v>0</v>
      </c>
      <c r="U23" s="100"/>
      <c r="V23" s="100">
        <f t="shared" si="13"/>
        <v>0</v>
      </c>
      <c r="W23" s="100"/>
      <c r="X23" s="100"/>
      <c r="Y23" s="100"/>
      <c r="Z23" s="100"/>
      <c r="AA23" s="100"/>
      <c r="AB23" s="100"/>
      <c r="AC23" s="100"/>
      <c r="AD23" s="100"/>
      <c r="AE23" s="100">
        <f t="shared" si="9"/>
        <v>0</v>
      </c>
      <c r="AF23" s="100"/>
      <c r="AG23" s="100"/>
      <c r="AH23" s="100"/>
      <c r="AI23" s="100"/>
      <c r="AJ23" s="100"/>
      <c r="AK23" s="100"/>
      <c r="AL23" s="100"/>
      <c r="AM23" s="100"/>
      <c r="AN23" s="100"/>
      <c r="AO23" s="100"/>
      <c r="AP23" s="100"/>
      <c r="AQ23" s="100"/>
      <c r="AR23" s="100"/>
      <c r="AS23" s="100"/>
      <c r="AT23" s="100"/>
      <c r="AU23" s="100"/>
      <c r="AV23" s="100"/>
      <c r="AW23" s="100"/>
      <c r="AX23" s="100"/>
      <c r="AY23" s="100"/>
      <c r="AZ23" s="100"/>
      <c r="BA23" s="100"/>
      <c r="BB23" s="100"/>
      <c r="BC23" s="100"/>
      <c r="BD23" s="100"/>
      <c r="BE23" s="100"/>
      <c r="BF23" s="100"/>
      <c r="BG23" s="100"/>
      <c r="BH23" s="100">
        <f t="shared" si="17"/>
        <v>0</v>
      </c>
      <c r="BI23" s="100"/>
      <c r="BJ23" s="100"/>
      <c r="BK23" s="100"/>
      <c r="BL23" s="100">
        <f>F23+O23+S23+U23+V23+BH23</f>
        <v>0</v>
      </c>
      <c r="BM23" s="100">
        <f>T67-BL23</f>
        <v>0</v>
      </c>
      <c r="BN23" s="100">
        <f t="shared" si="18"/>
        <v>0</v>
      </c>
      <c r="BP23" s="123"/>
    </row>
    <row r="24" spans="1:68" ht="20.100000000000001" customHeight="1">
      <c r="A24" s="14" t="s">
        <v>30</v>
      </c>
      <c r="B24" s="143" t="s">
        <v>43</v>
      </c>
      <c r="C24" s="5" t="s">
        <v>44</v>
      </c>
      <c r="D24" s="100"/>
      <c r="E24" s="100">
        <f t="shared" si="4"/>
        <v>0</v>
      </c>
      <c r="F24" s="100">
        <f t="shared" si="6"/>
        <v>0</v>
      </c>
      <c r="G24" s="100">
        <f t="shared" si="8"/>
        <v>0</v>
      </c>
      <c r="H24" s="100">
        <f t="shared" si="12"/>
        <v>0</v>
      </c>
      <c r="I24" s="100"/>
      <c r="J24" s="100"/>
      <c r="K24" s="100"/>
      <c r="L24" s="100"/>
      <c r="M24" s="100"/>
      <c r="N24" s="100"/>
      <c r="O24" s="100">
        <f t="shared" si="16"/>
        <v>0</v>
      </c>
      <c r="P24" s="100"/>
      <c r="Q24" s="100"/>
      <c r="R24" s="100"/>
      <c r="S24" s="100"/>
      <c r="T24" s="100"/>
      <c r="U24" s="100">
        <f>D24-BL24</f>
        <v>0</v>
      </c>
      <c r="V24" s="100">
        <f t="shared" si="13"/>
        <v>0</v>
      </c>
      <c r="W24" s="100"/>
      <c r="X24" s="100"/>
      <c r="Y24" s="100"/>
      <c r="Z24" s="100"/>
      <c r="AA24" s="100"/>
      <c r="AB24" s="100"/>
      <c r="AC24" s="100"/>
      <c r="AD24" s="100"/>
      <c r="AE24" s="100">
        <f t="shared" si="9"/>
        <v>0</v>
      </c>
      <c r="AF24" s="100"/>
      <c r="AG24" s="100"/>
      <c r="AH24" s="100"/>
      <c r="AI24" s="100"/>
      <c r="AJ24" s="100"/>
      <c r="AK24" s="100"/>
      <c r="AL24" s="100"/>
      <c r="AM24" s="100"/>
      <c r="AN24" s="100"/>
      <c r="AO24" s="100"/>
      <c r="AP24" s="100"/>
      <c r="AQ24" s="100"/>
      <c r="AR24" s="100"/>
      <c r="AS24" s="100"/>
      <c r="AT24" s="100"/>
      <c r="AU24" s="100"/>
      <c r="AV24" s="100"/>
      <c r="AW24" s="100"/>
      <c r="AX24" s="100"/>
      <c r="AY24" s="100"/>
      <c r="AZ24" s="100"/>
      <c r="BA24" s="100"/>
      <c r="BB24" s="100"/>
      <c r="BC24" s="100"/>
      <c r="BD24" s="100"/>
      <c r="BE24" s="100"/>
      <c r="BF24" s="100"/>
      <c r="BG24" s="100"/>
      <c r="BH24" s="100">
        <f t="shared" si="17"/>
        <v>0</v>
      </c>
      <c r="BI24" s="100"/>
      <c r="BJ24" s="100"/>
      <c r="BK24" s="100"/>
      <c r="BL24" s="100">
        <f>F24+O24+S24+T24+BH24</f>
        <v>0</v>
      </c>
      <c r="BM24" s="100">
        <f>U67-BL24</f>
        <v>0</v>
      </c>
      <c r="BN24" s="100">
        <f t="shared" si="18"/>
        <v>0</v>
      </c>
      <c r="BP24" s="123"/>
    </row>
    <row r="25" spans="1:68" s="115" customFormat="1" ht="25.5" customHeight="1">
      <c r="A25" s="15">
        <v>2</v>
      </c>
      <c r="B25" s="142" t="s">
        <v>45</v>
      </c>
      <c r="C25" s="6" t="s">
        <v>46</v>
      </c>
      <c r="D25" s="175">
        <f>D26+D27+D28+D29+D30+D31+D32+D33+D34+D46+D47+D48+D49+D50+D51+D52+D53+D54+D55+D56+D57+D58+D59+D60+D61+D62</f>
        <v>284.09999999999991</v>
      </c>
      <c r="E25" s="175">
        <f>E26+E27+E28+E29+E30+E31+E32+E33+E34+E46+E47+E48+E49+E50+E51+E52+E53+E54+E55+E56+E57+E58+E59+E60+E61+E62</f>
        <v>0</v>
      </c>
      <c r="F25" s="175">
        <f t="shared" ref="F25:U25" si="19">F26+F27+F28+F29+F30+F31+F32+F33+F34+F46+F47+F48+F49+F50+F51+F52+F53+F54+F55+F56+F57+F58+F59+F60+F61+F62</f>
        <v>0</v>
      </c>
      <c r="G25" s="175">
        <f t="shared" si="19"/>
        <v>0</v>
      </c>
      <c r="H25" s="175">
        <f t="shared" si="19"/>
        <v>0</v>
      </c>
      <c r="I25" s="175">
        <f t="shared" si="19"/>
        <v>0</v>
      </c>
      <c r="J25" s="175">
        <f t="shared" si="19"/>
        <v>0</v>
      </c>
      <c r="K25" s="175">
        <f t="shared" si="19"/>
        <v>0</v>
      </c>
      <c r="L25" s="175">
        <f t="shared" si="19"/>
        <v>0</v>
      </c>
      <c r="M25" s="175">
        <f t="shared" si="19"/>
        <v>0</v>
      </c>
      <c r="N25" s="175">
        <f t="shared" si="19"/>
        <v>0</v>
      </c>
      <c r="O25" s="175">
        <f t="shared" si="19"/>
        <v>0</v>
      </c>
      <c r="P25" s="175">
        <f t="shared" si="19"/>
        <v>0</v>
      </c>
      <c r="Q25" s="175">
        <f t="shared" si="19"/>
        <v>0</v>
      </c>
      <c r="R25" s="175">
        <f t="shared" si="19"/>
        <v>0</v>
      </c>
      <c r="S25" s="175">
        <f t="shared" si="19"/>
        <v>0</v>
      </c>
      <c r="T25" s="175">
        <f t="shared" si="19"/>
        <v>0</v>
      </c>
      <c r="U25" s="175">
        <f t="shared" si="19"/>
        <v>0</v>
      </c>
      <c r="V25" s="175">
        <f>D25-BL25</f>
        <v>284.09999999999991</v>
      </c>
      <c r="W25" s="175">
        <f>W26+W27+W28+W29+W30+W31+W32+W33+W34+W46+W47+W48+W49+W50+W51+W52+W53+W54+W55+W56+W57+W58+W59+W60+W61+W62</f>
        <v>0.28999999999999998</v>
      </c>
      <c r="X25" s="175">
        <f t="shared" ref="X25:BK25" si="20">X26+X27+X28+X29+X30+X31+X32+X33+X34+X46+X47+X48+X49+X50+X51+X52+X53+X54+X55+X56+X57+X58+X59+X60+X61+X62</f>
        <v>0.39</v>
      </c>
      <c r="Y25" s="175">
        <f t="shared" si="20"/>
        <v>0</v>
      </c>
      <c r="Z25" s="175">
        <f t="shared" si="20"/>
        <v>0</v>
      </c>
      <c r="AA25" s="175">
        <f t="shared" si="20"/>
        <v>0</v>
      </c>
      <c r="AB25" s="175">
        <f t="shared" si="20"/>
        <v>0.36</v>
      </c>
      <c r="AC25" s="175">
        <f t="shared" si="20"/>
        <v>0</v>
      </c>
      <c r="AD25" s="175">
        <f t="shared" si="20"/>
        <v>0</v>
      </c>
      <c r="AE25" s="175">
        <f t="shared" si="20"/>
        <v>117.44999999999999</v>
      </c>
      <c r="AF25" s="175">
        <f t="shared" si="20"/>
        <v>0.6</v>
      </c>
      <c r="AG25" s="175">
        <f t="shared" si="20"/>
        <v>0.13</v>
      </c>
      <c r="AH25" s="175">
        <f t="shared" si="20"/>
        <v>2.1900000000000004</v>
      </c>
      <c r="AI25" s="175">
        <f t="shared" si="20"/>
        <v>0.86</v>
      </c>
      <c r="AJ25" s="175">
        <f t="shared" si="20"/>
        <v>0</v>
      </c>
      <c r="AK25" s="175">
        <f t="shared" si="20"/>
        <v>0</v>
      </c>
      <c r="AL25" s="175">
        <f t="shared" si="20"/>
        <v>64.599999999999994</v>
      </c>
      <c r="AM25" s="175">
        <f t="shared" si="20"/>
        <v>48.96</v>
      </c>
      <c r="AN25" s="175">
        <f t="shared" si="20"/>
        <v>0.01</v>
      </c>
      <c r="AO25" s="175">
        <f t="shared" si="20"/>
        <v>0.02</v>
      </c>
      <c r="AP25" s="175">
        <f t="shared" si="20"/>
        <v>0.08</v>
      </c>
      <c r="AQ25" s="175">
        <f t="shared" si="20"/>
        <v>0</v>
      </c>
      <c r="AR25" s="175">
        <f t="shared" si="20"/>
        <v>0</v>
      </c>
      <c r="AS25" s="175">
        <f t="shared" si="20"/>
        <v>0</v>
      </c>
      <c r="AT25" s="175">
        <f t="shared" si="20"/>
        <v>0</v>
      </c>
      <c r="AU25" s="175">
        <f t="shared" si="20"/>
        <v>28.479999999999997</v>
      </c>
      <c r="AV25" s="175">
        <f t="shared" si="20"/>
        <v>0.81</v>
      </c>
      <c r="AW25" s="175">
        <f t="shared" si="20"/>
        <v>0</v>
      </c>
      <c r="AX25" s="175">
        <f t="shared" si="20"/>
        <v>0</v>
      </c>
      <c r="AY25" s="175">
        <f t="shared" si="20"/>
        <v>0.14000000000000001</v>
      </c>
      <c r="AZ25" s="175">
        <f t="shared" si="20"/>
        <v>35.35</v>
      </c>
      <c r="BA25" s="175">
        <f t="shared" si="20"/>
        <v>0.09</v>
      </c>
      <c r="BB25" s="175">
        <f t="shared" si="20"/>
        <v>0</v>
      </c>
      <c r="BC25" s="175">
        <f t="shared" si="20"/>
        <v>0.22</v>
      </c>
      <c r="BD25" s="175">
        <f t="shared" si="20"/>
        <v>0.64</v>
      </c>
      <c r="BE25" s="175">
        <f t="shared" si="20"/>
        <v>95.82</v>
      </c>
      <c r="BF25" s="175">
        <f t="shared" si="20"/>
        <v>0</v>
      </c>
      <c r="BG25" s="175">
        <f t="shared" si="20"/>
        <v>0</v>
      </c>
      <c r="BH25" s="175">
        <f t="shared" si="20"/>
        <v>0</v>
      </c>
      <c r="BI25" s="175">
        <f t="shared" si="20"/>
        <v>0</v>
      </c>
      <c r="BJ25" s="175">
        <f t="shared" si="20"/>
        <v>0</v>
      </c>
      <c r="BK25" s="175">
        <f t="shared" si="20"/>
        <v>0</v>
      </c>
      <c r="BL25" s="175">
        <f>E25+BH25</f>
        <v>0</v>
      </c>
      <c r="BM25" s="175">
        <f>BM26+BM27+BM28+BM29+BM30+BM31+BM32+BM33+BM34+BM46+BM47+BM48+BM49+BM50+BM51+BM52+BM53+BM54+BM55+BM56+BM57+BM58+BM59+BM60+BM61+BM62</f>
        <v>1.84</v>
      </c>
      <c r="BN25" s="175">
        <f>BN26+BN27+BN28+BN29+BN30+BN31+BN32+BN33+BN34+BN46+BN47+BN48+BN49+BN50+BN51+BN52+BN53+BN54+BN55+BN56+BN57+BN58+BN59+BN60+BN61+BN62</f>
        <v>285.93999999999994</v>
      </c>
    </row>
    <row r="26" spans="1:68" ht="20.100000000000001" customHeight="1">
      <c r="A26" s="19" t="s">
        <v>47</v>
      </c>
      <c r="B26" s="144" t="s">
        <v>48</v>
      </c>
      <c r="C26" s="5" t="s">
        <v>49</v>
      </c>
      <c r="D26" s="100">
        <f>#REF!</f>
        <v>0.28999999999999998</v>
      </c>
      <c r="E26" s="100">
        <f t="shared" si="4"/>
        <v>0</v>
      </c>
      <c r="F26" s="100">
        <f>G26+N26</f>
        <v>0</v>
      </c>
      <c r="G26" s="100">
        <f t="shared" si="8"/>
        <v>0</v>
      </c>
      <c r="H26" s="100">
        <f t="shared" si="12"/>
        <v>0</v>
      </c>
      <c r="I26" s="100"/>
      <c r="J26" s="100"/>
      <c r="K26" s="100"/>
      <c r="L26" s="100"/>
      <c r="M26" s="100"/>
      <c r="N26" s="100"/>
      <c r="O26" s="100"/>
      <c r="P26" s="100"/>
      <c r="Q26" s="100"/>
      <c r="R26" s="100"/>
      <c r="S26" s="100"/>
      <c r="T26" s="100"/>
      <c r="U26" s="100"/>
      <c r="V26" s="100">
        <f t="shared" si="13"/>
        <v>0.28999999999999998</v>
      </c>
      <c r="W26" s="100">
        <f>D26-BL26</f>
        <v>0.28999999999999998</v>
      </c>
      <c r="X26" s="100"/>
      <c r="Y26" s="100"/>
      <c r="Z26" s="100"/>
      <c r="AA26" s="100"/>
      <c r="AB26" s="100"/>
      <c r="AC26" s="100"/>
      <c r="AD26" s="100"/>
      <c r="AE26" s="100">
        <f t="shared" si="9"/>
        <v>0</v>
      </c>
      <c r="AF26" s="100"/>
      <c r="AG26" s="100"/>
      <c r="AH26" s="100"/>
      <c r="AI26" s="100"/>
      <c r="AJ26" s="100"/>
      <c r="AK26" s="100"/>
      <c r="AL26" s="100"/>
      <c r="AM26" s="100"/>
      <c r="AN26" s="100"/>
      <c r="AO26" s="100"/>
      <c r="AP26" s="100"/>
      <c r="AQ26" s="100"/>
      <c r="AR26" s="100"/>
      <c r="AS26" s="100"/>
      <c r="AT26" s="100"/>
      <c r="AU26" s="100"/>
      <c r="AV26" s="100"/>
      <c r="AW26" s="100"/>
      <c r="AX26" s="100"/>
      <c r="AY26" s="100"/>
      <c r="AZ26" s="100"/>
      <c r="BA26" s="100"/>
      <c r="BB26" s="100"/>
      <c r="BC26" s="100"/>
      <c r="BD26" s="100"/>
      <c r="BE26" s="100"/>
      <c r="BF26" s="100"/>
      <c r="BG26" s="100"/>
      <c r="BH26" s="100">
        <f>BI26+BJ26+BK26</f>
        <v>0</v>
      </c>
      <c r="BI26" s="100"/>
      <c r="BJ26" s="100"/>
      <c r="BK26" s="100"/>
      <c r="BL26" s="100">
        <f>X26+Y26+Z26+AA26+AB26+AC26+AD26+AE26+AQ26+AR26+AS26+AT26+AU26+AV26+AW26+AX26+AY26+AZ26+BA26+BB26+BC26+BD26+BE26+BF26+BG26+BH26</f>
        <v>0</v>
      </c>
      <c r="BM26" s="100">
        <f>W67-BL26</f>
        <v>0</v>
      </c>
      <c r="BN26" s="100">
        <f>D26+BM26</f>
        <v>0.28999999999999998</v>
      </c>
      <c r="BP26" s="123"/>
    </row>
    <row r="27" spans="1:68" ht="20.100000000000001" customHeight="1">
      <c r="A27" s="19" t="s">
        <v>50</v>
      </c>
      <c r="B27" s="144" t="s">
        <v>51</v>
      </c>
      <c r="C27" s="5" t="s">
        <v>52</v>
      </c>
      <c r="D27" s="100">
        <f>#REF!</f>
        <v>0.39</v>
      </c>
      <c r="E27" s="100">
        <f t="shared" si="4"/>
        <v>0</v>
      </c>
      <c r="F27" s="100">
        <f t="shared" ref="F27:F66" si="21">G27+N27</f>
        <v>0</v>
      </c>
      <c r="G27" s="100">
        <f t="shared" si="8"/>
        <v>0</v>
      </c>
      <c r="H27" s="100">
        <f t="shared" si="12"/>
        <v>0</v>
      </c>
      <c r="I27" s="100"/>
      <c r="J27" s="100"/>
      <c r="K27" s="100"/>
      <c r="L27" s="100"/>
      <c r="M27" s="100"/>
      <c r="N27" s="100"/>
      <c r="O27" s="100"/>
      <c r="P27" s="100"/>
      <c r="Q27" s="100"/>
      <c r="R27" s="100"/>
      <c r="S27" s="100"/>
      <c r="T27" s="100"/>
      <c r="U27" s="100"/>
      <c r="V27" s="100">
        <f t="shared" si="13"/>
        <v>0.39</v>
      </c>
      <c r="W27" s="100"/>
      <c r="X27" s="100">
        <f>D27-BL27</f>
        <v>0.39</v>
      </c>
      <c r="Y27" s="100"/>
      <c r="Z27" s="100"/>
      <c r="AA27" s="100"/>
      <c r="AB27" s="100"/>
      <c r="AC27" s="100"/>
      <c r="AD27" s="100"/>
      <c r="AE27" s="100">
        <f t="shared" si="9"/>
        <v>0</v>
      </c>
      <c r="AF27" s="100"/>
      <c r="AG27" s="100"/>
      <c r="AH27" s="100"/>
      <c r="AI27" s="100"/>
      <c r="AJ27" s="100"/>
      <c r="AK27" s="100"/>
      <c r="AL27" s="100"/>
      <c r="AM27" s="100"/>
      <c r="AN27" s="100"/>
      <c r="AO27" s="100"/>
      <c r="AP27" s="100"/>
      <c r="AQ27" s="100"/>
      <c r="AR27" s="100"/>
      <c r="AS27" s="100"/>
      <c r="AT27" s="100"/>
      <c r="AU27" s="100"/>
      <c r="AV27" s="100"/>
      <c r="AW27" s="100"/>
      <c r="AX27" s="100"/>
      <c r="AY27" s="100"/>
      <c r="AZ27" s="100"/>
      <c r="BA27" s="100"/>
      <c r="BB27" s="100"/>
      <c r="BC27" s="100"/>
      <c r="BD27" s="100"/>
      <c r="BE27" s="100"/>
      <c r="BF27" s="100"/>
      <c r="BG27" s="100"/>
      <c r="BH27" s="100">
        <f t="shared" ref="BH27:BH62" si="22">BI27+BJ27+BK27</f>
        <v>0</v>
      </c>
      <c r="BI27" s="100"/>
      <c r="BJ27" s="100"/>
      <c r="BK27" s="100"/>
      <c r="BL27" s="100">
        <f>F27+W27+Y27+Z27+AA27+AB27+AC27+AD27+AE27+AQ27+AR27+AS27+AT27+AU27+AV27+AW27+AX27+AY27+AZ27+BA27+BB27+BC27+BD27+BE27+BF27+BG27+BH27</f>
        <v>0</v>
      </c>
      <c r="BM27" s="100">
        <f>X67-BL27</f>
        <v>0</v>
      </c>
      <c r="BN27" s="100">
        <f t="shared" ref="BN27:BN33" si="23">D27+BM27</f>
        <v>0.39</v>
      </c>
      <c r="BP27" s="123"/>
    </row>
    <row r="28" spans="1:68" ht="20.100000000000001" customHeight="1">
      <c r="A28" s="19" t="s">
        <v>53</v>
      </c>
      <c r="B28" s="144" t="s">
        <v>54</v>
      </c>
      <c r="C28" s="5" t="s">
        <v>55</v>
      </c>
      <c r="D28" s="100"/>
      <c r="E28" s="100">
        <f t="shared" si="4"/>
        <v>0</v>
      </c>
      <c r="F28" s="100">
        <f t="shared" si="21"/>
        <v>0</v>
      </c>
      <c r="G28" s="100">
        <f t="shared" si="8"/>
        <v>0</v>
      </c>
      <c r="H28" s="100">
        <f t="shared" si="12"/>
        <v>0</v>
      </c>
      <c r="I28" s="100"/>
      <c r="J28" s="100"/>
      <c r="K28" s="100"/>
      <c r="L28" s="100"/>
      <c r="M28" s="100"/>
      <c r="N28" s="100"/>
      <c r="O28" s="100"/>
      <c r="P28" s="100"/>
      <c r="Q28" s="100"/>
      <c r="R28" s="100"/>
      <c r="S28" s="100"/>
      <c r="T28" s="100"/>
      <c r="U28" s="100"/>
      <c r="V28" s="100">
        <f t="shared" si="13"/>
        <v>0</v>
      </c>
      <c r="W28" s="100"/>
      <c r="X28" s="100"/>
      <c r="Y28" s="100">
        <f>D28-BL28</f>
        <v>0</v>
      </c>
      <c r="Z28" s="100"/>
      <c r="AA28" s="100"/>
      <c r="AB28" s="100"/>
      <c r="AC28" s="100"/>
      <c r="AD28" s="100"/>
      <c r="AE28" s="100">
        <f t="shared" si="9"/>
        <v>0</v>
      </c>
      <c r="AF28" s="100"/>
      <c r="AG28" s="100"/>
      <c r="AH28" s="100"/>
      <c r="AI28" s="100"/>
      <c r="AJ28" s="100"/>
      <c r="AK28" s="100"/>
      <c r="AL28" s="100"/>
      <c r="AM28" s="100"/>
      <c r="AN28" s="100"/>
      <c r="AO28" s="100"/>
      <c r="AP28" s="100"/>
      <c r="AQ28" s="100"/>
      <c r="AR28" s="100"/>
      <c r="AS28" s="100"/>
      <c r="AT28" s="100"/>
      <c r="AU28" s="100"/>
      <c r="AV28" s="100"/>
      <c r="AW28" s="100"/>
      <c r="AX28" s="100"/>
      <c r="AY28" s="100"/>
      <c r="AZ28" s="100"/>
      <c r="BA28" s="100"/>
      <c r="BB28" s="100"/>
      <c r="BC28" s="100"/>
      <c r="BD28" s="100"/>
      <c r="BE28" s="100"/>
      <c r="BF28" s="100"/>
      <c r="BG28" s="100"/>
      <c r="BH28" s="100">
        <f t="shared" si="22"/>
        <v>0</v>
      </c>
      <c r="BI28" s="100"/>
      <c r="BJ28" s="100"/>
      <c r="BK28" s="100"/>
      <c r="BL28" s="100">
        <f>E28+W28+X28+Z28+AA28+AB28+AC28+AD28+AE28+AQ28+AR28+AS28+AT28+AU28+AV28+AW28+AX28+AY28+AZ28+BA28+BB28+BC28+BD28+BE28+BF28+BG28+BH28</f>
        <v>0</v>
      </c>
      <c r="BM28" s="100">
        <f>Y67-BL28</f>
        <v>0</v>
      </c>
      <c r="BN28" s="100">
        <f t="shared" si="23"/>
        <v>0</v>
      </c>
      <c r="BP28" s="123"/>
    </row>
    <row r="29" spans="1:68" ht="20.100000000000001" customHeight="1">
      <c r="A29" s="19" t="s">
        <v>56</v>
      </c>
      <c r="B29" s="144" t="s">
        <v>57</v>
      </c>
      <c r="C29" s="5" t="s">
        <v>58</v>
      </c>
      <c r="D29" s="100"/>
      <c r="E29" s="100">
        <f t="shared" si="4"/>
        <v>0</v>
      </c>
      <c r="F29" s="100">
        <f t="shared" si="21"/>
        <v>0</v>
      </c>
      <c r="G29" s="100">
        <f t="shared" si="8"/>
        <v>0</v>
      </c>
      <c r="H29" s="100">
        <f t="shared" si="12"/>
        <v>0</v>
      </c>
      <c r="I29" s="100"/>
      <c r="J29" s="100"/>
      <c r="K29" s="100"/>
      <c r="L29" s="100"/>
      <c r="M29" s="100"/>
      <c r="N29" s="100"/>
      <c r="O29" s="100"/>
      <c r="P29" s="100"/>
      <c r="Q29" s="100"/>
      <c r="R29" s="100"/>
      <c r="S29" s="100"/>
      <c r="T29" s="100"/>
      <c r="U29" s="100"/>
      <c r="V29" s="100">
        <f t="shared" si="13"/>
        <v>0</v>
      </c>
      <c r="W29" s="100"/>
      <c r="X29" s="100"/>
      <c r="Y29" s="100"/>
      <c r="Z29" s="100">
        <f>D29-BL29</f>
        <v>0</v>
      </c>
      <c r="AA29" s="100"/>
      <c r="AB29" s="100"/>
      <c r="AC29" s="100"/>
      <c r="AD29" s="100"/>
      <c r="AE29" s="100">
        <f t="shared" si="9"/>
        <v>0</v>
      </c>
      <c r="AF29" s="100"/>
      <c r="AG29" s="100"/>
      <c r="AH29" s="100"/>
      <c r="AI29" s="100"/>
      <c r="AJ29" s="100"/>
      <c r="AK29" s="100"/>
      <c r="AL29" s="100"/>
      <c r="AM29" s="100"/>
      <c r="AN29" s="100"/>
      <c r="AO29" s="100"/>
      <c r="AP29" s="100"/>
      <c r="AQ29" s="100"/>
      <c r="AR29" s="100"/>
      <c r="AS29" s="100"/>
      <c r="AT29" s="100"/>
      <c r="AU29" s="100"/>
      <c r="AV29" s="100"/>
      <c r="AW29" s="100"/>
      <c r="AX29" s="100"/>
      <c r="AY29" s="100"/>
      <c r="AZ29" s="100"/>
      <c r="BA29" s="100"/>
      <c r="BB29" s="100"/>
      <c r="BC29" s="100"/>
      <c r="BD29" s="100"/>
      <c r="BE29" s="100"/>
      <c r="BF29" s="100"/>
      <c r="BG29" s="100"/>
      <c r="BH29" s="100">
        <f t="shared" si="22"/>
        <v>0</v>
      </c>
      <c r="BI29" s="100"/>
      <c r="BJ29" s="100"/>
      <c r="BK29" s="100"/>
      <c r="BL29" s="100">
        <f>E29+W29+X29+Y29+AA29+AB29+AC29+AD29+AE29+AQ29+AR29+AS29+AT29+AU29+AV29+AW29+AX29+AY29+AZ29+BA29+BB29+BC29+BD29+BE29+BF29+BG29+BH29</f>
        <v>0</v>
      </c>
      <c r="BM29" s="100">
        <f>Z67-BL29</f>
        <v>0</v>
      </c>
      <c r="BN29" s="100">
        <f t="shared" si="23"/>
        <v>0</v>
      </c>
      <c r="BP29" s="123"/>
    </row>
    <row r="30" spans="1:68" ht="20.100000000000001" customHeight="1">
      <c r="A30" s="19" t="s">
        <v>59</v>
      </c>
      <c r="B30" s="144" t="s">
        <v>60</v>
      </c>
      <c r="C30" s="5" t="s">
        <v>61</v>
      </c>
      <c r="D30" s="100"/>
      <c r="E30" s="100">
        <f t="shared" si="4"/>
        <v>0</v>
      </c>
      <c r="F30" s="100">
        <f t="shared" si="21"/>
        <v>0</v>
      </c>
      <c r="G30" s="100">
        <f t="shared" si="8"/>
        <v>0</v>
      </c>
      <c r="H30" s="100">
        <f t="shared" si="12"/>
        <v>0</v>
      </c>
      <c r="I30" s="100"/>
      <c r="J30" s="100"/>
      <c r="K30" s="100"/>
      <c r="L30" s="100"/>
      <c r="M30" s="100"/>
      <c r="N30" s="100"/>
      <c r="O30" s="100"/>
      <c r="P30" s="100"/>
      <c r="Q30" s="100"/>
      <c r="R30" s="100"/>
      <c r="S30" s="100"/>
      <c r="T30" s="100"/>
      <c r="U30" s="100"/>
      <c r="V30" s="100">
        <f t="shared" si="13"/>
        <v>0</v>
      </c>
      <c r="W30" s="100"/>
      <c r="X30" s="100"/>
      <c r="Y30" s="100"/>
      <c r="Z30" s="100"/>
      <c r="AA30" s="100">
        <f>D30-BL30</f>
        <v>0</v>
      </c>
      <c r="AB30" s="100"/>
      <c r="AC30" s="100"/>
      <c r="AD30" s="100"/>
      <c r="AE30" s="100">
        <f t="shared" si="9"/>
        <v>0</v>
      </c>
      <c r="AF30" s="100"/>
      <c r="AG30" s="100"/>
      <c r="AH30" s="100"/>
      <c r="AI30" s="100"/>
      <c r="AJ30" s="100"/>
      <c r="AK30" s="100"/>
      <c r="AL30" s="100"/>
      <c r="AM30" s="100"/>
      <c r="AN30" s="100"/>
      <c r="AO30" s="100"/>
      <c r="AP30" s="100"/>
      <c r="AQ30" s="100"/>
      <c r="AR30" s="100"/>
      <c r="AS30" s="100"/>
      <c r="AT30" s="100"/>
      <c r="AU30" s="100"/>
      <c r="AV30" s="100"/>
      <c r="AW30" s="100"/>
      <c r="AX30" s="100"/>
      <c r="AY30" s="100"/>
      <c r="AZ30" s="100"/>
      <c r="BA30" s="100"/>
      <c r="BB30" s="100"/>
      <c r="BC30" s="100"/>
      <c r="BD30" s="100"/>
      <c r="BE30" s="100"/>
      <c r="BF30" s="100"/>
      <c r="BG30" s="100"/>
      <c r="BH30" s="100">
        <f t="shared" si="22"/>
        <v>0</v>
      </c>
      <c r="BI30" s="100"/>
      <c r="BJ30" s="100"/>
      <c r="BK30" s="100"/>
      <c r="BL30" s="100">
        <f>E30+W30+X30+Y30+Z30+AB30+AC30+AD30+AE30+AQ30+AR30+AS30+AT30+AU30+AV30+AW30+AX30+AY30+AZ30+BA30+BB30+BC30+BD30+BE30+BF30+BG30+BH30</f>
        <v>0</v>
      </c>
      <c r="BM30" s="100">
        <f>AA67-BL30</f>
        <v>0</v>
      </c>
      <c r="BN30" s="100">
        <f t="shared" si="23"/>
        <v>0</v>
      </c>
      <c r="BP30" s="123"/>
    </row>
    <row r="31" spans="1:68" ht="20.100000000000001" customHeight="1">
      <c r="A31" s="19" t="s">
        <v>62</v>
      </c>
      <c r="B31" s="144" t="s">
        <v>63</v>
      </c>
      <c r="C31" s="5" t="s">
        <v>64</v>
      </c>
      <c r="D31" s="100">
        <f>#REF!</f>
        <v>0.36</v>
      </c>
      <c r="E31" s="100">
        <f t="shared" si="4"/>
        <v>0</v>
      </c>
      <c r="F31" s="100">
        <f t="shared" si="21"/>
        <v>0</v>
      </c>
      <c r="G31" s="100">
        <f t="shared" si="8"/>
        <v>0</v>
      </c>
      <c r="H31" s="100">
        <f t="shared" si="12"/>
        <v>0</v>
      </c>
      <c r="I31" s="100"/>
      <c r="J31" s="100"/>
      <c r="K31" s="100"/>
      <c r="L31" s="100"/>
      <c r="M31" s="100"/>
      <c r="N31" s="100"/>
      <c r="O31" s="100"/>
      <c r="P31" s="100"/>
      <c r="Q31" s="100"/>
      <c r="R31" s="100"/>
      <c r="S31" s="100"/>
      <c r="T31" s="100"/>
      <c r="U31" s="100"/>
      <c r="V31" s="100">
        <f>W31+X31+Y31+Z31+AA31+AB31+AC31+AD31+AE31+AQ31+AR31+AS31+AT31+AU31+AV31+AW31+AX31+AY31+AZ31+BA31+BB31+BC31+BD31+BE31+BF31+BG31</f>
        <v>0.36</v>
      </c>
      <c r="W31" s="100"/>
      <c r="X31" s="100"/>
      <c r="Y31" s="100"/>
      <c r="Z31" s="100"/>
      <c r="AA31" s="100"/>
      <c r="AB31" s="100">
        <f>D31-BL31</f>
        <v>0.36</v>
      </c>
      <c r="AC31" s="100"/>
      <c r="AD31" s="100"/>
      <c r="AE31" s="100">
        <f t="shared" si="9"/>
        <v>0</v>
      </c>
      <c r="AF31" s="100"/>
      <c r="AG31" s="100"/>
      <c r="AH31" s="100"/>
      <c r="AI31" s="100"/>
      <c r="AJ31" s="100"/>
      <c r="AK31" s="100"/>
      <c r="AL31" s="100"/>
      <c r="AM31" s="100"/>
      <c r="AN31" s="100"/>
      <c r="AO31" s="100"/>
      <c r="AP31" s="100"/>
      <c r="AQ31" s="100"/>
      <c r="AR31" s="100"/>
      <c r="AS31" s="100"/>
      <c r="AT31" s="100"/>
      <c r="AU31" s="100"/>
      <c r="AV31" s="100"/>
      <c r="AW31" s="100"/>
      <c r="AX31" s="100"/>
      <c r="AY31" s="100"/>
      <c r="AZ31" s="100"/>
      <c r="BA31" s="100"/>
      <c r="BB31" s="100"/>
      <c r="BC31" s="100"/>
      <c r="BD31" s="100"/>
      <c r="BE31" s="100"/>
      <c r="BF31" s="100"/>
      <c r="BG31" s="100"/>
      <c r="BH31" s="100">
        <f>BI31+BJ31+BK31</f>
        <v>0</v>
      </c>
      <c r="BI31" s="100"/>
      <c r="BJ31" s="100"/>
      <c r="BK31" s="100"/>
      <c r="BL31" s="100">
        <f>E31+W31+X31+Y31+Z31+AA31+AC31+AD31+AE31+AQ31+AR31+AS31+AT31+AU31+AV31+AW31+AX31+AY31+AZ31+BA31+BB31+BC31+BD31+BE31+BF31+BG31+BH31</f>
        <v>0</v>
      </c>
      <c r="BM31" s="100">
        <f>AB67-BL31</f>
        <v>0</v>
      </c>
      <c r="BN31" s="100">
        <f t="shared" si="23"/>
        <v>0.36</v>
      </c>
      <c r="BP31" s="123"/>
    </row>
    <row r="32" spans="1:68" ht="20.100000000000001" customHeight="1">
      <c r="A32" s="19" t="s">
        <v>65</v>
      </c>
      <c r="B32" s="144" t="s">
        <v>66</v>
      </c>
      <c r="C32" s="5" t="s">
        <v>67</v>
      </c>
      <c r="D32" s="100">
        <f>#REF!</f>
        <v>4.0599999999999996</v>
      </c>
      <c r="E32" s="100">
        <f t="shared" si="4"/>
        <v>0</v>
      </c>
      <c r="F32" s="100">
        <f t="shared" si="21"/>
        <v>0</v>
      </c>
      <c r="G32" s="100">
        <f t="shared" si="8"/>
        <v>0</v>
      </c>
      <c r="H32" s="100">
        <f t="shared" si="12"/>
        <v>0</v>
      </c>
      <c r="I32" s="100"/>
      <c r="J32" s="100"/>
      <c r="K32" s="100"/>
      <c r="L32" s="100"/>
      <c r="M32" s="100"/>
      <c r="N32" s="100"/>
      <c r="O32" s="100"/>
      <c r="P32" s="100"/>
      <c r="Q32" s="100"/>
      <c r="R32" s="100"/>
      <c r="S32" s="100"/>
      <c r="T32" s="100"/>
      <c r="U32" s="100"/>
      <c r="V32" s="100">
        <f t="shared" si="13"/>
        <v>0</v>
      </c>
      <c r="W32" s="100"/>
      <c r="X32" s="100"/>
      <c r="Y32" s="100"/>
      <c r="Z32" s="100"/>
      <c r="AA32" s="100"/>
      <c r="AB32" s="100"/>
      <c r="AC32" s="100"/>
      <c r="AD32" s="100"/>
      <c r="AE32" s="100">
        <f t="shared" si="9"/>
        <v>0</v>
      </c>
      <c r="AF32" s="100"/>
      <c r="AG32" s="100"/>
      <c r="AH32" s="100"/>
      <c r="AI32" s="100"/>
      <c r="AJ32" s="100"/>
      <c r="AK32" s="100"/>
      <c r="AL32" s="100"/>
      <c r="AM32" s="100"/>
      <c r="AN32" s="100"/>
      <c r="AO32" s="100"/>
      <c r="AP32" s="100"/>
      <c r="AQ32" s="100"/>
      <c r="AR32" s="100"/>
      <c r="AS32" s="100"/>
      <c r="AT32" s="100"/>
      <c r="AU32" s="100"/>
      <c r="AV32" s="100"/>
      <c r="AW32" s="100"/>
      <c r="AX32" s="100"/>
      <c r="AY32" s="100"/>
      <c r="AZ32" s="100"/>
      <c r="BA32" s="100"/>
      <c r="BB32" s="100"/>
      <c r="BC32" s="100"/>
      <c r="BD32" s="100"/>
      <c r="BE32" s="100"/>
      <c r="BF32" s="100"/>
      <c r="BG32" s="100"/>
      <c r="BH32" s="100">
        <f t="shared" si="22"/>
        <v>0</v>
      </c>
      <c r="BI32" s="100"/>
      <c r="BJ32" s="100"/>
      <c r="BK32" s="100"/>
      <c r="BL32" s="100">
        <f>E32+W32+X32+Y32+Z32+AA32+AB32+AD32+AE32+AQ32+AR32+AS32+AT32+AU32+AV32+AW32+AX32+AY32+AZ32+BA32+BB32+BC32+BD32+BE32+BF32+BG32+BH32</f>
        <v>0</v>
      </c>
      <c r="BM32" s="100">
        <f>AC67-BL32</f>
        <v>0</v>
      </c>
      <c r="BN32" s="100">
        <f t="shared" si="23"/>
        <v>4.0599999999999996</v>
      </c>
      <c r="BP32" s="123"/>
    </row>
    <row r="33" spans="1:68" ht="20.100000000000001" customHeight="1">
      <c r="A33" s="19" t="s">
        <v>68</v>
      </c>
      <c r="B33" s="144" t="s">
        <v>69</v>
      </c>
      <c r="C33" s="5" t="s">
        <v>70</v>
      </c>
      <c r="D33" s="100"/>
      <c r="E33" s="100">
        <f t="shared" si="4"/>
        <v>0</v>
      </c>
      <c r="F33" s="100">
        <f t="shared" si="21"/>
        <v>0</v>
      </c>
      <c r="G33" s="100">
        <f t="shared" si="8"/>
        <v>0</v>
      </c>
      <c r="H33" s="100">
        <f t="shared" si="12"/>
        <v>0</v>
      </c>
      <c r="I33" s="100"/>
      <c r="J33" s="100"/>
      <c r="K33" s="100"/>
      <c r="L33" s="100"/>
      <c r="M33" s="100"/>
      <c r="N33" s="100"/>
      <c r="O33" s="100"/>
      <c r="P33" s="100"/>
      <c r="Q33" s="100"/>
      <c r="R33" s="100"/>
      <c r="S33" s="100"/>
      <c r="T33" s="100"/>
      <c r="U33" s="100"/>
      <c r="V33" s="100">
        <f t="shared" si="13"/>
        <v>0</v>
      </c>
      <c r="W33" s="100"/>
      <c r="X33" s="100"/>
      <c r="Y33" s="100"/>
      <c r="Z33" s="100"/>
      <c r="AA33" s="100"/>
      <c r="AB33" s="100"/>
      <c r="AC33" s="100"/>
      <c r="AD33" s="100">
        <f>D33-BL33</f>
        <v>0</v>
      </c>
      <c r="AE33" s="100">
        <f t="shared" si="9"/>
        <v>0</v>
      </c>
      <c r="AF33" s="100"/>
      <c r="AG33" s="100"/>
      <c r="AH33" s="100"/>
      <c r="AI33" s="100"/>
      <c r="AJ33" s="100"/>
      <c r="AK33" s="100"/>
      <c r="AL33" s="100"/>
      <c r="AM33" s="100"/>
      <c r="AN33" s="100"/>
      <c r="AO33" s="100"/>
      <c r="AP33" s="100"/>
      <c r="AQ33" s="100"/>
      <c r="AR33" s="100"/>
      <c r="AS33" s="100"/>
      <c r="AT33" s="100"/>
      <c r="AU33" s="100"/>
      <c r="AV33" s="100"/>
      <c r="AW33" s="100"/>
      <c r="AX33" s="100"/>
      <c r="AY33" s="100"/>
      <c r="AZ33" s="100"/>
      <c r="BA33" s="100"/>
      <c r="BB33" s="100"/>
      <c r="BC33" s="100"/>
      <c r="BD33" s="100"/>
      <c r="BE33" s="100"/>
      <c r="BF33" s="100"/>
      <c r="BG33" s="100"/>
      <c r="BH33" s="100">
        <f t="shared" si="22"/>
        <v>0</v>
      </c>
      <c r="BI33" s="100"/>
      <c r="BJ33" s="100"/>
      <c r="BK33" s="100"/>
      <c r="BL33" s="100">
        <f>E33+W33+X33+Y33+Z33+AA33+AB33+AC33+AE33+AQ33+AR33+AS33+AT33+AU33+AV33+AW33+AX33+AY33+AZ33+BA33+BB33+BC33+BD33+BE33+BF33+BG33+BH33</f>
        <v>0</v>
      </c>
      <c r="BM33" s="100">
        <f>AD67-BL33</f>
        <v>0</v>
      </c>
      <c r="BN33" s="100">
        <f t="shared" si="23"/>
        <v>0</v>
      </c>
      <c r="BP33" s="123"/>
    </row>
    <row r="34" spans="1:68" ht="40.5" customHeight="1">
      <c r="A34" s="19" t="s">
        <v>71</v>
      </c>
      <c r="B34" s="144" t="s">
        <v>135</v>
      </c>
      <c r="C34" s="5" t="s">
        <v>72</v>
      </c>
      <c r="D34" s="100">
        <f>SUM(D35:D45)</f>
        <v>117.68999999999998</v>
      </c>
      <c r="E34" s="100">
        <f>SUM(E35:E45)</f>
        <v>0</v>
      </c>
      <c r="F34" s="100">
        <f t="shared" ref="F34:U34" si="24">SUM(F35:F45)</f>
        <v>0</v>
      </c>
      <c r="G34" s="100">
        <f t="shared" si="24"/>
        <v>0</v>
      </c>
      <c r="H34" s="100">
        <f t="shared" si="24"/>
        <v>0</v>
      </c>
      <c r="I34" s="100">
        <f t="shared" si="24"/>
        <v>0</v>
      </c>
      <c r="J34" s="100">
        <f t="shared" si="24"/>
        <v>0</v>
      </c>
      <c r="K34" s="100">
        <f t="shared" si="24"/>
        <v>0</v>
      </c>
      <c r="L34" s="100">
        <f t="shared" si="24"/>
        <v>0</v>
      </c>
      <c r="M34" s="100">
        <f t="shared" si="24"/>
        <v>0</v>
      </c>
      <c r="N34" s="100">
        <f t="shared" si="24"/>
        <v>0</v>
      </c>
      <c r="O34" s="100">
        <f t="shared" si="24"/>
        <v>0</v>
      </c>
      <c r="P34" s="100">
        <f t="shared" si="24"/>
        <v>0</v>
      </c>
      <c r="Q34" s="100">
        <f t="shared" si="24"/>
        <v>0</v>
      </c>
      <c r="R34" s="100">
        <f t="shared" si="24"/>
        <v>0</v>
      </c>
      <c r="S34" s="100">
        <f t="shared" si="24"/>
        <v>0</v>
      </c>
      <c r="T34" s="100">
        <f t="shared" si="24"/>
        <v>0</v>
      </c>
      <c r="U34" s="100">
        <f t="shared" si="24"/>
        <v>0</v>
      </c>
      <c r="V34" s="100">
        <f>SUM(V35:V45)</f>
        <v>117.68999999999998</v>
      </c>
      <c r="W34" s="100">
        <f t="shared" ref="W34:AD34" si="25">SUM(W35:W45)</f>
        <v>0</v>
      </c>
      <c r="X34" s="100">
        <f t="shared" si="25"/>
        <v>0</v>
      </c>
      <c r="Y34" s="100">
        <f t="shared" si="25"/>
        <v>0</v>
      </c>
      <c r="Z34" s="100">
        <f t="shared" si="25"/>
        <v>0</v>
      </c>
      <c r="AA34" s="100">
        <f t="shared" si="25"/>
        <v>0</v>
      </c>
      <c r="AB34" s="100">
        <f t="shared" si="25"/>
        <v>0</v>
      </c>
      <c r="AC34" s="100">
        <f t="shared" si="25"/>
        <v>0</v>
      </c>
      <c r="AD34" s="100">
        <f t="shared" si="25"/>
        <v>0</v>
      </c>
      <c r="AE34" s="100">
        <f>D34-BL34</f>
        <v>117.44999999999999</v>
      </c>
      <c r="AF34" s="100">
        <f>SUM(AF35:AF45)</f>
        <v>0.6</v>
      </c>
      <c r="AG34" s="100">
        <f t="shared" ref="AG34:BE34" si="26">SUM(AG35:AG45)</f>
        <v>0.13</v>
      </c>
      <c r="AH34" s="100">
        <f t="shared" si="26"/>
        <v>2.1900000000000004</v>
      </c>
      <c r="AI34" s="100">
        <f t="shared" si="26"/>
        <v>0.86</v>
      </c>
      <c r="AJ34" s="100">
        <f t="shared" si="26"/>
        <v>0</v>
      </c>
      <c r="AK34" s="100">
        <f t="shared" si="26"/>
        <v>0</v>
      </c>
      <c r="AL34" s="100">
        <f t="shared" si="26"/>
        <v>64.599999999999994</v>
      </c>
      <c r="AM34" s="100">
        <f t="shared" si="26"/>
        <v>48.96</v>
      </c>
      <c r="AN34" s="100">
        <f t="shared" si="26"/>
        <v>0.01</v>
      </c>
      <c r="AO34" s="100">
        <f t="shared" si="26"/>
        <v>0.02</v>
      </c>
      <c r="AP34" s="100">
        <f t="shared" si="26"/>
        <v>0.08</v>
      </c>
      <c r="AQ34" s="100">
        <f t="shared" si="26"/>
        <v>0</v>
      </c>
      <c r="AR34" s="100">
        <f t="shared" si="26"/>
        <v>0</v>
      </c>
      <c r="AS34" s="100">
        <f t="shared" si="26"/>
        <v>0</v>
      </c>
      <c r="AT34" s="100">
        <f t="shared" si="26"/>
        <v>0</v>
      </c>
      <c r="AU34" s="100">
        <f t="shared" si="26"/>
        <v>0.24</v>
      </c>
      <c r="AV34" s="100">
        <f t="shared" si="26"/>
        <v>0</v>
      </c>
      <c r="AW34" s="100">
        <f t="shared" si="26"/>
        <v>0</v>
      </c>
      <c r="AX34" s="100">
        <f t="shared" si="26"/>
        <v>0</v>
      </c>
      <c r="AY34" s="100">
        <f t="shared" si="26"/>
        <v>0</v>
      </c>
      <c r="AZ34" s="100">
        <f t="shared" si="26"/>
        <v>0</v>
      </c>
      <c r="BA34" s="100">
        <f t="shared" si="26"/>
        <v>0</v>
      </c>
      <c r="BB34" s="100">
        <f t="shared" si="26"/>
        <v>0</v>
      </c>
      <c r="BC34" s="100">
        <f t="shared" si="26"/>
        <v>0</v>
      </c>
      <c r="BD34" s="100">
        <f t="shared" si="26"/>
        <v>0</v>
      </c>
      <c r="BE34" s="100">
        <f t="shared" si="26"/>
        <v>0</v>
      </c>
      <c r="BF34" s="100">
        <f>SUM(BF35:BF45)</f>
        <v>0</v>
      </c>
      <c r="BG34" s="100">
        <f>SUM(BG35:BG45)</f>
        <v>0</v>
      </c>
      <c r="BH34" s="100">
        <f>BI34+BJ34+BK34</f>
        <v>0</v>
      </c>
      <c r="BI34" s="100">
        <f>SUM(BI35:BI45)</f>
        <v>0</v>
      </c>
      <c r="BJ34" s="100">
        <f>SUM(BJ35:BJ45)</f>
        <v>0</v>
      </c>
      <c r="BK34" s="100">
        <f>SUM(BK35:BK45)</f>
        <v>0</v>
      </c>
      <c r="BL34" s="100">
        <f>E34+W34+X34+Y34+Z34+AA34+AB34+AC34+AQ34+AR34+AS34+AT34+AU34+AV34+AW34+AX34+AY34+AZ34+BA34+BB34+BC34+BD34+BE34+BF34+BG34+BH34</f>
        <v>0.24</v>
      </c>
      <c r="BM34" s="100">
        <f>AE67-BL34</f>
        <v>1.1000000000000001</v>
      </c>
      <c r="BN34" s="100">
        <f>SUM(BN35:BN45)</f>
        <v>118.79</v>
      </c>
      <c r="BP34" s="123"/>
    </row>
    <row r="35" spans="1:68" ht="20.100000000000001" customHeight="1">
      <c r="A35" s="14" t="s">
        <v>224</v>
      </c>
      <c r="B35" s="143" t="s">
        <v>478</v>
      </c>
      <c r="C35" s="5" t="s">
        <v>202</v>
      </c>
      <c r="D35" s="100">
        <f>#REF!</f>
        <v>0.6</v>
      </c>
      <c r="E35" s="100">
        <f t="shared" si="4"/>
        <v>0</v>
      </c>
      <c r="F35" s="100">
        <f t="shared" si="21"/>
        <v>0</v>
      </c>
      <c r="G35" s="100">
        <f t="shared" si="8"/>
        <v>0</v>
      </c>
      <c r="H35" s="100">
        <f t="shared" si="12"/>
        <v>0</v>
      </c>
      <c r="I35" s="100"/>
      <c r="J35" s="100"/>
      <c r="K35" s="100"/>
      <c r="L35" s="100"/>
      <c r="M35" s="100"/>
      <c r="N35" s="100"/>
      <c r="O35" s="100"/>
      <c r="P35" s="100"/>
      <c r="Q35" s="100"/>
      <c r="R35" s="100"/>
      <c r="S35" s="100"/>
      <c r="T35" s="100"/>
      <c r="U35" s="100"/>
      <c r="V35" s="100">
        <f t="shared" si="13"/>
        <v>0.6</v>
      </c>
      <c r="W35" s="100"/>
      <c r="X35" s="100"/>
      <c r="Y35" s="100"/>
      <c r="Z35" s="100"/>
      <c r="AA35" s="100"/>
      <c r="AB35" s="100"/>
      <c r="AC35" s="100"/>
      <c r="AD35" s="100"/>
      <c r="AE35" s="100">
        <f>SUM(AF35:AP35)</f>
        <v>0.6</v>
      </c>
      <c r="AF35" s="100">
        <f>D35-BL35</f>
        <v>0.6</v>
      </c>
      <c r="AG35" s="100"/>
      <c r="AH35" s="100"/>
      <c r="AI35" s="100"/>
      <c r="AJ35" s="100"/>
      <c r="AK35" s="100"/>
      <c r="AL35" s="100"/>
      <c r="AM35" s="100"/>
      <c r="AN35" s="100"/>
      <c r="AO35" s="100"/>
      <c r="AP35" s="100"/>
      <c r="AQ35" s="100"/>
      <c r="AR35" s="100"/>
      <c r="AS35" s="100"/>
      <c r="AT35" s="100"/>
      <c r="AU35" s="100"/>
      <c r="AV35" s="100"/>
      <c r="AW35" s="100"/>
      <c r="AX35" s="100"/>
      <c r="AY35" s="100"/>
      <c r="AZ35" s="100"/>
      <c r="BA35" s="100"/>
      <c r="BB35" s="100"/>
      <c r="BC35" s="100"/>
      <c r="BD35" s="100"/>
      <c r="BE35" s="100"/>
      <c r="BF35" s="100"/>
      <c r="BG35" s="100"/>
      <c r="BH35" s="100">
        <f t="shared" si="22"/>
        <v>0</v>
      </c>
      <c r="BI35" s="100"/>
      <c r="BJ35" s="100"/>
      <c r="BK35" s="100"/>
      <c r="BL35" s="100">
        <f>E35+W35+X35+Y35+Z35+AA35+AB35+AC35+AD35+AG35+AH35+AI35+AJ35+AK35+AL35+AM35+AN35+AO35+AP35+AQ35+AR35+AS35+AT35+AU35+AV35+AW35+AX35+AY35+AZ35+BA35+BB35+BC35+BD35</f>
        <v>0</v>
      </c>
      <c r="BM35" s="100">
        <f>AF67-BL35</f>
        <v>0</v>
      </c>
      <c r="BN35" s="100">
        <f>D35+BM35</f>
        <v>0.6</v>
      </c>
      <c r="BP35" s="123"/>
    </row>
    <row r="36" spans="1:68" ht="20.100000000000001" customHeight="1">
      <c r="A36" s="14" t="s">
        <v>225</v>
      </c>
      <c r="B36" s="143" t="s">
        <v>479</v>
      </c>
      <c r="C36" s="5" t="s">
        <v>203</v>
      </c>
      <c r="D36" s="100">
        <f>#REF!</f>
        <v>0.13</v>
      </c>
      <c r="E36" s="100">
        <f t="shared" si="4"/>
        <v>0</v>
      </c>
      <c r="F36" s="100">
        <f t="shared" si="21"/>
        <v>0</v>
      </c>
      <c r="G36" s="100">
        <f t="shared" si="8"/>
        <v>0</v>
      </c>
      <c r="H36" s="100">
        <f t="shared" si="12"/>
        <v>0</v>
      </c>
      <c r="I36" s="100"/>
      <c r="J36" s="100"/>
      <c r="K36" s="100"/>
      <c r="L36" s="100"/>
      <c r="M36" s="100"/>
      <c r="N36" s="100"/>
      <c r="O36" s="100"/>
      <c r="P36" s="100"/>
      <c r="Q36" s="100"/>
      <c r="R36" s="100"/>
      <c r="S36" s="100"/>
      <c r="T36" s="100"/>
      <c r="U36" s="100"/>
      <c r="V36" s="100">
        <f t="shared" si="13"/>
        <v>0.13</v>
      </c>
      <c r="W36" s="100"/>
      <c r="X36" s="100"/>
      <c r="Y36" s="100"/>
      <c r="Z36" s="100"/>
      <c r="AA36" s="100"/>
      <c r="AB36" s="100"/>
      <c r="AC36" s="100"/>
      <c r="AD36" s="100"/>
      <c r="AE36" s="100">
        <f t="shared" ref="AE36:AE66" si="27">SUM(AF36:AP36)</f>
        <v>0.13</v>
      </c>
      <c r="AF36" s="100"/>
      <c r="AG36" s="100">
        <f>D36-BL36</f>
        <v>0.13</v>
      </c>
      <c r="AH36" s="100"/>
      <c r="AI36" s="100"/>
      <c r="AJ36" s="100"/>
      <c r="AK36" s="100"/>
      <c r="AL36" s="100"/>
      <c r="AM36" s="100"/>
      <c r="AN36" s="100"/>
      <c r="AO36" s="100"/>
      <c r="AP36" s="100"/>
      <c r="AQ36" s="100"/>
      <c r="AR36" s="100"/>
      <c r="AS36" s="100"/>
      <c r="AT36" s="100"/>
      <c r="AU36" s="100"/>
      <c r="AV36" s="100"/>
      <c r="AW36" s="100"/>
      <c r="AX36" s="100"/>
      <c r="AY36" s="100"/>
      <c r="AZ36" s="100"/>
      <c r="BA36" s="100"/>
      <c r="BB36" s="100"/>
      <c r="BC36" s="100"/>
      <c r="BD36" s="100"/>
      <c r="BE36" s="100"/>
      <c r="BF36" s="100"/>
      <c r="BG36" s="100"/>
      <c r="BH36" s="100">
        <f t="shared" si="22"/>
        <v>0</v>
      </c>
      <c r="BI36" s="100"/>
      <c r="BJ36" s="100"/>
      <c r="BK36" s="100"/>
      <c r="BL36" s="100">
        <f>E36+W36+X36+Y36+Z36+AA36+AB36+AC36+AD36+AF36+AH36+AI36+AJ36+AK36+AL36+AM36+AN36+AO36+AP36+AQ36+AR36+AS36+AT36+AU36+AV36+AW36+AX36+AY36+AZ36+BA36+BB36+BC36+BD36+BE36+BF36+BG36+BH36</f>
        <v>0</v>
      </c>
      <c r="BM36" s="100">
        <f>AG67-BL36</f>
        <v>0</v>
      </c>
      <c r="BN36" s="100">
        <f t="shared" ref="BN36:BN45" si="28">D36+BM36</f>
        <v>0.13</v>
      </c>
      <c r="BP36" s="123"/>
    </row>
    <row r="37" spans="1:68" ht="20.100000000000001" customHeight="1">
      <c r="A37" s="14" t="s">
        <v>226</v>
      </c>
      <c r="B37" s="143" t="s">
        <v>480</v>
      </c>
      <c r="C37" s="5" t="s">
        <v>204</v>
      </c>
      <c r="D37" s="100">
        <f>#REF!</f>
        <v>2.4300000000000002</v>
      </c>
      <c r="E37" s="100">
        <f t="shared" si="4"/>
        <v>0</v>
      </c>
      <c r="F37" s="100">
        <f t="shared" si="21"/>
        <v>0</v>
      </c>
      <c r="G37" s="100">
        <f t="shared" si="8"/>
        <v>0</v>
      </c>
      <c r="H37" s="100">
        <f t="shared" si="12"/>
        <v>0</v>
      </c>
      <c r="I37" s="100"/>
      <c r="J37" s="100"/>
      <c r="K37" s="100"/>
      <c r="L37" s="100"/>
      <c r="M37" s="100"/>
      <c r="N37" s="100"/>
      <c r="O37" s="100"/>
      <c r="P37" s="100"/>
      <c r="Q37" s="100"/>
      <c r="R37" s="100"/>
      <c r="S37" s="100"/>
      <c r="T37" s="100"/>
      <c r="U37" s="100"/>
      <c r="V37" s="100">
        <f t="shared" si="13"/>
        <v>2.4300000000000006</v>
      </c>
      <c r="W37" s="100"/>
      <c r="X37" s="100"/>
      <c r="Y37" s="100"/>
      <c r="Z37" s="100"/>
      <c r="AA37" s="100"/>
      <c r="AB37" s="100"/>
      <c r="AC37" s="100"/>
      <c r="AD37" s="100"/>
      <c r="AE37" s="100">
        <f t="shared" si="27"/>
        <v>2.1900000000000004</v>
      </c>
      <c r="AF37" s="100"/>
      <c r="AG37" s="100"/>
      <c r="AH37" s="100">
        <f>D37-BL37</f>
        <v>2.1900000000000004</v>
      </c>
      <c r="AI37" s="100"/>
      <c r="AJ37" s="100"/>
      <c r="AK37" s="100"/>
      <c r="AL37" s="100"/>
      <c r="AM37" s="100"/>
      <c r="AN37" s="100"/>
      <c r="AO37" s="100"/>
      <c r="AP37" s="100"/>
      <c r="AQ37" s="100"/>
      <c r="AR37" s="100"/>
      <c r="AS37" s="100"/>
      <c r="AT37" s="100"/>
      <c r="AU37" s="100">
        <v>0.24</v>
      </c>
      <c r="AV37" s="100"/>
      <c r="AW37" s="100"/>
      <c r="AX37" s="100"/>
      <c r="AY37" s="100"/>
      <c r="AZ37" s="100"/>
      <c r="BA37" s="100"/>
      <c r="BB37" s="100"/>
      <c r="BC37" s="100"/>
      <c r="BD37" s="100"/>
      <c r="BE37" s="100"/>
      <c r="BF37" s="100"/>
      <c r="BG37" s="100"/>
      <c r="BH37" s="100">
        <f t="shared" si="22"/>
        <v>0</v>
      </c>
      <c r="BI37" s="100"/>
      <c r="BJ37" s="100"/>
      <c r="BK37" s="100"/>
      <c r="BL37" s="100">
        <f>E37+W37+X37+Y37+Z37+AA37+AB37+AC37+AD37+AF37+AG37+AI37+AJ37+AK37+AL37+AM37+AN37+AO37+AP37+AQ37+AR37+AS37+AT37+AU37+AV37+AW37+AX37+AY37+AZ37+BA37+BB37+BC37+BD37+BE37+BF37+BG37+BH37</f>
        <v>0.24</v>
      </c>
      <c r="BM37" s="100">
        <f>AH67-BL37</f>
        <v>1.1000000000000001</v>
      </c>
      <c r="BN37" s="100">
        <f t="shared" si="28"/>
        <v>3.5300000000000002</v>
      </c>
      <c r="BP37" s="123"/>
    </row>
    <row r="38" spans="1:68" ht="20.100000000000001" customHeight="1">
      <c r="A38" s="14" t="s">
        <v>227</v>
      </c>
      <c r="B38" s="143" t="s">
        <v>481</v>
      </c>
      <c r="C38" s="5" t="s">
        <v>205</v>
      </c>
      <c r="D38" s="100">
        <f>#REF!</f>
        <v>0.86</v>
      </c>
      <c r="E38" s="100">
        <f t="shared" si="4"/>
        <v>0</v>
      </c>
      <c r="F38" s="100">
        <f t="shared" si="21"/>
        <v>0</v>
      </c>
      <c r="G38" s="100">
        <f t="shared" si="8"/>
        <v>0</v>
      </c>
      <c r="H38" s="100">
        <f t="shared" si="12"/>
        <v>0</v>
      </c>
      <c r="I38" s="100"/>
      <c r="J38" s="100"/>
      <c r="K38" s="100"/>
      <c r="L38" s="100"/>
      <c r="M38" s="100"/>
      <c r="N38" s="100"/>
      <c r="O38" s="100"/>
      <c r="P38" s="100"/>
      <c r="Q38" s="100"/>
      <c r="R38" s="100"/>
      <c r="S38" s="100"/>
      <c r="T38" s="100"/>
      <c r="U38" s="100"/>
      <c r="V38" s="100">
        <f t="shared" si="13"/>
        <v>0.86</v>
      </c>
      <c r="W38" s="100"/>
      <c r="X38" s="100"/>
      <c r="Y38" s="100"/>
      <c r="Z38" s="100"/>
      <c r="AA38" s="100"/>
      <c r="AB38" s="100"/>
      <c r="AC38" s="100"/>
      <c r="AD38" s="100"/>
      <c r="AE38" s="100">
        <f t="shared" si="27"/>
        <v>0.86</v>
      </c>
      <c r="AF38" s="100"/>
      <c r="AG38" s="100"/>
      <c r="AH38" s="100"/>
      <c r="AI38" s="100">
        <f>D38-BL38</f>
        <v>0.86</v>
      </c>
      <c r="AJ38" s="100"/>
      <c r="AK38" s="100"/>
      <c r="AL38" s="100"/>
      <c r="AM38" s="100"/>
      <c r="AN38" s="100"/>
      <c r="AO38" s="100"/>
      <c r="AP38" s="100"/>
      <c r="AQ38" s="100"/>
      <c r="AR38" s="100"/>
      <c r="AS38" s="100"/>
      <c r="AT38" s="100"/>
      <c r="AU38" s="100"/>
      <c r="AV38" s="100"/>
      <c r="AW38" s="100"/>
      <c r="AX38" s="100"/>
      <c r="AY38" s="100"/>
      <c r="AZ38" s="100"/>
      <c r="BA38" s="100"/>
      <c r="BB38" s="100"/>
      <c r="BC38" s="100"/>
      <c r="BD38" s="100"/>
      <c r="BE38" s="100"/>
      <c r="BF38" s="100"/>
      <c r="BG38" s="100"/>
      <c r="BH38" s="100">
        <f t="shared" si="22"/>
        <v>0</v>
      </c>
      <c r="BI38" s="100"/>
      <c r="BJ38" s="100"/>
      <c r="BK38" s="100"/>
      <c r="BL38" s="100">
        <f>E38+W38+X38+Y38+Z38+AA38+AB38+AC38+AD38+AF38+AG38+AH38+AJ38+AK38+AL38+AM38+AN38+AO38+AP38+AQ38+AR38+AS38+AT38+AU38+AV38+AW38+AX38+AY38+AZ38+BA38+BB38+BC38+BD38+BE38+BF38+BG38+BH38</f>
        <v>0</v>
      </c>
      <c r="BM38" s="100">
        <f>AI67-BL38</f>
        <v>0</v>
      </c>
      <c r="BN38" s="100">
        <f t="shared" si="28"/>
        <v>0.86</v>
      </c>
      <c r="BP38" s="123"/>
    </row>
    <row r="39" spans="1:68" ht="20.100000000000001" customHeight="1">
      <c r="A39" s="14" t="s">
        <v>228</v>
      </c>
      <c r="B39" s="143" t="s">
        <v>482</v>
      </c>
      <c r="C39" s="5" t="s">
        <v>206</v>
      </c>
      <c r="D39" s="100"/>
      <c r="E39" s="100">
        <f t="shared" si="4"/>
        <v>0</v>
      </c>
      <c r="F39" s="100">
        <f t="shared" si="21"/>
        <v>0</v>
      </c>
      <c r="G39" s="100">
        <f t="shared" si="8"/>
        <v>0</v>
      </c>
      <c r="H39" s="100">
        <f t="shared" si="12"/>
        <v>0</v>
      </c>
      <c r="I39" s="100"/>
      <c r="J39" s="100"/>
      <c r="K39" s="100"/>
      <c r="L39" s="100"/>
      <c r="M39" s="100"/>
      <c r="N39" s="100"/>
      <c r="O39" s="100"/>
      <c r="P39" s="100"/>
      <c r="Q39" s="100"/>
      <c r="R39" s="100"/>
      <c r="S39" s="100"/>
      <c r="T39" s="100"/>
      <c r="U39" s="100"/>
      <c r="V39" s="100">
        <f t="shared" si="13"/>
        <v>0</v>
      </c>
      <c r="W39" s="100"/>
      <c r="X39" s="100"/>
      <c r="Y39" s="100"/>
      <c r="Z39" s="100"/>
      <c r="AA39" s="100"/>
      <c r="AB39" s="100"/>
      <c r="AC39" s="100"/>
      <c r="AD39" s="100"/>
      <c r="AE39" s="100">
        <f t="shared" si="27"/>
        <v>0</v>
      </c>
      <c r="AF39" s="100"/>
      <c r="AG39" s="100"/>
      <c r="AH39" s="100"/>
      <c r="AI39" s="100"/>
      <c r="AJ39" s="100">
        <f>D39-BL39</f>
        <v>0</v>
      </c>
      <c r="AK39" s="100"/>
      <c r="AL39" s="100"/>
      <c r="AM39" s="100"/>
      <c r="AN39" s="100"/>
      <c r="AO39" s="100"/>
      <c r="AP39" s="100"/>
      <c r="AQ39" s="100"/>
      <c r="AR39" s="100"/>
      <c r="AS39" s="100"/>
      <c r="AT39" s="100"/>
      <c r="AU39" s="100"/>
      <c r="AV39" s="100"/>
      <c r="AW39" s="100"/>
      <c r="AX39" s="100"/>
      <c r="AY39" s="100"/>
      <c r="AZ39" s="100"/>
      <c r="BA39" s="100"/>
      <c r="BB39" s="100"/>
      <c r="BC39" s="100"/>
      <c r="BD39" s="100"/>
      <c r="BE39" s="100"/>
      <c r="BF39" s="100"/>
      <c r="BG39" s="100"/>
      <c r="BH39" s="100">
        <f t="shared" si="22"/>
        <v>0</v>
      </c>
      <c r="BI39" s="100"/>
      <c r="BJ39" s="100"/>
      <c r="BK39" s="100"/>
      <c r="BL39" s="100">
        <f>E39+W39+X39+Y39+Z39+AA39+AB39+AC39+AD39+AQ39+AR39+AS39+AT39+AU39+AV39+AW39+AX39+AY39+AZ39+BA39+BB39+BC39+BD39+BE39+BF39+BG39+BH39+AF39+AG39+AH39+AI39+AK39+AL39+AM39+AN39+AO39+AP39</f>
        <v>0</v>
      </c>
      <c r="BM39" s="100">
        <f>AJ67-BL39</f>
        <v>0</v>
      </c>
      <c r="BN39" s="100">
        <f t="shared" si="28"/>
        <v>0</v>
      </c>
      <c r="BP39" s="123"/>
    </row>
    <row r="40" spans="1:68" ht="20.100000000000001" customHeight="1">
      <c r="A40" s="14" t="s">
        <v>229</v>
      </c>
      <c r="B40" s="143" t="s">
        <v>483</v>
      </c>
      <c r="C40" s="5" t="s">
        <v>207</v>
      </c>
      <c r="D40" s="100"/>
      <c r="E40" s="100">
        <f t="shared" si="4"/>
        <v>0</v>
      </c>
      <c r="F40" s="100">
        <f t="shared" si="21"/>
        <v>0</v>
      </c>
      <c r="G40" s="100">
        <f t="shared" si="8"/>
        <v>0</v>
      </c>
      <c r="H40" s="100">
        <f t="shared" si="12"/>
        <v>0</v>
      </c>
      <c r="I40" s="100"/>
      <c r="J40" s="100"/>
      <c r="K40" s="100"/>
      <c r="L40" s="100"/>
      <c r="M40" s="100"/>
      <c r="N40" s="100"/>
      <c r="O40" s="100"/>
      <c r="P40" s="100"/>
      <c r="Q40" s="100"/>
      <c r="R40" s="100"/>
      <c r="S40" s="100"/>
      <c r="T40" s="100"/>
      <c r="U40" s="100"/>
      <c r="V40" s="100">
        <f t="shared" si="13"/>
        <v>0</v>
      </c>
      <c r="W40" s="100"/>
      <c r="X40" s="100"/>
      <c r="Y40" s="100"/>
      <c r="Z40" s="100"/>
      <c r="AA40" s="100"/>
      <c r="AB40" s="100"/>
      <c r="AC40" s="100"/>
      <c r="AD40" s="100"/>
      <c r="AE40" s="100">
        <f t="shared" si="27"/>
        <v>0</v>
      </c>
      <c r="AF40" s="100"/>
      <c r="AG40" s="100"/>
      <c r="AH40" s="100"/>
      <c r="AI40" s="100"/>
      <c r="AJ40" s="100"/>
      <c r="AK40" s="100">
        <f>D40-BL40</f>
        <v>0</v>
      </c>
      <c r="AL40" s="100"/>
      <c r="AM40" s="100"/>
      <c r="AN40" s="100"/>
      <c r="AO40" s="100"/>
      <c r="AP40" s="100"/>
      <c r="AQ40" s="100"/>
      <c r="AR40" s="100"/>
      <c r="AS40" s="100"/>
      <c r="AT40" s="100"/>
      <c r="AU40" s="100"/>
      <c r="AV40" s="100"/>
      <c r="AW40" s="100"/>
      <c r="AX40" s="100"/>
      <c r="AY40" s="100"/>
      <c r="AZ40" s="100"/>
      <c r="BA40" s="100"/>
      <c r="BB40" s="100"/>
      <c r="BC40" s="100"/>
      <c r="BD40" s="100"/>
      <c r="BE40" s="100"/>
      <c r="BF40" s="100"/>
      <c r="BG40" s="100"/>
      <c r="BH40" s="100">
        <f t="shared" si="22"/>
        <v>0</v>
      </c>
      <c r="BI40" s="100"/>
      <c r="BJ40" s="100"/>
      <c r="BK40" s="100"/>
      <c r="BL40" s="100">
        <f>E40+W40+X40+Y40+Z40+AA40+AB40+AC40+AD40+AF40+AG40+AH40+AI40+AJ40+AL40+AM40+AN40+AO40+AP40+AQ40+AR40+AS40+AT40+AU40+AV40+AW40+AX40+AY40+AZ40+BA40+BB40+BC40+BD40+BE40+BF40+BG40+BH40</f>
        <v>0</v>
      </c>
      <c r="BM40" s="100">
        <f>AK67-BL40</f>
        <v>0</v>
      </c>
      <c r="BN40" s="100">
        <f t="shared" si="28"/>
        <v>0</v>
      </c>
      <c r="BP40" s="123"/>
    </row>
    <row r="41" spans="1:68" ht="20.100000000000001" customHeight="1">
      <c r="A41" s="14" t="s">
        <v>230</v>
      </c>
      <c r="B41" s="143" t="s">
        <v>484</v>
      </c>
      <c r="C41" s="5" t="s">
        <v>199</v>
      </c>
      <c r="D41" s="100">
        <f>#REF!</f>
        <v>64.599999999999994</v>
      </c>
      <c r="E41" s="100">
        <f t="shared" si="4"/>
        <v>0</v>
      </c>
      <c r="F41" s="100">
        <f t="shared" si="21"/>
        <v>0</v>
      </c>
      <c r="G41" s="100">
        <f t="shared" si="8"/>
        <v>0</v>
      </c>
      <c r="H41" s="100">
        <f t="shared" si="12"/>
        <v>0</v>
      </c>
      <c r="I41" s="100"/>
      <c r="J41" s="100"/>
      <c r="K41" s="100"/>
      <c r="L41" s="100"/>
      <c r="M41" s="100"/>
      <c r="N41" s="100"/>
      <c r="O41" s="100"/>
      <c r="P41" s="100"/>
      <c r="Q41" s="100"/>
      <c r="R41" s="100"/>
      <c r="S41" s="100"/>
      <c r="T41" s="100"/>
      <c r="U41" s="100"/>
      <c r="V41" s="100">
        <f t="shared" si="13"/>
        <v>64.599999999999994</v>
      </c>
      <c r="W41" s="100"/>
      <c r="X41" s="100"/>
      <c r="Y41" s="100"/>
      <c r="Z41" s="100"/>
      <c r="AA41" s="100"/>
      <c r="AB41" s="100"/>
      <c r="AC41" s="100"/>
      <c r="AD41" s="100"/>
      <c r="AE41" s="100">
        <f t="shared" si="27"/>
        <v>64.599999999999994</v>
      </c>
      <c r="AF41" s="100"/>
      <c r="AG41" s="100"/>
      <c r="AH41" s="100"/>
      <c r="AI41" s="100"/>
      <c r="AJ41" s="100"/>
      <c r="AK41" s="100"/>
      <c r="AL41" s="100">
        <f>D41-BL41</f>
        <v>64.599999999999994</v>
      </c>
      <c r="AM41" s="100"/>
      <c r="AN41" s="100"/>
      <c r="AO41" s="100"/>
      <c r="AP41" s="100"/>
      <c r="AQ41" s="100"/>
      <c r="AR41" s="100"/>
      <c r="AS41" s="100"/>
      <c r="AT41" s="100"/>
      <c r="AU41" s="100"/>
      <c r="AV41" s="100"/>
      <c r="AW41" s="100"/>
      <c r="AX41" s="100"/>
      <c r="AY41" s="100"/>
      <c r="AZ41" s="100"/>
      <c r="BA41" s="100"/>
      <c r="BB41" s="100"/>
      <c r="BC41" s="100"/>
      <c r="BD41" s="100"/>
      <c r="BE41" s="100"/>
      <c r="BF41" s="100"/>
      <c r="BG41" s="100"/>
      <c r="BH41" s="100">
        <f t="shared" si="22"/>
        <v>0</v>
      </c>
      <c r="BI41" s="100"/>
      <c r="BJ41" s="100"/>
      <c r="BK41" s="100"/>
      <c r="BL41" s="100">
        <f>E41+W41+X41+Y41+Z41+AA41+AB41+AC41+AD41+AF41+AG41+AH41+AI41+AJ41+AK41+AM41+AN41+AO41+AP41+AQ41+AR41+AS41+AT41+AU41+AV41+AW41+AX41+AY41+AZ41+BA41+BB41+BC41+BD41+BE41+BF41+BG41+BH41</f>
        <v>0</v>
      </c>
      <c r="BM41" s="100">
        <f>AL67-BL41</f>
        <v>0</v>
      </c>
      <c r="BN41" s="100">
        <f t="shared" si="28"/>
        <v>64.599999999999994</v>
      </c>
      <c r="BP41" s="123"/>
    </row>
    <row r="42" spans="1:68" ht="20.100000000000001" customHeight="1">
      <c r="A42" s="14" t="s">
        <v>231</v>
      </c>
      <c r="B42" s="143" t="s">
        <v>485</v>
      </c>
      <c r="C42" s="5" t="s">
        <v>200</v>
      </c>
      <c r="D42" s="100">
        <f>#REF!</f>
        <v>48.96</v>
      </c>
      <c r="E42" s="100">
        <f t="shared" si="4"/>
        <v>0</v>
      </c>
      <c r="F42" s="100">
        <f t="shared" si="21"/>
        <v>0</v>
      </c>
      <c r="G42" s="100">
        <f t="shared" si="8"/>
        <v>0</v>
      </c>
      <c r="H42" s="100">
        <f t="shared" si="12"/>
        <v>0</v>
      </c>
      <c r="I42" s="100"/>
      <c r="J42" s="100"/>
      <c r="K42" s="100"/>
      <c r="L42" s="100"/>
      <c r="M42" s="100"/>
      <c r="N42" s="100"/>
      <c r="O42" s="100"/>
      <c r="P42" s="100"/>
      <c r="Q42" s="100"/>
      <c r="R42" s="100"/>
      <c r="S42" s="100"/>
      <c r="T42" s="100"/>
      <c r="U42" s="100"/>
      <c r="V42" s="100">
        <f t="shared" si="13"/>
        <v>48.96</v>
      </c>
      <c r="W42" s="100"/>
      <c r="X42" s="100"/>
      <c r="Y42" s="100"/>
      <c r="Z42" s="100"/>
      <c r="AA42" s="100"/>
      <c r="AB42" s="100"/>
      <c r="AC42" s="100"/>
      <c r="AD42" s="100"/>
      <c r="AE42" s="100">
        <f t="shared" si="27"/>
        <v>48.96</v>
      </c>
      <c r="AF42" s="100"/>
      <c r="AG42" s="100"/>
      <c r="AH42" s="100"/>
      <c r="AI42" s="100"/>
      <c r="AJ42" s="100"/>
      <c r="AK42" s="100"/>
      <c r="AL42" s="100"/>
      <c r="AM42" s="100">
        <f>D42-BL42</f>
        <v>48.96</v>
      </c>
      <c r="AN42" s="100"/>
      <c r="AO42" s="100"/>
      <c r="AP42" s="100"/>
      <c r="AQ42" s="100"/>
      <c r="AR42" s="100"/>
      <c r="AS42" s="100"/>
      <c r="AT42" s="100"/>
      <c r="AU42" s="100"/>
      <c r="AV42" s="100"/>
      <c r="AW42" s="100"/>
      <c r="AX42" s="100"/>
      <c r="AY42" s="100"/>
      <c r="AZ42" s="100"/>
      <c r="BA42" s="100"/>
      <c r="BB42" s="100"/>
      <c r="BC42" s="100"/>
      <c r="BD42" s="100"/>
      <c r="BE42" s="100"/>
      <c r="BF42" s="100"/>
      <c r="BG42" s="100"/>
      <c r="BH42" s="100">
        <f t="shared" si="22"/>
        <v>0</v>
      </c>
      <c r="BI42" s="100"/>
      <c r="BJ42" s="100"/>
      <c r="BK42" s="100"/>
      <c r="BL42" s="100">
        <f>E42+W42+X42+Y42+Z42+AA42+AB42+AC42+AD42+AF42+AG42+AH42+AI42+AJ42+AK42+AL42+AN42+AO42+AP42+AQ42+AR42+AS42+AT42+AU42+AV42+AW42+AX42+AY42+AZ42+BA42+BB42+BC42+BD42+BE42+BF42+BG42+BH42</f>
        <v>0</v>
      </c>
      <c r="BM42" s="100">
        <f>AM67-BL42</f>
        <v>0</v>
      </c>
      <c r="BN42" s="100">
        <f t="shared" si="28"/>
        <v>48.96</v>
      </c>
      <c r="BP42" s="123"/>
    </row>
    <row r="43" spans="1:68" ht="20.100000000000001" customHeight="1">
      <c r="A43" s="14" t="s">
        <v>232</v>
      </c>
      <c r="B43" s="143" t="s">
        <v>486</v>
      </c>
      <c r="C43" s="5" t="s">
        <v>223</v>
      </c>
      <c r="D43" s="100">
        <f>#REF!</f>
        <v>0.01</v>
      </c>
      <c r="E43" s="100">
        <f t="shared" si="4"/>
        <v>0</v>
      </c>
      <c r="F43" s="100">
        <f t="shared" si="21"/>
        <v>0</v>
      </c>
      <c r="G43" s="100">
        <f t="shared" si="8"/>
        <v>0</v>
      </c>
      <c r="H43" s="100">
        <f t="shared" si="12"/>
        <v>0</v>
      </c>
      <c r="I43" s="100"/>
      <c r="J43" s="100"/>
      <c r="K43" s="100"/>
      <c r="L43" s="100"/>
      <c r="M43" s="100"/>
      <c r="N43" s="100"/>
      <c r="O43" s="100"/>
      <c r="P43" s="100"/>
      <c r="Q43" s="100"/>
      <c r="R43" s="100"/>
      <c r="S43" s="100"/>
      <c r="T43" s="100"/>
      <c r="U43" s="100"/>
      <c r="V43" s="100">
        <f t="shared" si="13"/>
        <v>0.01</v>
      </c>
      <c r="W43" s="100"/>
      <c r="X43" s="100"/>
      <c r="Y43" s="100"/>
      <c r="Z43" s="100"/>
      <c r="AA43" s="100"/>
      <c r="AB43" s="100"/>
      <c r="AC43" s="100"/>
      <c r="AD43" s="100"/>
      <c r="AE43" s="100">
        <f t="shared" si="27"/>
        <v>0.01</v>
      </c>
      <c r="AF43" s="100"/>
      <c r="AG43" s="100"/>
      <c r="AH43" s="100"/>
      <c r="AI43" s="100"/>
      <c r="AJ43" s="100"/>
      <c r="AK43" s="100"/>
      <c r="AL43" s="100"/>
      <c r="AM43" s="100"/>
      <c r="AN43" s="100">
        <f>D43-BL43</f>
        <v>0.01</v>
      </c>
      <c r="AO43" s="100"/>
      <c r="AP43" s="100"/>
      <c r="AQ43" s="100"/>
      <c r="AR43" s="100"/>
      <c r="AS43" s="100"/>
      <c r="AT43" s="100"/>
      <c r="AU43" s="100"/>
      <c r="AV43" s="100"/>
      <c r="AW43" s="100"/>
      <c r="AX43" s="100"/>
      <c r="AY43" s="100"/>
      <c r="AZ43" s="100"/>
      <c r="BA43" s="100"/>
      <c r="BB43" s="100"/>
      <c r="BC43" s="100"/>
      <c r="BD43" s="100"/>
      <c r="BE43" s="100"/>
      <c r="BF43" s="100"/>
      <c r="BG43" s="100"/>
      <c r="BH43" s="100">
        <f t="shared" si="22"/>
        <v>0</v>
      </c>
      <c r="BI43" s="100"/>
      <c r="BJ43" s="100"/>
      <c r="BK43" s="100"/>
      <c r="BL43" s="100">
        <f>E43+W43+X43+Y43+Z43+AA43+AB43+AC43+AD43+AF43+AG43+AH43+AI43+AJ43+AK43+AL43+AM43+AO43+AP43+AQ43+AR43+AS43+AT43+AU43+AV43+AW43+AX43+AY43+AZ43+BA43+BB43+BC43+BD43+BE43+BF43+BG43+BH43</f>
        <v>0</v>
      </c>
      <c r="BM43" s="100">
        <f>AN67-BL43</f>
        <v>0</v>
      </c>
      <c r="BN43" s="100">
        <f t="shared" si="28"/>
        <v>0.01</v>
      </c>
      <c r="BP43" s="123"/>
    </row>
    <row r="44" spans="1:68" ht="20.100000000000001" customHeight="1">
      <c r="A44" s="14" t="s">
        <v>233</v>
      </c>
      <c r="B44" s="143" t="s">
        <v>487</v>
      </c>
      <c r="C44" s="5" t="s">
        <v>201</v>
      </c>
      <c r="D44" s="100">
        <f>#REF!</f>
        <v>0.02</v>
      </c>
      <c r="E44" s="100">
        <f t="shared" si="4"/>
        <v>0</v>
      </c>
      <c r="F44" s="100">
        <f t="shared" si="21"/>
        <v>0</v>
      </c>
      <c r="G44" s="100">
        <f t="shared" si="8"/>
        <v>0</v>
      </c>
      <c r="H44" s="100">
        <f t="shared" si="12"/>
        <v>0</v>
      </c>
      <c r="I44" s="100"/>
      <c r="J44" s="100"/>
      <c r="K44" s="100"/>
      <c r="L44" s="100"/>
      <c r="M44" s="100"/>
      <c r="N44" s="100"/>
      <c r="O44" s="100"/>
      <c r="P44" s="100"/>
      <c r="Q44" s="100"/>
      <c r="R44" s="100"/>
      <c r="S44" s="100"/>
      <c r="T44" s="100"/>
      <c r="U44" s="100"/>
      <c r="V44" s="100">
        <f t="shared" si="13"/>
        <v>0.02</v>
      </c>
      <c r="W44" s="100"/>
      <c r="X44" s="100"/>
      <c r="Y44" s="100"/>
      <c r="Z44" s="100"/>
      <c r="AA44" s="100"/>
      <c r="AB44" s="100"/>
      <c r="AC44" s="100"/>
      <c r="AD44" s="100"/>
      <c r="AE44" s="100">
        <f t="shared" si="27"/>
        <v>0.02</v>
      </c>
      <c r="AF44" s="100"/>
      <c r="AG44" s="100"/>
      <c r="AH44" s="100"/>
      <c r="AI44" s="100"/>
      <c r="AJ44" s="100"/>
      <c r="AK44" s="100"/>
      <c r="AL44" s="100"/>
      <c r="AM44" s="100"/>
      <c r="AN44" s="100"/>
      <c r="AO44" s="100">
        <f>D44-BL44</f>
        <v>0.02</v>
      </c>
      <c r="AP44" s="100"/>
      <c r="AQ44" s="100"/>
      <c r="AR44" s="100"/>
      <c r="AS44" s="100"/>
      <c r="AT44" s="100"/>
      <c r="AU44" s="100"/>
      <c r="AV44" s="100"/>
      <c r="AW44" s="100"/>
      <c r="AX44" s="100"/>
      <c r="AY44" s="100"/>
      <c r="AZ44" s="100"/>
      <c r="BA44" s="100"/>
      <c r="BB44" s="100"/>
      <c r="BC44" s="100"/>
      <c r="BD44" s="100"/>
      <c r="BE44" s="100"/>
      <c r="BF44" s="100"/>
      <c r="BG44" s="100"/>
      <c r="BH44" s="100">
        <f t="shared" si="22"/>
        <v>0</v>
      </c>
      <c r="BI44" s="100"/>
      <c r="BJ44" s="100"/>
      <c r="BK44" s="100"/>
      <c r="BL44" s="100">
        <f>E44+W44+X44+Y44+Z44+AA44+AB44+AC44+AD44+AF44+AG44+AH44+AI44+AJ44+AK44+AL44+AM44+AN44+AP44+AQ44+AR44+AS44+AT44+AU44+AV44+AW44+AX44+AY44+AZ44+BA44+BB44+BC44+BD44+BE44+BF44+BG44+BH44</f>
        <v>0</v>
      </c>
      <c r="BM44" s="100">
        <f>AO67-BL44</f>
        <v>0</v>
      </c>
      <c r="BN44" s="100">
        <f t="shared" si="28"/>
        <v>0.02</v>
      </c>
      <c r="BP44" s="123"/>
    </row>
    <row r="45" spans="1:68" ht="20.100000000000001" customHeight="1">
      <c r="A45" s="14" t="s">
        <v>234</v>
      </c>
      <c r="B45" s="143" t="s">
        <v>488</v>
      </c>
      <c r="C45" s="5" t="s">
        <v>208</v>
      </c>
      <c r="D45" s="100">
        <f>#REF!</f>
        <v>0.08</v>
      </c>
      <c r="E45" s="100">
        <f t="shared" si="4"/>
        <v>0</v>
      </c>
      <c r="F45" s="100">
        <f t="shared" si="21"/>
        <v>0</v>
      </c>
      <c r="G45" s="100">
        <f t="shared" si="8"/>
        <v>0</v>
      </c>
      <c r="H45" s="100">
        <f t="shared" si="12"/>
        <v>0</v>
      </c>
      <c r="I45" s="100"/>
      <c r="J45" s="100"/>
      <c r="K45" s="100"/>
      <c r="L45" s="100"/>
      <c r="M45" s="100"/>
      <c r="N45" s="100"/>
      <c r="O45" s="100"/>
      <c r="P45" s="100"/>
      <c r="Q45" s="100"/>
      <c r="R45" s="100"/>
      <c r="S45" s="100"/>
      <c r="T45" s="100"/>
      <c r="U45" s="100"/>
      <c r="V45" s="100">
        <f t="shared" si="13"/>
        <v>0.08</v>
      </c>
      <c r="W45" s="100"/>
      <c r="X45" s="100"/>
      <c r="Y45" s="100"/>
      <c r="Z45" s="100"/>
      <c r="AA45" s="100"/>
      <c r="AB45" s="100"/>
      <c r="AC45" s="100"/>
      <c r="AD45" s="100"/>
      <c r="AE45" s="100">
        <f t="shared" si="27"/>
        <v>0.08</v>
      </c>
      <c r="AF45" s="100"/>
      <c r="AG45" s="100"/>
      <c r="AH45" s="100"/>
      <c r="AI45" s="100"/>
      <c r="AJ45" s="100"/>
      <c r="AK45" s="100"/>
      <c r="AL45" s="100"/>
      <c r="AM45" s="100"/>
      <c r="AN45" s="100"/>
      <c r="AO45" s="100"/>
      <c r="AP45" s="100">
        <f>D45-BL45</f>
        <v>0.08</v>
      </c>
      <c r="AQ45" s="100"/>
      <c r="AR45" s="100"/>
      <c r="AS45" s="100"/>
      <c r="AT45" s="100"/>
      <c r="AU45" s="100"/>
      <c r="AV45" s="100"/>
      <c r="AW45" s="100"/>
      <c r="AX45" s="100"/>
      <c r="AY45" s="100"/>
      <c r="AZ45" s="100"/>
      <c r="BA45" s="100"/>
      <c r="BB45" s="100"/>
      <c r="BC45" s="100"/>
      <c r="BD45" s="100"/>
      <c r="BE45" s="100"/>
      <c r="BF45" s="100"/>
      <c r="BG45" s="100"/>
      <c r="BH45" s="100">
        <f t="shared" si="22"/>
        <v>0</v>
      </c>
      <c r="BI45" s="100"/>
      <c r="BJ45" s="100"/>
      <c r="BK45" s="100"/>
      <c r="BL45" s="100">
        <f>E45+W45+X45+Y45+Z45+AA45+AB45+AC45+AD45+AF45+AG45+AH45+AI45+AJ45+AK45+AL45+AM45+AN45+AO45+AQ45+AR45+AS45+AT45+AU45+AV45+AW45+AX45+AY45+AZ45+BA45+BB45+BC45+BD45+BE45+BF45+BG45+BH45</f>
        <v>0</v>
      </c>
      <c r="BM45" s="100">
        <f>AP67-BL45</f>
        <v>0</v>
      </c>
      <c r="BN45" s="100">
        <f t="shared" si="28"/>
        <v>0.08</v>
      </c>
      <c r="BP45" s="123"/>
    </row>
    <row r="46" spans="1:68" ht="20.100000000000001" customHeight="1">
      <c r="A46" s="19" t="s">
        <v>73</v>
      </c>
      <c r="B46" s="144" t="s">
        <v>74</v>
      </c>
      <c r="C46" s="5" t="s">
        <v>75</v>
      </c>
      <c r="D46" s="100"/>
      <c r="E46" s="100">
        <f t="shared" si="4"/>
        <v>0</v>
      </c>
      <c r="F46" s="100">
        <f t="shared" si="21"/>
        <v>0</v>
      </c>
      <c r="G46" s="100">
        <f t="shared" si="8"/>
        <v>0</v>
      </c>
      <c r="H46" s="100">
        <f t="shared" si="12"/>
        <v>0</v>
      </c>
      <c r="I46" s="100"/>
      <c r="J46" s="100"/>
      <c r="K46" s="100"/>
      <c r="L46" s="100"/>
      <c r="M46" s="100"/>
      <c r="N46" s="100"/>
      <c r="O46" s="100"/>
      <c r="P46" s="100"/>
      <c r="Q46" s="100"/>
      <c r="R46" s="100"/>
      <c r="S46" s="100"/>
      <c r="T46" s="100"/>
      <c r="U46" s="100"/>
      <c r="V46" s="100">
        <f t="shared" si="13"/>
        <v>0</v>
      </c>
      <c r="W46" s="100"/>
      <c r="X46" s="100"/>
      <c r="Y46" s="100"/>
      <c r="Z46" s="100"/>
      <c r="AA46" s="100"/>
      <c r="AB46" s="100"/>
      <c r="AC46" s="100"/>
      <c r="AD46" s="100"/>
      <c r="AE46" s="100">
        <f t="shared" si="27"/>
        <v>0</v>
      </c>
      <c r="AF46" s="100"/>
      <c r="AG46" s="100"/>
      <c r="AH46" s="100"/>
      <c r="AI46" s="100"/>
      <c r="AJ46" s="100"/>
      <c r="AK46" s="100"/>
      <c r="AL46" s="100"/>
      <c r="AM46" s="100"/>
      <c r="AN46" s="100"/>
      <c r="AO46" s="100"/>
      <c r="AP46" s="100"/>
      <c r="AQ46" s="100">
        <f>D46-BL46</f>
        <v>0</v>
      </c>
      <c r="AR46" s="100"/>
      <c r="AS46" s="100"/>
      <c r="AT46" s="100"/>
      <c r="AU46" s="100"/>
      <c r="AV46" s="100"/>
      <c r="AW46" s="100"/>
      <c r="AX46" s="100"/>
      <c r="AY46" s="100"/>
      <c r="AZ46" s="100"/>
      <c r="BA46" s="100"/>
      <c r="BB46" s="100"/>
      <c r="BC46" s="100"/>
      <c r="BD46" s="100"/>
      <c r="BE46" s="100"/>
      <c r="BF46" s="100"/>
      <c r="BG46" s="100"/>
      <c r="BH46" s="100">
        <f t="shared" si="22"/>
        <v>0</v>
      </c>
      <c r="BI46" s="100"/>
      <c r="BJ46" s="100"/>
      <c r="BK46" s="100"/>
      <c r="BL46" s="100">
        <f>E46+W46+X46+Y46+Z46+AA46+AB46+AC46+AD46+AE46+AR46+AS46+AT46+AU46+AV46+AW46+AX46+AY46+AZ46+BA46+BB46+BC46+BD46+BE46+BF46+BG46+BH46</f>
        <v>0</v>
      </c>
      <c r="BM46" s="100">
        <f>AQ67-BL46</f>
        <v>0</v>
      </c>
      <c r="BN46" s="100">
        <f>D46+BM46</f>
        <v>0</v>
      </c>
      <c r="BP46" s="123"/>
    </row>
    <row r="47" spans="1:68" ht="20.100000000000001" customHeight="1">
      <c r="A47" s="19" t="s">
        <v>76</v>
      </c>
      <c r="B47" s="144" t="s">
        <v>77</v>
      </c>
      <c r="C47" s="5" t="s">
        <v>78</v>
      </c>
      <c r="D47" s="100"/>
      <c r="E47" s="100">
        <f t="shared" si="4"/>
        <v>0</v>
      </c>
      <c r="F47" s="100">
        <f t="shared" si="21"/>
        <v>0</v>
      </c>
      <c r="G47" s="100">
        <f t="shared" si="8"/>
        <v>0</v>
      </c>
      <c r="H47" s="100">
        <f t="shared" si="12"/>
        <v>0</v>
      </c>
      <c r="I47" s="100"/>
      <c r="J47" s="100"/>
      <c r="K47" s="100"/>
      <c r="L47" s="100"/>
      <c r="M47" s="100"/>
      <c r="N47" s="100"/>
      <c r="O47" s="100"/>
      <c r="P47" s="100"/>
      <c r="Q47" s="100"/>
      <c r="R47" s="100"/>
      <c r="S47" s="100"/>
      <c r="T47" s="100"/>
      <c r="U47" s="100"/>
      <c r="V47" s="100">
        <f t="shared" si="13"/>
        <v>0</v>
      </c>
      <c r="W47" s="100"/>
      <c r="X47" s="100"/>
      <c r="Y47" s="100"/>
      <c r="Z47" s="100"/>
      <c r="AA47" s="100"/>
      <c r="AB47" s="100"/>
      <c r="AC47" s="100"/>
      <c r="AD47" s="100"/>
      <c r="AE47" s="100">
        <f t="shared" si="27"/>
        <v>0</v>
      </c>
      <c r="AF47" s="100"/>
      <c r="AG47" s="100"/>
      <c r="AH47" s="100"/>
      <c r="AI47" s="100"/>
      <c r="AJ47" s="100"/>
      <c r="AK47" s="100"/>
      <c r="AL47" s="100"/>
      <c r="AM47" s="100"/>
      <c r="AN47" s="100"/>
      <c r="AO47" s="100"/>
      <c r="AP47" s="100"/>
      <c r="AQ47" s="100"/>
      <c r="AR47" s="100">
        <f>D47-BL47</f>
        <v>0</v>
      </c>
      <c r="AS47" s="100"/>
      <c r="AT47" s="100"/>
      <c r="AU47" s="100"/>
      <c r="AV47" s="100"/>
      <c r="AW47" s="100"/>
      <c r="AX47" s="100"/>
      <c r="AY47" s="100"/>
      <c r="AZ47" s="100"/>
      <c r="BA47" s="100"/>
      <c r="BB47" s="100"/>
      <c r="BC47" s="100"/>
      <c r="BD47" s="100"/>
      <c r="BE47" s="100"/>
      <c r="BF47" s="100"/>
      <c r="BG47" s="100"/>
      <c r="BH47" s="100">
        <f t="shared" si="22"/>
        <v>0</v>
      </c>
      <c r="BI47" s="100"/>
      <c r="BJ47" s="100"/>
      <c r="BK47" s="100"/>
      <c r="BL47" s="100">
        <f>E47+W47+X47+Y47+Z47+AA47+AB47+AC47+AD47+AE47+AQ47+AS47+AT47+AU47+AV47+AW47+AX47+AY47+AZ47+BA47+BB47+BC47+BD47+BE47+BF47+BG47+BH47</f>
        <v>0</v>
      </c>
      <c r="BM47" s="100">
        <f>AR67-BL47</f>
        <v>0</v>
      </c>
      <c r="BN47" s="100">
        <f t="shared" ref="BN47:BN62" si="29">D47+BM47</f>
        <v>0</v>
      </c>
      <c r="BP47" s="123"/>
    </row>
    <row r="48" spans="1:68" ht="20.100000000000001" customHeight="1">
      <c r="A48" s="19" t="s">
        <v>79</v>
      </c>
      <c r="B48" s="144" t="s">
        <v>80</v>
      </c>
      <c r="C48" s="5" t="s">
        <v>81</v>
      </c>
      <c r="D48" s="100"/>
      <c r="E48" s="100">
        <f t="shared" si="4"/>
        <v>0</v>
      </c>
      <c r="F48" s="100">
        <f t="shared" si="21"/>
        <v>0</v>
      </c>
      <c r="G48" s="100">
        <f t="shared" si="8"/>
        <v>0</v>
      </c>
      <c r="H48" s="100">
        <f t="shared" si="12"/>
        <v>0</v>
      </c>
      <c r="I48" s="100"/>
      <c r="J48" s="100"/>
      <c r="K48" s="100"/>
      <c r="L48" s="100"/>
      <c r="M48" s="100"/>
      <c r="N48" s="100"/>
      <c r="O48" s="100"/>
      <c r="P48" s="100"/>
      <c r="Q48" s="100"/>
      <c r="R48" s="100"/>
      <c r="S48" s="100"/>
      <c r="T48" s="100"/>
      <c r="U48" s="100"/>
      <c r="V48" s="100">
        <f t="shared" si="13"/>
        <v>0</v>
      </c>
      <c r="W48" s="100"/>
      <c r="X48" s="100"/>
      <c r="Y48" s="100"/>
      <c r="Z48" s="100"/>
      <c r="AA48" s="100"/>
      <c r="AB48" s="100"/>
      <c r="AC48" s="100"/>
      <c r="AD48" s="100"/>
      <c r="AE48" s="100">
        <f t="shared" si="27"/>
        <v>0</v>
      </c>
      <c r="AF48" s="100"/>
      <c r="AG48" s="100"/>
      <c r="AH48" s="100"/>
      <c r="AI48" s="100"/>
      <c r="AJ48" s="100"/>
      <c r="AK48" s="100"/>
      <c r="AL48" s="100"/>
      <c r="AM48" s="100"/>
      <c r="AN48" s="100"/>
      <c r="AO48" s="100"/>
      <c r="AP48" s="100"/>
      <c r="AQ48" s="100"/>
      <c r="AR48" s="100"/>
      <c r="AS48" s="100">
        <f>D48-BL48</f>
        <v>0</v>
      </c>
      <c r="AT48" s="100"/>
      <c r="AU48" s="100"/>
      <c r="AV48" s="100"/>
      <c r="AW48" s="100"/>
      <c r="AX48" s="100"/>
      <c r="AY48" s="100"/>
      <c r="AZ48" s="100"/>
      <c r="BA48" s="100"/>
      <c r="BB48" s="100"/>
      <c r="BC48" s="100"/>
      <c r="BD48" s="100"/>
      <c r="BE48" s="100"/>
      <c r="BF48" s="100"/>
      <c r="BG48" s="100"/>
      <c r="BH48" s="100">
        <f t="shared" si="22"/>
        <v>0</v>
      </c>
      <c r="BI48" s="100"/>
      <c r="BJ48" s="100"/>
      <c r="BK48" s="100"/>
      <c r="BL48" s="100">
        <f>E48+W48+X48+Y48+Z48+AA48+AB48+AC48+AD48+AQ48+AR48+AT48+AU48+AV48+AW48+AX48+AY48+AZ48+BA48+BB48+BC48+BD48+BE48+BF48+BG48+BH48</f>
        <v>0</v>
      </c>
      <c r="BM48" s="100">
        <f>AS67-BL48</f>
        <v>0</v>
      </c>
      <c r="BN48" s="100">
        <f t="shared" si="29"/>
        <v>0</v>
      </c>
      <c r="BP48" s="123"/>
    </row>
    <row r="49" spans="1:68" ht="20.25" customHeight="1">
      <c r="A49" s="19" t="s">
        <v>82</v>
      </c>
      <c r="B49" s="144" t="s">
        <v>83</v>
      </c>
      <c r="C49" s="5" t="s">
        <v>84</v>
      </c>
      <c r="D49" s="467"/>
      <c r="E49" s="100">
        <f t="shared" si="4"/>
        <v>0</v>
      </c>
      <c r="F49" s="100">
        <f t="shared" si="21"/>
        <v>0</v>
      </c>
      <c r="G49" s="100">
        <f t="shared" si="8"/>
        <v>0</v>
      </c>
      <c r="H49" s="100">
        <f t="shared" si="12"/>
        <v>0</v>
      </c>
      <c r="I49" s="100"/>
      <c r="J49" s="100"/>
      <c r="K49" s="100"/>
      <c r="L49" s="100"/>
      <c r="M49" s="100"/>
      <c r="N49" s="100"/>
      <c r="O49" s="100"/>
      <c r="P49" s="100"/>
      <c r="Q49" s="100"/>
      <c r="R49" s="100"/>
      <c r="S49" s="100"/>
      <c r="T49" s="100"/>
      <c r="U49" s="100"/>
      <c r="V49" s="100">
        <f t="shared" si="13"/>
        <v>0</v>
      </c>
      <c r="W49" s="100"/>
      <c r="X49" s="100"/>
      <c r="Y49" s="100"/>
      <c r="Z49" s="100"/>
      <c r="AA49" s="100"/>
      <c r="AB49" s="100"/>
      <c r="AC49" s="100"/>
      <c r="AD49" s="100"/>
      <c r="AE49" s="100">
        <f t="shared" si="27"/>
        <v>0</v>
      </c>
      <c r="AF49" s="100"/>
      <c r="AG49" s="100"/>
      <c r="AH49" s="100"/>
      <c r="AI49" s="100"/>
      <c r="AJ49" s="100"/>
      <c r="AK49" s="100"/>
      <c r="AL49" s="100"/>
      <c r="AM49" s="100"/>
      <c r="AN49" s="100"/>
      <c r="AO49" s="100"/>
      <c r="AP49" s="100"/>
      <c r="AQ49" s="100"/>
      <c r="AR49" s="100"/>
      <c r="AS49" s="100"/>
      <c r="AT49" s="100">
        <f>D49-BL49</f>
        <v>0</v>
      </c>
      <c r="AU49" s="100"/>
      <c r="AV49" s="100"/>
      <c r="AW49" s="100"/>
      <c r="AX49" s="100"/>
      <c r="AY49" s="100"/>
      <c r="AZ49" s="100"/>
      <c r="BA49" s="100"/>
      <c r="BB49" s="100"/>
      <c r="BC49" s="100"/>
      <c r="BD49" s="100"/>
      <c r="BE49" s="100"/>
      <c r="BF49" s="100"/>
      <c r="BG49" s="100"/>
      <c r="BH49" s="100">
        <f t="shared" si="22"/>
        <v>0</v>
      </c>
      <c r="BI49" s="100"/>
      <c r="BJ49" s="100"/>
      <c r="BK49" s="100"/>
      <c r="BL49" s="100">
        <f>E49+W49+X49+Y49+Z49+AA49+AB49+AC49+AD49+AE49+AQ49+AR49+AS49+AU49+AV49+AW49+AX49+AY49+AZ49+BA49+BB49+BC49+BD49+BE49+BF49+BG49+BH49</f>
        <v>0</v>
      </c>
      <c r="BM49" s="100">
        <f>AT67-BL49</f>
        <v>0</v>
      </c>
      <c r="BN49" s="100">
        <f t="shared" si="29"/>
        <v>0</v>
      </c>
      <c r="BP49" s="123"/>
    </row>
    <row r="50" spans="1:68" ht="19.5" customHeight="1">
      <c r="A50" s="19" t="s">
        <v>85</v>
      </c>
      <c r="B50" s="144" t="s">
        <v>86</v>
      </c>
      <c r="C50" s="5" t="s">
        <v>87</v>
      </c>
      <c r="D50" s="100">
        <f>#REF!</f>
        <v>28.24</v>
      </c>
      <c r="E50" s="100">
        <f t="shared" si="4"/>
        <v>0</v>
      </c>
      <c r="F50" s="100">
        <f t="shared" si="21"/>
        <v>0</v>
      </c>
      <c r="G50" s="100">
        <f t="shared" si="8"/>
        <v>0</v>
      </c>
      <c r="H50" s="100">
        <f t="shared" si="12"/>
        <v>0</v>
      </c>
      <c r="I50" s="100"/>
      <c r="J50" s="100"/>
      <c r="K50" s="100"/>
      <c r="L50" s="100"/>
      <c r="M50" s="100"/>
      <c r="N50" s="100"/>
      <c r="O50" s="100"/>
      <c r="P50" s="100"/>
      <c r="Q50" s="100"/>
      <c r="R50" s="100"/>
      <c r="S50" s="100"/>
      <c r="T50" s="100"/>
      <c r="U50" s="100"/>
      <c r="V50" s="100">
        <f t="shared" si="13"/>
        <v>28.24</v>
      </c>
      <c r="W50" s="100"/>
      <c r="X50" s="100"/>
      <c r="Y50" s="100"/>
      <c r="Z50" s="100"/>
      <c r="AA50" s="100"/>
      <c r="AB50" s="100"/>
      <c r="AC50" s="100"/>
      <c r="AD50" s="100"/>
      <c r="AE50" s="100">
        <f t="shared" si="27"/>
        <v>0</v>
      </c>
      <c r="AF50" s="100"/>
      <c r="AG50" s="100"/>
      <c r="AH50" s="100"/>
      <c r="AI50" s="100"/>
      <c r="AJ50" s="100"/>
      <c r="AK50" s="100"/>
      <c r="AL50" s="100"/>
      <c r="AM50" s="100"/>
      <c r="AN50" s="100"/>
      <c r="AO50" s="100"/>
      <c r="AP50" s="100"/>
      <c r="AQ50" s="100"/>
      <c r="AR50" s="100"/>
      <c r="AS50" s="100"/>
      <c r="AT50" s="100"/>
      <c r="AU50" s="100">
        <f>D50-BL50</f>
        <v>28.24</v>
      </c>
      <c r="AV50" s="100"/>
      <c r="AW50" s="100"/>
      <c r="AX50" s="100"/>
      <c r="AY50" s="100"/>
      <c r="AZ50" s="100"/>
      <c r="BA50" s="100"/>
      <c r="BB50" s="100"/>
      <c r="BC50" s="100"/>
      <c r="BD50" s="100"/>
      <c r="BE50" s="100"/>
      <c r="BF50" s="100"/>
      <c r="BG50" s="100"/>
      <c r="BH50" s="100">
        <f t="shared" si="22"/>
        <v>0</v>
      </c>
      <c r="BI50" s="100"/>
      <c r="BJ50" s="100"/>
      <c r="BK50" s="100"/>
      <c r="BL50" s="100">
        <f>E50+W50+X50+Y50+Z50+AA50+AB50+AC50+AD50+AE50+AQ50+AR50+AS50+AT50+AV50+AW50+AX50+AY50+AZ50+BA50+BB50+BC50+BD50+BE50+BF50+BG50+BH50</f>
        <v>0</v>
      </c>
      <c r="BM50" s="100">
        <f>AU67-BL50</f>
        <v>0.74</v>
      </c>
      <c r="BN50" s="100">
        <f t="shared" si="29"/>
        <v>28.979999999999997</v>
      </c>
      <c r="BP50" s="123"/>
    </row>
    <row r="51" spans="1:68" ht="20.100000000000001" customHeight="1">
      <c r="A51" s="19" t="s">
        <v>88</v>
      </c>
      <c r="B51" s="144" t="s">
        <v>89</v>
      </c>
      <c r="C51" s="5" t="s">
        <v>90</v>
      </c>
      <c r="D51" s="100">
        <f>#REF!</f>
        <v>0.81</v>
      </c>
      <c r="E51" s="100">
        <f t="shared" si="4"/>
        <v>0</v>
      </c>
      <c r="F51" s="100">
        <f t="shared" si="21"/>
        <v>0</v>
      </c>
      <c r="G51" s="100">
        <f t="shared" si="8"/>
        <v>0</v>
      </c>
      <c r="H51" s="100">
        <f t="shared" si="12"/>
        <v>0</v>
      </c>
      <c r="I51" s="100"/>
      <c r="J51" s="100"/>
      <c r="K51" s="100"/>
      <c r="L51" s="100"/>
      <c r="M51" s="100"/>
      <c r="N51" s="100"/>
      <c r="O51" s="100"/>
      <c r="P51" s="100"/>
      <c r="Q51" s="100"/>
      <c r="R51" s="100"/>
      <c r="S51" s="100"/>
      <c r="T51" s="100"/>
      <c r="U51" s="100"/>
      <c r="V51" s="100">
        <f t="shared" si="13"/>
        <v>0.81</v>
      </c>
      <c r="W51" s="100"/>
      <c r="X51" s="100"/>
      <c r="Y51" s="100"/>
      <c r="Z51" s="100"/>
      <c r="AA51" s="100"/>
      <c r="AB51" s="100"/>
      <c r="AC51" s="100"/>
      <c r="AD51" s="100"/>
      <c r="AE51" s="100">
        <f t="shared" si="27"/>
        <v>0</v>
      </c>
      <c r="AF51" s="100"/>
      <c r="AG51" s="100"/>
      <c r="AH51" s="100"/>
      <c r="AI51" s="100"/>
      <c r="AJ51" s="100"/>
      <c r="AK51" s="100"/>
      <c r="AL51" s="100"/>
      <c r="AM51" s="100"/>
      <c r="AN51" s="100"/>
      <c r="AO51" s="100"/>
      <c r="AP51" s="100"/>
      <c r="AQ51" s="100"/>
      <c r="AR51" s="100"/>
      <c r="AS51" s="100"/>
      <c r="AT51" s="100"/>
      <c r="AU51" s="100"/>
      <c r="AV51" s="100">
        <f>D51-BL51</f>
        <v>0.81</v>
      </c>
      <c r="AW51" s="100"/>
      <c r="AX51" s="100"/>
      <c r="AY51" s="100"/>
      <c r="AZ51" s="100"/>
      <c r="BA51" s="100"/>
      <c r="BB51" s="100"/>
      <c r="BC51" s="100"/>
      <c r="BD51" s="100"/>
      <c r="BE51" s="100"/>
      <c r="BF51" s="100"/>
      <c r="BG51" s="100"/>
      <c r="BH51" s="100">
        <f t="shared" si="22"/>
        <v>0</v>
      </c>
      <c r="BI51" s="100"/>
      <c r="BJ51" s="100"/>
      <c r="BK51" s="100"/>
      <c r="BL51" s="100">
        <f>E51+W51+X51+Y51+Z51+AA51+AB51+AC51+AD51+AE51+AQ51+AR51+AS51+AT51+AU51+AW51+AX51+AY51+AZ51+BA51+BB51+BC51+BD51+BE51+BF51+BG51+BH51</f>
        <v>0</v>
      </c>
      <c r="BM51" s="100">
        <f>AV67-BL51</f>
        <v>0</v>
      </c>
      <c r="BN51" s="100">
        <f t="shared" si="29"/>
        <v>0.81</v>
      </c>
      <c r="BP51" s="123"/>
    </row>
    <row r="52" spans="1:68" ht="20.100000000000001" customHeight="1">
      <c r="A52" s="19" t="s">
        <v>91</v>
      </c>
      <c r="B52" s="144" t="s">
        <v>489</v>
      </c>
      <c r="C52" s="5" t="s">
        <v>93</v>
      </c>
      <c r="D52" s="100"/>
      <c r="E52" s="100">
        <f t="shared" si="4"/>
        <v>0</v>
      </c>
      <c r="F52" s="100">
        <f t="shared" si="21"/>
        <v>0</v>
      </c>
      <c r="G52" s="100">
        <f t="shared" si="8"/>
        <v>0</v>
      </c>
      <c r="H52" s="100">
        <f t="shared" si="12"/>
        <v>0</v>
      </c>
      <c r="I52" s="100"/>
      <c r="J52" s="100"/>
      <c r="K52" s="100"/>
      <c r="L52" s="100"/>
      <c r="M52" s="100"/>
      <c r="N52" s="100"/>
      <c r="O52" s="100"/>
      <c r="P52" s="100"/>
      <c r="Q52" s="100"/>
      <c r="R52" s="100"/>
      <c r="S52" s="100"/>
      <c r="T52" s="100"/>
      <c r="U52" s="100"/>
      <c r="V52" s="100">
        <f t="shared" si="13"/>
        <v>0</v>
      </c>
      <c r="W52" s="100"/>
      <c r="X52" s="100"/>
      <c r="Y52" s="100"/>
      <c r="Z52" s="100"/>
      <c r="AA52" s="100"/>
      <c r="AB52" s="100"/>
      <c r="AC52" s="100"/>
      <c r="AD52" s="100"/>
      <c r="AE52" s="100">
        <f t="shared" si="27"/>
        <v>0</v>
      </c>
      <c r="AF52" s="100"/>
      <c r="AG52" s="100"/>
      <c r="AH52" s="100"/>
      <c r="AI52" s="100"/>
      <c r="AJ52" s="100"/>
      <c r="AK52" s="100"/>
      <c r="AL52" s="100"/>
      <c r="AM52" s="100"/>
      <c r="AN52" s="100"/>
      <c r="AO52" s="100"/>
      <c r="AP52" s="100"/>
      <c r="AQ52" s="100"/>
      <c r="AR52" s="100"/>
      <c r="AS52" s="100"/>
      <c r="AT52" s="100"/>
      <c r="AU52" s="100"/>
      <c r="AV52" s="100"/>
      <c r="AW52" s="100">
        <f>D52-BL52</f>
        <v>0</v>
      </c>
      <c r="AX52" s="100"/>
      <c r="AY52" s="100"/>
      <c r="AZ52" s="100"/>
      <c r="BA52" s="100"/>
      <c r="BB52" s="100"/>
      <c r="BC52" s="100"/>
      <c r="BD52" s="100"/>
      <c r="BE52" s="100"/>
      <c r="BF52" s="100"/>
      <c r="BG52" s="100"/>
      <c r="BH52" s="100">
        <f t="shared" si="22"/>
        <v>0</v>
      </c>
      <c r="BI52" s="100"/>
      <c r="BJ52" s="100"/>
      <c r="BK52" s="100"/>
      <c r="BL52" s="100">
        <f>E52+W52+X52+Y52+Z52+AA52+AB52+AC52+AD52+AE52+AQ52+AR52+AS52+AT52+AU52+AV52+AX52+AY52+AZ52+BA52+BB52+BC52+BD52+BE52+BF52+BG52+BH52</f>
        <v>0</v>
      </c>
      <c r="BM52" s="100">
        <f>AW67-BL52</f>
        <v>0</v>
      </c>
      <c r="BN52" s="100">
        <f t="shared" si="29"/>
        <v>0</v>
      </c>
      <c r="BP52" s="123"/>
    </row>
    <row r="53" spans="1:68" ht="20.100000000000001" customHeight="1">
      <c r="A53" s="19" t="s">
        <v>94</v>
      </c>
      <c r="B53" s="144" t="s">
        <v>95</v>
      </c>
      <c r="C53" s="5" t="s">
        <v>96</v>
      </c>
      <c r="D53" s="100"/>
      <c r="E53" s="100">
        <f t="shared" si="4"/>
        <v>0</v>
      </c>
      <c r="F53" s="100">
        <f t="shared" si="21"/>
        <v>0</v>
      </c>
      <c r="G53" s="100">
        <f t="shared" si="8"/>
        <v>0</v>
      </c>
      <c r="H53" s="100">
        <f t="shared" si="12"/>
        <v>0</v>
      </c>
      <c r="I53" s="100"/>
      <c r="J53" s="100"/>
      <c r="K53" s="100"/>
      <c r="L53" s="100"/>
      <c r="M53" s="100"/>
      <c r="N53" s="100"/>
      <c r="O53" s="100"/>
      <c r="P53" s="100"/>
      <c r="Q53" s="100"/>
      <c r="R53" s="100"/>
      <c r="S53" s="100"/>
      <c r="T53" s="100"/>
      <c r="U53" s="100"/>
      <c r="V53" s="100">
        <f t="shared" si="13"/>
        <v>0</v>
      </c>
      <c r="W53" s="100"/>
      <c r="X53" s="100"/>
      <c r="Y53" s="100"/>
      <c r="Z53" s="100"/>
      <c r="AA53" s="100"/>
      <c r="AB53" s="100"/>
      <c r="AC53" s="100"/>
      <c r="AD53" s="100"/>
      <c r="AE53" s="100">
        <f t="shared" si="27"/>
        <v>0</v>
      </c>
      <c r="AF53" s="100"/>
      <c r="AG53" s="100"/>
      <c r="AH53" s="100"/>
      <c r="AI53" s="100"/>
      <c r="AJ53" s="100"/>
      <c r="AK53" s="100"/>
      <c r="AL53" s="100"/>
      <c r="AM53" s="100"/>
      <c r="AN53" s="100"/>
      <c r="AO53" s="100"/>
      <c r="AP53" s="100"/>
      <c r="AQ53" s="100"/>
      <c r="AR53" s="100"/>
      <c r="AS53" s="100"/>
      <c r="AT53" s="100"/>
      <c r="AU53" s="100"/>
      <c r="AV53" s="100"/>
      <c r="AW53" s="100"/>
      <c r="AX53" s="100">
        <f>D53-BL53</f>
        <v>0</v>
      </c>
      <c r="AY53" s="100"/>
      <c r="AZ53" s="100"/>
      <c r="BA53" s="100"/>
      <c r="BB53" s="100"/>
      <c r="BC53" s="100"/>
      <c r="BD53" s="100"/>
      <c r="BE53" s="100"/>
      <c r="BF53" s="100"/>
      <c r="BG53" s="100"/>
      <c r="BH53" s="100">
        <f t="shared" si="22"/>
        <v>0</v>
      </c>
      <c r="BI53" s="100"/>
      <c r="BJ53" s="100"/>
      <c r="BK53" s="100"/>
      <c r="BL53" s="100">
        <f>E53+W53+X53+Y53+Z53+AA53+AB53+AC53+AD53+AE53+AQ53+AR53+AS53+AT53+AU53+AV53+AW53+AY53+AZ53+BA53+BB53+BC53+BD53+BE53+BF53+BG53+BH53</f>
        <v>0</v>
      </c>
      <c r="BM53" s="100">
        <f>AX67-BL53</f>
        <v>0</v>
      </c>
      <c r="BN53" s="100">
        <f t="shared" si="29"/>
        <v>0</v>
      </c>
      <c r="BP53" s="123"/>
    </row>
    <row r="54" spans="1:68" ht="20.100000000000001" customHeight="1">
      <c r="A54" s="19" t="s">
        <v>97</v>
      </c>
      <c r="B54" s="144" t="s">
        <v>98</v>
      </c>
      <c r="C54" s="5" t="s">
        <v>99</v>
      </c>
      <c r="D54" s="100">
        <f>#REF!</f>
        <v>0.14000000000000001</v>
      </c>
      <c r="E54" s="100">
        <f t="shared" si="4"/>
        <v>0</v>
      </c>
      <c r="F54" s="100">
        <f t="shared" si="21"/>
        <v>0</v>
      </c>
      <c r="G54" s="100">
        <f t="shared" si="8"/>
        <v>0</v>
      </c>
      <c r="H54" s="100">
        <f t="shared" si="12"/>
        <v>0</v>
      </c>
      <c r="I54" s="100"/>
      <c r="J54" s="100"/>
      <c r="K54" s="100"/>
      <c r="L54" s="100"/>
      <c r="M54" s="100"/>
      <c r="N54" s="100"/>
      <c r="O54" s="100"/>
      <c r="P54" s="100"/>
      <c r="Q54" s="100"/>
      <c r="R54" s="100"/>
      <c r="S54" s="100"/>
      <c r="T54" s="100"/>
      <c r="U54" s="100"/>
      <c r="V54" s="100">
        <f t="shared" si="13"/>
        <v>0.14000000000000001</v>
      </c>
      <c r="W54" s="100"/>
      <c r="X54" s="100"/>
      <c r="Y54" s="100"/>
      <c r="Z54" s="100"/>
      <c r="AA54" s="100"/>
      <c r="AB54" s="100"/>
      <c r="AC54" s="100"/>
      <c r="AD54" s="100"/>
      <c r="AE54" s="100">
        <f t="shared" si="27"/>
        <v>0</v>
      </c>
      <c r="AF54" s="100"/>
      <c r="AG54" s="100"/>
      <c r="AH54" s="100"/>
      <c r="AI54" s="100"/>
      <c r="AJ54" s="100"/>
      <c r="AK54" s="100"/>
      <c r="AL54" s="100"/>
      <c r="AM54" s="100"/>
      <c r="AN54" s="100"/>
      <c r="AO54" s="100"/>
      <c r="AP54" s="100"/>
      <c r="AQ54" s="100"/>
      <c r="AR54" s="100"/>
      <c r="AS54" s="100"/>
      <c r="AT54" s="100"/>
      <c r="AU54" s="100"/>
      <c r="AV54" s="100"/>
      <c r="AW54" s="100"/>
      <c r="AX54" s="100"/>
      <c r="AY54" s="100">
        <f>D54-BL54</f>
        <v>0.14000000000000001</v>
      </c>
      <c r="AZ54" s="100"/>
      <c r="BA54" s="100"/>
      <c r="BB54" s="100"/>
      <c r="BC54" s="100"/>
      <c r="BD54" s="100"/>
      <c r="BE54" s="100"/>
      <c r="BF54" s="100"/>
      <c r="BG54" s="100"/>
      <c r="BH54" s="100">
        <f t="shared" si="22"/>
        <v>0</v>
      </c>
      <c r="BI54" s="100"/>
      <c r="BJ54" s="100"/>
      <c r="BK54" s="100"/>
      <c r="BL54" s="100">
        <f>E54+W54+X54+Y54+Z54+AA54+AB54+AC54+AD54+AE54+AQ54+AR54+AS54+AT54+AU54+AV54+AW54+AX54+AZ54+BA54+BB54+BC54+BD54+BE54+BF54+BG54+BH54</f>
        <v>0</v>
      </c>
      <c r="BM54" s="100">
        <f>AY67-BL54</f>
        <v>0</v>
      </c>
      <c r="BN54" s="100">
        <f t="shared" si="29"/>
        <v>0.14000000000000001</v>
      </c>
      <c r="BP54" s="123"/>
    </row>
    <row r="55" spans="1:68" ht="20.100000000000001" customHeight="1">
      <c r="A55" s="19" t="s">
        <v>100</v>
      </c>
      <c r="B55" s="144" t="s">
        <v>490</v>
      </c>
      <c r="C55" s="5" t="s">
        <v>101</v>
      </c>
      <c r="D55" s="100">
        <f>#REF!</f>
        <v>35.35</v>
      </c>
      <c r="E55" s="100">
        <f t="shared" si="4"/>
        <v>0</v>
      </c>
      <c r="F55" s="100">
        <f t="shared" si="21"/>
        <v>0</v>
      </c>
      <c r="G55" s="100">
        <f t="shared" si="8"/>
        <v>0</v>
      </c>
      <c r="H55" s="100">
        <f t="shared" si="12"/>
        <v>0</v>
      </c>
      <c r="I55" s="100"/>
      <c r="J55" s="100"/>
      <c r="K55" s="100"/>
      <c r="L55" s="100"/>
      <c r="M55" s="100"/>
      <c r="N55" s="100"/>
      <c r="O55" s="100"/>
      <c r="P55" s="100"/>
      <c r="Q55" s="100"/>
      <c r="R55" s="100"/>
      <c r="S55" s="100"/>
      <c r="T55" s="100"/>
      <c r="U55" s="100"/>
      <c r="V55" s="100">
        <f t="shared" si="13"/>
        <v>35.35</v>
      </c>
      <c r="W55" s="100"/>
      <c r="X55" s="100"/>
      <c r="Y55" s="100"/>
      <c r="Z55" s="100"/>
      <c r="AA55" s="100"/>
      <c r="AB55" s="100"/>
      <c r="AC55" s="100"/>
      <c r="AD55" s="100"/>
      <c r="AE55" s="100">
        <f t="shared" si="27"/>
        <v>0</v>
      </c>
      <c r="AF55" s="100"/>
      <c r="AG55" s="100"/>
      <c r="AH55" s="100"/>
      <c r="AI55" s="100"/>
      <c r="AJ55" s="100"/>
      <c r="AK55" s="100"/>
      <c r="AL55" s="100"/>
      <c r="AM55" s="100"/>
      <c r="AN55" s="100"/>
      <c r="AO55" s="100"/>
      <c r="AP55" s="100"/>
      <c r="AQ55" s="100"/>
      <c r="AR55" s="100"/>
      <c r="AS55" s="100"/>
      <c r="AT55" s="100"/>
      <c r="AU55" s="100"/>
      <c r="AV55" s="100"/>
      <c r="AW55" s="100"/>
      <c r="AX55" s="100"/>
      <c r="AY55" s="100"/>
      <c r="AZ55" s="100">
        <f>D55-BL55</f>
        <v>35.35</v>
      </c>
      <c r="BA55" s="100"/>
      <c r="BB55" s="100"/>
      <c r="BC55" s="100"/>
      <c r="BD55" s="100"/>
      <c r="BE55" s="100"/>
      <c r="BF55" s="100"/>
      <c r="BG55" s="100"/>
      <c r="BH55" s="100">
        <f t="shared" si="22"/>
        <v>0</v>
      </c>
      <c r="BI55" s="100"/>
      <c r="BJ55" s="100"/>
      <c r="BK55" s="100"/>
      <c r="BL55" s="100">
        <f>E55+W55+X55+Y55+Z55+AA55+AB55+AC55+AD55+AE55+AQ55+AR55+AS55+AT55+AU55+AV55+AW55+AX55+AY55+BA55+BB55+BC55+BD55+BE55+BF55+BG55+BH55</f>
        <v>0</v>
      </c>
      <c r="BM55" s="100">
        <f>AZ67-BL55</f>
        <v>0</v>
      </c>
      <c r="BN55" s="100">
        <f t="shared" si="29"/>
        <v>35.35</v>
      </c>
      <c r="BP55" s="123"/>
    </row>
    <row r="56" spans="1:68" ht="20.100000000000001" customHeight="1">
      <c r="A56" s="19" t="s">
        <v>102</v>
      </c>
      <c r="B56" s="144" t="s">
        <v>103</v>
      </c>
      <c r="C56" s="5" t="s">
        <v>104</v>
      </c>
      <c r="D56" s="100">
        <f>#REF!</f>
        <v>0.09</v>
      </c>
      <c r="E56" s="100">
        <f t="shared" si="4"/>
        <v>0</v>
      </c>
      <c r="F56" s="100">
        <f t="shared" si="21"/>
        <v>0</v>
      </c>
      <c r="G56" s="100">
        <f t="shared" si="8"/>
        <v>0</v>
      </c>
      <c r="H56" s="100">
        <f t="shared" si="12"/>
        <v>0</v>
      </c>
      <c r="I56" s="100"/>
      <c r="J56" s="100"/>
      <c r="K56" s="100"/>
      <c r="L56" s="100"/>
      <c r="M56" s="100"/>
      <c r="N56" s="100"/>
      <c r="O56" s="100"/>
      <c r="P56" s="100"/>
      <c r="Q56" s="100"/>
      <c r="R56" s="100"/>
      <c r="S56" s="100"/>
      <c r="T56" s="100"/>
      <c r="U56" s="100"/>
      <c r="V56" s="100">
        <f t="shared" si="13"/>
        <v>0.09</v>
      </c>
      <c r="W56" s="100"/>
      <c r="X56" s="100"/>
      <c r="Y56" s="100"/>
      <c r="Z56" s="100"/>
      <c r="AA56" s="100"/>
      <c r="AB56" s="100"/>
      <c r="AC56" s="100"/>
      <c r="AD56" s="100"/>
      <c r="AE56" s="100">
        <f t="shared" si="27"/>
        <v>0</v>
      </c>
      <c r="AF56" s="100"/>
      <c r="AG56" s="100"/>
      <c r="AH56" s="100"/>
      <c r="AI56" s="100"/>
      <c r="AJ56" s="100"/>
      <c r="AK56" s="100"/>
      <c r="AL56" s="100"/>
      <c r="AM56" s="100"/>
      <c r="AN56" s="100"/>
      <c r="AO56" s="100"/>
      <c r="AP56" s="100"/>
      <c r="AQ56" s="100"/>
      <c r="AR56" s="100"/>
      <c r="AS56" s="100"/>
      <c r="AT56" s="100"/>
      <c r="AU56" s="100"/>
      <c r="AV56" s="100"/>
      <c r="AW56" s="100"/>
      <c r="AX56" s="100"/>
      <c r="AY56" s="100"/>
      <c r="AZ56" s="100"/>
      <c r="BA56" s="100">
        <f>D56-BL56</f>
        <v>0.09</v>
      </c>
      <c r="BB56" s="100"/>
      <c r="BC56" s="100"/>
      <c r="BD56" s="100"/>
      <c r="BE56" s="100"/>
      <c r="BF56" s="100"/>
      <c r="BG56" s="100"/>
      <c r="BH56" s="100">
        <f t="shared" si="22"/>
        <v>0</v>
      </c>
      <c r="BI56" s="100"/>
      <c r="BJ56" s="100"/>
      <c r="BK56" s="100"/>
      <c r="BL56" s="100">
        <f>E56+W56+X56+Y56+Z56+AA56+AB56+AC56+AD56+AE56+AQ56+AR56+AS56+AT56+AU56+AV56+AW56+AX56+AY56+AZ56+BB56+BC56+BD56+BE56+BF56+BG56+BH56</f>
        <v>0</v>
      </c>
      <c r="BM56" s="100">
        <f>BA67-BL56</f>
        <v>0</v>
      </c>
      <c r="BN56" s="100">
        <f t="shared" si="29"/>
        <v>0.09</v>
      </c>
      <c r="BP56" s="123"/>
    </row>
    <row r="57" spans="1:68" ht="20.100000000000001" customHeight="1">
      <c r="A57" s="19" t="s">
        <v>105</v>
      </c>
      <c r="B57" s="144" t="s">
        <v>106</v>
      </c>
      <c r="C57" s="5" t="s">
        <v>107</v>
      </c>
      <c r="D57" s="100"/>
      <c r="E57" s="100">
        <f t="shared" si="4"/>
        <v>0</v>
      </c>
      <c r="F57" s="100">
        <f t="shared" si="21"/>
        <v>0</v>
      </c>
      <c r="G57" s="100">
        <f t="shared" si="8"/>
        <v>0</v>
      </c>
      <c r="H57" s="100">
        <f t="shared" si="12"/>
        <v>0</v>
      </c>
      <c r="I57" s="100"/>
      <c r="J57" s="100"/>
      <c r="K57" s="100"/>
      <c r="L57" s="100"/>
      <c r="M57" s="100"/>
      <c r="N57" s="100"/>
      <c r="O57" s="100"/>
      <c r="P57" s="100"/>
      <c r="Q57" s="100"/>
      <c r="R57" s="100"/>
      <c r="S57" s="100"/>
      <c r="T57" s="100"/>
      <c r="U57" s="100"/>
      <c r="V57" s="100">
        <f t="shared" si="13"/>
        <v>0</v>
      </c>
      <c r="W57" s="100"/>
      <c r="X57" s="100"/>
      <c r="Y57" s="100"/>
      <c r="Z57" s="100"/>
      <c r="AA57" s="100"/>
      <c r="AB57" s="100"/>
      <c r="AC57" s="100"/>
      <c r="AD57" s="100"/>
      <c r="AE57" s="100">
        <f>SUM(AF57:AP57)</f>
        <v>0</v>
      </c>
      <c r="AF57" s="100"/>
      <c r="AG57" s="100"/>
      <c r="AH57" s="100"/>
      <c r="AI57" s="100"/>
      <c r="AJ57" s="100"/>
      <c r="AK57" s="100"/>
      <c r="AL57" s="100"/>
      <c r="AM57" s="100"/>
      <c r="AN57" s="100"/>
      <c r="AO57" s="100"/>
      <c r="AP57" s="100"/>
      <c r="AQ57" s="100"/>
      <c r="AR57" s="100"/>
      <c r="AS57" s="100"/>
      <c r="AT57" s="100"/>
      <c r="AU57" s="100"/>
      <c r="AV57" s="100"/>
      <c r="AW57" s="100"/>
      <c r="AX57" s="100"/>
      <c r="AY57" s="100"/>
      <c r="AZ57" s="100"/>
      <c r="BA57" s="100"/>
      <c r="BB57" s="100">
        <f>D57-BL57</f>
        <v>0</v>
      </c>
      <c r="BC57" s="100"/>
      <c r="BD57" s="100"/>
      <c r="BE57" s="100"/>
      <c r="BF57" s="100"/>
      <c r="BG57" s="100"/>
      <c r="BH57" s="100">
        <f t="shared" si="22"/>
        <v>0</v>
      </c>
      <c r="BI57" s="100"/>
      <c r="BJ57" s="100"/>
      <c r="BK57" s="100"/>
      <c r="BL57" s="100">
        <f>E57+W57+X57+Y57+Z57+AA57+AB57+AC57+AD57+AE57+AQ57+AR57+AS57+AT57+AU57+AV57+AW57+AX57+AY57+AZ57+BA57+BC57+BD57+BE57+BF57+BG57+BH57</f>
        <v>0</v>
      </c>
      <c r="BM57" s="100">
        <f>BB67-BL57</f>
        <v>0</v>
      </c>
      <c r="BN57" s="100">
        <f t="shared" si="29"/>
        <v>0</v>
      </c>
      <c r="BP57" s="123"/>
    </row>
    <row r="58" spans="1:68" ht="20.100000000000001" customHeight="1">
      <c r="A58" s="19" t="s">
        <v>108</v>
      </c>
      <c r="B58" s="144" t="s">
        <v>491</v>
      </c>
      <c r="C58" s="5" t="s">
        <v>110</v>
      </c>
      <c r="D58" s="100">
        <f>#REF!</f>
        <v>0.22</v>
      </c>
      <c r="E58" s="100">
        <f t="shared" si="4"/>
        <v>0</v>
      </c>
      <c r="F58" s="100">
        <f t="shared" si="21"/>
        <v>0</v>
      </c>
      <c r="G58" s="100">
        <f t="shared" si="8"/>
        <v>0</v>
      </c>
      <c r="H58" s="100">
        <f t="shared" si="12"/>
        <v>0</v>
      </c>
      <c r="I58" s="100"/>
      <c r="J58" s="100"/>
      <c r="K58" s="100"/>
      <c r="L58" s="100"/>
      <c r="M58" s="100"/>
      <c r="N58" s="100"/>
      <c r="O58" s="100"/>
      <c r="P58" s="100"/>
      <c r="Q58" s="100"/>
      <c r="R58" s="100"/>
      <c r="S58" s="100"/>
      <c r="T58" s="100"/>
      <c r="U58" s="100"/>
      <c r="V58" s="100">
        <f t="shared" si="13"/>
        <v>0.22</v>
      </c>
      <c r="W58" s="100"/>
      <c r="X58" s="100"/>
      <c r="Y58" s="100"/>
      <c r="Z58" s="100"/>
      <c r="AA58" s="100"/>
      <c r="AB58" s="100"/>
      <c r="AC58" s="100"/>
      <c r="AD58" s="100"/>
      <c r="AE58" s="100">
        <f t="shared" si="27"/>
        <v>0</v>
      </c>
      <c r="AF58" s="100"/>
      <c r="AG58" s="100"/>
      <c r="AH58" s="100"/>
      <c r="AI58" s="100"/>
      <c r="AJ58" s="100"/>
      <c r="AK58" s="100"/>
      <c r="AL58" s="100"/>
      <c r="AM58" s="100"/>
      <c r="AN58" s="100"/>
      <c r="AO58" s="100"/>
      <c r="AP58" s="100"/>
      <c r="AQ58" s="100"/>
      <c r="AR58" s="100"/>
      <c r="AS58" s="100"/>
      <c r="AT58" s="100"/>
      <c r="AU58" s="100"/>
      <c r="AV58" s="100"/>
      <c r="AW58" s="100"/>
      <c r="AX58" s="100"/>
      <c r="AY58" s="100"/>
      <c r="AZ58" s="100"/>
      <c r="BA58" s="100"/>
      <c r="BB58" s="100"/>
      <c r="BC58" s="100">
        <f>D58-BL58</f>
        <v>0.22</v>
      </c>
      <c r="BD58" s="100"/>
      <c r="BE58" s="100"/>
      <c r="BF58" s="100"/>
      <c r="BG58" s="100"/>
      <c r="BH58" s="100">
        <f t="shared" si="22"/>
        <v>0</v>
      </c>
      <c r="BI58" s="100"/>
      <c r="BJ58" s="100"/>
      <c r="BK58" s="100"/>
      <c r="BL58" s="100">
        <f>E58+W58+X58+Y58+Z58+AA58+AB58+AC58+AD58+AE58+AQ58+AR58+AS58+AT58+AU58+AV58+AW58+AX58+AY58+AZ58+BA58+BB58+BD58+BE58+BF58+BG58+BH58</f>
        <v>0</v>
      </c>
      <c r="BM58" s="100">
        <f>BC67-BL58</f>
        <v>0</v>
      </c>
      <c r="BN58" s="100">
        <f t="shared" si="29"/>
        <v>0.22</v>
      </c>
      <c r="BP58" s="123"/>
    </row>
    <row r="59" spans="1:68" ht="20.100000000000001" customHeight="1">
      <c r="A59" s="19" t="s">
        <v>111</v>
      </c>
      <c r="B59" s="144" t="s">
        <v>112</v>
      </c>
      <c r="C59" s="5" t="s">
        <v>113</v>
      </c>
      <c r="D59" s="100">
        <f>#REF!</f>
        <v>0.64</v>
      </c>
      <c r="E59" s="100">
        <f t="shared" si="4"/>
        <v>0</v>
      </c>
      <c r="F59" s="100">
        <f t="shared" si="21"/>
        <v>0</v>
      </c>
      <c r="G59" s="100">
        <f t="shared" si="8"/>
        <v>0</v>
      </c>
      <c r="H59" s="100">
        <f t="shared" si="12"/>
        <v>0</v>
      </c>
      <c r="I59" s="100"/>
      <c r="J59" s="100"/>
      <c r="K59" s="100"/>
      <c r="L59" s="100"/>
      <c r="M59" s="100"/>
      <c r="N59" s="100"/>
      <c r="O59" s="100"/>
      <c r="P59" s="100"/>
      <c r="Q59" s="100"/>
      <c r="R59" s="100"/>
      <c r="S59" s="100"/>
      <c r="T59" s="100"/>
      <c r="U59" s="100"/>
      <c r="V59" s="100">
        <f t="shared" si="13"/>
        <v>0.64</v>
      </c>
      <c r="W59" s="100"/>
      <c r="X59" s="100"/>
      <c r="Y59" s="100"/>
      <c r="Z59" s="100"/>
      <c r="AA59" s="100"/>
      <c r="AB59" s="100"/>
      <c r="AC59" s="100"/>
      <c r="AD59" s="100"/>
      <c r="AE59" s="100">
        <f t="shared" si="27"/>
        <v>0</v>
      </c>
      <c r="AF59" s="100"/>
      <c r="AG59" s="100"/>
      <c r="AH59" s="100"/>
      <c r="AI59" s="100"/>
      <c r="AJ59" s="100"/>
      <c r="AK59" s="100"/>
      <c r="AL59" s="100"/>
      <c r="AM59" s="100"/>
      <c r="AN59" s="100"/>
      <c r="AO59" s="100"/>
      <c r="AP59" s="100"/>
      <c r="AQ59" s="100"/>
      <c r="AR59" s="100"/>
      <c r="AS59" s="100"/>
      <c r="AT59" s="100"/>
      <c r="AU59" s="100"/>
      <c r="AV59" s="100"/>
      <c r="AW59" s="100"/>
      <c r="AX59" s="100"/>
      <c r="AY59" s="100"/>
      <c r="AZ59" s="100"/>
      <c r="BA59" s="100"/>
      <c r="BB59" s="100"/>
      <c r="BC59" s="100"/>
      <c r="BD59" s="100">
        <f>D59-BL59</f>
        <v>0.64</v>
      </c>
      <c r="BE59" s="100"/>
      <c r="BF59" s="100"/>
      <c r="BG59" s="100"/>
      <c r="BH59" s="100">
        <f t="shared" si="22"/>
        <v>0</v>
      </c>
      <c r="BI59" s="100"/>
      <c r="BJ59" s="100"/>
      <c r="BK59" s="100"/>
      <c r="BL59" s="100">
        <f>E59+W59+X59+Y59+Z59+AA59+AB59+AC59+AD59+AE59+AQ59+AR59+AS59+AT59+AU59+AV59+AW59+AX59+AY59+AZ59+BA59+BB59+BC59+BE59+BF59+BG59+BH59</f>
        <v>0</v>
      </c>
      <c r="BM59" s="100">
        <f>BD67-BL59</f>
        <v>0</v>
      </c>
      <c r="BN59" s="100">
        <f t="shared" si="29"/>
        <v>0.64</v>
      </c>
      <c r="BP59" s="123"/>
    </row>
    <row r="60" spans="1:68" ht="20.100000000000001" customHeight="1">
      <c r="A60" s="19" t="s">
        <v>114</v>
      </c>
      <c r="B60" s="144" t="s">
        <v>115</v>
      </c>
      <c r="C60" s="5" t="s">
        <v>116</v>
      </c>
      <c r="D60" s="100">
        <f>#REF!</f>
        <v>95.82</v>
      </c>
      <c r="E60" s="100">
        <f t="shared" si="4"/>
        <v>0</v>
      </c>
      <c r="F60" s="100">
        <f t="shared" si="21"/>
        <v>0</v>
      </c>
      <c r="G60" s="100">
        <f t="shared" si="8"/>
        <v>0</v>
      </c>
      <c r="H60" s="100">
        <f t="shared" si="12"/>
        <v>0</v>
      </c>
      <c r="I60" s="100"/>
      <c r="J60" s="100"/>
      <c r="K60" s="100"/>
      <c r="L60" s="100"/>
      <c r="M60" s="100"/>
      <c r="N60" s="100"/>
      <c r="O60" s="100"/>
      <c r="P60" s="100"/>
      <c r="Q60" s="100"/>
      <c r="R60" s="100"/>
      <c r="S60" s="100"/>
      <c r="T60" s="100"/>
      <c r="U60" s="100"/>
      <c r="V60" s="100">
        <f t="shared" si="13"/>
        <v>95.82</v>
      </c>
      <c r="W60" s="100"/>
      <c r="X60" s="100"/>
      <c r="Y60" s="100"/>
      <c r="Z60" s="100"/>
      <c r="AA60" s="100"/>
      <c r="AB60" s="100"/>
      <c r="AC60" s="100"/>
      <c r="AD60" s="100"/>
      <c r="AE60" s="100">
        <f t="shared" si="27"/>
        <v>0</v>
      </c>
      <c r="AF60" s="100"/>
      <c r="AG60" s="100"/>
      <c r="AH60" s="100"/>
      <c r="AI60" s="100"/>
      <c r="AJ60" s="100"/>
      <c r="AK60" s="100"/>
      <c r="AL60" s="100"/>
      <c r="AM60" s="100"/>
      <c r="AN60" s="100"/>
      <c r="AO60" s="100"/>
      <c r="AP60" s="100"/>
      <c r="AQ60" s="100"/>
      <c r="AR60" s="100"/>
      <c r="AS60" s="100"/>
      <c r="AT60" s="100"/>
      <c r="AU60" s="100"/>
      <c r="AV60" s="100"/>
      <c r="AW60" s="100"/>
      <c r="AX60" s="100"/>
      <c r="AY60" s="100"/>
      <c r="AZ60" s="100"/>
      <c r="BA60" s="100"/>
      <c r="BB60" s="100"/>
      <c r="BC60" s="100"/>
      <c r="BD60" s="100"/>
      <c r="BE60" s="100">
        <f>D60-BL60</f>
        <v>95.82</v>
      </c>
      <c r="BF60" s="100"/>
      <c r="BG60" s="100"/>
      <c r="BH60" s="100">
        <f t="shared" si="22"/>
        <v>0</v>
      </c>
      <c r="BI60" s="100"/>
      <c r="BJ60" s="100"/>
      <c r="BK60" s="100"/>
      <c r="BL60" s="100">
        <f>E60+W60+X60+Y60+Z60+AA60+AB60+AC60+AD60+AE60+AQ60+AR60+AS60+AT60+AU60+AV60+AW60+AX60+AY60+AZ60+BA60+BB60+BC60+BD60+BF60+BG60+BH60</f>
        <v>0</v>
      </c>
      <c r="BM60" s="100">
        <f>BE67-BL60</f>
        <v>0</v>
      </c>
      <c r="BN60" s="100">
        <f t="shared" si="29"/>
        <v>95.82</v>
      </c>
      <c r="BP60" s="123"/>
    </row>
    <row r="61" spans="1:68" ht="20.100000000000001" customHeight="1">
      <c r="A61" s="19" t="s">
        <v>117</v>
      </c>
      <c r="B61" s="144" t="s">
        <v>118</v>
      </c>
      <c r="C61" s="5" t="s">
        <v>119</v>
      </c>
      <c r="D61" s="100"/>
      <c r="E61" s="100">
        <f t="shared" si="4"/>
        <v>0</v>
      </c>
      <c r="F61" s="100">
        <f t="shared" si="21"/>
        <v>0</v>
      </c>
      <c r="G61" s="100">
        <f t="shared" si="8"/>
        <v>0</v>
      </c>
      <c r="H61" s="100">
        <f t="shared" si="12"/>
        <v>0</v>
      </c>
      <c r="I61" s="100"/>
      <c r="J61" s="100"/>
      <c r="K61" s="100"/>
      <c r="L61" s="100"/>
      <c r="M61" s="100"/>
      <c r="N61" s="100"/>
      <c r="O61" s="100"/>
      <c r="P61" s="100"/>
      <c r="Q61" s="100"/>
      <c r="R61" s="100"/>
      <c r="S61" s="100"/>
      <c r="T61" s="100"/>
      <c r="U61" s="100"/>
      <c r="V61" s="100">
        <f t="shared" si="13"/>
        <v>0</v>
      </c>
      <c r="W61" s="100"/>
      <c r="X61" s="100"/>
      <c r="Y61" s="100"/>
      <c r="Z61" s="100"/>
      <c r="AA61" s="100"/>
      <c r="AB61" s="100"/>
      <c r="AC61" s="100"/>
      <c r="AD61" s="100"/>
      <c r="AE61" s="100">
        <f t="shared" si="27"/>
        <v>0</v>
      </c>
      <c r="AF61" s="100"/>
      <c r="AG61" s="100"/>
      <c r="AH61" s="100"/>
      <c r="AI61" s="100"/>
      <c r="AJ61" s="100"/>
      <c r="AK61" s="100"/>
      <c r="AL61" s="100"/>
      <c r="AM61" s="100"/>
      <c r="AN61" s="100"/>
      <c r="AO61" s="100"/>
      <c r="AP61" s="100"/>
      <c r="AQ61" s="100"/>
      <c r="AR61" s="100"/>
      <c r="AS61" s="100"/>
      <c r="AT61" s="100"/>
      <c r="AU61" s="100"/>
      <c r="AV61" s="100"/>
      <c r="AW61" s="100"/>
      <c r="AX61" s="100"/>
      <c r="AY61" s="100"/>
      <c r="AZ61" s="100"/>
      <c r="BA61" s="100"/>
      <c r="BB61" s="100"/>
      <c r="BC61" s="100"/>
      <c r="BD61" s="100"/>
      <c r="BE61" s="100"/>
      <c r="BF61" s="100">
        <f>D61-BL61</f>
        <v>0</v>
      </c>
      <c r="BG61" s="100"/>
      <c r="BH61" s="100">
        <f t="shared" si="22"/>
        <v>0</v>
      </c>
      <c r="BI61" s="100"/>
      <c r="BJ61" s="100"/>
      <c r="BK61" s="100"/>
      <c r="BL61" s="100">
        <f>E61+W61+X61+Y61+Z61+AA61+AB61+AC61+AD61+AE61+AQ61+AR61+AS61+AT61+AU61+AV61+AW61+AX61+AY61+AZ61+BA61+BB61+BC61+BD61+BE61+BG61+BH61</f>
        <v>0</v>
      </c>
      <c r="BM61" s="100">
        <f>BF67-BL61</f>
        <v>0</v>
      </c>
      <c r="BN61" s="100">
        <f t="shared" si="29"/>
        <v>0</v>
      </c>
      <c r="BP61" s="123"/>
    </row>
    <row r="62" spans="1:68" ht="19.5" customHeight="1">
      <c r="A62" s="19" t="s">
        <v>120</v>
      </c>
      <c r="B62" s="144" t="s">
        <v>121</v>
      </c>
      <c r="C62" s="5" t="s">
        <v>122</v>
      </c>
      <c r="D62" s="100"/>
      <c r="E62" s="100">
        <f t="shared" si="4"/>
        <v>0</v>
      </c>
      <c r="F62" s="100">
        <f t="shared" si="21"/>
        <v>0</v>
      </c>
      <c r="G62" s="100">
        <f t="shared" si="8"/>
        <v>0</v>
      </c>
      <c r="H62" s="100">
        <f t="shared" si="12"/>
        <v>0</v>
      </c>
      <c r="I62" s="100"/>
      <c r="J62" s="100"/>
      <c r="K62" s="100"/>
      <c r="L62" s="100"/>
      <c r="M62" s="100"/>
      <c r="N62" s="100"/>
      <c r="O62" s="100"/>
      <c r="P62" s="100"/>
      <c r="Q62" s="100"/>
      <c r="R62" s="100"/>
      <c r="S62" s="100"/>
      <c r="T62" s="100"/>
      <c r="U62" s="100"/>
      <c r="V62" s="100">
        <f t="shared" si="13"/>
        <v>0</v>
      </c>
      <c r="W62" s="100"/>
      <c r="X62" s="100"/>
      <c r="Y62" s="100"/>
      <c r="Z62" s="100"/>
      <c r="AA62" s="100"/>
      <c r="AB62" s="100"/>
      <c r="AC62" s="100"/>
      <c r="AD62" s="100"/>
      <c r="AE62" s="100">
        <f t="shared" si="27"/>
        <v>0</v>
      </c>
      <c r="AF62" s="100"/>
      <c r="AG62" s="100"/>
      <c r="AH62" s="100"/>
      <c r="AI62" s="100"/>
      <c r="AJ62" s="100"/>
      <c r="AK62" s="100"/>
      <c r="AL62" s="100"/>
      <c r="AM62" s="100"/>
      <c r="AN62" s="100"/>
      <c r="AO62" s="100"/>
      <c r="AP62" s="100"/>
      <c r="AQ62" s="100"/>
      <c r="AR62" s="100"/>
      <c r="AS62" s="100"/>
      <c r="AT62" s="100"/>
      <c r="AU62" s="100"/>
      <c r="AV62" s="100"/>
      <c r="AW62" s="100"/>
      <c r="AX62" s="100"/>
      <c r="AY62" s="100"/>
      <c r="AZ62" s="100"/>
      <c r="BA62" s="100"/>
      <c r="BB62" s="100"/>
      <c r="BC62" s="100"/>
      <c r="BD62" s="100"/>
      <c r="BE62" s="100"/>
      <c r="BF62" s="100"/>
      <c r="BG62" s="100">
        <f>D62-BL62</f>
        <v>0</v>
      </c>
      <c r="BH62" s="100">
        <f t="shared" si="22"/>
        <v>0</v>
      </c>
      <c r="BI62" s="100"/>
      <c r="BJ62" s="100"/>
      <c r="BK62" s="100"/>
      <c r="BL62" s="100">
        <f>E62+W62+X62+Y62+Z62+AA62+AB62+AC62+AD62+AE62+AQ62+AR62+AS62+AT62+AU62+AV62+AW62+AX62+AY62+AZ62+BA62+BB62+BC62+BD62+BE62+BF62+BH62</f>
        <v>0</v>
      </c>
      <c r="BM62" s="100">
        <f>BG67-BL62</f>
        <v>0</v>
      </c>
      <c r="BN62" s="100">
        <f t="shared" si="29"/>
        <v>0</v>
      </c>
      <c r="BP62" s="123"/>
    </row>
    <row r="63" spans="1:68" s="424" customFormat="1" ht="21.75" customHeight="1">
      <c r="A63" s="421">
        <v>3</v>
      </c>
      <c r="B63" s="422" t="s">
        <v>123</v>
      </c>
      <c r="C63" s="423" t="s">
        <v>124</v>
      </c>
      <c r="D63" s="473">
        <f>D64+D65+D66</f>
        <v>30.87</v>
      </c>
      <c r="E63" s="473">
        <f>E64+E65+E66</f>
        <v>0</v>
      </c>
      <c r="F63" s="473">
        <f t="shared" ref="F63:U63" si="30">F64+F65+F66</f>
        <v>0</v>
      </c>
      <c r="G63" s="473">
        <f t="shared" si="30"/>
        <v>0</v>
      </c>
      <c r="H63" s="473">
        <f t="shared" si="30"/>
        <v>0</v>
      </c>
      <c r="I63" s="473">
        <f t="shared" si="30"/>
        <v>0</v>
      </c>
      <c r="J63" s="473">
        <f t="shared" si="30"/>
        <v>0</v>
      </c>
      <c r="K63" s="473">
        <f t="shared" si="30"/>
        <v>0</v>
      </c>
      <c r="L63" s="473">
        <f t="shared" si="30"/>
        <v>0</v>
      </c>
      <c r="M63" s="473">
        <f t="shared" si="30"/>
        <v>0</v>
      </c>
      <c r="N63" s="473">
        <f t="shared" si="30"/>
        <v>0</v>
      </c>
      <c r="O63" s="473">
        <f t="shared" si="30"/>
        <v>0</v>
      </c>
      <c r="P63" s="473">
        <f t="shared" si="30"/>
        <v>0</v>
      </c>
      <c r="Q63" s="473">
        <f t="shared" si="30"/>
        <v>0</v>
      </c>
      <c r="R63" s="473">
        <f t="shared" si="30"/>
        <v>0</v>
      </c>
      <c r="S63" s="473">
        <f t="shared" si="30"/>
        <v>0</v>
      </c>
      <c r="T63" s="473">
        <f t="shared" si="30"/>
        <v>0</v>
      </c>
      <c r="U63" s="473">
        <f t="shared" si="30"/>
        <v>0</v>
      </c>
      <c r="V63" s="473">
        <f>V64+V65+V66</f>
        <v>1.32</v>
      </c>
      <c r="W63" s="473">
        <f t="shared" ref="W63:BG63" si="31">W64+W65+W66</f>
        <v>0</v>
      </c>
      <c r="X63" s="473">
        <f t="shared" si="31"/>
        <v>0</v>
      </c>
      <c r="Y63" s="473">
        <f t="shared" si="31"/>
        <v>0</v>
      </c>
      <c r="Z63" s="473">
        <f t="shared" si="31"/>
        <v>0</v>
      </c>
      <c r="AA63" s="473">
        <f t="shared" si="31"/>
        <v>0</v>
      </c>
      <c r="AB63" s="473">
        <f t="shared" si="31"/>
        <v>0</v>
      </c>
      <c r="AC63" s="473">
        <f t="shared" si="31"/>
        <v>0</v>
      </c>
      <c r="AD63" s="473">
        <f t="shared" si="31"/>
        <v>0</v>
      </c>
      <c r="AE63" s="473">
        <f t="shared" si="31"/>
        <v>1.32</v>
      </c>
      <c r="AF63" s="473">
        <f t="shared" si="31"/>
        <v>0</v>
      </c>
      <c r="AG63" s="473">
        <f t="shared" si="31"/>
        <v>0</v>
      </c>
      <c r="AH63" s="473">
        <f t="shared" si="31"/>
        <v>1.32</v>
      </c>
      <c r="AI63" s="473">
        <f t="shared" si="31"/>
        <v>0</v>
      </c>
      <c r="AJ63" s="473">
        <f t="shared" si="31"/>
        <v>0</v>
      </c>
      <c r="AK63" s="473">
        <f t="shared" si="31"/>
        <v>0</v>
      </c>
      <c r="AL63" s="473">
        <f t="shared" si="31"/>
        <v>0</v>
      </c>
      <c r="AM63" s="473">
        <f t="shared" si="31"/>
        <v>0</v>
      </c>
      <c r="AN63" s="473">
        <f t="shared" si="31"/>
        <v>0</v>
      </c>
      <c r="AO63" s="473">
        <f t="shared" si="31"/>
        <v>0</v>
      </c>
      <c r="AP63" s="473">
        <f t="shared" si="31"/>
        <v>0</v>
      </c>
      <c r="AQ63" s="473">
        <f t="shared" si="31"/>
        <v>0</v>
      </c>
      <c r="AR63" s="473">
        <f t="shared" si="31"/>
        <v>0</v>
      </c>
      <c r="AS63" s="473">
        <f t="shared" si="31"/>
        <v>0</v>
      </c>
      <c r="AT63" s="473">
        <f t="shared" si="31"/>
        <v>0</v>
      </c>
      <c r="AU63" s="473">
        <f t="shared" si="31"/>
        <v>0</v>
      </c>
      <c r="AV63" s="473">
        <f t="shared" si="31"/>
        <v>0</v>
      </c>
      <c r="AW63" s="473">
        <f t="shared" si="31"/>
        <v>0</v>
      </c>
      <c r="AX63" s="473">
        <f t="shared" si="31"/>
        <v>0</v>
      </c>
      <c r="AY63" s="473">
        <f t="shared" si="31"/>
        <v>0</v>
      </c>
      <c r="AZ63" s="473">
        <f t="shared" si="31"/>
        <v>0</v>
      </c>
      <c r="BA63" s="473">
        <f t="shared" si="31"/>
        <v>0</v>
      </c>
      <c r="BB63" s="473">
        <f t="shared" si="31"/>
        <v>0</v>
      </c>
      <c r="BC63" s="473">
        <f t="shared" si="31"/>
        <v>0</v>
      </c>
      <c r="BD63" s="473">
        <f t="shared" si="31"/>
        <v>0</v>
      </c>
      <c r="BE63" s="473">
        <f t="shared" si="31"/>
        <v>0</v>
      </c>
      <c r="BF63" s="473">
        <f t="shared" si="31"/>
        <v>0</v>
      </c>
      <c r="BG63" s="473">
        <f t="shared" si="31"/>
        <v>0</v>
      </c>
      <c r="BH63" s="473">
        <f>D63-BL63</f>
        <v>29.55</v>
      </c>
      <c r="BI63" s="473">
        <f t="shared" ref="BI63:BN63" si="32">BI64+BI65+BI66</f>
        <v>29.5</v>
      </c>
      <c r="BJ63" s="473">
        <f t="shared" si="32"/>
        <v>0.05</v>
      </c>
      <c r="BK63" s="473">
        <f t="shared" si="32"/>
        <v>0</v>
      </c>
      <c r="BL63" s="473">
        <f t="shared" si="32"/>
        <v>1.32</v>
      </c>
      <c r="BM63" s="473">
        <f t="shared" si="32"/>
        <v>-1.32</v>
      </c>
      <c r="BN63" s="473">
        <f t="shared" si="32"/>
        <v>29.55</v>
      </c>
    </row>
    <row r="64" spans="1:68" ht="21.75" customHeight="1">
      <c r="A64" s="14" t="s">
        <v>220</v>
      </c>
      <c r="B64" s="143" t="s">
        <v>461</v>
      </c>
      <c r="C64" s="5" t="s">
        <v>209</v>
      </c>
      <c r="D64" s="100">
        <f>#REF!</f>
        <v>30.82</v>
      </c>
      <c r="E64" s="100">
        <f t="shared" si="4"/>
        <v>0</v>
      </c>
      <c r="F64" s="100">
        <f t="shared" si="21"/>
        <v>0</v>
      </c>
      <c r="G64" s="100">
        <f t="shared" si="8"/>
        <v>0</v>
      </c>
      <c r="H64" s="100">
        <f t="shared" si="12"/>
        <v>0</v>
      </c>
      <c r="I64" s="100"/>
      <c r="J64" s="100"/>
      <c r="K64" s="100"/>
      <c r="L64" s="100"/>
      <c r="M64" s="100"/>
      <c r="N64" s="100"/>
      <c r="O64" s="100">
        <f>P64+Q64+R64</f>
        <v>0</v>
      </c>
      <c r="P64" s="100"/>
      <c r="Q64" s="100"/>
      <c r="R64" s="100"/>
      <c r="S64" s="100"/>
      <c r="T64" s="100"/>
      <c r="U64" s="100"/>
      <c r="V64" s="100">
        <f t="shared" si="13"/>
        <v>1.32</v>
      </c>
      <c r="W64" s="100"/>
      <c r="X64" s="100"/>
      <c r="Y64" s="100"/>
      <c r="Z64" s="100"/>
      <c r="AA64" s="100"/>
      <c r="AB64" s="100"/>
      <c r="AC64" s="100"/>
      <c r="AD64" s="100"/>
      <c r="AE64" s="100">
        <f t="shared" si="27"/>
        <v>1.32</v>
      </c>
      <c r="AF64" s="100"/>
      <c r="AG64" s="100"/>
      <c r="AH64" s="100">
        <v>1.32</v>
      </c>
      <c r="AI64" s="100"/>
      <c r="AJ64" s="100"/>
      <c r="AK64" s="100"/>
      <c r="AL64" s="100"/>
      <c r="AM64" s="100"/>
      <c r="AN64" s="100"/>
      <c r="AO64" s="100"/>
      <c r="AP64" s="100"/>
      <c r="AQ64" s="100"/>
      <c r="AR64" s="100"/>
      <c r="AS64" s="100"/>
      <c r="AT64" s="100"/>
      <c r="AU64" s="100"/>
      <c r="AV64" s="100"/>
      <c r="AW64" s="100"/>
      <c r="AX64" s="100"/>
      <c r="AY64" s="100"/>
      <c r="AZ64" s="100"/>
      <c r="BA64" s="100"/>
      <c r="BB64" s="100"/>
      <c r="BC64" s="100"/>
      <c r="BD64" s="100"/>
      <c r="BE64" s="100"/>
      <c r="BF64" s="100"/>
      <c r="BG64" s="100"/>
      <c r="BH64" s="100">
        <f>BI64+BJ64+BK64</f>
        <v>29.5</v>
      </c>
      <c r="BI64" s="100">
        <f>D64-BL64</f>
        <v>29.5</v>
      </c>
      <c r="BJ64" s="100"/>
      <c r="BK64" s="100"/>
      <c r="BL64" s="100">
        <f>E64+V64</f>
        <v>1.32</v>
      </c>
      <c r="BM64" s="100">
        <f>BI67-BL64</f>
        <v>-1.32</v>
      </c>
      <c r="BN64" s="100">
        <f>D64+BM64</f>
        <v>29.5</v>
      </c>
      <c r="BP64" s="123"/>
    </row>
    <row r="65" spans="1:68" ht="21.75" customHeight="1">
      <c r="A65" s="14" t="s">
        <v>221</v>
      </c>
      <c r="B65" s="143" t="s">
        <v>462</v>
      </c>
      <c r="C65" s="5" t="s">
        <v>210</v>
      </c>
      <c r="D65" s="100">
        <f>#REF!</f>
        <v>0.05</v>
      </c>
      <c r="E65" s="100">
        <f t="shared" si="4"/>
        <v>0</v>
      </c>
      <c r="F65" s="100">
        <f t="shared" si="21"/>
        <v>0</v>
      </c>
      <c r="G65" s="100">
        <f t="shared" si="8"/>
        <v>0</v>
      </c>
      <c r="H65" s="100">
        <f t="shared" si="12"/>
        <v>0</v>
      </c>
      <c r="I65" s="100"/>
      <c r="J65" s="100"/>
      <c r="K65" s="100"/>
      <c r="L65" s="100"/>
      <c r="M65" s="100"/>
      <c r="N65" s="100"/>
      <c r="O65" s="100">
        <f t="shared" ref="O65:O66" si="33">P65+Q65+R65</f>
        <v>0</v>
      </c>
      <c r="P65" s="100"/>
      <c r="Q65" s="100"/>
      <c r="R65" s="100"/>
      <c r="S65" s="100"/>
      <c r="T65" s="100"/>
      <c r="U65" s="100"/>
      <c r="V65" s="100">
        <f t="shared" si="13"/>
        <v>0</v>
      </c>
      <c r="W65" s="100"/>
      <c r="X65" s="100"/>
      <c r="Y65" s="100"/>
      <c r="Z65" s="100"/>
      <c r="AA65" s="100"/>
      <c r="AB65" s="100"/>
      <c r="AC65" s="100"/>
      <c r="AD65" s="100"/>
      <c r="AE65" s="100">
        <f t="shared" si="27"/>
        <v>0</v>
      </c>
      <c r="AF65" s="100"/>
      <c r="AG65" s="100"/>
      <c r="AH65" s="100"/>
      <c r="AI65" s="100"/>
      <c r="AJ65" s="100"/>
      <c r="AK65" s="100"/>
      <c r="AL65" s="100"/>
      <c r="AM65" s="100"/>
      <c r="AN65" s="100"/>
      <c r="AO65" s="100"/>
      <c r="AP65" s="100"/>
      <c r="AQ65" s="100"/>
      <c r="AR65" s="100"/>
      <c r="AS65" s="100"/>
      <c r="AT65" s="100"/>
      <c r="AU65" s="100"/>
      <c r="AV65" s="100"/>
      <c r="AW65" s="100"/>
      <c r="AX65" s="100"/>
      <c r="AY65" s="100"/>
      <c r="AZ65" s="100"/>
      <c r="BA65" s="100"/>
      <c r="BB65" s="100"/>
      <c r="BC65" s="100"/>
      <c r="BD65" s="100"/>
      <c r="BE65" s="100"/>
      <c r="BF65" s="100"/>
      <c r="BG65" s="100"/>
      <c r="BH65" s="100">
        <f>BI65+BJ65+BK65</f>
        <v>0.05</v>
      </c>
      <c r="BI65" s="100"/>
      <c r="BJ65" s="100">
        <f>D65-BL65</f>
        <v>0.05</v>
      </c>
      <c r="BK65" s="100"/>
      <c r="BL65" s="100">
        <f>E65+V65</f>
        <v>0</v>
      </c>
      <c r="BM65" s="100">
        <f>BJ67-BL65</f>
        <v>0</v>
      </c>
      <c r="BN65" s="100">
        <f>D65+BM65</f>
        <v>0.05</v>
      </c>
      <c r="BP65" s="123"/>
    </row>
    <row r="66" spans="1:68" ht="21.75" customHeight="1">
      <c r="A66" s="16" t="s">
        <v>222</v>
      </c>
      <c r="B66" s="145" t="s">
        <v>492</v>
      </c>
      <c r="C66" s="9" t="s">
        <v>211</v>
      </c>
      <c r="D66" s="280"/>
      <c r="E66" s="280">
        <f t="shared" si="4"/>
        <v>0</v>
      </c>
      <c r="F66" s="280">
        <f t="shared" si="21"/>
        <v>0</v>
      </c>
      <c r="G66" s="280">
        <f t="shared" si="8"/>
        <v>0</v>
      </c>
      <c r="H66" s="280">
        <f t="shared" si="12"/>
        <v>0</v>
      </c>
      <c r="I66" s="280"/>
      <c r="J66" s="280"/>
      <c r="K66" s="280"/>
      <c r="L66" s="280"/>
      <c r="M66" s="280"/>
      <c r="N66" s="280"/>
      <c r="O66" s="280">
        <f t="shared" si="33"/>
        <v>0</v>
      </c>
      <c r="P66" s="280"/>
      <c r="Q66" s="280"/>
      <c r="R66" s="280"/>
      <c r="S66" s="280"/>
      <c r="T66" s="280"/>
      <c r="U66" s="280"/>
      <c r="V66" s="280">
        <f t="shared" si="13"/>
        <v>0</v>
      </c>
      <c r="W66" s="280"/>
      <c r="X66" s="280"/>
      <c r="Y66" s="280"/>
      <c r="Z66" s="280"/>
      <c r="AA66" s="280"/>
      <c r="AB66" s="280"/>
      <c r="AC66" s="280"/>
      <c r="AD66" s="280"/>
      <c r="AE66" s="280">
        <f t="shared" si="27"/>
        <v>0</v>
      </c>
      <c r="AF66" s="280"/>
      <c r="AG66" s="280"/>
      <c r="AH66" s="280"/>
      <c r="AI66" s="280"/>
      <c r="AJ66" s="280"/>
      <c r="AK66" s="280"/>
      <c r="AL66" s="280"/>
      <c r="AM66" s="280"/>
      <c r="AN66" s="280"/>
      <c r="AO66" s="280"/>
      <c r="AP66" s="280"/>
      <c r="AQ66" s="280"/>
      <c r="AR66" s="280"/>
      <c r="AS66" s="280"/>
      <c r="AT66" s="280"/>
      <c r="AU66" s="280"/>
      <c r="AV66" s="280"/>
      <c r="AW66" s="280"/>
      <c r="AX66" s="280"/>
      <c r="AY66" s="280"/>
      <c r="AZ66" s="280"/>
      <c r="BA66" s="280"/>
      <c r="BB66" s="280"/>
      <c r="BC66" s="280"/>
      <c r="BD66" s="280"/>
      <c r="BE66" s="280"/>
      <c r="BF66" s="280"/>
      <c r="BG66" s="280"/>
      <c r="BH66" s="280">
        <f>BI66+BJ66+BK66</f>
        <v>0</v>
      </c>
      <c r="BI66" s="280"/>
      <c r="BJ66" s="280"/>
      <c r="BK66" s="280">
        <f>D66-BL66</f>
        <v>0</v>
      </c>
      <c r="BL66" s="280">
        <f>E66+V66</f>
        <v>0</v>
      </c>
      <c r="BM66" s="280">
        <f>D66-BL66</f>
        <v>0</v>
      </c>
      <c r="BN66" s="280">
        <f>D66+BM66</f>
        <v>0</v>
      </c>
      <c r="BP66" s="123"/>
    </row>
    <row r="67" spans="1:68" s="113" customFormat="1" ht="24.75" customHeight="1">
      <c r="A67" s="17"/>
      <c r="B67" s="146" t="s">
        <v>190</v>
      </c>
      <c r="C67" s="11"/>
      <c r="D67" s="189"/>
      <c r="E67" s="189">
        <f>E25+E63</f>
        <v>0</v>
      </c>
      <c r="F67" s="189">
        <f>F18+F22+F23+F24+F25+F63</f>
        <v>0</v>
      </c>
      <c r="G67" s="189">
        <f>G17+G18+G22+G23+G24+G25+G63</f>
        <v>0</v>
      </c>
      <c r="H67" s="189">
        <f>H15+H16+H17+H18+H22+H23+H24+H25+H63</f>
        <v>0</v>
      </c>
      <c r="I67" s="189">
        <f>I13+I14+I15+I16+I17+I18+I22+I23+I24+I25+I63</f>
        <v>0</v>
      </c>
      <c r="J67" s="189">
        <f>J12+J14+J15+J16+J17+J18+J22+J23+J24+J25+J63</f>
        <v>0</v>
      </c>
      <c r="K67" s="189">
        <f>K12+K13+K15+K16+K17+K18+K22+K23+K24+K25+K63</f>
        <v>0</v>
      </c>
      <c r="L67" s="189">
        <f>L12+L13+L14+L16+L17+L18+L22+L23+L24+L25+L63</f>
        <v>0</v>
      </c>
      <c r="M67" s="189">
        <f>M12+M13+M14+M15+M17+M18+M22+M23+M24+M25+M63</f>
        <v>0</v>
      </c>
      <c r="N67" s="189">
        <f>N12+N13+N14+N15+N16+N18+N22+N23+N24+N25+N63</f>
        <v>0</v>
      </c>
      <c r="O67" s="189">
        <f>O9+O22+O23+O24+O25+O63</f>
        <v>0</v>
      </c>
      <c r="P67" s="189">
        <f>P10+P17+P20+P21+P22+P23+P24+P25+P63</f>
        <v>0</v>
      </c>
      <c r="Q67" s="189">
        <f>Q12+Q13+Q14+Q15+Q16+Q17+Q19+Q21+Q22+Q23+Q24+Q25+Q63</f>
        <v>0</v>
      </c>
      <c r="R67" s="735">
        <f>R12+R13+R14+R15+R16+R17+R19+R20+R22+R23+R24+R25+R63</f>
        <v>0</v>
      </c>
      <c r="S67" s="731">
        <f>S9+S18+S23+S24+S25+S63</f>
        <v>0</v>
      </c>
      <c r="T67" s="735">
        <f>T9+T18+T22+T24+T25+T63</f>
        <v>0</v>
      </c>
      <c r="U67" s="735">
        <f>U9+U18+U22+U23+U25+U63</f>
        <v>0</v>
      </c>
      <c r="V67" s="735">
        <f>V8+V63</f>
        <v>1.84</v>
      </c>
      <c r="W67" s="735">
        <f>W8+W27+W28+W29+W30+W31+W32+W33+W34+W46+W47+W48+W49+W50+W51+W52+W53+W54+W55+W56+W57+W58+W59+W60+W61+W62+W63</f>
        <v>0</v>
      </c>
      <c r="X67" s="735">
        <f>X8+X26+X28+X29+X30+X31+X32+X33+X34+X46+X47+X48+X49+X50+X51+X52+X53+X54+X55+X56+X57+X58+X59+X60+X61+X62+X63</f>
        <v>0</v>
      </c>
      <c r="Y67" s="735">
        <f>Y8+Y26+Y27+Y29+Y30+Y31+Y32+Y33+Y34+Y46+Y47+Y48+Y49+Y50+Y51+Y52+Y53+Y54+Y55+Y56+Y57+Y58+Y59+Y60+Y61+Y62+Y63</f>
        <v>0</v>
      </c>
      <c r="Z67" s="735">
        <f>Z8+Z26+Z27+Z28+Z30+Z31+Z32+Z33+Z34+Z46+Z47+Z48+Z49+Z50+Z51+Z52+Z53+Z54+Z55+Z56+Z57+Z58+Z59+Z60+Z61+Z62+Z63</f>
        <v>0</v>
      </c>
      <c r="AA67" s="735">
        <f>AA8+AA26+AA27+AA28+AA29+AA31+AA32+AA33+AA34+AA46+AA47+AA48+AA49+AA50+AA51+AA52+AA53+AA54+AA55+AA56+AA57+AA58+AA59+AA60+AA61+AA62+AA63</f>
        <v>0</v>
      </c>
      <c r="AB67" s="735">
        <f>AB8+AB26+AB27+AB28+AB29+AB30+AB32+AB33+AB34+AB46+AB47+AB48+AB49+AB50+AB51+AB52+AB53+AB54+AB55+AB56+AB57+AB58+AB59+AB60+AB61+AB62+AB63</f>
        <v>0</v>
      </c>
      <c r="AC67" s="735">
        <f>AC8+AC26+AC27+AC28+AC29+AC30+AC31+AC33+AC34+AC46+AC47+AC48+AC49+AC50+AC51+AC52+AC53+AC54+AC55+AC56+AC57+AC58+AC59+AC60+AC61+AC62+AC63</f>
        <v>0</v>
      </c>
      <c r="AD67" s="735">
        <f>AD8+AD26+AD27+AD28+AD29+AD30+AD31+AD32+AD34+AD46+AD47+AD48+AD49+AD50+AD51+AD52+AD53+AD54+AD55+AD56+AD57+AD58+AD59+AD60+AD61+AD62+AD63</f>
        <v>0</v>
      </c>
      <c r="AE67" s="735">
        <f>AE8+AE26+AE27+AE28+AE29+AE30+AE31+AE32+AE33+AE46+AE47+AE48+AE49+AE50+AE51+AE52+AE53+AE54+AE55+AE56+AE57+AE58+AE59+AE60+AE61+AE62+AE63</f>
        <v>1.34</v>
      </c>
      <c r="AF67" s="735">
        <f>AF8+AF26+AF27+AF28+AF29+AF30+AF31+AF32+AF33+AF3+AF36+AF37+AF38+AF39+AF40+AF41+AF42+AF43+AF44+AF45+AF46+AF47+AF48+AF49+AF50+AF51+AF52+AF53+AF54+AF55+AF56+AF57+AF58+AF59+AF60+AF61+AF62+AF63</f>
        <v>0</v>
      </c>
      <c r="AG67" s="735">
        <f>AG8+AG26+AG27+AG28+AG29+AG30+AG31+AG32+AG33+AG35+AG37+AG38+AG39+AG40+AG41+AG42+AG43+AG44+AG45+AG46+AG47+AG48+AG49+AG50+AG51+AG52+AG53+AG54+AG55+AG56+AG57+AG58+AG59+AG60+AG61+AG62+AG63</f>
        <v>0</v>
      </c>
      <c r="AH67" s="731">
        <f>AH8+AH26+AH27+AH28+AH29+AH30+AH31+AH32+AH33+AH35+AH36+AH38+AH39+AH40+AH41+AH42+AH43+AH44+AH45+AH46+AH47+AH48+AH49+AH50+AH51+AH52+AH53+AH54+AH55+AH56+AH57+AH58+AH59+AH60+AH61+AH62+AH63</f>
        <v>1.34</v>
      </c>
      <c r="AI67" s="735">
        <f>AI8+AI26+AI27+AI28+AI29+AI30+AI31+AI32+AI33+AI35+AI36+AI37+AI39+AI40+AI41+AI42+AI43+AI44+AI45+AI46+AI47+AI48+AI49+AI50+AI51+AI52+AI53+AI54+AI55+AI56+AI57+AI58+AI59+AI60+AI61+AI62+AI63</f>
        <v>0</v>
      </c>
      <c r="AJ67" s="735">
        <f>AJ8+AJ26+AJ27+AJ28+AJ29+AJ30+AJ31+AJ32+AJ33+AJ35+AJ36+AJ37+AJ38+AJ40+AJ41+AJ42+AJ43+AJ44+AJ45+AJ46+AJ47+AJ48+AJ49+AJ50+AJ51+AJ52+AJ53+AJ54+AJ55+AJ56+AJ57+AJ58+AJ59+AJ60+AJ61+AJ62+AJ63</f>
        <v>0</v>
      </c>
      <c r="AK67" s="735">
        <f>AK8+AK26+AK27+AK28+AK29+AK30+AK31+AK32+AK33+AK35+AK36+AK37+AK38+AK39+AK41+AK42+AK43+AK44+AK45+AK46+AK47+AK48+AK49+AK50+AK51+AK52+AK53+AK54+AK55+AK56+AK57+AK58+AK59+AK60+AK61+AK62+AK63</f>
        <v>0</v>
      </c>
      <c r="AL67" s="735">
        <f>AL8+AL26+AL27+AL28+AL29+AL30+AL31+AL32+AL33+AL35+AL36+AL37+AL38+AL39+AL40+AL42+AL43+AL44+AL45+AL46+AL47+AL48+AL49+AL50+AL51+AL52+AL53+AL54+AL55+AL56+AL57+AL58+AL59+AL60+AL61+AL62+AL63</f>
        <v>0</v>
      </c>
      <c r="AM67" s="735">
        <f>AM8+AM26+AM27+AM28+AM29+AM30+AM31+AM32+AM33+AM35+AM36+AM37+AM38+AM39+AM40+AM41+AM43+AM44+AM45+AM46+AM47+AM48+AM49+AM50+AM51+AM52+AM53+AM54+AM55+AM56+AM57+AM58+AM59+AM60+AM61+AM62+AM63</f>
        <v>0</v>
      </c>
      <c r="AN67" s="735">
        <f>AN8+AN26+AN27+AN28+AN29+AN30+AN31+AN32+AN33+AN35+AN36+AN37+AN38+AN39+AN40+AN41+AN42+AN44+AN45+AN46+AN47+AN48+AN49+AN50+AN51+AN52+AN53+AN54+AN55+AN56+AN57+AN58+AN59+AN60+AN61+AN62+AN63</f>
        <v>0</v>
      </c>
      <c r="AO67" s="735">
        <f>AO8+AO26+AO27+AO28+AO29+AO30+AO31+AO32+AO33+AO35+AO36+AO37+AO38+AO39+AO40+AO41+AO42+AO43+AO45+AO46+AO47+AO48+AO49+AO50+AO51+AO52+AO53+AO54+AO55+AO56+AO57+AO58+AO59+AO60+AO61+AO62+AO63</f>
        <v>0</v>
      </c>
      <c r="AP67" s="735">
        <f>AP8+AP26+AP27+AP28+AP29+AP30+AP31+AP32+AP33+AP35+AP36+AP37+AP38+AP39+AP40+AP41+AP42+AP43+AP44+AP46+AP47+AP48+AP49+AP50+AP51+AP52+AP53+AP54+AP55+AP56+AP57+AP58+AP59+AP60+AP61+AP62+AP63</f>
        <v>0</v>
      </c>
      <c r="AQ67" s="735">
        <f>AQ8+AQ26+AQ27+AQ28+AQ29+AQ30+AQ31+AQ32+AQ33+AQ34+AQ47+AQ48+AQ49+AQ50+AQ51+AQ52+AQ53+AQ54+AQ55+AQ56+AQ57+AQ58+AQ59+AQ60+AQ61+AQ62+AQ63</f>
        <v>0</v>
      </c>
      <c r="AR67" s="735">
        <f>AR8+AR26+AR27+AR28+AR29+AR30+AR31+AR32+AR33+AR34+AR46+AR48+AR49+AR50+AR51+AR52+AR53+AR54+AR55+AR56+AR57+AR58+AR59+AR60+AR61+AR62+AR63</f>
        <v>0</v>
      </c>
      <c r="AS67" s="735">
        <f>AS8+AS26+AS27+AS28+AS29+AS30+AS31+AS32+AS33+AS34+AS46+AS47+AS49+AS50+AS51+AS52+AS53+AS54+AS55+AS56+AS57+AS58+AS59+AS60+AS61+AS62+AS63</f>
        <v>0</v>
      </c>
      <c r="AT67" s="735">
        <f>AT8+AT26+AT27+AT28+AT29+AT30+AT31+AT32+AT33+AT34+AT46+AT47+AT48+AT50+AT51+AT52+AT53+AT54+AT55+AT56+AT57+AT58+AT59+AT60+AT61+AT62+AT63</f>
        <v>0</v>
      </c>
      <c r="AU67" s="731">
        <f>AU8+AU26+AU27+AU28+AU29+AU30+AU31+AU32+AU33+AU34+AU46+AU47+AU48+AU49+AU51+AU52+AU53+AU54+AU55+AU56+AU57+AU58+AU59+AU60+AU61+AU62+AU63</f>
        <v>0.74</v>
      </c>
      <c r="AV67" s="735">
        <f>AV8+AV26+AV27+AV28+AV29+AV30+AV31+AV32+AV33+AV34+AV46+AV47+AV48+AV49+AV50+AV52+AV53+AV54+AV55+AV56+AV57+AV58+AV59+AV60+AV61+AV62+AV63</f>
        <v>0</v>
      </c>
      <c r="AW67" s="735">
        <f>AW8+AW26+AW27+AW28+AW29+AW30+AW31+AW32+AW33+AW34+AW46+AW47+AW48+AW49+AW50+AW51+AW53+AW54+AW55+AW56+AW57+AW58+AW59+AW60+AW61+AW62+AW63</f>
        <v>0</v>
      </c>
      <c r="AX67" s="735">
        <f>AX8+AX26+AX27+AX28+AX29+AX30+AX31+AX32+AX33+AX34+AX46+AX47+AX48+AX49+AX50+AX51+AX52+AX54+AX55+AX56+AX57+AX58+AX59+AX60+AX61+AX62+AX63</f>
        <v>0</v>
      </c>
      <c r="AY67" s="735">
        <f>AY8+AY26+AY27+AY28+AY29+AY30+AY31+AY32+AY33+AY34+AY46+AY47+AY48+AY49+AY50+AY51+AY52+AY53+AY55+AY56+AY57+AY58+AY59+AY60+AY61+AY62+AY63</f>
        <v>0</v>
      </c>
      <c r="AZ67" s="735">
        <f>AZ8+AZ26+AZ27+AZ28+AZ29+AZ30+AZ31+AZ32+AZ33+AZ34+AZ46+AZ47+AZ48+AZ49+AZ50+AZ51+AZ52+AZ53+AZ54+AZ56+AZ57+AZ58+AZ59+AZ60+AZ61+AZ62+AZ63</f>
        <v>0</v>
      </c>
      <c r="BA67" s="735">
        <f>BA8+BA26+BA27+BA28+BA29+BA30+BA31+BA32+BA33+BA34+BA46+BA47+BA48+BA49+BA50+BA51+BA52+BA53+BA54+BA55+BA57+BA58+BA59+BA60+BA61+BA62+BA63</f>
        <v>0</v>
      </c>
      <c r="BB67" s="735">
        <f>BB8+BB26+BB27+BB28+BB29+BB30+BB31+BB32+BB33+BB34+BB46+BB47+BB48+BB49+BB50+BB51+BB52+BB53+BB54+BB55+BB56+BB58+BB59+BB60+BB61+BB62+BB63</f>
        <v>0</v>
      </c>
      <c r="BC67" s="735">
        <f>BC8+BC26+BC27+BC28+BC29+BC30+BC31+BC32+BC33+BC34+BC46+BC47+BC48+BC49+BC50+BC51+BC52+BC53+BC54+BC55+BC56+BC57+BC59+BC60+BC61+BC62+BC63</f>
        <v>0</v>
      </c>
      <c r="BD67" s="735">
        <f>BD8+BD26+BD27+BD28+BD29+BD30+BD31+BD32+BD33+BD34+BD46+BD47+BD48+BD49+BD50+BD51+BD52+BD53+BD54+BD55+BD56+BD57+BD58+BD60+BD61+BD62+BD63</f>
        <v>0</v>
      </c>
      <c r="BE67" s="735">
        <f>BE8+BE26+BE27+BE28+BE29+BE30+BE31+BE32+BE33+BE34+BE46+BE47+BE48+BE49+BE50+BE51+BE52+BE53+BE54+BE55+BE56+BE57+BE58+BE59+BE61+BE62+BE63</f>
        <v>0</v>
      </c>
      <c r="BF67" s="735">
        <f>BF8+BF26+BF27+BF28+BF29+BF30+BF31+BF32+BF33+BF34+BF46+BF47+BF48+BF49+BF50+BF51+BF52+BF53+BF54+BF55+BF56+BF57+BF58+BF59+BF60+BF62+BF63</f>
        <v>0</v>
      </c>
      <c r="BG67" s="735">
        <f>BG8+BG26+BG27+BG28+BG29+BG30+BG31+BG32+BG33+BG34+BG46+BG47+BG48+BG49+BG50+BG51+BG52+BG53+BG54+BG55+BG56+BG57+BG58+BG59+BG60+BG61+BG63</f>
        <v>0</v>
      </c>
      <c r="BH67" s="735">
        <f>BH8+BH25</f>
        <v>0</v>
      </c>
      <c r="BI67" s="735">
        <f>BI8+BI25+BI65+BI66</f>
        <v>0</v>
      </c>
      <c r="BJ67" s="735">
        <f>BJ8+BJ25+BJ64+BJ66</f>
        <v>0</v>
      </c>
      <c r="BK67" s="735">
        <f>BK8+BK25+BK64+BK65</f>
        <v>0</v>
      </c>
      <c r="BL67" s="735"/>
      <c r="BM67" s="735"/>
      <c r="BN67" s="735"/>
    </row>
    <row r="68" spans="1:68" s="103" customFormat="1" ht="31.5" customHeight="1">
      <c r="A68" s="18"/>
      <c r="B68" s="149" t="s">
        <v>695</v>
      </c>
      <c r="C68" s="10"/>
      <c r="D68" s="458">
        <f>BN7</f>
        <v>1098.6099999999999</v>
      </c>
      <c r="E68" s="458">
        <f>BN8</f>
        <v>783.12000000000012</v>
      </c>
      <c r="F68" s="458">
        <f>BN9</f>
        <v>309.41000000000008</v>
      </c>
      <c r="G68" s="458">
        <f>BN10</f>
        <v>257.69</v>
      </c>
      <c r="H68" s="458">
        <f>BN11</f>
        <v>181.16</v>
      </c>
      <c r="I68" s="458">
        <f>BN12</f>
        <v>181.18</v>
      </c>
      <c r="J68" s="458">
        <f>BN13</f>
        <v>-0.02</v>
      </c>
      <c r="K68" s="458">
        <f>BN14</f>
        <v>0</v>
      </c>
      <c r="L68" s="458">
        <f>BN15</f>
        <v>0</v>
      </c>
      <c r="M68" s="458">
        <f>BN16</f>
        <v>76.53</v>
      </c>
      <c r="N68" s="458">
        <f>BN17</f>
        <v>51.72</v>
      </c>
      <c r="O68" s="458">
        <f>BN18</f>
        <v>218.14</v>
      </c>
      <c r="P68" s="458">
        <f>BN19</f>
        <v>178.92</v>
      </c>
      <c r="Q68" s="458">
        <f>BN20</f>
        <v>0</v>
      </c>
      <c r="R68" s="458">
        <f>BN21</f>
        <v>39.22</v>
      </c>
      <c r="S68" s="458">
        <f>BN22</f>
        <v>255.57</v>
      </c>
      <c r="T68" s="458">
        <f>BN23</f>
        <v>0</v>
      </c>
      <c r="U68" s="458">
        <f>BN24</f>
        <v>0</v>
      </c>
      <c r="V68" s="458">
        <f>BN25</f>
        <v>285.93999999999994</v>
      </c>
      <c r="W68" s="458">
        <f>BN26</f>
        <v>0.28999999999999998</v>
      </c>
      <c r="X68" s="458">
        <f>BN27</f>
        <v>0.39</v>
      </c>
      <c r="Y68" s="458">
        <f>BN28</f>
        <v>0</v>
      </c>
      <c r="Z68" s="458">
        <f>BN29</f>
        <v>0</v>
      </c>
      <c r="AA68" s="458">
        <f>BN30</f>
        <v>0</v>
      </c>
      <c r="AB68" s="458">
        <f>BN31</f>
        <v>0.36</v>
      </c>
      <c r="AC68" s="458">
        <f>BN32</f>
        <v>4.0599999999999996</v>
      </c>
      <c r="AD68" s="458">
        <f>BN33</f>
        <v>0</v>
      </c>
      <c r="AE68" s="458">
        <f>BN34</f>
        <v>118.79</v>
      </c>
      <c r="AF68" s="458">
        <f>BN35</f>
        <v>0.6</v>
      </c>
      <c r="AG68" s="458">
        <f>BN36</f>
        <v>0.13</v>
      </c>
      <c r="AH68" s="458">
        <f>BN37</f>
        <v>3.5300000000000002</v>
      </c>
      <c r="AI68" s="458">
        <f>BN38</f>
        <v>0.86</v>
      </c>
      <c r="AJ68" s="458">
        <f>BN39</f>
        <v>0</v>
      </c>
      <c r="AK68" s="458">
        <f>BN40</f>
        <v>0</v>
      </c>
      <c r="AL68" s="458">
        <f>BN41</f>
        <v>64.599999999999994</v>
      </c>
      <c r="AM68" s="458">
        <f>BN42</f>
        <v>48.96</v>
      </c>
      <c r="AN68" s="458">
        <f>BN43</f>
        <v>0.01</v>
      </c>
      <c r="AO68" s="458">
        <f>BN44</f>
        <v>0.02</v>
      </c>
      <c r="AP68" s="458">
        <f>BN45</f>
        <v>0.08</v>
      </c>
      <c r="AQ68" s="458">
        <f>BN46</f>
        <v>0</v>
      </c>
      <c r="AR68" s="458">
        <f>BN47</f>
        <v>0</v>
      </c>
      <c r="AS68" s="458">
        <f>BN48</f>
        <v>0</v>
      </c>
      <c r="AT68" s="458">
        <f>BN49</f>
        <v>0</v>
      </c>
      <c r="AU68" s="458">
        <f>BN50</f>
        <v>28.979999999999997</v>
      </c>
      <c r="AV68" s="458">
        <f>BN51</f>
        <v>0.81</v>
      </c>
      <c r="AW68" s="458">
        <f>BN52</f>
        <v>0</v>
      </c>
      <c r="AX68" s="458">
        <f>BN53</f>
        <v>0</v>
      </c>
      <c r="AY68" s="458">
        <f>BN54</f>
        <v>0.14000000000000001</v>
      </c>
      <c r="AZ68" s="458">
        <f>BN55</f>
        <v>35.35</v>
      </c>
      <c r="BA68" s="458">
        <f>BN56</f>
        <v>0.09</v>
      </c>
      <c r="BB68" s="458">
        <f>BN57</f>
        <v>0</v>
      </c>
      <c r="BC68" s="458">
        <f>BN58</f>
        <v>0.22</v>
      </c>
      <c r="BD68" s="458">
        <f>BN59</f>
        <v>0.64</v>
      </c>
      <c r="BE68" s="458">
        <f>BN60</f>
        <v>95.82</v>
      </c>
      <c r="BF68" s="458">
        <f>BN61</f>
        <v>0</v>
      </c>
      <c r="BG68" s="458">
        <f>BN62</f>
        <v>0</v>
      </c>
      <c r="BH68" s="458">
        <f>BN63</f>
        <v>29.55</v>
      </c>
      <c r="BI68" s="458">
        <f>BN64</f>
        <v>29.5</v>
      </c>
      <c r="BJ68" s="458">
        <f>BN65</f>
        <v>0.05</v>
      </c>
      <c r="BK68" s="458">
        <f>BN66</f>
        <v>0</v>
      </c>
      <c r="BL68" s="458"/>
      <c r="BM68" s="458"/>
      <c r="BN68" s="458"/>
    </row>
    <row r="69" spans="1:68" ht="24.95" customHeight="1">
      <c r="AB69">
        <v>125.28</v>
      </c>
      <c r="AT69">
        <v>2.13</v>
      </c>
      <c r="BC69">
        <v>0.12</v>
      </c>
    </row>
    <row r="70" spans="1:68" ht="18" customHeight="1">
      <c r="A70" s="1300" t="s">
        <v>10</v>
      </c>
      <c r="B70" s="1300"/>
      <c r="AB70">
        <f>AB67-AB69</f>
        <v>-125.28</v>
      </c>
      <c r="AT70">
        <f>AT67-AT69</f>
        <v>-2.13</v>
      </c>
      <c r="BC70">
        <f>BC67-BC69</f>
        <v>-0.12</v>
      </c>
    </row>
    <row r="71" spans="1:68" ht="28.5" customHeight="1">
      <c r="A71" s="1300" t="s">
        <v>321</v>
      </c>
      <c r="B71" s="1300"/>
      <c r="C71" s="1300"/>
      <c r="D71" s="1300"/>
      <c r="E71" s="1300"/>
      <c r="F71" s="1300"/>
      <c r="G71" s="1300"/>
      <c r="H71" s="1300"/>
      <c r="I71" s="1300"/>
      <c r="J71" s="1300"/>
      <c r="K71" s="1300"/>
      <c r="L71" s="1300"/>
      <c r="M71" s="1300"/>
      <c r="N71" s="1300"/>
      <c r="O71" s="1300"/>
      <c r="P71" s="1300"/>
      <c r="Q71" s="1300"/>
      <c r="R71" s="1300"/>
      <c r="S71" s="1300"/>
      <c r="T71" s="1300"/>
      <c r="U71" s="1300"/>
      <c r="V71" s="1300"/>
      <c r="W71" s="1300"/>
      <c r="X71" s="1300"/>
      <c r="Y71" s="1300"/>
      <c r="Z71" s="1300"/>
      <c r="AA71" s="1300"/>
      <c r="AB71" s="1300"/>
      <c r="AC71" s="1300"/>
      <c r="AD71" s="1300"/>
      <c r="AE71" s="1300"/>
      <c r="AF71" s="1300"/>
      <c r="AG71" s="1300"/>
      <c r="AH71" s="1300"/>
      <c r="AI71" s="1300"/>
      <c r="AJ71" s="1300"/>
      <c r="AK71" s="1300"/>
      <c r="AL71" s="1300"/>
      <c r="AM71" s="1300"/>
      <c r="AN71" s="1300"/>
      <c r="AO71" s="1300"/>
      <c r="AP71" s="1300"/>
      <c r="AQ71" s="1300"/>
      <c r="AR71" s="1300"/>
      <c r="AS71" s="1300"/>
    </row>
    <row r="72" spans="1:68" ht="24.75" customHeight="1">
      <c r="A72" s="1300" t="s">
        <v>322</v>
      </c>
      <c r="B72" s="1300"/>
      <c r="C72" s="1300"/>
      <c r="D72" s="1300"/>
      <c r="E72" s="1300"/>
      <c r="F72" s="1300"/>
      <c r="G72" s="1300"/>
      <c r="H72" s="1300"/>
      <c r="I72" s="1300"/>
      <c r="J72" s="1300"/>
      <c r="K72" s="1300"/>
      <c r="L72" s="1300"/>
      <c r="M72" s="1300"/>
      <c r="N72" s="1300"/>
      <c r="O72" s="1300"/>
      <c r="P72" s="1300"/>
      <c r="Q72" s="1300"/>
      <c r="R72" s="1300"/>
      <c r="S72" s="1300"/>
      <c r="T72" s="1300"/>
      <c r="U72" s="1300"/>
      <c r="V72" s="1300"/>
      <c r="W72" s="1300"/>
      <c r="X72" s="1300"/>
      <c r="Y72" s="1300"/>
      <c r="Z72" s="1300"/>
      <c r="AA72" s="1300"/>
      <c r="AB72" s="1300"/>
      <c r="AC72" s="1300"/>
      <c r="AD72" s="1300"/>
      <c r="AE72" s="1300"/>
      <c r="AF72" s="1300"/>
      <c r="AG72" s="1300"/>
      <c r="AH72" s="1300"/>
      <c r="AI72" s="1300"/>
      <c r="AJ72" s="1300"/>
      <c r="AK72" s="1300"/>
      <c r="AL72" s="1300"/>
      <c r="AM72" s="1300"/>
      <c r="AN72" s="1300"/>
      <c r="AO72" s="1300"/>
      <c r="AP72" s="1300"/>
      <c r="AQ72" s="1300"/>
      <c r="AR72" s="1300"/>
      <c r="AS72" s="1300"/>
    </row>
    <row r="73" spans="1:68" ht="21.75" customHeight="1">
      <c r="AR73" s="1300" t="s">
        <v>138</v>
      </c>
      <c r="AS73" s="1300"/>
    </row>
    <row r="74" spans="1:68" ht="31.5" customHeight="1">
      <c r="A74" s="1300" t="s">
        <v>0</v>
      </c>
      <c r="B74" s="1300" t="s">
        <v>12</v>
      </c>
      <c r="C74" s="1300" t="s">
        <v>13</v>
      </c>
      <c r="D74" s="1300" t="s">
        <v>324</v>
      </c>
      <c r="E74" s="1300" t="s">
        <v>326</v>
      </c>
      <c r="F74" s="1300"/>
      <c r="G74" s="1300"/>
      <c r="H74" s="1300"/>
      <c r="I74" s="1300"/>
      <c r="J74" s="1300"/>
      <c r="K74" s="1300"/>
      <c r="L74" s="1300"/>
      <c r="M74" s="1300"/>
      <c r="N74" s="1300"/>
      <c r="O74" s="1300"/>
      <c r="P74" s="1300"/>
      <c r="Q74" s="1300"/>
      <c r="R74" s="1300"/>
      <c r="S74" s="1300"/>
      <c r="T74" s="1300"/>
      <c r="U74" s="1300"/>
      <c r="V74" s="1300"/>
      <c r="W74" s="1300"/>
      <c r="X74" s="1300"/>
      <c r="Y74" s="1300"/>
      <c r="Z74" s="1300"/>
      <c r="AA74" s="1300"/>
      <c r="AB74" s="1300"/>
      <c r="AC74" s="1300"/>
      <c r="AD74" s="1300"/>
      <c r="AE74" s="1300"/>
      <c r="AF74" s="1300"/>
      <c r="AG74" s="1300"/>
      <c r="AH74" s="1300"/>
      <c r="AI74" s="1300"/>
      <c r="AJ74" s="1300"/>
      <c r="AK74" s="1300"/>
      <c r="AL74" s="1300"/>
      <c r="AM74" s="1300"/>
      <c r="AN74" s="1300"/>
      <c r="AO74" s="1300"/>
      <c r="AP74" s="1300"/>
      <c r="AQ74" s="1300"/>
      <c r="AR74" s="1300" t="s">
        <v>191</v>
      </c>
      <c r="AS74" s="1300" t="s">
        <v>323</v>
      </c>
    </row>
    <row r="75" spans="1:68" ht="30" customHeight="1">
      <c r="A75" s="1300"/>
      <c r="B75" s="1300"/>
      <c r="C75" s="1300"/>
      <c r="D75" s="1300"/>
      <c r="E75" t="s">
        <v>15</v>
      </c>
      <c r="F75" t="s">
        <v>18</v>
      </c>
      <c r="G75" t="s">
        <v>20</v>
      </c>
      <c r="H75" t="s">
        <v>23</v>
      </c>
      <c r="I75" t="s">
        <v>26</v>
      </c>
      <c r="J75" t="s">
        <v>29</v>
      </c>
      <c r="K75" t="s">
        <v>32</v>
      </c>
      <c r="L75" t="s">
        <v>35</v>
      </c>
      <c r="M75" t="s">
        <v>38</v>
      </c>
      <c r="N75" t="s">
        <v>41</v>
      </c>
      <c r="O75" t="s">
        <v>44</v>
      </c>
      <c r="P75" t="s">
        <v>46</v>
      </c>
      <c r="Q75" t="s">
        <v>49</v>
      </c>
      <c r="R75" t="s">
        <v>52</v>
      </c>
      <c r="S75" t="s">
        <v>55</v>
      </c>
      <c r="T75" t="s">
        <v>58</v>
      </c>
      <c r="U75" t="s">
        <v>61</v>
      </c>
      <c r="V75" t="s">
        <v>64</v>
      </c>
      <c r="W75" t="s">
        <v>67</v>
      </c>
      <c r="X75" t="s">
        <v>70</v>
      </c>
      <c r="Y75" t="s">
        <v>72</v>
      </c>
      <c r="Z75" t="s">
        <v>75</v>
      </c>
      <c r="AA75" t="s">
        <v>78</v>
      </c>
      <c r="AB75" t="s">
        <v>81</v>
      </c>
      <c r="AC75" t="s">
        <v>84</v>
      </c>
      <c r="AD75" t="s">
        <v>87</v>
      </c>
      <c r="AE75" t="s">
        <v>90</v>
      </c>
      <c r="AF75" t="s">
        <v>93</v>
      </c>
      <c r="AG75" t="s">
        <v>96</v>
      </c>
      <c r="AH75" t="s">
        <v>99</v>
      </c>
      <c r="AI75" t="s">
        <v>101</v>
      </c>
      <c r="AJ75" t="s">
        <v>104</v>
      </c>
      <c r="AK75" t="s">
        <v>107</v>
      </c>
      <c r="AL75" t="s">
        <v>110</v>
      </c>
      <c r="AM75" t="s">
        <v>113</v>
      </c>
      <c r="AN75" t="s">
        <v>116</v>
      </c>
      <c r="AO75" t="s">
        <v>119</v>
      </c>
      <c r="AP75" t="s">
        <v>122</v>
      </c>
      <c r="AQ75" t="s">
        <v>124</v>
      </c>
      <c r="AR75" s="1300"/>
      <c r="AS75" s="1300"/>
    </row>
    <row r="76" spans="1:68" ht="27.75" customHeight="1">
      <c r="B76" t="s">
        <v>189</v>
      </c>
      <c r="D76">
        <f>D77+D88+D115</f>
        <v>1098.6099999999999</v>
      </c>
      <c r="E76">
        <f t="shared" ref="E76:AS76" si="34">E77+E88+E115</f>
        <v>783.11999999999989</v>
      </c>
      <c r="F76">
        <f t="shared" si="34"/>
        <v>181.16</v>
      </c>
      <c r="G76">
        <f t="shared" si="34"/>
        <v>0</v>
      </c>
      <c r="H76">
        <f t="shared" si="34"/>
        <v>76.53</v>
      </c>
      <c r="I76">
        <f t="shared" si="34"/>
        <v>51.72</v>
      </c>
      <c r="J76">
        <f>J77+J88+J115</f>
        <v>178.92</v>
      </c>
      <c r="K76">
        <f t="shared" si="34"/>
        <v>0</v>
      </c>
      <c r="L76">
        <f t="shared" si="34"/>
        <v>39.22</v>
      </c>
      <c r="M76">
        <f t="shared" si="34"/>
        <v>255.57</v>
      </c>
      <c r="N76">
        <f t="shared" si="34"/>
        <v>0</v>
      </c>
      <c r="O76">
        <f t="shared" si="34"/>
        <v>0</v>
      </c>
      <c r="P76">
        <f t="shared" si="34"/>
        <v>285.93999999999988</v>
      </c>
      <c r="Q76">
        <f t="shared" si="34"/>
        <v>0.28999999999999998</v>
      </c>
      <c r="R76">
        <f t="shared" si="34"/>
        <v>0.39</v>
      </c>
      <c r="S76">
        <f t="shared" si="34"/>
        <v>0</v>
      </c>
      <c r="T76">
        <f t="shared" si="34"/>
        <v>0</v>
      </c>
      <c r="U76">
        <f t="shared" si="34"/>
        <v>0</v>
      </c>
      <c r="V76">
        <f t="shared" si="34"/>
        <v>0.36</v>
      </c>
      <c r="W76">
        <f t="shared" si="34"/>
        <v>4.0599999999999996</v>
      </c>
      <c r="X76">
        <f t="shared" si="34"/>
        <v>0</v>
      </c>
      <c r="Y76">
        <f t="shared" si="34"/>
        <v>118.78999999999998</v>
      </c>
      <c r="Z76">
        <f t="shared" si="34"/>
        <v>0</v>
      </c>
      <c r="AA76">
        <f t="shared" si="34"/>
        <v>0</v>
      </c>
      <c r="AB76">
        <f t="shared" si="34"/>
        <v>0</v>
      </c>
      <c r="AC76">
        <f t="shared" si="34"/>
        <v>0</v>
      </c>
      <c r="AD76">
        <f t="shared" si="34"/>
        <v>28.979999999999997</v>
      </c>
      <c r="AE76">
        <f t="shared" si="34"/>
        <v>0.81</v>
      </c>
      <c r="AF76">
        <f t="shared" si="34"/>
        <v>0</v>
      </c>
      <c r="AG76">
        <f t="shared" si="34"/>
        <v>0</v>
      </c>
      <c r="AH76">
        <f t="shared" si="34"/>
        <v>0.14000000000000001</v>
      </c>
      <c r="AI76">
        <f t="shared" si="34"/>
        <v>35.35</v>
      </c>
      <c r="AJ76">
        <f t="shared" si="34"/>
        <v>0.09</v>
      </c>
      <c r="AK76">
        <f t="shared" si="34"/>
        <v>0</v>
      </c>
      <c r="AL76">
        <f t="shared" si="34"/>
        <v>0.22</v>
      </c>
      <c r="AM76">
        <f t="shared" si="34"/>
        <v>0.64</v>
      </c>
      <c r="AN76">
        <f t="shared" si="34"/>
        <v>95.82</v>
      </c>
      <c r="AO76">
        <f t="shared" si="34"/>
        <v>0</v>
      </c>
      <c r="AP76">
        <f t="shared" si="34"/>
        <v>0</v>
      </c>
      <c r="AQ76">
        <f t="shared" si="34"/>
        <v>1.32</v>
      </c>
      <c r="AS76">
        <f t="shared" si="34"/>
        <v>1098.6099999999999</v>
      </c>
    </row>
    <row r="77" spans="1:68" ht="20.25" customHeight="1">
      <c r="A77">
        <v>1</v>
      </c>
      <c r="B77" t="s">
        <v>14</v>
      </c>
      <c r="C77" t="s">
        <v>15</v>
      </c>
      <c r="D77">
        <f>D78+D80+D81+D82+D83+D84+D85+D86+D87</f>
        <v>783.6400000000001</v>
      </c>
      <c r="E77">
        <f t="shared" ref="E77:AS77" si="35">E78+E80+E81+E82+E83+E84+E85+E86+E87</f>
        <v>783.11999999999989</v>
      </c>
      <c r="F77">
        <f t="shared" si="35"/>
        <v>181.16</v>
      </c>
      <c r="G77">
        <f t="shared" si="35"/>
        <v>0</v>
      </c>
      <c r="H77">
        <f t="shared" si="35"/>
        <v>76.53</v>
      </c>
      <c r="I77">
        <f t="shared" si="35"/>
        <v>51.72</v>
      </c>
      <c r="J77">
        <f t="shared" si="35"/>
        <v>178.92</v>
      </c>
      <c r="K77">
        <f t="shared" si="35"/>
        <v>0</v>
      </c>
      <c r="L77">
        <f t="shared" si="35"/>
        <v>39.22</v>
      </c>
      <c r="M77">
        <f t="shared" si="35"/>
        <v>255.57</v>
      </c>
      <c r="N77">
        <f t="shared" si="35"/>
        <v>0</v>
      </c>
      <c r="O77">
        <f t="shared" si="35"/>
        <v>0</v>
      </c>
      <c r="P77">
        <f>P78+P80+P81+P82+P83+P84+P85+P86+P87</f>
        <v>0.52</v>
      </c>
      <c r="Q77">
        <f t="shared" si="35"/>
        <v>0</v>
      </c>
      <c r="R77">
        <f t="shared" si="35"/>
        <v>0</v>
      </c>
      <c r="S77">
        <f t="shared" si="35"/>
        <v>0</v>
      </c>
      <c r="T77">
        <f t="shared" si="35"/>
        <v>0</v>
      </c>
      <c r="U77">
        <f t="shared" si="35"/>
        <v>0</v>
      </c>
      <c r="V77">
        <f t="shared" si="35"/>
        <v>0</v>
      </c>
      <c r="W77">
        <f t="shared" si="35"/>
        <v>0</v>
      </c>
      <c r="X77">
        <f t="shared" si="35"/>
        <v>0</v>
      </c>
      <c r="Y77">
        <f t="shared" si="35"/>
        <v>0.02</v>
      </c>
      <c r="Z77">
        <f t="shared" si="35"/>
        <v>0</v>
      </c>
      <c r="AA77">
        <f t="shared" si="35"/>
        <v>0</v>
      </c>
      <c r="AB77">
        <f t="shared" si="35"/>
        <v>0</v>
      </c>
      <c r="AC77">
        <f t="shared" si="35"/>
        <v>0</v>
      </c>
      <c r="AD77">
        <f t="shared" si="35"/>
        <v>0.5</v>
      </c>
      <c r="AE77">
        <f t="shared" si="35"/>
        <v>0</v>
      </c>
      <c r="AF77">
        <f t="shared" si="35"/>
        <v>0</v>
      </c>
      <c r="AG77">
        <f t="shared" si="35"/>
        <v>0</v>
      </c>
      <c r="AH77">
        <f t="shared" si="35"/>
        <v>0</v>
      </c>
      <c r="AI77">
        <f t="shared" si="35"/>
        <v>0</v>
      </c>
      <c r="AJ77">
        <f t="shared" si="35"/>
        <v>0</v>
      </c>
      <c r="AK77">
        <f t="shared" si="35"/>
        <v>0</v>
      </c>
      <c r="AL77">
        <f t="shared" si="35"/>
        <v>0</v>
      </c>
      <c r="AM77">
        <f t="shared" si="35"/>
        <v>0</v>
      </c>
      <c r="AN77">
        <f t="shared" si="35"/>
        <v>0</v>
      </c>
      <c r="AO77">
        <f t="shared" si="35"/>
        <v>0</v>
      </c>
      <c r="AP77">
        <f t="shared" si="35"/>
        <v>0</v>
      </c>
      <c r="AQ77">
        <f t="shared" si="35"/>
        <v>0</v>
      </c>
      <c r="AR77">
        <f>P77</f>
        <v>0.52</v>
      </c>
      <c r="AS77">
        <f t="shared" si="35"/>
        <v>783.11999999999989</v>
      </c>
    </row>
    <row r="78" spans="1:68" ht="20.25" customHeight="1">
      <c r="A78" t="s">
        <v>16</v>
      </c>
      <c r="B78" t="s">
        <v>17</v>
      </c>
      <c r="C78" t="s">
        <v>18</v>
      </c>
      <c r="D78">
        <f>D11</f>
        <v>181.18</v>
      </c>
      <c r="E78">
        <f>F78+H78+I78+J78+K78+L78+M78+N78+O78</f>
        <v>181.16</v>
      </c>
      <c r="F78">
        <f>D78-AR78</f>
        <v>181.16</v>
      </c>
      <c r="G78">
        <f>I13</f>
        <v>0</v>
      </c>
      <c r="H78">
        <f>M11</f>
        <v>0</v>
      </c>
      <c r="I78">
        <f>N11</f>
        <v>0</v>
      </c>
      <c r="J78">
        <f t="shared" ref="J78:O79" si="36">P11</f>
        <v>0</v>
      </c>
      <c r="K78">
        <f t="shared" si="36"/>
        <v>0</v>
      </c>
      <c r="L78">
        <f t="shared" si="36"/>
        <v>0</v>
      </c>
      <c r="M78">
        <f t="shared" si="36"/>
        <v>0</v>
      </c>
      <c r="N78">
        <f t="shared" si="36"/>
        <v>0</v>
      </c>
      <c r="O78">
        <f t="shared" si="36"/>
        <v>0</v>
      </c>
      <c r="P78">
        <f>SUM(Q78:AP78)</f>
        <v>0.02</v>
      </c>
      <c r="Q78">
        <f t="shared" ref="Q78:Y79" si="37">W11</f>
        <v>0</v>
      </c>
      <c r="R78">
        <f t="shared" si="37"/>
        <v>0</v>
      </c>
      <c r="S78">
        <f t="shared" si="37"/>
        <v>0</v>
      </c>
      <c r="T78">
        <f t="shared" si="37"/>
        <v>0</v>
      </c>
      <c r="U78">
        <f t="shared" si="37"/>
        <v>0</v>
      </c>
      <c r="V78">
        <f t="shared" si="37"/>
        <v>0</v>
      </c>
      <c r="W78">
        <f t="shared" si="37"/>
        <v>0</v>
      </c>
      <c r="X78">
        <f t="shared" si="37"/>
        <v>0</v>
      </c>
      <c r="Y78">
        <f t="shared" si="37"/>
        <v>0.02</v>
      </c>
      <c r="Z78">
        <f>AQ11</f>
        <v>0</v>
      </c>
      <c r="AA78">
        <f t="shared" ref="AA78:AQ79" si="38">AR11</f>
        <v>0</v>
      </c>
      <c r="AB78">
        <f t="shared" si="38"/>
        <v>0</v>
      </c>
      <c r="AC78">
        <f t="shared" si="38"/>
        <v>0</v>
      </c>
      <c r="AD78">
        <f t="shared" si="38"/>
        <v>0</v>
      </c>
      <c r="AE78">
        <f t="shared" si="38"/>
        <v>0</v>
      </c>
      <c r="AF78">
        <f t="shared" si="38"/>
        <v>0</v>
      </c>
      <c r="AG78">
        <f t="shared" si="38"/>
        <v>0</v>
      </c>
      <c r="AH78">
        <f t="shared" si="38"/>
        <v>0</v>
      </c>
      <c r="AI78">
        <f t="shared" si="38"/>
        <v>0</v>
      </c>
      <c r="AJ78">
        <f t="shared" si="38"/>
        <v>0</v>
      </c>
      <c r="AK78">
        <f t="shared" si="38"/>
        <v>0</v>
      </c>
      <c r="AL78">
        <f t="shared" si="38"/>
        <v>0</v>
      </c>
      <c r="AM78">
        <f t="shared" si="38"/>
        <v>0</v>
      </c>
      <c r="AN78">
        <f t="shared" si="38"/>
        <v>0</v>
      </c>
      <c r="AO78">
        <f t="shared" si="38"/>
        <v>0</v>
      </c>
      <c r="AP78">
        <f t="shared" si="38"/>
        <v>0</v>
      </c>
      <c r="AQ78">
        <f t="shared" si="38"/>
        <v>0</v>
      </c>
      <c r="AR78">
        <f>H78+I78+J78+K78+L78+M78+N78+O78+P78+AQ78</f>
        <v>0.02</v>
      </c>
      <c r="AS78">
        <f>D78+F116-AR78</f>
        <v>181.16</v>
      </c>
    </row>
    <row r="79" spans="1:68" ht="20.25" customHeight="1">
      <c r="B79" t="s">
        <v>19</v>
      </c>
      <c r="C79" t="s">
        <v>20</v>
      </c>
      <c r="D79">
        <f>D12</f>
        <v>181.18</v>
      </c>
      <c r="E79">
        <f t="shared" ref="E79:E114" si="39">F79+H79+I79+J79+K79+L79+M79+N79+O79</f>
        <v>0</v>
      </c>
      <c r="G79">
        <f>D79-AR79</f>
        <v>181.18</v>
      </c>
      <c r="H79">
        <f>M12</f>
        <v>0</v>
      </c>
      <c r="I79">
        <f>N12</f>
        <v>0</v>
      </c>
      <c r="J79">
        <f t="shared" si="36"/>
        <v>0</v>
      </c>
      <c r="K79">
        <f t="shared" si="36"/>
        <v>0</v>
      </c>
      <c r="L79">
        <f t="shared" si="36"/>
        <v>0</v>
      </c>
      <c r="M79">
        <f t="shared" si="36"/>
        <v>0</v>
      </c>
      <c r="N79">
        <f t="shared" si="36"/>
        <v>0</v>
      </c>
      <c r="O79">
        <f t="shared" si="36"/>
        <v>0</v>
      </c>
      <c r="P79">
        <f t="shared" ref="P79:P87" si="40">SUM(Q79:AP79)</f>
        <v>0</v>
      </c>
      <c r="Q79">
        <f t="shared" si="37"/>
        <v>0</v>
      </c>
      <c r="R79">
        <f t="shared" si="37"/>
        <v>0</v>
      </c>
      <c r="S79">
        <f t="shared" si="37"/>
        <v>0</v>
      </c>
      <c r="T79">
        <f t="shared" si="37"/>
        <v>0</v>
      </c>
      <c r="U79">
        <f t="shared" si="37"/>
        <v>0</v>
      </c>
      <c r="V79">
        <f t="shared" si="37"/>
        <v>0</v>
      </c>
      <c r="W79">
        <f t="shared" si="37"/>
        <v>0</v>
      </c>
      <c r="X79">
        <f t="shared" si="37"/>
        <v>0</v>
      </c>
      <c r="Y79">
        <f t="shared" si="37"/>
        <v>0</v>
      </c>
      <c r="Z79">
        <f>AQ12</f>
        <v>0</v>
      </c>
      <c r="AA79">
        <f t="shared" si="38"/>
        <v>0</v>
      </c>
      <c r="AB79">
        <f t="shared" si="38"/>
        <v>0</v>
      </c>
      <c r="AC79">
        <f t="shared" si="38"/>
        <v>0</v>
      </c>
      <c r="AD79">
        <f t="shared" si="38"/>
        <v>0</v>
      </c>
      <c r="AE79">
        <f t="shared" si="38"/>
        <v>0</v>
      </c>
      <c r="AF79">
        <f t="shared" si="38"/>
        <v>0</v>
      </c>
      <c r="AG79">
        <f t="shared" si="38"/>
        <v>0</v>
      </c>
      <c r="AH79">
        <f t="shared" si="38"/>
        <v>0</v>
      </c>
      <c r="AI79">
        <f t="shared" si="38"/>
        <v>0</v>
      </c>
      <c r="AJ79">
        <f t="shared" si="38"/>
        <v>0</v>
      </c>
      <c r="AK79">
        <f t="shared" si="38"/>
        <v>0</v>
      </c>
      <c r="AL79">
        <f t="shared" si="38"/>
        <v>0</v>
      </c>
      <c r="AM79">
        <f t="shared" si="38"/>
        <v>0</v>
      </c>
      <c r="AN79">
        <f t="shared" si="38"/>
        <v>0</v>
      </c>
      <c r="AO79">
        <f t="shared" si="38"/>
        <v>0</v>
      </c>
      <c r="AP79">
        <f t="shared" si="38"/>
        <v>0</v>
      </c>
      <c r="AQ79">
        <f t="shared" si="38"/>
        <v>0</v>
      </c>
      <c r="AR79">
        <f>F79+H79+I79+J79+K79+L79+M79+N79+O79+P79</f>
        <v>0</v>
      </c>
      <c r="AS79">
        <f>D79+G116-AR79</f>
        <v>181.18</v>
      </c>
    </row>
    <row r="80" spans="1:68" ht="20.25" customHeight="1">
      <c r="A80" t="s">
        <v>21</v>
      </c>
      <c r="B80" t="s">
        <v>22</v>
      </c>
      <c r="C80" t="s">
        <v>23</v>
      </c>
      <c r="D80">
        <f>D16</f>
        <v>76.53</v>
      </c>
      <c r="E80">
        <f t="shared" si="39"/>
        <v>76.53</v>
      </c>
      <c r="F80">
        <f>H16</f>
        <v>0</v>
      </c>
      <c r="G80">
        <f>I16</f>
        <v>0</v>
      </c>
      <c r="H80">
        <f>D80-AR80</f>
        <v>76.53</v>
      </c>
      <c r="I80">
        <f>N16</f>
        <v>0</v>
      </c>
      <c r="J80">
        <f t="shared" ref="J80:O81" si="41">P16</f>
        <v>0</v>
      </c>
      <c r="K80">
        <f t="shared" si="41"/>
        <v>0</v>
      </c>
      <c r="L80">
        <f t="shared" si="41"/>
        <v>0</v>
      </c>
      <c r="M80">
        <f t="shared" si="41"/>
        <v>0</v>
      </c>
      <c r="N80">
        <f t="shared" si="41"/>
        <v>0</v>
      </c>
      <c r="O80">
        <f t="shared" si="41"/>
        <v>0</v>
      </c>
      <c r="P80">
        <f t="shared" si="40"/>
        <v>0</v>
      </c>
      <c r="Q80">
        <f t="shared" ref="Q80:Y81" si="42">W16</f>
        <v>0</v>
      </c>
      <c r="R80">
        <f t="shared" si="42"/>
        <v>0</v>
      </c>
      <c r="S80">
        <f t="shared" si="42"/>
        <v>0</v>
      </c>
      <c r="T80">
        <f t="shared" si="42"/>
        <v>0</v>
      </c>
      <c r="U80">
        <f t="shared" si="42"/>
        <v>0</v>
      </c>
      <c r="V80">
        <f t="shared" si="42"/>
        <v>0</v>
      </c>
      <c r="W80">
        <f t="shared" si="42"/>
        <v>0</v>
      </c>
      <c r="X80">
        <f t="shared" si="42"/>
        <v>0</v>
      </c>
      <c r="Y80">
        <f t="shared" si="42"/>
        <v>0</v>
      </c>
      <c r="Z80">
        <f>AQ16</f>
        <v>0</v>
      </c>
      <c r="AA80">
        <f t="shared" ref="AA80:AQ81" si="43">AR16</f>
        <v>0</v>
      </c>
      <c r="AB80">
        <f t="shared" si="43"/>
        <v>0</v>
      </c>
      <c r="AC80">
        <f t="shared" si="43"/>
        <v>0</v>
      </c>
      <c r="AD80">
        <f t="shared" si="43"/>
        <v>0</v>
      </c>
      <c r="AE80">
        <f t="shared" si="43"/>
        <v>0</v>
      </c>
      <c r="AF80">
        <f t="shared" si="43"/>
        <v>0</v>
      </c>
      <c r="AG80">
        <f t="shared" si="43"/>
        <v>0</v>
      </c>
      <c r="AH80">
        <f t="shared" si="43"/>
        <v>0</v>
      </c>
      <c r="AI80">
        <f t="shared" si="43"/>
        <v>0</v>
      </c>
      <c r="AJ80">
        <f t="shared" si="43"/>
        <v>0</v>
      </c>
      <c r="AK80">
        <f t="shared" si="43"/>
        <v>0</v>
      </c>
      <c r="AL80">
        <f t="shared" si="43"/>
        <v>0</v>
      </c>
      <c r="AM80">
        <f t="shared" si="43"/>
        <v>0</v>
      </c>
      <c r="AN80">
        <f t="shared" si="43"/>
        <v>0</v>
      </c>
      <c r="AO80">
        <f t="shared" si="43"/>
        <v>0</v>
      </c>
      <c r="AP80">
        <f t="shared" si="43"/>
        <v>0</v>
      </c>
      <c r="AQ80">
        <f t="shared" si="43"/>
        <v>0</v>
      </c>
      <c r="AR80">
        <f>F80+I80+J80+K80+L80+M80+N80+O80+P80</f>
        <v>0</v>
      </c>
      <c r="AS80">
        <f>D80+H116-AR80</f>
        <v>76.53</v>
      </c>
    </row>
    <row r="81" spans="1:45" ht="20.25" customHeight="1">
      <c r="A81" t="s">
        <v>24</v>
      </c>
      <c r="B81" t="s">
        <v>25</v>
      </c>
      <c r="C81" t="s">
        <v>26</v>
      </c>
      <c r="D81">
        <f>D17</f>
        <v>52.22</v>
      </c>
      <c r="E81">
        <f t="shared" si="39"/>
        <v>51.72</v>
      </c>
      <c r="F81">
        <f>H17</f>
        <v>0</v>
      </c>
      <c r="G81">
        <f>I17</f>
        <v>0</v>
      </c>
      <c r="H81">
        <f>M17</f>
        <v>0</v>
      </c>
      <c r="I81">
        <f>D81-AR81</f>
        <v>51.72</v>
      </c>
      <c r="J81">
        <f t="shared" si="41"/>
        <v>0</v>
      </c>
      <c r="K81">
        <f t="shared" si="41"/>
        <v>0</v>
      </c>
      <c r="L81">
        <f t="shared" si="41"/>
        <v>0</v>
      </c>
      <c r="M81">
        <f t="shared" si="41"/>
        <v>0</v>
      </c>
      <c r="N81">
        <f t="shared" si="41"/>
        <v>0</v>
      </c>
      <c r="O81">
        <f t="shared" si="41"/>
        <v>0</v>
      </c>
      <c r="P81">
        <f t="shared" si="40"/>
        <v>0.5</v>
      </c>
      <c r="Q81">
        <f t="shared" si="42"/>
        <v>0</v>
      </c>
      <c r="R81">
        <f t="shared" si="42"/>
        <v>0</v>
      </c>
      <c r="S81">
        <f t="shared" si="42"/>
        <v>0</v>
      </c>
      <c r="T81">
        <f t="shared" si="42"/>
        <v>0</v>
      </c>
      <c r="U81">
        <f t="shared" si="42"/>
        <v>0</v>
      </c>
      <c r="V81">
        <f t="shared" si="42"/>
        <v>0</v>
      </c>
      <c r="W81">
        <f t="shared" si="42"/>
        <v>0</v>
      </c>
      <c r="X81">
        <f t="shared" si="42"/>
        <v>0</v>
      </c>
      <c r="Y81">
        <f t="shared" si="42"/>
        <v>0</v>
      </c>
      <c r="Z81">
        <f>AQ17</f>
        <v>0</v>
      </c>
      <c r="AA81">
        <f t="shared" si="43"/>
        <v>0</v>
      </c>
      <c r="AB81">
        <f t="shared" si="43"/>
        <v>0</v>
      </c>
      <c r="AC81">
        <f t="shared" si="43"/>
        <v>0</v>
      </c>
      <c r="AD81">
        <f t="shared" si="43"/>
        <v>0.5</v>
      </c>
      <c r="AE81">
        <f t="shared" si="43"/>
        <v>0</v>
      </c>
      <c r="AF81">
        <f t="shared" si="43"/>
        <v>0</v>
      </c>
      <c r="AG81">
        <f t="shared" si="43"/>
        <v>0</v>
      </c>
      <c r="AH81">
        <f t="shared" si="43"/>
        <v>0</v>
      </c>
      <c r="AI81">
        <f t="shared" si="43"/>
        <v>0</v>
      </c>
      <c r="AJ81">
        <f t="shared" si="43"/>
        <v>0</v>
      </c>
      <c r="AK81">
        <f t="shared" si="43"/>
        <v>0</v>
      </c>
      <c r="AL81">
        <f t="shared" si="43"/>
        <v>0</v>
      </c>
      <c r="AM81">
        <f t="shared" si="43"/>
        <v>0</v>
      </c>
      <c r="AN81">
        <f t="shared" si="43"/>
        <v>0</v>
      </c>
      <c r="AO81">
        <f t="shared" si="43"/>
        <v>0</v>
      </c>
      <c r="AP81">
        <f t="shared" si="43"/>
        <v>0</v>
      </c>
      <c r="AQ81">
        <f t="shared" si="43"/>
        <v>0</v>
      </c>
      <c r="AR81">
        <f>F81+H81+J81+K81+L81+M81+N81+O81+P81</f>
        <v>0.5</v>
      </c>
      <c r="AS81">
        <f>D81+I116-AR81</f>
        <v>51.72</v>
      </c>
    </row>
    <row r="82" spans="1:45" ht="20.25" customHeight="1">
      <c r="A82" t="s">
        <v>27</v>
      </c>
      <c r="B82" t="s">
        <v>28</v>
      </c>
      <c r="C82" t="s">
        <v>29</v>
      </c>
      <c r="D82">
        <f t="shared" ref="D82:D87" si="44">D19</f>
        <v>178.92</v>
      </c>
      <c r="E82">
        <f t="shared" si="39"/>
        <v>178.92</v>
      </c>
      <c r="F82">
        <f>H20</f>
        <v>0</v>
      </c>
      <c r="G82">
        <f>I20</f>
        <v>0</v>
      </c>
      <c r="H82">
        <f>M20</f>
        <v>0</v>
      </c>
      <c r="I82">
        <f>N20</f>
        <v>0</v>
      </c>
      <c r="J82">
        <f>D82-AR82</f>
        <v>178.92</v>
      </c>
      <c r="K82">
        <f>Q19</f>
        <v>0</v>
      </c>
      <c r="L82">
        <f>R19</f>
        <v>0</v>
      </c>
      <c r="M82">
        <f t="shared" ref="M82:O83" si="45">S20</f>
        <v>0</v>
      </c>
      <c r="N82">
        <f t="shared" si="45"/>
        <v>0</v>
      </c>
      <c r="O82">
        <f t="shared" si="45"/>
        <v>0</v>
      </c>
      <c r="P82">
        <f t="shared" si="40"/>
        <v>0</v>
      </c>
      <c r="Q82">
        <f>W20</f>
        <v>0</v>
      </c>
      <c r="R82">
        <f>X20</f>
        <v>0</v>
      </c>
      <c r="S82">
        <f>Z20</f>
        <v>0</v>
      </c>
      <c r="T82">
        <f t="shared" ref="T82:Y83" si="46">Z20</f>
        <v>0</v>
      </c>
      <c r="U82">
        <f t="shared" si="46"/>
        <v>0</v>
      </c>
      <c r="V82">
        <f t="shared" si="46"/>
        <v>0</v>
      </c>
      <c r="W82">
        <f t="shared" si="46"/>
        <v>0</v>
      </c>
      <c r="X82">
        <f t="shared" si="46"/>
        <v>0</v>
      </c>
      <c r="Y82">
        <f t="shared" si="46"/>
        <v>0</v>
      </c>
      <c r="Z82">
        <f>AQ20</f>
        <v>0</v>
      </c>
      <c r="AA82">
        <f t="shared" ref="AA82:AQ83" si="47">AR20</f>
        <v>0</v>
      </c>
      <c r="AB82">
        <f t="shared" si="47"/>
        <v>0</v>
      </c>
      <c r="AC82">
        <f t="shared" si="47"/>
        <v>0</v>
      </c>
      <c r="AD82">
        <f t="shared" si="47"/>
        <v>0</v>
      </c>
      <c r="AE82">
        <f t="shared" si="47"/>
        <v>0</v>
      </c>
      <c r="AF82">
        <f t="shared" si="47"/>
        <v>0</v>
      </c>
      <c r="AG82">
        <f t="shared" si="47"/>
        <v>0</v>
      </c>
      <c r="AH82">
        <f t="shared" si="47"/>
        <v>0</v>
      </c>
      <c r="AI82">
        <f t="shared" si="47"/>
        <v>0</v>
      </c>
      <c r="AJ82">
        <f t="shared" si="47"/>
        <v>0</v>
      </c>
      <c r="AK82">
        <f t="shared" si="47"/>
        <v>0</v>
      </c>
      <c r="AL82">
        <f t="shared" si="47"/>
        <v>0</v>
      </c>
      <c r="AM82">
        <f t="shared" si="47"/>
        <v>0</v>
      </c>
      <c r="AN82">
        <f t="shared" si="47"/>
        <v>0</v>
      </c>
      <c r="AO82">
        <f t="shared" si="47"/>
        <v>0</v>
      </c>
      <c r="AP82">
        <f t="shared" si="47"/>
        <v>0</v>
      </c>
      <c r="AQ82">
        <f t="shared" si="47"/>
        <v>0</v>
      </c>
      <c r="AR82">
        <f>F82+H82+I82+K82+L82+M82+N82+O82+P82</f>
        <v>0</v>
      </c>
      <c r="AS82">
        <f>D82+J116-AR82</f>
        <v>178.92</v>
      </c>
    </row>
    <row r="83" spans="1:45" ht="20.25" customHeight="1">
      <c r="A83" t="s">
        <v>30</v>
      </c>
      <c r="B83" t="s">
        <v>31</v>
      </c>
      <c r="C83" t="s">
        <v>32</v>
      </c>
      <c r="D83">
        <f t="shared" si="44"/>
        <v>0</v>
      </c>
      <c r="E83">
        <f t="shared" si="39"/>
        <v>0</v>
      </c>
      <c r="F83">
        <f>H21</f>
        <v>0</v>
      </c>
      <c r="G83">
        <f>I21</f>
        <v>0</v>
      </c>
      <c r="H83">
        <f>M21</f>
        <v>0</v>
      </c>
      <c r="I83">
        <f>N21</f>
        <v>0</v>
      </c>
      <c r="J83">
        <f>P20</f>
        <v>0</v>
      </c>
      <c r="K83">
        <f>D83-AR83</f>
        <v>0</v>
      </c>
      <c r="L83">
        <f>R20</f>
        <v>0</v>
      </c>
      <c r="M83">
        <f t="shared" si="45"/>
        <v>0</v>
      </c>
      <c r="N83">
        <f t="shared" si="45"/>
        <v>0</v>
      </c>
      <c r="O83">
        <f t="shared" si="45"/>
        <v>0</v>
      </c>
      <c r="P83">
        <f t="shared" si="40"/>
        <v>0</v>
      </c>
      <c r="Q83">
        <f>W21</f>
        <v>0</v>
      </c>
      <c r="R83">
        <f>X21</f>
        <v>0</v>
      </c>
      <c r="S83">
        <f>Z21</f>
        <v>0</v>
      </c>
      <c r="T83">
        <f t="shared" si="46"/>
        <v>0</v>
      </c>
      <c r="U83">
        <f t="shared" si="46"/>
        <v>0</v>
      </c>
      <c r="V83">
        <f t="shared" si="46"/>
        <v>0</v>
      </c>
      <c r="W83">
        <f t="shared" si="46"/>
        <v>0</v>
      </c>
      <c r="X83">
        <f t="shared" si="46"/>
        <v>0</v>
      </c>
      <c r="Y83">
        <f t="shared" si="46"/>
        <v>0</v>
      </c>
      <c r="Z83">
        <f>AQ21</f>
        <v>0</v>
      </c>
      <c r="AA83">
        <f t="shared" si="47"/>
        <v>0</v>
      </c>
      <c r="AB83">
        <f t="shared" si="47"/>
        <v>0</v>
      </c>
      <c r="AC83">
        <f t="shared" si="47"/>
        <v>0</v>
      </c>
      <c r="AD83">
        <f t="shared" si="47"/>
        <v>0</v>
      </c>
      <c r="AE83">
        <f t="shared" si="47"/>
        <v>0</v>
      </c>
      <c r="AF83">
        <f t="shared" si="47"/>
        <v>0</v>
      </c>
      <c r="AG83">
        <f t="shared" si="47"/>
        <v>0</v>
      </c>
      <c r="AH83">
        <f t="shared" si="47"/>
        <v>0</v>
      </c>
      <c r="AI83">
        <f t="shared" si="47"/>
        <v>0</v>
      </c>
      <c r="AJ83">
        <f t="shared" si="47"/>
        <v>0</v>
      </c>
      <c r="AK83">
        <f t="shared" si="47"/>
        <v>0</v>
      </c>
      <c r="AL83">
        <f t="shared" si="47"/>
        <v>0</v>
      </c>
      <c r="AM83">
        <f t="shared" si="47"/>
        <v>0</v>
      </c>
      <c r="AN83">
        <f t="shared" si="47"/>
        <v>0</v>
      </c>
      <c r="AO83">
        <f t="shared" si="47"/>
        <v>0</v>
      </c>
      <c r="AP83">
        <f t="shared" si="47"/>
        <v>0</v>
      </c>
      <c r="AQ83">
        <f t="shared" si="47"/>
        <v>0</v>
      </c>
      <c r="AR83">
        <f>F83+H83+I83+J83+L83+M83+N83+O83+P83</f>
        <v>0</v>
      </c>
      <c r="AS83">
        <f>D83+K116-AR83</f>
        <v>0</v>
      </c>
    </row>
    <row r="84" spans="1:45" ht="20.25" customHeight="1">
      <c r="A84" t="s">
        <v>33</v>
      </c>
      <c r="B84" t="s">
        <v>34</v>
      </c>
      <c r="C84" t="s">
        <v>35</v>
      </c>
      <c r="D84">
        <f t="shared" si="44"/>
        <v>39.22</v>
      </c>
      <c r="E84">
        <f t="shared" si="39"/>
        <v>39.22</v>
      </c>
      <c r="F84">
        <f>H19</f>
        <v>0</v>
      </c>
      <c r="G84">
        <f>I19</f>
        <v>0</v>
      </c>
      <c r="H84">
        <f>M19</f>
        <v>0</v>
      </c>
      <c r="I84">
        <f>N19</f>
        <v>0</v>
      </c>
      <c r="J84">
        <f>P21</f>
        <v>0</v>
      </c>
      <c r="K84">
        <f>Q21</f>
        <v>0</v>
      </c>
      <c r="L84">
        <f>D84-AR84</f>
        <v>39.22</v>
      </c>
      <c r="M84">
        <f>S19</f>
        <v>0</v>
      </c>
      <c r="N84">
        <f>T19</f>
        <v>0</v>
      </c>
      <c r="O84">
        <f>U19</f>
        <v>0</v>
      </c>
      <c r="P84">
        <f t="shared" si="40"/>
        <v>0</v>
      </c>
      <c r="Q84">
        <f t="shared" ref="Q84:Y84" si="48">W19</f>
        <v>0</v>
      </c>
      <c r="R84">
        <f t="shared" si="48"/>
        <v>0</v>
      </c>
      <c r="S84">
        <f t="shared" si="48"/>
        <v>0</v>
      </c>
      <c r="T84">
        <f t="shared" si="48"/>
        <v>0</v>
      </c>
      <c r="U84">
        <f t="shared" si="48"/>
        <v>0</v>
      </c>
      <c r="V84">
        <f t="shared" si="48"/>
        <v>0</v>
      </c>
      <c r="W84">
        <f t="shared" si="48"/>
        <v>0</v>
      </c>
      <c r="X84">
        <f t="shared" si="48"/>
        <v>0</v>
      </c>
      <c r="Y84">
        <f t="shared" si="48"/>
        <v>0</v>
      </c>
      <c r="Z84">
        <f>AQ19</f>
        <v>0</v>
      </c>
      <c r="AA84">
        <f t="shared" ref="AA84:AQ84" si="49">AR19</f>
        <v>0</v>
      </c>
      <c r="AB84">
        <f t="shared" si="49"/>
        <v>0</v>
      </c>
      <c r="AC84">
        <f t="shared" si="49"/>
        <v>0</v>
      </c>
      <c r="AD84">
        <f t="shared" si="49"/>
        <v>0</v>
      </c>
      <c r="AE84">
        <f t="shared" si="49"/>
        <v>0</v>
      </c>
      <c r="AF84">
        <f t="shared" si="49"/>
        <v>0</v>
      </c>
      <c r="AG84">
        <f t="shared" si="49"/>
        <v>0</v>
      </c>
      <c r="AH84">
        <f t="shared" si="49"/>
        <v>0</v>
      </c>
      <c r="AI84">
        <f t="shared" si="49"/>
        <v>0</v>
      </c>
      <c r="AJ84">
        <f t="shared" si="49"/>
        <v>0</v>
      </c>
      <c r="AK84">
        <f t="shared" si="49"/>
        <v>0</v>
      </c>
      <c r="AL84">
        <f t="shared" si="49"/>
        <v>0</v>
      </c>
      <c r="AM84">
        <f t="shared" si="49"/>
        <v>0</v>
      </c>
      <c r="AN84">
        <f t="shared" si="49"/>
        <v>0</v>
      </c>
      <c r="AO84">
        <f t="shared" si="49"/>
        <v>0</v>
      </c>
      <c r="AP84">
        <f t="shared" si="49"/>
        <v>0</v>
      </c>
      <c r="AQ84">
        <f t="shared" si="49"/>
        <v>0</v>
      </c>
      <c r="AR84">
        <f>F84+H84+I84+J84+K84+M84+N84+O84+P84</f>
        <v>0</v>
      </c>
      <c r="AS84">
        <f>D84+L116-AR84</f>
        <v>39.22</v>
      </c>
    </row>
    <row r="85" spans="1:45" ht="20.25" customHeight="1">
      <c r="A85" t="s">
        <v>36</v>
      </c>
      <c r="B85" t="s">
        <v>37</v>
      </c>
      <c r="C85" t="s">
        <v>38</v>
      </c>
      <c r="D85">
        <f t="shared" si="44"/>
        <v>255.57</v>
      </c>
      <c r="E85">
        <f t="shared" si="39"/>
        <v>255.57</v>
      </c>
      <c r="F85">
        <f t="shared" ref="F85:G87" si="50">H22</f>
        <v>0</v>
      </c>
      <c r="G85">
        <f t="shared" si="50"/>
        <v>0</v>
      </c>
      <c r="H85">
        <f t="shared" ref="H85:I87" si="51">M22</f>
        <v>0</v>
      </c>
      <c r="I85">
        <f t="shared" si="51"/>
        <v>0</v>
      </c>
      <c r="J85">
        <f>P22</f>
        <v>0</v>
      </c>
      <c r="K85">
        <f>Q22</f>
        <v>0</v>
      </c>
      <c r="L85">
        <f>R22</f>
        <v>0</v>
      </c>
      <c r="M85">
        <f>D85-AR85</f>
        <v>255.57</v>
      </c>
      <c r="N85">
        <f>T22</f>
        <v>0</v>
      </c>
      <c r="O85">
        <f>U22</f>
        <v>0</v>
      </c>
      <c r="P85">
        <f>SUM(Q85:AP85)</f>
        <v>0</v>
      </c>
      <c r="Q85">
        <f t="shared" ref="Q85:Y87" si="52">W22</f>
        <v>0</v>
      </c>
      <c r="R85">
        <f t="shared" si="52"/>
        <v>0</v>
      </c>
      <c r="S85">
        <f t="shared" si="52"/>
        <v>0</v>
      </c>
      <c r="T85">
        <f t="shared" si="52"/>
        <v>0</v>
      </c>
      <c r="U85">
        <f t="shared" si="52"/>
        <v>0</v>
      </c>
      <c r="V85">
        <f t="shared" si="52"/>
        <v>0</v>
      </c>
      <c r="W85">
        <f t="shared" si="52"/>
        <v>0</v>
      </c>
      <c r="X85">
        <f t="shared" si="52"/>
        <v>0</v>
      </c>
      <c r="Y85">
        <f t="shared" si="52"/>
        <v>0</v>
      </c>
      <c r="Z85">
        <f t="shared" ref="Z85:AP85" si="53">AQ22</f>
        <v>0</v>
      </c>
      <c r="AA85">
        <f t="shared" si="53"/>
        <v>0</v>
      </c>
      <c r="AB85">
        <f t="shared" si="53"/>
        <v>0</v>
      </c>
      <c r="AC85">
        <f t="shared" si="53"/>
        <v>0</v>
      </c>
      <c r="AD85">
        <f t="shared" si="53"/>
        <v>0</v>
      </c>
      <c r="AE85">
        <f t="shared" si="53"/>
        <v>0</v>
      </c>
      <c r="AF85">
        <f t="shared" si="53"/>
        <v>0</v>
      </c>
      <c r="AG85">
        <f t="shared" si="53"/>
        <v>0</v>
      </c>
      <c r="AH85">
        <f t="shared" si="53"/>
        <v>0</v>
      </c>
      <c r="AI85">
        <f t="shared" si="53"/>
        <v>0</v>
      </c>
      <c r="AJ85">
        <f t="shared" si="53"/>
        <v>0</v>
      </c>
      <c r="AK85">
        <f t="shared" si="53"/>
        <v>0</v>
      </c>
      <c r="AL85">
        <f t="shared" si="53"/>
        <v>0</v>
      </c>
      <c r="AM85">
        <f t="shared" si="53"/>
        <v>0</v>
      </c>
      <c r="AN85">
        <f t="shared" si="53"/>
        <v>0</v>
      </c>
      <c r="AO85">
        <f t="shared" si="53"/>
        <v>0</v>
      </c>
      <c r="AP85">
        <f t="shared" si="53"/>
        <v>0</v>
      </c>
      <c r="AQ85">
        <f t="shared" ref="AA85:AQ87" si="54">BH22</f>
        <v>0</v>
      </c>
      <c r="AR85">
        <f>F85+H85+I85+J85+K85+L85+N85+O85+P85</f>
        <v>0</v>
      </c>
      <c r="AS85">
        <f>D85+M116-AR85</f>
        <v>255.57</v>
      </c>
    </row>
    <row r="86" spans="1:45" ht="20.25" customHeight="1">
      <c r="A86" t="s">
        <v>39</v>
      </c>
      <c r="B86" t="s">
        <v>40</v>
      </c>
      <c r="C86" t="s">
        <v>41</v>
      </c>
      <c r="D86">
        <f t="shared" si="44"/>
        <v>0</v>
      </c>
      <c r="E86">
        <f t="shared" si="39"/>
        <v>0</v>
      </c>
      <c r="F86">
        <f t="shared" si="50"/>
        <v>0</v>
      </c>
      <c r="G86">
        <f t="shared" si="50"/>
        <v>0</v>
      </c>
      <c r="H86">
        <f t="shared" si="51"/>
        <v>0</v>
      </c>
      <c r="I86">
        <f t="shared" si="51"/>
        <v>0</v>
      </c>
      <c r="J86">
        <f>P23</f>
        <v>0</v>
      </c>
      <c r="K86">
        <f>Q23</f>
        <v>0</v>
      </c>
      <c r="L86">
        <f>R23</f>
        <v>0</v>
      </c>
      <c r="M86">
        <f>S23</f>
        <v>0</v>
      </c>
      <c r="N86">
        <f>D86-AR86</f>
        <v>0</v>
      </c>
      <c r="O86">
        <f>U23</f>
        <v>0</v>
      </c>
      <c r="P86">
        <f t="shared" si="40"/>
        <v>0</v>
      </c>
      <c r="Q86">
        <f t="shared" si="52"/>
        <v>0</v>
      </c>
      <c r="R86">
        <f t="shared" si="52"/>
        <v>0</v>
      </c>
      <c r="S86">
        <f t="shared" si="52"/>
        <v>0</v>
      </c>
      <c r="T86">
        <f t="shared" si="52"/>
        <v>0</v>
      </c>
      <c r="U86">
        <f t="shared" si="52"/>
        <v>0</v>
      </c>
      <c r="V86">
        <f t="shared" si="52"/>
        <v>0</v>
      </c>
      <c r="W86">
        <f t="shared" si="52"/>
        <v>0</v>
      </c>
      <c r="X86">
        <f t="shared" si="52"/>
        <v>0</v>
      </c>
      <c r="Y86">
        <f t="shared" si="52"/>
        <v>0</v>
      </c>
      <c r="Z86">
        <f>AQ23</f>
        <v>0</v>
      </c>
      <c r="AA86">
        <f t="shared" si="54"/>
        <v>0</v>
      </c>
      <c r="AB86">
        <f t="shared" si="54"/>
        <v>0</v>
      </c>
      <c r="AC86">
        <f t="shared" si="54"/>
        <v>0</v>
      </c>
      <c r="AD86">
        <f t="shared" si="54"/>
        <v>0</v>
      </c>
      <c r="AE86">
        <f t="shared" si="54"/>
        <v>0</v>
      </c>
      <c r="AF86">
        <f t="shared" si="54"/>
        <v>0</v>
      </c>
      <c r="AG86">
        <f t="shared" si="54"/>
        <v>0</v>
      </c>
      <c r="AH86">
        <f t="shared" si="54"/>
        <v>0</v>
      </c>
      <c r="AI86">
        <f t="shared" si="54"/>
        <v>0</v>
      </c>
      <c r="AJ86">
        <f t="shared" si="54"/>
        <v>0</v>
      </c>
      <c r="AK86">
        <f t="shared" si="54"/>
        <v>0</v>
      </c>
      <c r="AL86">
        <f t="shared" si="54"/>
        <v>0</v>
      </c>
      <c r="AM86">
        <f t="shared" si="54"/>
        <v>0</v>
      </c>
      <c r="AN86">
        <f t="shared" si="54"/>
        <v>0</v>
      </c>
      <c r="AO86">
        <f t="shared" si="54"/>
        <v>0</v>
      </c>
      <c r="AP86">
        <f t="shared" si="54"/>
        <v>0</v>
      </c>
      <c r="AQ86">
        <f t="shared" si="54"/>
        <v>0</v>
      </c>
      <c r="AR86">
        <f>F86+H86+I86+J86+K86+L86+M86+O86+P86</f>
        <v>0</v>
      </c>
      <c r="AS86">
        <f>D86+N116-AR86</f>
        <v>0</v>
      </c>
    </row>
    <row r="87" spans="1:45" ht="20.25" customHeight="1">
      <c r="A87">
        <v>2</v>
      </c>
      <c r="B87" t="s">
        <v>43</v>
      </c>
      <c r="C87" t="s">
        <v>44</v>
      </c>
      <c r="D87">
        <f t="shared" si="44"/>
        <v>0</v>
      </c>
      <c r="E87">
        <f t="shared" si="39"/>
        <v>0</v>
      </c>
      <c r="F87">
        <f t="shared" si="50"/>
        <v>0</v>
      </c>
      <c r="G87">
        <f t="shared" si="50"/>
        <v>0</v>
      </c>
      <c r="H87">
        <f t="shared" si="51"/>
        <v>0</v>
      </c>
      <c r="I87">
        <f t="shared" si="51"/>
        <v>0</v>
      </c>
      <c r="J87">
        <f>P24</f>
        <v>0</v>
      </c>
      <c r="K87">
        <f>Q24</f>
        <v>0</v>
      </c>
      <c r="L87">
        <f>R24</f>
        <v>0</v>
      </c>
      <c r="M87">
        <f>S24</f>
        <v>0</v>
      </c>
      <c r="N87">
        <f>T24</f>
        <v>0</v>
      </c>
      <c r="O87">
        <f>D87-AR87</f>
        <v>0</v>
      </c>
      <c r="P87">
        <f t="shared" si="40"/>
        <v>0</v>
      </c>
      <c r="Q87">
        <f t="shared" si="52"/>
        <v>0</v>
      </c>
      <c r="R87">
        <f t="shared" si="52"/>
        <v>0</v>
      </c>
      <c r="S87">
        <f t="shared" si="52"/>
        <v>0</v>
      </c>
      <c r="T87">
        <f t="shared" si="52"/>
        <v>0</v>
      </c>
      <c r="U87">
        <f t="shared" si="52"/>
        <v>0</v>
      </c>
      <c r="V87">
        <f t="shared" si="52"/>
        <v>0</v>
      </c>
      <c r="W87">
        <f t="shared" si="52"/>
        <v>0</v>
      </c>
      <c r="X87">
        <f t="shared" si="52"/>
        <v>0</v>
      </c>
      <c r="Y87">
        <f t="shared" si="52"/>
        <v>0</v>
      </c>
      <c r="Z87">
        <f>AQ24</f>
        <v>0</v>
      </c>
      <c r="AA87">
        <f t="shared" si="54"/>
        <v>0</v>
      </c>
      <c r="AB87">
        <f t="shared" si="54"/>
        <v>0</v>
      </c>
      <c r="AC87">
        <f t="shared" si="54"/>
        <v>0</v>
      </c>
      <c r="AD87">
        <f t="shared" si="54"/>
        <v>0</v>
      </c>
      <c r="AE87">
        <f t="shared" si="54"/>
        <v>0</v>
      </c>
      <c r="AF87">
        <f t="shared" si="54"/>
        <v>0</v>
      </c>
      <c r="AG87">
        <f t="shared" si="54"/>
        <v>0</v>
      </c>
      <c r="AH87">
        <f t="shared" si="54"/>
        <v>0</v>
      </c>
      <c r="AI87">
        <f t="shared" si="54"/>
        <v>0</v>
      </c>
      <c r="AJ87">
        <f t="shared" si="54"/>
        <v>0</v>
      </c>
      <c r="AK87">
        <f t="shared" si="54"/>
        <v>0</v>
      </c>
      <c r="AL87">
        <f t="shared" si="54"/>
        <v>0</v>
      </c>
      <c r="AM87">
        <f t="shared" si="54"/>
        <v>0</v>
      </c>
      <c r="AN87">
        <f t="shared" si="54"/>
        <v>0</v>
      </c>
      <c r="AO87">
        <f t="shared" si="54"/>
        <v>0</v>
      </c>
      <c r="AP87">
        <f t="shared" si="54"/>
        <v>0</v>
      </c>
      <c r="AQ87">
        <f t="shared" si="54"/>
        <v>0</v>
      </c>
      <c r="AR87">
        <f>F87+H87+I87+J87+K87+L87+M87+N87+P87</f>
        <v>0</v>
      </c>
      <c r="AS87">
        <f>D87+O116-AR87</f>
        <v>0</v>
      </c>
    </row>
    <row r="88" spans="1:45" ht="20.25" customHeight="1">
      <c r="A88">
        <v>2</v>
      </c>
      <c r="B88" t="s">
        <v>45</v>
      </c>
      <c r="C88" t="s">
        <v>46</v>
      </c>
      <c r="D88">
        <f>SUM(D89:D114)</f>
        <v>284.09999999999991</v>
      </c>
      <c r="E88">
        <f t="shared" ref="E88:AS88" si="55">SUM(E89:E114)</f>
        <v>0</v>
      </c>
      <c r="F88">
        <f t="shared" si="55"/>
        <v>0</v>
      </c>
      <c r="G88">
        <f t="shared" si="55"/>
        <v>0</v>
      </c>
      <c r="H88">
        <f t="shared" si="55"/>
        <v>0</v>
      </c>
      <c r="I88">
        <f t="shared" si="55"/>
        <v>0</v>
      </c>
      <c r="J88">
        <f t="shared" si="55"/>
        <v>0</v>
      </c>
      <c r="K88">
        <f t="shared" si="55"/>
        <v>0</v>
      </c>
      <c r="L88">
        <f t="shared" si="55"/>
        <v>0</v>
      </c>
      <c r="M88">
        <f t="shared" si="55"/>
        <v>0</v>
      </c>
      <c r="N88">
        <f t="shared" si="55"/>
        <v>0</v>
      </c>
      <c r="O88">
        <f t="shared" si="55"/>
        <v>0</v>
      </c>
      <c r="P88">
        <f t="shared" si="55"/>
        <v>284.09999999999991</v>
      </c>
      <c r="Q88">
        <f t="shared" si="55"/>
        <v>0.28999999999999998</v>
      </c>
      <c r="R88">
        <f t="shared" si="55"/>
        <v>0.39</v>
      </c>
      <c r="S88">
        <f t="shared" si="55"/>
        <v>0</v>
      </c>
      <c r="T88">
        <f t="shared" si="55"/>
        <v>0</v>
      </c>
      <c r="U88">
        <f t="shared" si="55"/>
        <v>0</v>
      </c>
      <c r="V88">
        <f t="shared" si="55"/>
        <v>0.36</v>
      </c>
      <c r="W88">
        <f t="shared" si="55"/>
        <v>4.0599999999999996</v>
      </c>
      <c r="X88">
        <f t="shared" si="55"/>
        <v>0</v>
      </c>
      <c r="Y88">
        <f t="shared" si="55"/>
        <v>117.44999999999999</v>
      </c>
      <c r="Z88">
        <f t="shared" si="55"/>
        <v>0</v>
      </c>
      <c r="AA88">
        <f t="shared" si="55"/>
        <v>0</v>
      </c>
      <c r="AB88">
        <f t="shared" si="55"/>
        <v>0</v>
      </c>
      <c r="AC88">
        <f t="shared" si="55"/>
        <v>0</v>
      </c>
      <c r="AD88">
        <f t="shared" si="55"/>
        <v>28.479999999999997</v>
      </c>
      <c r="AE88">
        <f t="shared" si="55"/>
        <v>0.81</v>
      </c>
      <c r="AF88">
        <f t="shared" si="55"/>
        <v>0</v>
      </c>
      <c r="AG88">
        <f t="shared" si="55"/>
        <v>0</v>
      </c>
      <c r="AH88">
        <f t="shared" si="55"/>
        <v>0.14000000000000001</v>
      </c>
      <c r="AI88">
        <f t="shared" si="55"/>
        <v>35.35</v>
      </c>
      <c r="AJ88">
        <f t="shared" si="55"/>
        <v>0.09</v>
      </c>
      <c r="AK88">
        <f t="shared" si="55"/>
        <v>0</v>
      </c>
      <c r="AL88">
        <f t="shared" si="55"/>
        <v>0.22</v>
      </c>
      <c r="AM88">
        <f t="shared" si="55"/>
        <v>0.64</v>
      </c>
      <c r="AN88">
        <f t="shared" si="55"/>
        <v>95.82</v>
      </c>
      <c r="AO88">
        <f t="shared" si="55"/>
        <v>0</v>
      </c>
      <c r="AP88">
        <f t="shared" si="55"/>
        <v>0</v>
      </c>
      <c r="AQ88">
        <f t="shared" si="55"/>
        <v>0</v>
      </c>
      <c r="AR88">
        <f>E88+AQ88</f>
        <v>0</v>
      </c>
      <c r="AS88">
        <f t="shared" si="55"/>
        <v>285.93999999999994</v>
      </c>
    </row>
    <row r="89" spans="1:45" ht="20.25" customHeight="1">
      <c r="A89" t="s">
        <v>47</v>
      </c>
      <c r="B89" t="s">
        <v>48</v>
      </c>
      <c r="C89" t="s">
        <v>49</v>
      </c>
      <c r="D89">
        <f>D26</f>
        <v>0.28999999999999998</v>
      </c>
      <c r="E89">
        <f t="shared" si="39"/>
        <v>0</v>
      </c>
      <c r="F89">
        <f>H26</f>
        <v>0</v>
      </c>
      <c r="G89">
        <f>I26</f>
        <v>0</v>
      </c>
      <c r="H89">
        <f>M26</f>
        <v>0</v>
      </c>
      <c r="I89">
        <f>N26</f>
        <v>0</v>
      </c>
      <c r="J89">
        <f t="shared" ref="J89:O97" si="56">P26</f>
        <v>0</v>
      </c>
      <c r="K89">
        <f t="shared" si="56"/>
        <v>0</v>
      </c>
      <c r="L89">
        <f t="shared" si="56"/>
        <v>0</v>
      </c>
      <c r="M89">
        <f t="shared" si="56"/>
        <v>0</v>
      </c>
      <c r="N89">
        <f t="shared" si="56"/>
        <v>0</v>
      </c>
      <c r="O89">
        <f t="shared" si="56"/>
        <v>0</v>
      </c>
      <c r="P89">
        <f>SUM(Q89:AP89)</f>
        <v>0.28999999999999998</v>
      </c>
      <c r="Q89">
        <f>D89-AR89</f>
        <v>0.28999999999999998</v>
      </c>
      <c r="R89">
        <f t="shared" ref="R89:Y89" si="57">X26</f>
        <v>0</v>
      </c>
      <c r="S89">
        <f t="shared" si="57"/>
        <v>0</v>
      </c>
      <c r="T89">
        <f t="shared" si="57"/>
        <v>0</v>
      </c>
      <c r="U89">
        <f t="shared" si="57"/>
        <v>0</v>
      </c>
      <c r="V89">
        <f t="shared" si="57"/>
        <v>0</v>
      </c>
      <c r="W89">
        <f t="shared" si="57"/>
        <v>0</v>
      </c>
      <c r="X89">
        <f t="shared" si="57"/>
        <v>0</v>
      </c>
      <c r="Y89">
        <f t="shared" si="57"/>
        <v>0</v>
      </c>
      <c r="Z89">
        <f t="shared" ref="Z89:AP89" si="58">AQ26</f>
        <v>0</v>
      </c>
      <c r="AA89">
        <f t="shared" si="58"/>
        <v>0</v>
      </c>
      <c r="AB89">
        <f t="shared" si="58"/>
        <v>0</v>
      </c>
      <c r="AC89">
        <f t="shared" si="58"/>
        <v>0</v>
      </c>
      <c r="AD89">
        <f t="shared" si="58"/>
        <v>0</v>
      </c>
      <c r="AE89">
        <f t="shared" si="58"/>
        <v>0</v>
      </c>
      <c r="AF89">
        <f t="shared" si="58"/>
        <v>0</v>
      </c>
      <c r="AG89">
        <f t="shared" si="58"/>
        <v>0</v>
      </c>
      <c r="AH89">
        <f t="shared" si="58"/>
        <v>0</v>
      </c>
      <c r="AI89">
        <f t="shared" si="58"/>
        <v>0</v>
      </c>
      <c r="AJ89">
        <f t="shared" si="58"/>
        <v>0</v>
      </c>
      <c r="AK89">
        <f t="shared" si="58"/>
        <v>0</v>
      </c>
      <c r="AL89">
        <f t="shared" si="58"/>
        <v>0</v>
      </c>
      <c r="AM89">
        <f t="shared" si="58"/>
        <v>0</v>
      </c>
      <c r="AN89">
        <f t="shared" si="58"/>
        <v>0</v>
      </c>
      <c r="AO89">
        <f t="shared" si="58"/>
        <v>0</v>
      </c>
      <c r="AP89">
        <f t="shared" si="58"/>
        <v>0</v>
      </c>
      <c r="AQ89">
        <f t="shared" ref="AA89:AQ97" si="59">BH26</f>
        <v>0</v>
      </c>
      <c r="AR89">
        <f>E89+R89+S89+T89+U89+V89+W89+X89+Y89+Z89+AA89+AB89+AC89+AD89+AE89+AF89+AG89+AH89+AI89+AJ89+AK89+AL89+AM89+AN89+AO89+AP89+AQ89</f>
        <v>0</v>
      </c>
      <c r="AS89">
        <f>D89+Q116-AR89</f>
        <v>0.28999999999999998</v>
      </c>
    </row>
    <row r="90" spans="1:45" ht="20.25" customHeight="1">
      <c r="A90" t="s">
        <v>50</v>
      </c>
      <c r="B90" t="s">
        <v>51</v>
      </c>
      <c r="C90" t="s">
        <v>52</v>
      </c>
      <c r="D90">
        <f t="shared" ref="D90:D97" si="60">D27</f>
        <v>0.39</v>
      </c>
      <c r="E90">
        <f t="shared" si="39"/>
        <v>0</v>
      </c>
      <c r="F90">
        <f t="shared" ref="F90:G97" si="61">H27</f>
        <v>0</v>
      </c>
      <c r="G90">
        <f t="shared" si="61"/>
        <v>0</v>
      </c>
      <c r="H90">
        <f t="shared" ref="H90:I97" si="62">M27</f>
        <v>0</v>
      </c>
      <c r="I90">
        <f t="shared" si="62"/>
        <v>0</v>
      </c>
      <c r="J90">
        <f t="shared" si="56"/>
        <v>0</v>
      </c>
      <c r="K90">
        <f t="shared" si="56"/>
        <v>0</v>
      </c>
      <c r="L90">
        <f t="shared" si="56"/>
        <v>0</v>
      </c>
      <c r="M90">
        <f t="shared" si="56"/>
        <v>0</v>
      </c>
      <c r="N90">
        <f t="shared" si="56"/>
        <v>0</v>
      </c>
      <c r="O90">
        <f t="shared" si="56"/>
        <v>0</v>
      </c>
      <c r="P90">
        <f t="shared" ref="P90:P114" si="63">SUM(Q90:AP90)</f>
        <v>0.39</v>
      </c>
      <c r="Q90">
        <f>W27</f>
        <v>0</v>
      </c>
      <c r="R90">
        <f>D90-AR90</f>
        <v>0.39</v>
      </c>
      <c r="S90">
        <f t="shared" ref="S90:Y90" si="64">Y27</f>
        <v>0</v>
      </c>
      <c r="T90">
        <f t="shared" si="64"/>
        <v>0</v>
      </c>
      <c r="U90">
        <f t="shared" si="64"/>
        <v>0</v>
      </c>
      <c r="V90">
        <f t="shared" si="64"/>
        <v>0</v>
      </c>
      <c r="W90">
        <f t="shared" si="64"/>
        <v>0</v>
      </c>
      <c r="X90">
        <f t="shared" si="64"/>
        <v>0</v>
      </c>
      <c r="Y90">
        <f t="shared" si="64"/>
        <v>0</v>
      </c>
      <c r="Z90">
        <f t="shared" ref="Z90:Z97" si="65">AQ27</f>
        <v>0</v>
      </c>
      <c r="AA90">
        <f t="shared" si="59"/>
        <v>0</v>
      </c>
      <c r="AB90">
        <f t="shared" si="59"/>
        <v>0</v>
      </c>
      <c r="AC90">
        <f t="shared" si="59"/>
        <v>0</v>
      </c>
      <c r="AD90">
        <f t="shared" si="59"/>
        <v>0</v>
      </c>
      <c r="AE90">
        <f t="shared" si="59"/>
        <v>0</v>
      </c>
      <c r="AF90">
        <f t="shared" si="59"/>
        <v>0</v>
      </c>
      <c r="AG90">
        <f t="shared" si="59"/>
        <v>0</v>
      </c>
      <c r="AH90">
        <f t="shared" si="59"/>
        <v>0</v>
      </c>
      <c r="AI90">
        <f t="shared" si="59"/>
        <v>0</v>
      </c>
      <c r="AJ90">
        <f t="shared" si="59"/>
        <v>0</v>
      </c>
      <c r="AK90">
        <f t="shared" si="59"/>
        <v>0</v>
      </c>
      <c r="AL90">
        <f t="shared" si="59"/>
        <v>0</v>
      </c>
      <c r="AM90">
        <f t="shared" si="59"/>
        <v>0</v>
      </c>
      <c r="AN90">
        <f t="shared" si="59"/>
        <v>0</v>
      </c>
      <c r="AO90">
        <f t="shared" si="59"/>
        <v>0</v>
      </c>
      <c r="AP90">
        <f t="shared" si="59"/>
        <v>0</v>
      </c>
      <c r="AQ90">
        <f t="shared" si="59"/>
        <v>0</v>
      </c>
      <c r="AR90">
        <f>E90+Q90+S90+T90+U90+V90+W90+X90+Y90+Z90+AA90+AB90+AC90+AD90+AE90+AF90+AG90+AH90+AI90+AJ90+AK90+AL90+AM90+AN90+AO90+AP90+AQ90</f>
        <v>0</v>
      </c>
      <c r="AS90">
        <f>D90+R116-AR90</f>
        <v>0.39</v>
      </c>
    </row>
    <row r="91" spans="1:45" ht="20.25" customHeight="1">
      <c r="A91" t="s">
        <v>53</v>
      </c>
      <c r="B91" t="s">
        <v>54</v>
      </c>
      <c r="C91" t="s">
        <v>55</v>
      </c>
      <c r="D91">
        <f t="shared" si="60"/>
        <v>0</v>
      </c>
      <c r="E91">
        <f t="shared" si="39"/>
        <v>0</v>
      </c>
      <c r="F91">
        <f t="shared" si="61"/>
        <v>0</v>
      </c>
      <c r="G91">
        <f t="shared" si="61"/>
        <v>0</v>
      </c>
      <c r="H91">
        <f t="shared" si="62"/>
        <v>0</v>
      </c>
      <c r="I91">
        <f t="shared" si="62"/>
        <v>0</v>
      </c>
      <c r="J91">
        <f t="shared" si="56"/>
        <v>0</v>
      </c>
      <c r="K91">
        <f t="shared" si="56"/>
        <v>0</v>
      </c>
      <c r="L91">
        <f t="shared" si="56"/>
        <v>0</v>
      </c>
      <c r="M91">
        <f t="shared" si="56"/>
        <v>0</v>
      </c>
      <c r="N91">
        <f t="shared" si="56"/>
        <v>0</v>
      </c>
      <c r="O91">
        <f t="shared" si="56"/>
        <v>0</v>
      </c>
      <c r="P91">
        <f t="shared" si="63"/>
        <v>0</v>
      </c>
      <c r="Q91">
        <f t="shared" ref="Q91:S97" si="66">W28</f>
        <v>0</v>
      </c>
      <c r="R91">
        <f>X28</f>
        <v>0</v>
      </c>
      <c r="S91">
        <f>D91-AR91</f>
        <v>0</v>
      </c>
      <c r="T91">
        <f t="shared" ref="T91:Y91" si="67">Z28</f>
        <v>0</v>
      </c>
      <c r="U91">
        <f t="shared" si="67"/>
        <v>0</v>
      </c>
      <c r="V91">
        <f t="shared" si="67"/>
        <v>0</v>
      </c>
      <c r="W91">
        <f t="shared" si="67"/>
        <v>0</v>
      </c>
      <c r="X91">
        <f t="shared" si="67"/>
        <v>0</v>
      </c>
      <c r="Y91">
        <f t="shared" si="67"/>
        <v>0</v>
      </c>
      <c r="Z91">
        <f t="shared" si="65"/>
        <v>0</v>
      </c>
      <c r="AA91">
        <f t="shared" si="59"/>
        <v>0</v>
      </c>
      <c r="AB91">
        <f t="shared" si="59"/>
        <v>0</v>
      </c>
      <c r="AC91">
        <f t="shared" si="59"/>
        <v>0</v>
      </c>
      <c r="AD91">
        <f t="shared" si="59"/>
        <v>0</v>
      </c>
      <c r="AE91">
        <f t="shared" si="59"/>
        <v>0</v>
      </c>
      <c r="AF91">
        <f t="shared" si="59"/>
        <v>0</v>
      </c>
      <c r="AG91">
        <f t="shared" si="59"/>
        <v>0</v>
      </c>
      <c r="AH91">
        <f t="shared" si="59"/>
        <v>0</v>
      </c>
      <c r="AI91">
        <f t="shared" si="59"/>
        <v>0</v>
      </c>
      <c r="AJ91">
        <f t="shared" si="59"/>
        <v>0</v>
      </c>
      <c r="AK91">
        <f t="shared" si="59"/>
        <v>0</v>
      </c>
      <c r="AL91">
        <f t="shared" si="59"/>
        <v>0</v>
      </c>
      <c r="AM91">
        <f t="shared" si="59"/>
        <v>0</v>
      </c>
      <c r="AN91">
        <f t="shared" si="59"/>
        <v>0</v>
      </c>
      <c r="AO91">
        <f t="shared" si="59"/>
        <v>0</v>
      </c>
      <c r="AP91">
        <f t="shared" si="59"/>
        <v>0</v>
      </c>
      <c r="AQ91">
        <f t="shared" si="59"/>
        <v>0</v>
      </c>
      <c r="AR91">
        <f>E91+Q91+R91+T91+U91+V91+W91+X91+Y91+Z91+AA91+AB91+AC91+AD91+AE91+AF91+AG91+AH91+AI91+AJ91+AK91+AL91+AM91+AN91+AO91+AP91+AQ91</f>
        <v>0</v>
      </c>
      <c r="AS91">
        <f>D91+S116-AR91</f>
        <v>0</v>
      </c>
    </row>
    <row r="92" spans="1:45" ht="20.25" customHeight="1">
      <c r="A92" t="s">
        <v>56</v>
      </c>
      <c r="B92" t="s">
        <v>57</v>
      </c>
      <c r="C92" t="s">
        <v>58</v>
      </c>
      <c r="D92">
        <f t="shared" si="60"/>
        <v>0</v>
      </c>
      <c r="E92">
        <f t="shared" si="39"/>
        <v>0</v>
      </c>
      <c r="F92">
        <f t="shared" si="61"/>
        <v>0</v>
      </c>
      <c r="G92">
        <f t="shared" si="61"/>
        <v>0</v>
      </c>
      <c r="H92">
        <f t="shared" si="62"/>
        <v>0</v>
      </c>
      <c r="I92">
        <f t="shared" si="62"/>
        <v>0</v>
      </c>
      <c r="J92">
        <f t="shared" si="56"/>
        <v>0</v>
      </c>
      <c r="K92">
        <f t="shared" si="56"/>
        <v>0</v>
      </c>
      <c r="L92">
        <f t="shared" si="56"/>
        <v>0</v>
      </c>
      <c r="M92">
        <f t="shared" si="56"/>
        <v>0</v>
      </c>
      <c r="N92">
        <f t="shared" si="56"/>
        <v>0</v>
      </c>
      <c r="O92">
        <f t="shared" si="56"/>
        <v>0</v>
      </c>
      <c r="P92">
        <f t="shared" si="63"/>
        <v>0</v>
      </c>
      <c r="Q92">
        <f t="shared" si="66"/>
        <v>0</v>
      </c>
      <c r="R92">
        <f t="shared" si="66"/>
        <v>0</v>
      </c>
      <c r="S92">
        <f t="shared" si="66"/>
        <v>0</v>
      </c>
      <c r="T92">
        <f>D92-AR92</f>
        <v>0</v>
      </c>
      <c r="U92">
        <f>AA29</f>
        <v>0</v>
      </c>
      <c r="V92">
        <f>AB29</f>
        <v>0</v>
      </c>
      <c r="W92">
        <f>AC29</f>
        <v>0</v>
      </c>
      <c r="X92">
        <f>AD29</f>
        <v>0</v>
      </c>
      <c r="Y92">
        <f>AE29</f>
        <v>0</v>
      </c>
      <c r="Z92">
        <f t="shared" si="65"/>
        <v>0</v>
      </c>
      <c r="AA92">
        <f t="shared" si="59"/>
        <v>0</v>
      </c>
      <c r="AB92">
        <f t="shared" si="59"/>
        <v>0</v>
      </c>
      <c r="AC92">
        <f t="shared" si="59"/>
        <v>0</v>
      </c>
      <c r="AD92">
        <f t="shared" si="59"/>
        <v>0</v>
      </c>
      <c r="AE92">
        <f t="shared" si="59"/>
        <v>0</v>
      </c>
      <c r="AF92">
        <f t="shared" si="59"/>
        <v>0</v>
      </c>
      <c r="AG92">
        <f t="shared" si="59"/>
        <v>0</v>
      </c>
      <c r="AH92">
        <f t="shared" si="59"/>
        <v>0</v>
      </c>
      <c r="AI92">
        <f t="shared" si="59"/>
        <v>0</v>
      </c>
      <c r="AJ92">
        <f t="shared" si="59"/>
        <v>0</v>
      </c>
      <c r="AK92">
        <f t="shared" si="59"/>
        <v>0</v>
      </c>
      <c r="AL92">
        <f t="shared" si="59"/>
        <v>0</v>
      </c>
      <c r="AM92">
        <f t="shared" si="59"/>
        <v>0</v>
      </c>
      <c r="AN92">
        <f t="shared" si="59"/>
        <v>0</v>
      </c>
      <c r="AO92">
        <f t="shared" si="59"/>
        <v>0</v>
      </c>
      <c r="AP92">
        <f t="shared" si="59"/>
        <v>0</v>
      </c>
      <c r="AQ92">
        <f t="shared" si="59"/>
        <v>0</v>
      </c>
      <c r="AR92">
        <f>E92+Q92+R92+S92+U92+V92+W92+X92+Y92+Z92+AA92+AB92+AC92+AD92+AE92+AF92+AG92+AH92+AI92+AJ92+AK92+AL92+AM92+AN92+AO92+AP92+AQ92</f>
        <v>0</v>
      </c>
      <c r="AS92">
        <f>D92+T116-AR92</f>
        <v>0</v>
      </c>
    </row>
    <row r="93" spans="1:45" ht="20.25" customHeight="1">
      <c r="A93" t="s">
        <v>59</v>
      </c>
      <c r="B93" t="s">
        <v>60</v>
      </c>
      <c r="C93" t="s">
        <v>61</v>
      </c>
      <c r="D93">
        <f t="shared" si="60"/>
        <v>0</v>
      </c>
      <c r="E93">
        <f t="shared" si="39"/>
        <v>0</v>
      </c>
      <c r="F93">
        <f t="shared" si="61"/>
        <v>0</v>
      </c>
      <c r="G93">
        <f t="shared" si="61"/>
        <v>0</v>
      </c>
      <c r="H93">
        <f t="shared" si="62"/>
        <v>0</v>
      </c>
      <c r="I93">
        <f t="shared" si="62"/>
        <v>0</v>
      </c>
      <c r="J93">
        <f t="shared" si="56"/>
        <v>0</v>
      </c>
      <c r="K93">
        <f t="shared" si="56"/>
        <v>0</v>
      </c>
      <c r="L93">
        <f t="shared" si="56"/>
        <v>0</v>
      </c>
      <c r="M93">
        <f t="shared" si="56"/>
        <v>0</v>
      </c>
      <c r="N93">
        <f t="shared" si="56"/>
        <v>0</v>
      </c>
      <c r="O93">
        <f t="shared" si="56"/>
        <v>0</v>
      </c>
      <c r="P93">
        <f t="shared" si="63"/>
        <v>0</v>
      </c>
      <c r="Q93">
        <f t="shared" si="66"/>
        <v>0</v>
      </c>
      <c r="R93">
        <f t="shared" si="66"/>
        <v>0</v>
      </c>
      <c r="S93">
        <f t="shared" si="66"/>
        <v>0</v>
      </c>
      <c r="T93">
        <f>Z30</f>
        <v>0</v>
      </c>
      <c r="U93">
        <f>D93-AR93</f>
        <v>0</v>
      </c>
      <c r="V93">
        <f>AB30</f>
        <v>0</v>
      </c>
      <c r="W93">
        <f>AC30</f>
        <v>0</v>
      </c>
      <c r="X93">
        <f>AD30</f>
        <v>0</v>
      </c>
      <c r="Y93">
        <f>AE30</f>
        <v>0</v>
      </c>
      <c r="Z93">
        <f t="shared" si="65"/>
        <v>0</v>
      </c>
      <c r="AA93">
        <f t="shared" si="59"/>
        <v>0</v>
      </c>
      <c r="AB93">
        <f t="shared" si="59"/>
        <v>0</v>
      </c>
      <c r="AC93">
        <f t="shared" si="59"/>
        <v>0</v>
      </c>
      <c r="AD93">
        <f t="shared" si="59"/>
        <v>0</v>
      </c>
      <c r="AE93">
        <f t="shared" si="59"/>
        <v>0</v>
      </c>
      <c r="AF93">
        <f t="shared" si="59"/>
        <v>0</v>
      </c>
      <c r="AG93">
        <f t="shared" si="59"/>
        <v>0</v>
      </c>
      <c r="AH93">
        <f t="shared" si="59"/>
        <v>0</v>
      </c>
      <c r="AI93">
        <f t="shared" si="59"/>
        <v>0</v>
      </c>
      <c r="AJ93">
        <f t="shared" si="59"/>
        <v>0</v>
      </c>
      <c r="AK93">
        <f t="shared" si="59"/>
        <v>0</v>
      </c>
      <c r="AL93">
        <f t="shared" si="59"/>
        <v>0</v>
      </c>
      <c r="AM93">
        <f t="shared" si="59"/>
        <v>0</v>
      </c>
      <c r="AN93">
        <f t="shared" si="59"/>
        <v>0</v>
      </c>
      <c r="AO93">
        <f t="shared" si="59"/>
        <v>0</v>
      </c>
      <c r="AP93">
        <f t="shared" si="59"/>
        <v>0</v>
      </c>
      <c r="AQ93">
        <f t="shared" si="59"/>
        <v>0</v>
      </c>
      <c r="AR93">
        <f>E93+Q93+R93+S93+T93+V93+W93+X93+Y93+Z93+AA93+AB93+AC93+AD93+AE93+AF93+AG93+AH93+AI93+AJ93+AK93+AL93+AM93+AN93+AO93+AP93+AQ93</f>
        <v>0</v>
      </c>
      <c r="AS93">
        <f>D93+U116-AR93</f>
        <v>0</v>
      </c>
    </row>
    <row r="94" spans="1:45" ht="20.25" customHeight="1">
      <c r="A94" t="s">
        <v>62</v>
      </c>
      <c r="B94" t="s">
        <v>63</v>
      </c>
      <c r="C94" t="s">
        <v>64</v>
      </c>
      <c r="D94">
        <f t="shared" si="60"/>
        <v>0.36</v>
      </c>
      <c r="E94">
        <f t="shared" si="39"/>
        <v>0</v>
      </c>
      <c r="F94">
        <f t="shared" si="61"/>
        <v>0</v>
      </c>
      <c r="G94">
        <f t="shared" si="61"/>
        <v>0</v>
      </c>
      <c r="H94">
        <f t="shared" si="62"/>
        <v>0</v>
      </c>
      <c r="I94">
        <f t="shared" si="62"/>
        <v>0</v>
      </c>
      <c r="J94">
        <f t="shared" si="56"/>
        <v>0</v>
      </c>
      <c r="K94">
        <f t="shared" si="56"/>
        <v>0</v>
      </c>
      <c r="L94">
        <f t="shared" si="56"/>
        <v>0</v>
      </c>
      <c r="M94">
        <f t="shared" si="56"/>
        <v>0</v>
      </c>
      <c r="N94">
        <f t="shared" si="56"/>
        <v>0</v>
      </c>
      <c r="O94">
        <f t="shared" si="56"/>
        <v>0</v>
      </c>
      <c r="P94">
        <f t="shared" si="63"/>
        <v>0.36</v>
      </c>
      <c r="Q94">
        <f t="shared" si="66"/>
        <v>0</v>
      </c>
      <c r="R94">
        <f t="shared" si="66"/>
        <v>0</v>
      </c>
      <c r="S94">
        <f t="shared" si="66"/>
        <v>0</v>
      </c>
      <c r="T94">
        <f>Z31</f>
        <v>0</v>
      </c>
      <c r="U94">
        <f>AA31</f>
        <v>0</v>
      </c>
      <c r="V94">
        <f>D94-AR94</f>
        <v>0.36</v>
      </c>
      <c r="W94">
        <f>AC31</f>
        <v>0</v>
      </c>
      <c r="X94">
        <f>AD31</f>
        <v>0</v>
      </c>
      <c r="Y94">
        <f>AE31</f>
        <v>0</v>
      </c>
      <c r="Z94">
        <f t="shared" si="65"/>
        <v>0</v>
      </c>
      <c r="AA94">
        <f t="shared" si="59"/>
        <v>0</v>
      </c>
      <c r="AB94">
        <f t="shared" si="59"/>
        <v>0</v>
      </c>
      <c r="AC94">
        <f t="shared" si="59"/>
        <v>0</v>
      </c>
      <c r="AD94">
        <f t="shared" si="59"/>
        <v>0</v>
      </c>
      <c r="AE94">
        <f t="shared" si="59"/>
        <v>0</v>
      </c>
      <c r="AF94">
        <f t="shared" si="59"/>
        <v>0</v>
      </c>
      <c r="AG94">
        <f t="shared" si="59"/>
        <v>0</v>
      </c>
      <c r="AH94">
        <f t="shared" si="59"/>
        <v>0</v>
      </c>
      <c r="AI94">
        <f t="shared" si="59"/>
        <v>0</v>
      </c>
      <c r="AJ94">
        <f t="shared" si="59"/>
        <v>0</v>
      </c>
      <c r="AK94">
        <f t="shared" si="59"/>
        <v>0</v>
      </c>
      <c r="AL94">
        <f t="shared" si="59"/>
        <v>0</v>
      </c>
      <c r="AM94">
        <f t="shared" si="59"/>
        <v>0</v>
      </c>
      <c r="AN94">
        <f t="shared" si="59"/>
        <v>0</v>
      </c>
      <c r="AO94">
        <f t="shared" si="59"/>
        <v>0</v>
      </c>
      <c r="AP94">
        <f t="shared" si="59"/>
        <v>0</v>
      </c>
      <c r="AQ94">
        <f t="shared" si="59"/>
        <v>0</v>
      </c>
      <c r="AR94">
        <f>E94+Q94+R94+S94+T94+U94+W94+X94+Y94+Z94+AA94+AB94+AC94+AD94+AE94+AF94+AG94+AH94+AI94+AJ94+AK94+AL94+AM94+AN94+AO94+AP94+AQ94</f>
        <v>0</v>
      </c>
      <c r="AS94">
        <f>D94+V116-AR94</f>
        <v>0.36</v>
      </c>
    </row>
    <row r="95" spans="1:45" ht="20.25" customHeight="1">
      <c r="A95" t="s">
        <v>65</v>
      </c>
      <c r="B95" t="s">
        <v>66</v>
      </c>
      <c r="C95" t="s">
        <v>67</v>
      </c>
      <c r="D95">
        <f t="shared" si="60"/>
        <v>4.0599999999999996</v>
      </c>
      <c r="E95">
        <f t="shared" si="39"/>
        <v>0</v>
      </c>
      <c r="F95">
        <f t="shared" si="61"/>
        <v>0</v>
      </c>
      <c r="G95">
        <f t="shared" si="61"/>
        <v>0</v>
      </c>
      <c r="H95">
        <f t="shared" si="62"/>
        <v>0</v>
      </c>
      <c r="I95">
        <f t="shared" si="62"/>
        <v>0</v>
      </c>
      <c r="J95">
        <f t="shared" si="56"/>
        <v>0</v>
      </c>
      <c r="K95">
        <f t="shared" si="56"/>
        <v>0</v>
      </c>
      <c r="L95">
        <f t="shared" si="56"/>
        <v>0</v>
      </c>
      <c r="M95">
        <f t="shared" si="56"/>
        <v>0</v>
      </c>
      <c r="N95">
        <f t="shared" si="56"/>
        <v>0</v>
      </c>
      <c r="O95">
        <f t="shared" si="56"/>
        <v>0</v>
      </c>
      <c r="P95">
        <f t="shared" si="63"/>
        <v>4.0599999999999996</v>
      </c>
      <c r="Q95">
        <f t="shared" si="66"/>
        <v>0</v>
      </c>
      <c r="R95">
        <f t="shared" si="66"/>
        <v>0</v>
      </c>
      <c r="S95">
        <f t="shared" si="66"/>
        <v>0</v>
      </c>
      <c r="T95">
        <f>Z32</f>
        <v>0</v>
      </c>
      <c r="U95">
        <f>AA32</f>
        <v>0</v>
      </c>
      <c r="V95">
        <f>AB32</f>
        <v>0</v>
      </c>
      <c r="W95">
        <f>D95-AR95</f>
        <v>4.0599999999999996</v>
      </c>
      <c r="X95">
        <f>AD32</f>
        <v>0</v>
      </c>
      <c r="Y95">
        <f>AE32</f>
        <v>0</v>
      </c>
      <c r="Z95">
        <f t="shared" si="65"/>
        <v>0</v>
      </c>
      <c r="AA95">
        <f t="shared" si="59"/>
        <v>0</v>
      </c>
      <c r="AB95">
        <f t="shared" si="59"/>
        <v>0</v>
      </c>
      <c r="AC95">
        <f t="shared" si="59"/>
        <v>0</v>
      </c>
      <c r="AD95">
        <f t="shared" si="59"/>
        <v>0</v>
      </c>
      <c r="AE95">
        <f t="shared" si="59"/>
        <v>0</v>
      </c>
      <c r="AF95">
        <f t="shared" si="59"/>
        <v>0</v>
      </c>
      <c r="AG95">
        <f t="shared" si="59"/>
        <v>0</v>
      </c>
      <c r="AH95">
        <f t="shared" si="59"/>
        <v>0</v>
      </c>
      <c r="AI95">
        <f t="shared" si="59"/>
        <v>0</v>
      </c>
      <c r="AJ95">
        <f t="shared" si="59"/>
        <v>0</v>
      </c>
      <c r="AK95">
        <f t="shared" si="59"/>
        <v>0</v>
      </c>
      <c r="AL95">
        <f t="shared" si="59"/>
        <v>0</v>
      </c>
      <c r="AM95">
        <f t="shared" si="59"/>
        <v>0</v>
      </c>
      <c r="AN95">
        <f t="shared" si="59"/>
        <v>0</v>
      </c>
      <c r="AO95">
        <f t="shared" si="59"/>
        <v>0</v>
      </c>
      <c r="AP95">
        <f t="shared" si="59"/>
        <v>0</v>
      </c>
      <c r="AQ95">
        <f t="shared" si="59"/>
        <v>0</v>
      </c>
      <c r="AR95">
        <f>E95+Q95+R95+S95+T95+U95+V95+X95+Y95+Z95+AA95+AB95+AC95+AD95+AE95+AF95+AG95+AH95+AI95+AJ95+AK95+AL95+AM95+AN95+AO95+AP95+AQ95</f>
        <v>0</v>
      </c>
      <c r="AS95">
        <f>D95+W116-AR95</f>
        <v>4.0599999999999996</v>
      </c>
    </row>
    <row r="96" spans="1:45" ht="20.25" customHeight="1">
      <c r="A96" t="s">
        <v>68</v>
      </c>
      <c r="B96" t="s">
        <v>69</v>
      </c>
      <c r="C96" t="s">
        <v>70</v>
      </c>
      <c r="D96">
        <f t="shared" si="60"/>
        <v>0</v>
      </c>
      <c r="E96">
        <f t="shared" si="39"/>
        <v>0</v>
      </c>
      <c r="F96">
        <f t="shared" si="61"/>
        <v>0</v>
      </c>
      <c r="G96">
        <f t="shared" si="61"/>
        <v>0</v>
      </c>
      <c r="H96">
        <f t="shared" si="62"/>
        <v>0</v>
      </c>
      <c r="I96">
        <f t="shared" si="62"/>
        <v>0</v>
      </c>
      <c r="J96">
        <f t="shared" si="56"/>
        <v>0</v>
      </c>
      <c r="K96">
        <f t="shared" si="56"/>
        <v>0</v>
      </c>
      <c r="L96">
        <f t="shared" si="56"/>
        <v>0</v>
      </c>
      <c r="M96">
        <f t="shared" si="56"/>
        <v>0</v>
      </c>
      <c r="N96">
        <f t="shared" si="56"/>
        <v>0</v>
      </c>
      <c r="O96">
        <f t="shared" si="56"/>
        <v>0</v>
      </c>
      <c r="P96">
        <f t="shared" si="63"/>
        <v>0</v>
      </c>
      <c r="Q96">
        <f t="shared" si="66"/>
        <v>0</v>
      </c>
      <c r="R96">
        <f t="shared" si="66"/>
        <v>0</v>
      </c>
      <c r="S96">
        <f t="shared" si="66"/>
        <v>0</v>
      </c>
      <c r="T96">
        <f>Z33</f>
        <v>0</v>
      </c>
      <c r="U96">
        <f>AA33</f>
        <v>0</v>
      </c>
      <c r="V96">
        <f>AB33</f>
        <v>0</v>
      </c>
      <c r="W96">
        <f>AC33</f>
        <v>0</v>
      </c>
      <c r="X96">
        <f>D96-AR96</f>
        <v>0</v>
      </c>
      <c r="Y96">
        <f>AE33</f>
        <v>0</v>
      </c>
      <c r="Z96">
        <f t="shared" si="65"/>
        <v>0</v>
      </c>
      <c r="AA96">
        <f t="shared" si="59"/>
        <v>0</v>
      </c>
      <c r="AB96">
        <f t="shared" si="59"/>
        <v>0</v>
      </c>
      <c r="AC96">
        <f t="shared" si="59"/>
        <v>0</v>
      </c>
      <c r="AD96">
        <f t="shared" si="59"/>
        <v>0</v>
      </c>
      <c r="AE96">
        <f t="shared" si="59"/>
        <v>0</v>
      </c>
      <c r="AF96">
        <f t="shared" si="59"/>
        <v>0</v>
      </c>
      <c r="AG96">
        <f t="shared" si="59"/>
        <v>0</v>
      </c>
      <c r="AH96">
        <f t="shared" si="59"/>
        <v>0</v>
      </c>
      <c r="AI96">
        <f t="shared" si="59"/>
        <v>0</v>
      </c>
      <c r="AJ96">
        <f t="shared" si="59"/>
        <v>0</v>
      </c>
      <c r="AK96">
        <f t="shared" si="59"/>
        <v>0</v>
      </c>
      <c r="AL96">
        <f t="shared" si="59"/>
        <v>0</v>
      </c>
      <c r="AM96">
        <f t="shared" si="59"/>
        <v>0</v>
      </c>
      <c r="AN96">
        <f t="shared" si="59"/>
        <v>0</v>
      </c>
      <c r="AO96">
        <f t="shared" si="59"/>
        <v>0</v>
      </c>
      <c r="AP96">
        <f t="shared" si="59"/>
        <v>0</v>
      </c>
      <c r="AQ96">
        <f t="shared" si="59"/>
        <v>0</v>
      </c>
      <c r="AR96">
        <f>E96+Q96+R96+S96+T96+U96+V96+W96+Y96+Z96+AA96+AB96+AC96+AD96+AE96+AF96+AG96+AH96+AI96+AJ96+AK96+AL96+AM96+AN96+AO96+AP96+AQ96</f>
        <v>0</v>
      </c>
      <c r="AS96">
        <f>D96+X116-AR96</f>
        <v>0</v>
      </c>
    </row>
    <row r="97" spans="1:45" ht="38.25" customHeight="1">
      <c r="A97" t="s">
        <v>71</v>
      </c>
      <c r="B97" t="s">
        <v>135</v>
      </c>
      <c r="C97" t="s">
        <v>72</v>
      </c>
      <c r="D97">
        <f t="shared" si="60"/>
        <v>117.68999999999998</v>
      </c>
      <c r="E97">
        <f t="shared" si="39"/>
        <v>0</v>
      </c>
      <c r="F97">
        <f t="shared" si="61"/>
        <v>0</v>
      </c>
      <c r="G97">
        <f t="shared" si="61"/>
        <v>0</v>
      </c>
      <c r="H97">
        <f t="shared" si="62"/>
        <v>0</v>
      </c>
      <c r="I97">
        <f t="shared" si="62"/>
        <v>0</v>
      </c>
      <c r="J97">
        <f>P34</f>
        <v>0</v>
      </c>
      <c r="K97">
        <f t="shared" si="56"/>
        <v>0</v>
      </c>
      <c r="L97">
        <f t="shared" si="56"/>
        <v>0</v>
      </c>
      <c r="M97">
        <f t="shared" si="56"/>
        <v>0</v>
      </c>
      <c r="N97">
        <f t="shared" si="56"/>
        <v>0</v>
      </c>
      <c r="O97">
        <f t="shared" si="56"/>
        <v>0</v>
      </c>
      <c r="P97">
        <f t="shared" si="63"/>
        <v>117.68999999999998</v>
      </c>
      <c r="Q97">
        <f t="shared" si="66"/>
        <v>0</v>
      </c>
      <c r="R97">
        <f t="shared" si="66"/>
        <v>0</v>
      </c>
      <c r="S97">
        <f t="shared" si="66"/>
        <v>0</v>
      </c>
      <c r="T97">
        <f>Z34</f>
        <v>0</v>
      </c>
      <c r="U97">
        <f>AA34</f>
        <v>0</v>
      </c>
      <c r="V97">
        <f>AB34</f>
        <v>0</v>
      </c>
      <c r="W97">
        <f>AC34</f>
        <v>0</v>
      </c>
      <c r="X97">
        <f>AD34</f>
        <v>0</v>
      </c>
      <c r="Y97">
        <f>D97-AR97</f>
        <v>117.44999999999999</v>
      </c>
      <c r="Z97">
        <f t="shared" si="65"/>
        <v>0</v>
      </c>
      <c r="AA97">
        <f t="shared" si="59"/>
        <v>0</v>
      </c>
      <c r="AB97">
        <f t="shared" si="59"/>
        <v>0</v>
      </c>
      <c r="AC97">
        <f t="shared" si="59"/>
        <v>0</v>
      </c>
      <c r="AD97">
        <f t="shared" si="59"/>
        <v>0.24</v>
      </c>
      <c r="AE97">
        <f t="shared" si="59"/>
        <v>0</v>
      </c>
      <c r="AF97">
        <f t="shared" si="59"/>
        <v>0</v>
      </c>
      <c r="AG97">
        <f t="shared" si="59"/>
        <v>0</v>
      </c>
      <c r="AH97">
        <f t="shared" si="59"/>
        <v>0</v>
      </c>
      <c r="AI97">
        <f t="shared" si="59"/>
        <v>0</v>
      </c>
      <c r="AJ97">
        <f t="shared" si="59"/>
        <v>0</v>
      </c>
      <c r="AK97">
        <f t="shared" si="59"/>
        <v>0</v>
      </c>
      <c r="AL97">
        <f t="shared" si="59"/>
        <v>0</v>
      </c>
      <c r="AM97">
        <f t="shared" si="59"/>
        <v>0</v>
      </c>
      <c r="AN97">
        <f t="shared" si="59"/>
        <v>0</v>
      </c>
      <c r="AO97">
        <f t="shared" si="59"/>
        <v>0</v>
      </c>
      <c r="AP97">
        <f t="shared" si="59"/>
        <v>0</v>
      </c>
      <c r="AQ97">
        <f t="shared" si="59"/>
        <v>0</v>
      </c>
      <c r="AR97">
        <f>E97+Q97+R97+S97+T97+U97+V97+W97+X97+Z97+AA97+AB97+AC97+AD97+AE97+AF97+AG97+AH97+AI97+AJ97+AK97+AL97+AM97+AN97+AO97+AP97+AQ97</f>
        <v>0.24</v>
      </c>
      <c r="AS97">
        <f>D97+Y116-AR97</f>
        <v>118.78999999999999</v>
      </c>
    </row>
    <row r="98" spans="1:45" ht="20.25" customHeight="1">
      <c r="A98" t="s">
        <v>73</v>
      </c>
      <c r="B98" t="s">
        <v>74</v>
      </c>
      <c r="C98" t="s">
        <v>75</v>
      </c>
      <c r="D98">
        <f>D46</f>
        <v>0</v>
      </c>
      <c r="E98">
        <f t="shared" si="39"/>
        <v>0</v>
      </c>
      <c r="F98">
        <f>H46</f>
        <v>0</v>
      </c>
      <c r="G98">
        <f>I46</f>
        <v>0</v>
      </c>
      <c r="H98">
        <f>M46</f>
        <v>0</v>
      </c>
      <c r="I98">
        <f>N46</f>
        <v>0</v>
      </c>
      <c r="J98">
        <f t="shared" ref="J98:O113" si="68">P46</f>
        <v>0</v>
      </c>
      <c r="K98">
        <f t="shared" si="68"/>
        <v>0</v>
      </c>
      <c r="L98">
        <f t="shared" si="68"/>
        <v>0</v>
      </c>
      <c r="M98">
        <f t="shared" si="68"/>
        <v>0</v>
      </c>
      <c r="N98">
        <f t="shared" si="68"/>
        <v>0</v>
      </c>
      <c r="O98">
        <f t="shared" si="68"/>
        <v>0</v>
      </c>
      <c r="P98">
        <f t="shared" si="63"/>
        <v>0</v>
      </c>
      <c r="Q98">
        <f t="shared" ref="Q98:Y113" si="69">W46</f>
        <v>0</v>
      </c>
      <c r="R98">
        <f t="shared" si="69"/>
        <v>0</v>
      </c>
      <c r="S98">
        <f t="shared" si="69"/>
        <v>0</v>
      </c>
      <c r="T98">
        <f t="shared" si="69"/>
        <v>0</v>
      </c>
      <c r="U98">
        <f t="shared" si="69"/>
        <v>0</v>
      </c>
      <c r="V98">
        <f t="shared" si="69"/>
        <v>0</v>
      </c>
      <c r="W98">
        <f t="shared" si="69"/>
        <v>0</v>
      </c>
      <c r="X98">
        <f t="shared" si="69"/>
        <v>0</v>
      </c>
      <c r="Y98">
        <f t="shared" si="69"/>
        <v>0</v>
      </c>
      <c r="Z98">
        <f>D98-AR98</f>
        <v>0</v>
      </c>
      <c r="AA98">
        <f>AR46</f>
        <v>0</v>
      </c>
      <c r="AB98">
        <f t="shared" ref="AB98:AQ109" si="70">AS46</f>
        <v>0</v>
      </c>
      <c r="AC98">
        <f t="shared" si="70"/>
        <v>0</v>
      </c>
      <c r="AD98">
        <f t="shared" si="70"/>
        <v>0</v>
      </c>
      <c r="AE98">
        <f t="shared" si="70"/>
        <v>0</v>
      </c>
      <c r="AF98">
        <f t="shared" si="70"/>
        <v>0</v>
      </c>
      <c r="AG98">
        <f t="shared" si="70"/>
        <v>0</v>
      </c>
      <c r="AH98">
        <f t="shared" si="70"/>
        <v>0</v>
      </c>
      <c r="AI98">
        <f t="shared" si="70"/>
        <v>0</v>
      </c>
      <c r="AJ98">
        <f t="shared" si="70"/>
        <v>0</v>
      </c>
      <c r="AK98">
        <f t="shared" si="70"/>
        <v>0</v>
      </c>
      <c r="AL98">
        <f t="shared" si="70"/>
        <v>0</v>
      </c>
      <c r="AM98">
        <f t="shared" si="70"/>
        <v>0</v>
      </c>
      <c r="AN98">
        <f t="shared" si="70"/>
        <v>0</v>
      </c>
      <c r="AO98">
        <f t="shared" si="70"/>
        <v>0</v>
      </c>
      <c r="AP98">
        <f t="shared" si="70"/>
        <v>0</v>
      </c>
      <c r="AQ98">
        <f t="shared" si="70"/>
        <v>0</v>
      </c>
      <c r="AR98">
        <f>E98+Q98+R98+S98+T98+U98+V98+W98+X98+Y98+AA98+AB98+AC98+AD98+AE98+AF98+AG98+AH98+AI98+AJ98+AK98+AL98+AM98+AN98+AO98+AP98+AQ98</f>
        <v>0</v>
      </c>
      <c r="AS98">
        <f>D98+Z116-AR98</f>
        <v>0</v>
      </c>
    </row>
    <row r="99" spans="1:45" ht="20.25" customHeight="1">
      <c r="A99" t="s">
        <v>76</v>
      </c>
      <c r="B99" t="s">
        <v>77</v>
      </c>
      <c r="C99" t="s">
        <v>78</v>
      </c>
      <c r="D99">
        <f t="shared" ref="D99:D114" si="71">D47</f>
        <v>0</v>
      </c>
      <c r="E99">
        <f t="shared" si="39"/>
        <v>0</v>
      </c>
      <c r="F99">
        <f t="shared" ref="F99:G115" si="72">H47</f>
        <v>0</v>
      </c>
      <c r="G99">
        <f t="shared" si="72"/>
        <v>0</v>
      </c>
      <c r="H99">
        <f t="shared" ref="H99:I115" si="73">M47</f>
        <v>0</v>
      </c>
      <c r="I99">
        <f t="shared" si="73"/>
        <v>0</v>
      </c>
      <c r="J99">
        <f t="shared" si="68"/>
        <v>0</v>
      </c>
      <c r="K99">
        <f t="shared" si="68"/>
        <v>0</v>
      </c>
      <c r="L99">
        <f t="shared" si="68"/>
        <v>0</v>
      </c>
      <c r="M99">
        <f t="shared" si="68"/>
        <v>0</v>
      </c>
      <c r="N99">
        <f t="shared" si="68"/>
        <v>0</v>
      </c>
      <c r="O99">
        <f t="shared" si="68"/>
        <v>0</v>
      </c>
      <c r="P99">
        <f t="shared" si="63"/>
        <v>0</v>
      </c>
      <c r="Q99">
        <f t="shared" si="69"/>
        <v>0</v>
      </c>
      <c r="R99">
        <f t="shared" si="69"/>
        <v>0</v>
      </c>
      <c r="S99">
        <f t="shared" si="69"/>
        <v>0</v>
      </c>
      <c r="T99">
        <f t="shared" si="69"/>
        <v>0</v>
      </c>
      <c r="U99">
        <f t="shared" si="69"/>
        <v>0</v>
      </c>
      <c r="V99">
        <f t="shared" si="69"/>
        <v>0</v>
      </c>
      <c r="W99">
        <f t="shared" si="69"/>
        <v>0</v>
      </c>
      <c r="X99">
        <f t="shared" si="69"/>
        <v>0</v>
      </c>
      <c r="Y99">
        <f t="shared" si="69"/>
        <v>0</v>
      </c>
      <c r="Z99">
        <f>AQ47</f>
        <v>0</v>
      </c>
      <c r="AA99">
        <f>D99-AR99</f>
        <v>0</v>
      </c>
      <c r="AB99">
        <f>AS47</f>
        <v>0</v>
      </c>
      <c r="AC99">
        <f t="shared" si="70"/>
        <v>0</v>
      </c>
      <c r="AD99">
        <f t="shared" si="70"/>
        <v>0</v>
      </c>
      <c r="AE99">
        <f t="shared" si="70"/>
        <v>0</v>
      </c>
      <c r="AF99">
        <f t="shared" si="70"/>
        <v>0</v>
      </c>
      <c r="AG99">
        <f t="shared" si="70"/>
        <v>0</v>
      </c>
      <c r="AH99">
        <f t="shared" si="70"/>
        <v>0</v>
      </c>
      <c r="AI99">
        <f t="shared" si="70"/>
        <v>0</v>
      </c>
      <c r="AJ99">
        <f t="shared" si="70"/>
        <v>0</v>
      </c>
      <c r="AK99">
        <f t="shared" si="70"/>
        <v>0</v>
      </c>
      <c r="AL99">
        <f t="shared" si="70"/>
        <v>0</v>
      </c>
      <c r="AM99">
        <f t="shared" si="70"/>
        <v>0</v>
      </c>
      <c r="AN99">
        <f t="shared" si="70"/>
        <v>0</v>
      </c>
      <c r="AO99">
        <f t="shared" si="70"/>
        <v>0</v>
      </c>
      <c r="AP99">
        <f t="shared" si="70"/>
        <v>0</v>
      </c>
      <c r="AQ99">
        <f t="shared" si="70"/>
        <v>0</v>
      </c>
      <c r="AR99">
        <f>E99+Q99+R99+S99+T99+U99+V99+W99+X99+Y99+Z99+AB99+AC99+AD99+AE99+AF99+AG99+AH99+AI99+AJ99+AK99+AL99+AM99+AN99+AO99+AP99+AQ99</f>
        <v>0</v>
      </c>
      <c r="AS99">
        <f>D99+AA116-AR99</f>
        <v>0</v>
      </c>
    </row>
    <row r="100" spans="1:45" ht="20.25" customHeight="1">
      <c r="A100" t="s">
        <v>79</v>
      </c>
      <c r="B100" t="s">
        <v>80</v>
      </c>
      <c r="C100" t="s">
        <v>81</v>
      </c>
      <c r="D100">
        <f t="shared" si="71"/>
        <v>0</v>
      </c>
      <c r="E100">
        <f t="shared" si="39"/>
        <v>0</v>
      </c>
      <c r="F100">
        <f t="shared" si="72"/>
        <v>0</v>
      </c>
      <c r="G100">
        <f t="shared" si="72"/>
        <v>0</v>
      </c>
      <c r="H100">
        <f t="shared" si="73"/>
        <v>0</v>
      </c>
      <c r="I100">
        <f t="shared" si="73"/>
        <v>0</v>
      </c>
      <c r="J100">
        <f t="shared" si="68"/>
        <v>0</v>
      </c>
      <c r="K100">
        <f t="shared" si="68"/>
        <v>0</v>
      </c>
      <c r="L100">
        <f t="shared" si="68"/>
        <v>0</v>
      </c>
      <c r="M100">
        <f t="shared" si="68"/>
        <v>0</v>
      </c>
      <c r="N100">
        <f t="shared" si="68"/>
        <v>0</v>
      </c>
      <c r="O100">
        <f t="shared" si="68"/>
        <v>0</v>
      </c>
      <c r="P100">
        <f t="shared" si="63"/>
        <v>0</v>
      </c>
      <c r="Q100">
        <f t="shared" si="69"/>
        <v>0</v>
      </c>
      <c r="R100">
        <f t="shared" si="69"/>
        <v>0</v>
      </c>
      <c r="S100">
        <f t="shared" si="69"/>
        <v>0</v>
      </c>
      <c r="T100">
        <f t="shared" si="69"/>
        <v>0</v>
      </c>
      <c r="U100">
        <f t="shared" si="69"/>
        <v>0</v>
      </c>
      <c r="V100">
        <f t="shared" si="69"/>
        <v>0</v>
      </c>
      <c r="W100">
        <f t="shared" si="69"/>
        <v>0</v>
      </c>
      <c r="X100">
        <f t="shared" si="69"/>
        <v>0</v>
      </c>
      <c r="Y100">
        <f t="shared" si="69"/>
        <v>0</v>
      </c>
      <c r="Z100">
        <f t="shared" ref="Z100:AK115" si="74">AQ48</f>
        <v>0</v>
      </c>
      <c r="AA100">
        <f t="shared" si="74"/>
        <v>0</v>
      </c>
      <c r="AB100">
        <f>D100-AR100</f>
        <v>0</v>
      </c>
      <c r="AC100">
        <f>AT48</f>
        <v>0</v>
      </c>
      <c r="AD100">
        <f t="shared" si="70"/>
        <v>0</v>
      </c>
      <c r="AE100">
        <f t="shared" si="70"/>
        <v>0</v>
      </c>
      <c r="AF100">
        <f t="shared" si="70"/>
        <v>0</v>
      </c>
      <c r="AG100">
        <f t="shared" si="70"/>
        <v>0</v>
      </c>
      <c r="AH100">
        <f t="shared" si="70"/>
        <v>0</v>
      </c>
      <c r="AI100">
        <f t="shared" si="70"/>
        <v>0</v>
      </c>
      <c r="AJ100">
        <f t="shared" si="70"/>
        <v>0</v>
      </c>
      <c r="AK100">
        <f t="shared" si="70"/>
        <v>0</v>
      </c>
      <c r="AL100">
        <f t="shared" si="70"/>
        <v>0</v>
      </c>
      <c r="AM100">
        <f t="shared" si="70"/>
        <v>0</v>
      </c>
      <c r="AN100">
        <f t="shared" si="70"/>
        <v>0</v>
      </c>
      <c r="AO100">
        <f t="shared" si="70"/>
        <v>0</v>
      </c>
      <c r="AP100">
        <f t="shared" si="70"/>
        <v>0</v>
      </c>
      <c r="AQ100">
        <f t="shared" si="70"/>
        <v>0</v>
      </c>
      <c r="AR100">
        <f>E100+Q100+R100+S100+T100+U100+V100+W100+X100+Y100+Z100+AA100+AC100+AD100+AE100+AF100+AG100+AH100+AI100+AJ100+AK100+AL100+AM100+AN100+AO100+AP100+AQ100</f>
        <v>0</v>
      </c>
      <c r="AS100">
        <f>D100+AB116-AR100</f>
        <v>0</v>
      </c>
    </row>
    <row r="101" spans="1:45" ht="20.25" customHeight="1">
      <c r="A101" t="s">
        <v>82</v>
      </c>
      <c r="B101" t="s">
        <v>83</v>
      </c>
      <c r="C101" t="s">
        <v>84</v>
      </c>
      <c r="D101">
        <f t="shared" si="71"/>
        <v>0</v>
      </c>
      <c r="E101">
        <f t="shared" si="39"/>
        <v>0</v>
      </c>
      <c r="F101">
        <f t="shared" si="72"/>
        <v>0</v>
      </c>
      <c r="G101">
        <f t="shared" si="72"/>
        <v>0</v>
      </c>
      <c r="H101">
        <f t="shared" si="73"/>
        <v>0</v>
      </c>
      <c r="I101">
        <f t="shared" si="73"/>
        <v>0</v>
      </c>
      <c r="J101">
        <f t="shared" si="68"/>
        <v>0</v>
      </c>
      <c r="K101">
        <f t="shared" si="68"/>
        <v>0</v>
      </c>
      <c r="L101">
        <f t="shared" si="68"/>
        <v>0</v>
      </c>
      <c r="M101">
        <f t="shared" si="68"/>
        <v>0</v>
      </c>
      <c r="N101">
        <f t="shared" si="68"/>
        <v>0</v>
      </c>
      <c r="O101">
        <f t="shared" si="68"/>
        <v>0</v>
      </c>
      <c r="P101">
        <f t="shared" si="63"/>
        <v>0</v>
      </c>
      <c r="Q101">
        <f t="shared" si="69"/>
        <v>0</v>
      </c>
      <c r="R101">
        <f t="shared" si="69"/>
        <v>0</v>
      </c>
      <c r="S101">
        <f t="shared" si="69"/>
        <v>0</v>
      </c>
      <c r="T101">
        <f t="shared" si="69"/>
        <v>0</v>
      </c>
      <c r="U101">
        <f t="shared" si="69"/>
        <v>0</v>
      </c>
      <c r="V101">
        <f t="shared" si="69"/>
        <v>0</v>
      </c>
      <c r="W101">
        <f t="shared" si="69"/>
        <v>0</v>
      </c>
      <c r="X101">
        <f t="shared" si="69"/>
        <v>0</v>
      </c>
      <c r="Y101">
        <f t="shared" si="69"/>
        <v>0</v>
      </c>
      <c r="Z101">
        <f t="shared" si="74"/>
        <v>0</v>
      </c>
      <c r="AA101">
        <f t="shared" si="74"/>
        <v>0</v>
      </c>
      <c r="AB101">
        <f t="shared" si="74"/>
        <v>0</v>
      </c>
      <c r="AC101">
        <f>D101-AR101</f>
        <v>0</v>
      </c>
      <c r="AD101">
        <f>AU49</f>
        <v>0</v>
      </c>
      <c r="AE101">
        <f t="shared" si="70"/>
        <v>0</v>
      </c>
      <c r="AF101">
        <f t="shared" si="70"/>
        <v>0</v>
      </c>
      <c r="AG101">
        <f t="shared" si="70"/>
        <v>0</v>
      </c>
      <c r="AH101">
        <f t="shared" si="70"/>
        <v>0</v>
      </c>
      <c r="AI101">
        <f t="shared" si="70"/>
        <v>0</v>
      </c>
      <c r="AJ101">
        <f t="shared" si="70"/>
        <v>0</v>
      </c>
      <c r="AK101">
        <f t="shared" si="70"/>
        <v>0</v>
      </c>
      <c r="AL101">
        <f t="shared" si="70"/>
        <v>0</v>
      </c>
      <c r="AM101">
        <f t="shared" si="70"/>
        <v>0</v>
      </c>
      <c r="AN101">
        <f t="shared" si="70"/>
        <v>0</v>
      </c>
      <c r="AO101">
        <f t="shared" si="70"/>
        <v>0</v>
      </c>
      <c r="AP101">
        <f t="shared" si="70"/>
        <v>0</v>
      </c>
      <c r="AQ101">
        <f t="shared" si="70"/>
        <v>0</v>
      </c>
      <c r="AR101">
        <f>E101+Q101+R101+S101+T101+U101+V101+W101+X101+Y101+Z101+AA101+AB101+AD101+AE101+AF101+AG101+AH101+AI101+AJ101+AK101+AL101+AM101+AN101+AO101+AP101+AQ101</f>
        <v>0</v>
      </c>
      <c r="AS101">
        <f>D101+AC116-AR101</f>
        <v>0</v>
      </c>
    </row>
    <row r="102" spans="1:45" ht="20.25" customHeight="1">
      <c r="A102" t="s">
        <v>85</v>
      </c>
      <c r="B102" t="s">
        <v>86</v>
      </c>
      <c r="C102" t="s">
        <v>87</v>
      </c>
      <c r="D102">
        <f t="shared" si="71"/>
        <v>28.24</v>
      </c>
      <c r="E102">
        <f t="shared" si="39"/>
        <v>0</v>
      </c>
      <c r="F102">
        <f t="shared" si="72"/>
        <v>0</v>
      </c>
      <c r="G102">
        <f t="shared" si="72"/>
        <v>0</v>
      </c>
      <c r="H102">
        <f t="shared" si="73"/>
        <v>0</v>
      </c>
      <c r="I102">
        <f t="shared" si="73"/>
        <v>0</v>
      </c>
      <c r="J102">
        <f t="shared" si="68"/>
        <v>0</v>
      </c>
      <c r="K102">
        <f t="shared" si="68"/>
        <v>0</v>
      </c>
      <c r="L102">
        <f t="shared" si="68"/>
        <v>0</v>
      </c>
      <c r="M102">
        <f t="shared" si="68"/>
        <v>0</v>
      </c>
      <c r="N102">
        <f t="shared" si="68"/>
        <v>0</v>
      </c>
      <c r="O102">
        <f t="shared" si="68"/>
        <v>0</v>
      </c>
      <c r="P102">
        <f t="shared" si="63"/>
        <v>28.24</v>
      </c>
      <c r="Q102">
        <f t="shared" si="69"/>
        <v>0</v>
      </c>
      <c r="R102">
        <f t="shared" si="69"/>
        <v>0</v>
      </c>
      <c r="S102">
        <f t="shared" si="69"/>
        <v>0</v>
      </c>
      <c r="T102">
        <f t="shared" si="69"/>
        <v>0</v>
      </c>
      <c r="U102">
        <f t="shared" si="69"/>
        <v>0</v>
      </c>
      <c r="V102">
        <f t="shared" si="69"/>
        <v>0</v>
      </c>
      <c r="W102">
        <f t="shared" si="69"/>
        <v>0</v>
      </c>
      <c r="X102">
        <f t="shared" si="69"/>
        <v>0</v>
      </c>
      <c r="Y102">
        <f t="shared" si="69"/>
        <v>0</v>
      </c>
      <c r="Z102">
        <f t="shared" si="74"/>
        <v>0</v>
      </c>
      <c r="AA102">
        <f t="shared" si="74"/>
        <v>0</v>
      </c>
      <c r="AB102">
        <f t="shared" si="74"/>
        <v>0</v>
      </c>
      <c r="AC102">
        <f t="shared" si="74"/>
        <v>0</v>
      </c>
      <c r="AD102">
        <f>D102-AR102</f>
        <v>28.24</v>
      </c>
      <c r="AE102">
        <f>AV50</f>
        <v>0</v>
      </c>
      <c r="AF102">
        <f t="shared" si="70"/>
        <v>0</v>
      </c>
      <c r="AG102">
        <f t="shared" si="70"/>
        <v>0</v>
      </c>
      <c r="AH102">
        <f t="shared" si="70"/>
        <v>0</v>
      </c>
      <c r="AI102">
        <f t="shared" si="70"/>
        <v>0</v>
      </c>
      <c r="AJ102">
        <f t="shared" si="70"/>
        <v>0</v>
      </c>
      <c r="AK102">
        <f t="shared" si="70"/>
        <v>0</v>
      </c>
      <c r="AL102">
        <f t="shared" si="70"/>
        <v>0</v>
      </c>
      <c r="AM102">
        <f t="shared" si="70"/>
        <v>0</v>
      </c>
      <c r="AN102">
        <f t="shared" si="70"/>
        <v>0</v>
      </c>
      <c r="AO102">
        <f t="shared" si="70"/>
        <v>0</v>
      </c>
      <c r="AP102">
        <f t="shared" si="70"/>
        <v>0</v>
      </c>
      <c r="AQ102">
        <f t="shared" si="70"/>
        <v>0</v>
      </c>
      <c r="AR102">
        <f>E102+Q102+R102+S102+T102+U102+V102+W102+X102+Y102+Z102+AA102+AB102+AC102+AE102+AF102+AG102+AH102+AI102+AJ102+AK102+AL102+AM102+AN102+AO102+AP102+AQ102</f>
        <v>0</v>
      </c>
      <c r="AS102">
        <f>D102+AD116-AR102</f>
        <v>28.979999999999997</v>
      </c>
    </row>
    <row r="103" spans="1:45" ht="20.25" customHeight="1">
      <c r="A103" t="s">
        <v>88</v>
      </c>
      <c r="B103" t="s">
        <v>89</v>
      </c>
      <c r="C103" t="s">
        <v>90</v>
      </c>
      <c r="D103">
        <f t="shared" si="71"/>
        <v>0.81</v>
      </c>
      <c r="E103">
        <f t="shared" si="39"/>
        <v>0</v>
      </c>
      <c r="F103">
        <f t="shared" si="72"/>
        <v>0</v>
      </c>
      <c r="G103">
        <f t="shared" si="72"/>
        <v>0</v>
      </c>
      <c r="H103">
        <f t="shared" si="73"/>
        <v>0</v>
      </c>
      <c r="I103">
        <f t="shared" si="73"/>
        <v>0</v>
      </c>
      <c r="J103">
        <f t="shared" si="68"/>
        <v>0</v>
      </c>
      <c r="K103">
        <f t="shared" si="68"/>
        <v>0</v>
      </c>
      <c r="L103">
        <f t="shared" si="68"/>
        <v>0</v>
      </c>
      <c r="M103">
        <f t="shared" si="68"/>
        <v>0</v>
      </c>
      <c r="N103">
        <f t="shared" si="68"/>
        <v>0</v>
      </c>
      <c r="O103">
        <f t="shared" si="68"/>
        <v>0</v>
      </c>
      <c r="P103">
        <f t="shared" si="63"/>
        <v>0.81</v>
      </c>
      <c r="Q103">
        <f t="shared" si="69"/>
        <v>0</v>
      </c>
      <c r="R103">
        <f t="shared" si="69"/>
        <v>0</v>
      </c>
      <c r="S103">
        <f t="shared" si="69"/>
        <v>0</v>
      </c>
      <c r="T103">
        <f t="shared" si="69"/>
        <v>0</v>
      </c>
      <c r="U103">
        <f t="shared" si="69"/>
        <v>0</v>
      </c>
      <c r="V103">
        <f t="shared" si="69"/>
        <v>0</v>
      </c>
      <c r="W103">
        <f t="shared" si="69"/>
        <v>0</v>
      </c>
      <c r="X103">
        <f t="shared" si="69"/>
        <v>0</v>
      </c>
      <c r="Y103">
        <f t="shared" si="69"/>
        <v>0</v>
      </c>
      <c r="Z103">
        <f t="shared" si="74"/>
        <v>0</v>
      </c>
      <c r="AA103">
        <f t="shared" si="74"/>
        <v>0</v>
      </c>
      <c r="AB103">
        <f t="shared" si="74"/>
        <v>0</v>
      </c>
      <c r="AC103">
        <f t="shared" si="74"/>
        <v>0</v>
      </c>
      <c r="AD103">
        <f t="shared" si="74"/>
        <v>0</v>
      </c>
      <c r="AE103">
        <f>D103-AR103</f>
        <v>0.81</v>
      </c>
      <c r="AF103">
        <f>AW51</f>
        <v>0</v>
      </c>
      <c r="AG103">
        <f t="shared" si="70"/>
        <v>0</v>
      </c>
      <c r="AH103">
        <f t="shared" si="70"/>
        <v>0</v>
      </c>
      <c r="AI103">
        <f t="shared" si="70"/>
        <v>0</v>
      </c>
      <c r="AJ103">
        <f t="shared" si="70"/>
        <v>0</v>
      </c>
      <c r="AK103">
        <f t="shared" si="70"/>
        <v>0</v>
      </c>
      <c r="AL103">
        <f t="shared" si="70"/>
        <v>0</v>
      </c>
      <c r="AM103">
        <f t="shared" si="70"/>
        <v>0</v>
      </c>
      <c r="AN103">
        <f t="shared" si="70"/>
        <v>0</v>
      </c>
      <c r="AO103">
        <f t="shared" si="70"/>
        <v>0</v>
      </c>
      <c r="AP103">
        <f t="shared" si="70"/>
        <v>0</v>
      </c>
      <c r="AQ103">
        <f t="shared" si="70"/>
        <v>0</v>
      </c>
      <c r="AR103">
        <f>E103+Q103+R103+S103+T103+U103+V103+W103+X103+Y103+Z103+AA103+AB103+AC103+AD103+AF103+AG103+AH103+AI103+AJ103+AK103+AL103+AM103+AN103+AO103+AP103+AQ103</f>
        <v>0</v>
      </c>
      <c r="AS103">
        <f>D103+AE116-AR103</f>
        <v>0.81</v>
      </c>
    </row>
    <row r="104" spans="1:45" ht="37.5" customHeight="1">
      <c r="A104" t="s">
        <v>91</v>
      </c>
      <c r="B104" t="s">
        <v>92</v>
      </c>
      <c r="C104" t="s">
        <v>93</v>
      </c>
      <c r="D104">
        <f t="shared" si="71"/>
        <v>0</v>
      </c>
      <c r="E104">
        <f t="shared" si="39"/>
        <v>0</v>
      </c>
      <c r="F104">
        <f t="shared" si="72"/>
        <v>0</v>
      </c>
      <c r="G104">
        <f t="shared" si="72"/>
        <v>0</v>
      </c>
      <c r="H104">
        <f t="shared" si="73"/>
        <v>0</v>
      </c>
      <c r="I104">
        <f t="shared" si="73"/>
        <v>0</v>
      </c>
      <c r="J104">
        <f t="shared" si="68"/>
        <v>0</v>
      </c>
      <c r="K104">
        <f t="shared" si="68"/>
        <v>0</v>
      </c>
      <c r="L104">
        <f t="shared" si="68"/>
        <v>0</v>
      </c>
      <c r="M104">
        <f t="shared" si="68"/>
        <v>0</v>
      </c>
      <c r="N104">
        <f t="shared" si="68"/>
        <v>0</v>
      </c>
      <c r="O104">
        <f t="shared" si="68"/>
        <v>0</v>
      </c>
      <c r="P104">
        <f t="shared" si="63"/>
        <v>0</v>
      </c>
      <c r="Q104">
        <f t="shared" si="69"/>
        <v>0</v>
      </c>
      <c r="R104">
        <f t="shared" si="69"/>
        <v>0</v>
      </c>
      <c r="S104">
        <f t="shared" si="69"/>
        <v>0</v>
      </c>
      <c r="T104">
        <f t="shared" si="69"/>
        <v>0</v>
      </c>
      <c r="U104">
        <f t="shared" si="69"/>
        <v>0</v>
      </c>
      <c r="V104">
        <f t="shared" si="69"/>
        <v>0</v>
      </c>
      <c r="W104">
        <f t="shared" si="69"/>
        <v>0</v>
      </c>
      <c r="X104">
        <f t="shared" si="69"/>
        <v>0</v>
      </c>
      <c r="Y104">
        <f t="shared" si="69"/>
        <v>0</v>
      </c>
      <c r="Z104">
        <f t="shared" si="74"/>
        <v>0</v>
      </c>
      <c r="AA104">
        <f t="shared" si="74"/>
        <v>0</v>
      </c>
      <c r="AB104">
        <f t="shared" si="74"/>
        <v>0</v>
      </c>
      <c r="AC104">
        <f t="shared" si="74"/>
        <v>0</v>
      </c>
      <c r="AD104">
        <f t="shared" si="74"/>
        <v>0</v>
      </c>
      <c r="AE104">
        <f t="shared" si="74"/>
        <v>0</v>
      </c>
      <c r="AF104">
        <f>D104-AR104</f>
        <v>0</v>
      </c>
      <c r="AG104">
        <f>AX52</f>
        <v>0</v>
      </c>
      <c r="AH104">
        <f t="shared" si="70"/>
        <v>0</v>
      </c>
      <c r="AI104">
        <f t="shared" si="70"/>
        <v>0</v>
      </c>
      <c r="AJ104">
        <f t="shared" si="70"/>
        <v>0</v>
      </c>
      <c r="AK104">
        <f t="shared" si="70"/>
        <v>0</v>
      </c>
      <c r="AL104">
        <f t="shared" si="70"/>
        <v>0</v>
      </c>
      <c r="AM104">
        <f t="shared" si="70"/>
        <v>0</v>
      </c>
      <c r="AN104">
        <f t="shared" si="70"/>
        <v>0</v>
      </c>
      <c r="AO104">
        <f t="shared" si="70"/>
        <v>0</v>
      </c>
      <c r="AP104">
        <f t="shared" si="70"/>
        <v>0</v>
      </c>
      <c r="AQ104">
        <f t="shared" si="70"/>
        <v>0</v>
      </c>
      <c r="AR104">
        <f>E104+Q104+R104+S104+T104+U104+V104+W104+X104+Y104+Z104+AA104+AB104+AC104+AD104+AE104+AG104+AH104+AI104+AJ104+AK104+AL104+AM104+AN104+AO104+AP104+AQ104</f>
        <v>0</v>
      </c>
      <c r="AS104">
        <f>D104+AF116-AR104</f>
        <v>0</v>
      </c>
    </row>
    <row r="105" spans="1:45" ht="20.25" customHeight="1">
      <c r="A105" t="s">
        <v>94</v>
      </c>
      <c r="B105" t="s">
        <v>95</v>
      </c>
      <c r="C105" t="s">
        <v>96</v>
      </c>
      <c r="D105">
        <f t="shared" si="71"/>
        <v>0</v>
      </c>
      <c r="E105">
        <f t="shared" si="39"/>
        <v>0</v>
      </c>
      <c r="F105">
        <f t="shared" si="72"/>
        <v>0</v>
      </c>
      <c r="G105">
        <f t="shared" si="72"/>
        <v>0</v>
      </c>
      <c r="H105">
        <f t="shared" si="73"/>
        <v>0</v>
      </c>
      <c r="I105">
        <f t="shared" si="73"/>
        <v>0</v>
      </c>
      <c r="J105">
        <f t="shared" si="68"/>
        <v>0</v>
      </c>
      <c r="K105">
        <f t="shared" si="68"/>
        <v>0</v>
      </c>
      <c r="L105">
        <f t="shared" si="68"/>
        <v>0</v>
      </c>
      <c r="M105">
        <f t="shared" si="68"/>
        <v>0</v>
      </c>
      <c r="N105">
        <f t="shared" si="68"/>
        <v>0</v>
      </c>
      <c r="O105">
        <f t="shared" si="68"/>
        <v>0</v>
      </c>
      <c r="P105">
        <f t="shared" si="63"/>
        <v>0</v>
      </c>
      <c r="Q105">
        <f t="shared" si="69"/>
        <v>0</v>
      </c>
      <c r="R105">
        <f t="shared" si="69"/>
        <v>0</v>
      </c>
      <c r="S105">
        <f t="shared" si="69"/>
        <v>0</v>
      </c>
      <c r="T105">
        <f t="shared" si="69"/>
        <v>0</v>
      </c>
      <c r="U105">
        <f t="shared" si="69"/>
        <v>0</v>
      </c>
      <c r="V105">
        <f t="shared" si="69"/>
        <v>0</v>
      </c>
      <c r="W105">
        <f t="shared" si="69"/>
        <v>0</v>
      </c>
      <c r="X105">
        <f t="shared" si="69"/>
        <v>0</v>
      </c>
      <c r="Y105">
        <f t="shared" si="69"/>
        <v>0</v>
      </c>
      <c r="Z105">
        <f t="shared" si="74"/>
        <v>0</v>
      </c>
      <c r="AA105">
        <f t="shared" si="74"/>
        <v>0</v>
      </c>
      <c r="AB105">
        <f t="shared" si="74"/>
        <v>0</v>
      </c>
      <c r="AC105">
        <f t="shared" si="74"/>
        <v>0</v>
      </c>
      <c r="AD105">
        <f t="shared" si="74"/>
        <v>0</v>
      </c>
      <c r="AE105">
        <f t="shared" si="74"/>
        <v>0</v>
      </c>
      <c r="AF105">
        <f t="shared" si="74"/>
        <v>0</v>
      </c>
      <c r="AG105">
        <f>D105-AR105</f>
        <v>0</v>
      </c>
      <c r="AH105">
        <f>AY53</f>
        <v>0</v>
      </c>
      <c r="AI105">
        <f t="shared" si="70"/>
        <v>0</v>
      </c>
      <c r="AJ105">
        <f t="shared" si="70"/>
        <v>0</v>
      </c>
      <c r="AK105">
        <f t="shared" si="70"/>
        <v>0</v>
      </c>
      <c r="AL105">
        <f t="shared" si="70"/>
        <v>0</v>
      </c>
      <c r="AM105">
        <f t="shared" si="70"/>
        <v>0</v>
      </c>
      <c r="AN105">
        <f t="shared" si="70"/>
        <v>0</v>
      </c>
      <c r="AO105">
        <f t="shared" si="70"/>
        <v>0</v>
      </c>
      <c r="AP105">
        <f t="shared" si="70"/>
        <v>0</v>
      </c>
      <c r="AQ105">
        <f t="shared" si="70"/>
        <v>0</v>
      </c>
      <c r="AR105">
        <f>E105+Q105+R105+S105+T105+U105+V105+W105+X105+Y105+Z105+AA105+AB105+AC105+AD105+AE105+AF105+AH105+AI105+AJ105+AK105+AL105+AM105+AN105+AO105+AP105+AQ105</f>
        <v>0</v>
      </c>
      <c r="AS105">
        <f>D105+AG116-AR105</f>
        <v>0</v>
      </c>
    </row>
    <row r="106" spans="1:45" ht="20.25" customHeight="1">
      <c r="A106" t="s">
        <v>97</v>
      </c>
      <c r="B106" t="s">
        <v>98</v>
      </c>
      <c r="C106" t="s">
        <v>99</v>
      </c>
      <c r="D106">
        <f t="shared" si="71"/>
        <v>0.14000000000000001</v>
      </c>
      <c r="E106">
        <f t="shared" si="39"/>
        <v>0</v>
      </c>
      <c r="F106">
        <f t="shared" si="72"/>
        <v>0</v>
      </c>
      <c r="G106">
        <f t="shared" si="72"/>
        <v>0</v>
      </c>
      <c r="H106">
        <f t="shared" si="73"/>
        <v>0</v>
      </c>
      <c r="I106">
        <f t="shared" si="73"/>
        <v>0</v>
      </c>
      <c r="J106">
        <f t="shared" si="68"/>
        <v>0</v>
      </c>
      <c r="K106">
        <f t="shared" si="68"/>
        <v>0</v>
      </c>
      <c r="L106">
        <f t="shared" si="68"/>
        <v>0</v>
      </c>
      <c r="M106">
        <f t="shared" si="68"/>
        <v>0</v>
      </c>
      <c r="N106">
        <f t="shared" si="68"/>
        <v>0</v>
      </c>
      <c r="O106">
        <f t="shared" si="68"/>
        <v>0</v>
      </c>
      <c r="P106">
        <f t="shared" si="63"/>
        <v>0.14000000000000001</v>
      </c>
      <c r="Q106">
        <f t="shared" si="69"/>
        <v>0</v>
      </c>
      <c r="R106">
        <f t="shared" si="69"/>
        <v>0</v>
      </c>
      <c r="S106">
        <f t="shared" si="69"/>
        <v>0</v>
      </c>
      <c r="T106">
        <f t="shared" si="69"/>
        <v>0</v>
      </c>
      <c r="U106">
        <f t="shared" si="69"/>
        <v>0</v>
      </c>
      <c r="V106">
        <f t="shared" si="69"/>
        <v>0</v>
      </c>
      <c r="W106">
        <f t="shared" si="69"/>
        <v>0</v>
      </c>
      <c r="X106">
        <f t="shared" si="69"/>
        <v>0</v>
      </c>
      <c r="Y106">
        <f t="shared" si="69"/>
        <v>0</v>
      </c>
      <c r="Z106">
        <f t="shared" si="74"/>
        <v>0</v>
      </c>
      <c r="AA106">
        <f t="shared" si="74"/>
        <v>0</v>
      </c>
      <c r="AB106">
        <f t="shared" si="74"/>
        <v>0</v>
      </c>
      <c r="AC106">
        <f t="shared" si="74"/>
        <v>0</v>
      </c>
      <c r="AD106">
        <f t="shared" si="74"/>
        <v>0</v>
      </c>
      <c r="AE106">
        <f t="shared" si="74"/>
        <v>0</v>
      </c>
      <c r="AF106">
        <f t="shared" si="74"/>
        <v>0</v>
      </c>
      <c r="AG106">
        <f t="shared" si="74"/>
        <v>0</v>
      </c>
      <c r="AH106">
        <f>D106-AR106</f>
        <v>0.14000000000000001</v>
      </c>
      <c r="AI106">
        <f>AZ54</f>
        <v>0</v>
      </c>
      <c r="AJ106">
        <f t="shared" si="70"/>
        <v>0</v>
      </c>
      <c r="AK106">
        <f t="shared" si="70"/>
        <v>0</v>
      </c>
      <c r="AL106">
        <f t="shared" si="70"/>
        <v>0</v>
      </c>
      <c r="AM106">
        <f t="shared" si="70"/>
        <v>0</v>
      </c>
      <c r="AN106">
        <f t="shared" si="70"/>
        <v>0</v>
      </c>
      <c r="AO106">
        <f t="shared" si="70"/>
        <v>0</v>
      </c>
      <c r="AP106">
        <f t="shared" si="70"/>
        <v>0</v>
      </c>
      <c r="AQ106">
        <f t="shared" si="70"/>
        <v>0</v>
      </c>
      <c r="AR106">
        <f>E106+Q106+R106+S106+T106+U106+V106+W106+X106+Y106+Z106+AA106+AB106+AC106+AD106+AE106+AF106+AG106+AI106+AJ106+AK106+AL106+AM106+AN106+AO106+AP106+AQ106</f>
        <v>0</v>
      </c>
      <c r="AS106">
        <f>D106+AH116-AR106</f>
        <v>0.14000000000000001</v>
      </c>
    </row>
    <row r="107" spans="1:45" ht="31.5" customHeight="1">
      <c r="A107" t="s">
        <v>100</v>
      </c>
      <c r="B107" t="s">
        <v>134</v>
      </c>
      <c r="C107" t="s">
        <v>101</v>
      </c>
      <c r="D107">
        <f t="shared" si="71"/>
        <v>35.35</v>
      </c>
      <c r="E107">
        <f t="shared" si="39"/>
        <v>0</v>
      </c>
      <c r="F107">
        <f t="shared" si="72"/>
        <v>0</v>
      </c>
      <c r="G107">
        <f t="shared" si="72"/>
        <v>0</v>
      </c>
      <c r="H107">
        <f t="shared" si="73"/>
        <v>0</v>
      </c>
      <c r="I107">
        <f t="shared" si="73"/>
        <v>0</v>
      </c>
      <c r="J107">
        <f t="shared" si="68"/>
        <v>0</v>
      </c>
      <c r="K107">
        <f t="shared" si="68"/>
        <v>0</v>
      </c>
      <c r="L107">
        <f t="shared" si="68"/>
        <v>0</v>
      </c>
      <c r="M107">
        <f t="shared" si="68"/>
        <v>0</v>
      </c>
      <c r="N107">
        <f t="shared" si="68"/>
        <v>0</v>
      </c>
      <c r="O107">
        <f t="shared" si="68"/>
        <v>0</v>
      </c>
      <c r="P107">
        <f t="shared" si="63"/>
        <v>35.35</v>
      </c>
      <c r="Q107">
        <f t="shared" si="69"/>
        <v>0</v>
      </c>
      <c r="R107">
        <f t="shared" si="69"/>
        <v>0</v>
      </c>
      <c r="S107">
        <f t="shared" si="69"/>
        <v>0</v>
      </c>
      <c r="T107">
        <f t="shared" si="69"/>
        <v>0</v>
      </c>
      <c r="U107">
        <f t="shared" si="69"/>
        <v>0</v>
      </c>
      <c r="V107">
        <f t="shared" si="69"/>
        <v>0</v>
      </c>
      <c r="W107">
        <f t="shared" si="69"/>
        <v>0</v>
      </c>
      <c r="X107">
        <f t="shared" si="69"/>
        <v>0</v>
      </c>
      <c r="Y107">
        <f t="shared" si="69"/>
        <v>0</v>
      </c>
      <c r="Z107">
        <f t="shared" si="74"/>
        <v>0</v>
      </c>
      <c r="AA107">
        <f t="shared" si="74"/>
        <v>0</v>
      </c>
      <c r="AB107">
        <f t="shared" si="74"/>
        <v>0</v>
      </c>
      <c r="AC107">
        <f t="shared" si="74"/>
        <v>0</v>
      </c>
      <c r="AD107">
        <f t="shared" si="74"/>
        <v>0</v>
      </c>
      <c r="AE107">
        <f t="shared" si="74"/>
        <v>0</v>
      </c>
      <c r="AF107">
        <f t="shared" si="74"/>
        <v>0</v>
      </c>
      <c r="AG107">
        <f t="shared" si="74"/>
        <v>0</v>
      </c>
      <c r="AH107">
        <f t="shared" si="74"/>
        <v>0</v>
      </c>
      <c r="AI107">
        <f>D107-AR107</f>
        <v>35.35</v>
      </c>
      <c r="AJ107">
        <f>BA55</f>
        <v>0</v>
      </c>
      <c r="AK107">
        <f t="shared" si="70"/>
        <v>0</v>
      </c>
      <c r="AL107">
        <f t="shared" si="70"/>
        <v>0</v>
      </c>
      <c r="AM107">
        <f t="shared" si="70"/>
        <v>0</v>
      </c>
      <c r="AN107">
        <f t="shared" si="70"/>
        <v>0</v>
      </c>
      <c r="AO107">
        <f t="shared" si="70"/>
        <v>0</v>
      </c>
      <c r="AP107">
        <f t="shared" si="70"/>
        <v>0</v>
      </c>
      <c r="AQ107">
        <f t="shared" si="70"/>
        <v>0</v>
      </c>
      <c r="AR107">
        <f>E107+Q107+R107+S107+T107+U107+V107+W107+X107+Y107+Z107+AA107+AB107+AC107+AD107+AE107+AF107+AG107+AH107+AJ107+AK107+AL107+AM107+AN107+AO107+AP107+AQ107</f>
        <v>0</v>
      </c>
      <c r="AS107">
        <f>D107+AI116-AR107</f>
        <v>35.35</v>
      </c>
    </row>
    <row r="108" spans="1:45" ht="20.25" customHeight="1">
      <c r="A108" t="s">
        <v>102</v>
      </c>
      <c r="B108" t="s">
        <v>103</v>
      </c>
      <c r="C108" t="s">
        <v>104</v>
      </c>
      <c r="D108">
        <f t="shared" si="71"/>
        <v>0.09</v>
      </c>
      <c r="E108">
        <f t="shared" si="39"/>
        <v>0</v>
      </c>
      <c r="F108">
        <f t="shared" si="72"/>
        <v>0</v>
      </c>
      <c r="G108">
        <f t="shared" si="72"/>
        <v>0</v>
      </c>
      <c r="H108">
        <f t="shared" si="73"/>
        <v>0</v>
      </c>
      <c r="I108">
        <f t="shared" si="73"/>
        <v>0</v>
      </c>
      <c r="J108">
        <f t="shared" si="68"/>
        <v>0</v>
      </c>
      <c r="K108">
        <f t="shared" si="68"/>
        <v>0</v>
      </c>
      <c r="L108">
        <f t="shared" si="68"/>
        <v>0</v>
      </c>
      <c r="M108">
        <f t="shared" si="68"/>
        <v>0</v>
      </c>
      <c r="N108">
        <f t="shared" si="68"/>
        <v>0</v>
      </c>
      <c r="O108">
        <f t="shared" si="68"/>
        <v>0</v>
      </c>
      <c r="P108">
        <f t="shared" si="63"/>
        <v>0.09</v>
      </c>
      <c r="Q108">
        <f t="shared" si="69"/>
        <v>0</v>
      </c>
      <c r="R108">
        <f t="shared" si="69"/>
        <v>0</v>
      </c>
      <c r="S108">
        <f t="shared" si="69"/>
        <v>0</v>
      </c>
      <c r="T108">
        <f t="shared" si="69"/>
        <v>0</v>
      </c>
      <c r="U108">
        <f t="shared" si="69"/>
        <v>0</v>
      </c>
      <c r="V108">
        <f t="shared" si="69"/>
        <v>0</v>
      </c>
      <c r="W108">
        <f t="shared" si="69"/>
        <v>0</v>
      </c>
      <c r="X108">
        <f t="shared" si="69"/>
        <v>0</v>
      </c>
      <c r="Y108">
        <f t="shared" si="69"/>
        <v>0</v>
      </c>
      <c r="Z108">
        <f t="shared" si="74"/>
        <v>0</v>
      </c>
      <c r="AA108">
        <f t="shared" si="74"/>
        <v>0</v>
      </c>
      <c r="AB108">
        <f t="shared" si="74"/>
        <v>0</v>
      </c>
      <c r="AC108">
        <f t="shared" si="74"/>
        <v>0</v>
      </c>
      <c r="AD108">
        <f t="shared" si="74"/>
        <v>0</v>
      </c>
      <c r="AE108">
        <f t="shared" si="74"/>
        <v>0</v>
      </c>
      <c r="AF108">
        <f t="shared" si="74"/>
        <v>0</v>
      </c>
      <c r="AG108">
        <f t="shared" si="74"/>
        <v>0</v>
      </c>
      <c r="AH108">
        <f t="shared" si="74"/>
        <v>0</v>
      </c>
      <c r="AI108">
        <f t="shared" si="74"/>
        <v>0</v>
      </c>
      <c r="AJ108">
        <f>D108-AR108</f>
        <v>0.09</v>
      </c>
      <c r="AK108">
        <f>BB56</f>
        <v>0</v>
      </c>
      <c r="AL108">
        <f t="shared" si="70"/>
        <v>0</v>
      </c>
      <c r="AM108">
        <f t="shared" si="70"/>
        <v>0</v>
      </c>
      <c r="AN108">
        <f t="shared" si="70"/>
        <v>0</v>
      </c>
      <c r="AO108">
        <f t="shared" si="70"/>
        <v>0</v>
      </c>
      <c r="AP108">
        <f t="shared" si="70"/>
        <v>0</v>
      </c>
      <c r="AQ108">
        <f t="shared" si="70"/>
        <v>0</v>
      </c>
      <c r="AR108">
        <f>E108+Q108+R108+S108+T108+U108+V108+W108+X108+Y108+Z108+AA108+AB108+AC108+AD108+AE108+AF108+AG108+AH108+AI108+AK108+AL108+AM108+AN108+AO108+AP108+AQ108</f>
        <v>0</v>
      </c>
      <c r="AS108">
        <f>D108+AJ116-AR108</f>
        <v>0.09</v>
      </c>
    </row>
    <row r="109" spans="1:45" ht="20.25" customHeight="1">
      <c r="A109" t="s">
        <v>105</v>
      </c>
      <c r="B109" t="s">
        <v>106</v>
      </c>
      <c r="C109" t="s">
        <v>107</v>
      </c>
      <c r="D109">
        <f t="shared" si="71"/>
        <v>0</v>
      </c>
      <c r="E109">
        <f t="shared" si="39"/>
        <v>0</v>
      </c>
      <c r="F109">
        <f t="shared" si="72"/>
        <v>0</v>
      </c>
      <c r="G109">
        <f t="shared" si="72"/>
        <v>0</v>
      </c>
      <c r="H109">
        <f t="shared" si="73"/>
        <v>0</v>
      </c>
      <c r="I109">
        <f t="shared" si="73"/>
        <v>0</v>
      </c>
      <c r="J109">
        <f t="shared" si="68"/>
        <v>0</v>
      </c>
      <c r="K109">
        <f t="shared" si="68"/>
        <v>0</v>
      </c>
      <c r="L109">
        <f t="shared" si="68"/>
        <v>0</v>
      </c>
      <c r="M109">
        <f t="shared" si="68"/>
        <v>0</v>
      </c>
      <c r="N109">
        <f t="shared" si="68"/>
        <v>0</v>
      </c>
      <c r="O109">
        <f t="shared" si="68"/>
        <v>0</v>
      </c>
      <c r="P109">
        <f t="shared" si="63"/>
        <v>0</v>
      </c>
      <c r="Q109">
        <f t="shared" si="69"/>
        <v>0</v>
      </c>
      <c r="R109">
        <f t="shared" si="69"/>
        <v>0</v>
      </c>
      <c r="S109">
        <f t="shared" si="69"/>
        <v>0</v>
      </c>
      <c r="T109">
        <f t="shared" si="69"/>
        <v>0</v>
      </c>
      <c r="U109">
        <f t="shared" si="69"/>
        <v>0</v>
      </c>
      <c r="V109">
        <f t="shared" si="69"/>
        <v>0</v>
      </c>
      <c r="W109">
        <f t="shared" si="69"/>
        <v>0</v>
      </c>
      <c r="X109">
        <f t="shared" si="69"/>
        <v>0</v>
      </c>
      <c r="Y109">
        <f t="shared" si="69"/>
        <v>0</v>
      </c>
      <c r="Z109">
        <f t="shared" si="74"/>
        <v>0</v>
      </c>
      <c r="AA109">
        <f t="shared" si="74"/>
        <v>0</v>
      </c>
      <c r="AB109">
        <f t="shared" si="74"/>
        <v>0</v>
      </c>
      <c r="AC109">
        <f t="shared" si="74"/>
        <v>0</v>
      </c>
      <c r="AD109">
        <f t="shared" si="74"/>
        <v>0</v>
      </c>
      <c r="AE109">
        <f t="shared" si="74"/>
        <v>0</v>
      </c>
      <c r="AF109">
        <f t="shared" si="74"/>
        <v>0</v>
      </c>
      <c r="AG109">
        <f t="shared" si="74"/>
        <v>0</v>
      </c>
      <c r="AH109">
        <f t="shared" si="74"/>
        <v>0</v>
      </c>
      <c r="AI109">
        <f t="shared" si="74"/>
        <v>0</v>
      </c>
      <c r="AJ109">
        <f t="shared" si="74"/>
        <v>0</v>
      </c>
      <c r="AK109">
        <f>D109-AR109</f>
        <v>0</v>
      </c>
      <c r="AL109">
        <f t="shared" si="70"/>
        <v>0</v>
      </c>
      <c r="AM109">
        <f t="shared" si="70"/>
        <v>0</v>
      </c>
      <c r="AN109">
        <f t="shared" si="70"/>
        <v>0</v>
      </c>
      <c r="AO109">
        <f t="shared" si="70"/>
        <v>0</v>
      </c>
      <c r="AP109">
        <f t="shared" si="70"/>
        <v>0</v>
      </c>
      <c r="AQ109">
        <f t="shared" si="70"/>
        <v>0</v>
      </c>
      <c r="AR109">
        <f>E109+Q109+R109+S109+T109+U109+V109+W109+X109+Y109+Z109+AA109+AB109+AC109+AD109+AE109+AF109+AG109+AH109+AI109+AJ109+AL109+AM109+AN109+AO109+AP109+AQ109</f>
        <v>0</v>
      </c>
      <c r="AS109">
        <f>D109+AK116-AR109</f>
        <v>0</v>
      </c>
    </row>
    <row r="110" spans="1:45" ht="20.25" customHeight="1">
      <c r="A110" t="s">
        <v>108</v>
      </c>
      <c r="B110" t="s">
        <v>109</v>
      </c>
      <c r="C110" t="s">
        <v>110</v>
      </c>
      <c r="D110">
        <f t="shared" si="71"/>
        <v>0.22</v>
      </c>
      <c r="E110">
        <f t="shared" si="39"/>
        <v>0</v>
      </c>
      <c r="F110">
        <f t="shared" si="72"/>
        <v>0</v>
      </c>
      <c r="G110">
        <f t="shared" si="72"/>
        <v>0</v>
      </c>
      <c r="H110">
        <f t="shared" si="73"/>
        <v>0</v>
      </c>
      <c r="I110">
        <f t="shared" si="73"/>
        <v>0</v>
      </c>
      <c r="J110">
        <f t="shared" si="68"/>
        <v>0</v>
      </c>
      <c r="K110">
        <f t="shared" si="68"/>
        <v>0</v>
      </c>
      <c r="L110">
        <f t="shared" si="68"/>
        <v>0</v>
      </c>
      <c r="M110">
        <f t="shared" si="68"/>
        <v>0</v>
      </c>
      <c r="N110">
        <f t="shared" si="68"/>
        <v>0</v>
      </c>
      <c r="O110">
        <f t="shared" si="68"/>
        <v>0</v>
      </c>
      <c r="P110">
        <f t="shared" si="63"/>
        <v>0.22</v>
      </c>
      <c r="Q110">
        <f t="shared" si="69"/>
        <v>0</v>
      </c>
      <c r="R110">
        <f t="shared" si="69"/>
        <v>0</v>
      </c>
      <c r="S110">
        <f t="shared" si="69"/>
        <v>0</v>
      </c>
      <c r="T110">
        <f t="shared" si="69"/>
        <v>0</v>
      </c>
      <c r="U110">
        <f t="shared" si="69"/>
        <v>0</v>
      </c>
      <c r="V110">
        <f t="shared" si="69"/>
        <v>0</v>
      </c>
      <c r="W110">
        <f t="shared" si="69"/>
        <v>0</v>
      </c>
      <c r="X110">
        <f t="shared" si="69"/>
        <v>0</v>
      </c>
      <c r="Y110">
        <f t="shared" si="69"/>
        <v>0</v>
      </c>
      <c r="Z110">
        <f t="shared" si="74"/>
        <v>0</v>
      </c>
      <c r="AA110">
        <f t="shared" si="74"/>
        <v>0</v>
      </c>
      <c r="AB110">
        <f t="shared" si="74"/>
        <v>0</v>
      </c>
      <c r="AC110">
        <f t="shared" si="74"/>
        <v>0</v>
      </c>
      <c r="AD110">
        <f t="shared" si="74"/>
        <v>0</v>
      </c>
      <c r="AE110">
        <f t="shared" si="74"/>
        <v>0</v>
      </c>
      <c r="AF110">
        <f t="shared" si="74"/>
        <v>0</v>
      </c>
      <c r="AG110">
        <f t="shared" si="74"/>
        <v>0</v>
      </c>
      <c r="AH110">
        <f t="shared" si="74"/>
        <v>0</v>
      </c>
      <c r="AI110">
        <f t="shared" si="74"/>
        <v>0</v>
      </c>
      <c r="AJ110">
        <f t="shared" si="74"/>
        <v>0</v>
      </c>
      <c r="AK110">
        <f t="shared" si="74"/>
        <v>0</v>
      </c>
      <c r="AL110">
        <f>D110-AR110</f>
        <v>0.22</v>
      </c>
      <c r="AM110">
        <f>BD58</f>
        <v>0</v>
      </c>
      <c r="AN110">
        <f>BE58</f>
        <v>0</v>
      </c>
      <c r="AO110">
        <f>BF58</f>
        <v>0</v>
      </c>
      <c r="AP110">
        <f>BG58</f>
        <v>0</v>
      </c>
      <c r="AQ110">
        <f>BH58</f>
        <v>0</v>
      </c>
      <c r="AR110">
        <f>E110+Q110+R110+S110+T110+U110+V110+W110+X110+Y110+Z110+AA110+AB110+AC110+AD110+AE110+AF110+AG110+AH110+AI110+AJ110+AK110+AM110+AN110+AO110+AP110+AQ110</f>
        <v>0</v>
      </c>
      <c r="AS110">
        <f>D110+AL116-AR110</f>
        <v>0.22</v>
      </c>
    </row>
    <row r="111" spans="1:45" ht="20.25" customHeight="1">
      <c r="A111" t="s">
        <v>111</v>
      </c>
      <c r="B111" t="s">
        <v>112</v>
      </c>
      <c r="C111" t="s">
        <v>113</v>
      </c>
      <c r="D111">
        <f t="shared" si="71"/>
        <v>0.64</v>
      </c>
      <c r="E111">
        <f t="shared" si="39"/>
        <v>0</v>
      </c>
      <c r="F111">
        <f t="shared" si="72"/>
        <v>0</v>
      </c>
      <c r="G111">
        <f t="shared" si="72"/>
        <v>0</v>
      </c>
      <c r="H111">
        <f t="shared" si="73"/>
        <v>0</v>
      </c>
      <c r="I111">
        <f t="shared" si="73"/>
        <v>0</v>
      </c>
      <c r="J111">
        <f t="shared" si="68"/>
        <v>0</v>
      </c>
      <c r="K111">
        <f t="shared" si="68"/>
        <v>0</v>
      </c>
      <c r="L111">
        <f t="shared" si="68"/>
        <v>0</v>
      </c>
      <c r="M111">
        <f t="shared" si="68"/>
        <v>0</v>
      </c>
      <c r="N111">
        <f t="shared" si="68"/>
        <v>0</v>
      </c>
      <c r="O111">
        <f t="shared" si="68"/>
        <v>0</v>
      </c>
      <c r="P111">
        <f t="shared" si="63"/>
        <v>0.64</v>
      </c>
      <c r="Q111">
        <f t="shared" si="69"/>
        <v>0</v>
      </c>
      <c r="R111">
        <f t="shared" si="69"/>
        <v>0</v>
      </c>
      <c r="S111">
        <f t="shared" si="69"/>
        <v>0</v>
      </c>
      <c r="T111">
        <f t="shared" si="69"/>
        <v>0</v>
      </c>
      <c r="U111">
        <f t="shared" si="69"/>
        <v>0</v>
      </c>
      <c r="V111">
        <f t="shared" si="69"/>
        <v>0</v>
      </c>
      <c r="W111">
        <f t="shared" si="69"/>
        <v>0</v>
      </c>
      <c r="X111">
        <f t="shared" si="69"/>
        <v>0</v>
      </c>
      <c r="Y111">
        <f t="shared" si="69"/>
        <v>0</v>
      </c>
      <c r="Z111">
        <f t="shared" si="74"/>
        <v>0</v>
      </c>
      <c r="AA111">
        <f t="shared" si="74"/>
        <v>0</v>
      </c>
      <c r="AB111">
        <f t="shared" si="74"/>
        <v>0</v>
      </c>
      <c r="AC111">
        <f t="shared" si="74"/>
        <v>0</v>
      </c>
      <c r="AD111">
        <f t="shared" si="74"/>
        <v>0</v>
      </c>
      <c r="AE111">
        <f t="shared" si="74"/>
        <v>0</v>
      </c>
      <c r="AF111">
        <f t="shared" si="74"/>
        <v>0</v>
      </c>
      <c r="AG111">
        <f t="shared" si="74"/>
        <v>0</v>
      </c>
      <c r="AH111">
        <f t="shared" si="74"/>
        <v>0</v>
      </c>
      <c r="AI111">
        <f t="shared" si="74"/>
        <v>0</v>
      </c>
      <c r="AJ111">
        <f t="shared" si="74"/>
        <v>0</v>
      </c>
      <c r="AK111">
        <f t="shared" si="74"/>
        <v>0</v>
      </c>
      <c r="AL111">
        <f>BC59</f>
        <v>0</v>
      </c>
      <c r="AM111">
        <f>D111-AR111</f>
        <v>0.64</v>
      </c>
      <c r="AN111">
        <f>BE59</f>
        <v>0</v>
      </c>
      <c r="AO111">
        <f>BF59</f>
        <v>0</v>
      </c>
      <c r="AP111">
        <f>BG59</f>
        <v>0</v>
      </c>
      <c r="AQ111">
        <f>BH59</f>
        <v>0</v>
      </c>
      <c r="AR111">
        <f>E111+Q111+R111+S111+T111+U111+V111+W111+X111+Y111+Z111+AA111+AB111+AC111+AD111+AE111+AF111+AG111+AH111+AI111+AJ111+AK111+AL111+AN111+AO111+AP111+AQ111</f>
        <v>0</v>
      </c>
      <c r="AS111">
        <f>D111+AM116-AR111</f>
        <v>0.64</v>
      </c>
    </row>
    <row r="112" spans="1:45" ht="20.25" customHeight="1">
      <c r="A112" t="s">
        <v>114</v>
      </c>
      <c r="B112" t="s">
        <v>115</v>
      </c>
      <c r="C112" t="s">
        <v>116</v>
      </c>
      <c r="D112">
        <f t="shared" si="71"/>
        <v>95.82</v>
      </c>
      <c r="E112">
        <f t="shared" si="39"/>
        <v>0</v>
      </c>
      <c r="F112">
        <f t="shared" si="72"/>
        <v>0</v>
      </c>
      <c r="G112">
        <f t="shared" si="72"/>
        <v>0</v>
      </c>
      <c r="H112">
        <f t="shared" si="73"/>
        <v>0</v>
      </c>
      <c r="I112">
        <f t="shared" si="73"/>
        <v>0</v>
      </c>
      <c r="J112">
        <f t="shared" si="68"/>
        <v>0</v>
      </c>
      <c r="K112">
        <f t="shared" si="68"/>
        <v>0</v>
      </c>
      <c r="L112">
        <f t="shared" si="68"/>
        <v>0</v>
      </c>
      <c r="M112">
        <f t="shared" si="68"/>
        <v>0</v>
      </c>
      <c r="N112">
        <f t="shared" si="68"/>
        <v>0</v>
      </c>
      <c r="O112">
        <f t="shared" si="68"/>
        <v>0</v>
      </c>
      <c r="P112">
        <f t="shared" si="63"/>
        <v>95.82</v>
      </c>
      <c r="Q112">
        <f t="shared" si="69"/>
        <v>0</v>
      </c>
      <c r="R112">
        <f t="shared" si="69"/>
        <v>0</v>
      </c>
      <c r="S112">
        <f t="shared" si="69"/>
        <v>0</v>
      </c>
      <c r="T112">
        <f t="shared" si="69"/>
        <v>0</v>
      </c>
      <c r="U112">
        <f t="shared" si="69"/>
        <v>0</v>
      </c>
      <c r="V112">
        <f t="shared" si="69"/>
        <v>0</v>
      </c>
      <c r="W112">
        <f t="shared" si="69"/>
        <v>0</v>
      </c>
      <c r="X112">
        <f t="shared" si="69"/>
        <v>0</v>
      </c>
      <c r="Y112">
        <f t="shared" si="69"/>
        <v>0</v>
      </c>
      <c r="Z112">
        <f t="shared" si="74"/>
        <v>0</v>
      </c>
      <c r="AA112">
        <f t="shared" si="74"/>
        <v>0</v>
      </c>
      <c r="AB112">
        <f t="shared" si="74"/>
        <v>0</v>
      </c>
      <c r="AC112">
        <f t="shared" si="74"/>
        <v>0</v>
      </c>
      <c r="AD112">
        <f t="shared" si="74"/>
        <v>0</v>
      </c>
      <c r="AE112">
        <f t="shared" si="74"/>
        <v>0</v>
      </c>
      <c r="AF112">
        <f t="shared" si="74"/>
        <v>0</v>
      </c>
      <c r="AG112">
        <f t="shared" si="74"/>
        <v>0</v>
      </c>
      <c r="AH112">
        <f t="shared" si="74"/>
        <v>0</v>
      </c>
      <c r="AI112">
        <f t="shared" si="74"/>
        <v>0</v>
      </c>
      <c r="AJ112">
        <f t="shared" si="74"/>
        <v>0</v>
      </c>
      <c r="AK112">
        <f t="shared" si="74"/>
        <v>0</v>
      </c>
      <c r="AL112">
        <f>BC60</f>
        <v>0</v>
      </c>
      <c r="AM112">
        <f>BD60</f>
        <v>0</v>
      </c>
      <c r="AN112">
        <f>D112-AR112</f>
        <v>95.82</v>
      </c>
      <c r="AO112">
        <f>BF60</f>
        <v>0</v>
      </c>
      <c r="AP112">
        <f>BG60</f>
        <v>0</v>
      </c>
      <c r="AQ112">
        <f>BH60</f>
        <v>0</v>
      </c>
      <c r="AR112">
        <f>E112+Q112+R112+S112+T112+U112+V112+W112+X112+Y112+Z112+AA112+AB112+AC112+AD112+AE112+AF112+AG112+AH112+AI112+AJ112+AK112+AL112+AM112+AO112+AP112+AQ112</f>
        <v>0</v>
      </c>
      <c r="AS112">
        <f>D112+AN116-AR112</f>
        <v>95.82</v>
      </c>
    </row>
    <row r="113" spans="1:45" ht="20.25" customHeight="1">
      <c r="A113" t="s">
        <v>117</v>
      </c>
      <c r="B113" t="s">
        <v>118</v>
      </c>
      <c r="C113" t="s">
        <v>119</v>
      </c>
      <c r="D113">
        <f t="shared" si="71"/>
        <v>0</v>
      </c>
      <c r="E113">
        <f t="shared" si="39"/>
        <v>0</v>
      </c>
      <c r="F113">
        <f t="shared" si="72"/>
        <v>0</v>
      </c>
      <c r="G113">
        <f t="shared" si="72"/>
        <v>0</v>
      </c>
      <c r="H113">
        <f t="shared" si="73"/>
        <v>0</v>
      </c>
      <c r="I113">
        <f t="shared" si="73"/>
        <v>0</v>
      </c>
      <c r="J113">
        <f t="shared" si="68"/>
        <v>0</v>
      </c>
      <c r="K113">
        <f t="shared" si="68"/>
        <v>0</v>
      </c>
      <c r="L113">
        <f t="shared" si="68"/>
        <v>0</v>
      </c>
      <c r="M113">
        <f t="shared" si="68"/>
        <v>0</v>
      </c>
      <c r="N113">
        <f t="shared" si="68"/>
        <v>0</v>
      </c>
      <c r="O113">
        <f t="shared" si="68"/>
        <v>0</v>
      </c>
      <c r="P113">
        <f t="shared" si="63"/>
        <v>0</v>
      </c>
      <c r="Q113">
        <f t="shared" si="69"/>
        <v>0</v>
      </c>
      <c r="R113">
        <f t="shared" si="69"/>
        <v>0</v>
      </c>
      <c r="S113">
        <f t="shared" si="69"/>
        <v>0</v>
      </c>
      <c r="T113">
        <f t="shared" si="69"/>
        <v>0</v>
      </c>
      <c r="U113">
        <f t="shared" si="69"/>
        <v>0</v>
      </c>
      <c r="V113">
        <f t="shared" si="69"/>
        <v>0</v>
      </c>
      <c r="W113">
        <f t="shared" si="69"/>
        <v>0</v>
      </c>
      <c r="X113">
        <f t="shared" si="69"/>
        <v>0</v>
      </c>
      <c r="Y113">
        <f t="shared" si="69"/>
        <v>0</v>
      </c>
      <c r="Z113">
        <f t="shared" si="74"/>
        <v>0</v>
      </c>
      <c r="AA113">
        <f t="shared" si="74"/>
        <v>0</v>
      </c>
      <c r="AB113">
        <f t="shared" si="74"/>
        <v>0</v>
      </c>
      <c r="AC113">
        <f t="shared" si="74"/>
        <v>0</v>
      </c>
      <c r="AD113">
        <f t="shared" si="74"/>
        <v>0</v>
      </c>
      <c r="AE113">
        <f t="shared" si="74"/>
        <v>0</v>
      </c>
      <c r="AF113">
        <f t="shared" si="74"/>
        <v>0</v>
      </c>
      <c r="AG113">
        <f t="shared" si="74"/>
        <v>0</v>
      </c>
      <c r="AH113">
        <f t="shared" si="74"/>
        <v>0</v>
      </c>
      <c r="AI113">
        <f t="shared" si="74"/>
        <v>0</v>
      </c>
      <c r="AJ113">
        <f t="shared" si="74"/>
        <v>0</v>
      </c>
      <c r="AK113">
        <f t="shared" si="74"/>
        <v>0</v>
      </c>
      <c r="AL113">
        <f>BC61</f>
        <v>0</v>
      </c>
      <c r="AM113">
        <f>BD61</f>
        <v>0</v>
      </c>
      <c r="AN113">
        <f>BE61</f>
        <v>0</v>
      </c>
      <c r="AO113">
        <f>D113-AR113</f>
        <v>0</v>
      </c>
      <c r="AP113">
        <f>BG61</f>
        <v>0</v>
      </c>
      <c r="AQ113">
        <f>BH61</f>
        <v>0</v>
      </c>
      <c r="AR113">
        <f>E113+Q113+R113+S113+T113+U113+V113+W113+X113+Y113+Z113+AA113+AB113+AC113+AD113+AE113+AF113+AG113+AH113+AI113+AJ113+AK113+AL113+AM113+AN113+AP113+AQ113</f>
        <v>0</v>
      </c>
      <c r="AS113">
        <f>D113+AO116-AR113</f>
        <v>0</v>
      </c>
    </row>
    <row r="114" spans="1:45" ht="20.25" customHeight="1">
      <c r="A114" t="s">
        <v>120</v>
      </c>
      <c r="B114" t="s">
        <v>121</v>
      </c>
      <c r="C114" t="s">
        <v>122</v>
      </c>
      <c r="D114">
        <f t="shared" si="71"/>
        <v>0</v>
      </c>
      <c r="E114">
        <f t="shared" si="39"/>
        <v>0</v>
      </c>
      <c r="F114">
        <f t="shared" si="72"/>
        <v>0</v>
      </c>
      <c r="G114">
        <f t="shared" si="72"/>
        <v>0</v>
      </c>
      <c r="H114">
        <f t="shared" si="73"/>
        <v>0</v>
      </c>
      <c r="I114">
        <f t="shared" si="73"/>
        <v>0</v>
      </c>
      <c r="J114">
        <f t="shared" ref="J114:O115" si="75">P62</f>
        <v>0</v>
      </c>
      <c r="K114">
        <f t="shared" si="75"/>
        <v>0</v>
      </c>
      <c r="L114">
        <f t="shared" si="75"/>
        <v>0</v>
      </c>
      <c r="M114">
        <f t="shared" si="75"/>
        <v>0</v>
      </c>
      <c r="N114">
        <f t="shared" si="75"/>
        <v>0</v>
      </c>
      <c r="O114">
        <f t="shared" si="75"/>
        <v>0</v>
      </c>
      <c r="P114">
        <f t="shared" si="63"/>
        <v>0</v>
      </c>
      <c r="Q114">
        <f t="shared" ref="Q114:Y115" si="76">W62</f>
        <v>0</v>
      </c>
      <c r="R114">
        <f t="shared" si="76"/>
        <v>0</v>
      </c>
      <c r="S114">
        <f t="shared" si="76"/>
        <v>0</v>
      </c>
      <c r="T114">
        <f t="shared" si="76"/>
        <v>0</v>
      </c>
      <c r="U114">
        <f t="shared" si="76"/>
        <v>0</v>
      </c>
      <c r="V114">
        <f t="shared" si="76"/>
        <v>0</v>
      </c>
      <c r="W114">
        <f t="shared" si="76"/>
        <v>0</v>
      </c>
      <c r="X114">
        <f t="shared" si="76"/>
        <v>0</v>
      </c>
      <c r="Y114">
        <f t="shared" si="76"/>
        <v>0</v>
      </c>
      <c r="Z114">
        <f t="shared" si="74"/>
        <v>0</v>
      </c>
      <c r="AA114">
        <f t="shared" si="74"/>
        <v>0</v>
      </c>
      <c r="AB114">
        <f t="shared" si="74"/>
        <v>0</v>
      </c>
      <c r="AC114">
        <f t="shared" si="74"/>
        <v>0</v>
      </c>
      <c r="AD114">
        <f t="shared" si="74"/>
        <v>0</v>
      </c>
      <c r="AE114">
        <f t="shared" si="74"/>
        <v>0</v>
      </c>
      <c r="AF114">
        <f t="shared" si="74"/>
        <v>0</v>
      </c>
      <c r="AG114">
        <f t="shared" si="74"/>
        <v>0</v>
      </c>
      <c r="AH114">
        <f t="shared" si="74"/>
        <v>0</v>
      </c>
      <c r="AI114">
        <f t="shared" si="74"/>
        <v>0</v>
      </c>
      <c r="AJ114">
        <f t="shared" si="74"/>
        <v>0</v>
      </c>
      <c r="AK114">
        <f t="shared" si="74"/>
        <v>0</v>
      </c>
      <c r="AL114">
        <f>BC62</f>
        <v>0</v>
      </c>
      <c r="AM114">
        <f>BD62</f>
        <v>0</v>
      </c>
      <c r="AN114">
        <f>BE62</f>
        <v>0</v>
      </c>
      <c r="AO114">
        <f>BF62</f>
        <v>0</v>
      </c>
      <c r="AP114">
        <f>D114-AR114</f>
        <v>0</v>
      </c>
      <c r="AQ114">
        <f>BH62</f>
        <v>0</v>
      </c>
      <c r="AR114">
        <f>E114+Q114+R114+S114+T114+U114+V114+W114+X114+Y114+Z114+AA114+AB114+AC114+AD114+AE114+AF114+AG114+AH114+AI114+AJ114+AK114+AL114+AM114+AN114+AO114+AQ114</f>
        <v>0</v>
      </c>
      <c r="AS114">
        <f>D114+AP116-AR114</f>
        <v>0</v>
      </c>
    </row>
    <row r="115" spans="1:45" ht="20.25" customHeight="1">
      <c r="A115">
        <v>3</v>
      </c>
      <c r="B115" t="s">
        <v>123</v>
      </c>
      <c r="C115" t="s">
        <v>124</v>
      </c>
      <c r="D115">
        <f>D63</f>
        <v>30.87</v>
      </c>
      <c r="E115">
        <f>F115+H115+I115+J115+K115+L115+M115+N115+O115</f>
        <v>0</v>
      </c>
      <c r="F115">
        <f t="shared" si="72"/>
        <v>0</v>
      </c>
      <c r="G115">
        <f t="shared" si="72"/>
        <v>0</v>
      </c>
      <c r="H115">
        <f t="shared" si="73"/>
        <v>0</v>
      </c>
      <c r="I115">
        <f t="shared" si="73"/>
        <v>0</v>
      </c>
      <c r="J115">
        <f t="shared" si="75"/>
        <v>0</v>
      </c>
      <c r="K115">
        <f t="shared" si="75"/>
        <v>0</v>
      </c>
      <c r="L115">
        <f t="shared" si="75"/>
        <v>0</v>
      </c>
      <c r="M115">
        <f t="shared" si="75"/>
        <v>0</v>
      </c>
      <c r="N115">
        <f t="shared" si="75"/>
        <v>0</v>
      </c>
      <c r="O115">
        <f t="shared" si="75"/>
        <v>0</v>
      </c>
      <c r="P115">
        <f>SUM(Q115:AP115)</f>
        <v>1.32</v>
      </c>
      <c r="Q115">
        <f t="shared" si="76"/>
        <v>0</v>
      </c>
      <c r="R115">
        <f t="shared" si="76"/>
        <v>0</v>
      </c>
      <c r="S115">
        <f t="shared" si="76"/>
        <v>0</v>
      </c>
      <c r="T115">
        <f t="shared" si="76"/>
        <v>0</v>
      </c>
      <c r="U115">
        <f t="shared" si="76"/>
        <v>0</v>
      </c>
      <c r="V115">
        <f t="shared" si="76"/>
        <v>0</v>
      </c>
      <c r="W115">
        <f t="shared" si="76"/>
        <v>0</v>
      </c>
      <c r="X115">
        <f t="shared" si="76"/>
        <v>0</v>
      </c>
      <c r="Y115">
        <f t="shared" si="76"/>
        <v>1.32</v>
      </c>
      <c r="Z115">
        <f t="shared" si="74"/>
        <v>0</v>
      </c>
      <c r="AA115">
        <f t="shared" si="74"/>
        <v>0</v>
      </c>
      <c r="AB115">
        <f t="shared" si="74"/>
        <v>0</v>
      </c>
      <c r="AC115">
        <f t="shared" si="74"/>
        <v>0</v>
      </c>
      <c r="AD115">
        <f t="shared" si="74"/>
        <v>0</v>
      </c>
      <c r="AE115">
        <f t="shared" si="74"/>
        <v>0</v>
      </c>
      <c r="AF115">
        <f t="shared" si="74"/>
        <v>0</v>
      </c>
      <c r="AG115">
        <f t="shared" si="74"/>
        <v>0</v>
      </c>
      <c r="AH115">
        <f t="shared" si="74"/>
        <v>0</v>
      </c>
      <c r="AI115">
        <f t="shared" si="74"/>
        <v>0</v>
      </c>
      <c r="AJ115">
        <f t="shared" si="74"/>
        <v>0</v>
      </c>
      <c r="AK115">
        <f t="shared" si="74"/>
        <v>0</v>
      </c>
      <c r="AL115">
        <f>BC63</f>
        <v>0</v>
      </c>
      <c r="AM115">
        <f>BD63</f>
        <v>0</v>
      </c>
      <c r="AN115">
        <f>BE63</f>
        <v>0</v>
      </c>
      <c r="AO115">
        <f>BF63</f>
        <v>0</v>
      </c>
      <c r="AP115">
        <f>BG63</f>
        <v>0</v>
      </c>
      <c r="AQ115">
        <f>AR115</f>
        <v>1.32</v>
      </c>
      <c r="AR115">
        <f>E115+Q115+R115+S115+T115+U115+V115+W115+X115+Y115+Z115+AA115+AB115+AC115+AD115+AE115+AF115+AG115+AH115+AI115+AJ115+AL115+AM115+AN115+AO115+AP115</f>
        <v>1.32</v>
      </c>
      <c r="AS115">
        <f>D115+AQ116-AR115</f>
        <v>29.55</v>
      </c>
    </row>
    <row r="116" spans="1:45" ht="20.25" customHeight="1">
      <c r="B116" t="s">
        <v>190</v>
      </c>
      <c r="E116">
        <f>E88+E115</f>
        <v>0</v>
      </c>
      <c r="F116">
        <f>F80+F81+F82+F83+F84+F85+F86+F87+F88+F115</f>
        <v>0</v>
      </c>
      <c r="G116">
        <f>G78+G80+G81+G82+G83+G84+G85+G86+G87+G88+G115</f>
        <v>0</v>
      </c>
      <c r="H116">
        <f>H78+H81+H82+H83+H84+H85+H86+H87+H88+H115</f>
        <v>0</v>
      </c>
      <c r="I116">
        <f>I78+I80+I82+I83+I84+I85+I86+I87+I88+I115</f>
        <v>0</v>
      </c>
      <c r="J116">
        <f>J78+J80+J81+J83+J84+J85+J86+J87+J88+J115</f>
        <v>0</v>
      </c>
      <c r="K116">
        <f>K78+K80+K81+K82+K84+K85+K86+K87+K88+K115</f>
        <v>0</v>
      </c>
      <c r="L116">
        <f>L78+L80+L81+L82+L83+L85+L86+L87+L88+L115</f>
        <v>0</v>
      </c>
      <c r="M116">
        <f>M78+M80+M81+M82+M83+M84+M86+M87+M88+M115</f>
        <v>0</v>
      </c>
      <c r="N116">
        <f>N78+N80+N81+N82+N83+N84+N85+N87+N88+N115</f>
        <v>0</v>
      </c>
      <c r="O116">
        <f>O78+O80+O81+O82+O83+O84+O85+O86+O88+O115</f>
        <v>0</v>
      </c>
      <c r="P116">
        <f>P77+P115</f>
        <v>1.84</v>
      </c>
      <c r="Q116">
        <f>Q77+Q90+Q91+Q92+Q93+Q94+Q95+Q96+Q97+Q98+Q99+Q100+Q101+Q102+Q103+Q104+Q105+Q106+Q107+Q108+Q109+Q110+Q111+Q112+Q113+Q114+Q115</f>
        <v>0</v>
      </c>
      <c r="R116">
        <f>R77+R89+R91+R92+R93+R94+R95+R96+R97+R98+R99+R100+R101+R102+R103+R104+R105+R106+R107+R108+R109+R110+R111+R112+R113+R114+R115</f>
        <v>0</v>
      </c>
      <c r="S116">
        <f>S77+S89+S90+S92+S93+S94+S95+S96+S97+S98+S99+S100+S101+S102+S103+S104+S105+S106+S107+S108+S109+S110+S111+S112+S113+S114+S115</f>
        <v>0</v>
      </c>
      <c r="T116">
        <f>T77+T89+T90+T91+T93+T94+T95+T96+T97+T98+T99+T100+T101+T102+T103+T104+T105+T106+T107+T108+T109+T110+T111+T112+T113+T114+T115</f>
        <v>0</v>
      </c>
      <c r="U116">
        <f>U77+U89+U90+U91+U92+U94+U95+U96+U97+U98+U99+U100+U101+U102+U103+U104+U105+U106+U107+U108+U109+U110+U111+U112+U113+U114+U115</f>
        <v>0</v>
      </c>
      <c r="V116">
        <f>V77+V89+V90+V91+V92+V93+V95+V96+V97+V98+V99+V100+V101+V102+V103+V104+V105+V106+V107+V108+V109+V110+V111+V112+V113+V114+V115</f>
        <v>0</v>
      </c>
      <c r="W116">
        <f>W77+W89+W90+W91+W92+W93+W94+W96+W97+W98+W99+W100+W101+W102+W103+W104+W105+W106+W107+W108+W109+W110+W111+W112+W113+W114+W115</f>
        <v>0</v>
      </c>
      <c r="X116">
        <f>X77+X89+X90+X91+X92+X93+X94+X95+X97+X98+X99+X100+X101+X102+X103+X104+X105+X106+X107+X108+X109+X110+X111+X112+X113+X114+X115</f>
        <v>0</v>
      </c>
      <c r="Y116">
        <f>Y77+Y89+Y90+Y91+Y92+Y93+Y94+Y95+Y96+Y98+Y99+Y100+Y101+Y102+Y103+Y104+Y105+Y106+Y107+Y108+Y109+Y110+Y111+Y112+Y113+Y114+Y115</f>
        <v>1.34</v>
      </c>
      <c r="Z116">
        <f>Z77+Z89+Z90+Z91+Z92+Z93+Z94+Z95+Z96+Z97+Z99+Z100+Z101+Z102+Z103+Z104+Z105+Z106+Z107+Z108+Z109+Z110+Z111+Z112+Z113+Z114+Z115</f>
        <v>0</v>
      </c>
      <c r="AA116">
        <f>AA77+AA89+AA90+AA91+AA92+AA93+AA94+AA95+AA96+AA97+AA98+AA100+AA101+AA102+AA103+AA104+AA105+AA106+AA107+AA108+AA109+AA110+AA111+AA112+AA113+AA114+AA115</f>
        <v>0</v>
      </c>
      <c r="AB116">
        <f>AB77+AB89+AB90+AB91+AB92+AB93+AB94+AB95+AB96+AB97+AB98+AB99+AB101+AB102+AB103+AB104+AB105+AB106+AB107+AB108+AB109+AB110+AB111+AB112+AB113+AB114+AB115</f>
        <v>0</v>
      </c>
      <c r="AC116">
        <f>AC77+AC89+AC90+AC91+AC92+AC93+AC94+AC95+AC96+AC97+AC98+AC99+AC100+AC102+AC103+AC104+AC105+AC106+AC107+AC108+AC109+AC110+AC111+AC112+AC113+AC114+AC115</f>
        <v>0</v>
      </c>
      <c r="AD116">
        <f>AD77+AD89+AD90+AD91+AD92+AD93+AD94+AD95+AD96+AD97+AD98+AD99+AD100+AD101+AD103+AD104+AD105+AD106+AD107+AD108+AD109+AD110+AD111+AD112+AD113+AD114+AD115</f>
        <v>0.74</v>
      </c>
      <c r="AE116">
        <f>AE77+AE89+AE90+AE91+AE92+AE93+AE94+AE95+AE96+AE97+AE98+AE99+AE100+AE101+AE102+AE104+AE105+AE106+AE107+AE108+AE109+AE110+AE111+AE112+AE113+AE114+AE115</f>
        <v>0</v>
      </c>
      <c r="AF116">
        <f>AF77+AF89+AF90+AF91+AF92+AF93+AF94+AF95+AF96+AF97+AF98+AF99+AF100+AF101+AF102+AF103+AF105+AF106+AF107+AF108+AF109+AF110+AF111+AF112+AF113+AF114+AF115</f>
        <v>0</v>
      </c>
      <c r="AG116">
        <f>AG77+AG89+AG90+AG91+AG92+AG93+AG94+AG95+AG96+AG97+AG98+AG99+AG100+AG101+AG102+AG103+AG104+AG106+AG107+AG108+AG109+AG110+AG111+AG112+AG113+AG114+AG115</f>
        <v>0</v>
      </c>
      <c r="AH116">
        <f>AH77+AH89+AH90+AH91+AH92+AH93+AH94+AH95+AH96+AH97+AH98+AH99+AH100+AH101+AH102+AH103+AH104+AH105+AH107+AH108+AH109+AH110+AH111+AH112+AH113+AH114+AH115</f>
        <v>0</v>
      </c>
      <c r="AI116">
        <f>AI77+AI89+AI90+AI91+AI92+AI93+AI94+AI95+AI96+AI97+AI98+AI99+AI100+AI101+AI102+AI103+AI104+AI105+AI106+AI108+AI109+AI110+AI111+AI112+AI113+AI114+AI115</f>
        <v>0</v>
      </c>
      <c r="AJ116">
        <f>AJ77+AJ89+AJ90+AJ91+AJ92+AJ93+AJ94+AJ95+AJ96+AJ97+AJ98+AJ99+AJ100+AJ101+AJ102+AJ103+AJ104+AJ105+AJ106+AJ107+AJ109+AJ110+AJ111+AJ112+AJ113+AJ114+AJ115</f>
        <v>0</v>
      </c>
      <c r="AK116">
        <f>AK77+AK89+AK90+AK91+AK92+AK93+AK94+AK95+AK96+AK97+AK98+AK99+AK100+AK101+AK102+AK103+AK104+AK105+AK106+AK107+AK108+AK110+AK111+AK112+AK113+AK114+AK115</f>
        <v>0</v>
      </c>
      <c r="AL116">
        <f>AL77+AL89+AL90+AL91+AL92+AL93+AL94+AL95+AL96+AL97+AL98+AL99+AL100+AL101+AL102+AL103+AL104+AL105+AL106+AL107+AL108+AL109+AL111+AL112+AL113+AL114+AL115</f>
        <v>0</v>
      </c>
      <c r="AM116">
        <f>AM77+AM89+AM90+AM91+AM92+AM93+AM94+AM95+AM96+AM97+AM98+AM99+AM100+AM101+AM102+AM103+AM104+AM105+AM106+AM107+AM108+AM109+AM110+AM112+AM113+AM114+AM115</f>
        <v>0</v>
      </c>
      <c r="AN116">
        <f>AN77+AN89+AN90+AN91+AN92+AN93+AN94+AN95+AN96+AN97+AN98+AN99+AN100+AN101+AN102+AN103+AN104+AN105+AN106+AN107+AN108+AN109+AN110+AN111+AN113+AN114+AN115</f>
        <v>0</v>
      </c>
      <c r="AO116">
        <f>AO77+AO89+AO90+AO91+AO92+AO93+AO94+AO95+AO96+AO97+AO98+AO99+AO100+AO101+AO102+AO103+AO104+AO105+AO106+AO107+AO108+AO109+AO110+AO111+AO112+AO114+AO115</f>
        <v>0</v>
      </c>
      <c r="AP116">
        <f>AP77+AP89+AP90+AP91+AP92+AP93+AP94+AP95+AP96+AP97+AP98+AP99+AP100+AP101+AP102+AP103+AP104+AP105+AP106+AP107+AP108+AP109+AP110+AP111+AP112+AP113+AP115</f>
        <v>0</v>
      </c>
      <c r="AQ116">
        <f>AQ77+AQ88</f>
        <v>0</v>
      </c>
    </row>
    <row r="117" spans="1:45" ht="25.5" customHeight="1">
      <c r="B117" t="s">
        <v>325</v>
      </c>
      <c r="D117">
        <f>AS76</f>
        <v>1098.6099999999999</v>
      </c>
      <c r="E117">
        <f>AS77</f>
        <v>783.11999999999989</v>
      </c>
      <c r="F117">
        <f>AS78</f>
        <v>181.16</v>
      </c>
      <c r="G117">
        <f>AS79</f>
        <v>181.18</v>
      </c>
      <c r="H117">
        <f>AS80</f>
        <v>76.53</v>
      </c>
      <c r="I117">
        <f>AS81</f>
        <v>51.72</v>
      </c>
      <c r="J117">
        <f>AS82</f>
        <v>178.92</v>
      </c>
      <c r="K117">
        <f>AS83</f>
        <v>0</v>
      </c>
      <c r="L117">
        <f>AS84</f>
        <v>39.22</v>
      </c>
      <c r="M117">
        <f>AS85</f>
        <v>255.57</v>
      </c>
      <c r="N117">
        <f>AS86</f>
        <v>0</v>
      </c>
      <c r="O117">
        <f>AS87</f>
        <v>0</v>
      </c>
      <c r="P117">
        <f>AS88</f>
        <v>285.93999999999994</v>
      </c>
      <c r="Q117">
        <f>AS89</f>
        <v>0.28999999999999998</v>
      </c>
      <c r="R117">
        <f>AS90</f>
        <v>0.39</v>
      </c>
      <c r="S117">
        <f>AS91</f>
        <v>0</v>
      </c>
      <c r="T117">
        <f>AS92</f>
        <v>0</v>
      </c>
      <c r="U117">
        <f>AS93</f>
        <v>0</v>
      </c>
      <c r="V117">
        <f>AS94</f>
        <v>0.36</v>
      </c>
      <c r="W117">
        <f>AS95</f>
        <v>4.0599999999999996</v>
      </c>
      <c r="X117">
        <f>AS96</f>
        <v>0</v>
      </c>
      <c r="Y117">
        <f>AS97</f>
        <v>118.78999999999999</v>
      </c>
      <c r="Z117">
        <f>AS98</f>
        <v>0</v>
      </c>
      <c r="AA117">
        <f>AS99</f>
        <v>0</v>
      </c>
      <c r="AB117">
        <f>AS100</f>
        <v>0</v>
      </c>
      <c r="AC117">
        <f>AS101</f>
        <v>0</v>
      </c>
      <c r="AD117">
        <f>AS102</f>
        <v>28.979999999999997</v>
      </c>
      <c r="AE117">
        <f>AS103</f>
        <v>0.81</v>
      </c>
      <c r="AF117">
        <f>AS104</f>
        <v>0</v>
      </c>
      <c r="AG117">
        <f>AS105</f>
        <v>0</v>
      </c>
      <c r="AH117">
        <f>AS106</f>
        <v>0.14000000000000001</v>
      </c>
      <c r="AI117">
        <f>AS107</f>
        <v>35.35</v>
      </c>
      <c r="AJ117">
        <f>AS108</f>
        <v>0.09</v>
      </c>
      <c r="AK117">
        <f>AS109</f>
        <v>0</v>
      </c>
      <c r="AL117">
        <f>AS110</f>
        <v>0.22</v>
      </c>
      <c r="AM117">
        <f>AS111</f>
        <v>0.64</v>
      </c>
      <c r="AN117">
        <f>AS112</f>
        <v>95.82</v>
      </c>
      <c r="AO117">
        <f>AS113</f>
        <v>0</v>
      </c>
      <c r="AP117">
        <f>AS114</f>
        <v>0</v>
      </c>
      <c r="AQ117">
        <f>AS115</f>
        <v>29.55</v>
      </c>
    </row>
  </sheetData>
  <mergeCells count="21">
    <mergeCell ref="A1:B1"/>
    <mergeCell ref="A2:BN2"/>
    <mergeCell ref="A4:A5"/>
    <mergeCell ref="B4:B5"/>
    <mergeCell ref="C4:C5"/>
    <mergeCell ref="A74:A75"/>
    <mergeCell ref="BN4:BN5"/>
    <mergeCell ref="A70:B70"/>
    <mergeCell ref="BM4:BM5"/>
    <mergeCell ref="A72:AS72"/>
    <mergeCell ref="AS74:AS75"/>
    <mergeCell ref="D4:D5"/>
    <mergeCell ref="C74:C75"/>
    <mergeCell ref="A71:AS71"/>
    <mergeCell ref="E74:AQ74"/>
    <mergeCell ref="D74:D75"/>
    <mergeCell ref="E4:BK4"/>
    <mergeCell ref="AR73:AS73"/>
    <mergeCell ref="BL4:BL5"/>
    <mergeCell ref="B74:B75"/>
    <mergeCell ref="AR74:AR75"/>
  </mergeCells>
  <phoneticPr fontId="4" type="noConversion"/>
  <pageMargins left="0.75" right="0.75" top="1" bottom="1" header="0.5" footer="0.5"/>
  <pageSetup paperSize="9" scale="45" orientation="portrait" r:id="rId1"/>
  <headerFooter alignWithMargins="0"/>
  <legacyDrawing r:id="rId2"/>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8"/>
  <dimension ref="A1:BP117"/>
  <sheetViews>
    <sheetView topLeftCell="B1" zoomScale="75" workbookViewId="0">
      <pane xSplit="2" ySplit="7" topLeftCell="BE8" activePane="bottomRight" state="frozen"/>
      <selection activeCell="B1" sqref="B1"/>
      <selection pane="topRight" activeCell="D1" sqref="D1"/>
      <selection pane="bottomLeft" activeCell="B8" sqref="B8"/>
      <selection pane="bottomRight" activeCell="BO1" sqref="BO1:BP1048576"/>
    </sheetView>
  </sheetViews>
  <sheetFormatPr defaultRowHeight="24.95" customHeight="1"/>
  <cols>
    <col min="2" max="2" width="47.140625" customWidth="1"/>
    <col min="3" max="3" width="8.28515625" customWidth="1"/>
    <col min="4" max="4" width="13.5703125" customWidth="1"/>
    <col min="5" max="6" width="11.85546875" customWidth="1"/>
    <col min="7" max="7" width="11.28515625" customWidth="1"/>
    <col min="8" max="8" width="10.85546875" customWidth="1"/>
    <col min="9" max="9" width="11.140625" customWidth="1"/>
    <col min="10" max="10" width="11" customWidth="1"/>
    <col min="11" max="11" width="10" customWidth="1"/>
    <col min="12" max="12" width="11.140625" customWidth="1"/>
    <col min="13" max="13" width="11.85546875" customWidth="1"/>
    <col min="14" max="16" width="11.28515625" customWidth="1"/>
    <col min="17" max="17" width="12.28515625" customWidth="1"/>
    <col min="18" max="18" width="10.85546875" customWidth="1"/>
    <col min="19" max="19" width="11.42578125" customWidth="1"/>
    <col min="20" max="20" width="10.140625" customWidth="1"/>
    <col min="21" max="21" width="9.85546875" customWidth="1"/>
    <col min="22" max="22" width="11.5703125" customWidth="1"/>
    <col min="23" max="23" width="11.140625" customWidth="1"/>
    <col min="24" max="24" width="10.7109375" customWidth="1"/>
    <col min="25" max="25" width="10.42578125" customWidth="1"/>
    <col min="26" max="26" width="11.140625" customWidth="1"/>
    <col min="27" max="27" width="9.85546875" customWidth="1"/>
    <col min="28" max="39" width="10.42578125" customWidth="1"/>
    <col min="40" max="40" width="11" customWidth="1"/>
    <col min="41" max="43" width="9.42578125" customWidth="1"/>
    <col min="44" max="44" width="10.85546875" customWidth="1"/>
    <col min="45" max="45" width="13.7109375" customWidth="1"/>
    <col min="46" max="47" width="9.42578125" customWidth="1"/>
    <col min="48" max="48" width="11.5703125" customWidth="1"/>
    <col min="49" max="59" width="9" customWidth="1"/>
    <col min="60" max="60" width="10.140625" customWidth="1"/>
    <col min="61" max="62" width="9.85546875" customWidth="1"/>
    <col min="64" max="64" width="10.5703125" customWidth="1"/>
    <col min="65" max="65" width="12.140625" customWidth="1"/>
    <col min="66" max="66" width="13" customWidth="1"/>
    <col min="67" max="67" width="9.5703125" bestFit="1" customWidth="1"/>
  </cols>
  <sheetData>
    <row r="1" spans="1:68" ht="24.95" customHeight="1">
      <c r="A1" s="1300" t="s">
        <v>301</v>
      </c>
      <c r="B1" s="1300"/>
    </row>
    <row r="2" spans="1:68" ht="36.75" customHeight="1">
      <c r="A2" s="1282" t="s">
        <v>509</v>
      </c>
      <c r="B2" s="1282"/>
      <c r="C2" s="1282"/>
      <c r="D2" s="1282"/>
      <c r="E2" s="1282"/>
      <c r="F2" s="1282"/>
      <c r="G2" s="1282"/>
      <c r="H2" s="1282"/>
      <c r="I2" s="1282"/>
      <c r="J2" s="1282"/>
      <c r="K2" s="1282"/>
      <c r="L2" s="1282"/>
      <c r="M2" s="1282"/>
      <c r="N2" s="1282"/>
      <c r="O2" s="1282"/>
      <c r="P2" s="1282"/>
      <c r="Q2" s="1282"/>
      <c r="R2" s="1282"/>
      <c r="S2" s="1282"/>
      <c r="T2" s="1282"/>
      <c r="U2" s="1282"/>
      <c r="V2" s="1282"/>
      <c r="W2" s="1282"/>
      <c r="X2" s="1282"/>
      <c r="Y2" s="1282"/>
      <c r="Z2" s="1282"/>
      <c r="AA2" s="1282"/>
      <c r="AB2" s="1282"/>
      <c r="AC2" s="1282"/>
      <c r="AD2" s="1282"/>
      <c r="AE2" s="1282"/>
      <c r="AF2" s="1282"/>
      <c r="AG2" s="1282"/>
      <c r="AH2" s="1282"/>
      <c r="AI2" s="1282"/>
      <c r="AJ2" s="1282"/>
      <c r="AK2" s="1282"/>
      <c r="AL2" s="1282"/>
      <c r="AM2" s="1282"/>
      <c r="AN2" s="1282"/>
      <c r="AO2" s="1282"/>
      <c r="AP2" s="1282"/>
      <c r="AQ2" s="1282"/>
      <c r="AR2" s="1282"/>
      <c r="AS2" s="1282"/>
      <c r="AT2" s="1282"/>
      <c r="AU2" s="1282"/>
      <c r="AV2" s="1282"/>
      <c r="AW2" s="1282"/>
      <c r="AX2" s="1282"/>
      <c r="AY2" s="1282"/>
      <c r="AZ2" s="1282"/>
      <c r="BA2" s="1282"/>
      <c r="BB2" s="1282"/>
      <c r="BC2" s="1282"/>
      <c r="BD2" s="1282"/>
      <c r="BE2" s="1282"/>
      <c r="BF2" s="1282"/>
      <c r="BG2" s="1282"/>
      <c r="BH2" s="1282"/>
      <c r="BI2" s="1282"/>
      <c r="BJ2" s="1282"/>
      <c r="BK2" s="1282"/>
      <c r="BL2" s="1282"/>
      <c r="BM2" s="1282"/>
      <c r="BN2" s="1282"/>
    </row>
    <row r="4" spans="1:68" ht="33" customHeight="1">
      <c r="A4" s="1275" t="s">
        <v>136</v>
      </c>
      <c r="B4" s="1275" t="s">
        <v>469</v>
      </c>
      <c r="C4" s="1275" t="s">
        <v>13</v>
      </c>
      <c r="D4" s="1275" t="s">
        <v>373</v>
      </c>
      <c r="E4" s="1368" t="s">
        <v>465</v>
      </c>
      <c r="F4" s="1368"/>
      <c r="G4" s="1368"/>
      <c r="H4" s="1368"/>
      <c r="I4" s="1368"/>
      <c r="J4" s="1368"/>
      <c r="K4" s="1368"/>
      <c r="L4" s="1368"/>
      <c r="M4" s="1368"/>
      <c r="N4" s="1368"/>
      <c r="O4" s="1368"/>
      <c r="P4" s="1368"/>
      <c r="Q4" s="1368"/>
      <c r="R4" s="1368"/>
      <c r="S4" s="1368"/>
      <c r="T4" s="1368"/>
      <c r="U4" s="1368"/>
      <c r="V4" s="1368"/>
      <c r="W4" s="1368"/>
      <c r="X4" s="1368"/>
      <c r="Y4" s="1368"/>
      <c r="Z4" s="1368"/>
      <c r="AA4" s="1368"/>
      <c r="AB4" s="1368"/>
      <c r="AC4" s="1368"/>
      <c r="AD4" s="1368"/>
      <c r="AE4" s="1368"/>
      <c r="AF4" s="1368"/>
      <c r="AG4" s="1368"/>
      <c r="AH4" s="1368"/>
      <c r="AI4" s="1368"/>
      <c r="AJ4" s="1368"/>
      <c r="AK4" s="1368"/>
      <c r="AL4" s="1368"/>
      <c r="AM4" s="1368"/>
      <c r="AN4" s="1368"/>
      <c r="AO4" s="1368"/>
      <c r="AP4" s="1368"/>
      <c r="AQ4" s="1368"/>
      <c r="AR4" s="1368"/>
      <c r="AS4" s="1368"/>
      <c r="AT4" s="1368"/>
      <c r="AU4" s="1368"/>
      <c r="AV4" s="1368"/>
      <c r="AW4" s="1368"/>
      <c r="AX4" s="1368"/>
      <c r="AY4" s="1368"/>
      <c r="AZ4" s="1368"/>
      <c r="BA4" s="1368"/>
      <c r="BB4" s="1368"/>
      <c r="BC4" s="1368"/>
      <c r="BD4" s="1368"/>
      <c r="BE4" s="1368"/>
      <c r="BF4" s="1368"/>
      <c r="BG4" s="1368"/>
      <c r="BH4" s="1368"/>
      <c r="BI4" s="1368"/>
      <c r="BJ4" s="1368"/>
      <c r="BK4" s="1368"/>
      <c r="BL4" s="1365" t="s">
        <v>191</v>
      </c>
      <c r="BM4" s="1365" t="s">
        <v>493</v>
      </c>
      <c r="BN4" s="1365" t="s">
        <v>695</v>
      </c>
    </row>
    <row r="5" spans="1:68" ht="35.25" customHeight="1">
      <c r="A5" s="1275"/>
      <c r="B5" s="1275"/>
      <c r="C5" s="1275"/>
      <c r="D5" s="1275"/>
      <c r="E5" s="128" t="s">
        <v>15</v>
      </c>
      <c r="F5" s="128" t="s">
        <v>193</v>
      </c>
      <c r="G5" s="128" t="s">
        <v>194</v>
      </c>
      <c r="H5" s="128" t="s">
        <v>18</v>
      </c>
      <c r="I5" s="128" t="s">
        <v>20</v>
      </c>
      <c r="J5" s="128" t="s">
        <v>195</v>
      </c>
      <c r="K5" s="128" t="s">
        <v>196</v>
      </c>
      <c r="L5" s="128" t="s">
        <v>197</v>
      </c>
      <c r="M5" s="128" t="s">
        <v>23</v>
      </c>
      <c r="N5" s="128" t="s">
        <v>26</v>
      </c>
      <c r="O5" s="128" t="s">
        <v>198</v>
      </c>
      <c r="P5" s="128" t="s">
        <v>29</v>
      </c>
      <c r="Q5" s="128" t="s">
        <v>32</v>
      </c>
      <c r="R5" s="128" t="s">
        <v>35</v>
      </c>
      <c r="S5" s="128" t="s">
        <v>38</v>
      </c>
      <c r="T5" s="128" t="s">
        <v>41</v>
      </c>
      <c r="U5" s="128" t="s">
        <v>44</v>
      </c>
      <c r="V5" s="128" t="s">
        <v>46</v>
      </c>
      <c r="W5" s="128" t="s">
        <v>49</v>
      </c>
      <c r="X5" s="128" t="s">
        <v>52</v>
      </c>
      <c r="Y5" s="128" t="s">
        <v>55</v>
      </c>
      <c r="Z5" s="128" t="s">
        <v>58</v>
      </c>
      <c r="AA5" s="128" t="s">
        <v>61</v>
      </c>
      <c r="AB5" s="128" t="s">
        <v>64</v>
      </c>
      <c r="AC5" s="128" t="s">
        <v>67</v>
      </c>
      <c r="AD5" s="128" t="s">
        <v>70</v>
      </c>
      <c r="AE5" s="128" t="s">
        <v>72</v>
      </c>
      <c r="AF5" s="128" t="s">
        <v>202</v>
      </c>
      <c r="AG5" s="128" t="s">
        <v>203</v>
      </c>
      <c r="AH5" s="128" t="s">
        <v>204</v>
      </c>
      <c r="AI5" s="128" t="s">
        <v>205</v>
      </c>
      <c r="AJ5" s="128" t="s">
        <v>206</v>
      </c>
      <c r="AK5" s="128" t="s">
        <v>207</v>
      </c>
      <c r="AL5" s="128" t="s">
        <v>199</v>
      </c>
      <c r="AM5" s="128" t="s">
        <v>200</v>
      </c>
      <c r="AN5" s="128" t="s">
        <v>223</v>
      </c>
      <c r="AO5" s="128" t="s">
        <v>201</v>
      </c>
      <c r="AP5" s="128" t="s">
        <v>208</v>
      </c>
      <c r="AQ5" s="128" t="s">
        <v>75</v>
      </c>
      <c r="AR5" s="128" t="s">
        <v>78</v>
      </c>
      <c r="AS5" s="128" t="s">
        <v>81</v>
      </c>
      <c r="AT5" s="128" t="s">
        <v>84</v>
      </c>
      <c r="AU5" s="128" t="s">
        <v>87</v>
      </c>
      <c r="AV5" s="128" t="s">
        <v>90</v>
      </c>
      <c r="AW5" s="128" t="s">
        <v>93</v>
      </c>
      <c r="AX5" s="128" t="s">
        <v>96</v>
      </c>
      <c r="AY5" s="128" t="s">
        <v>99</v>
      </c>
      <c r="AZ5" s="128" t="s">
        <v>101</v>
      </c>
      <c r="BA5" s="128" t="s">
        <v>104</v>
      </c>
      <c r="BB5" s="128" t="s">
        <v>107</v>
      </c>
      <c r="BC5" s="128" t="s">
        <v>110</v>
      </c>
      <c r="BD5" s="128" t="s">
        <v>113</v>
      </c>
      <c r="BE5" s="128" t="s">
        <v>116</v>
      </c>
      <c r="BF5" s="128" t="s">
        <v>119</v>
      </c>
      <c r="BG5" s="128" t="s">
        <v>122</v>
      </c>
      <c r="BH5" s="128" t="s">
        <v>124</v>
      </c>
      <c r="BI5" s="128" t="s">
        <v>209</v>
      </c>
      <c r="BJ5" s="128" t="s">
        <v>210</v>
      </c>
      <c r="BK5" s="128" t="s">
        <v>211</v>
      </c>
      <c r="BL5" s="1366"/>
      <c r="BM5" s="1366"/>
      <c r="BN5" s="1366"/>
    </row>
    <row r="6" spans="1:68" ht="24.95" customHeight="1">
      <c r="A6" s="130" t="s">
        <v>235</v>
      </c>
      <c r="B6" s="130" t="s">
        <v>236</v>
      </c>
      <c r="C6" s="128" t="s">
        <v>237</v>
      </c>
      <c r="D6" s="128" t="s">
        <v>238</v>
      </c>
      <c r="E6" s="128" t="s">
        <v>239</v>
      </c>
      <c r="F6" s="128" t="s">
        <v>240</v>
      </c>
      <c r="G6" s="128" t="s">
        <v>241</v>
      </c>
      <c r="H6" s="128" t="s">
        <v>242</v>
      </c>
      <c r="I6" s="128" t="s">
        <v>243</v>
      </c>
      <c r="J6" s="128" t="s">
        <v>244</v>
      </c>
      <c r="K6" s="128" t="s">
        <v>245</v>
      </c>
      <c r="L6" s="128" t="s">
        <v>246</v>
      </c>
      <c r="M6" s="128" t="s">
        <v>247</v>
      </c>
      <c r="N6" s="128" t="s">
        <v>248</v>
      </c>
      <c r="O6" s="128" t="s">
        <v>249</v>
      </c>
      <c r="P6" s="128" t="s">
        <v>250</v>
      </c>
      <c r="Q6" s="128" t="s">
        <v>251</v>
      </c>
      <c r="R6" s="128" t="s">
        <v>252</v>
      </c>
      <c r="S6" s="128" t="s">
        <v>253</v>
      </c>
      <c r="T6" s="128" t="s">
        <v>254</v>
      </c>
      <c r="U6" s="128" t="s">
        <v>255</v>
      </c>
      <c r="V6" s="128" t="s">
        <v>256</v>
      </c>
      <c r="W6" s="128" t="s">
        <v>257</v>
      </c>
      <c r="X6" s="128" t="s">
        <v>258</v>
      </c>
      <c r="Y6" s="128" t="s">
        <v>259</v>
      </c>
      <c r="Z6" s="128" t="s">
        <v>260</v>
      </c>
      <c r="AA6" s="128" t="s">
        <v>261</v>
      </c>
      <c r="AB6" s="128" t="s">
        <v>262</v>
      </c>
      <c r="AC6" s="128" t="s">
        <v>263</v>
      </c>
      <c r="AD6" s="128" t="s">
        <v>264</v>
      </c>
      <c r="AE6" s="128" t="s">
        <v>265</v>
      </c>
      <c r="AF6" s="128" t="s">
        <v>266</v>
      </c>
      <c r="AG6" s="128" t="s">
        <v>267</v>
      </c>
      <c r="AH6" s="128" t="s">
        <v>268</v>
      </c>
      <c r="AI6" s="128" t="s">
        <v>269</v>
      </c>
      <c r="AJ6" s="128" t="s">
        <v>270</v>
      </c>
      <c r="AK6" s="128" t="s">
        <v>271</v>
      </c>
      <c r="AL6" s="128" t="s">
        <v>272</v>
      </c>
      <c r="AM6" s="128" t="s">
        <v>273</v>
      </c>
      <c r="AN6" s="128" t="s">
        <v>274</v>
      </c>
      <c r="AO6" s="128" t="s">
        <v>275</v>
      </c>
      <c r="AP6" s="128" t="s">
        <v>276</v>
      </c>
      <c r="AQ6" s="128" t="s">
        <v>277</v>
      </c>
      <c r="AR6" s="128" t="s">
        <v>278</v>
      </c>
      <c r="AS6" s="128" t="s">
        <v>279</v>
      </c>
      <c r="AT6" s="128" t="s">
        <v>280</v>
      </c>
      <c r="AU6" s="128" t="s">
        <v>281</v>
      </c>
      <c r="AV6" s="128" t="s">
        <v>282</v>
      </c>
      <c r="AW6" s="128" t="s">
        <v>283</v>
      </c>
      <c r="AX6" s="128" t="s">
        <v>284</v>
      </c>
      <c r="AY6" s="128" t="s">
        <v>285</v>
      </c>
      <c r="AZ6" s="128" t="s">
        <v>286</v>
      </c>
      <c r="BA6" s="128" t="s">
        <v>287</v>
      </c>
      <c r="BB6" s="128" t="s">
        <v>288</v>
      </c>
      <c r="BC6" s="128" t="s">
        <v>289</v>
      </c>
      <c r="BD6" s="128" t="s">
        <v>290</v>
      </c>
      <c r="BE6" s="128" t="s">
        <v>291</v>
      </c>
      <c r="BF6" s="128" t="s">
        <v>292</v>
      </c>
      <c r="BG6" s="128" t="s">
        <v>293</v>
      </c>
      <c r="BH6" s="128" t="s">
        <v>294</v>
      </c>
      <c r="BI6" s="128" t="s">
        <v>295</v>
      </c>
      <c r="BJ6" s="128" t="s">
        <v>296</v>
      </c>
      <c r="BK6" s="128" t="s">
        <v>297</v>
      </c>
      <c r="BL6" s="128" t="s">
        <v>298</v>
      </c>
      <c r="BM6" s="128" t="s">
        <v>299</v>
      </c>
      <c r="BN6" s="128" t="s">
        <v>300</v>
      </c>
    </row>
    <row r="7" spans="1:68" s="117" customFormat="1" ht="31.5" customHeight="1">
      <c r="A7" s="12"/>
      <c r="B7" s="148" t="s">
        <v>470</v>
      </c>
      <c r="C7" s="3"/>
      <c r="D7" s="3">
        <f>D8+D25+D63</f>
        <v>0</v>
      </c>
      <c r="E7" s="3">
        <f>E8+E25+E63</f>
        <v>0</v>
      </c>
      <c r="F7" s="3">
        <f t="shared" ref="F7:BN7" si="0">F8+F25+F63</f>
        <v>0</v>
      </c>
      <c r="G7" s="3">
        <f t="shared" si="0"/>
        <v>0</v>
      </c>
      <c r="H7" s="3">
        <f t="shared" si="0"/>
        <v>0</v>
      </c>
      <c r="I7" s="3">
        <f t="shared" si="0"/>
        <v>0</v>
      </c>
      <c r="J7" s="3">
        <f t="shared" si="0"/>
        <v>0</v>
      </c>
      <c r="K7" s="3">
        <f t="shared" si="0"/>
        <v>0</v>
      </c>
      <c r="L7" s="3">
        <f t="shared" si="0"/>
        <v>0</v>
      </c>
      <c r="M7" s="3">
        <f t="shared" si="0"/>
        <v>0</v>
      </c>
      <c r="N7" s="3">
        <f t="shared" si="0"/>
        <v>0</v>
      </c>
      <c r="O7" s="3">
        <f t="shared" si="0"/>
        <v>0</v>
      </c>
      <c r="P7" s="3">
        <f t="shared" si="0"/>
        <v>0</v>
      </c>
      <c r="Q7" s="3">
        <f t="shared" si="0"/>
        <v>0</v>
      </c>
      <c r="R7" s="3">
        <f t="shared" si="0"/>
        <v>0</v>
      </c>
      <c r="S7" s="3">
        <f t="shared" si="0"/>
        <v>0</v>
      </c>
      <c r="T7" s="3">
        <f t="shared" si="0"/>
        <v>0</v>
      </c>
      <c r="U7" s="3">
        <f t="shared" si="0"/>
        <v>0</v>
      </c>
      <c r="V7" s="3">
        <f t="shared" si="0"/>
        <v>0</v>
      </c>
      <c r="W7" s="3">
        <f t="shared" si="0"/>
        <v>0</v>
      </c>
      <c r="X7" s="3">
        <f t="shared" si="0"/>
        <v>0</v>
      </c>
      <c r="Y7" s="3">
        <f t="shared" si="0"/>
        <v>0</v>
      </c>
      <c r="Z7" s="3">
        <f t="shared" si="0"/>
        <v>0</v>
      </c>
      <c r="AA7" s="3">
        <f t="shared" si="0"/>
        <v>0</v>
      </c>
      <c r="AB7" s="3">
        <f t="shared" si="0"/>
        <v>0</v>
      </c>
      <c r="AC7" s="3">
        <f t="shared" si="0"/>
        <v>0</v>
      </c>
      <c r="AD7" s="3">
        <f t="shared" si="0"/>
        <v>0</v>
      </c>
      <c r="AE7" s="3">
        <f t="shared" si="0"/>
        <v>0</v>
      </c>
      <c r="AF7" s="3">
        <f t="shared" si="0"/>
        <v>0</v>
      </c>
      <c r="AG7" s="3">
        <f t="shared" si="0"/>
        <v>0</v>
      </c>
      <c r="AH7" s="3">
        <f t="shared" si="0"/>
        <v>0</v>
      </c>
      <c r="AI7" s="3">
        <f t="shared" si="0"/>
        <v>0</v>
      </c>
      <c r="AJ7" s="3">
        <f t="shared" si="0"/>
        <v>0</v>
      </c>
      <c r="AK7" s="3">
        <f t="shared" si="0"/>
        <v>0</v>
      </c>
      <c r="AL7" s="3">
        <f t="shared" si="0"/>
        <v>0</v>
      </c>
      <c r="AM7" s="3">
        <f t="shared" si="0"/>
        <v>0</v>
      </c>
      <c r="AN7" s="3">
        <f t="shared" si="0"/>
        <v>0</v>
      </c>
      <c r="AO7" s="3">
        <f t="shared" si="0"/>
        <v>0</v>
      </c>
      <c r="AP7" s="3">
        <f t="shared" si="0"/>
        <v>0</v>
      </c>
      <c r="AQ7" s="3">
        <f t="shared" si="0"/>
        <v>0</v>
      </c>
      <c r="AR7" s="3">
        <f t="shared" si="0"/>
        <v>0</v>
      </c>
      <c r="AS7" s="3">
        <f t="shared" si="0"/>
        <v>0</v>
      </c>
      <c r="AT7" s="3">
        <f t="shared" si="0"/>
        <v>0</v>
      </c>
      <c r="AU7" s="3">
        <f t="shared" si="0"/>
        <v>0</v>
      </c>
      <c r="AV7" s="3">
        <f t="shared" si="0"/>
        <v>0</v>
      </c>
      <c r="AW7" s="3">
        <f t="shared" si="0"/>
        <v>0</v>
      </c>
      <c r="AX7" s="3">
        <f t="shared" si="0"/>
        <v>0</v>
      </c>
      <c r="AY7" s="3">
        <f t="shared" si="0"/>
        <v>0</v>
      </c>
      <c r="AZ7" s="3">
        <f t="shared" si="0"/>
        <v>0</v>
      </c>
      <c r="BA7" s="3">
        <f t="shared" si="0"/>
        <v>0</v>
      </c>
      <c r="BB7" s="3">
        <f t="shared" si="0"/>
        <v>0</v>
      </c>
      <c r="BC7" s="3">
        <f t="shared" si="0"/>
        <v>0</v>
      </c>
      <c r="BD7" s="3">
        <f t="shared" si="0"/>
        <v>0</v>
      </c>
      <c r="BE7" s="3">
        <f t="shared" si="0"/>
        <v>0</v>
      </c>
      <c r="BF7" s="3">
        <f t="shared" si="0"/>
        <v>0</v>
      </c>
      <c r="BG7" s="3">
        <f t="shared" si="0"/>
        <v>0</v>
      </c>
      <c r="BH7" s="3">
        <f t="shared" si="0"/>
        <v>0</v>
      </c>
      <c r="BI7" s="3">
        <f t="shared" si="0"/>
        <v>0</v>
      </c>
      <c r="BJ7" s="3">
        <f t="shared" si="0"/>
        <v>0</v>
      </c>
      <c r="BK7" s="3">
        <f t="shared" si="0"/>
        <v>0</v>
      </c>
      <c r="BL7" s="3"/>
      <c r="BM7" s="3">
        <f t="shared" si="0"/>
        <v>0</v>
      </c>
      <c r="BN7" s="3">
        <f t="shared" si="0"/>
        <v>0</v>
      </c>
    </row>
    <row r="8" spans="1:68" s="115" customFormat="1" ht="21.75" customHeight="1">
      <c r="A8" s="15">
        <v>1</v>
      </c>
      <c r="B8" s="142" t="s">
        <v>14</v>
      </c>
      <c r="C8" s="6" t="s">
        <v>15</v>
      </c>
      <c r="D8" s="6">
        <f>D9+D18+D22+D23+D24</f>
        <v>0</v>
      </c>
      <c r="E8" s="6">
        <f>D8-BL8</f>
        <v>0</v>
      </c>
      <c r="F8" s="6">
        <f>G8+N8</f>
        <v>0</v>
      </c>
      <c r="G8" s="6">
        <f>H8+L8+M8</f>
        <v>0</v>
      </c>
      <c r="H8" s="6">
        <f>I8+J8+K8</f>
        <v>0</v>
      </c>
      <c r="I8" s="6">
        <f>I9+I18+I22+I23+I24</f>
        <v>0</v>
      </c>
      <c r="J8" s="6">
        <f t="shared" ref="J8:BG8" si="1">J9+J18+J22+J23+J24</f>
        <v>0</v>
      </c>
      <c r="K8" s="6">
        <f t="shared" si="1"/>
        <v>0</v>
      </c>
      <c r="L8" s="6">
        <f t="shared" si="1"/>
        <v>0</v>
      </c>
      <c r="M8" s="6">
        <f t="shared" si="1"/>
        <v>0</v>
      </c>
      <c r="N8" s="6">
        <f t="shared" si="1"/>
        <v>0</v>
      </c>
      <c r="O8" s="6">
        <f>P8+Q8+R8</f>
        <v>0</v>
      </c>
      <c r="P8" s="6">
        <f t="shared" si="1"/>
        <v>0</v>
      </c>
      <c r="Q8" s="6">
        <f t="shared" si="1"/>
        <v>0</v>
      </c>
      <c r="R8" s="6">
        <f t="shared" si="1"/>
        <v>0</v>
      </c>
      <c r="S8" s="6">
        <f t="shared" si="1"/>
        <v>0</v>
      </c>
      <c r="T8" s="6">
        <f t="shared" si="1"/>
        <v>0</v>
      </c>
      <c r="U8" s="6">
        <f t="shared" si="1"/>
        <v>0</v>
      </c>
      <c r="V8" s="6">
        <f t="shared" si="1"/>
        <v>0</v>
      </c>
      <c r="W8" s="6">
        <f t="shared" si="1"/>
        <v>0</v>
      </c>
      <c r="X8" s="6">
        <f t="shared" si="1"/>
        <v>0</v>
      </c>
      <c r="Y8" s="6">
        <f>Y9+Y18+Y22+Y23+Y24</f>
        <v>0</v>
      </c>
      <c r="Z8" s="6">
        <f t="shared" si="1"/>
        <v>0</v>
      </c>
      <c r="AA8" s="6">
        <f t="shared" si="1"/>
        <v>0</v>
      </c>
      <c r="AB8" s="6">
        <f t="shared" si="1"/>
        <v>0</v>
      </c>
      <c r="AC8" s="6">
        <f t="shared" si="1"/>
        <v>0</v>
      </c>
      <c r="AD8" s="6">
        <f t="shared" si="1"/>
        <v>0</v>
      </c>
      <c r="AE8" s="6">
        <f t="shared" si="1"/>
        <v>0</v>
      </c>
      <c r="AF8" s="6">
        <f t="shared" si="1"/>
        <v>0</v>
      </c>
      <c r="AG8" s="6">
        <f t="shared" si="1"/>
        <v>0</v>
      </c>
      <c r="AH8" s="6">
        <f t="shared" si="1"/>
        <v>0</v>
      </c>
      <c r="AI8" s="6">
        <f t="shared" si="1"/>
        <v>0</v>
      </c>
      <c r="AJ8" s="6">
        <f t="shared" si="1"/>
        <v>0</v>
      </c>
      <c r="AK8" s="6">
        <f t="shared" si="1"/>
        <v>0</v>
      </c>
      <c r="AL8" s="6">
        <f t="shared" si="1"/>
        <v>0</v>
      </c>
      <c r="AM8" s="6">
        <f t="shared" si="1"/>
        <v>0</v>
      </c>
      <c r="AN8" s="6">
        <f t="shared" si="1"/>
        <v>0</v>
      </c>
      <c r="AO8" s="6">
        <f t="shared" si="1"/>
        <v>0</v>
      </c>
      <c r="AP8" s="6">
        <f t="shared" si="1"/>
        <v>0</v>
      </c>
      <c r="AQ8" s="6">
        <f t="shared" si="1"/>
        <v>0</v>
      </c>
      <c r="AR8" s="6">
        <f t="shared" si="1"/>
        <v>0</v>
      </c>
      <c r="AS8" s="6">
        <f t="shared" si="1"/>
        <v>0</v>
      </c>
      <c r="AT8" s="6">
        <f t="shared" si="1"/>
        <v>0</v>
      </c>
      <c r="AU8" s="6">
        <f t="shared" si="1"/>
        <v>0</v>
      </c>
      <c r="AV8" s="6">
        <f t="shared" si="1"/>
        <v>0</v>
      </c>
      <c r="AW8" s="6">
        <f t="shared" si="1"/>
        <v>0</v>
      </c>
      <c r="AX8" s="6">
        <f t="shared" si="1"/>
        <v>0</v>
      </c>
      <c r="AY8" s="6">
        <f t="shared" si="1"/>
        <v>0</v>
      </c>
      <c r="AZ8" s="6">
        <f t="shared" si="1"/>
        <v>0</v>
      </c>
      <c r="BA8" s="6">
        <f t="shared" si="1"/>
        <v>0</v>
      </c>
      <c r="BB8" s="6">
        <f t="shared" si="1"/>
        <v>0</v>
      </c>
      <c r="BC8" s="6">
        <f t="shared" si="1"/>
        <v>0</v>
      </c>
      <c r="BD8" s="6">
        <f t="shared" si="1"/>
        <v>0</v>
      </c>
      <c r="BE8" s="6">
        <f t="shared" si="1"/>
        <v>0</v>
      </c>
      <c r="BF8" s="6">
        <f t="shared" si="1"/>
        <v>0</v>
      </c>
      <c r="BG8" s="6">
        <f t="shared" si="1"/>
        <v>0</v>
      </c>
      <c r="BH8" s="6">
        <f>BH9+BH18+BH22+BH23+BH24</f>
        <v>0</v>
      </c>
      <c r="BI8" s="6">
        <f>BI9+BI18+BI22+BI23+BI24</f>
        <v>0</v>
      </c>
      <c r="BJ8" s="6">
        <f>BJ9+BJ18+BJ22+BJ23+BJ24</f>
        <v>0</v>
      </c>
      <c r="BK8" s="6">
        <f>BK9+BK18+BK22+BK23+BK24</f>
        <v>0</v>
      </c>
      <c r="BL8" s="6">
        <f>V8+BH8</f>
        <v>0</v>
      </c>
      <c r="BM8" s="6">
        <f>BM9+BM18+BM22+BM23+BM24</f>
        <v>0</v>
      </c>
      <c r="BN8" s="6">
        <f>BN9+BN18+BN22+BN23+BN24</f>
        <v>0</v>
      </c>
    </row>
    <row r="9" spans="1:68" ht="21.75" customHeight="1">
      <c r="A9" s="14" t="s">
        <v>16</v>
      </c>
      <c r="B9" s="143" t="s">
        <v>471</v>
      </c>
      <c r="C9" s="5" t="s">
        <v>193</v>
      </c>
      <c r="D9" s="5">
        <f>D10+D17</f>
        <v>0</v>
      </c>
      <c r="E9" s="5">
        <f>F9+O9+S9+T9+U9</f>
        <v>0</v>
      </c>
      <c r="F9" s="5">
        <f>D9-BK9</f>
        <v>0</v>
      </c>
      <c r="G9" s="5">
        <f>H9+L9+M9</f>
        <v>0</v>
      </c>
      <c r="H9" s="5">
        <f>I9+J9+K9</f>
        <v>0</v>
      </c>
      <c r="I9" s="5">
        <f>I10+I17</f>
        <v>0</v>
      </c>
      <c r="J9" s="5">
        <f t="shared" ref="J9:BG9" si="2">J10+J17</f>
        <v>0</v>
      </c>
      <c r="K9" s="5">
        <f t="shared" si="2"/>
        <v>0</v>
      </c>
      <c r="L9" s="5">
        <f t="shared" si="2"/>
        <v>0</v>
      </c>
      <c r="M9" s="5">
        <f t="shared" si="2"/>
        <v>0</v>
      </c>
      <c r="N9" s="5">
        <f t="shared" si="2"/>
        <v>0</v>
      </c>
      <c r="O9" s="5">
        <f t="shared" ref="O9:O17" si="3">P9+Q9+R9</f>
        <v>0</v>
      </c>
      <c r="P9" s="5">
        <f t="shared" si="2"/>
        <v>0</v>
      </c>
      <c r="Q9" s="5">
        <f t="shared" si="2"/>
        <v>0</v>
      </c>
      <c r="R9" s="5">
        <f t="shared" si="2"/>
        <v>0</v>
      </c>
      <c r="S9" s="5">
        <f t="shared" si="2"/>
        <v>0</v>
      </c>
      <c r="T9" s="5">
        <f t="shared" si="2"/>
        <v>0</v>
      </c>
      <c r="U9" s="5">
        <f t="shared" si="2"/>
        <v>0</v>
      </c>
      <c r="V9" s="5">
        <f t="shared" si="2"/>
        <v>0</v>
      </c>
      <c r="W9" s="5">
        <f t="shared" si="2"/>
        <v>0</v>
      </c>
      <c r="X9" s="5">
        <f t="shared" si="2"/>
        <v>0</v>
      </c>
      <c r="Y9" s="5">
        <f t="shared" si="2"/>
        <v>0</v>
      </c>
      <c r="Z9" s="5">
        <f t="shared" si="2"/>
        <v>0</v>
      </c>
      <c r="AA9" s="5">
        <f t="shared" si="2"/>
        <v>0</v>
      </c>
      <c r="AB9" s="5">
        <f t="shared" si="2"/>
        <v>0</v>
      </c>
      <c r="AC9" s="5">
        <f t="shared" si="2"/>
        <v>0</v>
      </c>
      <c r="AD9" s="5">
        <f t="shared" si="2"/>
        <v>0</v>
      </c>
      <c r="AE9" s="5">
        <f t="shared" si="2"/>
        <v>0</v>
      </c>
      <c r="AF9" s="5">
        <f t="shared" si="2"/>
        <v>0</v>
      </c>
      <c r="AG9" s="5">
        <f t="shared" si="2"/>
        <v>0</v>
      </c>
      <c r="AH9" s="5">
        <f t="shared" si="2"/>
        <v>0</v>
      </c>
      <c r="AI9" s="5">
        <f t="shared" si="2"/>
        <v>0</v>
      </c>
      <c r="AJ9" s="5">
        <f t="shared" si="2"/>
        <v>0</v>
      </c>
      <c r="AK9" s="5">
        <f t="shared" si="2"/>
        <v>0</v>
      </c>
      <c r="AL9" s="5">
        <f t="shared" si="2"/>
        <v>0</v>
      </c>
      <c r="AM9" s="5">
        <f t="shared" si="2"/>
        <v>0</v>
      </c>
      <c r="AN9" s="5">
        <f t="shared" si="2"/>
        <v>0</v>
      </c>
      <c r="AO9" s="5">
        <f t="shared" si="2"/>
        <v>0</v>
      </c>
      <c r="AP9" s="5">
        <f t="shared" si="2"/>
        <v>0</v>
      </c>
      <c r="AQ9" s="5">
        <f t="shared" si="2"/>
        <v>0</v>
      </c>
      <c r="AR9" s="5">
        <f t="shared" si="2"/>
        <v>0</v>
      </c>
      <c r="AS9" s="5">
        <f t="shared" si="2"/>
        <v>0</v>
      </c>
      <c r="AT9" s="5">
        <f t="shared" si="2"/>
        <v>0</v>
      </c>
      <c r="AU9" s="5">
        <f t="shared" si="2"/>
        <v>0</v>
      </c>
      <c r="AV9" s="5">
        <f t="shared" si="2"/>
        <v>0</v>
      </c>
      <c r="AW9" s="5">
        <f t="shared" si="2"/>
        <v>0</v>
      </c>
      <c r="AX9" s="5">
        <f t="shared" si="2"/>
        <v>0</v>
      </c>
      <c r="AY9" s="5">
        <f t="shared" si="2"/>
        <v>0</v>
      </c>
      <c r="AZ9" s="5">
        <f t="shared" si="2"/>
        <v>0</v>
      </c>
      <c r="BA9" s="5">
        <f t="shared" si="2"/>
        <v>0</v>
      </c>
      <c r="BB9" s="5">
        <f t="shared" si="2"/>
        <v>0</v>
      </c>
      <c r="BC9" s="5">
        <f t="shared" si="2"/>
        <v>0</v>
      </c>
      <c r="BD9" s="5">
        <f t="shared" si="2"/>
        <v>0</v>
      </c>
      <c r="BE9" s="5">
        <f t="shared" si="2"/>
        <v>0</v>
      </c>
      <c r="BF9" s="5">
        <f t="shared" si="2"/>
        <v>0</v>
      </c>
      <c r="BG9" s="5">
        <f t="shared" si="2"/>
        <v>0</v>
      </c>
      <c r="BH9" s="5">
        <f>BH10+BH17</f>
        <v>0</v>
      </c>
      <c r="BI9" s="5">
        <f>BI10+BI17</f>
        <v>0</v>
      </c>
      <c r="BJ9" s="5">
        <f>BJ10+BJ17</f>
        <v>0</v>
      </c>
      <c r="BK9" s="5">
        <f>BK10+BK17</f>
        <v>0</v>
      </c>
      <c r="BL9" s="5">
        <f>O9+S9+T9+U9+V9+BH9</f>
        <v>0</v>
      </c>
      <c r="BM9" s="5">
        <f>BM10+BM17</f>
        <v>0</v>
      </c>
      <c r="BN9" s="5">
        <f>D9+BM9</f>
        <v>0</v>
      </c>
      <c r="BP9" s="123"/>
    </row>
    <row r="10" spans="1:68" ht="20.100000000000001" customHeight="1">
      <c r="A10" s="14" t="s">
        <v>212</v>
      </c>
      <c r="B10" s="143" t="s">
        <v>472</v>
      </c>
      <c r="C10" s="5" t="s">
        <v>194</v>
      </c>
      <c r="D10" s="5">
        <f>D11+D15+D16</f>
        <v>0</v>
      </c>
      <c r="E10" s="5">
        <f t="shared" ref="E10:E66" si="4">F10+O10+S10+T10+U10</f>
        <v>0</v>
      </c>
      <c r="F10" s="5">
        <f>G10+N10</f>
        <v>0</v>
      </c>
      <c r="G10" s="5">
        <f>D10-BL10</f>
        <v>0</v>
      </c>
      <c r="H10" s="5">
        <f>I10+J10+K10</f>
        <v>0</v>
      </c>
      <c r="I10" s="5">
        <f>I11+I15+I16</f>
        <v>0</v>
      </c>
      <c r="J10" s="5">
        <f t="shared" ref="J10:BG10" si="5">J11+J15+J16</f>
        <v>0</v>
      </c>
      <c r="K10" s="5">
        <f t="shared" si="5"/>
        <v>0</v>
      </c>
      <c r="L10" s="5">
        <f t="shared" si="5"/>
        <v>0</v>
      </c>
      <c r="M10" s="5">
        <f t="shared" si="5"/>
        <v>0</v>
      </c>
      <c r="N10" s="5">
        <f t="shared" si="5"/>
        <v>0</v>
      </c>
      <c r="O10" s="5">
        <f t="shared" si="3"/>
        <v>0</v>
      </c>
      <c r="P10" s="5">
        <f t="shared" si="5"/>
        <v>0</v>
      </c>
      <c r="Q10" s="5">
        <f t="shared" si="5"/>
        <v>0</v>
      </c>
      <c r="R10" s="5">
        <f t="shared" si="5"/>
        <v>0</v>
      </c>
      <c r="S10" s="5">
        <f t="shared" si="5"/>
        <v>0</v>
      </c>
      <c r="T10" s="5">
        <f t="shared" si="5"/>
        <v>0</v>
      </c>
      <c r="U10" s="5">
        <f t="shared" si="5"/>
        <v>0</v>
      </c>
      <c r="V10" s="5">
        <f t="shared" si="5"/>
        <v>0</v>
      </c>
      <c r="W10" s="5">
        <f t="shared" si="5"/>
        <v>0</v>
      </c>
      <c r="X10" s="5">
        <f t="shared" si="5"/>
        <v>0</v>
      </c>
      <c r="Y10" s="5">
        <f t="shared" si="5"/>
        <v>0</v>
      </c>
      <c r="Z10" s="5">
        <f t="shared" si="5"/>
        <v>0</v>
      </c>
      <c r="AA10" s="5">
        <f t="shared" si="5"/>
        <v>0</v>
      </c>
      <c r="AB10" s="5">
        <f t="shared" si="5"/>
        <v>0</v>
      </c>
      <c r="AC10" s="5">
        <f t="shared" si="5"/>
        <v>0</v>
      </c>
      <c r="AD10" s="5">
        <f t="shared" si="5"/>
        <v>0</v>
      </c>
      <c r="AE10" s="5">
        <f t="shared" si="5"/>
        <v>0</v>
      </c>
      <c r="AF10" s="5">
        <f t="shared" si="5"/>
        <v>0</v>
      </c>
      <c r="AG10" s="5">
        <f t="shared" si="5"/>
        <v>0</v>
      </c>
      <c r="AH10" s="5">
        <f t="shared" si="5"/>
        <v>0</v>
      </c>
      <c r="AI10" s="5">
        <f t="shared" si="5"/>
        <v>0</v>
      </c>
      <c r="AJ10" s="5">
        <f t="shared" si="5"/>
        <v>0</v>
      </c>
      <c r="AK10" s="5">
        <f t="shared" si="5"/>
        <v>0</v>
      </c>
      <c r="AL10" s="5">
        <f t="shared" si="5"/>
        <v>0</v>
      </c>
      <c r="AM10" s="5">
        <f t="shared" si="5"/>
        <v>0</v>
      </c>
      <c r="AN10" s="5">
        <f t="shared" si="5"/>
        <v>0</v>
      </c>
      <c r="AO10" s="5">
        <f t="shared" si="5"/>
        <v>0</v>
      </c>
      <c r="AP10" s="5">
        <f t="shared" si="5"/>
        <v>0</v>
      </c>
      <c r="AQ10" s="5">
        <f t="shared" si="5"/>
        <v>0</v>
      </c>
      <c r="AR10" s="5">
        <f t="shared" si="5"/>
        <v>0</v>
      </c>
      <c r="AS10" s="5">
        <f t="shared" si="5"/>
        <v>0</v>
      </c>
      <c r="AT10" s="5">
        <f t="shared" si="5"/>
        <v>0</v>
      </c>
      <c r="AU10" s="5">
        <f t="shared" si="5"/>
        <v>0</v>
      </c>
      <c r="AV10" s="5">
        <f t="shared" si="5"/>
        <v>0</v>
      </c>
      <c r="AW10" s="5">
        <f t="shared" si="5"/>
        <v>0</v>
      </c>
      <c r="AX10" s="5">
        <f t="shared" si="5"/>
        <v>0</v>
      </c>
      <c r="AY10" s="5">
        <f t="shared" si="5"/>
        <v>0</v>
      </c>
      <c r="AZ10" s="5">
        <f t="shared" si="5"/>
        <v>0</v>
      </c>
      <c r="BA10" s="5">
        <f t="shared" si="5"/>
        <v>0</v>
      </c>
      <c r="BB10" s="5">
        <f t="shared" si="5"/>
        <v>0</v>
      </c>
      <c r="BC10" s="5">
        <f t="shared" si="5"/>
        <v>0</v>
      </c>
      <c r="BD10" s="5">
        <f t="shared" si="5"/>
        <v>0</v>
      </c>
      <c r="BE10" s="5">
        <f t="shared" si="5"/>
        <v>0</v>
      </c>
      <c r="BF10" s="5">
        <f t="shared" si="5"/>
        <v>0</v>
      </c>
      <c r="BG10" s="5">
        <f t="shared" si="5"/>
        <v>0</v>
      </c>
      <c r="BH10" s="5">
        <f>BH11+BH15+BH16</f>
        <v>0</v>
      </c>
      <c r="BI10" s="5">
        <f>BI11+BI15+BI16</f>
        <v>0</v>
      </c>
      <c r="BJ10" s="5">
        <f>BJ11+BJ15+BJ16</f>
        <v>0</v>
      </c>
      <c r="BK10" s="5">
        <f>BK11+BK15+BK16</f>
        <v>0</v>
      </c>
      <c r="BL10" s="5">
        <f>N10+O10+S10+T10+U10+V10+BH10</f>
        <v>0</v>
      </c>
      <c r="BM10" s="5">
        <f>BM11+BM15+BM16</f>
        <v>0</v>
      </c>
      <c r="BN10" s="5">
        <f>BN11+BN15+BN16</f>
        <v>0</v>
      </c>
      <c r="BP10" s="123"/>
    </row>
    <row r="11" spans="1:68" ht="20.100000000000001" customHeight="1">
      <c r="A11" s="14" t="s">
        <v>213</v>
      </c>
      <c r="B11" s="143" t="s">
        <v>17</v>
      </c>
      <c r="C11" s="5" t="s">
        <v>18</v>
      </c>
      <c r="D11" s="5">
        <f>D12+D13+D14</f>
        <v>0</v>
      </c>
      <c r="E11" s="5">
        <f t="shared" si="4"/>
        <v>0</v>
      </c>
      <c r="F11" s="5">
        <f t="shared" ref="F11:F24" si="6">G11+N11</f>
        <v>0</v>
      </c>
      <c r="G11" s="5">
        <f>H11+L11+M11</f>
        <v>0</v>
      </c>
      <c r="H11" s="5">
        <f>D11-BL11</f>
        <v>0</v>
      </c>
      <c r="I11" s="5">
        <f>I12+I13+I14</f>
        <v>0</v>
      </c>
      <c r="J11" s="5">
        <f t="shared" ref="J11:BG11" si="7">J12+J13+J14</f>
        <v>0</v>
      </c>
      <c r="K11" s="5">
        <f t="shared" si="7"/>
        <v>0</v>
      </c>
      <c r="L11" s="5">
        <f t="shared" si="7"/>
        <v>0</v>
      </c>
      <c r="M11" s="5">
        <f t="shared" si="7"/>
        <v>0</v>
      </c>
      <c r="N11" s="5">
        <f t="shared" si="7"/>
        <v>0</v>
      </c>
      <c r="O11" s="5">
        <f t="shared" si="3"/>
        <v>0</v>
      </c>
      <c r="P11" s="5">
        <f t="shared" si="7"/>
        <v>0</v>
      </c>
      <c r="Q11" s="5">
        <f t="shared" si="7"/>
        <v>0</v>
      </c>
      <c r="R11" s="5">
        <f t="shared" si="7"/>
        <v>0</v>
      </c>
      <c r="S11" s="5">
        <f t="shared" si="7"/>
        <v>0</v>
      </c>
      <c r="T11" s="5">
        <f t="shared" si="7"/>
        <v>0</v>
      </c>
      <c r="U11" s="5">
        <f t="shared" si="7"/>
        <v>0</v>
      </c>
      <c r="V11" s="5">
        <f t="shared" si="7"/>
        <v>0</v>
      </c>
      <c r="W11" s="5">
        <f t="shared" si="7"/>
        <v>0</v>
      </c>
      <c r="X11" s="5">
        <f t="shared" si="7"/>
        <v>0</v>
      </c>
      <c r="Y11" s="5">
        <f t="shared" si="7"/>
        <v>0</v>
      </c>
      <c r="Z11" s="5">
        <f t="shared" si="7"/>
        <v>0</v>
      </c>
      <c r="AA11" s="5">
        <f t="shared" si="7"/>
        <v>0</v>
      </c>
      <c r="AB11" s="5">
        <f t="shared" si="7"/>
        <v>0</v>
      </c>
      <c r="AC11" s="5">
        <f t="shared" si="7"/>
        <v>0</v>
      </c>
      <c r="AD11" s="5">
        <f t="shared" si="7"/>
        <v>0</v>
      </c>
      <c r="AE11" s="5">
        <f t="shared" si="7"/>
        <v>0</v>
      </c>
      <c r="AF11" s="5">
        <f t="shared" si="7"/>
        <v>0</v>
      </c>
      <c r="AG11" s="5">
        <f t="shared" si="7"/>
        <v>0</v>
      </c>
      <c r="AH11" s="5">
        <f t="shared" si="7"/>
        <v>0</v>
      </c>
      <c r="AI11" s="5">
        <f t="shared" si="7"/>
        <v>0</v>
      </c>
      <c r="AJ11" s="5">
        <f t="shared" si="7"/>
        <v>0</v>
      </c>
      <c r="AK11" s="5">
        <f t="shared" si="7"/>
        <v>0</v>
      </c>
      <c r="AL11" s="5">
        <f t="shared" si="7"/>
        <v>0</v>
      </c>
      <c r="AM11" s="5">
        <f t="shared" si="7"/>
        <v>0</v>
      </c>
      <c r="AN11" s="5">
        <f t="shared" si="7"/>
        <v>0</v>
      </c>
      <c r="AO11" s="5">
        <f t="shared" si="7"/>
        <v>0</v>
      </c>
      <c r="AP11" s="5">
        <f t="shared" si="7"/>
        <v>0</v>
      </c>
      <c r="AQ11" s="5">
        <f t="shared" si="7"/>
        <v>0</v>
      </c>
      <c r="AR11" s="5">
        <f t="shared" si="7"/>
        <v>0</v>
      </c>
      <c r="AS11" s="5">
        <f t="shared" si="7"/>
        <v>0</v>
      </c>
      <c r="AT11" s="5">
        <f t="shared" si="7"/>
        <v>0</v>
      </c>
      <c r="AU11" s="5">
        <f t="shared" si="7"/>
        <v>0</v>
      </c>
      <c r="AV11" s="5">
        <f t="shared" si="7"/>
        <v>0</v>
      </c>
      <c r="AW11" s="5">
        <f t="shared" si="7"/>
        <v>0</v>
      </c>
      <c r="AX11" s="5">
        <f t="shared" si="7"/>
        <v>0</v>
      </c>
      <c r="AY11" s="5">
        <f t="shared" si="7"/>
        <v>0</v>
      </c>
      <c r="AZ11" s="5">
        <f t="shared" si="7"/>
        <v>0</v>
      </c>
      <c r="BA11" s="5">
        <f t="shared" si="7"/>
        <v>0</v>
      </c>
      <c r="BB11" s="5">
        <f t="shared" si="7"/>
        <v>0</v>
      </c>
      <c r="BC11" s="5">
        <f t="shared" si="7"/>
        <v>0</v>
      </c>
      <c r="BD11" s="5">
        <f t="shared" si="7"/>
        <v>0</v>
      </c>
      <c r="BE11" s="5">
        <f t="shared" si="7"/>
        <v>0</v>
      </c>
      <c r="BF11" s="5">
        <f t="shared" si="7"/>
        <v>0</v>
      </c>
      <c r="BG11" s="5">
        <f t="shared" si="7"/>
        <v>0</v>
      </c>
      <c r="BH11" s="5">
        <f>BH12+BH13+BH14</f>
        <v>0</v>
      </c>
      <c r="BI11" s="5">
        <f>BI12+BI13+BI14</f>
        <v>0</v>
      </c>
      <c r="BJ11" s="5">
        <f>BJ12+BJ13+BJ14</f>
        <v>0</v>
      </c>
      <c r="BK11" s="5">
        <f>BK12+BK13+BK14</f>
        <v>0</v>
      </c>
      <c r="BL11" s="5">
        <f>L11+M11+N11+S11+T11+U11+V11+BH11</f>
        <v>0</v>
      </c>
      <c r="BM11" s="5">
        <f>H67-BL11</f>
        <v>0</v>
      </c>
      <c r="BN11" s="5">
        <f>BN12+BN13+BN14</f>
        <v>0</v>
      </c>
      <c r="BP11" s="123"/>
    </row>
    <row r="12" spans="1:68" ht="20.100000000000001" customHeight="1">
      <c r="A12" s="14" t="s">
        <v>214</v>
      </c>
      <c r="B12" s="143" t="s">
        <v>473</v>
      </c>
      <c r="C12" s="5" t="s">
        <v>20</v>
      </c>
      <c r="D12" s="121"/>
      <c r="E12" s="5">
        <f t="shared" si="4"/>
        <v>0</v>
      </c>
      <c r="F12" s="5">
        <f t="shared" si="6"/>
        <v>0</v>
      </c>
      <c r="G12" s="5">
        <f t="shared" ref="G12:G66" si="8">H12+L12+M12</f>
        <v>0</v>
      </c>
      <c r="H12" s="5">
        <f>I12+J12+K12</f>
        <v>0</v>
      </c>
      <c r="I12" s="5">
        <f>D12-BL12</f>
        <v>0</v>
      </c>
      <c r="J12" s="5"/>
      <c r="K12" s="5"/>
      <c r="L12" s="5"/>
      <c r="M12" s="5"/>
      <c r="N12" s="5"/>
      <c r="O12" s="5">
        <f t="shared" si="3"/>
        <v>0</v>
      </c>
      <c r="P12" s="5"/>
      <c r="Q12" s="5"/>
      <c r="R12" s="5"/>
      <c r="S12" s="5"/>
      <c r="T12" s="5"/>
      <c r="U12" s="5"/>
      <c r="V12" s="5">
        <f>W12+X12+Y12+Z12+AA12+AB12+AC12+AD12+AE12+AQ12+AR12+AS12+AT12+AU12+AV12+AW12+AX12+AY12+AZ12+BA12+BB12+BC12+BD12+BE12+BF12+BG12</f>
        <v>0</v>
      </c>
      <c r="W12" s="5"/>
      <c r="X12" s="5"/>
      <c r="Y12" s="5"/>
      <c r="Z12" s="5"/>
      <c r="AA12" s="5"/>
      <c r="AB12" s="5"/>
      <c r="AC12" s="5"/>
      <c r="AD12" s="5"/>
      <c r="AE12" s="5">
        <f t="shared" ref="AE12:AE33" si="9">SUM(AF12:AP12)</f>
        <v>0</v>
      </c>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f t="shared" ref="BH12:BH17" si="10">BI12+BJ12+BK12</f>
        <v>0</v>
      </c>
      <c r="BI12" s="5"/>
      <c r="BJ12" s="5"/>
      <c r="BK12" s="5"/>
      <c r="BL12" s="5">
        <f>J12+K12+L12+M12+N12+O12+S12+T12+U12+V12+BH12</f>
        <v>0</v>
      </c>
      <c r="BM12" s="5">
        <f>I67-BL12</f>
        <v>0</v>
      </c>
      <c r="BN12" s="5">
        <f t="shared" ref="BN12:BN17" si="11">D12+BM12</f>
        <v>0</v>
      </c>
      <c r="BP12" s="123"/>
    </row>
    <row r="13" spans="1:68" ht="20.100000000000001" customHeight="1">
      <c r="A13" s="14" t="s">
        <v>215</v>
      </c>
      <c r="B13" s="143" t="s">
        <v>474</v>
      </c>
      <c r="C13" s="5" t="s">
        <v>195</v>
      </c>
      <c r="D13" s="5"/>
      <c r="E13" s="5">
        <f t="shared" si="4"/>
        <v>0</v>
      </c>
      <c r="F13" s="5">
        <f t="shared" si="6"/>
        <v>0</v>
      </c>
      <c r="G13" s="5">
        <f t="shared" si="8"/>
        <v>0</v>
      </c>
      <c r="H13" s="5">
        <f t="shared" ref="H13:H66" si="12">I13+J13+K13</f>
        <v>0</v>
      </c>
      <c r="I13" s="5"/>
      <c r="J13" s="5">
        <f>D13-BL13</f>
        <v>0</v>
      </c>
      <c r="K13" s="5"/>
      <c r="L13" s="5"/>
      <c r="M13" s="5"/>
      <c r="N13" s="5"/>
      <c r="O13" s="5">
        <f t="shared" si="3"/>
        <v>0</v>
      </c>
      <c r="P13" s="5"/>
      <c r="Q13" s="5"/>
      <c r="R13" s="5"/>
      <c r="S13" s="5"/>
      <c r="T13" s="5"/>
      <c r="U13" s="5"/>
      <c r="V13" s="5">
        <f t="shared" ref="V13:V66" si="13">W13+X13+Y13+Z13+AA13+AB13+AC13+AD13+AE13+AQ13+AR13+AS13+AT13+AU13+AV13+AW13+AX13+AY13+AZ13+BA13+BB13+BC13+BD13+BE13+BF13+BG13</f>
        <v>0</v>
      </c>
      <c r="W13" s="5"/>
      <c r="X13" s="5"/>
      <c r="Y13" s="5"/>
      <c r="Z13" s="5"/>
      <c r="AA13" s="5"/>
      <c r="AB13" s="5"/>
      <c r="AC13" s="5"/>
      <c r="AD13" s="5"/>
      <c r="AE13" s="5">
        <f t="shared" si="9"/>
        <v>0</v>
      </c>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f t="shared" si="10"/>
        <v>0</v>
      </c>
      <c r="BI13" s="5"/>
      <c r="BJ13" s="5"/>
      <c r="BK13" s="5"/>
      <c r="BL13" s="5">
        <f>I13+K13+L13+M13+N13+O13+S13+T13+U13+V13+BH13</f>
        <v>0</v>
      </c>
      <c r="BM13" s="5">
        <f>J67-BL13</f>
        <v>0</v>
      </c>
      <c r="BN13" s="5">
        <f t="shared" si="11"/>
        <v>0</v>
      </c>
      <c r="BP13" s="123"/>
    </row>
    <row r="14" spans="1:68" ht="20.100000000000001" customHeight="1">
      <c r="A14" s="14" t="s">
        <v>216</v>
      </c>
      <c r="B14" s="143" t="s">
        <v>475</v>
      </c>
      <c r="C14" s="5" t="s">
        <v>196</v>
      </c>
      <c r="D14" s="5"/>
      <c r="E14" s="5">
        <f t="shared" si="4"/>
        <v>0</v>
      </c>
      <c r="F14" s="5">
        <f t="shared" si="6"/>
        <v>0</v>
      </c>
      <c r="G14" s="5">
        <f t="shared" si="8"/>
        <v>0</v>
      </c>
      <c r="H14" s="5">
        <f t="shared" si="12"/>
        <v>0</v>
      </c>
      <c r="I14" s="5"/>
      <c r="J14" s="5"/>
      <c r="K14" s="5">
        <f>D14-BL14</f>
        <v>0</v>
      </c>
      <c r="L14" s="5"/>
      <c r="M14" s="5"/>
      <c r="N14" s="5"/>
      <c r="O14" s="5">
        <f t="shared" si="3"/>
        <v>0</v>
      </c>
      <c r="P14" s="5"/>
      <c r="Q14" s="5"/>
      <c r="R14" s="5"/>
      <c r="S14" s="5"/>
      <c r="T14" s="5"/>
      <c r="U14" s="5"/>
      <c r="V14" s="5">
        <f t="shared" si="13"/>
        <v>0</v>
      </c>
      <c r="W14" s="5"/>
      <c r="X14" s="5"/>
      <c r="Y14" s="5"/>
      <c r="Z14" s="5"/>
      <c r="AA14" s="5"/>
      <c r="AB14" s="5"/>
      <c r="AC14" s="5"/>
      <c r="AD14" s="5"/>
      <c r="AE14" s="5">
        <f t="shared" si="9"/>
        <v>0</v>
      </c>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f t="shared" si="10"/>
        <v>0</v>
      </c>
      <c r="BI14" s="5"/>
      <c r="BJ14" s="5"/>
      <c r="BK14" s="5"/>
      <c r="BL14" s="5">
        <f>I14+J14+L14+M14+N14+O14+S14+T14+U14+V14+BH14</f>
        <v>0</v>
      </c>
      <c r="BM14" s="5">
        <f>K67-BL14</f>
        <v>0</v>
      </c>
      <c r="BN14" s="5">
        <f t="shared" si="11"/>
        <v>0</v>
      </c>
      <c r="BP14" s="123"/>
    </row>
    <row r="15" spans="1:68" ht="20.100000000000001" customHeight="1">
      <c r="A15" s="14" t="s">
        <v>217</v>
      </c>
      <c r="B15" s="143" t="s">
        <v>476</v>
      </c>
      <c r="C15" s="5" t="s">
        <v>197</v>
      </c>
      <c r="D15" s="5"/>
      <c r="E15" s="5">
        <f t="shared" si="4"/>
        <v>0</v>
      </c>
      <c r="F15" s="5">
        <f t="shared" si="6"/>
        <v>0</v>
      </c>
      <c r="G15" s="5">
        <f t="shared" si="8"/>
        <v>0</v>
      </c>
      <c r="H15" s="5">
        <f t="shared" si="12"/>
        <v>0</v>
      </c>
      <c r="I15" s="5"/>
      <c r="J15" s="5"/>
      <c r="K15" s="5"/>
      <c r="L15" s="5">
        <f>D15-BL15</f>
        <v>0</v>
      </c>
      <c r="M15" s="5"/>
      <c r="N15" s="5"/>
      <c r="O15" s="5">
        <f t="shared" si="3"/>
        <v>0</v>
      </c>
      <c r="P15" s="5"/>
      <c r="Q15" s="5"/>
      <c r="R15" s="5"/>
      <c r="S15" s="5"/>
      <c r="T15" s="5"/>
      <c r="U15" s="5"/>
      <c r="V15" s="5">
        <f t="shared" si="13"/>
        <v>0</v>
      </c>
      <c r="W15" s="5"/>
      <c r="X15" s="5"/>
      <c r="Y15" s="5"/>
      <c r="Z15" s="5"/>
      <c r="AA15" s="5"/>
      <c r="AB15" s="5"/>
      <c r="AC15" s="5"/>
      <c r="AD15" s="5"/>
      <c r="AE15" s="5">
        <f t="shared" si="9"/>
        <v>0</v>
      </c>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f t="shared" si="10"/>
        <v>0</v>
      </c>
      <c r="BI15" s="5"/>
      <c r="BJ15" s="5"/>
      <c r="BK15" s="5"/>
      <c r="BL15" s="5">
        <f>H15+M15+N15+O15+S15+T15+U15+V15+BH15</f>
        <v>0</v>
      </c>
      <c r="BM15" s="5">
        <f>L67-BL15</f>
        <v>0</v>
      </c>
      <c r="BN15" s="5">
        <f t="shared" si="11"/>
        <v>0</v>
      </c>
      <c r="BP15" s="123"/>
    </row>
    <row r="16" spans="1:68" ht="20.100000000000001" customHeight="1">
      <c r="A16" s="14" t="s">
        <v>218</v>
      </c>
      <c r="B16" s="143" t="s">
        <v>22</v>
      </c>
      <c r="C16" s="5" t="s">
        <v>23</v>
      </c>
      <c r="D16" s="5"/>
      <c r="E16" s="5">
        <f t="shared" si="4"/>
        <v>0</v>
      </c>
      <c r="F16" s="5">
        <f t="shared" si="6"/>
        <v>0</v>
      </c>
      <c r="G16" s="5">
        <f t="shared" si="8"/>
        <v>0</v>
      </c>
      <c r="H16" s="5">
        <f t="shared" si="12"/>
        <v>0</v>
      </c>
      <c r="I16" s="5"/>
      <c r="J16" s="5"/>
      <c r="K16" s="5"/>
      <c r="L16" s="5"/>
      <c r="M16" s="5">
        <f>D16-BL16</f>
        <v>0</v>
      </c>
      <c r="N16" s="5"/>
      <c r="O16" s="5">
        <f t="shared" si="3"/>
        <v>0</v>
      </c>
      <c r="P16" s="5"/>
      <c r="Q16" s="5"/>
      <c r="R16" s="5"/>
      <c r="S16" s="5"/>
      <c r="T16" s="5"/>
      <c r="U16" s="5"/>
      <c r="V16" s="5">
        <f t="shared" si="13"/>
        <v>0</v>
      </c>
      <c r="W16" s="5"/>
      <c r="X16" s="5"/>
      <c r="Y16" s="5"/>
      <c r="Z16" s="5"/>
      <c r="AA16" s="5"/>
      <c r="AB16" s="5"/>
      <c r="AC16" s="5"/>
      <c r="AD16" s="5"/>
      <c r="AE16" s="5">
        <f t="shared" si="9"/>
        <v>0</v>
      </c>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f t="shared" si="10"/>
        <v>0</v>
      </c>
      <c r="BI16" s="5"/>
      <c r="BJ16" s="5"/>
      <c r="BK16" s="5"/>
      <c r="BL16" s="5">
        <f>H16+L16+N16+S16+T16+U16+V16+BH16</f>
        <v>0</v>
      </c>
      <c r="BM16" s="5">
        <f>M67-BL16</f>
        <v>0</v>
      </c>
      <c r="BN16" s="5">
        <f t="shared" si="11"/>
        <v>0</v>
      </c>
      <c r="BP16" s="123"/>
    </row>
    <row r="17" spans="1:68" ht="20.100000000000001" customHeight="1">
      <c r="A17" s="14" t="s">
        <v>219</v>
      </c>
      <c r="B17" s="143" t="s">
        <v>25</v>
      </c>
      <c r="C17" s="5" t="s">
        <v>26</v>
      </c>
      <c r="D17" s="5"/>
      <c r="E17" s="5">
        <f t="shared" si="4"/>
        <v>0</v>
      </c>
      <c r="F17" s="5">
        <f t="shared" si="6"/>
        <v>0</v>
      </c>
      <c r="G17" s="5">
        <f t="shared" si="8"/>
        <v>0</v>
      </c>
      <c r="H17" s="5">
        <f t="shared" si="12"/>
        <v>0</v>
      </c>
      <c r="I17" s="5"/>
      <c r="J17" s="5"/>
      <c r="K17" s="5"/>
      <c r="L17" s="5"/>
      <c r="M17" s="5"/>
      <c r="N17" s="5">
        <f>D17-BL17</f>
        <v>0</v>
      </c>
      <c r="O17" s="5">
        <f t="shared" si="3"/>
        <v>0</v>
      </c>
      <c r="P17" s="5"/>
      <c r="Q17" s="5"/>
      <c r="R17" s="5"/>
      <c r="S17" s="5"/>
      <c r="T17" s="5"/>
      <c r="U17" s="5"/>
      <c r="V17" s="5">
        <f t="shared" si="13"/>
        <v>0</v>
      </c>
      <c r="W17" s="5"/>
      <c r="X17" s="5"/>
      <c r="Y17" s="5"/>
      <c r="Z17" s="5"/>
      <c r="AA17" s="5"/>
      <c r="AB17" s="5"/>
      <c r="AC17" s="5"/>
      <c r="AD17" s="5"/>
      <c r="AE17" s="5">
        <f t="shared" si="9"/>
        <v>0</v>
      </c>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f t="shared" si="10"/>
        <v>0</v>
      </c>
      <c r="BI17" s="5"/>
      <c r="BJ17" s="5"/>
      <c r="BK17" s="5"/>
      <c r="BL17" s="5">
        <f>H17+L17+M17+O17+S17+T17+U17+V17+BH17</f>
        <v>0</v>
      </c>
      <c r="BM17" s="5">
        <f>N67-BL17</f>
        <v>0</v>
      </c>
      <c r="BN17" s="5">
        <f t="shared" si="11"/>
        <v>0</v>
      </c>
      <c r="BP17" s="123"/>
    </row>
    <row r="18" spans="1:68" ht="20.100000000000001" customHeight="1">
      <c r="A18" s="14" t="s">
        <v>21</v>
      </c>
      <c r="B18" s="143" t="s">
        <v>477</v>
      </c>
      <c r="C18" s="5" t="s">
        <v>198</v>
      </c>
      <c r="D18" s="5"/>
      <c r="E18" s="5">
        <f t="shared" si="4"/>
        <v>0</v>
      </c>
      <c r="F18" s="5">
        <f t="shared" si="6"/>
        <v>0</v>
      </c>
      <c r="G18" s="5">
        <f t="shared" si="8"/>
        <v>0</v>
      </c>
      <c r="H18" s="5">
        <f t="shared" si="12"/>
        <v>0</v>
      </c>
      <c r="I18" s="5">
        <f t="shared" ref="I18:N18" si="14">I19+I20+I21</f>
        <v>0</v>
      </c>
      <c r="J18" s="5">
        <f t="shared" si="14"/>
        <v>0</v>
      </c>
      <c r="K18" s="5">
        <f t="shared" si="14"/>
        <v>0</v>
      </c>
      <c r="L18" s="5">
        <f t="shared" si="14"/>
        <v>0</v>
      </c>
      <c r="M18" s="5">
        <f t="shared" si="14"/>
        <v>0</v>
      </c>
      <c r="N18" s="5">
        <f t="shared" si="14"/>
        <v>0</v>
      </c>
      <c r="O18" s="5">
        <f>D18-BL18</f>
        <v>0</v>
      </c>
      <c r="P18" s="5">
        <f t="shared" ref="P18:BG18" si="15">P19+P20+P21</f>
        <v>0</v>
      </c>
      <c r="Q18" s="5">
        <f t="shared" si="15"/>
        <v>0</v>
      </c>
      <c r="R18" s="5">
        <f t="shared" si="15"/>
        <v>0</v>
      </c>
      <c r="S18" s="5">
        <f t="shared" si="15"/>
        <v>0</v>
      </c>
      <c r="T18" s="5">
        <f t="shared" si="15"/>
        <v>0</v>
      </c>
      <c r="U18" s="5">
        <f t="shared" si="15"/>
        <v>0</v>
      </c>
      <c r="V18" s="5">
        <f t="shared" si="15"/>
        <v>0</v>
      </c>
      <c r="W18" s="5">
        <f t="shared" si="15"/>
        <v>0</v>
      </c>
      <c r="X18" s="5">
        <f t="shared" si="15"/>
        <v>0</v>
      </c>
      <c r="Y18" s="5">
        <f t="shared" si="15"/>
        <v>0</v>
      </c>
      <c r="Z18" s="5">
        <f t="shared" si="15"/>
        <v>0</v>
      </c>
      <c r="AA18" s="5">
        <f t="shared" si="15"/>
        <v>0</v>
      </c>
      <c r="AB18" s="5">
        <f t="shared" si="15"/>
        <v>0</v>
      </c>
      <c r="AC18" s="5">
        <f t="shared" si="15"/>
        <v>0</v>
      </c>
      <c r="AD18" s="5">
        <f t="shared" si="15"/>
        <v>0</v>
      </c>
      <c r="AE18" s="5">
        <f t="shared" si="15"/>
        <v>0</v>
      </c>
      <c r="AF18" s="5">
        <f t="shared" si="15"/>
        <v>0</v>
      </c>
      <c r="AG18" s="5">
        <f t="shared" si="15"/>
        <v>0</v>
      </c>
      <c r="AH18" s="5">
        <f t="shared" si="15"/>
        <v>0</v>
      </c>
      <c r="AI18" s="5">
        <f t="shared" si="15"/>
        <v>0</v>
      </c>
      <c r="AJ18" s="5">
        <f t="shared" si="15"/>
        <v>0</v>
      </c>
      <c r="AK18" s="5">
        <f t="shared" si="15"/>
        <v>0</v>
      </c>
      <c r="AL18" s="5">
        <f t="shared" si="15"/>
        <v>0</v>
      </c>
      <c r="AM18" s="5">
        <f t="shared" si="15"/>
        <v>0</v>
      </c>
      <c r="AN18" s="5">
        <f t="shared" si="15"/>
        <v>0</v>
      </c>
      <c r="AO18" s="5">
        <f t="shared" si="15"/>
        <v>0</v>
      </c>
      <c r="AP18" s="5">
        <f t="shared" si="15"/>
        <v>0</v>
      </c>
      <c r="AQ18" s="5">
        <f t="shared" si="15"/>
        <v>0</v>
      </c>
      <c r="AR18" s="5">
        <f t="shared" si="15"/>
        <v>0</v>
      </c>
      <c r="AS18" s="5">
        <f t="shared" si="15"/>
        <v>0</v>
      </c>
      <c r="AT18" s="5">
        <f t="shared" si="15"/>
        <v>0</v>
      </c>
      <c r="AU18" s="5">
        <f t="shared" si="15"/>
        <v>0</v>
      </c>
      <c r="AV18" s="5">
        <f t="shared" si="15"/>
        <v>0</v>
      </c>
      <c r="AW18" s="5">
        <f t="shared" si="15"/>
        <v>0</v>
      </c>
      <c r="AX18" s="5">
        <f t="shared" si="15"/>
        <v>0</v>
      </c>
      <c r="AY18" s="5">
        <f t="shared" si="15"/>
        <v>0</v>
      </c>
      <c r="AZ18" s="5">
        <f t="shared" si="15"/>
        <v>0</v>
      </c>
      <c r="BA18" s="5">
        <f t="shared" si="15"/>
        <v>0</v>
      </c>
      <c r="BB18" s="5">
        <f t="shared" si="15"/>
        <v>0</v>
      </c>
      <c r="BC18" s="5">
        <f t="shared" si="15"/>
        <v>0</v>
      </c>
      <c r="BD18" s="5">
        <f t="shared" si="15"/>
        <v>0</v>
      </c>
      <c r="BE18" s="5">
        <f t="shared" si="15"/>
        <v>0</v>
      </c>
      <c r="BF18" s="5">
        <f t="shared" si="15"/>
        <v>0</v>
      </c>
      <c r="BG18" s="5">
        <f t="shared" si="15"/>
        <v>0</v>
      </c>
      <c r="BH18" s="5">
        <f>BH19+BH20+BH21</f>
        <v>0</v>
      </c>
      <c r="BI18" s="5">
        <f>BI19+BI20+BI21</f>
        <v>0</v>
      </c>
      <c r="BJ18" s="5">
        <f>BJ19+BJ20+BJ21</f>
        <v>0</v>
      </c>
      <c r="BK18" s="5">
        <f>BK19+BK20+BK21</f>
        <v>0</v>
      </c>
      <c r="BL18" s="5">
        <f>F18+S18+T18+U18+BH18+V18</f>
        <v>0</v>
      </c>
      <c r="BM18" s="5">
        <f>O67-BL18</f>
        <v>0</v>
      </c>
      <c r="BN18" s="5">
        <f>BN19+BN20+BN21</f>
        <v>0</v>
      </c>
      <c r="BP18" s="123"/>
    </row>
    <row r="19" spans="1:68" ht="20.100000000000001" customHeight="1">
      <c r="A19" s="14" t="s">
        <v>182</v>
      </c>
      <c r="B19" s="143" t="s">
        <v>28</v>
      </c>
      <c r="C19" s="5" t="s">
        <v>29</v>
      </c>
      <c r="D19" s="5"/>
      <c r="E19" s="5">
        <f>F19+O19+S19+T19+U19</f>
        <v>0</v>
      </c>
      <c r="F19" s="5">
        <f>G19+N19</f>
        <v>0</v>
      </c>
      <c r="G19" s="5">
        <f>H19+L19+M19</f>
        <v>0</v>
      </c>
      <c r="H19" s="5">
        <f t="shared" si="12"/>
        <v>0</v>
      </c>
      <c r="I19" s="5"/>
      <c r="J19" s="5"/>
      <c r="K19" s="5"/>
      <c r="L19" s="5"/>
      <c r="M19" s="5"/>
      <c r="N19" s="5"/>
      <c r="O19" s="5">
        <f t="shared" ref="O19:O24" si="16">P19+Q19+R19</f>
        <v>0</v>
      </c>
      <c r="P19" s="5">
        <f>D19-BL19</f>
        <v>0</v>
      </c>
      <c r="Q19" s="5"/>
      <c r="R19" s="5"/>
      <c r="S19" s="5"/>
      <c r="T19" s="5"/>
      <c r="U19" s="5"/>
      <c r="V19" s="5">
        <f t="shared" si="13"/>
        <v>0</v>
      </c>
      <c r="W19" s="5"/>
      <c r="X19" s="5"/>
      <c r="Y19" s="5"/>
      <c r="Z19" s="5"/>
      <c r="AA19" s="5"/>
      <c r="AB19" s="5"/>
      <c r="AC19" s="5"/>
      <c r="AD19" s="5"/>
      <c r="AE19" s="5">
        <f t="shared" si="9"/>
        <v>0</v>
      </c>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f t="shared" ref="BH19:BH24" si="17">BI19+BJ19+BK19</f>
        <v>0</v>
      </c>
      <c r="BI19" s="5"/>
      <c r="BJ19" s="5"/>
      <c r="BK19" s="5"/>
      <c r="BL19" s="5">
        <f>F19+Q19+R19+S19+T19+U19+V19+BH19</f>
        <v>0</v>
      </c>
      <c r="BM19" s="5">
        <f>P67-BL19</f>
        <v>0</v>
      </c>
      <c r="BN19" s="5">
        <f t="shared" ref="BN19:BN24" si="18">D19+BM19</f>
        <v>0</v>
      </c>
      <c r="BP19" s="123"/>
    </row>
    <row r="20" spans="1:68" ht="20.100000000000001" customHeight="1">
      <c r="A20" s="14" t="s">
        <v>183</v>
      </c>
      <c r="B20" s="143" t="s">
        <v>31</v>
      </c>
      <c r="C20" s="5" t="s">
        <v>32</v>
      </c>
      <c r="D20" s="5"/>
      <c r="E20" s="5">
        <f t="shared" si="4"/>
        <v>0</v>
      </c>
      <c r="F20" s="5">
        <f t="shared" si="6"/>
        <v>0</v>
      </c>
      <c r="G20" s="5">
        <f t="shared" si="8"/>
        <v>0</v>
      </c>
      <c r="H20" s="5">
        <f t="shared" si="12"/>
        <v>0</v>
      </c>
      <c r="I20" s="5"/>
      <c r="J20" s="5"/>
      <c r="K20" s="5"/>
      <c r="L20" s="5"/>
      <c r="M20" s="5"/>
      <c r="N20" s="5"/>
      <c r="O20" s="5">
        <f t="shared" si="16"/>
        <v>0</v>
      </c>
      <c r="P20" s="5"/>
      <c r="Q20" s="5">
        <f>D20-BL20</f>
        <v>0</v>
      </c>
      <c r="R20" s="5"/>
      <c r="S20" s="5"/>
      <c r="T20" s="5"/>
      <c r="U20" s="5"/>
      <c r="V20" s="5">
        <f t="shared" si="13"/>
        <v>0</v>
      </c>
      <c r="W20" s="5"/>
      <c r="X20" s="5"/>
      <c r="Y20" s="5"/>
      <c r="Z20" s="5"/>
      <c r="AA20" s="5"/>
      <c r="AB20" s="5"/>
      <c r="AC20" s="5"/>
      <c r="AD20" s="5"/>
      <c r="AE20" s="5">
        <f t="shared" si="9"/>
        <v>0</v>
      </c>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f t="shared" si="17"/>
        <v>0</v>
      </c>
      <c r="BI20" s="5"/>
      <c r="BJ20" s="5"/>
      <c r="BK20" s="5"/>
      <c r="BL20" s="5">
        <f>F20+P20+R20+S20+T20+U20+V20+BH20</f>
        <v>0</v>
      </c>
      <c r="BM20" s="5">
        <f>Q67-BL20</f>
        <v>0</v>
      </c>
      <c r="BN20" s="5">
        <f t="shared" si="18"/>
        <v>0</v>
      </c>
      <c r="BP20" s="123"/>
    </row>
    <row r="21" spans="1:68" ht="20.100000000000001" customHeight="1">
      <c r="A21" s="14" t="s">
        <v>184</v>
      </c>
      <c r="B21" s="143" t="s">
        <v>34</v>
      </c>
      <c r="C21" s="5" t="s">
        <v>35</v>
      </c>
      <c r="D21" s="5"/>
      <c r="E21" s="5">
        <f t="shared" si="4"/>
        <v>0</v>
      </c>
      <c r="F21" s="5">
        <f>G21+N21</f>
        <v>0</v>
      </c>
      <c r="G21" s="5">
        <f t="shared" si="8"/>
        <v>0</v>
      </c>
      <c r="H21" s="5">
        <f t="shared" si="12"/>
        <v>0</v>
      </c>
      <c r="I21" s="5"/>
      <c r="J21" s="5"/>
      <c r="K21" s="5"/>
      <c r="L21" s="5"/>
      <c r="M21" s="5"/>
      <c r="N21" s="5"/>
      <c r="O21" s="5">
        <f t="shared" si="16"/>
        <v>0</v>
      </c>
      <c r="P21" s="5"/>
      <c r="Q21" s="5"/>
      <c r="R21" s="5">
        <f>D21-BL21</f>
        <v>0</v>
      </c>
      <c r="S21" s="5"/>
      <c r="T21" s="5"/>
      <c r="U21" s="5"/>
      <c r="V21" s="5">
        <f t="shared" si="13"/>
        <v>0</v>
      </c>
      <c r="W21" s="5"/>
      <c r="X21" s="5"/>
      <c r="Y21" s="5"/>
      <c r="Z21" s="5"/>
      <c r="AA21" s="5"/>
      <c r="AB21" s="5"/>
      <c r="AC21" s="5"/>
      <c r="AD21" s="5"/>
      <c r="AE21" s="5">
        <f t="shared" si="9"/>
        <v>0</v>
      </c>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f t="shared" si="17"/>
        <v>0</v>
      </c>
      <c r="BI21" s="5"/>
      <c r="BJ21" s="5"/>
      <c r="BK21" s="5"/>
      <c r="BL21" s="5">
        <f>F21+P21+Q21+S21+T21+U21+V21+BH21</f>
        <v>0</v>
      </c>
      <c r="BM21" s="5">
        <f>R67-BL21</f>
        <v>0</v>
      </c>
      <c r="BN21" s="5">
        <f t="shared" si="18"/>
        <v>0</v>
      </c>
      <c r="BP21" s="123"/>
    </row>
    <row r="22" spans="1:68" ht="20.100000000000001" customHeight="1">
      <c r="A22" s="14" t="s">
        <v>24</v>
      </c>
      <c r="B22" s="143" t="s">
        <v>37</v>
      </c>
      <c r="C22" s="5" t="s">
        <v>38</v>
      </c>
      <c r="D22" s="5"/>
      <c r="E22" s="5">
        <f>F22+O22+S22+T22+U22</f>
        <v>0</v>
      </c>
      <c r="F22" s="5">
        <f t="shared" si="6"/>
        <v>0</v>
      </c>
      <c r="G22" s="5">
        <f t="shared" si="8"/>
        <v>0</v>
      </c>
      <c r="H22" s="5">
        <f t="shared" si="12"/>
        <v>0</v>
      </c>
      <c r="I22" s="5"/>
      <c r="J22" s="5"/>
      <c r="K22" s="5"/>
      <c r="L22" s="5"/>
      <c r="M22" s="5"/>
      <c r="N22" s="5"/>
      <c r="O22" s="5">
        <f t="shared" si="16"/>
        <v>0</v>
      </c>
      <c r="P22" s="5"/>
      <c r="Q22" s="5"/>
      <c r="R22" s="5"/>
      <c r="S22" s="5">
        <f>D22-BL22</f>
        <v>0</v>
      </c>
      <c r="T22" s="5"/>
      <c r="U22" s="5"/>
      <c r="V22" s="5">
        <f t="shared" si="13"/>
        <v>0</v>
      </c>
      <c r="W22" s="5"/>
      <c r="X22" s="5"/>
      <c r="Y22" s="5"/>
      <c r="Z22" s="5"/>
      <c r="AA22" s="5"/>
      <c r="AB22" s="5"/>
      <c r="AC22" s="5"/>
      <c r="AD22" s="5"/>
      <c r="AE22" s="5">
        <f t="shared" si="9"/>
        <v>0</v>
      </c>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f t="shared" si="17"/>
        <v>0</v>
      </c>
      <c r="BI22" s="5"/>
      <c r="BJ22" s="5"/>
      <c r="BK22" s="5"/>
      <c r="BL22" s="5">
        <f>G22+O22+T22+U22+V22+BH22</f>
        <v>0</v>
      </c>
      <c r="BM22" s="5">
        <f>S67-BL22</f>
        <v>0</v>
      </c>
      <c r="BN22" s="5">
        <f t="shared" si="18"/>
        <v>0</v>
      </c>
      <c r="BP22" s="123"/>
    </row>
    <row r="23" spans="1:68" ht="20.100000000000001" customHeight="1">
      <c r="A23" s="14" t="s">
        <v>27</v>
      </c>
      <c r="B23" s="143" t="s">
        <v>40</v>
      </c>
      <c r="C23" s="5" t="s">
        <v>41</v>
      </c>
      <c r="D23" s="5"/>
      <c r="E23" s="5">
        <f t="shared" si="4"/>
        <v>0</v>
      </c>
      <c r="F23" s="5">
        <f t="shared" si="6"/>
        <v>0</v>
      </c>
      <c r="G23" s="5">
        <f t="shared" si="8"/>
        <v>0</v>
      </c>
      <c r="H23" s="5">
        <f t="shared" si="12"/>
        <v>0</v>
      </c>
      <c r="I23" s="5"/>
      <c r="J23" s="5"/>
      <c r="K23" s="5"/>
      <c r="L23" s="5"/>
      <c r="M23" s="5"/>
      <c r="N23" s="5"/>
      <c r="O23" s="5">
        <f t="shared" si="16"/>
        <v>0</v>
      </c>
      <c r="P23" s="5"/>
      <c r="Q23" s="5"/>
      <c r="R23" s="5"/>
      <c r="S23" s="5"/>
      <c r="T23" s="5">
        <f>D23-BL23</f>
        <v>0</v>
      </c>
      <c r="U23" s="5"/>
      <c r="V23" s="5">
        <f t="shared" si="13"/>
        <v>0</v>
      </c>
      <c r="W23" s="5"/>
      <c r="X23" s="5"/>
      <c r="Y23" s="5"/>
      <c r="Z23" s="5"/>
      <c r="AA23" s="5"/>
      <c r="AB23" s="5"/>
      <c r="AC23" s="5"/>
      <c r="AD23" s="5"/>
      <c r="AE23" s="5">
        <f t="shared" si="9"/>
        <v>0</v>
      </c>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f t="shared" si="17"/>
        <v>0</v>
      </c>
      <c r="BI23" s="5"/>
      <c r="BJ23" s="5"/>
      <c r="BK23" s="5"/>
      <c r="BL23" s="5">
        <f>F23+O23+S23+U23+V23+BH23</f>
        <v>0</v>
      </c>
      <c r="BM23" s="5">
        <f>T67-BL23</f>
        <v>0</v>
      </c>
      <c r="BN23" s="5">
        <f t="shared" si="18"/>
        <v>0</v>
      </c>
      <c r="BP23" s="123"/>
    </row>
    <row r="24" spans="1:68" ht="20.100000000000001" customHeight="1">
      <c r="A24" s="14" t="s">
        <v>30</v>
      </c>
      <c r="B24" s="143" t="s">
        <v>43</v>
      </c>
      <c r="C24" s="5" t="s">
        <v>44</v>
      </c>
      <c r="D24" s="5"/>
      <c r="E24" s="5">
        <f t="shared" si="4"/>
        <v>0</v>
      </c>
      <c r="F24" s="5">
        <f t="shared" si="6"/>
        <v>0</v>
      </c>
      <c r="G24" s="5">
        <f t="shared" si="8"/>
        <v>0</v>
      </c>
      <c r="H24" s="5">
        <f t="shared" si="12"/>
        <v>0</v>
      </c>
      <c r="I24" s="5"/>
      <c r="J24" s="5"/>
      <c r="K24" s="5"/>
      <c r="L24" s="5"/>
      <c r="M24" s="5"/>
      <c r="N24" s="5"/>
      <c r="O24" s="5">
        <f t="shared" si="16"/>
        <v>0</v>
      </c>
      <c r="P24" s="5"/>
      <c r="Q24" s="5"/>
      <c r="R24" s="5"/>
      <c r="S24" s="5"/>
      <c r="T24" s="5"/>
      <c r="U24" s="5">
        <f>D24-BL24</f>
        <v>0</v>
      </c>
      <c r="V24" s="5">
        <f t="shared" si="13"/>
        <v>0</v>
      </c>
      <c r="W24" s="5"/>
      <c r="X24" s="5"/>
      <c r="Y24" s="5"/>
      <c r="Z24" s="5"/>
      <c r="AA24" s="5"/>
      <c r="AB24" s="5"/>
      <c r="AC24" s="5"/>
      <c r="AD24" s="5"/>
      <c r="AE24" s="5">
        <f t="shared" si="9"/>
        <v>0</v>
      </c>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f t="shared" si="17"/>
        <v>0</v>
      </c>
      <c r="BI24" s="5"/>
      <c r="BJ24" s="5"/>
      <c r="BK24" s="5"/>
      <c r="BL24" s="5">
        <f>F24+O24+S24+T24+BH24</f>
        <v>0</v>
      </c>
      <c r="BM24" s="5">
        <f>U67-BL24</f>
        <v>0</v>
      </c>
      <c r="BN24" s="5">
        <f t="shared" si="18"/>
        <v>0</v>
      </c>
      <c r="BP24" s="123"/>
    </row>
    <row r="25" spans="1:68" s="115" customFormat="1" ht="25.5" customHeight="1">
      <c r="A25" s="15">
        <v>2</v>
      </c>
      <c r="B25" s="142" t="s">
        <v>45</v>
      </c>
      <c r="C25" s="6" t="s">
        <v>46</v>
      </c>
      <c r="D25" s="6">
        <f>D26+D27+D28+D29+D30+D31+D32+D33+D34+D46+D47+D48+D49+D50+D51+D52+D53+D54+D55+D56+D57+D58+D59+D60+D61+D62</f>
        <v>0</v>
      </c>
      <c r="E25" s="6">
        <f>E26+E27+E28+E29+E30+E31+E32+E33+E34+E46+E47+E48+E49+E50+E51+E52+E53+E54+E55+E56+E57+E58+E59+E60+E61+E62</f>
        <v>0</v>
      </c>
      <c r="F25" s="6">
        <f t="shared" ref="F25:U25" si="19">F26+F27+F28+F29+F30+F31+F32+F33+F34+F46+F47+F48+F49+F50+F51+F52+F53+F54+F55+F56+F57+F58+F59+F60+F61+F62</f>
        <v>0</v>
      </c>
      <c r="G25" s="6">
        <f t="shared" si="19"/>
        <v>0</v>
      </c>
      <c r="H25" s="6">
        <f t="shared" si="19"/>
        <v>0</v>
      </c>
      <c r="I25" s="6">
        <f t="shared" si="19"/>
        <v>0</v>
      </c>
      <c r="J25" s="6">
        <f t="shared" si="19"/>
        <v>0</v>
      </c>
      <c r="K25" s="6">
        <f t="shared" si="19"/>
        <v>0</v>
      </c>
      <c r="L25" s="6">
        <f t="shared" si="19"/>
        <v>0</v>
      </c>
      <c r="M25" s="6">
        <f t="shared" si="19"/>
        <v>0</v>
      </c>
      <c r="N25" s="6">
        <f t="shared" si="19"/>
        <v>0</v>
      </c>
      <c r="O25" s="6">
        <f t="shared" si="19"/>
        <v>0</v>
      </c>
      <c r="P25" s="6">
        <f t="shared" si="19"/>
        <v>0</v>
      </c>
      <c r="Q25" s="6">
        <f t="shared" si="19"/>
        <v>0</v>
      </c>
      <c r="R25" s="6">
        <f t="shared" si="19"/>
        <v>0</v>
      </c>
      <c r="S25" s="6">
        <f t="shared" si="19"/>
        <v>0</v>
      </c>
      <c r="T25" s="6">
        <f t="shared" si="19"/>
        <v>0</v>
      </c>
      <c r="U25" s="6">
        <f t="shared" si="19"/>
        <v>0</v>
      </c>
      <c r="V25" s="6">
        <f>D25-BL25</f>
        <v>0</v>
      </c>
      <c r="W25" s="6">
        <f>W26+W27+W28+W29+W30+W31+W32+W33+W34+W46+W47+W48+W49+W50+W51+W52+W53+W54+W55+W56+W57+W58+W59+W60+W61+W62</f>
        <v>0</v>
      </c>
      <c r="X25" s="6">
        <f t="shared" ref="X25:BK25" si="20">X26+X27+X28+X29+X30+X31+X32+X33+X34+X46+X47+X48+X49+X50+X51+X52+X53+X54+X55+X56+X57+X58+X59+X60+X61+X62</f>
        <v>0</v>
      </c>
      <c r="Y25" s="6">
        <f t="shared" si="20"/>
        <v>0</v>
      </c>
      <c r="Z25" s="6">
        <f t="shared" si="20"/>
        <v>0</v>
      </c>
      <c r="AA25" s="6">
        <f t="shared" si="20"/>
        <v>0</v>
      </c>
      <c r="AB25" s="6">
        <f t="shared" si="20"/>
        <v>0</v>
      </c>
      <c r="AC25" s="6">
        <f t="shared" si="20"/>
        <v>0</v>
      </c>
      <c r="AD25" s="6">
        <f t="shared" si="20"/>
        <v>0</v>
      </c>
      <c r="AE25" s="6">
        <f t="shared" si="20"/>
        <v>0</v>
      </c>
      <c r="AF25" s="6">
        <f t="shared" si="20"/>
        <v>0</v>
      </c>
      <c r="AG25" s="6">
        <f t="shared" si="20"/>
        <v>0</v>
      </c>
      <c r="AH25" s="6">
        <f t="shared" si="20"/>
        <v>0</v>
      </c>
      <c r="AI25" s="6">
        <f t="shared" si="20"/>
        <v>0</v>
      </c>
      <c r="AJ25" s="6">
        <f t="shared" si="20"/>
        <v>0</v>
      </c>
      <c r="AK25" s="6">
        <f t="shared" si="20"/>
        <v>0</v>
      </c>
      <c r="AL25" s="6">
        <f t="shared" si="20"/>
        <v>0</v>
      </c>
      <c r="AM25" s="6">
        <f t="shared" si="20"/>
        <v>0</v>
      </c>
      <c r="AN25" s="6">
        <f t="shared" si="20"/>
        <v>0</v>
      </c>
      <c r="AO25" s="6">
        <f t="shared" si="20"/>
        <v>0</v>
      </c>
      <c r="AP25" s="6">
        <f t="shared" si="20"/>
        <v>0</v>
      </c>
      <c r="AQ25" s="6">
        <f t="shared" si="20"/>
        <v>0</v>
      </c>
      <c r="AR25" s="6">
        <f t="shared" si="20"/>
        <v>0</v>
      </c>
      <c r="AS25" s="6">
        <f t="shared" si="20"/>
        <v>0</v>
      </c>
      <c r="AT25" s="6">
        <f t="shared" si="20"/>
        <v>0</v>
      </c>
      <c r="AU25" s="6">
        <f t="shared" si="20"/>
        <v>0</v>
      </c>
      <c r="AV25" s="6">
        <f t="shared" si="20"/>
        <v>0</v>
      </c>
      <c r="AW25" s="6">
        <f t="shared" si="20"/>
        <v>0</v>
      </c>
      <c r="AX25" s="6">
        <f t="shared" si="20"/>
        <v>0</v>
      </c>
      <c r="AY25" s="6">
        <f t="shared" si="20"/>
        <v>0</v>
      </c>
      <c r="AZ25" s="6">
        <f t="shared" si="20"/>
        <v>0</v>
      </c>
      <c r="BA25" s="6">
        <f t="shared" si="20"/>
        <v>0</v>
      </c>
      <c r="BB25" s="6">
        <f t="shared" si="20"/>
        <v>0</v>
      </c>
      <c r="BC25" s="6">
        <f t="shared" si="20"/>
        <v>0</v>
      </c>
      <c r="BD25" s="6">
        <f t="shared" si="20"/>
        <v>0</v>
      </c>
      <c r="BE25" s="6">
        <f t="shared" si="20"/>
        <v>0</v>
      </c>
      <c r="BF25" s="6">
        <f t="shared" si="20"/>
        <v>0</v>
      </c>
      <c r="BG25" s="6">
        <f t="shared" si="20"/>
        <v>0</v>
      </c>
      <c r="BH25" s="6">
        <f t="shared" si="20"/>
        <v>0</v>
      </c>
      <c r="BI25" s="6">
        <f t="shared" si="20"/>
        <v>0</v>
      </c>
      <c r="BJ25" s="6">
        <f t="shared" si="20"/>
        <v>0</v>
      </c>
      <c r="BK25" s="6">
        <f t="shared" si="20"/>
        <v>0</v>
      </c>
      <c r="BL25" s="6">
        <f>E25+BH25</f>
        <v>0</v>
      </c>
      <c r="BM25" s="6">
        <f>BM26+BM27+BM28+BM29+BM30+BM31+BM32+BM33+BM34+BM46+BM47+BM48+BM49+BM50+BM51+BM52+BM53+BM54+BM55+BM56+BM57+BM58+BM59+BM60+BM61+BM62</f>
        <v>0</v>
      </c>
      <c r="BN25" s="6">
        <f>BN26+BN27+BN28+BN29+BN30+BN31+BN32+BN33+BN34+BN46+BN47+BN48+BN49+BN50+BN51+BN52+BN53+BN54+BN55+BN56+BN57+BN58+BN59+BN60+BN61+BN62</f>
        <v>0</v>
      </c>
    </row>
    <row r="26" spans="1:68" ht="20.100000000000001" customHeight="1">
      <c r="A26" s="19" t="s">
        <v>47</v>
      </c>
      <c r="B26" s="144" t="s">
        <v>48</v>
      </c>
      <c r="C26" s="5" t="s">
        <v>49</v>
      </c>
      <c r="D26" s="5"/>
      <c r="E26" s="5">
        <f t="shared" si="4"/>
        <v>0</v>
      </c>
      <c r="F26" s="5">
        <f>G26+N26</f>
        <v>0</v>
      </c>
      <c r="G26" s="5">
        <f t="shared" si="8"/>
        <v>0</v>
      </c>
      <c r="H26" s="5">
        <f t="shared" si="12"/>
        <v>0</v>
      </c>
      <c r="I26" s="5"/>
      <c r="J26" s="5"/>
      <c r="K26" s="5"/>
      <c r="L26" s="5"/>
      <c r="M26" s="5"/>
      <c r="N26" s="5"/>
      <c r="O26" s="5"/>
      <c r="P26" s="5"/>
      <c r="Q26" s="5"/>
      <c r="R26" s="5"/>
      <c r="S26" s="5"/>
      <c r="T26" s="5"/>
      <c r="U26" s="5"/>
      <c r="V26" s="5">
        <f t="shared" si="13"/>
        <v>0</v>
      </c>
      <c r="W26" s="5">
        <f>D26-BL26</f>
        <v>0</v>
      </c>
      <c r="X26" s="5"/>
      <c r="Y26" s="5"/>
      <c r="Z26" s="5"/>
      <c r="AA26" s="5"/>
      <c r="AB26" s="5"/>
      <c r="AC26" s="5"/>
      <c r="AD26" s="5"/>
      <c r="AE26" s="5">
        <f t="shared" si="9"/>
        <v>0</v>
      </c>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f>BI26+BJ26+BK26</f>
        <v>0</v>
      </c>
      <c r="BI26" s="5"/>
      <c r="BJ26" s="5"/>
      <c r="BK26" s="5"/>
      <c r="BL26" s="5">
        <f>X26+Y26+Z26+AA26+AB26+AC26+AD26+AE26+AQ26+AR26+AS26+AT26+AU26+AV26+AW26+AX26+AY26+AZ26+BA26+BB26+BC26+BD26+BE26+BF26+BG26+BH26</f>
        <v>0</v>
      </c>
      <c r="BM26" s="5">
        <f>W67-BL26</f>
        <v>0</v>
      </c>
      <c r="BN26" s="5">
        <f>D26+BM26</f>
        <v>0</v>
      </c>
      <c r="BP26" s="123"/>
    </row>
    <row r="27" spans="1:68" ht="20.100000000000001" customHeight="1">
      <c r="A27" s="19" t="s">
        <v>50</v>
      </c>
      <c r="B27" s="144" t="s">
        <v>51</v>
      </c>
      <c r="C27" s="5" t="s">
        <v>52</v>
      </c>
      <c r="D27" s="5"/>
      <c r="E27" s="5">
        <f t="shared" si="4"/>
        <v>0</v>
      </c>
      <c r="F27" s="5">
        <f t="shared" ref="F27:F66" si="21">G27+N27</f>
        <v>0</v>
      </c>
      <c r="G27" s="5">
        <f t="shared" si="8"/>
        <v>0</v>
      </c>
      <c r="H27" s="5">
        <f t="shared" si="12"/>
        <v>0</v>
      </c>
      <c r="I27" s="5"/>
      <c r="J27" s="5"/>
      <c r="K27" s="5"/>
      <c r="L27" s="5"/>
      <c r="M27" s="5"/>
      <c r="N27" s="5"/>
      <c r="O27" s="5"/>
      <c r="P27" s="5"/>
      <c r="Q27" s="5"/>
      <c r="R27" s="5"/>
      <c r="S27" s="5"/>
      <c r="T27" s="5"/>
      <c r="U27" s="5"/>
      <c r="V27" s="5">
        <f t="shared" si="13"/>
        <v>0</v>
      </c>
      <c r="W27" s="5"/>
      <c r="X27" s="5">
        <f>D27-BL27</f>
        <v>0</v>
      </c>
      <c r="Y27" s="5"/>
      <c r="Z27" s="5"/>
      <c r="AA27" s="5"/>
      <c r="AB27" s="5"/>
      <c r="AC27" s="5"/>
      <c r="AD27" s="5"/>
      <c r="AE27" s="5">
        <f t="shared" si="9"/>
        <v>0</v>
      </c>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f t="shared" ref="BH27:BH62" si="22">BI27+BJ27+BK27</f>
        <v>0</v>
      </c>
      <c r="BI27" s="5"/>
      <c r="BJ27" s="5"/>
      <c r="BK27" s="5"/>
      <c r="BL27" s="5">
        <f>F27+W27+Y27+Z27+AA27+AB27+AC27+AD27+AE27+AQ27+AR27+AS27+AT27+AU27+AV27+AW27+AX27+AY27+AZ27+BA27+BB27+BC27+BD27+BE27+BF27+BG27+BH27</f>
        <v>0</v>
      </c>
      <c r="BM27" s="5">
        <f>X67-BL27</f>
        <v>0</v>
      </c>
      <c r="BN27" s="5">
        <f t="shared" ref="BN27:BN33" si="23">D27+BM27</f>
        <v>0</v>
      </c>
      <c r="BP27" s="123"/>
    </row>
    <row r="28" spans="1:68" ht="20.100000000000001" customHeight="1">
      <c r="A28" s="19" t="s">
        <v>53</v>
      </c>
      <c r="B28" s="144" t="s">
        <v>54</v>
      </c>
      <c r="C28" s="5" t="s">
        <v>55</v>
      </c>
      <c r="D28" s="5"/>
      <c r="E28" s="5">
        <f t="shared" si="4"/>
        <v>0</v>
      </c>
      <c r="F28" s="5">
        <f t="shared" si="21"/>
        <v>0</v>
      </c>
      <c r="G28" s="5">
        <f t="shared" si="8"/>
        <v>0</v>
      </c>
      <c r="H28" s="5">
        <f t="shared" si="12"/>
        <v>0</v>
      </c>
      <c r="I28" s="5"/>
      <c r="J28" s="5"/>
      <c r="K28" s="5"/>
      <c r="L28" s="5"/>
      <c r="M28" s="5"/>
      <c r="N28" s="5"/>
      <c r="O28" s="5"/>
      <c r="P28" s="5"/>
      <c r="Q28" s="5"/>
      <c r="R28" s="5"/>
      <c r="S28" s="5"/>
      <c r="T28" s="5"/>
      <c r="U28" s="5"/>
      <c r="V28" s="5">
        <f t="shared" si="13"/>
        <v>0</v>
      </c>
      <c r="W28" s="5"/>
      <c r="X28" s="5"/>
      <c r="Y28" s="5">
        <f>D28-BL28</f>
        <v>0</v>
      </c>
      <c r="Z28" s="5"/>
      <c r="AA28" s="5"/>
      <c r="AB28" s="5"/>
      <c r="AC28" s="5"/>
      <c r="AD28" s="5"/>
      <c r="AE28" s="5">
        <f t="shared" si="9"/>
        <v>0</v>
      </c>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f t="shared" si="22"/>
        <v>0</v>
      </c>
      <c r="BI28" s="5"/>
      <c r="BJ28" s="5"/>
      <c r="BK28" s="5"/>
      <c r="BL28" s="5">
        <f>E28+W28+X28+Z28+AA28+AB28+AC28+AD28+AE28+AQ28+AR28+AS28+AT28+AU28+AV28+AW28+AX28+AY28+AZ28+BA28+BB28+BC28+BD28+BE28+BF28+BG28+BH28</f>
        <v>0</v>
      </c>
      <c r="BM28" s="5">
        <f>Y67-BL28</f>
        <v>0</v>
      </c>
      <c r="BN28" s="5">
        <f t="shared" si="23"/>
        <v>0</v>
      </c>
      <c r="BP28" s="123"/>
    </row>
    <row r="29" spans="1:68" ht="20.100000000000001" customHeight="1">
      <c r="A29" s="19" t="s">
        <v>56</v>
      </c>
      <c r="B29" s="144" t="s">
        <v>57</v>
      </c>
      <c r="C29" s="5" t="s">
        <v>58</v>
      </c>
      <c r="D29" s="5"/>
      <c r="E29" s="5">
        <f t="shared" si="4"/>
        <v>0</v>
      </c>
      <c r="F29" s="5">
        <f t="shared" si="21"/>
        <v>0</v>
      </c>
      <c r="G29" s="5">
        <f t="shared" si="8"/>
        <v>0</v>
      </c>
      <c r="H29" s="5">
        <f t="shared" si="12"/>
        <v>0</v>
      </c>
      <c r="I29" s="5"/>
      <c r="J29" s="5"/>
      <c r="K29" s="5"/>
      <c r="L29" s="5"/>
      <c r="M29" s="5"/>
      <c r="N29" s="5"/>
      <c r="O29" s="5"/>
      <c r="P29" s="5"/>
      <c r="Q29" s="5"/>
      <c r="R29" s="5"/>
      <c r="S29" s="5"/>
      <c r="T29" s="5"/>
      <c r="U29" s="5"/>
      <c r="V29" s="5">
        <f t="shared" si="13"/>
        <v>0</v>
      </c>
      <c r="W29" s="5"/>
      <c r="X29" s="5"/>
      <c r="Y29" s="5"/>
      <c r="Z29" s="5">
        <f>D29-BL29</f>
        <v>0</v>
      </c>
      <c r="AA29" s="5"/>
      <c r="AB29" s="5"/>
      <c r="AC29" s="5"/>
      <c r="AD29" s="5"/>
      <c r="AE29" s="5">
        <f t="shared" si="9"/>
        <v>0</v>
      </c>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f t="shared" si="22"/>
        <v>0</v>
      </c>
      <c r="BI29" s="5"/>
      <c r="BJ29" s="5"/>
      <c r="BK29" s="5"/>
      <c r="BL29" s="5">
        <f>E29+W29+X29+Y29+AA29+AB29+AC29+AD29+AE29+AQ29+AR29+AS29+AT29+AU29+AV29+AW29+AX29+AY29+AZ29+BA29+BB29+BC29+BD29+BE29+BF29+BG29+BH29</f>
        <v>0</v>
      </c>
      <c r="BM29" s="5">
        <f>Z67-BL29</f>
        <v>0</v>
      </c>
      <c r="BN29" s="5">
        <f t="shared" si="23"/>
        <v>0</v>
      </c>
      <c r="BP29" s="123"/>
    </row>
    <row r="30" spans="1:68" ht="20.100000000000001" customHeight="1">
      <c r="A30" s="19" t="s">
        <v>59</v>
      </c>
      <c r="B30" s="144" t="s">
        <v>60</v>
      </c>
      <c r="C30" s="5" t="s">
        <v>61</v>
      </c>
      <c r="D30" s="5"/>
      <c r="E30" s="5">
        <f t="shared" si="4"/>
        <v>0</v>
      </c>
      <c r="F30" s="5">
        <f t="shared" si="21"/>
        <v>0</v>
      </c>
      <c r="G30" s="5">
        <f t="shared" si="8"/>
        <v>0</v>
      </c>
      <c r="H30" s="5">
        <f t="shared" si="12"/>
        <v>0</v>
      </c>
      <c r="I30" s="5"/>
      <c r="J30" s="5"/>
      <c r="K30" s="5"/>
      <c r="L30" s="5"/>
      <c r="M30" s="5"/>
      <c r="N30" s="5"/>
      <c r="O30" s="5"/>
      <c r="P30" s="5"/>
      <c r="Q30" s="5"/>
      <c r="R30" s="5"/>
      <c r="S30" s="5"/>
      <c r="T30" s="5"/>
      <c r="U30" s="5"/>
      <c r="V30" s="5">
        <f t="shared" si="13"/>
        <v>0</v>
      </c>
      <c r="W30" s="5"/>
      <c r="X30" s="5"/>
      <c r="Y30" s="5"/>
      <c r="Z30" s="5"/>
      <c r="AA30" s="5">
        <f>D30-BL30</f>
        <v>0</v>
      </c>
      <c r="AB30" s="5"/>
      <c r="AC30" s="5"/>
      <c r="AD30" s="5"/>
      <c r="AE30" s="5">
        <f t="shared" si="9"/>
        <v>0</v>
      </c>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f t="shared" si="22"/>
        <v>0</v>
      </c>
      <c r="BI30" s="5"/>
      <c r="BJ30" s="5"/>
      <c r="BK30" s="5"/>
      <c r="BL30" s="5">
        <f>E30+W30+X30+Y30+Z30+AB30+AC30+AD30+AE30+AQ30+AR30+AS30+AT30+AU30+AV30+AW30+AX30+AY30+AZ30+BA30+BB30+BC30+BD30+BE30+BF30+BG30+BH30</f>
        <v>0</v>
      </c>
      <c r="BM30" s="5">
        <f>AA67-BL30</f>
        <v>0</v>
      </c>
      <c r="BN30" s="5">
        <f t="shared" si="23"/>
        <v>0</v>
      </c>
      <c r="BP30" s="123"/>
    </row>
    <row r="31" spans="1:68" ht="20.100000000000001" customHeight="1">
      <c r="A31" s="19" t="s">
        <v>62</v>
      </c>
      <c r="B31" s="144" t="s">
        <v>63</v>
      </c>
      <c r="C31" s="5" t="s">
        <v>64</v>
      </c>
      <c r="D31" s="5"/>
      <c r="E31" s="5">
        <f t="shared" si="4"/>
        <v>0</v>
      </c>
      <c r="F31" s="5">
        <f t="shared" si="21"/>
        <v>0</v>
      </c>
      <c r="G31" s="5">
        <f t="shared" si="8"/>
        <v>0</v>
      </c>
      <c r="H31" s="5">
        <f t="shared" si="12"/>
        <v>0</v>
      </c>
      <c r="I31" s="5"/>
      <c r="J31" s="5"/>
      <c r="K31" s="5"/>
      <c r="L31" s="5"/>
      <c r="M31" s="5"/>
      <c r="N31" s="5"/>
      <c r="O31" s="5"/>
      <c r="P31" s="5"/>
      <c r="Q31" s="5"/>
      <c r="R31" s="5"/>
      <c r="S31" s="5"/>
      <c r="T31" s="5"/>
      <c r="U31" s="5"/>
      <c r="V31" s="5">
        <f>W31+X31+Y31+Z31+AA31+AB31+AC31+AD31+AE31+AQ31+AR31+AS31+AT31+AU31+AV31+AW31+AX31+AY31+AZ31+BA31+BB31+BC31+BD31+BE31+BF31+BG31</f>
        <v>0</v>
      </c>
      <c r="W31" s="5"/>
      <c r="X31" s="5"/>
      <c r="Y31" s="5"/>
      <c r="Z31" s="5"/>
      <c r="AA31" s="5"/>
      <c r="AB31" s="5">
        <f>D31-BL31</f>
        <v>0</v>
      </c>
      <c r="AC31" s="5"/>
      <c r="AD31" s="5"/>
      <c r="AE31" s="5">
        <f t="shared" si="9"/>
        <v>0</v>
      </c>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f>BI31+BJ31+BK31</f>
        <v>0</v>
      </c>
      <c r="BI31" s="5"/>
      <c r="BJ31" s="5"/>
      <c r="BK31" s="5"/>
      <c r="BL31" s="5">
        <f>E31+W31+X31+Y31+Z31+AA31+AC31+AD31+AE31+AQ31+AR31+AS31+AT31+AU31+AV31+AW31+AX31+AY31+AZ31+BA31+BB31+BC31+BD31+BE31+BF31+BG31+BH31</f>
        <v>0</v>
      </c>
      <c r="BM31" s="5">
        <f>AB67-BL31</f>
        <v>0</v>
      </c>
      <c r="BN31" s="5">
        <f t="shared" si="23"/>
        <v>0</v>
      </c>
      <c r="BP31" s="123"/>
    </row>
    <row r="32" spans="1:68" ht="20.100000000000001" customHeight="1">
      <c r="A32" s="19" t="s">
        <v>65</v>
      </c>
      <c r="B32" s="144" t="s">
        <v>66</v>
      </c>
      <c r="C32" s="5" t="s">
        <v>67</v>
      </c>
      <c r="D32" s="5"/>
      <c r="E32" s="5">
        <f t="shared" si="4"/>
        <v>0</v>
      </c>
      <c r="F32" s="5">
        <f t="shared" si="21"/>
        <v>0</v>
      </c>
      <c r="G32" s="5">
        <f t="shared" si="8"/>
        <v>0</v>
      </c>
      <c r="H32" s="5">
        <f t="shared" si="12"/>
        <v>0</v>
      </c>
      <c r="I32" s="5"/>
      <c r="J32" s="5"/>
      <c r="K32" s="5"/>
      <c r="L32" s="5"/>
      <c r="M32" s="5"/>
      <c r="N32" s="5"/>
      <c r="O32" s="5"/>
      <c r="P32" s="5"/>
      <c r="Q32" s="5"/>
      <c r="R32" s="5"/>
      <c r="S32" s="5"/>
      <c r="T32" s="5"/>
      <c r="U32" s="5"/>
      <c r="V32" s="5">
        <f t="shared" si="13"/>
        <v>0</v>
      </c>
      <c r="W32" s="5"/>
      <c r="X32" s="5"/>
      <c r="Y32" s="5"/>
      <c r="Z32" s="5"/>
      <c r="AA32" s="5"/>
      <c r="AB32" s="5"/>
      <c r="AC32" s="5">
        <f>D32-BL32</f>
        <v>0</v>
      </c>
      <c r="AD32" s="5"/>
      <c r="AE32" s="5">
        <f t="shared" si="9"/>
        <v>0</v>
      </c>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f t="shared" si="22"/>
        <v>0</v>
      </c>
      <c r="BI32" s="5"/>
      <c r="BJ32" s="5"/>
      <c r="BK32" s="5"/>
      <c r="BL32" s="5">
        <f>E32+W32+X32+Y32+Z32+AA32+AB32+AD32+AE32+AQ32+AR32+AS32+AT32+AU32+AV32+AW32+AX32+AY32+AZ32+BA32+BB32+BC32+BD32+BE32+BF32+BG32+BH32</f>
        <v>0</v>
      </c>
      <c r="BM32" s="5">
        <f>AC67-BL32</f>
        <v>0</v>
      </c>
      <c r="BN32" s="5">
        <f t="shared" si="23"/>
        <v>0</v>
      </c>
      <c r="BP32" s="123"/>
    </row>
    <row r="33" spans="1:68" ht="20.100000000000001" customHeight="1">
      <c r="A33" s="19" t="s">
        <v>68</v>
      </c>
      <c r="B33" s="144" t="s">
        <v>69</v>
      </c>
      <c r="C33" s="5" t="s">
        <v>70</v>
      </c>
      <c r="D33" s="5"/>
      <c r="E33" s="5">
        <f t="shared" si="4"/>
        <v>0</v>
      </c>
      <c r="F33" s="5">
        <f t="shared" si="21"/>
        <v>0</v>
      </c>
      <c r="G33" s="5">
        <f t="shared" si="8"/>
        <v>0</v>
      </c>
      <c r="H33" s="5">
        <f t="shared" si="12"/>
        <v>0</v>
      </c>
      <c r="I33" s="5"/>
      <c r="J33" s="5"/>
      <c r="K33" s="5"/>
      <c r="L33" s="5"/>
      <c r="M33" s="5"/>
      <c r="N33" s="5"/>
      <c r="O33" s="5"/>
      <c r="P33" s="5"/>
      <c r="Q33" s="5"/>
      <c r="R33" s="5"/>
      <c r="S33" s="5"/>
      <c r="T33" s="5"/>
      <c r="U33" s="5"/>
      <c r="V33" s="5">
        <f t="shared" si="13"/>
        <v>0</v>
      </c>
      <c r="W33" s="5"/>
      <c r="X33" s="5"/>
      <c r="Y33" s="5"/>
      <c r="Z33" s="5"/>
      <c r="AA33" s="5"/>
      <c r="AB33" s="5"/>
      <c r="AC33" s="5"/>
      <c r="AD33" s="5">
        <f>D33-BL33</f>
        <v>0</v>
      </c>
      <c r="AE33" s="5">
        <f t="shared" si="9"/>
        <v>0</v>
      </c>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f t="shared" si="22"/>
        <v>0</v>
      </c>
      <c r="BI33" s="5"/>
      <c r="BJ33" s="5"/>
      <c r="BK33" s="5"/>
      <c r="BL33" s="5">
        <f>E33+W33+X33+Y33+Z33+AA33+AB33+AC33+AE33+AQ33+AR33+AS33+AT33+AU33+AV33+AW33+AX33+AY33+AZ33+BA33+BB33+BC33+BD33+BE33+BF33+BG33+BH33</f>
        <v>0</v>
      </c>
      <c r="BM33" s="5">
        <f>AD67-BL33</f>
        <v>0</v>
      </c>
      <c r="BN33" s="5">
        <f t="shared" si="23"/>
        <v>0</v>
      </c>
      <c r="BP33" s="123"/>
    </row>
    <row r="34" spans="1:68" ht="40.5" customHeight="1">
      <c r="A34" s="19" t="s">
        <v>71</v>
      </c>
      <c r="B34" s="144" t="s">
        <v>135</v>
      </c>
      <c r="C34" s="5" t="s">
        <v>72</v>
      </c>
      <c r="D34" s="5">
        <f>SUM(D35:D45)</f>
        <v>0</v>
      </c>
      <c r="E34" s="5">
        <f>SUM(E35:E45)</f>
        <v>0</v>
      </c>
      <c r="F34" s="5">
        <f t="shared" ref="F34:U34" si="24">SUM(F35:F45)</f>
        <v>0</v>
      </c>
      <c r="G34" s="5">
        <f t="shared" si="24"/>
        <v>0</v>
      </c>
      <c r="H34" s="5">
        <f t="shared" si="24"/>
        <v>0</v>
      </c>
      <c r="I34" s="5">
        <f t="shared" si="24"/>
        <v>0</v>
      </c>
      <c r="J34" s="5">
        <f t="shared" si="24"/>
        <v>0</v>
      </c>
      <c r="K34" s="5">
        <f t="shared" si="24"/>
        <v>0</v>
      </c>
      <c r="L34" s="5">
        <f t="shared" si="24"/>
        <v>0</v>
      </c>
      <c r="M34" s="5">
        <f t="shared" si="24"/>
        <v>0</v>
      </c>
      <c r="N34" s="5">
        <f t="shared" si="24"/>
        <v>0</v>
      </c>
      <c r="O34" s="5">
        <f t="shared" si="24"/>
        <v>0</v>
      </c>
      <c r="P34" s="5">
        <f t="shared" si="24"/>
        <v>0</v>
      </c>
      <c r="Q34" s="5">
        <f t="shared" si="24"/>
        <v>0</v>
      </c>
      <c r="R34" s="5">
        <f t="shared" si="24"/>
        <v>0</v>
      </c>
      <c r="S34" s="5">
        <f t="shared" si="24"/>
        <v>0</v>
      </c>
      <c r="T34" s="5">
        <f t="shared" si="24"/>
        <v>0</v>
      </c>
      <c r="U34" s="5">
        <f t="shared" si="24"/>
        <v>0</v>
      </c>
      <c r="V34" s="5">
        <f>SUM(V35:V45)</f>
        <v>0</v>
      </c>
      <c r="W34" s="5">
        <f t="shared" ref="W34:AD34" si="25">SUM(W35:W45)</f>
        <v>0</v>
      </c>
      <c r="X34" s="5">
        <f t="shared" si="25"/>
        <v>0</v>
      </c>
      <c r="Y34" s="5">
        <f t="shared" si="25"/>
        <v>0</v>
      </c>
      <c r="Z34" s="5">
        <f t="shared" si="25"/>
        <v>0</v>
      </c>
      <c r="AA34" s="5">
        <f t="shared" si="25"/>
        <v>0</v>
      </c>
      <c r="AB34" s="5">
        <f t="shared" si="25"/>
        <v>0</v>
      </c>
      <c r="AC34" s="5">
        <f t="shared" si="25"/>
        <v>0</v>
      </c>
      <c r="AD34" s="5">
        <f t="shared" si="25"/>
        <v>0</v>
      </c>
      <c r="AE34" s="5">
        <f>D34-BL34</f>
        <v>0</v>
      </c>
      <c r="AF34" s="5">
        <f>SUM(AF35:AF45)</f>
        <v>0</v>
      </c>
      <c r="AG34" s="5">
        <f t="shared" ref="AG34:BE34" si="26">SUM(AG35:AG45)</f>
        <v>0</v>
      </c>
      <c r="AH34" s="5">
        <f t="shared" si="26"/>
        <v>0</v>
      </c>
      <c r="AI34" s="5">
        <f t="shared" si="26"/>
        <v>0</v>
      </c>
      <c r="AJ34" s="5">
        <f t="shared" si="26"/>
        <v>0</v>
      </c>
      <c r="AK34" s="5">
        <f t="shared" si="26"/>
        <v>0</v>
      </c>
      <c r="AL34" s="5">
        <f t="shared" si="26"/>
        <v>0</v>
      </c>
      <c r="AM34" s="5">
        <f t="shared" si="26"/>
        <v>0</v>
      </c>
      <c r="AN34" s="5">
        <f t="shared" si="26"/>
        <v>0</v>
      </c>
      <c r="AO34" s="5">
        <f t="shared" si="26"/>
        <v>0</v>
      </c>
      <c r="AP34" s="5">
        <f t="shared" si="26"/>
        <v>0</v>
      </c>
      <c r="AQ34" s="5">
        <f t="shared" si="26"/>
        <v>0</v>
      </c>
      <c r="AR34" s="5">
        <f t="shared" si="26"/>
        <v>0</v>
      </c>
      <c r="AS34" s="5">
        <f t="shared" si="26"/>
        <v>0</v>
      </c>
      <c r="AT34" s="5">
        <f t="shared" si="26"/>
        <v>0</v>
      </c>
      <c r="AU34" s="5">
        <f t="shared" si="26"/>
        <v>0</v>
      </c>
      <c r="AV34" s="5">
        <f t="shared" si="26"/>
        <v>0</v>
      </c>
      <c r="AW34" s="5">
        <f t="shared" si="26"/>
        <v>0</v>
      </c>
      <c r="AX34" s="5">
        <f t="shared" si="26"/>
        <v>0</v>
      </c>
      <c r="AY34" s="5">
        <f t="shared" si="26"/>
        <v>0</v>
      </c>
      <c r="AZ34" s="5">
        <f t="shared" si="26"/>
        <v>0</v>
      </c>
      <c r="BA34" s="5">
        <f t="shared" si="26"/>
        <v>0</v>
      </c>
      <c r="BB34" s="5">
        <f t="shared" si="26"/>
        <v>0</v>
      </c>
      <c r="BC34" s="5">
        <f t="shared" si="26"/>
        <v>0</v>
      </c>
      <c r="BD34" s="5">
        <f t="shared" si="26"/>
        <v>0</v>
      </c>
      <c r="BE34" s="5">
        <f t="shared" si="26"/>
        <v>0</v>
      </c>
      <c r="BF34" s="5">
        <f>SUM(BF35:BF45)</f>
        <v>0</v>
      </c>
      <c r="BG34" s="5">
        <f>SUM(BG35:BG45)</f>
        <v>0</v>
      </c>
      <c r="BH34" s="5">
        <f>BI34+BJ34+BK34</f>
        <v>0</v>
      </c>
      <c r="BI34" s="5">
        <f>SUM(BI35:BI45)</f>
        <v>0</v>
      </c>
      <c r="BJ34" s="5">
        <f>SUM(BJ35:BJ45)</f>
        <v>0</v>
      </c>
      <c r="BK34" s="5">
        <f>SUM(BK35:BK45)</f>
        <v>0</v>
      </c>
      <c r="BL34" s="5">
        <f>E34+W34+X34+Y34+Z34+AA34+AB34+AC34+AQ34+AR34+AS34+AT34+AU34+AV34+AW34+AX34+AY34+AZ34+BA34+BB34+BC34+BD34+BE34+BF34+BG34+BH34</f>
        <v>0</v>
      </c>
      <c r="BM34" s="5">
        <f>AE67-BL34</f>
        <v>0</v>
      </c>
      <c r="BN34" s="5">
        <f>SUM(BN35:BN45)</f>
        <v>0</v>
      </c>
      <c r="BP34" s="123"/>
    </row>
    <row r="35" spans="1:68" ht="20.100000000000001" customHeight="1">
      <c r="A35" s="14" t="s">
        <v>224</v>
      </c>
      <c r="B35" s="143" t="s">
        <v>478</v>
      </c>
      <c r="C35" s="5" t="s">
        <v>202</v>
      </c>
      <c r="D35" s="5"/>
      <c r="E35" s="5">
        <f t="shared" si="4"/>
        <v>0</v>
      </c>
      <c r="F35" s="5">
        <f t="shared" si="21"/>
        <v>0</v>
      </c>
      <c r="G35" s="5">
        <f t="shared" si="8"/>
        <v>0</v>
      </c>
      <c r="H35" s="5">
        <f t="shared" si="12"/>
        <v>0</v>
      </c>
      <c r="I35" s="5"/>
      <c r="J35" s="5"/>
      <c r="K35" s="5"/>
      <c r="L35" s="5"/>
      <c r="M35" s="5"/>
      <c r="N35" s="5"/>
      <c r="O35" s="5"/>
      <c r="P35" s="5"/>
      <c r="Q35" s="5"/>
      <c r="R35" s="5"/>
      <c r="S35" s="5"/>
      <c r="T35" s="5"/>
      <c r="U35" s="5"/>
      <c r="V35" s="5">
        <f t="shared" si="13"/>
        <v>0</v>
      </c>
      <c r="W35" s="5"/>
      <c r="X35" s="5"/>
      <c r="Y35" s="5"/>
      <c r="Z35" s="5"/>
      <c r="AA35" s="5"/>
      <c r="AB35" s="5"/>
      <c r="AC35" s="5"/>
      <c r="AD35" s="5"/>
      <c r="AE35" s="5">
        <f>SUM(AF35:AP35)</f>
        <v>0</v>
      </c>
      <c r="AF35" s="5">
        <f>D35-BL35</f>
        <v>0</v>
      </c>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f t="shared" si="22"/>
        <v>0</v>
      </c>
      <c r="BI35" s="5"/>
      <c r="BJ35" s="5"/>
      <c r="BK35" s="5"/>
      <c r="BL35" s="5">
        <f>E35+W35+X35+Y35+Z35+AA35+AB35+AC35+AD35+AG35+AH35+AI35+AJ35+AK35+AL35+AM35+AN35+AO35+AP35+AQ35+AR35+AS35+AT35+AU35+AV35+AW35+AX35+AY35+AZ35+BA35+BB35+BC35+BD35</f>
        <v>0</v>
      </c>
      <c r="BM35" s="5">
        <f>AF67-BL35</f>
        <v>0</v>
      </c>
      <c r="BN35" s="5">
        <f>D35+BM35</f>
        <v>0</v>
      </c>
      <c r="BP35" s="123"/>
    </row>
    <row r="36" spans="1:68" ht="20.100000000000001" customHeight="1">
      <c r="A36" s="14" t="s">
        <v>225</v>
      </c>
      <c r="B36" s="143" t="s">
        <v>479</v>
      </c>
      <c r="C36" s="5" t="s">
        <v>203</v>
      </c>
      <c r="D36" s="5"/>
      <c r="E36" s="5">
        <f t="shared" si="4"/>
        <v>0</v>
      </c>
      <c r="F36" s="5">
        <f t="shared" si="21"/>
        <v>0</v>
      </c>
      <c r="G36" s="5">
        <f t="shared" si="8"/>
        <v>0</v>
      </c>
      <c r="H36" s="5">
        <f t="shared" si="12"/>
        <v>0</v>
      </c>
      <c r="I36" s="5"/>
      <c r="J36" s="5"/>
      <c r="K36" s="5"/>
      <c r="L36" s="5"/>
      <c r="M36" s="5"/>
      <c r="N36" s="5"/>
      <c r="O36" s="5"/>
      <c r="P36" s="5"/>
      <c r="Q36" s="5"/>
      <c r="R36" s="5"/>
      <c r="S36" s="5"/>
      <c r="T36" s="5"/>
      <c r="U36" s="5"/>
      <c r="V36" s="5">
        <f t="shared" si="13"/>
        <v>0</v>
      </c>
      <c r="W36" s="5"/>
      <c r="X36" s="5"/>
      <c r="Y36" s="5"/>
      <c r="Z36" s="5"/>
      <c r="AA36" s="5"/>
      <c r="AB36" s="5"/>
      <c r="AC36" s="5"/>
      <c r="AD36" s="5"/>
      <c r="AE36" s="5">
        <f t="shared" ref="AE36:AE66" si="27">SUM(AF36:AP36)</f>
        <v>0</v>
      </c>
      <c r="AF36" s="5"/>
      <c r="AG36" s="5">
        <f>D36-BL36</f>
        <v>0</v>
      </c>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f t="shared" si="22"/>
        <v>0</v>
      </c>
      <c r="BI36" s="5"/>
      <c r="BJ36" s="5"/>
      <c r="BK36" s="5"/>
      <c r="BL36" s="5">
        <f>E36+W36+X36+Y36+Z36+AA36+AB36+AC36+AD36+AF36+AH36+AI36+AJ36+AK36+AL36+AM36+AN36+AO36+AP36+AQ36+AR36+AS36+AT36+AU36+AV36+AW36+AX36+AY36+AZ36+BA36+BB36+BC36+BD36+BE36+BF36+BG36+BH36</f>
        <v>0</v>
      </c>
      <c r="BM36" s="5">
        <f>AG67-BL36</f>
        <v>0</v>
      </c>
      <c r="BN36" s="5">
        <f t="shared" ref="BN36:BN45" si="28">D36+BM36</f>
        <v>0</v>
      </c>
      <c r="BP36" s="123"/>
    </row>
    <row r="37" spans="1:68" ht="20.100000000000001" customHeight="1">
      <c r="A37" s="14" t="s">
        <v>226</v>
      </c>
      <c r="B37" s="143" t="s">
        <v>480</v>
      </c>
      <c r="C37" s="5" t="s">
        <v>204</v>
      </c>
      <c r="D37" s="5"/>
      <c r="E37" s="5">
        <f t="shared" si="4"/>
        <v>0</v>
      </c>
      <c r="F37" s="5">
        <f t="shared" si="21"/>
        <v>0</v>
      </c>
      <c r="G37" s="5">
        <f t="shared" si="8"/>
        <v>0</v>
      </c>
      <c r="H37" s="5">
        <f t="shared" si="12"/>
        <v>0</v>
      </c>
      <c r="I37" s="5"/>
      <c r="J37" s="5"/>
      <c r="K37" s="5"/>
      <c r="L37" s="5"/>
      <c r="M37" s="5"/>
      <c r="N37" s="5"/>
      <c r="O37" s="5"/>
      <c r="P37" s="5"/>
      <c r="Q37" s="5"/>
      <c r="R37" s="5"/>
      <c r="S37" s="5"/>
      <c r="T37" s="5"/>
      <c r="U37" s="5"/>
      <c r="V37" s="5">
        <f t="shared" si="13"/>
        <v>0</v>
      </c>
      <c r="W37" s="5"/>
      <c r="X37" s="5"/>
      <c r="Y37" s="5"/>
      <c r="Z37" s="5"/>
      <c r="AA37" s="5"/>
      <c r="AB37" s="5"/>
      <c r="AC37" s="5"/>
      <c r="AD37" s="5"/>
      <c r="AE37" s="5">
        <f t="shared" si="27"/>
        <v>0</v>
      </c>
      <c r="AF37" s="5"/>
      <c r="AG37" s="5"/>
      <c r="AH37" s="5">
        <f>D37-BL37</f>
        <v>0</v>
      </c>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f t="shared" si="22"/>
        <v>0</v>
      </c>
      <c r="BI37" s="5"/>
      <c r="BJ37" s="5"/>
      <c r="BK37" s="5"/>
      <c r="BL37" s="5">
        <f>E37+W37+X37+Y37+Z37+AA37+AB37+AC37+AD37+AF37+AG37+AI37+AJ37+AK37+AL37+AM37+AN37+AO37+AP37+AQ37+AR37+AS37+AT37+AU37+AV37+AW37+AX37+AY37+AZ37+BA37+BB37+BC37+BD37+BE37+BF37+BG37+BH37</f>
        <v>0</v>
      </c>
      <c r="BM37" s="5">
        <f>AH67-BL37</f>
        <v>0</v>
      </c>
      <c r="BN37" s="5">
        <f t="shared" si="28"/>
        <v>0</v>
      </c>
      <c r="BP37" s="123"/>
    </row>
    <row r="38" spans="1:68" ht="20.100000000000001" customHeight="1">
      <c r="A38" s="14" t="s">
        <v>227</v>
      </c>
      <c r="B38" s="143" t="s">
        <v>481</v>
      </c>
      <c r="C38" s="5" t="s">
        <v>205</v>
      </c>
      <c r="D38" s="5"/>
      <c r="E38" s="5">
        <f t="shared" si="4"/>
        <v>0</v>
      </c>
      <c r="F38" s="5">
        <f t="shared" si="21"/>
        <v>0</v>
      </c>
      <c r="G38" s="5">
        <f t="shared" si="8"/>
        <v>0</v>
      </c>
      <c r="H38" s="5">
        <f t="shared" si="12"/>
        <v>0</v>
      </c>
      <c r="I38" s="5"/>
      <c r="J38" s="5"/>
      <c r="K38" s="5"/>
      <c r="L38" s="5"/>
      <c r="M38" s="5"/>
      <c r="N38" s="5"/>
      <c r="O38" s="5"/>
      <c r="P38" s="5"/>
      <c r="Q38" s="5"/>
      <c r="R38" s="5"/>
      <c r="S38" s="5"/>
      <c r="T38" s="5"/>
      <c r="U38" s="5"/>
      <c r="V38" s="5">
        <f t="shared" si="13"/>
        <v>0</v>
      </c>
      <c r="W38" s="5"/>
      <c r="X38" s="5"/>
      <c r="Y38" s="5"/>
      <c r="Z38" s="5"/>
      <c r="AA38" s="5"/>
      <c r="AB38" s="5"/>
      <c r="AC38" s="5"/>
      <c r="AD38" s="5"/>
      <c r="AE38" s="5">
        <f t="shared" si="27"/>
        <v>0</v>
      </c>
      <c r="AF38" s="5"/>
      <c r="AG38" s="5"/>
      <c r="AH38" s="5"/>
      <c r="AI38" s="5">
        <f>D38-BL38</f>
        <v>0</v>
      </c>
      <c r="AJ38" s="5"/>
      <c r="AK38" s="5"/>
      <c r="AL38" s="5"/>
      <c r="AM38" s="5"/>
      <c r="AN38" s="5"/>
      <c r="AO38" s="5"/>
      <c r="AP38" s="5"/>
      <c r="AQ38" s="5"/>
      <c r="AR38" s="5"/>
      <c r="AS38" s="5"/>
      <c r="AT38" s="5"/>
      <c r="AU38" s="5"/>
      <c r="AV38" s="5"/>
      <c r="AW38" s="5"/>
      <c r="AX38" s="5"/>
      <c r="AY38" s="5"/>
      <c r="AZ38" s="5"/>
      <c r="BA38" s="5"/>
      <c r="BB38" s="5"/>
      <c r="BC38" s="5"/>
      <c r="BD38" s="5"/>
      <c r="BE38" s="5"/>
      <c r="BF38" s="5"/>
      <c r="BG38" s="5"/>
      <c r="BH38" s="5">
        <f t="shared" si="22"/>
        <v>0</v>
      </c>
      <c r="BI38" s="5"/>
      <c r="BJ38" s="5"/>
      <c r="BK38" s="5"/>
      <c r="BL38" s="5">
        <f>E38+W38+X38+Y38+Z38+AA38+AB38+AC38+AD38+AF38+AG38+AH38+AJ38+AK38+AL38+AM38+AN38+AO38+AP38+AQ38+AR38+AS38+AT38+AU38+AV38+AW38+AX38+AY38+AZ38+BA38+BB38+BC38+BD38+BE38+BF38+BG38+BH38</f>
        <v>0</v>
      </c>
      <c r="BM38" s="5">
        <f>AI67-BL38</f>
        <v>0</v>
      </c>
      <c r="BN38" s="5">
        <f t="shared" si="28"/>
        <v>0</v>
      </c>
      <c r="BP38" s="123"/>
    </row>
    <row r="39" spans="1:68" ht="20.100000000000001" customHeight="1">
      <c r="A39" s="14" t="s">
        <v>228</v>
      </c>
      <c r="B39" s="143" t="s">
        <v>482</v>
      </c>
      <c r="C39" s="5" t="s">
        <v>206</v>
      </c>
      <c r="D39" s="5"/>
      <c r="E39" s="5">
        <f t="shared" si="4"/>
        <v>0</v>
      </c>
      <c r="F39" s="5">
        <f t="shared" si="21"/>
        <v>0</v>
      </c>
      <c r="G39" s="5">
        <f t="shared" si="8"/>
        <v>0</v>
      </c>
      <c r="H39" s="5">
        <f t="shared" si="12"/>
        <v>0</v>
      </c>
      <c r="I39" s="5"/>
      <c r="J39" s="5"/>
      <c r="K39" s="5"/>
      <c r="L39" s="5"/>
      <c r="M39" s="5"/>
      <c r="N39" s="5"/>
      <c r="O39" s="5"/>
      <c r="P39" s="5"/>
      <c r="Q39" s="5"/>
      <c r="R39" s="5"/>
      <c r="S39" s="5"/>
      <c r="T39" s="5"/>
      <c r="U39" s="5"/>
      <c r="V39" s="5">
        <f t="shared" si="13"/>
        <v>0</v>
      </c>
      <c r="W39" s="5"/>
      <c r="X39" s="5"/>
      <c r="Y39" s="5"/>
      <c r="Z39" s="5"/>
      <c r="AA39" s="5"/>
      <c r="AB39" s="5"/>
      <c r="AC39" s="5"/>
      <c r="AD39" s="5"/>
      <c r="AE39" s="5">
        <f t="shared" si="27"/>
        <v>0</v>
      </c>
      <c r="AF39" s="5"/>
      <c r="AG39" s="5"/>
      <c r="AH39" s="5"/>
      <c r="AI39" s="5"/>
      <c r="AJ39" s="5">
        <f>D39-BL39</f>
        <v>0</v>
      </c>
      <c r="AK39" s="5"/>
      <c r="AL39" s="5"/>
      <c r="AM39" s="5"/>
      <c r="AN39" s="5"/>
      <c r="AO39" s="5"/>
      <c r="AP39" s="5"/>
      <c r="AQ39" s="5"/>
      <c r="AR39" s="5"/>
      <c r="AS39" s="5"/>
      <c r="AT39" s="5"/>
      <c r="AU39" s="5"/>
      <c r="AV39" s="5"/>
      <c r="AW39" s="5"/>
      <c r="AX39" s="5"/>
      <c r="AY39" s="5"/>
      <c r="AZ39" s="5"/>
      <c r="BA39" s="5"/>
      <c r="BB39" s="5"/>
      <c r="BC39" s="5"/>
      <c r="BD39" s="5"/>
      <c r="BE39" s="5"/>
      <c r="BF39" s="5"/>
      <c r="BG39" s="5"/>
      <c r="BH39" s="5">
        <f t="shared" si="22"/>
        <v>0</v>
      </c>
      <c r="BI39" s="5"/>
      <c r="BJ39" s="5"/>
      <c r="BK39" s="5"/>
      <c r="BL39" s="5">
        <f>E39+W39+X39+Y39+Z39+AA39+AB39+AC39+AD39+AQ39+AR39+AS39+AT39+AU39+AV39+AW39+AX39+AY39+AZ39+BA39+BB39+BC39+BD39+BE39+BF39+BG39+BH39+AF39+AG39+AH39+AI39+AK39+AL39+AM39+AN39+AO39+AP39</f>
        <v>0</v>
      </c>
      <c r="BM39" s="5">
        <f>AJ67-BL39</f>
        <v>0</v>
      </c>
      <c r="BN39" s="5">
        <f t="shared" si="28"/>
        <v>0</v>
      </c>
      <c r="BP39" s="123"/>
    </row>
    <row r="40" spans="1:68" ht="20.100000000000001" customHeight="1">
      <c r="A40" s="14" t="s">
        <v>229</v>
      </c>
      <c r="B40" s="143" t="s">
        <v>483</v>
      </c>
      <c r="C40" s="5" t="s">
        <v>207</v>
      </c>
      <c r="D40" s="5"/>
      <c r="E40" s="5">
        <f t="shared" si="4"/>
        <v>0</v>
      </c>
      <c r="F40" s="5">
        <f t="shared" si="21"/>
        <v>0</v>
      </c>
      <c r="G40" s="5">
        <f t="shared" si="8"/>
        <v>0</v>
      </c>
      <c r="H40" s="5">
        <f t="shared" si="12"/>
        <v>0</v>
      </c>
      <c r="I40" s="5"/>
      <c r="J40" s="5"/>
      <c r="K40" s="5"/>
      <c r="L40" s="5"/>
      <c r="M40" s="5"/>
      <c r="N40" s="5"/>
      <c r="O40" s="5"/>
      <c r="P40" s="5"/>
      <c r="Q40" s="5"/>
      <c r="R40" s="5"/>
      <c r="S40" s="5"/>
      <c r="T40" s="5"/>
      <c r="U40" s="5"/>
      <c r="V40" s="5">
        <f t="shared" si="13"/>
        <v>0</v>
      </c>
      <c r="W40" s="5"/>
      <c r="X40" s="5"/>
      <c r="Y40" s="5"/>
      <c r="Z40" s="5"/>
      <c r="AA40" s="5"/>
      <c r="AB40" s="5"/>
      <c r="AC40" s="5"/>
      <c r="AD40" s="5"/>
      <c r="AE40" s="5">
        <f t="shared" si="27"/>
        <v>0</v>
      </c>
      <c r="AF40" s="5"/>
      <c r="AG40" s="5"/>
      <c r="AH40" s="5"/>
      <c r="AI40" s="5"/>
      <c r="AJ40" s="5"/>
      <c r="AK40" s="5">
        <f>D40-BL40</f>
        <v>0</v>
      </c>
      <c r="AL40" s="5"/>
      <c r="AM40" s="5"/>
      <c r="AN40" s="5"/>
      <c r="AO40" s="5"/>
      <c r="AP40" s="5"/>
      <c r="AQ40" s="5"/>
      <c r="AR40" s="5"/>
      <c r="AS40" s="5"/>
      <c r="AT40" s="5"/>
      <c r="AU40" s="5"/>
      <c r="AV40" s="5"/>
      <c r="AW40" s="5"/>
      <c r="AX40" s="5"/>
      <c r="AY40" s="5"/>
      <c r="AZ40" s="5"/>
      <c r="BA40" s="5"/>
      <c r="BB40" s="5"/>
      <c r="BC40" s="5"/>
      <c r="BD40" s="5"/>
      <c r="BE40" s="5"/>
      <c r="BF40" s="5"/>
      <c r="BG40" s="5"/>
      <c r="BH40" s="5">
        <f t="shared" si="22"/>
        <v>0</v>
      </c>
      <c r="BI40" s="5"/>
      <c r="BJ40" s="5"/>
      <c r="BK40" s="5"/>
      <c r="BL40" s="5">
        <f>E40+W40+X40+Y40+Z40+AA40+AB40+AC40+AD40+AF40+AG40+AH40+AI40+AJ40+AL40+AM40+AN40+AO40+AP40+AQ40+AR40+AS40+AT40+AU40+AV40+AW40+AX40+AY40+AZ40+BA40+BB40+BC40+BD40+BE40+BF40+BG40+BH40</f>
        <v>0</v>
      </c>
      <c r="BM40" s="5">
        <f>AK67-BL40</f>
        <v>0</v>
      </c>
      <c r="BN40" s="5">
        <f t="shared" si="28"/>
        <v>0</v>
      </c>
      <c r="BP40" s="123"/>
    </row>
    <row r="41" spans="1:68" ht="20.100000000000001" customHeight="1">
      <c r="A41" s="14" t="s">
        <v>230</v>
      </c>
      <c r="B41" s="143" t="s">
        <v>484</v>
      </c>
      <c r="C41" s="5" t="s">
        <v>199</v>
      </c>
      <c r="D41" s="5"/>
      <c r="E41" s="5">
        <f t="shared" si="4"/>
        <v>0</v>
      </c>
      <c r="F41" s="5">
        <f t="shared" si="21"/>
        <v>0</v>
      </c>
      <c r="G41" s="5">
        <f t="shared" si="8"/>
        <v>0</v>
      </c>
      <c r="H41" s="5">
        <f t="shared" si="12"/>
        <v>0</v>
      </c>
      <c r="I41" s="5"/>
      <c r="J41" s="5"/>
      <c r="K41" s="5"/>
      <c r="L41" s="5"/>
      <c r="M41" s="5"/>
      <c r="N41" s="5"/>
      <c r="O41" s="5"/>
      <c r="P41" s="5"/>
      <c r="Q41" s="5"/>
      <c r="R41" s="5"/>
      <c r="S41" s="5"/>
      <c r="T41" s="5"/>
      <c r="U41" s="5"/>
      <c r="V41" s="5">
        <f t="shared" si="13"/>
        <v>0</v>
      </c>
      <c r="W41" s="5"/>
      <c r="X41" s="5"/>
      <c r="Y41" s="5"/>
      <c r="Z41" s="5"/>
      <c r="AA41" s="5"/>
      <c r="AB41" s="5"/>
      <c r="AC41" s="5"/>
      <c r="AD41" s="5"/>
      <c r="AE41" s="5">
        <f t="shared" si="27"/>
        <v>0</v>
      </c>
      <c r="AF41" s="5"/>
      <c r="AG41" s="5"/>
      <c r="AH41" s="5"/>
      <c r="AI41" s="5"/>
      <c r="AJ41" s="5"/>
      <c r="AK41" s="5"/>
      <c r="AL41" s="5">
        <f>D41-BL41</f>
        <v>0</v>
      </c>
      <c r="AM41" s="5"/>
      <c r="AN41" s="5"/>
      <c r="AO41" s="5"/>
      <c r="AP41" s="5"/>
      <c r="AQ41" s="5"/>
      <c r="AR41" s="5"/>
      <c r="AS41" s="5"/>
      <c r="AT41" s="5"/>
      <c r="AU41" s="5"/>
      <c r="AV41" s="5"/>
      <c r="AW41" s="5"/>
      <c r="AX41" s="5"/>
      <c r="AY41" s="5"/>
      <c r="AZ41" s="5"/>
      <c r="BA41" s="5"/>
      <c r="BB41" s="5"/>
      <c r="BC41" s="5"/>
      <c r="BD41" s="5"/>
      <c r="BE41" s="5"/>
      <c r="BF41" s="5"/>
      <c r="BG41" s="5"/>
      <c r="BH41" s="5">
        <f t="shared" si="22"/>
        <v>0</v>
      </c>
      <c r="BI41" s="5"/>
      <c r="BJ41" s="5"/>
      <c r="BK41" s="5"/>
      <c r="BL41" s="5">
        <f>E41+W41+X41+Y41+Z41+AA41+AB41+AC41+AD41+AF41+AG41+AH41+AI41+AJ41+AK41+AM41+AN41+AO41+AP41+AQ41+AR41+AS41+AT41+AU41+AV41+AW41+AX41+AY41+AZ41+BA41+BB41+BC41+BD41+BE41+BF41+BG41+BH41</f>
        <v>0</v>
      </c>
      <c r="BM41" s="5">
        <f>AL67-BL41</f>
        <v>0</v>
      </c>
      <c r="BN41" s="5">
        <f t="shared" si="28"/>
        <v>0</v>
      </c>
      <c r="BP41" s="123"/>
    </row>
    <row r="42" spans="1:68" ht="20.100000000000001" customHeight="1">
      <c r="A42" s="14" t="s">
        <v>231</v>
      </c>
      <c r="B42" s="143" t="s">
        <v>485</v>
      </c>
      <c r="C42" s="5" t="s">
        <v>200</v>
      </c>
      <c r="D42" s="121"/>
      <c r="E42" s="5">
        <f t="shared" si="4"/>
        <v>0</v>
      </c>
      <c r="F42" s="5">
        <f t="shared" si="21"/>
        <v>0</v>
      </c>
      <c r="G42" s="5">
        <f t="shared" si="8"/>
        <v>0</v>
      </c>
      <c r="H42" s="5">
        <f t="shared" si="12"/>
        <v>0</v>
      </c>
      <c r="I42" s="5"/>
      <c r="J42" s="5"/>
      <c r="K42" s="5"/>
      <c r="L42" s="5"/>
      <c r="M42" s="5"/>
      <c r="N42" s="5"/>
      <c r="O42" s="5"/>
      <c r="P42" s="5"/>
      <c r="Q42" s="5"/>
      <c r="R42" s="5"/>
      <c r="S42" s="5"/>
      <c r="T42" s="5"/>
      <c r="U42" s="5"/>
      <c r="V42" s="5">
        <f t="shared" si="13"/>
        <v>0</v>
      </c>
      <c r="W42" s="5"/>
      <c r="X42" s="5"/>
      <c r="Y42" s="5"/>
      <c r="Z42" s="5"/>
      <c r="AA42" s="5"/>
      <c r="AB42" s="5"/>
      <c r="AC42" s="5"/>
      <c r="AD42" s="5"/>
      <c r="AE42" s="5">
        <f t="shared" si="27"/>
        <v>0</v>
      </c>
      <c r="AF42" s="5"/>
      <c r="AG42" s="5"/>
      <c r="AH42" s="5"/>
      <c r="AI42" s="5"/>
      <c r="AJ42" s="5"/>
      <c r="AK42" s="5"/>
      <c r="AL42" s="5"/>
      <c r="AM42" s="5">
        <f>D42-BL42</f>
        <v>0</v>
      </c>
      <c r="AN42" s="5"/>
      <c r="AO42" s="5"/>
      <c r="AP42" s="5"/>
      <c r="AQ42" s="5"/>
      <c r="AR42" s="5"/>
      <c r="AS42" s="5"/>
      <c r="AT42" s="5"/>
      <c r="AU42" s="5"/>
      <c r="AV42" s="5"/>
      <c r="AW42" s="5"/>
      <c r="AX42" s="5"/>
      <c r="AY42" s="5"/>
      <c r="AZ42" s="5"/>
      <c r="BA42" s="5"/>
      <c r="BB42" s="5"/>
      <c r="BC42" s="5"/>
      <c r="BD42" s="5"/>
      <c r="BE42" s="5"/>
      <c r="BF42" s="5"/>
      <c r="BG42" s="5"/>
      <c r="BH42" s="5">
        <f t="shared" si="22"/>
        <v>0</v>
      </c>
      <c r="BI42" s="5"/>
      <c r="BJ42" s="5"/>
      <c r="BK42" s="5"/>
      <c r="BL42" s="5">
        <f>E42+W42+X42+Y42+Z42+AA42+AB42+AC42+AD42+AF42+AG42+AH42+AI42+AJ42+AK42+AL42+AN42+AO42+AP42+AQ42+AR42+AS42+AT42+AU42+AV42+AW42+AX42+AY42+AZ42+BA42+BB42+BC42+BD42+BE42+BF42+BG42+BH42</f>
        <v>0</v>
      </c>
      <c r="BM42" s="5">
        <f>AM67-BL42</f>
        <v>0</v>
      </c>
      <c r="BN42" s="5">
        <f t="shared" si="28"/>
        <v>0</v>
      </c>
      <c r="BP42" s="123"/>
    </row>
    <row r="43" spans="1:68" ht="20.100000000000001" customHeight="1">
      <c r="A43" s="14" t="s">
        <v>232</v>
      </c>
      <c r="B43" s="143" t="s">
        <v>486</v>
      </c>
      <c r="C43" s="5" t="s">
        <v>223</v>
      </c>
      <c r="D43" s="5"/>
      <c r="E43" s="5">
        <f t="shared" si="4"/>
        <v>0</v>
      </c>
      <c r="F43" s="5">
        <f t="shared" si="21"/>
        <v>0</v>
      </c>
      <c r="G43" s="5">
        <f t="shared" si="8"/>
        <v>0</v>
      </c>
      <c r="H43" s="5">
        <f t="shared" si="12"/>
        <v>0</v>
      </c>
      <c r="I43" s="5"/>
      <c r="J43" s="5"/>
      <c r="K43" s="5"/>
      <c r="L43" s="5"/>
      <c r="M43" s="5"/>
      <c r="N43" s="5"/>
      <c r="O43" s="5"/>
      <c r="P43" s="5"/>
      <c r="Q43" s="5"/>
      <c r="R43" s="5"/>
      <c r="S43" s="5"/>
      <c r="T43" s="5"/>
      <c r="U43" s="5"/>
      <c r="V43" s="5">
        <f t="shared" si="13"/>
        <v>0</v>
      </c>
      <c r="W43" s="5"/>
      <c r="X43" s="5"/>
      <c r="Y43" s="5"/>
      <c r="Z43" s="5"/>
      <c r="AA43" s="5"/>
      <c r="AB43" s="5"/>
      <c r="AC43" s="5"/>
      <c r="AD43" s="5"/>
      <c r="AE43" s="5">
        <f t="shared" si="27"/>
        <v>0</v>
      </c>
      <c r="AF43" s="5"/>
      <c r="AG43" s="5"/>
      <c r="AH43" s="5"/>
      <c r="AI43" s="5"/>
      <c r="AJ43" s="5"/>
      <c r="AK43" s="5"/>
      <c r="AL43" s="5"/>
      <c r="AM43" s="5"/>
      <c r="AN43" s="5">
        <f>D43-BL43</f>
        <v>0</v>
      </c>
      <c r="AO43" s="5"/>
      <c r="AP43" s="5"/>
      <c r="AQ43" s="5"/>
      <c r="AR43" s="5"/>
      <c r="AS43" s="5"/>
      <c r="AT43" s="5"/>
      <c r="AU43" s="5"/>
      <c r="AV43" s="5"/>
      <c r="AW43" s="5"/>
      <c r="AX43" s="5"/>
      <c r="AY43" s="5"/>
      <c r="AZ43" s="5"/>
      <c r="BA43" s="5"/>
      <c r="BB43" s="5"/>
      <c r="BC43" s="5"/>
      <c r="BD43" s="5"/>
      <c r="BE43" s="5"/>
      <c r="BF43" s="5"/>
      <c r="BG43" s="5"/>
      <c r="BH43" s="5">
        <f t="shared" si="22"/>
        <v>0</v>
      </c>
      <c r="BI43" s="5"/>
      <c r="BJ43" s="5"/>
      <c r="BK43" s="5"/>
      <c r="BL43" s="5">
        <f>E43+W43+X43+Y43+Z43+AA43+AB43+AC43+AD43+AF43+AG43+AH43+AI43+AJ43+AK43+AL43+AM43+AO43+AP43+AQ43+AR43+AS43+AT43+AU43+AV43+AW43+AX43+AY43+AZ43+BA43+BB43+BC43+BD43+BE43+BF43+BG43+BH43</f>
        <v>0</v>
      </c>
      <c r="BM43" s="5">
        <f>AN67-BL43</f>
        <v>0</v>
      </c>
      <c r="BN43" s="5">
        <f t="shared" si="28"/>
        <v>0</v>
      </c>
      <c r="BP43" s="123"/>
    </row>
    <row r="44" spans="1:68" ht="20.100000000000001" customHeight="1">
      <c r="A44" s="14" t="s">
        <v>233</v>
      </c>
      <c r="B44" s="143" t="s">
        <v>487</v>
      </c>
      <c r="C44" s="5" t="s">
        <v>201</v>
      </c>
      <c r="D44" s="5"/>
      <c r="E44" s="5">
        <f t="shared" si="4"/>
        <v>0</v>
      </c>
      <c r="F44" s="5">
        <f t="shared" si="21"/>
        <v>0</v>
      </c>
      <c r="G44" s="5">
        <f t="shared" si="8"/>
        <v>0</v>
      </c>
      <c r="H44" s="5">
        <f t="shared" si="12"/>
        <v>0</v>
      </c>
      <c r="I44" s="5"/>
      <c r="J44" s="5"/>
      <c r="K44" s="5"/>
      <c r="L44" s="5"/>
      <c r="M44" s="5"/>
      <c r="N44" s="5"/>
      <c r="O44" s="5"/>
      <c r="P44" s="5"/>
      <c r="Q44" s="5"/>
      <c r="R44" s="5"/>
      <c r="S44" s="5"/>
      <c r="T44" s="5"/>
      <c r="U44" s="5"/>
      <c r="V44" s="5">
        <f t="shared" si="13"/>
        <v>0</v>
      </c>
      <c r="W44" s="5"/>
      <c r="X44" s="5"/>
      <c r="Y44" s="5"/>
      <c r="Z44" s="5"/>
      <c r="AA44" s="5"/>
      <c r="AB44" s="5"/>
      <c r="AC44" s="5"/>
      <c r="AD44" s="5"/>
      <c r="AE44" s="5">
        <f t="shared" si="27"/>
        <v>0</v>
      </c>
      <c r="AF44" s="5"/>
      <c r="AG44" s="5"/>
      <c r="AH44" s="5"/>
      <c r="AI44" s="5"/>
      <c r="AJ44" s="5"/>
      <c r="AK44" s="5"/>
      <c r="AL44" s="5"/>
      <c r="AM44" s="5"/>
      <c r="AN44" s="5"/>
      <c r="AO44" s="5">
        <f>D44-BL44</f>
        <v>0</v>
      </c>
      <c r="AP44" s="5"/>
      <c r="AQ44" s="5"/>
      <c r="AR44" s="5"/>
      <c r="AS44" s="5"/>
      <c r="AT44" s="5"/>
      <c r="AU44" s="5"/>
      <c r="AV44" s="5"/>
      <c r="AW44" s="5"/>
      <c r="AX44" s="5"/>
      <c r="AY44" s="5"/>
      <c r="AZ44" s="5"/>
      <c r="BA44" s="5"/>
      <c r="BB44" s="5"/>
      <c r="BC44" s="5"/>
      <c r="BD44" s="5"/>
      <c r="BE44" s="5"/>
      <c r="BF44" s="5"/>
      <c r="BG44" s="5"/>
      <c r="BH44" s="5">
        <f t="shared" si="22"/>
        <v>0</v>
      </c>
      <c r="BI44" s="5"/>
      <c r="BJ44" s="5"/>
      <c r="BK44" s="5"/>
      <c r="BL44" s="5">
        <f>E44+W44+X44+Y44+Z44+AA44+AB44+AC44+AD44+AF44+AG44+AH44+AI44+AJ44+AK44+AL44+AM44+AN44+AP44+AQ44+AR44+AS44+AT44+AU44+AV44+AW44+AX44+AY44+AZ44+BA44+BB44+BC44+BD44+BE44+BF44+BG44+BH44</f>
        <v>0</v>
      </c>
      <c r="BM44" s="5">
        <f>AO67-BL44</f>
        <v>0</v>
      </c>
      <c r="BN44" s="5">
        <f t="shared" si="28"/>
        <v>0</v>
      </c>
      <c r="BP44" s="123"/>
    </row>
    <row r="45" spans="1:68" ht="20.100000000000001" customHeight="1">
      <c r="A45" s="14" t="s">
        <v>234</v>
      </c>
      <c r="B45" s="143" t="s">
        <v>488</v>
      </c>
      <c r="C45" s="5" t="s">
        <v>208</v>
      </c>
      <c r="D45" s="5"/>
      <c r="E45" s="5">
        <f t="shared" si="4"/>
        <v>0</v>
      </c>
      <c r="F45" s="5">
        <f t="shared" si="21"/>
        <v>0</v>
      </c>
      <c r="G45" s="5">
        <f t="shared" si="8"/>
        <v>0</v>
      </c>
      <c r="H45" s="5">
        <f t="shared" si="12"/>
        <v>0</v>
      </c>
      <c r="I45" s="5"/>
      <c r="J45" s="5"/>
      <c r="K45" s="5"/>
      <c r="L45" s="5"/>
      <c r="M45" s="5"/>
      <c r="N45" s="5"/>
      <c r="O45" s="5"/>
      <c r="P45" s="5"/>
      <c r="Q45" s="5"/>
      <c r="R45" s="5"/>
      <c r="S45" s="5"/>
      <c r="T45" s="5"/>
      <c r="U45" s="5"/>
      <c r="V45" s="5">
        <f t="shared" si="13"/>
        <v>0</v>
      </c>
      <c r="W45" s="5"/>
      <c r="X45" s="5"/>
      <c r="Y45" s="5"/>
      <c r="Z45" s="5"/>
      <c r="AA45" s="5"/>
      <c r="AB45" s="5"/>
      <c r="AC45" s="5"/>
      <c r="AD45" s="5"/>
      <c r="AE45" s="5">
        <f t="shared" si="27"/>
        <v>0</v>
      </c>
      <c r="AF45" s="5"/>
      <c r="AG45" s="5"/>
      <c r="AH45" s="5"/>
      <c r="AI45" s="5"/>
      <c r="AJ45" s="5"/>
      <c r="AK45" s="5"/>
      <c r="AL45" s="5"/>
      <c r="AM45" s="5"/>
      <c r="AN45" s="5"/>
      <c r="AO45" s="5"/>
      <c r="AP45" s="5">
        <f>D45-BL45</f>
        <v>0</v>
      </c>
      <c r="AQ45" s="5"/>
      <c r="AR45" s="5"/>
      <c r="AS45" s="5"/>
      <c r="AT45" s="5"/>
      <c r="AU45" s="5"/>
      <c r="AV45" s="5"/>
      <c r="AW45" s="5"/>
      <c r="AX45" s="5"/>
      <c r="AY45" s="5"/>
      <c r="AZ45" s="5"/>
      <c r="BA45" s="5"/>
      <c r="BB45" s="5"/>
      <c r="BC45" s="5"/>
      <c r="BD45" s="5"/>
      <c r="BE45" s="5"/>
      <c r="BF45" s="5"/>
      <c r="BG45" s="5"/>
      <c r="BH45" s="5">
        <f t="shared" si="22"/>
        <v>0</v>
      </c>
      <c r="BI45" s="5"/>
      <c r="BJ45" s="5"/>
      <c r="BK45" s="5"/>
      <c r="BL45" s="5">
        <f>E45+W45+X45+Y45+Z45+AA45+AB45+AC45+AD45+AF45+AG45+AH45+AI45+AJ45+AK45+AL45+AM45+AN45+AO45+AQ45+AR45+AS45+AT45+AU45+AV45+AW45+AX45+AY45+AZ45+BA45+BB45+BC45+BD45+BE45+BF45+BG45+BH45</f>
        <v>0</v>
      </c>
      <c r="BM45" s="5">
        <f>AP67-BL45</f>
        <v>0</v>
      </c>
      <c r="BN45" s="5">
        <f t="shared" si="28"/>
        <v>0</v>
      </c>
      <c r="BP45" s="123"/>
    </row>
    <row r="46" spans="1:68" ht="20.100000000000001" customHeight="1">
      <c r="A46" s="19" t="s">
        <v>73</v>
      </c>
      <c r="B46" s="144" t="s">
        <v>74</v>
      </c>
      <c r="C46" s="5" t="s">
        <v>75</v>
      </c>
      <c r="D46" s="5"/>
      <c r="E46" s="5">
        <f t="shared" si="4"/>
        <v>0</v>
      </c>
      <c r="F46" s="5">
        <f t="shared" si="21"/>
        <v>0</v>
      </c>
      <c r="G46" s="5">
        <f t="shared" si="8"/>
        <v>0</v>
      </c>
      <c r="H46" s="5">
        <f t="shared" si="12"/>
        <v>0</v>
      </c>
      <c r="I46" s="5"/>
      <c r="J46" s="5"/>
      <c r="K46" s="5"/>
      <c r="L46" s="5"/>
      <c r="M46" s="5"/>
      <c r="N46" s="5"/>
      <c r="O46" s="5"/>
      <c r="P46" s="5"/>
      <c r="Q46" s="5"/>
      <c r="R46" s="5"/>
      <c r="S46" s="5"/>
      <c r="T46" s="5"/>
      <c r="U46" s="5"/>
      <c r="V46" s="5">
        <f t="shared" si="13"/>
        <v>0</v>
      </c>
      <c r="W46" s="5"/>
      <c r="X46" s="5"/>
      <c r="Y46" s="5"/>
      <c r="Z46" s="5"/>
      <c r="AA46" s="5"/>
      <c r="AB46" s="5"/>
      <c r="AC46" s="5"/>
      <c r="AD46" s="5"/>
      <c r="AE46" s="5">
        <f t="shared" si="27"/>
        <v>0</v>
      </c>
      <c r="AF46" s="5"/>
      <c r="AG46" s="5"/>
      <c r="AH46" s="5"/>
      <c r="AI46" s="5"/>
      <c r="AJ46" s="5"/>
      <c r="AK46" s="5"/>
      <c r="AL46" s="5"/>
      <c r="AM46" s="5"/>
      <c r="AN46" s="5"/>
      <c r="AO46" s="5"/>
      <c r="AP46" s="5"/>
      <c r="AQ46" s="5">
        <f>D46-BL46</f>
        <v>0</v>
      </c>
      <c r="AR46" s="5"/>
      <c r="AS46" s="5"/>
      <c r="AT46" s="5"/>
      <c r="AU46" s="5"/>
      <c r="AV46" s="5"/>
      <c r="AW46" s="5"/>
      <c r="AX46" s="5"/>
      <c r="AY46" s="5"/>
      <c r="AZ46" s="5"/>
      <c r="BA46" s="5"/>
      <c r="BB46" s="5"/>
      <c r="BC46" s="5"/>
      <c r="BD46" s="5"/>
      <c r="BE46" s="5"/>
      <c r="BF46" s="5"/>
      <c r="BG46" s="5"/>
      <c r="BH46" s="5">
        <f t="shared" si="22"/>
        <v>0</v>
      </c>
      <c r="BI46" s="5"/>
      <c r="BJ46" s="5"/>
      <c r="BK46" s="5"/>
      <c r="BL46" s="5">
        <f>E46+W46+X46+Y46+Z46+AA46+AB46+AC46+AD46+AE46+AR46+AS46+AT46+AU46+AV46+AW46+AX46+AY46+AZ46+BA46+BB46+BC46+BD46+BE46+BF46+BG46+BH46</f>
        <v>0</v>
      </c>
      <c r="BM46" s="5">
        <f>AQ67-BL46</f>
        <v>0</v>
      </c>
      <c r="BN46" s="5">
        <f>D46+BM46</f>
        <v>0</v>
      </c>
      <c r="BP46" s="123"/>
    </row>
    <row r="47" spans="1:68" ht="20.100000000000001" customHeight="1">
      <c r="A47" s="19" t="s">
        <v>76</v>
      </c>
      <c r="B47" s="144" t="s">
        <v>77</v>
      </c>
      <c r="C47" s="5" t="s">
        <v>78</v>
      </c>
      <c r="D47" s="5"/>
      <c r="E47" s="5">
        <f t="shared" si="4"/>
        <v>0</v>
      </c>
      <c r="F47" s="5">
        <f t="shared" si="21"/>
        <v>0</v>
      </c>
      <c r="G47" s="5">
        <f t="shared" si="8"/>
        <v>0</v>
      </c>
      <c r="H47" s="5">
        <f t="shared" si="12"/>
        <v>0</v>
      </c>
      <c r="I47" s="5"/>
      <c r="J47" s="5"/>
      <c r="K47" s="5"/>
      <c r="L47" s="5"/>
      <c r="M47" s="5"/>
      <c r="N47" s="5"/>
      <c r="O47" s="5"/>
      <c r="P47" s="5"/>
      <c r="Q47" s="5"/>
      <c r="R47" s="5"/>
      <c r="S47" s="5"/>
      <c r="T47" s="5"/>
      <c r="U47" s="5"/>
      <c r="V47" s="5">
        <f t="shared" si="13"/>
        <v>0</v>
      </c>
      <c r="W47" s="5"/>
      <c r="X47" s="5"/>
      <c r="Y47" s="5"/>
      <c r="Z47" s="5"/>
      <c r="AA47" s="5"/>
      <c r="AB47" s="5"/>
      <c r="AC47" s="5"/>
      <c r="AD47" s="5"/>
      <c r="AE47" s="5">
        <f t="shared" si="27"/>
        <v>0</v>
      </c>
      <c r="AF47" s="5"/>
      <c r="AG47" s="5"/>
      <c r="AH47" s="5"/>
      <c r="AI47" s="5"/>
      <c r="AJ47" s="5"/>
      <c r="AK47" s="5"/>
      <c r="AL47" s="5"/>
      <c r="AM47" s="5"/>
      <c r="AN47" s="5"/>
      <c r="AO47" s="5"/>
      <c r="AP47" s="5"/>
      <c r="AQ47" s="5"/>
      <c r="AR47" s="5">
        <f>D47-BL47</f>
        <v>0</v>
      </c>
      <c r="AS47" s="5"/>
      <c r="AT47" s="5"/>
      <c r="AU47" s="5"/>
      <c r="AV47" s="5"/>
      <c r="AW47" s="5"/>
      <c r="AX47" s="5"/>
      <c r="AY47" s="5"/>
      <c r="AZ47" s="5"/>
      <c r="BA47" s="5"/>
      <c r="BB47" s="5"/>
      <c r="BC47" s="5"/>
      <c r="BD47" s="5"/>
      <c r="BE47" s="5"/>
      <c r="BF47" s="5"/>
      <c r="BG47" s="5"/>
      <c r="BH47" s="5">
        <f t="shared" si="22"/>
        <v>0</v>
      </c>
      <c r="BI47" s="5"/>
      <c r="BJ47" s="5"/>
      <c r="BK47" s="5"/>
      <c r="BL47" s="5">
        <f>E47+W47+X47+Y47+Z47+AA47+AB47+AC47+AD47+AE47+AQ47+AS47+AT47+AU47+AV47+AW47+AX47+AY47+AZ47+BA47+BB47+BC47+BD47+BE47+BF47+BG47+BH47</f>
        <v>0</v>
      </c>
      <c r="BM47" s="5">
        <f>AR67-BL47</f>
        <v>0</v>
      </c>
      <c r="BN47" s="5">
        <f t="shared" ref="BN47:BN62" si="29">D47+BM47</f>
        <v>0</v>
      </c>
      <c r="BP47" s="123"/>
    </row>
    <row r="48" spans="1:68" ht="20.100000000000001" customHeight="1">
      <c r="A48" s="19" t="s">
        <v>79</v>
      </c>
      <c r="B48" s="144" t="s">
        <v>80</v>
      </c>
      <c r="C48" s="5" t="s">
        <v>81</v>
      </c>
      <c r="D48" s="5"/>
      <c r="E48" s="5">
        <f t="shared" si="4"/>
        <v>0</v>
      </c>
      <c r="F48" s="5">
        <f t="shared" si="21"/>
        <v>0</v>
      </c>
      <c r="G48" s="5">
        <f t="shared" si="8"/>
        <v>0</v>
      </c>
      <c r="H48" s="5">
        <f t="shared" si="12"/>
        <v>0</v>
      </c>
      <c r="I48" s="5"/>
      <c r="J48" s="5"/>
      <c r="K48" s="5"/>
      <c r="L48" s="5"/>
      <c r="M48" s="5"/>
      <c r="N48" s="5"/>
      <c r="O48" s="5"/>
      <c r="P48" s="5"/>
      <c r="Q48" s="5"/>
      <c r="R48" s="5"/>
      <c r="S48" s="5"/>
      <c r="T48" s="5"/>
      <c r="U48" s="5"/>
      <c r="V48" s="5">
        <f t="shared" si="13"/>
        <v>0</v>
      </c>
      <c r="W48" s="5"/>
      <c r="X48" s="5"/>
      <c r="Y48" s="5"/>
      <c r="Z48" s="5"/>
      <c r="AA48" s="5"/>
      <c r="AB48" s="5"/>
      <c r="AC48" s="5"/>
      <c r="AD48" s="5"/>
      <c r="AE48" s="5">
        <f t="shared" si="27"/>
        <v>0</v>
      </c>
      <c r="AF48" s="5"/>
      <c r="AG48" s="5"/>
      <c r="AH48" s="5"/>
      <c r="AI48" s="5"/>
      <c r="AJ48" s="5"/>
      <c r="AK48" s="5"/>
      <c r="AL48" s="5"/>
      <c r="AM48" s="5"/>
      <c r="AN48" s="5"/>
      <c r="AO48" s="5"/>
      <c r="AP48" s="5"/>
      <c r="AQ48" s="5"/>
      <c r="AR48" s="5"/>
      <c r="AS48" s="5">
        <f>D48-BL48</f>
        <v>0</v>
      </c>
      <c r="AT48" s="5"/>
      <c r="AU48" s="5"/>
      <c r="AV48" s="5"/>
      <c r="AW48" s="5"/>
      <c r="AX48" s="5"/>
      <c r="AY48" s="5"/>
      <c r="AZ48" s="5"/>
      <c r="BA48" s="5"/>
      <c r="BB48" s="5"/>
      <c r="BC48" s="5"/>
      <c r="BD48" s="5"/>
      <c r="BE48" s="5"/>
      <c r="BF48" s="5"/>
      <c r="BG48" s="5"/>
      <c r="BH48" s="5">
        <f t="shared" si="22"/>
        <v>0</v>
      </c>
      <c r="BI48" s="5"/>
      <c r="BJ48" s="5"/>
      <c r="BK48" s="5"/>
      <c r="BL48" s="5">
        <f>E48+W48+X48+Y48+Z48+AA48+AB48+AC48+AD48+AQ48+AR48+AT48+AU48+AV48+AW48+AX48+AY48+AZ48+BA48+BB48+BC48+BD48+BE48+BF48+BG48+BH48</f>
        <v>0</v>
      </c>
      <c r="BM48" s="5">
        <f>AS67-BL48</f>
        <v>0</v>
      </c>
      <c r="BN48" s="5">
        <f t="shared" si="29"/>
        <v>0</v>
      </c>
      <c r="BP48" s="123"/>
    </row>
    <row r="49" spans="1:68" ht="20.100000000000001" customHeight="1">
      <c r="A49" s="19" t="s">
        <v>82</v>
      </c>
      <c r="B49" s="144" t="s">
        <v>83</v>
      </c>
      <c r="C49" s="5" t="s">
        <v>84</v>
      </c>
      <c r="D49" s="5"/>
      <c r="E49" s="5">
        <f t="shared" si="4"/>
        <v>0</v>
      </c>
      <c r="F49" s="5">
        <f t="shared" si="21"/>
        <v>0</v>
      </c>
      <c r="G49" s="5">
        <f t="shared" si="8"/>
        <v>0</v>
      </c>
      <c r="H49" s="5">
        <f t="shared" si="12"/>
        <v>0</v>
      </c>
      <c r="I49" s="5"/>
      <c r="J49" s="5"/>
      <c r="K49" s="5"/>
      <c r="L49" s="5"/>
      <c r="M49" s="5"/>
      <c r="N49" s="5"/>
      <c r="O49" s="5"/>
      <c r="P49" s="5"/>
      <c r="Q49" s="5"/>
      <c r="R49" s="5"/>
      <c r="S49" s="5"/>
      <c r="T49" s="5"/>
      <c r="U49" s="5"/>
      <c r="V49" s="5">
        <f t="shared" si="13"/>
        <v>0</v>
      </c>
      <c r="W49" s="5"/>
      <c r="X49" s="5"/>
      <c r="Y49" s="5"/>
      <c r="Z49" s="5"/>
      <c r="AA49" s="5"/>
      <c r="AB49" s="5"/>
      <c r="AC49" s="5"/>
      <c r="AD49" s="5"/>
      <c r="AE49" s="5">
        <f t="shared" si="27"/>
        <v>0</v>
      </c>
      <c r="AF49" s="5"/>
      <c r="AG49" s="5"/>
      <c r="AH49" s="5"/>
      <c r="AI49" s="5"/>
      <c r="AJ49" s="5"/>
      <c r="AK49" s="5"/>
      <c r="AL49" s="5"/>
      <c r="AM49" s="5"/>
      <c r="AN49" s="5"/>
      <c r="AO49" s="5"/>
      <c r="AP49" s="5"/>
      <c r="AQ49" s="5"/>
      <c r="AR49" s="5"/>
      <c r="AS49" s="5"/>
      <c r="AT49" s="5">
        <f>D49-BL49</f>
        <v>0</v>
      </c>
      <c r="AU49" s="5"/>
      <c r="AV49" s="5"/>
      <c r="AW49" s="5"/>
      <c r="AX49" s="5"/>
      <c r="AY49" s="5"/>
      <c r="AZ49" s="5"/>
      <c r="BA49" s="5"/>
      <c r="BB49" s="5"/>
      <c r="BC49" s="5"/>
      <c r="BD49" s="5"/>
      <c r="BE49" s="5"/>
      <c r="BF49" s="5"/>
      <c r="BG49" s="5"/>
      <c r="BH49" s="5">
        <f t="shared" si="22"/>
        <v>0</v>
      </c>
      <c r="BI49" s="5"/>
      <c r="BJ49" s="5"/>
      <c r="BK49" s="5"/>
      <c r="BL49" s="5">
        <f>E49+W49+X49+Y49+Z49+AA49+AB49+AC49+AD49+AE49+AQ49+AR49+AS49+AU49+AV49+AW49+AX49+AY49+AZ49+BA49+BB49+BC49+BD49+BE49+BF49+BG49+BH49</f>
        <v>0</v>
      </c>
      <c r="BM49" s="5">
        <f>AT67-BL49</f>
        <v>0</v>
      </c>
      <c r="BN49" s="5">
        <f t="shared" si="29"/>
        <v>0</v>
      </c>
      <c r="BP49" s="123"/>
    </row>
    <row r="50" spans="1:68" ht="20.100000000000001" customHeight="1">
      <c r="A50" s="19" t="s">
        <v>85</v>
      </c>
      <c r="B50" s="144" t="s">
        <v>86</v>
      </c>
      <c r="C50" s="5" t="s">
        <v>87</v>
      </c>
      <c r="D50" s="5"/>
      <c r="E50" s="5">
        <f t="shared" si="4"/>
        <v>0</v>
      </c>
      <c r="F50" s="5">
        <f t="shared" si="21"/>
        <v>0</v>
      </c>
      <c r="G50" s="5">
        <f t="shared" si="8"/>
        <v>0</v>
      </c>
      <c r="H50" s="5">
        <f t="shared" si="12"/>
        <v>0</v>
      </c>
      <c r="I50" s="5"/>
      <c r="J50" s="5"/>
      <c r="K50" s="5"/>
      <c r="L50" s="5"/>
      <c r="M50" s="5"/>
      <c r="N50" s="5"/>
      <c r="O50" s="5"/>
      <c r="P50" s="5"/>
      <c r="Q50" s="5"/>
      <c r="R50" s="5"/>
      <c r="S50" s="5"/>
      <c r="T50" s="5"/>
      <c r="U50" s="5"/>
      <c r="V50" s="5">
        <f t="shared" si="13"/>
        <v>0</v>
      </c>
      <c r="W50" s="5"/>
      <c r="X50" s="5"/>
      <c r="Y50" s="5"/>
      <c r="Z50" s="5"/>
      <c r="AA50" s="5"/>
      <c r="AB50" s="5"/>
      <c r="AC50" s="5"/>
      <c r="AD50" s="5"/>
      <c r="AE50" s="5">
        <f t="shared" si="27"/>
        <v>0</v>
      </c>
      <c r="AF50" s="5"/>
      <c r="AG50" s="5"/>
      <c r="AH50" s="5"/>
      <c r="AI50" s="5"/>
      <c r="AJ50" s="5"/>
      <c r="AK50" s="5"/>
      <c r="AL50" s="5"/>
      <c r="AM50" s="5"/>
      <c r="AN50" s="5"/>
      <c r="AO50" s="5"/>
      <c r="AP50" s="5"/>
      <c r="AQ50" s="5"/>
      <c r="AR50" s="5"/>
      <c r="AS50" s="5"/>
      <c r="AT50" s="5"/>
      <c r="AU50" s="5">
        <f>D50-BL50</f>
        <v>0</v>
      </c>
      <c r="AV50" s="5"/>
      <c r="AW50" s="5"/>
      <c r="AX50" s="5"/>
      <c r="AY50" s="5"/>
      <c r="AZ50" s="5"/>
      <c r="BA50" s="5"/>
      <c r="BB50" s="5"/>
      <c r="BC50" s="5"/>
      <c r="BD50" s="5"/>
      <c r="BE50" s="5"/>
      <c r="BF50" s="5"/>
      <c r="BG50" s="5"/>
      <c r="BH50" s="5">
        <f t="shared" si="22"/>
        <v>0</v>
      </c>
      <c r="BI50" s="5"/>
      <c r="BJ50" s="5"/>
      <c r="BK50" s="5"/>
      <c r="BL50" s="5">
        <f>E50+W50+X50+Y50+Z50+AA50+AB50+AC50+AD50+AE50+AQ50+AR50+AS50+AT50+AV50+AW50+AX50+AY50+AZ50+BA50+BB50+BC50+BD50+BE50+BF50+BG50+BH50</f>
        <v>0</v>
      </c>
      <c r="BM50" s="5">
        <f>AU67-BL50</f>
        <v>0</v>
      </c>
      <c r="BN50" s="5">
        <f t="shared" si="29"/>
        <v>0</v>
      </c>
      <c r="BP50" s="123"/>
    </row>
    <row r="51" spans="1:68" ht="20.100000000000001" customHeight="1">
      <c r="A51" s="19" t="s">
        <v>88</v>
      </c>
      <c r="B51" s="144" t="s">
        <v>89</v>
      </c>
      <c r="C51" s="5" t="s">
        <v>90</v>
      </c>
      <c r="D51" s="5"/>
      <c r="E51" s="5">
        <f t="shared" si="4"/>
        <v>0</v>
      </c>
      <c r="F51" s="5">
        <f t="shared" si="21"/>
        <v>0</v>
      </c>
      <c r="G51" s="5">
        <f t="shared" si="8"/>
        <v>0</v>
      </c>
      <c r="H51" s="5">
        <f t="shared" si="12"/>
        <v>0</v>
      </c>
      <c r="I51" s="5"/>
      <c r="J51" s="5"/>
      <c r="K51" s="5"/>
      <c r="L51" s="5"/>
      <c r="M51" s="5"/>
      <c r="N51" s="5"/>
      <c r="O51" s="5"/>
      <c r="P51" s="5"/>
      <c r="Q51" s="5"/>
      <c r="R51" s="5"/>
      <c r="S51" s="5"/>
      <c r="T51" s="5"/>
      <c r="U51" s="5"/>
      <c r="V51" s="5">
        <f t="shared" si="13"/>
        <v>0</v>
      </c>
      <c r="W51" s="5"/>
      <c r="X51" s="5"/>
      <c r="Y51" s="5"/>
      <c r="Z51" s="5"/>
      <c r="AA51" s="5"/>
      <c r="AB51" s="5"/>
      <c r="AC51" s="5"/>
      <c r="AD51" s="5"/>
      <c r="AE51" s="5">
        <f t="shared" si="27"/>
        <v>0</v>
      </c>
      <c r="AF51" s="5"/>
      <c r="AG51" s="5"/>
      <c r="AH51" s="5"/>
      <c r="AI51" s="5"/>
      <c r="AJ51" s="5"/>
      <c r="AK51" s="5"/>
      <c r="AL51" s="5"/>
      <c r="AM51" s="5"/>
      <c r="AN51" s="5"/>
      <c r="AO51" s="5"/>
      <c r="AP51" s="5"/>
      <c r="AQ51" s="5"/>
      <c r="AR51" s="5"/>
      <c r="AS51" s="5"/>
      <c r="AT51" s="5"/>
      <c r="AU51" s="5"/>
      <c r="AV51" s="5">
        <f>D51-BL51</f>
        <v>0</v>
      </c>
      <c r="AW51" s="5"/>
      <c r="AX51" s="5"/>
      <c r="AY51" s="5"/>
      <c r="AZ51" s="5"/>
      <c r="BA51" s="5"/>
      <c r="BB51" s="5"/>
      <c r="BC51" s="5"/>
      <c r="BD51" s="5"/>
      <c r="BE51" s="5"/>
      <c r="BF51" s="5"/>
      <c r="BG51" s="5"/>
      <c r="BH51" s="5">
        <f t="shared" si="22"/>
        <v>0</v>
      </c>
      <c r="BI51" s="5"/>
      <c r="BJ51" s="5"/>
      <c r="BK51" s="5"/>
      <c r="BL51" s="5">
        <f>E51+W51+X51+Y51+Z51+AA51+AB51+AC51+AD51+AE51+AQ51+AR51+AS51+AT51+AU51+AW51+AX51+AY51+AZ51+BA51+BB51+BC51+BD51+BE51+BF51+BG51+BH51</f>
        <v>0</v>
      </c>
      <c r="BM51" s="5">
        <f>AV67-BL51</f>
        <v>0</v>
      </c>
      <c r="BN51" s="5">
        <f t="shared" si="29"/>
        <v>0</v>
      </c>
      <c r="BP51" s="123"/>
    </row>
    <row r="52" spans="1:68" ht="20.100000000000001" customHeight="1">
      <c r="A52" s="19" t="s">
        <v>91</v>
      </c>
      <c r="B52" s="144" t="s">
        <v>489</v>
      </c>
      <c r="C52" s="5" t="s">
        <v>93</v>
      </c>
      <c r="D52" s="5"/>
      <c r="E52" s="5">
        <f t="shared" si="4"/>
        <v>0</v>
      </c>
      <c r="F52" s="5">
        <f t="shared" si="21"/>
        <v>0</v>
      </c>
      <c r="G52" s="5">
        <f t="shared" si="8"/>
        <v>0</v>
      </c>
      <c r="H52" s="5">
        <f t="shared" si="12"/>
        <v>0</v>
      </c>
      <c r="I52" s="5"/>
      <c r="J52" s="5"/>
      <c r="K52" s="5"/>
      <c r="L52" s="5"/>
      <c r="M52" s="5"/>
      <c r="N52" s="5"/>
      <c r="O52" s="5"/>
      <c r="P52" s="5"/>
      <c r="Q52" s="5"/>
      <c r="R52" s="5"/>
      <c r="S52" s="5"/>
      <c r="T52" s="5"/>
      <c r="U52" s="5"/>
      <c r="V52" s="5">
        <f t="shared" si="13"/>
        <v>0</v>
      </c>
      <c r="W52" s="5"/>
      <c r="X52" s="5"/>
      <c r="Y52" s="5"/>
      <c r="Z52" s="5"/>
      <c r="AA52" s="5"/>
      <c r="AB52" s="5"/>
      <c r="AC52" s="5"/>
      <c r="AD52" s="5"/>
      <c r="AE52" s="5">
        <f t="shared" si="27"/>
        <v>0</v>
      </c>
      <c r="AF52" s="5"/>
      <c r="AG52" s="5"/>
      <c r="AH52" s="5"/>
      <c r="AI52" s="5"/>
      <c r="AJ52" s="5"/>
      <c r="AK52" s="5"/>
      <c r="AL52" s="5"/>
      <c r="AM52" s="5"/>
      <c r="AN52" s="5"/>
      <c r="AO52" s="5"/>
      <c r="AP52" s="5"/>
      <c r="AQ52" s="5"/>
      <c r="AR52" s="5"/>
      <c r="AS52" s="5"/>
      <c r="AT52" s="5"/>
      <c r="AU52" s="5"/>
      <c r="AV52" s="5"/>
      <c r="AW52" s="5">
        <f>D52-BL52</f>
        <v>0</v>
      </c>
      <c r="AX52" s="5"/>
      <c r="AY52" s="5"/>
      <c r="AZ52" s="5"/>
      <c r="BA52" s="5"/>
      <c r="BB52" s="5"/>
      <c r="BC52" s="5"/>
      <c r="BD52" s="5"/>
      <c r="BE52" s="5"/>
      <c r="BF52" s="5"/>
      <c r="BG52" s="5"/>
      <c r="BH52" s="5">
        <f t="shared" si="22"/>
        <v>0</v>
      </c>
      <c r="BI52" s="5"/>
      <c r="BJ52" s="5"/>
      <c r="BK52" s="5"/>
      <c r="BL52" s="5">
        <f>E52+W52+X52+Y52+Z52+AA52+AB52+AC52+AD52+AE52+AQ52+AR52+AS52+AT52+AU52+AV52+AX52+AY52+AZ52+BA52+BB52+BC52+BD52+BE52+BF52+BG52+BH52</f>
        <v>0</v>
      </c>
      <c r="BM52" s="5">
        <f>AW67-BL52</f>
        <v>0</v>
      </c>
      <c r="BN52" s="5">
        <f t="shared" si="29"/>
        <v>0</v>
      </c>
      <c r="BP52" s="123"/>
    </row>
    <row r="53" spans="1:68" ht="20.100000000000001" customHeight="1">
      <c r="A53" s="19" t="s">
        <v>94</v>
      </c>
      <c r="B53" s="144" t="s">
        <v>95</v>
      </c>
      <c r="C53" s="5" t="s">
        <v>96</v>
      </c>
      <c r="D53" s="5"/>
      <c r="E53" s="5">
        <f t="shared" si="4"/>
        <v>0</v>
      </c>
      <c r="F53" s="5">
        <f t="shared" si="21"/>
        <v>0</v>
      </c>
      <c r="G53" s="5">
        <f t="shared" si="8"/>
        <v>0</v>
      </c>
      <c r="H53" s="5">
        <f t="shared" si="12"/>
        <v>0</v>
      </c>
      <c r="I53" s="5"/>
      <c r="J53" s="5"/>
      <c r="K53" s="5"/>
      <c r="L53" s="5"/>
      <c r="M53" s="5"/>
      <c r="N53" s="5"/>
      <c r="O53" s="5"/>
      <c r="P53" s="5"/>
      <c r="Q53" s="5"/>
      <c r="R53" s="5"/>
      <c r="S53" s="5"/>
      <c r="T53" s="5"/>
      <c r="U53" s="5"/>
      <c r="V53" s="5">
        <f t="shared" si="13"/>
        <v>0</v>
      </c>
      <c r="W53" s="5"/>
      <c r="X53" s="5"/>
      <c r="Y53" s="5"/>
      <c r="Z53" s="5"/>
      <c r="AA53" s="5"/>
      <c r="AB53" s="5"/>
      <c r="AC53" s="5"/>
      <c r="AD53" s="5"/>
      <c r="AE53" s="5">
        <f t="shared" si="27"/>
        <v>0</v>
      </c>
      <c r="AF53" s="5"/>
      <c r="AG53" s="5"/>
      <c r="AH53" s="5"/>
      <c r="AI53" s="5"/>
      <c r="AJ53" s="5"/>
      <c r="AK53" s="5"/>
      <c r="AL53" s="5"/>
      <c r="AM53" s="5"/>
      <c r="AN53" s="5"/>
      <c r="AO53" s="5"/>
      <c r="AP53" s="5"/>
      <c r="AQ53" s="5"/>
      <c r="AR53" s="5"/>
      <c r="AS53" s="5"/>
      <c r="AT53" s="5"/>
      <c r="AU53" s="5"/>
      <c r="AV53" s="5"/>
      <c r="AW53" s="5"/>
      <c r="AX53" s="5">
        <f>D53-BL53</f>
        <v>0</v>
      </c>
      <c r="AY53" s="5"/>
      <c r="AZ53" s="5"/>
      <c r="BA53" s="5"/>
      <c r="BB53" s="5"/>
      <c r="BC53" s="5"/>
      <c r="BD53" s="5"/>
      <c r="BE53" s="5"/>
      <c r="BF53" s="5"/>
      <c r="BG53" s="5"/>
      <c r="BH53" s="5">
        <f t="shared" si="22"/>
        <v>0</v>
      </c>
      <c r="BI53" s="5"/>
      <c r="BJ53" s="5"/>
      <c r="BK53" s="5"/>
      <c r="BL53" s="5">
        <f>E53+W53+X53+Y53+Z53+AA53+AB53+AC53+AD53+AE53+AQ53+AR53+AS53+AT53+AU53+AV53+AW53+AY53+AZ53+BA53+BB53+BC53+BD53+BE53+BF53+BG53+BH53</f>
        <v>0</v>
      </c>
      <c r="BM53" s="5">
        <f>AX67-BL53</f>
        <v>0</v>
      </c>
      <c r="BN53" s="5">
        <f t="shared" si="29"/>
        <v>0</v>
      </c>
      <c r="BP53" s="123"/>
    </row>
    <row r="54" spans="1:68" ht="20.100000000000001" customHeight="1">
      <c r="A54" s="19" t="s">
        <v>97</v>
      </c>
      <c r="B54" s="144" t="s">
        <v>98</v>
      </c>
      <c r="C54" s="5" t="s">
        <v>99</v>
      </c>
      <c r="D54" s="5"/>
      <c r="E54" s="5">
        <f t="shared" si="4"/>
        <v>0</v>
      </c>
      <c r="F54" s="5">
        <f t="shared" si="21"/>
        <v>0</v>
      </c>
      <c r="G54" s="5">
        <f t="shared" si="8"/>
        <v>0</v>
      </c>
      <c r="H54" s="5">
        <f t="shared" si="12"/>
        <v>0</v>
      </c>
      <c r="I54" s="5"/>
      <c r="J54" s="5"/>
      <c r="K54" s="5"/>
      <c r="L54" s="5"/>
      <c r="M54" s="5"/>
      <c r="N54" s="5"/>
      <c r="O54" s="5"/>
      <c r="P54" s="5"/>
      <c r="Q54" s="5"/>
      <c r="R54" s="5"/>
      <c r="S54" s="5"/>
      <c r="T54" s="5"/>
      <c r="U54" s="5"/>
      <c r="V54" s="5">
        <f t="shared" si="13"/>
        <v>0</v>
      </c>
      <c r="W54" s="5"/>
      <c r="X54" s="5"/>
      <c r="Y54" s="5"/>
      <c r="Z54" s="5"/>
      <c r="AA54" s="5"/>
      <c r="AB54" s="5"/>
      <c r="AC54" s="5"/>
      <c r="AD54" s="5"/>
      <c r="AE54" s="5">
        <f t="shared" si="27"/>
        <v>0</v>
      </c>
      <c r="AF54" s="5"/>
      <c r="AG54" s="5"/>
      <c r="AH54" s="5"/>
      <c r="AI54" s="5"/>
      <c r="AJ54" s="5"/>
      <c r="AK54" s="5"/>
      <c r="AL54" s="5"/>
      <c r="AM54" s="5"/>
      <c r="AN54" s="5"/>
      <c r="AO54" s="5"/>
      <c r="AP54" s="5"/>
      <c r="AQ54" s="5"/>
      <c r="AR54" s="5"/>
      <c r="AS54" s="5"/>
      <c r="AT54" s="5"/>
      <c r="AU54" s="5"/>
      <c r="AV54" s="5"/>
      <c r="AW54" s="5"/>
      <c r="AX54" s="5"/>
      <c r="AY54" s="5">
        <f>D54-BL54</f>
        <v>0</v>
      </c>
      <c r="AZ54" s="5"/>
      <c r="BA54" s="5"/>
      <c r="BB54" s="5"/>
      <c r="BC54" s="5"/>
      <c r="BD54" s="5"/>
      <c r="BE54" s="5"/>
      <c r="BF54" s="5"/>
      <c r="BG54" s="5"/>
      <c r="BH54" s="5">
        <f t="shared" si="22"/>
        <v>0</v>
      </c>
      <c r="BI54" s="5"/>
      <c r="BJ54" s="5"/>
      <c r="BK54" s="5"/>
      <c r="BL54" s="5">
        <f>E54+W54+X54+Y54+Z54+AA54+AB54+AC54+AD54+AE54+AQ54+AR54+AS54+AT54+AU54+AV54+AW54+AX54+AZ54+BA54+BB54+BC54+BD54+BE54+BF54+BG54+BH54</f>
        <v>0</v>
      </c>
      <c r="BM54" s="5">
        <f>AY67-BL54</f>
        <v>0</v>
      </c>
      <c r="BN54" s="5">
        <f t="shared" si="29"/>
        <v>0</v>
      </c>
      <c r="BP54" s="123"/>
    </row>
    <row r="55" spans="1:68" ht="20.100000000000001" customHeight="1">
      <c r="A55" s="19" t="s">
        <v>100</v>
      </c>
      <c r="B55" s="144" t="s">
        <v>490</v>
      </c>
      <c r="C55" s="5" t="s">
        <v>101</v>
      </c>
      <c r="D55" s="5"/>
      <c r="E55" s="5">
        <f t="shared" si="4"/>
        <v>0</v>
      </c>
      <c r="F55" s="5">
        <f t="shared" si="21"/>
        <v>0</v>
      </c>
      <c r="G55" s="5">
        <f t="shared" si="8"/>
        <v>0</v>
      </c>
      <c r="H55" s="5">
        <f t="shared" si="12"/>
        <v>0</v>
      </c>
      <c r="I55" s="5"/>
      <c r="J55" s="5"/>
      <c r="K55" s="5"/>
      <c r="L55" s="5"/>
      <c r="M55" s="5"/>
      <c r="N55" s="5"/>
      <c r="O55" s="5"/>
      <c r="P55" s="5"/>
      <c r="Q55" s="5"/>
      <c r="R55" s="5"/>
      <c r="S55" s="5"/>
      <c r="T55" s="5"/>
      <c r="U55" s="5"/>
      <c r="V55" s="5">
        <f t="shared" si="13"/>
        <v>0</v>
      </c>
      <c r="W55" s="5"/>
      <c r="X55" s="5"/>
      <c r="Y55" s="5"/>
      <c r="Z55" s="5"/>
      <c r="AA55" s="5"/>
      <c r="AB55" s="5"/>
      <c r="AC55" s="5"/>
      <c r="AD55" s="5"/>
      <c r="AE55" s="5">
        <f t="shared" si="27"/>
        <v>0</v>
      </c>
      <c r="AF55" s="5"/>
      <c r="AG55" s="5"/>
      <c r="AH55" s="5"/>
      <c r="AI55" s="5"/>
      <c r="AJ55" s="5"/>
      <c r="AK55" s="5"/>
      <c r="AL55" s="5"/>
      <c r="AM55" s="5"/>
      <c r="AN55" s="5"/>
      <c r="AO55" s="5"/>
      <c r="AP55" s="5"/>
      <c r="AQ55" s="5"/>
      <c r="AR55" s="5"/>
      <c r="AS55" s="5"/>
      <c r="AT55" s="5"/>
      <c r="AU55" s="5"/>
      <c r="AV55" s="5"/>
      <c r="AW55" s="5"/>
      <c r="AX55" s="5"/>
      <c r="AY55" s="5"/>
      <c r="AZ55" s="5">
        <f>D55-BL55</f>
        <v>0</v>
      </c>
      <c r="BA55" s="5"/>
      <c r="BB55" s="5"/>
      <c r="BC55" s="5"/>
      <c r="BD55" s="5"/>
      <c r="BE55" s="5"/>
      <c r="BF55" s="5"/>
      <c r="BG55" s="5"/>
      <c r="BH55" s="5">
        <f t="shared" si="22"/>
        <v>0</v>
      </c>
      <c r="BI55" s="5"/>
      <c r="BJ55" s="5"/>
      <c r="BK55" s="5"/>
      <c r="BL55" s="5">
        <f>E55+W55+X55+Y55+Z55+AA55+AB55+AC55+AD55+AE55+AQ55+AR55+AS55+AT55+AU55+AV55+AW55+AX55+AY55+BA55+BB55+BC55+BD55+BE55+BF55+BG55+BH55</f>
        <v>0</v>
      </c>
      <c r="BM55" s="5">
        <f>AZ67-BL55</f>
        <v>0</v>
      </c>
      <c r="BN55" s="5">
        <f t="shared" si="29"/>
        <v>0</v>
      </c>
      <c r="BP55" s="123"/>
    </row>
    <row r="56" spans="1:68" ht="20.100000000000001" customHeight="1">
      <c r="A56" s="19" t="s">
        <v>102</v>
      </c>
      <c r="B56" s="144" t="s">
        <v>103</v>
      </c>
      <c r="C56" s="5" t="s">
        <v>104</v>
      </c>
      <c r="D56" s="5"/>
      <c r="E56" s="5">
        <f t="shared" si="4"/>
        <v>0</v>
      </c>
      <c r="F56" s="5">
        <f t="shared" si="21"/>
        <v>0</v>
      </c>
      <c r="G56" s="5">
        <f t="shared" si="8"/>
        <v>0</v>
      </c>
      <c r="H56" s="5">
        <f t="shared" si="12"/>
        <v>0</v>
      </c>
      <c r="I56" s="5"/>
      <c r="J56" s="5"/>
      <c r="K56" s="5"/>
      <c r="L56" s="5"/>
      <c r="M56" s="5"/>
      <c r="N56" s="5"/>
      <c r="O56" s="5"/>
      <c r="P56" s="5"/>
      <c r="Q56" s="5"/>
      <c r="R56" s="5"/>
      <c r="S56" s="5"/>
      <c r="T56" s="5"/>
      <c r="U56" s="5"/>
      <c r="V56" s="5">
        <f t="shared" si="13"/>
        <v>0</v>
      </c>
      <c r="W56" s="5"/>
      <c r="X56" s="5"/>
      <c r="Y56" s="5"/>
      <c r="Z56" s="5"/>
      <c r="AA56" s="5"/>
      <c r="AB56" s="5"/>
      <c r="AC56" s="5"/>
      <c r="AD56" s="5"/>
      <c r="AE56" s="5">
        <f t="shared" si="27"/>
        <v>0</v>
      </c>
      <c r="AF56" s="5"/>
      <c r="AG56" s="5"/>
      <c r="AH56" s="5"/>
      <c r="AI56" s="5"/>
      <c r="AJ56" s="5"/>
      <c r="AK56" s="5"/>
      <c r="AL56" s="5"/>
      <c r="AM56" s="5"/>
      <c r="AN56" s="5"/>
      <c r="AO56" s="5"/>
      <c r="AP56" s="5"/>
      <c r="AQ56" s="5"/>
      <c r="AR56" s="5"/>
      <c r="AS56" s="5"/>
      <c r="AT56" s="5"/>
      <c r="AU56" s="5"/>
      <c r="AV56" s="5"/>
      <c r="AW56" s="5"/>
      <c r="AX56" s="5"/>
      <c r="AY56" s="5"/>
      <c r="AZ56" s="5"/>
      <c r="BA56" s="5">
        <f>D56-BL56</f>
        <v>0</v>
      </c>
      <c r="BB56" s="5"/>
      <c r="BC56" s="5"/>
      <c r="BD56" s="5"/>
      <c r="BE56" s="5"/>
      <c r="BF56" s="5"/>
      <c r="BG56" s="5"/>
      <c r="BH56" s="5">
        <f t="shared" si="22"/>
        <v>0</v>
      </c>
      <c r="BI56" s="5"/>
      <c r="BJ56" s="5"/>
      <c r="BK56" s="5"/>
      <c r="BL56" s="5">
        <f>E56+W56+X56+Y56+Z56+AA56+AB56+AC56+AD56+AE56+AQ56+AR56+AS56+AT56+AU56+AV56+AW56+AX56+AY56+AZ56+BB56+BC56+BD56+BE56+BF56+BG56+BH56</f>
        <v>0</v>
      </c>
      <c r="BM56" s="5">
        <f>BA67-BL56</f>
        <v>0</v>
      </c>
      <c r="BN56" s="5">
        <f t="shared" si="29"/>
        <v>0</v>
      </c>
      <c r="BP56" s="123"/>
    </row>
    <row r="57" spans="1:68" ht="20.100000000000001" customHeight="1">
      <c r="A57" s="19" t="s">
        <v>105</v>
      </c>
      <c r="B57" s="144" t="s">
        <v>106</v>
      </c>
      <c r="C57" s="5" t="s">
        <v>107</v>
      </c>
      <c r="D57" s="5"/>
      <c r="E57" s="5">
        <f t="shared" si="4"/>
        <v>0</v>
      </c>
      <c r="F57" s="5">
        <f t="shared" si="21"/>
        <v>0</v>
      </c>
      <c r="G57" s="5">
        <f t="shared" si="8"/>
        <v>0</v>
      </c>
      <c r="H57" s="5">
        <f t="shared" si="12"/>
        <v>0</v>
      </c>
      <c r="I57" s="5"/>
      <c r="J57" s="5"/>
      <c r="K57" s="5"/>
      <c r="L57" s="5"/>
      <c r="M57" s="5"/>
      <c r="N57" s="5"/>
      <c r="O57" s="5"/>
      <c r="P57" s="5"/>
      <c r="Q57" s="5"/>
      <c r="R57" s="5"/>
      <c r="S57" s="5"/>
      <c r="T57" s="5"/>
      <c r="U57" s="5"/>
      <c r="V57" s="5">
        <f t="shared" si="13"/>
        <v>0</v>
      </c>
      <c r="W57" s="5"/>
      <c r="X57" s="5"/>
      <c r="Y57" s="5"/>
      <c r="Z57" s="5"/>
      <c r="AA57" s="5"/>
      <c r="AB57" s="5"/>
      <c r="AC57" s="5"/>
      <c r="AD57" s="5"/>
      <c r="AE57" s="5">
        <f>SUM(AF57:AP57)</f>
        <v>0</v>
      </c>
      <c r="AF57" s="5"/>
      <c r="AG57" s="5"/>
      <c r="AH57" s="5"/>
      <c r="AI57" s="5"/>
      <c r="AJ57" s="5"/>
      <c r="AK57" s="5"/>
      <c r="AL57" s="5"/>
      <c r="AM57" s="5"/>
      <c r="AN57" s="5"/>
      <c r="AO57" s="5"/>
      <c r="AP57" s="5"/>
      <c r="AQ57" s="5"/>
      <c r="AR57" s="5"/>
      <c r="AS57" s="5"/>
      <c r="AT57" s="5"/>
      <c r="AU57" s="5"/>
      <c r="AV57" s="5"/>
      <c r="AW57" s="5"/>
      <c r="AX57" s="5"/>
      <c r="AY57" s="5"/>
      <c r="AZ57" s="5"/>
      <c r="BA57" s="5"/>
      <c r="BB57" s="5">
        <f>D57-BL57</f>
        <v>0</v>
      </c>
      <c r="BC57" s="5"/>
      <c r="BD57" s="5"/>
      <c r="BE57" s="5"/>
      <c r="BF57" s="5"/>
      <c r="BG57" s="5"/>
      <c r="BH57" s="5">
        <f t="shared" si="22"/>
        <v>0</v>
      </c>
      <c r="BI57" s="5"/>
      <c r="BJ57" s="5"/>
      <c r="BK57" s="5"/>
      <c r="BL57" s="5">
        <f>E57+W57+X57+Y57+Z57+AA57+AB57+AC57+AD57+AE57+AQ57+AR57+AS57+AT57+AU57+AV57+AW57+AX57+AY57+AZ57+BA57+BC57+BD57+BE57+BF57+BG57+BH57</f>
        <v>0</v>
      </c>
      <c r="BM57" s="5">
        <f>BB67-BL57</f>
        <v>0</v>
      </c>
      <c r="BN57" s="5">
        <f t="shared" si="29"/>
        <v>0</v>
      </c>
      <c r="BP57" s="123"/>
    </row>
    <row r="58" spans="1:68" ht="20.100000000000001" customHeight="1">
      <c r="A58" s="19" t="s">
        <v>108</v>
      </c>
      <c r="B58" s="144" t="s">
        <v>491</v>
      </c>
      <c r="C58" s="5" t="s">
        <v>110</v>
      </c>
      <c r="D58" s="5"/>
      <c r="E58" s="5">
        <f t="shared" si="4"/>
        <v>0</v>
      </c>
      <c r="F58" s="5">
        <f t="shared" si="21"/>
        <v>0</v>
      </c>
      <c r="G58" s="5">
        <f t="shared" si="8"/>
        <v>0</v>
      </c>
      <c r="H58" s="5">
        <f t="shared" si="12"/>
        <v>0</v>
      </c>
      <c r="I58" s="5"/>
      <c r="J58" s="5"/>
      <c r="K58" s="5"/>
      <c r="L58" s="5"/>
      <c r="M58" s="5"/>
      <c r="N58" s="5"/>
      <c r="O58" s="5"/>
      <c r="P58" s="5"/>
      <c r="Q58" s="5"/>
      <c r="R58" s="5"/>
      <c r="S58" s="5"/>
      <c r="T58" s="5"/>
      <c r="U58" s="5"/>
      <c r="V58" s="5">
        <f t="shared" si="13"/>
        <v>0</v>
      </c>
      <c r="W58" s="5"/>
      <c r="X58" s="5"/>
      <c r="Y58" s="5"/>
      <c r="Z58" s="5"/>
      <c r="AA58" s="5"/>
      <c r="AB58" s="5"/>
      <c r="AC58" s="5"/>
      <c r="AD58" s="5"/>
      <c r="AE58" s="5">
        <f t="shared" si="27"/>
        <v>0</v>
      </c>
      <c r="AF58" s="5"/>
      <c r="AG58" s="5"/>
      <c r="AH58" s="5"/>
      <c r="AI58" s="5"/>
      <c r="AJ58" s="5"/>
      <c r="AK58" s="5"/>
      <c r="AL58" s="5"/>
      <c r="AM58" s="5"/>
      <c r="AN58" s="5"/>
      <c r="AO58" s="5"/>
      <c r="AP58" s="5"/>
      <c r="AQ58" s="5"/>
      <c r="AR58" s="5"/>
      <c r="AS58" s="5"/>
      <c r="AT58" s="5"/>
      <c r="AU58" s="5"/>
      <c r="AV58" s="5"/>
      <c r="AW58" s="5"/>
      <c r="AX58" s="5"/>
      <c r="AY58" s="5"/>
      <c r="AZ58" s="5"/>
      <c r="BA58" s="5"/>
      <c r="BB58" s="5"/>
      <c r="BC58" s="5">
        <f>D58-BL58</f>
        <v>0</v>
      </c>
      <c r="BD58" s="5"/>
      <c r="BE58" s="5"/>
      <c r="BF58" s="5"/>
      <c r="BG58" s="5"/>
      <c r="BH58" s="5">
        <f t="shared" si="22"/>
        <v>0</v>
      </c>
      <c r="BI58" s="5"/>
      <c r="BJ58" s="5"/>
      <c r="BK58" s="5"/>
      <c r="BL58" s="5">
        <f>E58+W58+X58+Y58+Z58+AA58+AB58+AC58+AD58+AE58+AQ58+AR58+AS58+AT58+AU58+AV58+AW58+AX58+AY58+AZ58+BA58+BB58+BD58+BE58+BF58+BG58+BH58</f>
        <v>0</v>
      </c>
      <c r="BM58" s="5">
        <f>BC67-BL58</f>
        <v>0</v>
      </c>
      <c r="BN58" s="5">
        <f t="shared" si="29"/>
        <v>0</v>
      </c>
      <c r="BP58" s="123"/>
    </row>
    <row r="59" spans="1:68" ht="20.100000000000001" customHeight="1">
      <c r="A59" s="19" t="s">
        <v>111</v>
      </c>
      <c r="B59" s="144" t="s">
        <v>112</v>
      </c>
      <c r="C59" s="5" t="s">
        <v>113</v>
      </c>
      <c r="D59" s="5"/>
      <c r="E59" s="5">
        <f t="shared" si="4"/>
        <v>0</v>
      </c>
      <c r="F59" s="5">
        <f t="shared" si="21"/>
        <v>0</v>
      </c>
      <c r="G59" s="5">
        <f t="shared" si="8"/>
        <v>0</v>
      </c>
      <c r="H59" s="5">
        <f t="shared" si="12"/>
        <v>0</v>
      </c>
      <c r="I59" s="5"/>
      <c r="J59" s="5"/>
      <c r="K59" s="5"/>
      <c r="L59" s="5"/>
      <c r="M59" s="5"/>
      <c r="N59" s="5"/>
      <c r="O59" s="5"/>
      <c r="P59" s="5"/>
      <c r="Q59" s="5"/>
      <c r="R59" s="5"/>
      <c r="S59" s="5"/>
      <c r="T59" s="5"/>
      <c r="U59" s="5"/>
      <c r="V59" s="5">
        <f t="shared" si="13"/>
        <v>0</v>
      </c>
      <c r="W59" s="5"/>
      <c r="X59" s="5"/>
      <c r="Y59" s="5"/>
      <c r="Z59" s="5"/>
      <c r="AA59" s="5"/>
      <c r="AB59" s="5"/>
      <c r="AC59" s="5"/>
      <c r="AD59" s="5"/>
      <c r="AE59" s="5">
        <f t="shared" si="27"/>
        <v>0</v>
      </c>
      <c r="AF59" s="5"/>
      <c r="AG59" s="5"/>
      <c r="AH59" s="5"/>
      <c r="AI59" s="5"/>
      <c r="AJ59" s="5"/>
      <c r="AK59" s="5"/>
      <c r="AL59" s="5"/>
      <c r="AM59" s="5"/>
      <c r="AN59" s="5"/>
      <c r="AO59" s="5"/>
      <c r="AP59" s="5"/>
      <c r="AQ59" s="5"/>
      <c r="AR59" s="5"/>
      <c r="AS59" s="5"/>
      <c r="AT59" s="5"/>
      <c r="AU59" s="5"/>
      <c r="AV59" s="5"/>
      <c r="AW59" s="5"/>
      <c r="AX59" s="5"/>
      <c r="AY59" s="5"/>
      <c r="AZ59" s="5"/>
      <c r="BA59" s="5"/>
      <c r="BB59" s="5"/>
      <c r="BC59" s="5"/>
      <c r="BD59" s="5">
        <f>D59-BL59</f>
        <v>0</v>
      </c>
      <c r="BE59" s="5"/>
      <c r="BF59" s="5"/>
      <c r="BG59" s="5"/>
      <c r="BH59" s="5">
        <f t="shared" si="22"/>
        <v>0</v>
      </c>
      <c r="BI59" s="5"/>
      <c r="BJ59" s="5"/>
      <c r="BK59" s="5"/>
      <c r="BL59" s="5">
        <f>E59+W59+X59+Y59+Z59+AA59+AB59+AC59+AD59+AE59+AQ59+AR59+AS59+AT59+AU59+AV59+AW59+AX59+AY59+AZ59+BA59+BB59+BC59+BE59+BF59+BG59+BH59</f>
        <v>0</v>
      </c>
      <c r="BM59" s="5">
        <f>BD67-BL59</f>
        <v>0</v>
      </c>
      <c r="BN59" s="5">
        <f t="shared" si="29"/>
        <v>0</v>
      </c>
      <c r="BP59" s="123"/>
    </row>
    <row r="60" spans="1:68" ht="20.100000000000001" customHeight="1">
      <c r="A60" s="19" t="s">
        <v>114</v>
      </c>
      <c r="B60" s="144" t="s">
        <v>115</v>
      </c>
      <c r="C60" s="5" t="s">
        <v>116</v>
      </c>
      <c r="D60" s="5"/>
      <c r="E60" s="5">
        <f t="shared" si="4"/>
        <v>0</v>
      </c>
      <c r="F60" s="5">
        <f t="shared" si="21"/>
        <v>0</v>
      </c>
      <c r="G60" s="5">
        <f t="shared" si="8"/>
        <v>0</v>
      </c>
      <c r="H60" s="5">
        <f t="shared" si="12"/>
        <v>0</v>
      </c>
      <c r="I60" s="5"/>
      <c r="J60" s="5"/>
      <c r="K60" s="5"/>
      <c r="L60" s="5"/>
      <c r="M60" s="5"/>
      <c r="N60" s="5"/>
      <c r="O60" s="5"/>
      <c r="P60" s="5"/>
      <c r="Q60" s="5"/>
      <c r="R60" s="5"/>
      <c r="S60" s="5"/>
      <c r="T60" s="5"/>
      <c r="U60" s="5"/>
      <c r="V60" s="5">
        <f t="shared" si="13"/>
        <v>0</v>
      </c>
      <c r="W60" s="5"/>
      <c r="X60" s="5"/>
      <c r="Y60" s="5"/>
      <c r="Z60" s="5"/>
      <c r="AA60" s="5"/>
      <c r="AB60" s="5"/>
      <c r="AC60" s="5"/>
      <c r="AD60" s="5"/>
      <c r="AE60" s="5">
        <f t="shared" si="27"/>
        <v>0</v>
      </c>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f>D60-BL60</f>
        <v>0</v>
      </c>
      <c r="BF60" s="5"/>
      <c r="BG60" s="5"/>
      <c r="BH60" s="5">
        <f t="shared" si="22"/>
        <v>0</v>
      </c>
      <c r="BI60" s="5"/>
      <c r="BJ60" s="5"/>
      <c r="BK60" s="5"/>
      <c r="BL60" s="5">
        <f>E60+W60+X60+Y60+Z60+AA60+AB60+AC60+AD60+AE60+AQ60+AR60+AS60+AT60+AU60+AV60+AW60+AX60+AY60+AZ60+BA60+BB60+BC60+BD60+BF60+BG60+BH60</f>
        <v>0</v>
      </c>
      <c r="BM60" s="5">
        <f>BE67-BL60</f>
        <v>0</v>
      </c>
      <c r="BN60" s="5">
        <f t="shared" si="29"/>
        <v>0</v>
      </c>
      <c r="BP60" s="123"/>
    </row>
    <row r="61" spans="1:68" ht="20.100000000000001" customHeight="1">
      <c r="A61" s="19" t="s">
        <v>117</v>
      </c>
      <c r="B61" s="144" t="s">
        <v>118</v>
      </c>
      <c r="C61" s="5" t="s">
        <v>119</v>
      </c>
      <c r="D61" s="5"/>
      <c r="E61" s="5">
        <f t="shared" si="4"/>
        <v>0</v>
      </c>
      <c r="F61" s="5">
        <f t="shared" si="21"/>
        <v>0</v>
      </c>
      <c r="G61" s="5">
        <f t="shared" si="8"/>
        <v>0</v>
      </c>
      <c r="H61" s="5">
        <f t="shared" si="12"/>
        <v>0</v>
      </c>
      <c r="I61" s="5"/>
      <c r="J61" s="5"/>
      <c r="K61" s="5"/>
      <c r="L61" s="5"/>
      <c r="M61" s="5"/>
      <c r="N61" s="5"/>
      <c r="O61" s="5"/>
      <c r="P61" s="5"/>
      <c r="Q61" s="5"/>
      <c r="R61" s="5"/>
      <c r="S61" s="5"/>
      <c r="T61" s="5"/>
      <c r="U61" s="5"/>
      <c r="V61" s="5">
        <f t="shared" si="13"/>
        <v>0</v>
      </c>
      <c r="W61" s="5"/>
      <c r="X61" s="5"/>
      <c r="Y61" s="5"/>
      <c r="Z61" s="5"/>
      <c r="AA61" s="5"/>
      <c r="AB61" s="5"/>
      <c r="AC61" s="5"/>
      <c r="AD61" s="5"/>
      <c r="AE61" s="5">
        <f t="shared" si="27"/>
        <v>0</v>
      </c>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f>D61-BL61</f>
        <v>0</v>
      </c>
      <c r="BG61" s="5"/>
      <c r="BH61" s="5">
        <f t="shared" si="22"/>
        <v>0</v>
      </c>
      <c r="BI61" s="5"/>
      <c r="BJ61" s="5"/>
      <c r="BK61" s="5"/>
      <c r="BL61" s="5">
        <f>E61+W61+X61+Y61+Z61+AA61+AB61+AC61+AD61+AE61+AQ61+AR61+AS61+AT61+AU61+AV61+AW61+AX61+AY61+AZ61+BA61+BB61+BC61+BD61+BE61+BG61+BH61</f>
        <v>0</v>
      </c>
      <c r="BM61" s="5">
        <f>BF67-BL61</f>
        <v>0</v>
      </c>
      <c r="BN61" s="5">
        <f t="shared" si="29"/>
        <v>0</v>
      </c>
      <c r="BP61" s="123"/>
    </row>
    <row r="62" spans="1:68" ht="20.100000000000001" customHeight="1">
      <c r="A62" s="19" t="s">
        <v>120</v>
      </c>
      <c r="B62" s="144" t="s">
        <v>121</v>
      </c>
      <c r="C62" s="5" t="s">
        <v>122</v>
      </c>
      <c r="D62" s="5"/>
      <c r="E62" s="5">
        <f t="shared" si="4"/>
        <v>0</v>
      </c>
      <c r="F62" s="5">
        <f t="shared" si="21"/>
        <v>0</v>
      </c>
      <c r="G62" s="5">
        <f t="shared" si="8"/>
        <v>0</v>
      </c>
      <c r="H62" s="5">
        <f t="shared" si="12"/>
        <v>0</v>
      </c>
      <c r="I62" s="5"/>
      <c r="J62" s="5"/>
      <c r="K62" s="5"/>
      <c r="L62" s="5"/>
      <c r="M62" s="5"/>
      <c r="N62" s="5"/>
      <c r="O62" s="5"/>
      <c r="P62" s="5"/>
      <c r="Q62" s="5"/>
      <c r="R62" s="5"/>
      <c r="S62" s="5"/>
      <c r="T62" s="5"/>
      <c r="U62" s="5"/>
      <c r="V62" s="5">
        <f t="shared" si="13"/>
        <v>0</v>
      </c>
      <c r="W62" s="5"/>
      <c r="X62" s="5"/>
      <c r="Y62" s="5"/>
      <c r="Z62" s="5"/>
      <c r="AA62" s="5"/>
      <c r="AB62" s="5"/>
      <c r="AC62" s="5"/>
      <c r="AD62" s="5"/>
      <c r="AE62" s="5">
        <f t="shared" si="27"/>
        <v>0</v>
      </c>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f>D62-BL62</f>
        <v>0</v>
      </c>
      <c r="BH62" s="5">
        <f t="shared" si="22"/>
        <v>0</v>
      </c>
      <c r="BI62" s="5"/>
      <c r="BJ62" s="5"/>
      <c r="BK62" s="5"/>
      <c r="BL62" s="5">
        <f>E62+W62+X62+Y62+Z62+AA62+AB62+AC62+AD62+AE62+AQ62+AR62+AS62+AT62+AU62+AV62+AW62+AX62+AY62+AZ62+BA62+BB62+BC62+BD62+BE62+BF62+BH62</f>
        <v>0</v>
      </c>
      <c r="BM62" s="5">
        <f>BG67-BL62</f>
        <v>0</v>
      </c>
      <c r="BN62" s="5">
        <f t="shared" si="29"/>
        <v>0</v>
      </c>
      <c r="BP62" s="123"/>
    </row>
    <row r="63" spans="1:68" s="115" customFormat="1" ht="21.75" customHeight="1">
      <c r="A63" s="15">
        <v>3</v>
      </c>
      <c r="B63" s="142" t="s">
        <v>123</v>
      </c>
      <c r="C63" s="6" t="s">
        <v>124</v>
      </c>
      <c r="D63" s="6">
        <f>D64+D65+D66</f>
        <v>0</v>
      </c>
      <c r="E63" s="6">
        <f>E64+E65+E66</f>
        <v>0</v>
      </c>
      <c r="F63" s="6">
        <f t="shared" ref="F63:U63" si="30">F64+F65+F66</f>
        <v>0</v>
      </c>
      <c r="G63" s="6">
        <f t="shared" si="30"/>
        <v>0</v>
      </c>
      <c r="H63" s="6">
        <f t="shared" si="30"/>
        <v>0</v>
      </c>
      <c r="I63" s="6">
        <f t="shared" si="30"/>
        <v>0</v>
      </c>
      <c r="J63" s="6">
        <f t="shared" si="30"/>
        <v>0</v>
      </c>
      <c r="K63" s="6">
        <f t="shared" si="30"/>
        <v>0</v>
      </c>
      <c r="L63" s="6">
        <f t="shared" si="30"/>
        <v>0</v>
      </c>
      <c r="M63" s="6">
        <f t="shared" si="30"/>
        <v>0</v>
      </c>
      <c r="N63" s="6">
        <f t="shared" si="30"/>
        <v>0</v>
      </c>
      <c r="O63" s="6">
        <f t="shared" si="30"/>
        <v>0</v>
      </c>
      <c r="P63" s="6">
        <f t="shared" si="30"/>
        <v>0</v>
      </c>
      <c r="Q63" s="6">
        <f t="shared" si="30"/>
        <v>0</v>
      </c>
      <c r="R63" s="6">
        <f t="shared" si="30"/>
        <v>0</v>
      </c>
      <c r="S63" s="6">
        <f t="shared" si="30"/>
        <v>0</v>
      </c>
      <c r="T63" s="6">
        <f t="shared" si="30"/>
        <v>0</v>
      </c>
      <c r="U63" s="6">
        <f t="shared" si="30"/>
        <v>0</v>
      </c>
      <c r="V63" s="6">
        <f>V64+V65+V66</f>
        <v>0</v>
      </c>
      <c r="W63" s="6">
        <f t="shared" ref="W63:BG63" si="31">W64+W65+W66</f>
        <v>0</v>
      </c>
      <c r="X63" s="6">
        <f t="shared" si="31"/>
        <v>0</v>
      </c>
      <c r="Y63" s="6">
        <f t="shared" si="31"/>
        <v>0</v>
      </c>
      <c r="Z63" s="6">
        <f t="shared" si="31"/>
        <v>0</v>
      </c>
      <c r="AA63" s="6">
        <f t="shared" si="31"/>
        <v>0</v>
      </c>
      <c r="AB63" s="6">
        <f t="shared" si="31"/>
        <v>0</v>
      </c>
      <c r="AC63" s="6">
        <f t="shared" si="31"/>
        <v>0</v>
      </c>
      <c r="AD63" s="6">
        <f t="shared" si="31"/>
        <v>0</v>
      </c>
      <c r="AE63" s="6">
        <f t="shared" si="31"/>
        <v>0</v>
      </c>
      <c r="AF63" s="6">
        <f t="shared" si="31"/>
        <v>0</v>
      </c>
      <c r="AG63" s="6">
        <f t="shared" si="31"/>
        <v>0</v>
      </c>
      <c r="AH63" s="6">
        <f t="shared" si="31"/>
        <v>0</v>
      </c>
      <c r="AI63" s="6">
        <f t="shared" si="31"/>
        <v>0</v>
      </c>
      <c r="AJ63" s="6">
        <f t="shared" si="31"/>
        <v>0</v>
      </c>
      <c r="AK63" s="6">
        <f t="shared" si="31"/>
        <v>0</v>
      </c>
      <c r="AL63" s="6">
        <f t="shared" si="31"/>
        <v>0</v>
      </c>
      <c r="AM63" s="6">
        <f t="shared" si="31"/>
        <v>0</v>
      </c>
      <c r="AN63" s="6">
        <f t="shared" si="31"/>
        <v>0</v>
      </c>
      <c r="AO63" s="6">
        <f t="shared" si="31"/>
        <v>0</v>
      </c>
      <c r="AP63" s="6">
        <f t="shared" si="31"/>
        <v>0</v>
      </c>
      <c r="AQ63" s="6">
        <f t="shared" si="31"/>
        <v>0</v>
      </c>
      <c r="AR63" s="6">
        <f t="shared" si="31"/>
        <v>0</v>
      </c>
      <c r="AS63" s="6">
        <f t="shared" si="31"/>
        <v>0</v>
      </c>
      <c r="AT63" s="6">
        <f t="shared" si="31"/>
        <v>0</v>
      </c>
      <c r="AU63" s="6">
        <f t="shared" si="31"/>
        <v>0</v>
      </c>
      <c r="AV63" s="6">
        <f t="shared" si="31"/>
        <v>0</v>
      </c>
      <c r="AW63" s="6">
        <f t="shared" si="31"/>
        <v>0</v>
      </c>
      <c r="AX63" s="6">
        <f t="shared" si="31"/>
        <v>0</v>
      </c>
      <c r="AY63" s="6">
        <f t="shared" si="31"/>
        <v>0</v>
      </c>
      <c r="AZ63" s="6">
        <f t="shared" si="31"/>
        <v>0</v>
      </c>
      <c r="BA63" s="6">
        <f t="shared" si="31"/>
        <v>0</v>
      </c>
      <c r="BB63" s="6">
        <f t="shared" si="31"/>
        <v>0</v>
      </c>
      <c r="BC63" s="6">
        <f t="shared" si="31"/>
        <v>0</v>
      </c>
      <c r="BD63" s="6">
        <f t="shared" si="31"/>
        <v>0</v>
      </c>
      <c r="BE63" s="6">
        <f t="shared" si="31"/>
        <v>0</v>
      </c>
      <c r="BF63" s="6">
        <f t="shared" si="31"/>
        <v>0</v>
      </c>
      <c r="BG63" s="6">
        <f t="shared" si="31"/>
        <v>0</v>
      </c>
      <c r="BH63" s="6">
        <f>D63-BL63</f>
        <v>0</v>
      </c>
      <c r="BI63" s="6">
        <f t="shared" ref="BI63:BN63" si="32">BI64+BI65+BI66</f>
        <v>0</v>
      </c>
      <c r="BJ63" s="6">
        <f t="shared" si="32"/>
        <v>0</v>
      </c>
      <c r="BK63" s="6">
        <f t="shared" si="32"/>
        <v>0</v>
      </c>
      <c r="BL63" s="6">
        <f t="shared" si="32"/>
        <v>0</v>
      </c>
      <c r="BM63" s="6">
        <f t="shared" si="32"/>
        <v>0</v>
      </c>
      <c r="BN63" s="6">
        <f t="shared" si="32"/>
        <v>0</v>
      </c>
    </row>
    <row r="64" spans="1:68" ht="21.75" customHeight="1">
      <c r="A64" s="14" t="s">
        <v>220</v>
      </c>
      <c r="B64" s="143" t="s">
        <v>461</v>
      </c>
      <c r="C64" s="5" t="s">
        <v>209</v>
      </c>
      <c r="D64" s="5"/>
      <c r="E64" s="5">
        <f t="shared" si="4"/>
        <v>0</v>
      </c>
      <c r="F64" s="5">
        <f t="shared" si="21"/>
        <v>0</v>
      </c>
      <c r="G64" s="5">
        <f t="shared" si="8"/>
        <v>0</v>
      </c>
      <c r="H64" s="5">
        <f t="shared" si="12"/>
        <v>0</v>
      </c>
      <c r="I64" s="5"/>
      <c r="J64" s="5"/>
      <c r="K64" s="5"/>
      <c r="L64" s="5"/>
      <c r="M64" s="5"/>
      <c r="N64" s="5"/>
      <c r="O64" s="5"/>
      <c r="P64" s="5"/>
      <c r="Q64" s="5"/>
      <c r="R64" s="5"/>
      <c r="S64" s="5"/>
      <c r="T64" s="5"/>
      <c r="U64" s="5"/>
      <c r="V64" s="5">
        <f t="shared" si="13"/>
        <v>0</v>
      </c>
      <c r="W64" s="5"/>
      <c r="X64" s="5"/>
      <c r="Y64" s="5"/>
      <c r="Z64" s="5"/>
      <c r="AA64" s="5"/>
      <c r="AB64" s="5"/>
      <c r="AC64" s="5"/>
      <c r="AD64" s="5"/>
      <c r="AE64" s="5">
        <f t="shared" si="27"/>
        <v>0</v>
      </c>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f>BI64+BJ64+BK64</f>
        <v>0</v>
      </c>
      <c r="BI64" s="5">
        <f>D64-BL64</f>
        <v>0</v>
      </c>
      <c r="BJ64" s="5"/>
      <c r="BK64" s="5"/>
      <c r="BL64" s="5">
        <f>E64+V64</f>
        <v>0</v>
      </c>
      <c r="BM64" s="5">
        <f>BI67-BL64</f>
        <v>0</v>
      </c>
      <c r="BN64" s="5">
        <f>D64+BM64</f>
        <v>0</v>
      </c>
      <c r="BP64" s="123"/>
    </row>
    <row r="65" spans="1:68" ht="21.75" customHeight="1">
      <c r="A65" s="14" t="s">
        <v>221</v>
      </c>
      <c r="B65" s="143" t="s">
        <v>462</v>
      </c>
      <c r="C65" s="5" t="s">
        <v>210</v>
      </c>
      <c r="D65" s="5"/>
      <c r="E65" s="5">
        <f t="shared" si="4"/>
        <v>0</v>
      </c>
      <c r="F65" s="5">
        <f t="shared" si="21"/>
        <v>0</v>
      </c>
      <c r="G65" s="5">
        <f t="shared" si="8"/>
        <v>0</v>
      </c>
      <c r="H65" s="5">
        <f t="shared" si="12"/>
        <v>0</v>
      </c>
      <c r="I65" s="5"/>
      <c r="J65" s="5"/>
      <c r="K65" s="5"/>
      <c r="L65" s="5"/>
      <c r="M65" s="5"/>
      <c r="N65" s="5"/>
      <c r="O65" s="5"/>
      <c r="P65" s="5"/>
      <c r="Q65" s="5"/>
      <c r="R65" s="5"/>
      <c r="S65" s="5"/>
      <c r="T65" s="5"/>
      <c r="U65" s="5"/>
      <c r="V65" s="5">
        <f t="shared" si="13"/>
        <v>0</v>
      </c>
      <c r="W65" s="5"/>
      <c r="X65" s="5"/>
      <c r="Y65" s="5"/>
      <c r="Z65" s="5"/>
      <c r="AA65" s="5"/>
      <c r="AB65" s="5"/>
      <c r="AC65" s="5"/>
      <c r="AD65" s="5"/>
      <c r="AE65" s="5">
        <f t="shared" si="27"/>
        <v>0</v>
      </c>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f>BI65+BJ65+BK65</f>
        <v>0</v>
      </c>
      <c r="BI65" s="5"/>
      <c r="BJ65" s="5">
        <f>D65-BL65</f>
        <v>0</v>
      </c>
      <c r="BK65" s="5"/>
      <c r="BL65" s="5">
        <f>E65+V65</f>
        <v>0</v>
      </c>
      <c r="BM65" s="5">
        <f>BJ67-BL65</f>
        <v>0</v>
      </c>
      <c r="BN65" s="5">
        <f>D65+BM65</f>
        <v>0</v>
      </c>
      <c r="BP65" s="123"/>
    </row>
    <row r="66" spans="1:68" ht="21.75" customHeight="1">
      <c r="A66" s="16" t="s">
        <v>222</v>
      </c>
      <c r="B66" s="145" t="s">
        <v>492</v>
      </c>
      <c r="C66" s="9" t="s">
        <v>211</v>
      </c>
      <c r="D66" s="9"/>
      <c r="E66" s="9">
        <f t="shared" si="4"/>
        <v>0</v>
      </c>
      <c r="F66" s="9">
        <f t="shared" si="21"/>
        <v>0</v>
      </c>
      <c r="G66" s="9">
        <f t="shared" si="8"/>
        <v>0</v>
      </c>
      <c r="H66" s="9">
        <f t="shared" si="12"/>
        <v>0</v>
      </c>
      <c r="I66" s="9"/>
      <c r="J66" s="9"/>
      <c r="K66" s="9"/>
      <c r="L66" s="9"/>
      <c r="M66" s="9"/>
      <c r="N66" s="9"/>
      <c r="O66" s="9"/>
      <c r="P66" s="9"/>
      <c r="Q66" s="9"/>
      <c r="R66" s="9"/>
      <c r="S66" s="9"/>
      <c r="T66" s="9"/>
      <c r="U66" s="9"/>
      <c r="V66" s="9">
        <f t="shared" si="13"/>
        <v>0</v>
      </c>
      <c r="W66" s="9"/>
      <c r="X66" s="9"/>
      <c r="Y66" s="9"/>
      <c r="Z66" s="9"/>
      <c r="AA66" s="9"/>
      <c r="AB66" s="9"/>
      <c r="AC66" s="9"/>
      <c r="AD66" s="9"/>
      <c r="AE66" s="9">
        <f t="shared" si="27"/>
        <v>0</v>
      </c>
      <c r="AF66" s="9"/>
      <c r="AG66" s="9"/>
      <c r="AH66" s="9"/>
      <c r="AI66" s="9"/>
      <c r="AJ66" s="9"/>
      <c r="AK66" s="9"/>
      <c r="AL66" s="9"/>
      <c r="AM66" s="9"/>
      <c r="AN66" s="9"/>
      <c r="AO66" s="9"/>
      <c r="AP66" s="9"/>
      <c r="AQ66" s="9"/>
      <c r="AR66" s="9"/>
      <c r="AS66" s="9"/>
      <c r="AT66" s="9"/>
      <c r="AU66" s="9"/>
      <c r="AV66" s="9"/>
      <c r="AW66" s="9"/>
      <c r="AX66" s="9"/>
      <c r="AY66" s="9"/>
      <c r="AZ66" s="9"/>
      <c r="BA66" s="9"/>
      <c r="BB66" s="9"/>
      <c r="BC66" s="9"/>
      <c r="BD66" s="9"/>
      <c r="BE66" s="9"/>
      <c r="BF66" s="9"/>
      <c r="BG66" s="9"/>
      <c r="BH66" s="9">
        <f>BI66+BJ66+BK66</f>
        <v>0</v>
      </c>
      <c r="BI66" s="9"/>
      <c r="BJ66" s="9"/>
      <c r="BK66" s="9">
        <f>D66-BL66</f>
        <v>0</v>
      </c>
      <c r="BL66" s="9">
        <f>E66+V66</f>
        <v>0</v>
      </c>
      <c r="BM66" s="9">
        <f>D66-BL66</f>
        <v>0</v>
      </c>
      <c r="BN66" s="9">
        <f>D66+BM66</f>
        <v>0</v>
      </c>
      <c r="BP66" s="123"/>
    </row>
    <row r="67" spans="1:68" s="115" customFormat="1" ht="24.75" customHeight="1">
      <c r="A67" s="17"/>
      <c r="B67" s="146" t="s">
        <v>190</v>
      </c>
      <c r="C67" s="11"/>
      <c r="D67" s="11"/>
      <c r="E67" s="11">
        <f>E25+E63</f>
        <v>0</v>
      </c>
      <c r="F67" s="11">
        <f>F18+F22+F23+F24+F25+F63</f>
        <v>0</v>
      </c>
      <c r="G67" s="11">
        <f>G17+G18+G22+G23+G24+G25+G63</f>
        <v>0</v>
      </c>
      <c r="H67" s="11">
        <f>H15+H16+H17+H18+H22+H23+H24+H25+H63</f>
        <v>0</v>
      </c>
      <c r="I67" s="11">
        <f>I13+I14+I15+I16+I17+I18+I22+I23+I24+I25+I63</f>
        <v>0</v>
      </c>
      <c r="J67" s="11">
        <f>J12+J14+J15+J16+J17+J18+J22+J23+J24+J25+J63</f>
        <v>0</v>
      </c>
      <c r="K67" s="11">
        <f>K12+K13+K15+K16+K17+K18+K22+K23+K24+K25+K63</f>
        <v>0</v>
      </c>
      <c r="L67" s="11">
        <f>L12+L13+L14+L16+L17+L18+L22+L23+L24+L25+L63</f>
        <v>0</v>
      </c>
      <c r="M67" s="11">
        <f>M12+M13+M14+M15+M17+M18+M22+M23+M24+M25+M63</f>
        <v>0</v>
      </c>
      <c r="N67" s="11">
        <f>N12+N13+N14+N15+N16+N18+N22+N23+N24+N25+N63</f>
        <v>0</v>
      </c>
      <c r="O67" s="11">
        <f>O9+O22+O23+O24+O25+O63</f>
        <v>0</v>
      </c>
      <c r="P67" s="11">
        <f>P10+P17+P20+P21+P22+P23+P24+P25+P63</f>
        <v>0</v>
      </c>
      <c r="Q67" s="11">
        <f>Q12+Q13+Q14+Q15+Q16+Q17+Q19+Q21+Q22+Q23+Q24+Q25+Q63</f>
        <v>0</v>
      </c>
      <c r="R67" s="11">
        <f>R12+R13+R14+R15+R16+R17+R19+R20+R22+R23+R24+R25+R63</f>
        <v>0</v>
      </c>
      <c r="S67" s="11">
        <f>S9+S18+S23+S24+S25+S63</f>
        <v>0</v>
      </c>
      <c r="T67" s="11">
        <f>T9+T18+T22+T24+T25+T63</f>
        <v>0</v>
      </c>
      <c r="U67" s="11">
        <f>U9+U18+U22+U23+U25+U63</f>
        <v>0</v>
      </c>
      <c r="V67" s="11">
        <f>V8+V63</f>
        <v>0</v>
      </c>
      <c r="W67" s="11">
        <f>W8+W27+W28+W29+W30+W31+W32+W33+W34+W46+W47+W48+W49+W50+W51+W52+W53+W54+W55+W56+W57+W58+W59+W60+W61+W62+W63</f>
        <v>0</v>
      </c>
      <c r="X67" s="11">
        <f>X8+X26+X28+X29+X30+X31+X32+X33+X34+X46+X47+X48+X49+X50+X51+X52+X53+X54+X55+X56+X57+X58+X59+X60+X61+X62+X63</f>
        <v>0</v>
      </c>
      <c r="Y67" s="11">
        <f>Y8+Y26+Y27+Y29+Y30+Y31+Y32+Y33+Y34+Y46+Y47+Y48+Y49+Y50+Y51+Y52+Y53+Y54+Y55+Y56+Y57+Y58+Y59+Y60+Y61+Y62+Y63</f>
        <v>0</v>
      </c>
      <c r="Z67" s="11">
        <f>Z8+Z26+Z27+Z28+Z30+Z31+Z32+Z33+Z34+Z46+Z47+Z48+Z49+Z50+Z51+Z52+Z53+Z54+Z55+Z56+Z57+Z58+Z59+Z60+Z61+Z62+Z63</f>
        <v>0</v>
      </c>
      <c r="AA67" s="11">
        <f>AA8+AA26+AA27+AA28+AA29+AA31+AA32+AA33+AA34+AA46+AA47+AA48+AA49+AA50+AA51+AA52+AA53+AA54+AA55+AA56+AA57+AA58+AA59+AA60+AA61+AA62+AA63</f>
        <v>0</v>
      </c>
      <c r="AB67" s="11">
        <f>AB8+AB26+AB27+AB28+AB29+AB30+AB32+AB33+AB34+AB46+AB47+AB48+AB49+AB50+AB51+AB52+AB53+AB54+AB55+AB56+AB57+AB58+AB59+AB60+AB61+AB62+AB63</f>
        <v>0</v>
      </c>
      <c r="AC67" s="11">
        <f>AC8+AC26+AC27+AC28+AC29+AC30+AC31+AC33+AC34+AC46+AC47+AC48+AC49+AC50+AC51+AC52+AC53+AC54+AC55+AC56+AC57+AC58+AC59+AC60+AC61+AC62+AC63</f>
        <v>0</v>
      </c>
      <c r="AD67" s="11">
        <f>AD8+AD26+AD27+AD28+AD29+AD30+AD31+AD32+AD34+AD46+AD47+AD48+AD49+AD50+AD51+AD52+AD53+AD54+AD55+AD56+AD57+AD58+AD59+AD60+AD61+AD62+AD63</f>
        <v>0</v>
      </c>
      <c r="AE67" s="11">
        <f>AE8+AE26+AE27+AE28+AE29+AE30+AE31+AE32+AE33+AE46+AE47+AE48+AE49+AE50+AE51+AE52+AE53+AE54+AE55+AE56+AE57+AE58+AE59+AE60+AE61+AE62+AE63</f>
        <v>0</v>
      </c>
      <c r="AF67" s="11">
        <f>AF8+AF26+AF27+AF28+AF29+AF30+AF31+AF32+AF33+AF3+AF36+AF37+AF38+AF39+AF40+AF41+AF42+AF43+AF44+AF45+AF46+AF47+AF48+AF49+AF50+AF51+AF52+AF53+AF54+AF55+AF56+AF57+AF58+AF59+AF60+AF61+AF62+AF63</f>
        <v>0</v>
      </c>
      <c r="AG67" s="11">
        <f>AG8+AG26+AG27+AG28+AG29+AG30+AG31+AG32+AG33+AG35+AG37+AG38+AG39+AG40+AG41+AG42+AG43+AG44+AG45+AG46+AG47+AG48+AG49+AG50+AG51+AG52+AG53+AG54+AG55+AG56+AG57+AG58+AG59+AG60+AG61+AG62+AG63</f>
        <v>0</v>
      </c>
      <c r="AH67" s="11">
        <f>AH8+AH26+AH27+AH28+AH29+AH30+AH31+AH32+AH33+AH35+AH36+AH38+AH39+AH40+AH41+AH42+AH43+AH44+AH45+AH46+AH47+AH48+AH49+AH50+AH51+AH52+AH53+AH54+AH55+AH56+AH57+AH58+AH59+AH60+AH61+AH62+AH63</f>
        <v>0</v>
      </c>
      <c r="AI67" s="11">
        <f>AI8+AI26+AI27+AI28+AI29+AI30+AI31+AI32+AI33+AI35+AI36+AI37+AI39+AI40+AI41+AI42+AI43+AI44+AI45+AI46+AI47+AI48+AI49+AI50+AI51+AI52+AI53+AI54+AI55+AI56+AI57+AI58+AI59+AI60+AI61+AI62+AI63</f>
        <v>0</v>
      </c>
      <c r="AJ67" s="11">
        <f>AJ8+AJ26+AJ27+AJ28+AJ29+AJ30+AJ31+AJ32+AJ33+AJ35+AJ36+AJ37+AJ38+AJ40+AJ41+AJ42+AJ43+AJ44+AJ45+AJ46+AJ47+AJ48+AJ49+AJ50+AJ51+AJ52+AJ53+AJ54+AJ55+AJ56+AJ57+AJ58+AJ59+AJ60+AJ61+AJ62+AJ63</f>
        <v>0</v>
      </c>
      <c r="AK67" s="11">
        <f>AK8+AK26+AK27+AK28+AK29+AK30+AK31+AK32+AK33+AK35+AK36+AK37+AK38+AK39+AK41+AK42+AK43+AK44+AK45+AK46+AK47+AK48+AK49+AK50+AK51+AK52+AK53+AK54+AK55+AK56+AK57+AK58+AK59+AK60+AK61+AK62+AK63</f>
        <v>0</v>
      </c>
      <c r="AL67" s="11">
        <f>AL8+AL26+AL27+AL28+AL29+AL30+AL31+AL32+AL33+AL35+AL36+AL37+AL38+AL39+AL40+AL42+AL43+AL44+AL45+AL46+AL47+AL48+AL49+AL50+AL51+AL52+AL53+AL54+AL55+AL56+AL57+AL58+AL59+AL60+AL61+AL62+AL63</f>
        <v>0</v>
      </c>
      <c r="AM67" s="11">
        <f>AM8+AM26+AM27+AM28+AM29+AM30+AM31+AM32+AM33+AM35+AM36+AM37+AM38+AM39+AM40+AM41+AM43+AM44+AM45+AM46+AM47+AM48+AM49+AM50+AM51+AM52+AM53+AM54+AM55+AM56+AM57+AM58+AM59+AM60+AM61+AM62+AM63</f>
        <v>0</v>
      </c>
      <c r="AN67" s="11">
        <f>AN8+AN26+AN27+AN28+AN29+AN30+AN31+AN32+AN33+AN35+AN36+AN37+AN38+AN39+AN40+AN41+AN42+AN44+AN45+AN46+AN47+AN48+AN49+AN50+AN51+AN52+AN53+AN54+AN55+AN56+AN57+AN58+AN59+AN60+AN61+AN62+AN63</f>
        <v>0</v>
      </c>
      <c r="AO67" s="11">
        <f>AO8+AO26+AO27+AO28+AO29+AO30+AO31+AO32+AO33+AO35+AO36+AO37+AO38+AO39+AO40+AO41+AO42+AO43+AO45+AO46+AO47+AO48+AO49+AO50+AO51+AO52+AO53+AO54+AO55+AO56+AO57+AO58+AO59+AO60+AO61+AO62+AO63</f>
        <v>0</v>
      </c>
      <c r="AP67" s="11">
        <f>AP8+AP26+AP27+AP28+AP29+AP30+AP31+AP32+AP33+AP35+AP36+AP37+AP38+AP39+AP40+AP41+AP42+AP43+AP44+AP46+AP47+AP48+AP49+AP50+AP51+AP52+AP53+AP54+AP55+AP56+AP57+AP58+AP59+AP60+AP61+AP62+AP63</f>
        <v>0</v>
      </c>
      <c r="AQ67" s="11">
        <f>AQ8+AQ26+AQ27+AQ28+AQ29+AQ30+AQ31+AQ32+AQ33+AQ34+AQ47+AQ48+AQ49+AQ50+AQ51+AQ52+AQ53+AQ54+AQ55+AQ56+AQ57+AQ58+AQ59+AQ60+AQ61+AQ62+AQ63</f>
        <v>0</v>
      </c>
      <c r="AR67" s="11">
        <f>AR8+AR26+AR27+AR28+AR29+AR30+AR31+AR32+AR33+AR34+AR46+AR48+AR49+AR50+AR51+AR52+AR53+AR54+AR55+AR56+AR57+AR58+AR59+AR60+AR61+AR62+AR63</f>
        <v>0</v>
      </c>
      <c r="AS67" s="11">
        <f>AS8+AS26+AS27+AS28+AS29+AS30+AS31+AS32+AS33+AS34+AS46+AS47+AS49+AS50+AS51+AS52+AS53+AS54+AS55+AS56+AS57+AS58+AS59+AS60+AS61+AS62+AS63</f>
        <v>0</v>
      </c>
      <c r="AT67" s="11">
        <f>AT8+AT26+AT27+AT28+AT29+AT30+AT31+AT32+AT33+AT34+AT46+AT47+AT48+AT50+AT51+AT52+AT53+AT54+AT55+AT56+AT57+AT58+AT59+AT60+AT61+AT62+AT63</f>
        <v>0</v>
      </c>
      <c r="AU67" s="11">
        <f>AU8+AU26+AU27+AU28+AU29+AU30+AU31+AU32+AU33+AU34+AU46+AU47+AU48+AU49+AU51+AU52+AU53+AU54+AU55+AU56+AU57+AU58+AU59+AU60+AU61+AU62+AU63</f>
        <v>0</v>
      </c>
      <c r="AV67" s="11">
        <f>AV8+AV26+AV27+AV28+AV29+AV30+AV31+AV32+AV33+AV34+AV46+AV47+AV48+AV49+AV50+AV52+AV53+AV54+AV55+AV56+AV57+AV58+AV59+AV60+AV61+AV62+AV63</f>
        <v>0</v>
      </c>
      <c r="AW67" s="11">
        <f>AW8+AW26+AW27+AW28+AW29+AW30+AW31+AW32+AW33+AW34+AW46+AW47+AW48+AW49+AW50+AW51+AW53+AW54+AW55+AW56+AW57+AW58+AW59+AW60+AW61+AW62+AW63</f>
        <v>0</v>
      </c>
      <c r="AX67" s="11">
        <f>AX8+AX26+AX27+AX28+AX29+AX30+AX31+AX32+AX33+AX34+AX46+AX47+AX48+AX49+AX50+AX51+AX52+AX54+AX55+AX56+AX57+AX58+AX59+AX60+AX61+AX62+AX63</f>
        <v>0</v>
      </c>
      <c r="AY67" s="11">
        <f>AY8+AY26+AY27+AY28+AY29+AY30+AY31+AY32+AY33+AY34+AY46+AY47+AY48+AY49+AY50+AY51+AY52+AY53+AY55+AY56+AY57+AY58+AY59+AY60+AY61+AY62+AY63</f>
        <v>0</v>
      </c>
      <c r="AZ67" s="11">
        <f>AZ8+AZ26+AZ27+AZ28+AZ29+AZ30+AZ31+AZ32+AZ33+AZ34+AZ46+AZ47+AZ48+AZ49+AZ50+AZ51+AZ52+AZ53+AZ54+AZ56+AZ57+AZ58+AZ59+AZ60+AZ61+AZ62+AZ63</f>
        <v>0</v>
      </c>
      <c r="BA67" s="11">
        <f>BA8+BA26+BA27+BA28+BA29+BA30+BA31+BA32+BA33+BA34+BA46+BA47+BA48+BA49+BA50+BA51+BA52+BA53+BA54+BA55+BA57+BA58+BA59+BA60+BA61+BA62+BA63</f>
        <v>0</v>
      </c>
      <c r="BB67" s="11">
        <f>BB8+BB26+BB27+BB28+BB29+BB30+BB31+BB32+BB33+BB34+BB46+BB47+BB48+BB49+BB50+BB51+BB52+BB53+BB54+BB55+BB56+BB58+BB59+BB60+BB61+BB62+BB63</f>
        <v>0</v>
      </c>
      <c r="BC67" s="11">
        <f>BC8+BC26+BC27+BC28+BC29+BC30+BC31+BC32+BC33+BC34+BC46+BC47+BC48+BC49+BC50+BC51+BC52+BC53+BC54+BC55+BC56+BC57+BC59+BC60+BC61+BC62+BC63</f>
        <v>0</v>
      </c>
      <c r="BD67" s="11">
        <f>BD8+BD26+BD27+BD28+BD29+BD30+BD31+BD32+BD33+BD34+BD46+BD47+BD48+BD49+BD50+BD51+BD52+BD53+BD54+BD55+BD56+BD57+BD58+BD60+BD61+BD62+BD63</f>
        <v>0</v>
      </c>
      <c r="BE67" s="11">
        <f>BE8+BE26+BE27+BE28+BE29+BE30+BE31+BE32+BE33+BE34+BE46+BE47+BE48+BE49+BE50+BE51+BE52+BE53+BE54+BE55+BE56+BE57+BE58+BE59+BE61+BE62+BE63</f>
        <v>0</v>
      </c>
      <c r="BF67" s="11">
        <f>BF8+BF26+BF27+BF28+BF29+BF30+BF31+BF32+BF33+BF34+BF46+BF47+BF48+BF49+BF50+BF51+BF52+BF53+BF54+BF55+BF56+BF57+BF58+BF59+BF60+BF62+BF63</f>
        <v>0</v>
      </c>
      <c r="BG67" s="11">
        <f>BG8+BG26+BG27+BG28+BG29+BG30+BG31+BG32+BG33+BG34+BG46+BG47+BG48+BG49+BG50+BG51+BG52+BG53+BG54+BG55+BG56+BG57+BG58+BG59+BG60+BG61+BG63</f>
        <v>0</v>
      </c>
      <c r="BH67" s="11">
        <f>BH8+BH25</f>
        <v>0</v>
      </c>
      <c r="BI67" s="11">
        <f>BI8+BI25+BI65+BI66</f>
        <v>0</v>
      </c>
      <c r="BJ67" s="11">
        <f>BJ8+BJ25+BJ64+BJ66</f>
        <v>0</v>
      </c>
      <c r="BK67" s="11">
        <f>BK8+BK25+BK64+BK65</f>
        <v>0</v>
      </c>
      <c r="BL67" s="11"/>
      <c r="BM67" s="11"/>
      <c r="BN67" s="11"/>
    </row>
    <row r="68" spans="1:68" s="117" customFormat="1" ht="31.5" customHeight="1">
      <c r="A68" s="18"/>
      <c r="B68" s="147" t="s">
        <v>366</v>
      </c>
      <c r="C68" s="10"/>
      <c r="D68" s="10">
        <f>BN7</f>
        <v>0</v>
      </c>
      <c r="E68" s="10">
        <f>BN8</f>
        <v>0</v>
      </c>
      <c r="F68" s="10">
        <f>BN9</f>
        <v>0</v>
      </c>
      <c r="G68" s="10">
        <f>BN10</f>
        <v>0</v>
      </c>
      <c r="H68" s="10">
        <f>BN11</f>
        <v>0</v>
      </c>
      <c r="I68" s="10">
        <f>BN12</f>
        <v>0</v>
      </c>
      <c r="J68" s="10">
        <f>BN13</f>
        <v>0</v>
      </c>
      <c r="K68" s="10">
        <f>BN14</f>
        <v>0</v>
      </c>
      <c r="L68" s="10">
        <f>BN15</f>
        <v>0</v>
      </c>
      <c r="M68" s="10">
        <f>BN16</f>
        <v>0</v>
      </c>
      <c r="N68" s="10">
        <f>BN17</f>
        <v>0</v>
      </c>
      <c r="O68" s="10">
        <f>BN18</f>
        <v>0</v>
      </c>
      <c r="P68" s="10">
        <f>BN19</f>
        <v>0</v>
      </c>
      <c r="Q68" s="10">
        <f>BN20</f>
        <v>0</v>
      </c>
      <c r="R68" s="10">
        <f>BN21</f>
        <v>0</v>
      </c>
      <c r="S68" s="10">
        <f>BN22</f>
        <v>0</v>
      </c>
      <c r="T68" s="10">
        <f>BN23</f>
        <v>0</v>
      </c>
      <c r="U68" s="10">
        <f>BN24</f>
        <v>0</v>
      </c>
      <c r="V68" s="10">
        <f>BN25</f>
        <v>0</v>
      </c>
      <c r="W68" s="10">
        <f>BN26</f>
        <v>0</v>
      </c>
      <c r="X68" s="10">
        <f>BN27</f>
        <v>0</v>
      </c>
      <c r="Y68" s="10">
        <f>BN28</f>
        <v>0</v>
      </c>
      <c r="Z68" s="10">
        <f>BN29</f>
        <v>0</v>
      </c>
      <c r="AA68" s="10">
        <f>BN30</f>
        <v>0</v>
      </c>
      <c r="AB68" s="10">
        <f>BN31</f>
        <v>0</v>
      </c>
      <c r="AC68" s="10">
        <f>BN32</f>
        <v>0</v>
      </c>
      <c r="AD68" s="10">
        <f>BN33</f>
        <v>0</v>
      </c>
      <c r="AE68" s="10">
        <f>BN34</f>
        <v>0</v>
      </c>
      <c r="AF68" s="10">
        <f>BN35</f>
        <v>0</v>
      </c>
      <c r="AG68" s="10">
        <f>BN36</f>
        <v>0</v>
      </c>
      <c r="AH68" s="10">
        <f>BN37</f>
        <v>0</v>
      </c>
      <c r="AI68" s="10">
        <f>BN38</f>
        <v>0</v>
      </c>
      <c r="AJ68" s="10">
        <f>BN39</f>
        <v>0</v>
      </c>
      <c r="AK68" s="10">
        <f>BN40</f>
        <v>0</v>
      </c>
      <c r="AL68" s="10">
        <f>BN41</f>
        <v>0</v>
      </c>
      <c r="AM68" s="10">
        <f>BN42</f>
        <v>0</v>
      </c>
      <c r="AN68" s="10">
        <f>BN43</f>
        <v>0</v>
      </c>
      <c r="AO68" s="10">
        <f>BN44</f>
        <v>0</v>
      </c>
      <c r="AP68" s="10">
        <f>BN45</f>
        <v>0</v>
      </c>
      <c r="AQ68" s="10">
        <f>BN46</f>
        <v>0</v>
      </c>
      <c r="AR68" s="10">
        <f>BN47</f>
        <v>0</v>
      </c>
      <c r="AS68" s="10">
        <f>BN48</f>
        <v>0</v>
      </c>
      <c r="AT68" s="10">
        <f>BN49</f>
        <v>0</v>
      </c>
      <c r="AU68" s="10">
        <f>BN50</f>
        <v>0</v>
      </c>
      <c r="AV68" s="10">
        <f>BN51</f>
        <v>0</v>
      </c>
      <c r="AW68" s="10">
        <f>BN52</f>
        <v>0</v>
      </c>
      <c r="AX68" s="10">
        <f>BN53</f>
        <v>0</v>
      </c>
      <c r="AY68" s="10">
        <f>BN54</f>
        <v>0</v>
      </c>
      <c r="AZ68" s="10">
        <f>BN55</f>
        <v>0</v>
      </c>
      <c r="BA68" s="10">
        <f>BN56</f>
        <v>0</v>
      </c>
      <c r="BB68" s="10">
        <f>BN57</f>
        <v>0</v>
      </c>
      <c r="BC68" s="10">
        <f>BN58</f>
        <v>0</v>
      </c>
      <c r="BD68" s="10">
        <f>BN59</f>
        <v>0</v>
      </c>
      <c r="BE68" s="10">
        <f>BN60</f>
        <v>0</v>
      </c>
      <c r="BF68" s="10">
        <f>BN61</f>
        <v>0</v>
      </c>
      <c r="BG68" s="10">
        <f>BN62</f>
        <v>0</v>
      </c>
      <c r="BH68" s="10">
        <f>BN63</f>
        <v>0</v>
      </c>
      <c r="BI68" s="10">
        <f>BN64</f>
        <v>0</v>
      </c>
      <c r="BJ68" s="10">
        <f>BN65</f>
        <v>0</v>
      </c>
      <c r="BK68" s="10">
        <f>BN66</f>
        <v>0</v>
      </c>
      <c r="BL68" s="10"/>
      <c r="BM68" s="10"/>
      <c r="BN68" s="10"/>
    </row>
    <row r="70" spans="1:68" ht="18" customHeight="1">
      <c r="A70" s="1300" t="s">
        <v>10</v>
      </c>
      <c r="B70" s="1300"/>
    </row>
    <row r="71" spans="1:68" ht="28.5" customHeight="1">
      <c r="A71" s="1300" t="s">
        <v>321</v>
      </c>
      <c r="B71" s="1300"/>
      <c r="C71" s="1300"/>
      <c r="D71" s="1300"/>
      <c r="E71" s="1300"/>
      <c r="F71" s="1300"/>
      <c r="G71" s="1300"/>
      <c r="H71" s="1300"/>
      <c r="I71" s="1300"/>
      <c r="J71" s="1300"/>
      <c r="K71" s="1300"/>
      <c r="L71" s="1300"/>
      <c r="M71" s="1300"/>
      <c r="N71" s="1300"/>
      <c r="O71" s="1300"/>
      <c r="P71" s="1300"/>
      <c r="Q71" s="1300"/>
      <c r="R71" s="1300"/>
      <c r="S71" s="1300"/>
      <c r="T71" s="1300"/>
      <c r="U71" s="1300"/>
      <c r="V71" s="1300"/>
      <c r="W71" s="1300"/>
      <c r="X71" s="1300"/>
      <c r="Y71" s="1300"/>
      <c r="Z71" s="1300"/>
      <c r="AA71" s="1300"/>
      <c r="AB71" s="1300"/>
      <c r="AC71" s="1300"/>
      <c r="AD71" s="1300"/>
      <c r="AE71" s="1300"/>
      <c r="AF71" s="1300"/>
      <c r="AG71" s="1300"/>
      <c r="AH71" s="1300"/>
      <c r="AI71" s="1300"/>
      <c r="AJ71" s="1300"/>
      <c r="AK71" s="1300"/>
      <c r="AL71" s="1300"/>
      <c r="AM71" s="1300"/>
      <c r="AN71" s="1300"/>
      <c r="AO71" s="1300"/>
      <c r="AP71" s="1300"/>
      <c r="AQ71" s="1300"/>
      <c r="AR71" s="1300"/>
      <c r="AS71" s="1300"/>
    </row>
    <row r="72" spans="1:68" ht="24.75" customHeight="1">
      <c r="A72" s="1300" t="s">
        <v>322</v>
      </c>
      <c r="B72" s="1300"/>
      <c r="C72" s="1300"/>
      <c r="D72" s="1300"/>
      <c r="E72" s="1300"/>
      <c r="F72" s="1300"/>
      <c r="G72" s="1300"/>
      <c r="H72" s="1300"/>
      <c r="I72" s="1300"/>
      <c r="J72" s="1300"/>
      <c r="K72" s="1300"/>
      <c r="L72" s="1300"/>
      <c r="M72" s="1300"/>
      <c r="N72" s="1300"/>
      <c r="O72" s="1300"/>
      <c r="P72" s="1300"/>
      <c r="Q72" s="1300"/>
      <c r="R72" s="1300"/>
      <c r="S72" s="1300"/>
      <c r="T72" s="1300"/>
      <c r="U72" s="1300"/>
      <c r="V72" s="1300"/>
      <c r="W72" s="1300"/>
      <c r="X72" s="1300"/>
      <c r="Y72" s="1300"/>
      <c r="Z72" s="1300"/>
      <c r="AA72" s="1300"/>
      <c r="AB72" s="1300"/>
      <c r="AC72" s="1300"/>
      <c r="AD72" s="1300"/>
      <c r="AE72" s="1300"/>
      <c r="AF72" s="1300"/>
      <c r="AG72" s="1300"/>
      <c r="AH72" s="1300"/>
      <c r="AI72" s="1300"/>
      <c r="AJ72" s="1300"/>
      <c r="AK72" s="1300"/>
      <c r="AL72" s="1300"/>
      <c r="AM72" s="1300"/>
      <c r="AN72" s="1300"/>
      <c r="AO72" s="1300"/>
      <c r="AP72" s="1300"/>
      <c r="AQ72" s="1300"/>
      <c r="AR72" s="1300"/>
      <c r="AS72" s="1300"/>
    </row>
    <row r="73" spans="1:68" ht="21.75" customHeight="1">
      <c r="AR73" s="1300" t="s">
        <v>138</v>
      </c>
      <c r="AS73" s="1300"/>
    </row>
    <row r="74" spans="1:68" ht="31.5" customHeight="1">
      <c r="A74" s="1300" t="s">
        <v>0</v>
      </c>
      <c r="B74" s="1300" t="s">
        <v>12</v>
      </c>
      <c r="C74" s="1300" t="s">
        <v>13</v>
      </c>
      <c r="D74" s="1300" t="s">
        <v>324</v>
      </c>
      <c r="E74" s="1300" t="s">
        <v>326</v>
      </c>
      <c r="F74" s="1300"/>
      <c r="G74" s="1300"/>
      <c r="H74" s="1300"/>
      <c r="I74" s="1300"/>
      <c r="J74" s="1300"/>
      <c r="K74" s="1300"/>
      <c r="L74" s="1300"/>
      <c r="M74" s="1300"/>
      <c r="N74" s="1300"/>
      <c r="O74" s="1300"/>
      <c r="P74" s="1300"/>
      <c r="Q74" s="1300"/>
      <c r="R74" s="1300"/>
      <c r="S74" s="1300"/>
      <c r="T74" s="1300"/>
      <c r="U74" s="1300"/>
      <c r="V74" s="1300"/>
      <c r="W74" s="1300"/>
      <c r="X74" s="1300"/>
      <c r="Y74" s="1300"/>
      <c r="Z74" s="1300"/>
      <c r="AA74" s="1300"/>
      <c r="AB74" s="1300"/>
      <c r="AC74" s="1300"/>
      <c r="AD74" s="1300"/>
      <c r="AE74" s="1300"/>
      <c r="AF74" s="1300"/>
      <c r="AG74" s="1300"/>
      <c r="AH74" s="1300"/>
      <c r="AI74" s="1300"/>
      <c r="AJ74" s="1300"/>
      <c r="AK74" s="1300"/>
      <c r="AL74" s="1300"/>
      <c r="AM74" s="1300"/>
      <c r="AN74" s="1300"/>
      <c r="AO74" s="1300"/>
      <c r="AP74" s="1300"/>
      <c r="AQ74" s="1300"/>
      <c r="AR74" s="1300" t="s">
        <v>191</v>
      </c>
      <c r="AS74" s="1300" t="s">
        <v>323</v>
      </c>
    </row>
    <row r="75" spans="1:68" ht="30" customHeight="1">
      <c r="A75" s="1300"/>
      <c r="B75" s="1300"/>
      <c r="C75" s="1300"/>
      <c r="D75" s="1300"/>
      <c r="E75" t="s">
        <v>15</v>
      </c>
      <c r="F75" t="s">
        <v>18</v>
      </c>
      <c r="G75" t="s">
        <v>20</v>
      </c>
      <c r="H75" t="s">
        <v>23</v>
      </c>
      <c r="I75" t="s">
        <v>26</v>
      </c>
      <c r="J75" t="s">
        <v>29</v>
      </c>
      <c r="K75" t="s">
        <v>32</v>
      </c>
      <c r="L75" t="s">
        <v>35</v>
      </c>
      <c r="M75" t="s">
        <v>38</v>
      </c>
      <c r="N75" t="s">
        <v>41</v>
      </c>
      <c r="O75" t="s">
        <v>44</v>
      </c>
      <c r="P75" t="s">
        <v>46</v>
      </c>
      <c r="Q75" t="s">
        <v>49</v>
      </c>
      <c r="R75" t="s">
        <v>52</v>
      </c>
      <c r="S75" t="s">
        <v>55</v>
      </c>
      <c r="T75" t="s">
        <v>58</v>
      </c>
      <c r="U75" t="s">
        <v>61</v>
      </c>
      <c r="V75" t="s">
        <v>64</v>
      </c>
      <c r="W75" t="s">
        <v>67</v>
      </c>
      <c r="X75" t="s">
        <v>70</v>
      </c>
      <c r="Y75" t="s">
        <v>72</v>
      </c>
      <c r="Z75" t="s">
        <v>75</v>
      </c>
      <c r="AA75" t="s">
        <v>78</v>
      </c>
      <c r="AB75" t="s">
        <v>81</v>
      </c>
      <c r="AC75" t="s">
        <v>84</v>
      </c>
      <c r="AD75" t="s">
        <v>87</v>
      </c>
      <c r="AE75" t="s">
        <v>90</v>
      </c>
      <c r="AF75" t="s">
        <v>93</v>
      </c>
      <c r="AG75" t="s">
        <v>96</v>
      </c>
      <c r="AH75" t="s">
        <v>99</v>
      </c>
      <c r="AI75" t="s">
        <v>101</v>
      </c>
      <c r="AJ75" t="s">
        <v>104</v>
      </c>
      <c r="AK75" t="s">
        <v>107</v>
      </c>
      <c r="AL75" t="s">
        <v>110</v>
      </c>
      <c r="AM75" t="s">
        <v>113</v>
      </c>
      <c r="AN75" t="s">
        <v>116</v>
      </c>
      <c r="AO75" t="s">
        <v>119</v>
      </c>
      <c r="AP75" t="s">
        <v>122</v>
      </c>
      <c r="AQ75" t="s">
        <v>124</v>
      </c>
      <c r="AR75" s="1300"/>
      <c r="AS75" s="1300"/>
    </row>
    <row r="76" spans="1:68" ht="27.75" customHeight="1">
      <c r="B76" t="s">
        <v>189</v>
      </c>
      <c r="D76">
        <f>D77+D88+D115</f>
        <v>0</v>
      </c>
      <c r="E76">
        <f t="shared" ref="E76:AS76" si="33">E77+E88+E115</f>
        <v>0</v>
      </c>
      <c r="F76">
        <f t="shared" si="33"/>
        <v>0</v>
      </c>
      <c r="G76">
        <f t="shared" si="33"/>
        <v>0</v>
      </c>
      <c r="H76">
        <f t="shared" si="33"/>
        <v>0</v>
      </c>
      <c r="I76">
        <f t="shared" si="33"/>
        <v>0</v>
      </c>
      <c r="J76">
        <f>J77+J88+J115</f>
        <v>0</v>
      </c>
      <c r="K76">
        <f t="shared" si="33"/>
        <v>0</v>
      </c>
      <c r="L76">
        <f t="shared" si="33"/>
        <v>0</v>
      </c>
      <c r="M76">
        <f t="shared" si="33"/>
        <v>0</v>
      </c>
      <c r="N76">
        <f t="shared" si="33"/>
        <v>0</v>
      </c>
      <c r="O76">
        <f t="shared" si="33"/>
        <v>0</v>
      </c>
      <c r="P76">
        <f t="shared" si="33"/>
        <v>0</v>
      </c>
      <c r="Q76">
        <f t="shared" si="33"/>
        <v>0</v>
      </c>
      <c r="R76">
        <f t="shared" si="33"/>
        <v>0</v>
      </c>
      <c r="S76">
        <f t="shared" si="33"/>
        <v>0</v>
      </c>
      <c r="T76">
        <f t="shared" si="33"/>
        <v>0</v>
      </c>
      <c r="U76">
        <f t="shared" si="33"/>
        <v>0</v>
      </c>
      <c r="V76">
        <f t="shared" si="33"/>
        <v>0</v>
      </c>
      <c r="W76">
        <f t="shared" si="33"/>
        <v>0</v>
      </c>
      <c r="X76">
        <f t="shared" si="33"/>
        <v>0</v>
      </c>
      <c r="Y76">
        <f t="shared" si="33"/>
        <v>0</v>
      </c>
      <c r="Z76">
        <f t="shared" si="33"/>
        <v>0</v>
      </c>
      <c r="AA76">
        <f t="shared" si="33"/>
        <v>0</v>
      </c>
      <c r="AB76">
        <f t="shared" si="33"/>
        <v>0</v>
      </c>
      <c r="AC76">
        <f t="shared" si="33"/>
        <v>0</v>
      </c>
      <c r="AD76">
        <f t="shared" si="33"/>
        <v>0</v>
      </c>
      <c r="AE76">
        <f t="shared" si="33"/>
        <v>0</v>
      </c>
      <c r="AF76">
        <f t="shared" si="33"/>
        <v>0</v>
      </c>
      <c r="AG76">
        <f t="shared" si="33"/>
        <v>0</v>
      </c>
      <c r="AH76">
        <f t="shared" si="33"/>
        <v>0</v>
      </c>
      <c r="AI76">
        <f t="shared" si="33"/>
        <v>0</v>
      </c>
      <c r="AJ76">
        <f t="shared" si="33"/>
        <v>0</v>
      </c>
      <c r="AK76">
        <f t="shared" si="33"/>
        <v>0</v>
      </c>
      <c r="AL76">
        <f t="shared" si="33"/>
        <v>0</v>
      </c>
      <c r="AM76">
        <f t="shared" si="33"/>
        <v>0</v>
      </c>
      <c r="AN76">
        <f t="shared" si="33"/>
        <v>0</v>
      </c>
      <c r="AO76">
        <f t="shared" si="33"/>
        <v>0</v>
      </c>
      <c r="AP76">
        <f t="shared" si="33"/>
        <v>0</v>
      </c>
      <c r="AQ76">
        <f t="shared" si="33"/>
        <v>0</v>
      </c>
      <c r="AS76">
        <f t="shared" si="33"/>
        <v>0</v>
      </c>
    </row>
    <row r="77" spans="1:68" ht="20.25" customHeight="1">
      <c r="A77">
        <v>1</v>
      </c>
      <c r="B77" t="s">
        <v>14</v>
      </c>
      <c r="C77" t="s">
        <v>15</v>
      </c>
      <c r="D77">
        <f>D78+D80+D81+D82+D83+D84+D85+D86+D87</f>
        <v>0</v>
      </c>
      <c r="E77">
        <f t="shared" ref="E77:AS77" si="34">E78+E80+E81+E82+E83+E84+E85+E86+E87</f>
        <v>0</v>
      </c>
      <c r="F77">
        <f t="shared" si="34"/>
        <v>0</v>
      </c>
      <c r="G77">
        <f t="shared" si="34"/>
        <v>0</v>
      </c>
      <c r="H77">
        <f t="shared" si="34"/>
        <v>0</v>
      </c>
      <c r="I77">
        <f t="shared" si="34"/>
        <v>0</v>
      </c>
      <c r="J77">
        <f t="shared" si="34"/>
        <v>0</v>
      </c>
      <c r="K77">
        <f t="shared" si="34"/>
        <v>0</v>
      </c>
      <c r="L77">
        <f t="shared" si="34"/>
        <v>0</v>
      </c>
      <c r="M77">
        <f t="shared" si="34"/>
        <v>0</v>
      </c>
      <c r="N77">
        <f t="shared" si="34"/>
        <v>0</v>
      </c>
      <c r="O77">
        <f t="shared" si="34"/>
        <v>0</v>
      </c>
      <c r="P77">
        <f>P78+P80+P81+P82+P83+P84+P85+P86+P87</f>
        <v>0</v>
      </c>
      <c r="Q77">
        <f t="shared" si="34"/>
        <v>0</v>
      </c>
      <c r="R77">
        <f t="shared" si="34"/>
        <v>0</v>
      </c>
      <c r="S77">
        <f t="shared" si="34"/>
        <v>0</v>
      </c>
      <c r="T77">
        <f t="shared" si="34"/>
        <v>0</v>
      </c>
      <c r="U77">
        <f t="shared" si="34"/>
        <v>0</v>
      </c>
      <c r="V77">
        <f t="shared" si="34"/>
        <v>0</v>
      </c>
      <c r="W77">
        <f t="shared" si="34"/>
        <v>0</v>
      </c>
      <c r="X77">
        <f t="shared" si="34"/>
        <v>0</v>
      </c>
      <c r="Y77">
        <f t="shared" si="34"/>
        <v>0</v>
      </c>
      <c r="Z77">
        <f t="shared" si="34"/>
        <v>0</v>
      </c>
      <c r="AA77">
        <f t="shared" si="34"/>
        <v>0</v>
      </c>
      <c r="AB77">
        <f t="shared" si="34"/>
        <v>0</v>
      </c>
      <c r="AC77">
        <f t="shared" si="34"/>
        <v>0</v>
      </c>
      <c r="AD77">
        <f t="shared" si="34"/>
        <v>0</v>
      </c>
      <c r="AE77">
        <f t="shared" si="34"/>
        <v>0</v>
      </c>
      <c r="AF77">
        <f t="shared" si="34"/>
        <v>0</v>
      </c>
      <c r="AG77">
        <f t="shared" si="34"/>
        <v>0</v>
      </c>
      <c r="AH77">
        <f t="shared" si="34"/>
        <v>0</v>
      </c>
      <c r="AI77">
        <f t="shared" si="34"/>
        <v>0</v>
      </c>
      <c r="AJ77">
        <f t="shared" si="34"/>
        <v>0</v>
      </c>
      <c r="AK77">
        <f t="shared" si="34"/>
        <v>0</v>
      </c>
      <c r="AL77">
        <f t="shared" si="34"/>
        <v>0</v>
      </c>
      <c r="AM77">
        <f t="shared" si="34"/>
        <v>0</v>
      </c>
      <c r="AN77">
        <f t="shared" si="34"/>
        <v>0</v>
      </c>
      <c r="AO77">
        <f t="shared" si="34"/>
        <v>0</v>
      </c>
      <c r="AP77">
        <f t="shared" si="34"/>
        <v>0</v>
      </c>
      <c r="AQ77">
        <f t="shared" si="34"/>
        <v>0</v>
      </c>
      <c r="AR77">
        <f>P77</f>
        <v>0</v>
      </c>
      <c r="AS77">
        <f t="shared" si="34"/>
        <v>0</v>
      </c>
    </row>
    <row r="78" spans="1:68" ht="20.25" customHeight="1">
      <c r="A78" t="s">
        <v>16</v>
      </c>
      <c r="B78" t="s">
        <v>17</v>
      </c>
      <c r="C78" t="s">
        <v>18</v>
      </c>
      <c r="D78">
        <f>D11</f>
        <v>0</v>
      </c>
      <c r="E78">
        <f>F78+H78+I78+J78+K78+L78+M78+N78+O78</f>
        <v>0</v>
      </c>
      <c r="F78">
        <f>D78-AR78</f>
        <v>0</v>
      </c>
      <c r="G78">
        <f>I13</f>
        <v>0</v>
      </c>
      <c r="H78">
        <f>M11</f>
        <v>0</v>
      </c>
      <c r="I78">
        <f>N11</f>
        <v>0</v>
      </c>
      <c r="J78">
        <f t="shared" ref="J78:O79" si="35">P11</f>
        <v>0</v>
      </c>
      <c r="K78">
        <f t="shared" si="35"/>
        <v>0</v>
      </c>
      <c r="L78">
        <f t="shared" si="35"/>
        <v>0</v>
      </c>
      <c r="M78">
        <f t="shared" si="35"/>
        <v>0</v>
      </c>
      <c r="N78">
        <f t="shared" si="35"/>
        <v>0</v>
      </c>
      <c r="O78">
        <f t="shared" si="35"/>
        <v>0</v>
      </c>
      <c r="P78">
        <f>SUM(Q78:AP78)</f>
        <v>0</v>
      </c>
      <c r="Q78">
        <f t="shared" ref="Q78:Y79" si="36">W11</f>
        <v>0</v>
      </c>
      <c r="R78">
        <f t="shared" si="36"/>
        <v>0</v>
      </c>
      <c r="S78">
        <f t="shared" si="36"/>
        <v>0</v>
      </c>
      <c r="T78">
        <f t="shared" si="36"/>
        <v>0</v>
      </c>
      <c r="U78">
        <f t="shared" si="36"/>
        <v>0</v>
      </c>
      <c r="V78">
        <f t="shared" si="36"/>
        <v>0</v>
      </c>
      <c r="W78">
        <f t="shared" si="36"/>
        <v>0</v>
      </c>
      <c r="X78">
        <f t="shared" si="36"/>
        <v>0</v>
      </c>
      <c r="Y78">
        <f t="shared" si="36"/>
        <v>0</v>
      </c>
      <c r="Z78">
        <f>AQ11</f>
        <v>0</v>
      </c>
      <c r="AA78">
        <f t="shared" ref="AA78:AQ79" si="37">AR11</f>
        <v>0</v>
      </c>
      <c r="AB78">
        <f t="shared" si="37"/>
        <v>0</v>
      </c>
      <c r="AC78">
        <f t="shared" si="37"/>
        <v>0</v>
      </c>
      <c r="AD78">
        <f t="shared" si="37"/>
        <v>0</v>
      </c>
      <c r="AE78">
        <f t="shared" si="37"/>
        <v>0</v>
      </c>
      <c r="AF78">
        <f t="shared" si="37"/>
        <v>0</v>
      </c>
      <c r="AG78">
        <f t="shared" si="37"/>
        <v>0</v>
      </c>
      <c r="AH78">
        <f t="shared" si="37"/>
        <v>0</v>
      </c>
      <c r="AI78">
        <f t="shared" si="37"/>
        <v>0</v>
      </c>
      <c r="AJ78">
        <f t="shared" si="37"/>
        <v>0</v>
      </c>
      <c r="AK78">
        <f t="shared" si="37"/>
        <v>0</v>
      </c>
      <c r="AL78">
        <f t="shared" si="37"/>
        <v>0</v>
      </c>
      <c r="AM78">
        <f t="shared" si="37"/>
        <v>0</v>
      </c>
      <c r="AN78">
        <f t="shared" si="37"/>
        <v>0</v>
      </c>
      <c r="AO78">
        <f t="shared" si="37"/>
        <v>0</v>
      </c>
      <c r="AP78">
        <f t="shared" si="37"/>
        <v>0</v>
      </c>
      <c r="AQ78">
        <f t="shared" si="37"/>
        <v>0</v>
      </c>
      <c r="AR78">
        <f>H78+I78+J78+K78+L78+M78+N78+O78+P78+AQ78</f>
        <v>0</v>
      </c>
      <c r="AS78">
        <f>D78+F116-AR78</f>
        <v>0</v>
      </c>
    </row>
    <row r="79" spans="1:68" ht="20.25" customHeight="1">
      <c r="B79" t="s">
        <v>19</v>
      </c>
      <c r="C79" t="s">
        <v>20</v>
      </c>
      <c r="D79">
        <f>D12</f>
        <v>0</v>
      </c>
      <c r="E79">
        <f t="shared" ref="E79:E114" si="38">F79+H79+I79+J79+K79+L79+M79+N79+O79</f>
        <v>0</v>
      </c>
      <c r="G79">
        <f>D79-AR79</f>
        <v>0</v>
      </c>
      <c r="H79">
        <f>M12</f>
        <v>0</v>
      </c>
      <c r="I79">
        <f>N12</f>
        <v>0</v>
      </c>
      <c r="J79">
        <f t="shared" si="35"/>
        <v>0</v>
      </c>
      <c r="K79">
        <f t="shared" si="35"/>
        <v>0</v>
      </c>
      <c r="L79">
        <f t="shared" si="35"/>
        <v>0</v>
      </c>
      <c r="M79">
        <f t="shared" si="35"/>
        <v>0</v>
      </c>
      <c r="N79">
        <f t="shared" si="35"/>
        <v>0</v>
      </c>
      <c r="O79">
        <f t="shared" si="35"/>
        <v>0</v>
      </c>
      <c r="P79">
        <f t="shared" ref="P79:P87" si="39">SUM(Q79:AP79)</f>
        <v>0</v>
      </c>
      <c r="Q79">
        <f t="shared" si="36"/>
        <v>0</v>
      </c>
      <c r="R79">
        <f t="shared" si="36"/>
        <v>0</v>
      </c>
      <c r="S79">
        <f t="shared" si="36"/>
        <v>0</v>
      </c>
      <c r="T79">
        <f t="shared" si="36"/>
        <v>0</v>
      </c>
      <c r="U79">
        <f t="shared" si="36"/>
        <v>0</v>
      </c>
      <c r="V79">
        <f t="shared" si="36"/>
        <v>0</v>
      </c>
      <c r="W79">
        <f t="shared" si="36"/>
        <v>0</v>
      </c>
      <c r="X79">
        <f t="shared" si="36"/>
        <v>0</v>
      </c>
      <c r="Y79">
        <f t="shared" si="36"/>
        <v>0</v>
      </c>
      <c r="Z79">
        <f>AQ12</f>
        <v>0</v>
      </c>
      <c r="AA79">
        <f t="shared" si="37"/>
        <v>0</v>
      </c>
      <c r="AB79">
        <f t="shared" si="37"/>
        <v>0</v>
      </c>
      <c r="AC79">
        <f t="shared" si="37"/>
        <v>0</v>
      </c>
      <c r="AD79">
        <f t="shared" si="37"/>
        <v>0</v>
      </c>
      <c r="AE79">
        <f t="shared" si="37"/>
        <v>0</v>
      </c>
      <c r="AF79">
        <f t="shared" si="37"/>
        <v>0</v>
      </c>
      <c r="AG79">
        <f t="shared" si="37"/>
        <v>0</v>
      </c>
      <c r="AH79">
        <f t="shared" si="37"/>
        <v>0</v>
      </c>
      <c r="AI79">
        <f t="shared" si="37"/>
        <v>0</v>
      </c>
      <c r="AJ79">
        <f t="shared" si="37"/>
        <v>0</v>
      </c>
      <c r="AK79">
        <f t="shared" si="37"/>
        <v>0</v>
      </c>
      <c r="AL79">
        <f t="shared" si="37"/>
        <v>0</v>
      </c>
      <c r="AM79">
        <f t="shared" si="37"/>
        <v>0</v>
      </c>
      <c r="AN79">
        <f t="shared" si="37"/>
        <v>0</v>
      </c>
      <c r="AO79">
        <f t="shared" si="37"/>
        <v>0</v>
      </c>
      <c r="AP79">
        <f t="shared" si="37"/>
        <v>0</v>
      </c>
      <c r="AQ79">
        <f t="shared" si="37"/>
        <v>0</v>
      </c>
      <c r="AR79">
        <f>F79+H79+I79+J79+K79+L79+M79+N79+O79+P79</f>
        <v>0</v>
      </c>
      <c r="AS79">
        <f>D79+G116-AR79</f>
        <v>0</v>
      </c>
    </row>
    <row r="80" spans="1:68" ht="20.25" customHeight="1">
      <c r="A80" t="s">
        <v>21</v>
      </c>
      <c r="B80" t="s">
        <v>22</v>
      </c>
      <c r="C80" t="s">
        <v>23</v>
      </c>
      <c r="D80">
        <f>D16</f>
        <v>0</v>
      </c>
      <c r="E80">
        <f t="shared" si="38"/>
        <v>0</v>
      </c>
      <c r="F80">
        <f>H16</f>
        <v>0</v>
      </c>
      <c r="G80">
        <f>I16</f>
        <v>0</v>
      </c>
      <c r="H80">
        <f>D80-AR80</f>
        <v>0</v>
      </c>
      <c r="I80">
        <f>N16</f>
        <v>0</v>
      </c>
      <c r="J80">
        <f t="shared" ref="J80:O81" si="40">P16</f>
        <v>0</v>
      </c>
      <c r="K80">
        <f t="shared" si="40"/>
        <v>0</v>
      </c>
      <c r="L80">
        <f t="shared" si="40"/>
        <v>0</v>
      </c>
      <c r="M80">
        <f t="shared" si="40"/>
        <v>0</v>
      </c>
      <c r="N80">
        <f t="shared" si="40"/>
        <v>0</v>
      </c>
      <c r="O80">
        <f t="shared" si="40"/>
        <v>0</v>
      </c>
      <c r="P80">
        <f t="shared" si="39"/>
        <v>0</v>
      </c>
      <c r="Q80">
        <f t="shared" ref="Q80:Y81" si="41">W16</f>
        <v>0</v>
      </c>
      <c r="R80">
        <f t="shared" si="41"/>
        <v>0</v>
      </c>
      <c r="S80">
        <f t="shared" si="41"/>
        <v>0</v>
      </c>
      <c r="T80">
        <f t="shared" si="41"/>
        <v>0</v>
      </c>
      <c r="U80">
        <f t="shared" si="41"/>
        <v>0</v>
      </c>
      <c r="V80">
        <f t="shared" si="41"/>
        <v>0</v>
      </c>
      <c r="W80">
        <f t="shared" si="41"/>
        <v>0</v>
      </c>
      <c r="X80">
        <f t="shared" si="41"/>
        <v>0</v>
      </c>
      <c r="Y80">
        <f t="shared" si="41"/>
        <v>0</v>
      </c>
      <c r="Z80">
        <f>AQ16</f>
        <v>0</v>
      </c>
      <c r="AA80">
        <f t="shared" ref="AA80:AQ81" si="42">AR16</f>
        <v>0</v>
      </c>
      <c r="AB80">
        <f t="shared" si="42"/>
        <v>0</v>
      </c>
      <c r="AC80">
        <f t="shared" si="42"/>
        <v>0</v>
      </c>
      <c r="AD80">
        <f t="shared" si="42"/>
        <v>0</v>
      </c>
      <c r="AE80">
        <f t="shared" si="42"/>
        <v>0</v>
      </c>
      <c r="AF80">
        <f t="shared" si="42"/>
        <v>0</v>
      </c>
      <c r="AG80">
        <f t="shared" si="42"/>
        <v>0</v>
      </c>
      <c r="AH80">
        <f t="shared" si="42"/>
        <v>0</v>
      </c>
      <c r="AI80">
        <f t="shared" si="42"/>
        <v>0</v>
      </c>
      <c r="AJ80">
        <f t="shared" si="42"/>
        <v>0</v>
      </c>
      <c r="AK80">
        <f t="shared" si="42"/>
        <v>0</v>
      </c>
      <c r="AL80">
        <f t="shared" si="42"/>
        <v>0</v>
      </c>
      <c r="AM80">
        <f t="shared" si="42"/>
        <v>0</v>
      </c>
      <c r="AN80">
        <f t="shared" si="42"/>
        <v>0</v>
      </c>
      <c r="AO80">
        <f t="shared" si="42"/>
        <v>0</v>
      </c>
      <c r="AP80">
        <f t="shared" si="42"/>
        <v>0</v>
      </c>
      <c r="AQ80">
        <f t="shared" si="42"/>
        <v>0</v>
      </c>
      <c r="AR80">
        <f>F80+I80+J80+K80+L80+M80+N80+O80+P80</f>
        <v>0</v>
      </c>
      <c r="AS80">
        <f>D80+H116-AR80</f>
        <v>0</v>
      </c>
    </row>
    <row r="81" spans="1:45" ht="20.25" customHeight="1">
      <c r="A81" t="s">
        <v>24</v>
      </c>
      <c r="B81" t="s">
        <v>25</v>
      </c>
      <c r="C81" t="s">
        <v>26</v>
      </c>
      <c r="D81">
        <f>D17</f>
        <v>0</v>
      </c>
      <c r="E81">
        <f t="shared" si="38"/>
        <v>0</v>
      </c>
      <c r="F81">
        <f>H17</f>
        <v>0</v>
      </c>
      <c r="G81">
        <f>I17</f>
        <v>0</v>
      </c>
      <c r="H81">
        <f>M17</f>
        <v>0</v>
      </c>
      <c r="I81">
        <f>D81-AR81</f>
        <v>0</v>
      </c>
      <c r="J81">
        <f t="shared" si="40"/>
        <v>0</v>
      </c>
      <c r="K81">
        <f t="shared" si="40"/>
        <v>0</v>
      </c>
      <c r="L81">
        <f t="shared" si="40"/>
        <v>0</v>
      </c>
      <c r="M81">
        <f t="shared" si="40"/>
        <v>0</v>
      </c>
      <c r="N81">
        <f t="shared" si="40"/>
        <v>0</v>
      </c>
      <c r="O81">
        <f t="shared" si="40"/>
        <v>0</v>
      </c>
      <c r="P81">
        <f t="shared" si="39"/>
        <v>0</v>
      </c>
      <c r="Q81">
        <f t="shared" si="41"/>
        <v>0</v>
      </c>
      <c r="R81">
        <f t="shared" si="41"/>
        <v>0</v>
      </c>
      <c r="S81">
        <f t="shared" si="41"/>
        <v>0</v>
      </c>
      <c r="T81">
        <f t="shared" si="41"/>
        <v>0</v>
      </c>
      <c r="U81">
        <f t="shared" si="41"/>
        <v>0</v>
      </c>
      <c r="V81">
        <f t="shared" si="41"/>
        <v>0</v>
      </c>
      <c r="W81">
        <f t="shared" si="41"/>
        <v>0</v>
      </c>
      <c r="X81">
        <f t="shared" si="41"/>
        <v>0</v>
      </c>
      <c r="Y81">
        <f t="shared" si="41"/>
        <v>0</v>
      </c>
      <c r="Z81">
        <f>AQ17</f>
        <v>0</v>
      </c>
      <c r="AA81">
        <f t="shared" si="42"/>
        <v>0</v>
      </c>
      <c r="AB81">
        <f t="shared" si="42"/>
        <v>0</v>
      </c>
      <c r="AC81">
        <f t="shared" si="42"/>
        <v>0</v>
      </c>
      <c r="AD81">
        <f t="shared" si="42"/>
        <v>0</v>
      </c>
      <c r="AE81">
        <f t="shared" si="42"/>
        <v>0</v>
      </c>
      <c r="AF81">
        <f t="shared" si="42"/>
        <v>0</v>
      </c>
      <c r="AG81">
        <f t="shared" si="42"/>
        <v>0</v>
      </c>
      <c r="AH81">
        <f t="shared" si="42"/>
        <v>0</v>
      </c>
      <c r="AI81">
        <f t="shared" si="42"/>
        <v>0</v>
      </c>
      <c r="AJ81">
        <f t="shared" si="42"/>
        <v>0</v>
      </c>
      <c r="AK81">
        <f t="shared" si="42"/>
        <v>0</v>
      </c>
      <c r="AL81">
        <f t="shared" si="42"/>
        <v>0</v>
      </c>
      <c r="AM81">
        <f t="shared" si="42"/>
        <v>0</v>
      </c>
      <c r="AN81">
        <f t="shared" si="42"/>
        <v>0</v>
      </c>
      <c r="AO81">
        <f t="shared" si="42"/>
        <v>0</v>
      </c>
      <c r="AP81">
        <f t="shared" si="42"/>
        <v>0</v>
      </c>
      <c r="AQ81">
        <f t="shared" si="42"/>
        <v>0</v>
      </c>
      <c r="AR81">
        <f>F81+H81+J81+K81+L81+M81+N81+O81+P81</f>
        <v>0</v>
      </c>
      <c r="AS81">
        <f>D81+I116-AR81</f>
        <v>0</v>
      </c>
    </row>
    <row r="82" spans="1:45" ht="20.25" customHeight="1">
      <c r="A82" t="s">
        <v>27</v>
      </c>
      <c r="B82" t="s">
        <v>28</v>
      </c>
      <c r="C82" t="s">
        <v>29</v>
      </c>
      <c r="D82">
        <f t="shared" ref="D82:D87" si="43">D19</f>
        <v>0</v>
      </c>
      <c r="E82">
        <f t="shared" si="38"/>
        <v>0</v>
      </c>
      <c r="F82">
        <f>H20</f>
        <v>0</v>
      </c>
      <c r="G82">
        <f>I20</f>
        <v>0</v>
      </c>
      <c r="H82">
        <f>M20</f>
        <v>0</v>
      </c>
      <c r="I82">
        <f>N20</f>
        <v>0</v>
      </c>
      <c r="J82">
        <f>D82-AR82</f>
        <v>0</v>
      </c>
      <c r="K82">
        <f>Q19</f>
        <v>0</v>
      </c>
      <c r="L82">
        <f>R19</f>
        <v>0</v>
      </c>
      <c r="M82">
        <f t="shared" ref="M82:O83" si="44">S20</f>
        <v>0</v>
      </c>
      <c r="N82">
        <f t="shared" si="44"/>
        <v>0</v>
      </c>
      <c r="O82">
        <f t="shared" si="44"/>
        <v>0</v>
      </c>
      <c r="P82">
        <f t="shared" si="39"/>
        <v>0</v>
      </c>
      <c r="Q82">
        <f>W20</f>
        <v>0</v>
      </c>
      <c r="R82">
        <f>X20</f>
        <v>0</v>
      </c>
      <c r="S82">
        <f>Z20</f>
        <v>0</v>
      </c>
      <c r="T82">
        <f t="shared" ref="T82:Y83" si="45">Z20</f>
        <v>0</v>
      </c>
      <c r="U82">
        <f t="shared" si="45"/>
        <v>0</v>
      </c>
      <c r="V82">
        <f t="shared" si="45"/>
        <v>0</v>
      </c>
      <c r="W82">
        <f t="shared" si="45"/>
        <v>0</v>
      </c>
      <c r="X82">
        <f t="shared" si="45"/>
        <v>0</v>
      </c>
      <c r="Y82">
        <f t="shared" si="45"/>
        <v>0</v>
      </c>
      <c r="Z82">
        <f>AQ20</f>
        <v>0</v>
      </c>
      <c r="AA82">
        <f t="shared" ref="AA82:AQ83" si="46">AR20</f>
        <v>0</v>
      </c>
      <c r="AB82">
        <f t="shared" si="46"/>
        <v>0</v>
      </c>
      <c r="AC82">
        <f t="shared" si="46"/>
        <v>0</v>
      </c>
      <c r="AD82">
        <f t="shared" si="46"/>
        <v>0</v>
      </c>
      <c r="AE82">
        <f t="shared" si="46"/>
        <v>0</v>
      </c>
      <c r="AF82">
        <f t="shared" si="46"/>
        <v>0</v>
      </c>
      <c r="AG82">
        <f t="shared" si="46"/>
        <v>0</v>
      </c>
      <c r="AH82">
        <f t="shared" si="46"/>
        <v>0</v>
      </c>
      <c r="AI82">
        <f t="shared" si="46"/>
        <v>0</v>
      </c>
      <c r="AJ82">
        <f t="shared" si="46"/>
        <v>0</v>
      </c>
      <c r="AK82">
        <f t="shared" si="46"/>
        <v>0</v>
      </c>
      <c r="AL82">
        <f t="shared" si="46"/>
        <v>0</v>
      </c>
      <c r="AM82">
        <f t="shared" si="46"/>
        <v>0</v>
      </c>
      <c r="AN82">
        <f t="shared" si="46"/>
        <v>0</v>
      </c>
      <c r="AO82">
        <f t="shared" si="46"/>
        <v>0</v>
      </c>
      <c r="AP82">
        <f t="shared" si="46"/>
        <v>0</v>
      </c>
      <c r="AQ82">
        <f t="shared" si="46"/>
        <v>0</v>
      </c>
      <c r="AR82">
        <f>F82+H82+I82+K82+L82+M82+N82+O82+P82</f>
        <v>0</v>
      </c>
      <c r="AS82">
        <f>D82+J116-AR82</f>
        <v>0</v>
      </c>
    </row>
    <row r="83" spans="1:45" ht="20.25" customHeight="1">
      <c r="A83" t="s">
        <v>30</v>
      </c>
      <c r="B83" t="s">
        <v>31</v>
      </c>
      <c r="C83" t="s">
        <v>32</v>
      </c>
      <c r="D83">
        <f t="shared" si="43"/>
        <v>0</v>
      </c>
      <c r="E83">
        <f t="shared" si="38"/>
        <v>0</v>
      </c>
      <c r="F83">
        <f>H21</f>
        <v>0</v>
      </c>
      <c r="G83">
        <f>I21</f>
        <v>0</v>
      </c>
      <c r="H83">
        <f>M21</f>
        <v>0</v>
      </c>
      <c r="I83">
        <f>N21</f>
        <v>0</v>
      </c>
      <c r="J83">
        <f>P20</f>
        <v>0</v>
      </c>
      <c r="K83">
        <f>D83-AR83</f>
        <v>0</v>
      </c>
      <c r="L83">
        <f>R20</f>
        <v>0</v>
      </c>
      <c r="M83">
        <f t="shared" si="44"/>
        <v>0</v>
      </c>
      <c r="N83">
        <f t="shared" si="44"/>
        <v>0</v>
      </c>
      <c r="O83">
        <f t="shared" si="44"/>
        <v>0</v>
      </c>
      <c r="P83">
        <f t="shared" si="39"/>
        <v>0</v>
      </c>
      <c r="Q83">
        <f>W21</f>
        <v>0</v>
      </c>
      <c r="R83">
        <f>X21</f>
        <v>0</v>
      </c>
      <c r="S83">
        <f>Z21</f>
        <v>0</v>
      </c>
      <c r="T83">
        <f t="shared" si="45"/>
        <v>0</v>
      </c>
      <c r="U83">
        <f t="shared" si="45"/>
        <v>0</v>
      </c>
      <c r="V83">
        <f t="shared" si="45"/>
        <v>0</v>
      </c>
      <c r="W83">
        <f t="shared" si="45"/>
        <v>0</v>
      </c>
      <c r="X83">
        <f t="shared" si="45"/>
        <v>0</v>
      </c>
      <c r="Y83">
        <f t="shared" si="45"/>
        <v>0</v>
      </c>
      <c r="Z83">
        <f>AQ21</f>
        <v>0</v>
      </c>
      <c r="AA83">
        <f t="shared" si="46"/>
        <v>0</v>
      </c>
      <c r="AB83">
        <f t="shared" si="46"/>
        <v>0</v>
      </c>
      <c r="AC83">
        <f t="shared" si="46"/>
        <v>0</v>
      </c>
      <c r="AD83">
        <f t="shared" si="46"/>
        <v>0</v>
      </c>
      <c r="AE83">
        <f t="shared" si="46"/>
        <v>0</v>
      </c>
      <c r="AF83">
        <f t="shared" si="46"/>
        <v>0</v>
      </c>
      <c r="AG83">
        <f t="shared" si="46"/>
        <v>0</v>
      </c>
      <c r="AH83">
        <f t="shared" si="46"/>
        <v>0</v>
      </c>
      <c r="AI83">
        <f t="shared" si="46"/>
        <v>0</v>
      </c>
      <c r="AJ83">
        <f t="shared" si="46"/>
        <v>0</v>
      </c>
      <c r="AK83">
        <f t="shared" si="46"/>
        <v>0</v>
      </c>
      <c r="AL83">
        <f t="shared" si="46"/>
        <v>0</v>
      </c>
      <c r="AM83">
        <f t="shared" si="46"/>
        <v>0</v>
      </c>
      <c r="AN83">
        <f t="shared" si="46"/>
        <v>0</v>
      </c>
      <c r="AO83">
        <f t="shared" si="46"/>
        <v>0</v>
      </c>
      <c r="AP83">
        <f t="shared" si="46"/>
        <v>0</v>
      </c>
      <c r="AQ83">
        <f t="shared" si="46"/>
        <v>0</v>
      </c>
      <c r="AR83">
        <f>F83+H83+I83+J83+L83+M83+N83+O83+P83</f>
        <v>0</v>
      </c>
      <c r="AS83">
        <f>D83+K116-AR83</f>
        <v>0</v>
      </c>
    </row>
    <row r="84" spans="1:45" ht="20.25" customHeight="1">
      <c r="A84" t="s">
        <v>33</v>
      </c>
      <c r="B84" t="s">
        <v>34</v>
      </c>
      <c r="C84" t="s">
        <v>35</v>
      </c>
      <c r="D84">
        <f t="shared" si="43"/>
        <v>0</v>
      </c>
      <c r="E84">
        <f t="shared" si="38"/>
        <v>0</v>
      </c>
      <c r="F84">
        <f>H19</f>
        <v>0</v>
      </c>
      <c r="G84">
        <f>I19</f>
        <v>0</v>
      </c>
      <c r="H84">
        <f>M19</f>
        <v>0</v>
      </c>
      <c r="I84">
        <f>N19</f>
        <v>0</v>
      </c>
      <c r="J84">
        <f>P21</f>
        <v>0</v>
      </c>
      <c r="K84">
        <f>Q21</f>
        <v>0</v>
      </c>
      <c r="L84">
        <f>D84-AR84</f>
        <v>0</v>
      </c>
      <c r="M84">
        <f>S19</f>
        <v>0</v>
      </c>
      <c r="N84">
        <f>T19</f>
        <v>0</v>
      </c>
      <c r="O84">
        <f>U19</f>
        <v>0</v>
      </c>
      <c r="P84">
        <f t="shared" si="39"/>
        <v>0</v>
      </c>
      <c r="Q84">
        <f t="shared" ref="Q84:Y84" si="47">W19</f>
        <v>0</v>
      </c>
      <c r="R84">
        <f t="shared" si="47"/>
        <v>0</v>
      </c>
      <c r="S84">
        <f t="shared" si="47"/>
        <v>0</v>
      </c>
      <c r="T84">
        <f t="shared" si="47"/>
        <v>0</v>
      </c>
      <c r="U84">
        <f t="shared" si="47"/>
        <v>0</v>
      </c>
      <c r="V84">
        <f t="shared" si="47"/>
        <v>0</v>
      </c>
      <c r="W84">
        <f t="shared" si="47"/>
        <v>0</v>
      </c>
      <c r="X84">
        <f t="shared" si="47"/>
        <v>0</v>
      </c>
      <c r="Y84">
        <f t="shared" si="47"/>
        <v>0</v>
      </c>
      <c r="Z84">
        <f>AQ19</f>
        <v>0</v>
      </c>
      <c r="AA84">
        <f t="shared" ref="AA84:AQ84" si="48">AR19</f>
        <v>0</v>
      </c>
      <c r="AB84">
        <f t="shared" si="48"/>
        <v>0</v>
      </c>
      <c r="AC84">
        <f t="shared" si="48"/>
        <v>0</v>
      </c>
      <c r="AD84">
        <f t="shared" si="48"/>
        <v>0</v>
      </c>
      <c r="AE84">
        <f t="shared" si="48"/>
        <v>0</v>
      </c>
      <c r="AF84">
        <f t="shared" si="48"/>
        <v>0</v>
      </c>
      <c r="AG84">
        <f t="shared" si="48"/>
        <v>0</v>
      </c>
      <c r="AH84">
        <f t="shared" si="48"/>
        <v>0</v>
      </c>
      <c r="AI84">
        <f t="shared" si="48"/>
        <v>0</v>
      </c>
      <c r="AJ84">
        <f t="shared" si="48"/>
        <v>0</v>
      </c>
      <c r="AK84">
        <f t="shared" si="48"/>
        <v>0</v>
      </c>
      <c r="AL84">
        <f t="shared" si="48"/>
        <v>0</v>
      </c>
      <c r="AM84">
        <f t="shared" si="48"/>
        <v>0</v>
      </c>
      <c r="AN84">
        <f t="shared" si="48"/>
        <v>0</v>
      </c>
      <c r="AO84">
        <f t="shared" si="48"/>
        <v>0</v>
      </c>
      <c r="AP84">
        <f t="shared" si="48"/>
        <v>0</v>
      </c>
      <c r="AQ84">
        <f t="shared" si="48"/>
        <v>0</v>
      </c>
      <c r="AR84">
        <f>F84+H84+I84+J84+K84+M84+N84+O84+P84</f>
        <v>0</v>
      </c>
      <c r="AS84">
        <f>D84+L116-AR84</f>
        <v>0</v>
      </c>
    </row>
    <row r="85" spans="1:45" ht="20.25" customHeight="1">
      <c r="A85" t="s">
        <v>36</v>
      </c>
      <c r="B85" t="s">
        <v>37</v>
      </c>
      <c r="C85" t="s">
        <v>38</v>
      </c>
      <c r="D85">
        <f t="shared" si="43"/>
        <v>0</v>
      </c>
      <c r="E85">
        <f t="shared" si="38"/>
        <v>0</v>
      </c>
      <c r="F85">
        <f t="shared" ref="F85:G87" si="49">H22</f>
        <v>0</v>
      </c>
      <c r="G85">
        <f t="shared" si="49"/>
        <v>0</v>
      </c>
      <c r="H85">
        <f t="shared" ref="H85:I87" si="50">M22</f>
        <v>0</v>
      </c>
      <c r="I85">
        <f t="shared" si="50"/>
        <v>0</v>
      </c>
      <c r="J85">
        <f>P22</f>
        <v>0</v>
      </c>
      <c r="K85">
        <f>Q22</f>
        <v>0</v>
      </c>
      <c r="L85">
        <f>R22</f>
        <v>0</v>
      </c>
      <c r="M85">
        <f>D85-AR85</f>
        <v>0</v>
      </c>
      <c r="N85">
        <f>T22</f>
        <v>0</v>
      </c>
      <c r="O85">
        <f>U22</f>
        <v>0</v>
      </c>
      <c r="P85">
        <f>SUM(Q85:AP85)</f>
        <v>0</v>
      </c>
      <c r="Q85">
        <f t="shared" ref="Q85:Y87" si="51">W22</f>
        <v>0</v>
      </c>
      <c r="R85">
        <f t="shared" si="51"/>
        <v>0</v>
      </c>
      <c r="S85">
        <f t="shared" si="51"/>
        <v>0</v>
      </c>
      <c r="T85">
        <f t="shared" si="51"/>
        <v>0</v>
      </c>
      <c r="U85">
        <f t="shared" si="51"/>
        <v>0</v>
      </c>
      <c r="V85">
        <f t="shared" si="51"/>
        <v>0</v>
      </c>
      <c r="W85">
        <f t="shared" si="51"/>
        <v>0</v>
      </c>
      <c r="X85">
        <f t="shared" si="51"/>
        <v>0</v>
      </c>
      <c r="Y85">
        <f t="shared" si="51"/>
        <v>0</v>
      </c>
      <c r="Z85">
        <f t="shared" ref="Z85:AP85" si="52">AQ22</f>
        <v>0</v>
      </c>
      <c r="AA85">
        <f t="shared" si="52"/>
        <v>0</v>
      </c>
      <c r="AB85">
        <f t="shared" si="52"/>
        <v>0</v>
      </c>
      <c r="AC85">
        <f t="shared" si="52"/>
        <v>0</v>
      </c>
      <c r="AD85">
        <f t="shared" si="52"/>
        <v>0</v>
      </c>
      <c r="AE85">
        <f t="shared" si="52"/>
        <v>0</v>
      </c>
      <c r="AF85">
        <f t="shared" si="52"/>
        <v>0</v>
      </c>
      <c r="AG85">
        <f t="shared" si="52"/>
        <v>0</v>
      </c>
      <c r="AH85">
        <f t="shared" si="52"/>
        <v>0</v>
      </c>
      <c r="AI85">
        <f t="shared" si="52"/>
        <v>0</v>
      </c>
      <c r="AJ85">
        <f t="shared" si="52"/>
        <v>0</v>
      </c>
      <c r="AK85">
        <f t="shared" si="52"/>
        <v>0</v>
      </c>
      <c r="AL85">
        <f t="shared" si="52"/>
        <v>0</v>
      </c>
      <c r="AM85">
        <f t="shared" si="52"/>
        <v>0</v>
      </c>
      <c r="AN85">
        <f t="shared" si="52"/>
        <v>0</v>
      </c>
      <c r="AO85">
        <f t="shared" si="52"/>
        <v>0</v>
      </c>
      <c r="AP85">
        <f t="shared" si="52"/>
        <v>0</v>
      </c>
      <c r="AQ85">
        <f t="shared" ref="AA85:AQ87" si="53">BH22</f>
        <v>0</v>
      </c>
      <c r="AR85">
        <f>F85+H85+I85+J85+K85+L85+N85+O85+P85</f>
        <v>0</v>
      </c>
      <c r="AS85">
        <f>D85+M116-AR85</f>
        <v>0</v>
      </c>
    </row>
    <row r="86" spans="1:45" ht="20.25" customHeight="1">
      <c r="A86" t="s">
        <v>39</v>
      </c>
      <c r="B86" t="s">
        <v>40</v>
      </c>
      <c r="C86" t="s">
        <v>41</v>
      </c>
      <c r="D86">
        <f t="shared" si="43"/>
        <v>0</v>
      </c>
      <c r="E86">
        <f t="shared" si="38"/>
        <v>0</v>
      </c>
      <c r="F86">
        <f t="shared" si="49"/>
        <v>0</v>
      </c>
      <c r="G86">
        <f t="shared" si="49"/>
        <v>0</v>
      </c>
      <c r="H86">
        <f t="shared" si="50"/>
        <v>0</v>
      </c>
      <c r="I86">
        <f t="shared" si="50"/>
        <v>0</v>
      </c>
      <c r="J86">
        <f>P23</f>
        <v>0</v>
      </c>
      <c r="K86">
        <f>Q23</f>
        <v>0</v>
      </c>
      <c r="L86">
        <f>R23</f>
        <v>0</v>
      </c>
      <c r="M86">
        <f>S23</f>
        <v>0</v>
      </c>
      <c r="N86">
        <f>D86-AR86</f>
        <v>0</v>
      </c>
      <c r="O86">
        <f>U23</f>
        <v>0</v>
      </c>
      <c r="P86">
        <f t="shared" si="39"/>
        <v>0</v>
      </c>
      <c r="Q86">
        <f t="shared" si="51"/>
        <v>0</v>
      </c>
      <c r="R86">
        <f t="shared" si="51"/>
        <v>0</v>
      </c>
      <c r="S86">
        <f t="shared" si="51"/>
        <v>0</v>
      </c>
      <c r="T86">
        <f t="shared" si="51"/>
        <v>0</v>
      </c>
      <c r="U86">
        <f t="shared" si="51"/>
        <v>0</v>
      </c>
      <c r="V86">
        <f t="shared" si="51"/>
        <v>0</v>
      </c>
      <c r="W86">
        <f t="shared" si="51"/>
        <v>0</v>
      </c>
      <c r="X86">
        <f t="shared" si="51"/>
        <v>0</v>
      </c>
      <c r="Y86">
        <f t="shared" si="51"/>
        <v>0</v>
      </c>
      <c r="Z86">
        <f>AQ23</f>
        <v>0</v>
      </c>
      <c r="AA86">
        <f t="shared" si="53"/>
        <v>0</v>
      </c>
      <c r="AB86">
        <f t="shared" si="53"/>
        <v>0</v>
      </c>
      <c r="AC86">
        <f t="shared" si="53"/>
        <v>0</v>
      </c>
      <c r="AD86">
        <f t="shared" si="53"/>
        <v>0</v>
      </c>
      <c r="AE86">
        <f t="shared" si="53"/>
        <v>0</v>
      </c>
      <c r="AF86">
        <f t="shared" si="53"/>
        <v>0</v>
      </c>
      <c r="AG86">
        <f t="shared" si="53"/>
        <v>0</v>
      </c>
      <c r="AH86">
        <f t="shared" si="53"/>
        <v>0</v>
      </c>
      <c r="AI86">
        <f t="shared" si="53"/>
        <v>0</v>
      </c>
      <c r="AJ86">
        <f t="shared" si="53"/>
        <v>0</v>
      </c>
      <c r="AK86">
        <f t="shared" si="53"/>
        <v>0</v>
      </c>
      <c r="AL86">
        <f t="shared" si="53"/>
        <v>0</v>
      </c>
      <c r="AM86">
        <f t="shared" si="53"/>
        <v>0</v>
      </c>
      <c r="AN86">
        <f t="shared" si="53"/>
        <v>0</v>
      </c>
      <c r="AO86">
        <f t="shared" si="53"/>
        <v>0</v>
      </c>
      <c r="AP86">
        <f t="shared" si="53"/>
        <v>0</v>
      </c>
      <c r="AQ86">
        <f t="shared" si="53"/>
        <v>0</v>
      </c>
      <c r="AR86">
        <f>F86+H86+I86+J86+K86+L86+M86+O86+P86</f>
        <v>0</v>
      </c>
      <c r="AS86">
        <f>D86+N116-AR86</f>
        <v>0</v>
      </c>
    </row>
    <row r="87" spans="1:45" ht="20.25" customHeight="1">
      <c r="A87">
        <v>2</v>
      </c>
      <c r="B87" t="s">
        <v>43</v>
      </c>
      <c r="C87" t="s">
        <v>44</v>
      </c>
      <c r="D87">
        <f t="shared" si="43"/>
        <v>0</v>
      </c>
      <c r="E87">
        <f t="shared" si="38"/>
        <v>0</v>
      </c>
      <c r="F87">
        <f t="shared" si="49"/>
        <v>0</v>
      </c>
      <c r="G87">
        <f t="shared" si="49"/>
        <v>0</v>
      </c>
      <c r="H87">
        <f t="shared" si="50"/>
        <v>0</v>
      </c>
      <c r="I87">
        <f t="shared" si="50"/>
        <v>0</v>
      </c>
      <c r="J87">
        <f>P24</f>
        <v>0</v>
      </c>
      <c r="K87">
        <f>Q24</f>
        <v>0</v>
      </c>
      <c r="L87">
        <f>R24</f>
        <v>0</v>
      </c>
      <c r="M87">
        <f>S24</f>
        <v>0</v>
      </c>
      <c r="N87">
        <f>T24</f>
        <v>0</v>
      </c>
      <c r="O87">
        <f>D87-AR87</f>
        <v>0</v>
      </c>
      <c r="P87">
        <f t="shared" si="39"/>
        <v>0</v>
      </c>
      <c r="Q87">
        <f t="shared" si="51"/>
        <v>0</v>
      </c>
      <c r="R87">
        <f t="shared" si="51"/>
        <v>0</v>
      </c>
      <c r="S87">
        <f t="shared" si="51"/>
        <v>0</v>
      </c>
      <c r="T87">
        <f t="shared" si="51"/>
        <v>0</v>
      </c>
      <c r="U87">
        <f t="shared" si="51"/>
        <v>0</v>
      </c>
      <c r="V87">
        <f t="shared" si="51"/>
        <v>0</v>
      </c>
      <c r="W87">
        <f t="shared" si="51"/>
        <v>0</v>
      </c>
      <c r="X87">
        <f t="shared" si="51"/>
        <v>0</v>
      </c>
      <c r="Y87">
        <f t="shared" si="51"/>
        <v>0</v>
      </c>
      <c r="Z87">
        <f>AQ24</f>
        <v>0</v>
      </c>
      <c r="AA87">
        <f t="shared" si="53"/>
        <v>0</v>
      </c>
      <c r="AB87">
        <f t="shared" si="53"/>
        <v>0</v>
      </c>
      <c r="AC87">
        <f t="shared" si="53"/>
        <v>0</v>
      </c>
      <c r="AD87">
        <f t="shared" si="53"/>
        <v>0</v>
      </c>
      <c r="AE87">
        <f t="shared" si="53"/>
        <v>0</v>
      </c>
      <c r="AF87">
        <f t="shared" si="53"/>
        <v>0</v>
      </c>
      <c r="AG87">
        <f t="shared" si="53"/>
        <v>0</v>
      </c>
      <c r="AH87">
        <f t="shared" si="53"/>
        <v>0</v>
      </c>
      <c r="AI87">
        <f t="shared" si="53"/>
        <v>0</v>
      </c>
      <c r="AJ87">
        <f t="shared" si="53"/>
        <v>0</v>
      </c>
      <c r="AK87">
        <f t="shared" si="53"/>
        <v>0</v>
      </c>
      <c r="AL87">
        <f t="shared" si="53"/>
        <v>0</v>
      </c>
      <c r="AM87">
        <f t="shared" si="53"/>
        <v>0</v>
      </c>
      <c r="AN87">
        <f t="shared" si="53"/>
        <v>0</v>
      </c>
      <c r="AO87">
        <f t="shared" si="53"/>
        <v>0</v>
      </c>
      <c r="AP87">
        <f t="shared" si="53"/>
        <v>0</v>
      </c>
      <c r="AQ87">
        <f t="shared" si="53"/>
        <v>0</v>
      </c>
      <c r="AR87">
        <f>F87+H87+I87+J87+K87+L87+M87+N87+P87</f>
        <v>0</v>
      </c>
      <c r="AS87">
        <f>D87+O116-AR87</f>
        <v>0</v>
      </c>
    </row>
    <row r="88" spans="1:45" ht="20.25" customHeight="1">
      <c r="A88">
        <v>2</v>
      </c>
      <c r="B88" t="s">
        <v>45</v>
      </c>
      <c r="C88" t="s">
        <v>46</v>
      </c>
      <c r="D88">
        <f>SUM(D89:D114)</f>
        <v>0</v>
      </c>
      <c r="E88">
        <f t="shared" ref="E88:AS88" si="54">SUM(E89:E114)</f>
        <v>0</v>
      </c>
      <c r="F88">
        <f t="shared" si="54"/>
        <v>0</v>
      </c>
      <c r="G88">
        <f t="shared" si="54"/>
        <v>0</v>
      </c>
      <c r="H88">
        <f t="shared" si="54"/>
        <v>0</v>
      </c>
      <c r="I88">
        <f t="shared" si="54"/>
        <v>0</v>
      </c>
      <c r="J88">
        <f t="shared" si="54"/>
        <v>0</v>
      </c>
      <c r="K88">
        <f t="shared" si="54"/>
        <v>0</v>
      </c>
      <c r="L88">
        <f t="shared" si="54"/>
        <v>0</v>
      </c>
      <c r="M88">
        <f t="shared" si="54"/>
        <v>0</v>
      </c>
      <c r="N88">
        <f t="shared" si="54"/>
        <v>0</v>
      </c>
      <c r="O88">
        <f t="shared" si="54"/>
        <v>0</v>
      </c>
      <c r="P88">
        <f t="shared" si="54"/>
        <v>0</v>
      </c>
      <c r="Q88">
        <f t="shared" si="54"/>
        <v>0</v>
      </c>
      <c r="R88">
        <f t="shared" si="54"/>
        <v>0</v>
      </c>
      <c r="S88">
        <f t="shared" si="54"/>
        <v>0</v>
      </c>
      <c r="T88">
        <f t="shared" si="54"/>
        <v>0</v>
      </c>
      <c r="U88">
        <f t="shared" si="54"/>
        <v>0</v>
      </c>
      <c r="V88">
        <f t="shared" si="54"/>
        <v>0</v>
      </c>
      <c r="W88">
        <f t="shared" si="54"/>
        <v>0</v>
      </c>
      <c r="X88">
        <f t="shared" si="54"/>
        <v>0</v>
      </c>
      <c r="Y88">
        <f t="shared" si="54"/>
        <v>0</v>
      </c>
      <c r="Z88">
        <f t="shared" si="54"/>
        <v>0</v>
      </c>
      <c r="AA88">
        <f t="shared" si="54"/>
        <v>0</v>
      </c>
      <c r="AB88">
        <f t="shared" si="54"/>
        <v>0</v>
      </c>
      <c r="AC88">
        <f t="shared" si="54"/>
        <v>0</v>
      </c>
      <c r="AD88">
        <f t="shared" si="54"/>
        <v>0</v>
      </c>
      <c r="AE88">
        <f t="shared" si="54"/>
        <v>0</v>
      </c>
      <c r="AF88">
        <f t="shared" si="54"/>
        <v>0</v>
      </c>
      <c r="AG88">
        <f t="shared" si="54"/>
        <v>0</v>
      </c>
      <c r="AH88">
        <f t="shared" si="54"/>
        <v>0</v>
      </c>
      <c r="AI88">
        <f t="shared" si="54"/>
        <v>0</v>
      </c>
      <c r="AJ88">
        <f t="shared" si="54"/>
        <v>0</v>
      </c>
      <c r="AK88">
        <f t="shared" si="54"/>
        <v>0</v>
      </c>
      <c r="AL88">
        <f t="shared" si="54"/>
        <v>0</v>
      </c>
      <c r="AM88">
        <f t="shared" si="54"/>
        <v>0</v>
      </c>
      <c r="AN88">
        <f t="shared" si="54"/>
        <v>0</v>
      </c>
      <c r="AO88">
        <f t="shared" si="54"/>
        <v>0</v>
      </c>
      <c r="AP88">
        <f t="shared" si="54"/>
        <v>0</v>
      </c>
      <c r="AQ88">
        <f t="shared" si="54"/>
        <v>0</v>
      </c>
      <c r="AR88">
        <f>E88+AQ88</f>
        <v>0</v>
      </c>
      <c r="AS88">
        <f t="shared" si="54"/>
        <v>0</v>
      </c>
    </row>
    <row r="89" spans="1:45" ht="20.25" customHeight="1">
      <c r="A89" t="s">
        <v>47</v>
      </c>
      <c r="B89" t="s">
        <v>48</v>
      </c>
      <c r="C89" t="s">
        <v>49</v>
      </c>
      <c r="D89">
        <f>D26</f>
        <v>0</v>
      </c>
      <c r="E89">
        <f t="shared" si="38"/>
        <v>0</v>
      </c>
      <c r="F89">
        <f>H26</f>
        <v>0</v>
      </c>
      <c r="G89">
        <f>I26</f>
        <v>0</v>
      </c>
      <c r="H89">
        <f>M26</f>
        <v>0</v>
      </c>
      <c r="I89">
        <f>N26</f>
        <v>0</v>
      </c>
      <c r="J89">
        <f t="shared" ref="J89:O97" si="55">P26</f>
        <v>0</v>
      </c>
      <c r="K89">
        <f t="shared" si="55"/>
        <v>0</v>
      </c>
      <c r="L89">
        <f t="shared" si="55"/>
        <v>0</v>
      </c>
      <c r="M89">
        <f t="shared" si="55"/>
        <v>0</v>
      </c>
      <c r="N89">
        <f t="shared" si="55"/>
        <v>0</v>
      </c>
      <c r="O89">
        <f t="shared" si="55"/>
        <v>0</v>
      </c>
      <c r="P89">
        <f>SUM(Q89:AP89)</f>
        <v>0</v>
      </c>
      <c r="Q89">
        <f>D89-AR89</f>
        <v>0</v>
      </c>
      <c r="R89">
        <f t="shared" ref="R89:Y89" si="56">X26</f>
        <v>0</v>
      </c>
      <c r="S89">
        <f t="shared" si="56"/>
        <v>0</v>
      </c>
      <c r="T89">
        <f t="shared" si="56"/>
        <v>0</v>
      </c>
      <c r="U89">
        <f t="shared" si="56"/>
        <v>0</v>
      </c>
      <c r="V89">
        <f t="shared" si="56"/>
        <v>0</v>
      </c>
      <c r="W89">
        <f t="shared" si="56"/>
        <v>0</v>
      </c>
      <c r="X89">
        <f t="shared" si="56"/>
        <v>0</v>
      </c>
      <c r="Y89">
        <f t="shared" si="56"/>
        <v>0</v>
      </c>
      <c r="Z89">
        <f t="shared" ref="Z89:AP89" si="57">AQ26</f>
        <v>0</v>
      </c>
      <c r="AA89">
        <f t="shared" si="57"/>
        <v>0</v>
      </c>
      <c r="AB89">
        <f t="shared" si="57"/>
        <v>0</v>
      </c>
      <c r="AC89">
        <f t="shared" si="57"/>
        <v>0</v>
      </c>
      <c r="AD89">
        <f t="shared" si="57"/>
        <v>0</v>
      </c>
      <c r="AE89">
        <f t="shared" si="57"/>
        <v>0</v>
      </c>
      <c r="AF89">
        <f t="shared" si="57"/>
        <v>0</v>
      </c>
      <c r="AG89">
        <f t="shared" si="57"/>
        <v>0</v>
      </c>
      <c r="AH89">
        <f t="shared" si="57"/>
        <v>0</v>
      </c>
      <c r="AI89">
        <f t="shared" si="57"/>
        <v>0</v>
      </c>
      <c r="AJ89">
        <f t="shared" si="57"/>
        <v>0</v>
      </c>
      <c r="AK89">
        <f t="shared" si="57"/>
        <v>0</v>
      </c>
      <c r="AL89">
        <f t="shared" si="57"/>
        <v>0</v>
      </c>
      <c r="AM89">
        <f t="shared" si="57"/>
        <v>0</v>
      </c>
      <c r="AN89">
        <f t="shared" si="57"/>
        <v>0</v>
      </c>
      <c r="AO89">
        <f t="shared" si="57"/>
        <v>0</v>
      </c>
      <c r="AP89">
        <f t="shared" si="57"/>
        <v>0</v>
      </c>
      <c r="AQ89">
        <f t="shared" ref="AA89:AQ97" si="58">BH26</f>
        <v>0</v>
      </c>
      <c r="AR89">
        <f>E89+R89+S89+T89+U89+V89+W89+X89+Y89+Z89+AA89+AB89+AC89+AD89+AE89+AF89+AG89+AH89+AI89+AJ89+AK89+AL89+AM89+AN89+AO89+AP89+AQ89</f>
        <v>0</v>
      </c>
      <c r="AS89">
        <f>D89+Q116-AR89</f>
        <v>0</v>
      </c>
    </row>
    <row r="90" spans="1:45" ht="20.25" customHeight="1">
      <c r="A90" t="s">
        <v>50</v>
      </c>
      <c r="B90" t="s">
        <v>51</v>
      </c>
      <c r="C90" t="s">
        <v>52</v>
      </c>
      <c r="D90">
        <f t="shared" ref="D90:D97" si="59">D27</f>
        <v>0</v>
      </c>
      <c r="E90">
        <f t="shared" si="38"/>
        <v>0</v>
      </c>
      <c r="F90">
        <f t="shared" ref="F90:G97" si="60">H27</f>
        <v>0</v>
      </c>
      <c r="G90">
        <f t="shared" si="60"/>
        <v>0</v>
      </c>
      <c r="H90">
        <f t="shared" ref="H90:I97" si="61">M27</f>
        <v>0</v>
      </c>
      <c r="I90">
        <f t="shared" si="61"/>
        <v>0</v>
      </c>
      <c r="J90">
        <f t="shared" si="55"/>
        <v>0</v>
      </c>
      <c r="K90">
        <f t="shared" si="55"/>
        <v>0</v>
      </c>
      <c r="L90">
        <f t="shared" si="55"/>
        <v>0</v>
      </c>
      <c r="M90">
        <f t="shared" si="55"/>
        <v>0</v>
      </c>
      <c r="N90">
        <f t="shared" si="55"/>
        <v>0</v>
      </c>
      <c r="O90">
        <f t="shared" si="55"/>
        <v>0</v>
      </c>
      <c r="P90">
        <f t="shared" ref="P90:P114" si="62">SUM(Q90:AP90)</f>
        <v>0</v>
      </c>
      <c r="Q90">
        <f>W27</f>
        <v>0</v>
      </c>
      <c r="R90">
        <f>D90-AR90</f>
        <v>0</v>
      </c>
      <c r="S90">
        <f t="shared" ref="S90:Y90" si="63">Y27</f>
        <v>0</v>
      </c>
      <c r="T90">
        <f t="shared" si="63"/>
        <v>0</v>
      </c>
      <c r="U90">
        <f t="shared" si="63"/>
        <v>0</v>
      </c>
      <c r="V90">
        <f t="shared" si="63"/>
        <v>0</v>
      </c>
      <c r="W90">
        <f t="shared" si="63"/>
        <v>0</v>
      </c>
      <c r="X90">
        <f t="shared" si="63"/>
        <v>0</v>
      </c>
      <c r="Y90">
        <f t="shared" si="63"/>
        <v>0</v>
      </c>
      <c r="Z90">
        <f t="shared" ref="Z90:Z97" si="64">AQ27</f>
        <v>0</v>
      </c>
      <c r="AA90">
        <f t="shared" si="58"/>
        <v>0</v>
      </c>
      <c r="AB90">
        <f t="shared" si="58"/>
        <v>0</v>
      </c>
      <c r="AC90">
        <f t="shared" si="58"/>
        <v>0</v>
      </c>
      <c r="AD90">
        <f t="shared" si="58"/>
        <v>0</v>
      </c>
      <c r="AE90">
        <f t="shared" si="58"/>
        <v>0</v>
      </c>
      <c r="AF90">
        <f t="shared" si="58"/>
        <v>0</v>
      </c>
      <c r="AG90">
        <f t="shared" si="58"/>
        <v>0</v>
      </c>
      <c r="AH90">
        <f t="shared" si="58"/>
        <v>0</v>
      </c>
      <c r="AI90">
        <f t="shared" si="58"/>
        <v>0</v>
      </c>
      <c r="AJ90">
        <f t="shared" si="58"/>
        <v>0</v>
      </c>
      <c r="AK90">
        <f t="shared" si="58"/>
        <v>0</v>
      </c>
      <c r="AL90">
        <f t="shared" si="58"/>
        <v>0</v>
      </c>
      <c r="AM90">
        <f t="shared" si="58"/>
        <v>0</v>
      </c>
      <c r="AN90">
        <f t="shared" si="58"/>
        <v>0</v>
      </c>
      <c r="AO90">
        <f t="shared" si="58"/>
        <v>0</v>
      </c>
      <c r="AP90">
        <f t="shared" si="58"/>
        <v>0</v>
      </c>
      <c r="AQ90">
        <f t="shared" si="58"/>
        <v>0</v>
      </c>
      <c r="AR90">
        <f>E90+Q90+S90+T90+U90+V90+W90+X90+Y90+Z90+AA90+AB90+AC90+AD90+AE90+AF90+AG90+AH90+AI90+AJ90+AK90+AL90+AM90+AN90+AO90+AP90+AQ90</f>
        <v>0</v>
      </c>
      <c r="AS90">
        <f>D90+R116-AR90</f>
        <v>0</v>
      </c>
    </row>
    <row r="91" spans="1:45" ht="20.25" customHeight="1">
      <c r="A91" t="s">
        <v>53</v>
      </c>
      <c r="B91" t="s">
        <v>54</v>
      </c>
      <c r="C91" t="s">
        <v>55</v>
      </c>
      <c r="D91">
        <f t="shared" si="59"/>
        <v>0</v>
      </c>
      <c r="E91">
        <f t="shared" si="38"/>
        <v>0</v>
      </c>
      <c r="F91">
        <f t="shared" si="60"/>
        <v>0</v>
      </c>
      <c r="G91">
        <f t="shared" si="60"/>
        <v>0</v>
      </c>
      <c r="H91">
        <f t="shared" si="61"/>
        <v>0</v>
      </c>
      <c r="I91">
        <f t="shared" si="61"/>
        <v>0</v>
      </c>
      <c r="J91">
        <f t="shared" si="55"/>
        <v>0</v>
      </c>
      <c r="K91">
        <f t="shared" si="55"/>
        <v>0</v>
      </c>
      <c r="L91">
        <f t="shared" si="55"/>
        <v>0</v>
      </c>
      <c r="M91">
        <f t="shared" si="55"/>
        <v>0</v>
      </c>
      <c r="N91">
        <f t="shared" si="55"/>
        <v>0</v>
      </c>
      <c r="O91">
        <f t="shared" si="55"/>
        <v>0</v>
      </c>
      <c r="P91">
        <f t="shared" si="62"/>
        <v>0</v>
      </c>
      <c r="Q91">
        <f t="shared" ref="Q91:S97" si="65">W28</f>
        <v>0</v>
      </c>
      <c r="R91">
        <f>X28</f>
        <v>0</v>
      </c>
      <c r="S91">
        <f>D91-AR91</f>
        <v>0</v>
      </c>
      <c r="T91">
        <f t="shared" ref="T91:Y91" si="66">Z28</f>
        <v>0</v>
      </c>
      <c r="U91">
        <f t="shared" si="66"/>
        <v>0</v>
      </c>
      <c r="V91">
        <f t="shared" si="66"/>
        <v>0</v>
      </c>
      <c r="W91">
        <f t="shared" si="66"/>
        <v>0</v>
      </c>
      <c r="X91">
        <f t="shared" si="66"/>
        <v>0</v>
      </c>
      <c r="Y91">
        <f t="shared" si="66"/>
        <v>0</v>
      </c>
      <c r="Z91">
        <f t="shared" si="64"/>
        <v>0</v>
      </c>
      <c r="AA91">
        <f t="shared" si="58"/>
        <v>0</v>
      </c>
      <c r="AB91">
        <f t="shared" si="58"/>
        <v>0</v>
      </c>
      <c r="AC91">
        <f t="shared" si="58"/>
        <v>0</v>
      </c>
      <c r="AD91">
        <f t="shared" si="58"/>
        <v>0</v>
      </c>
      <c r="AE91">
        <f t="shared" si="58"/>
        <v>0</v>
      </c>
      <c r="AF91">
        <f t="shared" si="58"/>
        <v>0</v>
      </c>
      <c r="AG91">
        <f t="shared" si="58"/>
        <v>0</v>
      </c>
      <c r="AH91">
        <f t="shared" si="58"/>
        <v>0</v>
      </c>
      <c r="AI91">
        <f t="shared" si="58"/>
        <v>0</v>
      </c>
      <c r="AJ91">
        <f t="shared" si="58"/>
        <v>0</v>
      </c>
      <c r="AK91">
        <f t="shared" si="58"/>
        <v>0</v>
      </c>
      <c r="AL91">
        <f t="shared" si="58"/>
        <v>0</v>
      </c>
      <c r="AM91">
        <f t="shared" si="58"/>
        <v>0</v>
      </c>
      <c r="AN91">
        <f t="shared" si="58"/>
        <v>0</v>
      </c>
      <c r="AO91">
        <f t="shared" si="58"/>
        <v>0</v>
      </c>
      <c r="AP91">
        <f t="shared" si="58"/>
        <v>0</v>
      </c>
      <c r="AQ91">
        <f t="shared" si="58"/>
        <v>0</v>
      </c>
      <c r="AR91">
        <f>E91+Q91+R91+T91+U91+V91+W91+X91+Y91+Z91+AA91+AB91+AC91+AD91+AE91+AF91+AG91+AH91+AI91+AJ91+AK91+AL91+AM91+AN91+AO91+AP91+AQ91</f>
        <v>0</v>
      </c>
      <c r="AS91">
        <f>D91+S116-AR91</f>
        <v>0</v>
      </c>
    </row>
    <row r="92" spans="1:45" ht="20.25" customHeight="1">
      <c r="A92" t="s">
        <v>56</v>
      </c>
      <c r="B92" t="s">
        <v>57</v>
      </c>
      <c r="C92" t="s">
        <v>58</v>
      </c>
      <c r="D92">
        <f t="shared" si="59"/>
        <v>0</v>
      </c>
      <c r="E92">
        <f t="shared" si="38"/>
        <v>0</v>
      </c>
      <c r="F92">
        <f t="shared" si="60"/>
        <v>0</v>
      </c>
      <c r="G92">
        <f t="shared" si="60"/>
        <v>0</v>
      </c>
      <c r="H92">
        <f t="shared" si="61"/>
        <v>0</v>
      </c>
      <c r="I92">
        <f t="shared" si="61"/>
        <v>0</v>
      </c>
      <c r="J92">
        <f t="shared" si="55"/>
        <v>0</v>
      </c>
      <c r="K92">
        <f t="shared" si="55"/>
        <v>0</v>
      </c>
      <c r="L92">
        <f t="shared" si="55"/>
        <v>0</v>
      </c>
      <c r="M92">
        <f t="shared" si="55"/>
        <v>0</v>
      </c>
      <c r="N92">
        <f t="shared" si="55"/>
        <v>0</v>
      </c>
      <c r="O92">
        <f t="shared" si="55"/>
        <v>0</v>
      </c>
      <c r="P92">
        <f t="shared" si="62"/>
        <v>0</v>
      </c>
      <c r="Q92">
        <f t="shared" si="65"/>
        <v>0</v>
      </c>
      <c r="R92">
        <f t="shared" si="65"/>
        <v>0</v>
      </c>
      <c r="S92">
        <f t="shared" si="65"/>
        <v>0</v>
      </c>
      <c r="T92">
        <f>D92-AR92</f>
        <v>0</v>
      </c>
      <c r="U92">
        <f>AA29</f>
        <v>0</v>
      </c>
      <c r="V92">
        <f>AB29</f>
        <v>0</v>
      </c>
      <c r="W92">
        <f>AC29</f>
        <v>0</v>
      </c>
      <c r="X92">
        <f>AD29</f>
        <v>0</v>
      </c>
      <c r="Y92">
        <f>AE29</f>
        <v>0</v>
      </c>
      <c r="Z92">
        <f t="shared" si="64"/>
        <v>0</v>
      </c>
      <c r="AA92">
        <f t="shared" si="58"/>
        <v>0</v>
      </c>
      <c r="AB92">
        <f t="shared" si="58"/>
        <v>0</v>
      </c>
      <c r="AC92">
        <f t="shared" si="58"/>
        <v>0</v>
      </c>
      <c r="AD92">
        <f t="shared" si="58"/>
        <v>0</v>
      </c>
      <c r="AE92">
        <f t="shared" si="58"/>
        <v>0</v>
      </c>
      <c r="AF92">
        <f t="shared" si="58"/>
        <v>0</v>
      </c>
      <c r="AG92">
        <f t="shared" si="58"/>
        <v>0</v>
      </c>
      <c r="AH92">
        <f t="shared" si="58"/>
        <v>0</v>
      </c>
      <c r="AI92">
        <f t="shared" si="58"/>
        <v>0</v>
      </c>
      <c r="AJ92">
        <f t="shared" si="58"/>
        <v>0</v>
      </c>
      <c r="AK92">
        <f t="shared" si="58"/>
        <v>0</v>
      </c>
      <c r="AL92">
        <f t="shared" si="58"/>
        <v>0</v>
      </c>
      <c r="AM92">
        <f t="shared" si="58"/>
        <v>0</v>
      </c>
      <c r="AN92">
        <f t="shared" si="58"/>
        <v>0</v>
      </c>
      <c r="AO92">
        <f t="shared" si="58"/>
        <v>0</v>
      </c>
      <c r="AP92">
        <f t="shared" si="58"/>
        <v>0</v>
      </c>
      <c r="AQ92">
        <f t="shared" si="58"/>
        <v>0</v>
      </c>
      <c r="AR92">
        <f>E92+Q92+R92+S92+U92+V92+W92+X92+Y92+Z92+AA92+AB92+AC92+AD92+AE92+AF92+AG92+AH92+AI92+AJ92+AK92+AL92+AM92+AN92+AO92+AP92+AQ92</f>
        <v>0</v>
      </c>
      <c r="AS92">
        <f>D92+T116-AR92</f>
        <v>0</v>
      </c>
    </row>
    <row r="93" spans="1:45" ht="20.25" customHeight="1">
      <c r="A93" t="s">
        <v>59</v>
      </c>
      <c r="B93" t="s">
        <v>60</v>
      </c>
      <c r="C93" t="s">
        <v>61</v>
      </c>
      <c r="D93">
        <f t="shared" si="59"/>
        <v>0</v>
      </c>
      <c r="E93">
        <f t="shared" si="38"/>
        <v>0</v>
      </c>
      <c r="F93">
        <f t="shared" si="60"/>
        <v>0</v>
      </c>
      <c r="G93">
        <f t="shared" si="60"/>
        <v>0</v>
      </c>
      <c r="H93">
        <f t="shared" si="61"/>
        <v>0</v>
      </c>
      <c r="I93">
        <f t="shared" si="61"/>
        <v>0</v>
      </c>
      <c r="J93">
        <f t="shared" si="55"/>
        <v>0</v>
      </c>
      <c r="K93">
        <f t="shared" si="55"/>
        <v>0</v>
      </c>
      <c r="L93">
        <f t="shared" si="55"/>
        <v>0</v>
      </c>
      <c r="M93">
        <f t="shared" si="55"/>
        <v>0</v>
      </c>
      <c r="N93">
        <f t="shared" si="55"/>
        <v>0</v>
      </c>
      <c r="O93">
        <f t="shared" si="55"/>
        <v>0</v>
      </c>
      <c r="P93">
        <f t="shared" si="62"/>
        <v>0</v>
      </c>
      <c r="Q93">
        <f t="shared" si="65"/>
        <v>0</v>
      </c>
      <c r="R93">
        <f t="shared" si="65"/>
        <v>0</v>
      </c>
      <c r="S93">
        <f t="shared" si="65"/>
        <v>0</v>
      </c>
      <c r="T93">
        <f>Z30</f>
        <v>0</v>
      </c>
      <c r="U93">
        <f>D93-AR93</f>
        <v>0</v>
      </c>
      <c r="V93">
        <f>AB30</f>
        <v>0</v>
      </c>
      <c r="W93">
        <f>AC30</f>
        <v>0</v>
      </c>
      <c r="X93">
        <f>AD30</f>
        <v>0</v>
      </c>
      <c r="Y93">
        <f>AE30</f>
        <v>0</v>
      </c>
      <c r="Z93">
        <f t="shared" si="64"/>
        <v>0</v>
      </c>
      <c r="AA93">
        <f t="shared" si="58"/>
        <v>0</v>
      </c>
      <c r="AB93">
        <f t="shared" si="58"/>
        <v>0</v>
      </c>
      <c r="AC93">
        <f t="shared" si="58"/>
        <v>0</v>
      </c>
      <c r="AD93">
        <f t="shared" si="58"/>
        <v>0</v>
      </c>
      <c r="AE93">
        <f t="shared" si="58"/>
        <v>0</v>
      </c>
      <c r="AF93">
        <f t="shared" si="58"/>
        <v>0</v>
      </c>
      <c r="AG93">
        <f t="shared" si="58"/>
        <v>0</v>
      </c>
      <c r="AH93">
        <f t="shared" si="58"/>
        <v>0</v>
      </c>
      <c r="AI93">
        <f t="shared" si="58"/>
        <v>0</v>
      </c>
      <c r="AJ93">
        <f t="shared" si="58"/>
        <v>0</v>
      </c>
      <c r="AK93">
        <f t="shared" si="58"/>
        <v>0</v>
      </c>
      <c r="AL93">
        <f t="shared" si="58"/>
        <v>0</v>
      </c>
      <c r="AM93">
        <f t="shared" si="58"/>
        <v>0</v>
      </c>
      <c r="AN93">
        <f t="shared" si="58"/>
        <v>0</v>
      </c>
      <c r="AO93">
        <f t="shared" si="58"/>
        <v>0</v>
      </c>
      <c r="AP93">
        <f t="shared" si="58"/>
        <v>0</v>
      </c>
      <c r="AQ93">
        <f t="shared" si="58"/>
        <v>0</v>
      </c>
      <c r="AR93">
        <f>E93+Q93+R93+S93+T93+V93+W93+X93+Y93+Z93+AA93+AB93+AC93+AD93+AE93+AF93+AG93+AH93+AI93+AJ93+AK93+AL93+AM93+AN93+AO93+AP93+AQ93</f>
        <v>0</v>
      </c>
      <c r="AS93">
        <f>D93+U116-AR93</f>
        <v>0</v>
      </c>
    </row>
    <row r="94" spans="1:45" ht="20.25" customHeight="1">
      <c r="A94" t="s">
        <v>62</v>
      </c>
      <c r="B94" t="s">
        <v>63</v>
      </c>
      <c r="C94" t="s">
        <v>64</v>
      </c>
      <c r="D94">
        <f t="shared" si="59"/>
        <v>0</v>
      </c>
      <c r="E94">
        <f t="shared" si="38"/>
        <v>0</v>
      </c>
      <c r="F94">
        <f t="shared" si="60"/>
        <v>0</v>
      </c>
      <c r="G94">
        <f t="shared" si="60"/>
        <v>0</v>
      </c>
      <c r="H94">
        <f t="shared" si="61"/>
        <v>0</v>
      </c>
      <c r="I94">
        <f t="shared" si="61"/>
        <v>0</v>
      </c>
      <c r="J94">
        <f t="shared" si="55"/>
        <v>0</v>
      </c>
      <c r="K94">
        <f t="shared" si="55"/>
        <v>0</v>
      </c>
      <c r="L94">
        <f t="shared" si="55"/>
        <v>0</v>
      </c>
      <c r="M94">
        <f t="shared" si="55"/>
        <v>0</v>
      </c>
      <c r="N94">
        <f t="shared" si="55"/>
        <v>0</v>
      </c>
      <c r="O94">
        <f t="shared" si="55"/>
        <v>0</v>
      </c>
      <c r="P94">
        <f t="shared" si="62"/>
        <v>0</v>
      </c>
      <c r="Q94">
        <f t="shared" si="65"/>
        <v>0</v>
      </c>
      <c r="R94">
        <f t="shared" si="65"/>
        <v>0</v>
      </c>
      <c r="S94">
        <f t="shared" si="65"/>
        <v>0</v>
      </c>
      <c r="T94">
        <f>Z31</f>
        <v>0</v>
      </c>
      <c r="U94">
        <f>AA31</f>
        <v>0</v>
      </c>
      <c r="V94">
        <f>D94-AR94</f>
        <v>0</v>
      </c>
      <c r="W94">
        <f>AC31</f>
        <v>0</v>
      </c>
      <c r="X94">
        <f>AD31</f>
        <v>0</v>
      </c>
      <c r="Y94">
        <f>AE31</f>
        <v>0</v>
      </c>
      <c r="Z94">
        <f t="shared" si="64"/>
        <v>0</v>
      </c>
      <c r="AA94">
        <f t="shared" si="58"/>
        <v>0</v>
      </c>
      <c r="AB94">
        <f t="shared" si="58"/>
        <v>0</v>
      </c>
      <c r="AC94">
        <f t="shared" si="58"/>
        <v>0</v>
      </c>
      <c r="AD94">
        <f t="shared" si="58"/>
        <v>0</v>
      </c>
      <c r="AE94">
        <f t="shared" si="58"/>
        <v>0</v>
      </c>
      <c r="AF94">
        <f t="shared" si="58"/>
        <v>0</v>
      </c>
      <c r="AG94">
        <f t="shared" si="58"/>
        <v>0</v>
      </c>
      <c r="AH94">
        <f t="shared" si="58"/>
        <v>0</v>
      </c>
      <c r="AI94">
        <f t="shared" si="58"/>
        <v>0</v>
      </c>
      <c r="AJ94">
        <f t="shared" si="58"/>
        <v>0</v>
      </c>
      <c r="AK94">
        <f t="shared" si="58"/>
        <v>0</v>
      </c>
      <c r="AL94">
        <f t="shared" si="58"/>
        <v>0</v>
      </c>
      <c r="AM94">
        <f t="shared" si="58"/>
        <v>0</v>
      </c>
      <c r="AN94">
        <f t="shared" si="58"/>
        <v>0</v>
      </c>
      <c r="AO94">
        <f t="shared" si="58"/>
        <v>0</v>
      </c>
      <c r="AP94">
        <f t="shared" si="58"/>
        <v>0</v>
      </c>
      <c r="AQ94">
        <f t="shared" si="58"/>
        <v>0</v>
      </c>
      <c r="AR94">
        <f>E94+Q94+R94+S94+T94+U94+W94+X94+Y94+Z94+AA94+AB94+AC94+AD94+AE94+AF94+AG94+AH94+AI94+AJ94+AK94+AL94+AM94+AN94+AO94+AP94+AQ94</f>
        <v>0</v>
      </c>
      <c r="AS94">
        <f>D94+V116-AR94</f>
        <v>0</v>
      </c>
    </row>
    <row r="95" spans="1:45" ht="20.25" customHeight="1">
      <c r="A95" t="s">
        <v>65</v>
      </c>
      <c r="B95" t="s">
        <v>66</v>
      </c>
      <c r="C95" t="s">
        <v>67</v>
      </c>
      <c r="D95">
        <f t="shared" si="59"/>
        <v>0</v>
      </c>
      <c r="E95">
        <f t="shared" si="38"/>
        <v>0</v>
      </c>
      <c r="F95">
        <f t="shared" si="60"/>
        <v>0</v>
      </c>
      <c r="G95">
        <f t="shared" si="60"/>
        <v>0</v>
      </c>
      <c r="H95">
        <f t="shared" si="61"/>
        <v>0</v>
      </c>
      <c r="I95">
        <f t="shared" si="61"/>
        <v>0</v>
      </c>
      <c r="J95">
        <f t="shared" si="55"/>
        <v>0</v>
      </c>
      <c r="K95">
        <f t="shared" si="55"/>
        <v>0</v>
      </c>
      <c r="L95">
        <f t="shared" si="55"/>
        <v>0</v>
      </c>
      <c r="M95">
        <f t="shared" si="55"/>
        <v>0</v>
      </c>
      <c r="N95">
        <f t="shared" si="55"/>
        <v>0</v>
      </c>
      <c r="O95">
        <f t="shared" si="55"/>
        <v>0</v>
      </c>
      <c r="P95">
        <f t="shared" si="62"/>
        <v>0</v>
      </c>
      <c r="Q95">
        <f t="shared" si="65"/>
        <v>0</v>
      </c>
      <c r="R95">
        <f t="shared" si="65"/>
        <v>0</v>
      </c>
      <c r="S95">
        <f t="shared" si="65"/>
        <v>0</v>
      </c>
      <c r="T95">
        <f>Z32</f>
        <v>0</v>
      </c>
      <c r="U95">
        <f>AA32</f>
        <v>0</v>
      </c>
      <c r="V95">
        <f>AB32</f>
        <v>0</v>
      </c>
      <c r="W95">
        <f>D95-AR95</f>
        <v>0</v>
      </c>
      <c r="X95">
        <f>AD32</f>
        <v>0</v>
      </c>
      <c r="Y95">
        <f>AE32</f>
        <v>0</v>
      </c>
      <c r="Z95">
        <f t="shared" si="64"/>
        <v>0</v>
      </c>
      <c r="AA95">
        <f t="shared" si="58"/>
        <v>0</v>
      </c>
      <c r="AB95">
        <f t="shared" si="58"/>
        <v>0</v>
      </c>
      <c r="AC95">
        <f t="shared" si="58"/>
        <v>0</v>
      </c>
      <c r="AD95">
        <f t="shared" si="58"/>
        <v>0</v>
      </c>
      <c r="AE95">
        <f t="shared" si="58"/>
        <v>0</v>
      </c>
      <c r="AF95">
        <f t="shared" si="58"/>
        <v>0</v>
      </c>
      <c r="AG95">
        <f t="shared" si="58"/>
        <v>0</v>
      </c>
      <c r="AH95">
        <f t="shared" si="58"/>
        <v>0</v>
      </c>
      <c r="AI95">
        <f t="shared" si="58"/>
        <v>0</v>
      </c>
      <c r="AJ95">
        <f t="shared" si="58"/>
        <v>0</v>
      </c>
      <c r="AK95">
        <f t="shared" si="58"/>
        <v>0</v>
      </c>
      <c r="AL95">
        <f t="shared" si="58"/>
        <v>0</v>
      </c>
      <c r="AM95">
        <f t="shared" si="58"/>
        <v>0</v>
      </c>
      <c r="AN95">
        <f t="shared" si="58"/>
        <v>0</v>
      </c>
      <c r="AO95">
        <f t="shared" si="58"/>
        <v>0</v>
      </c>
      <c r="AP95">
        <f t="shared" si="58"/>
        <v>0</v>
      </c>
      <c r="AQ95">
        <f t="shared" si="58"/>
        <v>0</v>
      </c>
      <c r="AR95">
        <f>E95+Q95+R95+S95+T95+U95+V95+X95+Y95+Z95+AA95+AB95+AC95+AD95+AE95+AF95+AG95+AH95+AI95+AJ95+AK95+AL95+AM95+AN95+AO95+AP95+AQ95</f>
        <v>0</v>
      </c>
      <c r="AS95">
        <f>D95+W116-AR95</f>
        <v>0</v>
      </c>
    </row>
    <row r="96" spans="1:45" ht="20.25" customHeight="1">
      <c r="A96" t="s">
        <v>68</v>
      </c>
      <c r="B96" t="s">
        <v>69</v>
      </c>
      <c r="C96" t="s">
        <v>70</v>
      </c>
      <c r="D96">
        <f t="shared" si="59"/>
        <v>0</v>
      </c>
      <c r="E96">
        <f t="shared" si="38"/>
        <v>0</v>
      </c>
      <c r="F96">
        <f t="shared" si="60"/>
        <v>0</v>
      </c>
      <c r="G96">
        <f t="shared" si="60"/>
        <v>0</v>
      </c>
      <c r="H96">
        <f t="shared" si="61"/>
        <v>0</v>
      </c>
      <c r="I96">
        <f t="shared" si="61"/>
        <v>0</v>
      </c>
      <c r="J96">
        <f t="shared" si="55"/>
        <v>0</v>
      </c>
      <c r="K96">
        <f t="shared" si="55"/>
        <v>0</v>
      </c>
      <c r="L96">
        <f t="shared" si="55"/>
        <v>0</v>
      </c>
      <c r="M96">
        <f t="shared" si="55"/>
        <v>0</v>
      </c>
      <c r="N96">
        <f t="shared" si="55"/>
        <v>0</v>
      </c>
      <c r="O96">
        <f t="shared" si="55"/>
        <v>0</v>
      </c>
      <c r="P96">
        <f t="shared" si="62"/>
        <v>0</v>
      </c>
      <c r="Q96">
        <f t="shared" si="65"/>
        <v>0</v>
      </c>
      <c r="R96">
        <f t="shared" si="65"/>
        <v>0</v>
      </c>
      <c r="S96">
        <f t="shared" si="65"/>
        <v>0</v>
      </c>
      <c r="T96">
        <f>Z33</f>
        <v>0</v>
      </c>
      <c r="U96">
        <f>AA33</f>
        <v>0</v>
      </c>
      <c r="V96">
        <f>AB33</f>
        <v>0</v>
      </c>
      <c r="W96">
        <f>AC33</f>
        <v>0</v>
      </c>
      <c r="X96">
        <f>D96-AR96</f>
        <v>0</v>
      </c>
      <c r="Y96">
        <f>AE33</f>
        <v>0</v>
      </c>
      <c r="Z96">
        <f t="shared" si="64"/>
        <v>0</v>
      </c>
      <c r="AA96">
        <f t="shared" si="58"/>
        <v>0</v>
      </c>
      <c r="AB96">
        <f t="shared" si="58"/>
        <v>0</v>
      </c>
      <c r="AC96">
        <f t="shared" si="58"/>
        <v>0</v>
      </c>
      <c r="AD96">
        <f t="shared" si="58"/>
        <v>0</v>
      </c>
      <c r="AE96">
        <f t="shared" si="58"/>
        <v>0</v>
      </c>
      <c r="AF96">
        <f t="shared" si="58"/>
        <v>0</v>
      </c>
      <c r="AG96">
        <f t="shared" si="58"/>
        <v>0</v>
      </c>
      <c r="AH96">
        <f t="shared" si="58"/>
        <v>0</v>
      </c>
      <c r="AI96">
        <f t="shared" si="58"/>
        <v>0</v>
      </c>
      <c r="AJ96">
        <f t="shared" si="58"/>
        <v>0</v>
      </c>
      <c r="AK96">
        <f t="shared" si="58"/>
        <v>0</v>
      </c>
      <c r="AL96">
        <f t="shared" si="58"/>
        <v>0</v>
      </c>
      <c r="AM96">
        <f t="shared" si="58"/>
        <v>0</v>
      </c>
      <c r="AN96">
        <f t="shared" si="58"/>
        <v>0</v>
      </c>
      <c r="AO96">
        <f t="shared" si="58"/>
        <v>0</v>
      </c>
      <c r="AP96">
        <f t="shared" si="58"/>
        <v>0</v>
      </c>
      <c r="AQ96">
        <f t="shared" si="58"/>
        <v>0</v>
      </c>
      <c r="AR96">
        <f>E96+Q96+R96+S96+T96+U96+V96+W96+Y96+Z96+AA96+AB96+AC96+AD96+AE96+AF96+AG96+AH96+AI96+AJ96+AK96+AL96+AM96+AN96+AO96+AP96+AQ96</f>
        <v>0</v>
      </c>
      <c r="AS96">
        <f>D96+X116-AR96</f>
        <v>0</v>
      </c>
    </row>
    <row r="97" spans="1:45" ht="38.25" customHeight="1">
      <c r="A97" t="s">
        <v>71</v>
      </c>
      <c r="B97" t="s">
        <v>135</v>
      </c>
      <c r="C97" t="s">
        <v>72</v>
      </c>
      <c r="D97">
        <f t="shared" si="59"/>
        <v>0</v>
      </c>
      <c r="E97">
        <f t="shared" si="38"/>
        <v>0</v>
      </c>
      <c r="F97">
        <f t="shared" si="60"/>
        <v>0</v>
      </c>
      <c r="G97">
        <f t="shared" si="60"/>
        <v>0</v>
      </c>
      <c r="H97">
        <f t="shared" si="61"/>
        <v>0</v>
      </c>
      <c r="I97">
        <f t="shared" si="61"/>
        <v>0</v>
      </c>
      <c r="J97">
        <f>P34</f>
        <v>0</v>
      </c>
      <c r="K97">
        <f t="shared" si="55"/>
        <v>0</v>
      </c>
      <c r="L97">
        <f t="shared" si="55"/>
        <v>0</v>
      </c>
      <c r="M97">
        <f t="shared" si="55"/>
        <v>0</v>
      </c>
      <c r="N97">
        <f t="shared" si="55"/>
        <v>0</v>
      </c>
      <c r="O97">
        <f t="shared" si="55"/>
        <v>0</v>
      </c>
      <c r="P97">
        <f t="shared" si="62"/>
        <v>0</v>
      </c>
      <c r="Q97">
        <f t="shared" si="65"/>
        <v>0</v>
      </c>
      <c r="R97">
        <f t="shared" si="65"/>
        <v>0</v>
      </c>
      <c r="S97">
        <f t="shared" si="65"/>
        <v>0</v>
      </c>
      <c r="T97">
        <f>Z34</f>
        <v>0</v>
      </c>
      <c r="U97">
        <f>AA34</f>
        <v>0</v>
      </c>
      <c r="V97">
        <f>AB34</f>
        <v>0</v>
      </c>
      <c r="W97">
        <f>AC34</f>
        <v>0</v>
      </c>
      <c r="X97">
        <f>AD34</f>
        <v>0</v>
      </c>
      <c r="Y97">
        <f>D97-AR97</f>
        <v>0</v>
      </c>
      <c r="Z97">
        <f t="shared" si="64"/>
        <v>0</v>
      </c>
      <c r="AA97">
        <f t="shared" si="58"/>
        <v>0</v>
      </c>
      <c r="AB97">
        <f t="shared" si="58"/>
        <v>0</v>
      </c>
      <c r="AC97">
        <f t="shared" si="58"/>
        <v>0</v>
      </c>
      <c r="AD97">
        <f t="shared" si="58"/>
        <v>0</v>
      </c>
      <c r="AE97">
        <f t="shared" si="58"/>
        <v>0</v>
      </c>
      <c r="AF97">
        <f t="shared" si="58"/>
        <v>0</v>
      </c>
      <c r="AG97">
        <f t="shared" si="58"/>
        <v>0</v>
      </c>
      <c r="AH97">
        <f t="shared" si="58"/>
        <v>0</v>
      </c>
      <c r="AI97">
        <f t="shared" si="58"/>
        <v>0</v>
      </c>
      <c r="AJ97">
        <f t="shared" si="58"/>
        <v>0</v>
      </c>
      <c r="AK97">
        <f t="shared" si="58"/>
        <v>0</v>
      </c>
      <c r="AL97">
        <f t="shared" si="58"/>
        <v>0</v>
      </c>
      <c r="AM97">
        <f t="shared" si="58"/>
        <v>0</v>
      </c>
      <c r="AN97">
        <f t="shared" si="58"/>
        <v>0</v>
      </c>
      <c r="AO97">
        <f t="shared" si="58"/>
        <v>0</v>
      </c>
      <c r="AP97">
        <f t="shared" si="58"/>
        <v>0</v>
      </c>
      <c r="AQ97">
        <f t="shared" si="58"/>
        <v>0</v>
      </c>
      <c r="AR97">
        <f>E97+Q97+R97+S97+T97+U97+V97+W97+X97+Z97+AA97+AB97+AC97+AD97+AE97+AF97+AG97+AH97+AI97+AJ97+AK97+AL97+AM97+AN97+AO97+AP97+AQ97</f>
        <v>0</v>
      </c>
      <c r="AS97">
        <f>D97+Y116-AR97</f>
        <v>0</v>
      </c>
    </row>
    <row r="98" spans="1:45" ht="20.25" customHeight="1">
      <c r="A98" t="s">
        <v>73</v>
      </c>
      <c r="B98" t="s">
        <v>74</v>
      </c>
      <c r="C98" t="s">
        <v>75</v>
      </c>
      <c r="D98">
        <f>D46</f>
        <v>0</v>
      </c>
      <c r="E98">
        <f t="shared" si="38"/>
        <v>0</v>
      </c>
      <c r="F98">
        <f>H46</f>
        <v>0</v>
      </c>
      <c r="G98">
        <f>I46</f>
        <v>0</v>
      </c>
      <c r="H98">
        <f>M46</f>
        <v>0</v>
      </c>
      <c r="I98">
        <f>N46</f>
        <v>0</v>
      </c>
      <c r="J98">
        <f t="shared" ref="J98:O113" si="67">P46</f>
        <v>0</v>
      </c>
      <c r="K98">
        <f t="shared" si="67"/>
        <v>0</v>
      </c>
      <c r="L98">
        <f t="shared" si="67"/>
        <v>0</v>
      </c>
      <c r="M98">
        <f t="shared" si="67"/>
        <v>0</v>
      </c>
      <c r="N98">
        <f t="shared" si="67"/>
        <v>0</v>
      </c>
      <c r="O98">
        <f t="shared" si="67"/>
        <v>0</v>
      </c>
      <c r="P98">
        <f t="shared" si="62"/>
        <v>0</v>
      </c>
      <c r="Q98">
        <f t="shared" ref="Q98:Y113" si="68">W46</f>
        <v>0</v>
      </c>
      <c r="R98">
        <f t="shared" si="68"/>
        <v>0</v>
      </c>
      <c r="S98">
        <f t="shared" si="68"/>
        <v>0</v>
      </c>
      <c r="T98">
        <f t="shared" si="68"/>
        <v>0</v>
      </c>
      <c r="U98">
        <f t="shared" si="68"/>
        <v>0</v>
      </c>
      <c r="V98">
        <f t="shared" si="68"/>
        <v>0</v>
      </c>
      <c r="W98">
        <f t="shared" si="68"/>
        <v>0</v>
      </c>
      <c r="X98">
        <f t="shared" si="68"/>
        <v>0</v>
      </c>
      <c r="Y98">
        <f t="shared" si="68"/>
        <v>0</v>
      </c>
      <c r="Z98">
        <f>D98-AR98</f>
        <v>0</v>
      </c>
      <c r="AA98">
        <f>AR46</f>
        <v>0</v>
      </c>
      <c r="AB98">
        <f t="shared" ref="AB98:AQ109" si="69">AS46</f>
        <v>0</v>
      </c>
      <c r="AC98">
        <f t="shared" si="69"/>
        <v>0</v>
      </c>
      <c r="AD98">
        <f t="shared" si="69"/>
        <v>0</v>
      </c>
      <c r="AE98">
        <f t="shared" si="69"/>
        <v>0</v>
      </c>
      <c r="AF98">
        <f t="shared" si="69"/>
        <v>0</v>
      </c>
      <c r="AG98">
        <f t="shared" si="69"/>
        <v>0</v>
      </c>
      <c r="AH98">
        <f t="shared" si="69"/>
        <v>0</v>
      </c>
      <c r="AI98">
        <f t="shared" si="69"/>
        <v>0</v>
      </c>
      <c r="AJ98">
        <f t="shared" si="69"/>
        <v>0</v>
      </c>
      <c r="AK98">
        <f t="shared" si="69"/>
        <v>0</v>
      </c>
      <c r="AL98">
        <f t="shared" si="69"/>
        <v>0</v>
      </c>
      <c r="AM98">
        <f t="shared" si="69"/>
        <v>0</v>
      </c>
      <c r="AN98">
        <f t="shared" si="69"/>
        <v>0</v>
      </c>
      <c r="AO98">
        <f t="shared" si="69"/>
        <v>0</v>
      </c>
      <c r="AP98">
        <f t="shared" si="69"/>
        <v>0</v>
      </c>
      <c r="AQ98">
        <f t="shared" si="69"/>
        <v>0</v>
      </c>
      <c r="AR98">
        <f>E98+Q98+R98+S98+T98+U98+V98+W98+X98+Y98+AA98+AB98+AC98+AD98+AE98+AF98+AG98+AH98+AI98+AJ98+AK98+AL98+AM98+AN98+AO98+AP98+AQ98</f>
        <v>0</v>
      </c>
      <c r="AS98">
        <f>D98+Z116-AR98</f>
        <v>0</v>
      </c>
    </row>
    <row r="99" spans="1:45" ht="20.25" customHeight="1">
      <c r="A99" t="s">
        <v>76</v>
      </c>
      <c r="B99" t="s">
        <v>77</v>
      </c>
      <c r="C99" t="s">
        <v>78</v>
      </c>
      <c r="D99">
        <f t="shared" ref="D99:D114" si="70">D47</f>
        <v>0</v>
      </c>
      <c r="E99">
        <f t="shared" si="38"/>
        <v>0</v>
      </c>
      <c r="F99">
        <f t="shared" ref="F99:G115" si="71">H47</f>
        <v>0</v>
      </c>
      <c r="G99">
        <f t="shared" si="71"/>
        <v>0</v>
      </c>
      <c r="H99">
        <f t="shared" ref="H99:I115" si="72">M47</f>
        <v>0</v>
      </c>
      <c r="I99">
        <f t="shared" si="72"/>
        <v>0</v>
      </c>
      <c r="J99">
        <f t="shared" si="67"/>
        <v>0</v>
      </c>
      <c r="K99">
        <f t="shared" si="67"/>
        <v>0</v>
      </c>
      <c r="L99">
        <f t="shared" si="67"/>
        <v>0</v>
      </c>
      <c r="M99">
        <f t="shared" si="67"/>
        <v>0</v>
      </c>
      <c r="N99">
        <f t="shared" si="67"/>
        <v>0</v>
      </c>
      <c r="O99">
        <f t="shared" si="67"/>
        <v>0</v>
      </c>
      <c r="P99">
        <f t="shared" si="62"/>
        <v>0</v>
      </c>
      <c r="Q99">
        <f t="shared" si="68"/>
        <v>0</v>
      </c>
      <c r="R99">
        <f t="shared" si="68"/>
        <v>0</v>
      </c>
      <c r="S99">
        <f t="shared" si="68"/>
        <v>0</v>
      </c>
      <c r="T99">
        <f t="shared" si="68"/>
        <v>0</v>
      </c>
      <c r="U99">
        <f t="shared" si="68"/>
        <v>0</v>
      </c>
      <c r="V99">
        <f t="shared" si="68"/>
        <v>0</v>
      </c>
      <c r="W99">
        <f t="shared" si="68"/>
        <v>0</v>
      </c>
      <c r="X99">
        <f t="shared" si="68"/>
        <v>0</v>
      </c>
      <c r="Y99">
        <f t="shared" si="68"/>
        <v>0</v>
      </c>
      <c r="Z99">
        <f>AQ47</f>
        <v>0</v>
      </c>
      <c r="AA99">
        <f>D99-AR99</f>
        <v>0</v>
      </c>
      <c r="AB99">
        <f>AS47</f>
        <v>0</v>
      </c>
      <c r="AC99">
        <f t="shared" si="69"/>
        <v>0</v>
      </c>
      <c r="AD99">
        <f t="shared" si="69"/>
        <v>0</v>
      </c>
      <c r="AE99">
        <f t="shared" si="69"/>
        <v>0</v>
      </c>
      <c r="AF99">
        <f t="shared" si="69"/>
        <v>0</v>
      </c>
      <c r="AG99">
        <f t="shared" si="69"/>
        <v>0</v>
      </c>
      <c r="AH99">
        <f t="shared" si="69"/>
        <v>0</v>
      </c>
      <c r="AI99">
        <f t="shared" si="69"/>
        <v>0</v>
      </c>
      <c r="AJ99">
        <f t="shared" si="69"/>
        <v>0</v>
      </c>
      <c r="AK99">
        <f t="shared" si="69"/>
        <v>0</v>
      </c>
      <c r="AL99">
        <f t="shared" si="69"/>
        <v>0</v>
      </c>
      <c r="AM99">
        <f t="shared" si="69"/>
        <v>0</v>
      </c>
      <c r="AN99">
        <f t="shared" si="69"/>
        <v>0</v>
      </c>
      <c r="AO99">
        <f t="shared" si="69"/>
        <v>0</v>
      </c>
      <c r="AP99">
        <f t="shared" si="69"/>
        <v>0</v>
      </c>
      <c r="AQ99">
        <f t="shared" si="69"/>
        <v>0</v>
      </c>
      <c r="AR99">
        <f>E99+Q99+R99+S99+T99+U99+V99+W99+X99+Y99+Z99+AB99+AC99+AD99+AE99+AF99+AG99+AH99+AI99+AJ99+AK99+AL99+AM99+AN99+AO99+AP99+AQ99</f>
        <v>0</v>
      </c>
      <c r="AS99">
        <f>D99+AA116-AR99</f>
        <v>0</v>
      </c>
    </row>
    <row r="100" spans="1:45" ht="20.25" customHeight="1">
      <c r="A100" t="s">
        <v>79</v>
      </c>
      <c r="B100" t="s">
        <v>80</v>
      </c>
      <c r="C100" t="s">
        <v>81</v>
      </c>
      <c r="D100">
        <f t="shared" si="70"/>
        <v>0</v>
      </c>
      <c r="E100">
        <f t="shared" si="38"/>
        <v>0</v>
      </c>
      <c r="F100">
        <f t="shared" si="71"/>
        <v>0</v>
      </c>
      <c r="G100">
        <f t="shared" si="71"/>
        <v>0</v>
      </c>
      <c r="H100">
        <f t="shared" si="72"/>
        <v>0</v>
      </c>
      <c r="I100">
        <f t="shared" si="72"/>
        <v>0</v>
      </c>
      <c r="J100">
        <f t="shared" si="67"/>
        <v>0</v>
      </c>
      <c r="K100">
        <f t="shared" si="67"/>
        <v>0</v>
      </c>
      <c r="L100">
        <f t="shared" si="67"/>
        <v>0</v>
      </c>
      <c r="M100">
        <f t="shared" si="67"/>
        <v>0</v>
      </c>
      <c r="N100">
        <f t="shared" si="67"/>
        <v>0</v>
      </c>
      <c r="O100">
        <f t="shared" si="67"/>
        <v>0</v>
      </c>
      <c r="P100">
        <f t="shared" si="62"/>
        <v>0</v>
      </c>
      <c r="Q100">
        <f t="shared" si="68"/>
        <v>0</v>
      </c>
      <c r="R100">
        <f t="shared" si="68"/>
        <v>0</v>
      </c>
      <c r="S100">
        <f t="shared" si="68"/>
        <v>0</v>
      </c>
      <c r="T100">
        <f t="shared" si="68"/>
        <v>0</v>
      </c>
      <c r="U100">
        <f t="shared" si="68"/>
        <v>0</v>
      </c>
      <c r="V100">
        <f t="shared" si="68"/>
        <v>0</v>
      </c>
      <c r="W100">
        <f t="shared" si="68"/>
        <v>0</v>
      </c>
      <c r="X100">
        <f t="shared" si="68"/>
        <v>0</v>
      </c>
      <c r="Y100">
        <f t="shared" si="68"/>
        <v>0</v>
      </c>
      <c r="Z100">
        <f t="shared" ref="Z100:AK115" si="73">AQ48</f>
        <v>0</v>
      </c>
      <c r="AA100">
        <f t="shared" si="73"/>
        <v>0</v>
      </c>
      <c r="AB100">
        <f>D100-AR100</f>
        <v>0</v>
      </c>
      <c r="AC100">
        <f>AT48</f>
        <v>0</v>
      </c>
      <c r="AD100">
        <f t="shared" si="69"/>
        <v>0</v>
      </c>
      <c r="AE100">
        <f t="shared" si="69"/>
        <v>0</v>
      </c>
      <c r="AF100">
        <f t="shared" si="69"/>
        <v>0</v>
      </c>
      <c r="AG100">
        <f t="shared" si="69"/>
        <v>0</v>
      </c>
      <c r="AH100">
        <f t="shared" si="69"/>
        <v>0</v>
      </c>
      <c r="AI100">
        <f t="shared" si="69"/>
        <v>0</v>
      </c>
      <c r="AJ100">
        <f t="shared" si="69"/>
        <v>0</v>
      </c>
      <c r="AK100">
        <f t="shared" si="69"/>
        <v>0</v>
      </c>
      <c r="AL100">
        <f t="shared" si="69"/>
        <v>0</v>
      </c>
      <c r="AM100">
        <f t="shared" si="69"/>
        <v>0</v>
      </c>
      <c r="AN100">
        <f t="shared" si="69"/>
        <v>0</v>
      </c>
      <c r="AO100">
        <f t="shared" si="69"/>
        <v>0</v>
      </c>
      <c r="AP100">
        <f t="shared" si="69"/>
        <v>0</v>
      </c>
      <c r="AQ100">
        <f t="shared" si="69"/>
        <v>0</v>
      </c>
      <c r="AR100">
        <f>E100+Q100+R100+S100+T100+U100+V100+W100+X100+Y100+Z100+AA100+AC100+AD100+AE100+AF100+AG100+AH100+AI100+AJ100+AK100+AL100+AM100+AN100+AO100+AP100+AQ100</f>
        <v>0</v>
      </c>
      <c r="AS100">
        <f>D100+AB116-AR100</f>
        <v>0</v>
      </c>
    </row>
    <row r="101" spans="1:45" ht="20.25" customHeight="1">
      <c r="A101" t="s">
        <v>82</v>
      </c>
      <c r="B101" t="s">
        <v>83</v>
      </c>
      <c r="C101" t="s">
        <v>84</v>
      </c>
      <c r="D101">
        <f t="shared" si="70"/>
        <v>0</v>
      </c>
      <c r="E101">
        <f t="shared" si="38"/>
        <v>0</v>
      </c>
      <c r="F101">
        <f t="shared" si="71"/>
        <v>0</v>
      </c>
      <c r="G101">
        <f t="shared" si="71"/>
        <v>0</v>
      </c>
      <c r="H101">
        <f t="shared" si="72"/>
        <v>0</v>
      </c>
      <c r="I101">
        <f t="shared" si="72"/>
        <v>0</v>
      </c>
      <c r="J101">
        <f t="shared" si="67"/>
        <v>0</v>
      </c>
      <c r="K101">
        <f t="shared" si="67"/>
        <v>0</v>
      </c>
      <c r="L101">
        <f t="shared" si="67"/>
        <v>0</v>
      </c>
      <c r="M101">
        <f t="shared" si="67"/>
        <v>0</v>
      </c>
      <c r="N101">
        <f t="shared" si="67"/>
        <v>0</v>
      </c>
      <c r="O101">
        <f t="shared" si="67"/>
        <v>0</v>
      </c>
      <c r="P101">
        <f t="shared" si="62"/>
        <v>0</v>
      </c>
      <c r="Q101">
        <f t="shared" si="68"/>
        <v>0</v>
      </c>
      <c r="R101">
        <f t="shared" si="68"/>
        <v>0</v>
      </c>
      <c r="S101">
        <f t="shared" si="68"/>
        <v>0</v>
      </c>
      <c r="T101">
        <f t="shared" si="68"/>
        <v>0</v>
      </c>
      <c r="U101">
        <f t="shared" si="68"/>
        <v>0</v>
      </c>
      <c r="V101">
        <f t="shared" si="68"/>
        <v>0</v>
      </c>
      <c r="W101">
        <f t="shared" si="68"/>
        <v>0</v>
      </c>
      <c r="X101">
        <f t="shared" si="68"/>
        <v>0</v>
      </c>
      <c r="Y101">
        <f t="shared" si="68"/>
        <v>0</v>
      </c>
      <c r="Z101">
        <f t="shared" si="73"/>
        <v>0</v>
      </c>
      <c r="AA101">
        <f t="shared" si="73"/>
        <v>0</v>
      </c>
      <c r="AB101">
        <f t="shared" si="73"/>
        <v>0</v>
      </c>
      <c r="AC101">
        <f>D101-AR101</f>
        <v>0</v>
      </c>
      <c r="AD101">
        <f>AU49</f>
        <v>0</v>
      </c>
      <c r="AE101">
        <f t="shared" si="69"/>
        <v>0</v>
      </c>
      <c r="AF101">
        <f t="shared" si="69"/>
        <v>0</v>
      </c>
      <c r="AG101">
        <f t="shared" si="69"/>
        <v>0</v>
      </c>
      <c r="AH101">
        <f t="shared" si="69"/>
        <v>0</v>
      </c>
      <c r="AI101">
        <f t="shared" si="69"/>
        <v>0</v>
      </c>
      <c r="AJ101">
        <f t="shared" si="69"/>
        <v>0</v>
      </c>
      <c r="AK101">
        <f t="shared" si="69"/>
        <v>0</v>
      </c>
      <c r="AL101">
        <f t="shared" si="69"/>
        <v>0</v>
      </c>
      <c r="AM101">
        <f t="shared" si="69"/>
        <v>0</v>
      </c>
      <c r="AN101">
        <f t="shared" si="69"/>
        <v>0</v>
      </c>
      <c r="AO101">
        <f t="shared" si="69"/>
        <v>0</v>
      </c>
      <c r="AP101">
        <f t="shared" si="69"/>
        <v>0</v>
      </c>
      <c r="AQ101">
        <f t="shared" si="69"/>
        <v>0</v>
      </c>
      <c r="AR101">
        <f>E101+Q101+R101+S101+T101+U101+V101+W101+X101+Y101+Z101+AA101+AB101+AD101+AE101+AF101+AG101+AH101+AI101+AJ101+AK101+AL101+AM101+AN101+AO101+AP101+AQ101</f>
        <v>0</v>
      </c>
      <c r="AS101">
        <f>D101+AC116-AR101</f>
        <v>0</v>
      </c>
    </row>
    <row r="102" spans="1:45" ht="20.25" customHeight="1">
      <c r="A102" t="s">
        <v>85</v>
      </c>
      <c r="B102" t="s">
        <v>86</v>
      </c>
      <c r="C102" t="s">
        <v>87</v>
      </c>
      <c r="D102">
        <f t="shared" si="70"/>
        <v>0</v>
      </c>
      <c r="E102">
        <f t="shared" si="38"/>
        <v>0</v>
      </c>
      <c r="F102">
        <f t="shared" si="71"/>
        <v>0</v>
      </c>
      <c r="G102">
        <f t="shared" si="71"/>
        <v>0</v>
      </c>
      <c r="H102">
        <f t="shared" si="72"/>
        <v>0</v>
      </c>
      <c r="I102">
        <f t="shared" si="72"/>
        <v>0</v>
      </c>
      <c r="J102">
        <f t="shared" si="67"/>
        <v>0</v>
      </c>
      <c r="K102">
        <f t="shared" si="67"/>
        <v>0</v>
      </c>
      <c r="L102">
        <f t="shared" si="67"/>
        <v>0</v>
      </c>
      <c r="M102">
        <f t="shared" si="67"/>
        <v>0</v>
      </c>
      <c r="N102">
        <f t="shared" si="67"/>
        <v>0</v>
      </c>
      <c r="O102">
        <f t="shared" si="67"/>
        <v>0</v>
      </c>
      <c r="P102">
        <f t="shared" si="62"/>
        <v>0</v>
      </c>
      <c r="Q102">
        <f t="shared" si="68"/>
        <v>0</v>
      </c>
      <c r="R102">
        <f t="shared" si="68"/>
        <v>0</v>
      </c>
      <c r="S102">
        <f t="shared" si="68"/>
        <v>0</v>
      </c>
      <c r="T102">
        <f t="shared" si="68"/>
        <v>0</v>
      </c>
      <c r="U102">
        <f t="shared" si="68"/>
        <v>0</v>
      </c>
      <c r="V102">
        <f t="shared" si="68"/>
        <v>0</v>
      </c>
      <c r="W102">
        <f t="shared" si="68"/>
        <v>0</v>
      </c>
      <c r="X102">
        <f t="shared" si="68"/>
        <v>0</v>
      </c>
      <c r="Y102">
        <f t="shared" si="68"/>
        <v>0</v>
      </c>
      <c r="Z102">
        <f t="shared" si="73"/>
        <v>0</v>
      </c>
      <c r="AA102">
        <f t="shared" si="73"/>
        <v>0</v>
      </c>
      <c r="AB102">
        <f t="shared" si="73"/>
        <v>0</v>
      </c>
      <c r="AC102">
        <f t="shared" si="73"/>
        <v>0</v>
      </c>
      <c r="AD102">
        <f>D102-AR102</f>
        <v>0</v>
      </c>
      <c r="AE102">
        <f>AV50</f>
        <v>0</v>
      </c>
      <c r="AF102">
        <f t="shared" si="69"/>
        <v>0</v>
      </c>
      <c r="AG102">
        <f t="shared" si="69"/>
        <v>0</v>
      </c>
      <c r="AH102">
        <f t="shared" si="69"/>
        <v>0</v>
      </c>
      <c r="AI102">
        <f t="shared" si="69"/>
        <v>0</v>
      </c>
      <c r="AJ102">
        <f t="shared" si="69"/>
        <v>0</v>
      </c>
      <c r="AK102">
        <f t="shared" si="69"/>
        <v>0</v>
      </c>
      <c r="AL102">
        <f t="shared" si="69"/>
        <v>0</v>
      </c>
      <c r="AM102">
        <f t="shared" si="69"/>
        <v>0</v>
      </c>
      <c r="AN102">
        <f t="shared" si="69"/>
        <v>0</v>
      </c>
      <c r="AO102">
        <f t="shared" si="69"/>
        <v>0</v>
      </c>
      <c r="AP102">
        <f t="shared" si="69"/>
        <v>0</v>
      </c>
      <c r="AQ102">
        <f t="shared" si="69"/>
        <v>0</v>
      </c>
      <c r="AR102">
        <f>E102+Q102+R102+S102+T102+U102+V102+W102+X102+Y102+Z102+AA102+AB102+AC102+AE102+AF102+AG102+AH102+AI102+AJ102+AK102+AL102+AM102+AN102+AO102+AP102+AQ102</f>
        <v>0</v>
      </c>
      <c r="AS102">
        <f>D102+AD116-AR102</f>
        <v>0</v>
      </c>
    </row>
    <row r="103" spans="1:45" ht="20.25" customHeight="1">
      <c r="A103" t="s">
        <v>88</v>
      </c>
      <c r="B103" t="s">
        <v>89</v>
      </c>
      <c r="C103" t="s">
        <v>90</v>
      </c>
      <c r="D103">
        <f t="shared" si="70"/>
        <v>0</v>
      </c>
      <c r="E103">
        <f t="shared" si="38"/>
        <v>0</v>
      </c>
      <c r="F103">
        <f t="shared" si="71"/>
        <v>0</v>
      </c>
      <c r="G103">
        <f t="shared" si="71"/>
        <v>0</v>
      </c>
      <c r="H103">
        <f t="shared" si="72"/>
        <v>0</v>
      </c>
      <c r="I103">
        <f t="shared" si="72"/>
        <v>0</v>
      </c>
      <c r="J103">
        <f t="shared" si="67"/>
        <v>0</v>
      </c>
      <c r="K103">
        <f t="shared" si="67"/>
        <v>0</v>
      </c>
      <c r="L103">
        <f t="shared" si="67"/>
        <v>0</v>
      </c>
      <c r="M103">
        <f t="shared" si="67"/>
        <v>0</v>
      </c>
      <c r="N103">
        <f t="shared" si="67"/>
        <v>0</v>
      </c>
      <c r="O103">
        <f t="shared" si="67"/>
        <v>0</v>
      </c>
      <c r="P103">
        <f t="shared" si="62"/>
        <v>0</v>
      </c>
      <c r="Q103">
        <f t="shared" si="68"/>
        <v>0</v>
      </c>
      <c r="R103">
        <f t="shared" si="68"/>
        <v>0</v>
      </c>
      <c r="S103">
        <f t="shared" si="68"/>
        <v>0</v>
      </c>
      <c r="T103">
        <f t="shared" si="68"/>
        <v>0</v>
      </c>
      <c r="U103">
        <f t="shared" si="68"/>
        <v>0</v>
      </c>
      <c r="V103">
        <f t="shared" si="68"/>
        <v>0</v>
      </c>
      <c r="W103">
        <f t="shared" si="68"/>
        <v>0</v>
      </c>
      <c r="X103">
        <f t="shared" si="68"/>
        <v>0</v>
      </c>
      <c r="Y103">
        <f t="shared" si="68"/>
        <v>0</v>
      </c>
      <c r="Z103">
        <f t="shared" si="73"/>
        <v>0</v>
      </c>
      <c r="AA103">
        <f t="shared" si="73"/>
        <v>0</v>
      </c>
      <c r="AB103">
        <f t="shared" si="73"/>
        <v>0</v>
      </c>
      <c r="AC103">
        <f t="shared" si="73"/>
        <v>0</v>
      </c>
      <c r="AD103">
        <f t="shared" si="73"/>
        <v>0</v>
      </c>
      <c r="AE103">
        <f>D103-AR103</f>
        <v>0</v>
      </c>
      <c r="AF103">
        <f>AW51</f>
        <v>0</v>
      </c>
      <c r="AG103">
        <f t="shared" si="69"/>
        <v>0</v>
      </c>
      <c r="AH103">
        <f t="shared" si="69"/>
        <v>0</v>
      </c>
      <c r="AI103">
        <f t="shared" si="69"/>
        <v>0</v>
      </c>
      <c r="AJ103">
        <f t="shared" si="69"/>
        <v>0</v>
      </c>
      <c r="AK103">
        <f t="shared" si="69"/>
        <v>0</v>
      </c>
      <c r="AL103">
        <f t="shared" si="69"/>
        <v>0</v>
      </c>
      <c r="AM103">
        <f t="shared" si="69"/>
        <v>0</v>
      </c>
      <c r="AN103">
        <f t="shared" si="69"/>
        <v>0</v>
      </c>
      <c r="AO103">
        <f t="shared" si="69"/>
        <v>0</v>
      </c>
      <c r="AP103">
        <f t="shared" si="69"/>
        <v>0</v>
      </c>
      <c r="AQ103">
        <f t="shared" si="69"/>
        <v>0</v>
      </c>
      <c r="AR103">
        <f>E103+Q103+R103+S103+T103+U103+V103+W103+X103+Y103+Z103+AA103+AB103+AC103+AD103+AF103+AG103+AH103+AI103+AJ103+AK103+AL103+AM103+AN103+AO103+AP103+AQ103</f>
        <v>0</v>
      </c>
      <c r="AS103">
        <f>D103+AE116-AR103</f>
        <v>0</v>
      </c>
    </row>
    <row r="104" spans="1:45" ht="37.5" customHeight="1">
      <c r="A104" t="s">
        <v>91</v>
      </c>
      <c r="B104" t="s">
        <v>92</v>
      </c>
      <c r="C104" t="s">
        <v>93</v>
      </c>
      <c r="D104">
        <f t="shared" si="70"/>
        <v>0</v>
      </c>
      <c r="E104">
        <f t="shared" si="38"/>
        <v>0</v>
      </c>
      <c r="F104">
        <f t="shared" si="71"/>
        <v>0</v>
      </c>
      <c r="G104">
        <f t="shared" si="71"/>
        <v>0</v>
      </c>
      <c r="H104">
        <f t="shared" si="72"/>
        <v>0</v>
      </c>
      <c r="I104">
        <f t="shared" si="72"/>
        <v>0</v>
      </c>
      <c r="J104">
        <f t="shared" si="67"/>
        <v>0</v>
      </c>
      <c r="K104">
        <f t="shared" si="67"/>
        <v>0</v>
      </c>
      <c r="L104">
        <f t="shared" si="67"/>
        <v>0</v>
      </c>
      <c r="M104">
        <f t="shared" si="67"/>
        <v>0</v>
      </c>
      <c r="N104">
        <f t="shared" si="67"/>
        <v>0</v>
      </c>
      <c r="O104">
        <f t="shared" si="67"/>
        <v>0</v>
      </c>
      <c r="P104">
        <f t="shared" si="62"/>
        <v>0</v>
      </c>
      <c r="Q104">
        <f t="shared" si="68"/>
        <v>0</v>
      </c>
      <c r="R104">
        <f t="shared" si="68"/>
        <v>0</v>
      </c>
      <c r="S104">
        <f t="shared" si="68"/>
        <v>0</v>
      </c>
      <c r="T104">
        <f t="shared" si="68"/>
        <v>0</v>
      </c>
      <c r="U104">
        <f t="shared" si="68"/>
        <v>0</v>
      </c>
      <c r="V104">
        <f t="shared" si="68"/>
        <v>0</v>
      </c>
      <c r="W104">
        <f t="shared" si="68"/>
        <v>0</v>
      </c>
      <c r="X104">
        <f t="shared" si="68"/>
        <v>0</v>
      </c>
      <c r="Y104">
        <f t="shared" si="68"/>
        <v>0</v>
      </c>
      <c r="Z104">
        <f t="shared" si="73"/>
        <v>0</v>
      </c>
      <c r="AA104">
        <f t="shared" si="73"/>
        <v>0</v>
      </c>
      <c r="AB104">
        <f t="shared" si="73"/>
        <v>0</v>
      </c>
      <c r="AC104">
        <f t="shared" si="73"/>
        <v>0</v>
      </c>
      <c r="AD104">
        <f t="shared" si="73"/>
        <v>0</v>
      </c>
      <c r="AE104">
        <f t="shared" si="73"/>
        <v>0</v>
      </c>
      <c r="AF104">
        <f>D104-AR104</f>
        <v>0</v>
      </c>
      <c r="AG104">
        <f>AX52</f>
        <v>0</v>
      </c>
      <c r="AH104">
        <f t="shared" si="69"/>
        <v>0</v>
      </c>
      <c r="AI104">
        <f t="shared" si="69"/>
        <v>0</v>
      </c>
      <c r="AJ104">
        <f t="shared" si="69"/>
        <v>0</v>
      </c>
      <c r="AK104">
        <f t="shared" si="69"/>
        <v>0</v>
      </c>
      <c r="AL104">
        <f t="shared" si="69"/>
        <v>0</v>
      </c>
      <c r="AM104">
        <f t="shared" si="69"/>
        <v>0</v>
      </c>
      <c r="AN104">
        <f t="shared" si="69"/>
        <v>0</v>
      </c>
      <c r="AO104">
        <f t="shared" si="69"/>
        <v>0</v>
      </c>
      <c r="AP104">
        <f t="shared" si="69"/>
        <v>0</v>
      </c>
      <c r="AQ104">
        <f t="shared" si="69"/>
        <v>0</v>
      </c>
      <c r="AR104">
        <f>E104+Q104+R104+S104+T104+U104+V104+W104+X104+Y104+Z104+AA104+AB104+AC104+AD104+AE104+AG104+AH104+AI104+AJ104+AK104+AL104+AM104+AN104+AO104+AP104+AQ104</f>
        <v>0</v>
      </c>
      <c r="AS104">
        <f>D104+AF116-AR104</f>
        <v>0</v>
      </c>
    </row>
    <row r="105" spans="1:45" ht="20.25" customHeight="1">
      <c r="A105" t="s">
        <v>94</v>
      </c>
      <c r="B105" t="s">
        <v>95</v>
      </c>
      <c r="C105" t="s">
        <v>96</v>
      </c>
      <c r="D105">
        <f t="shared" si="70"/>
        <v>0</v>
      </c>
      <c r="E105">
        <f t="shared" si="38"/>
        <v>0</v>
      </c>
      <c r="F105">
        <f t="shared" si="71"/>
        <v>0</v>
      </c>
      <c r="G105">
        <f t="shared" si="71"/>
        <v>0</v>
      </c>
      <c r="H105">
        <f t="shared" si="72"/>
        <v>0</v>
      </c>
      <c r="I105">
        <f t="shared" si="72"/>
        <v>0</v>
      </c>
      <c r="J105">
        <f t="shared" si="67"/>
        <v>0</v>
      </c>
      <c r="K105">
        <f t="shared" si="67"/>
        <v>0</v>
      </c>
      <c r="L105">
        <f t="shared" si="67"/>
        <v>0</v>
      </c>
      <c r="M105">
        <f t="shared" si="67"/>
        <v>0</v>
      </c>
      <c r="N105">
        <f t="shared" si="67"/>
        <v>0</v>
      </c>
      <c r="O105">
        <f t="shared" si="67"/>
        <v>0</v>
      </c>
      <c r="P105">
        <f t="shared" si="62"/>
        <v>0</v>
      </c>
      <c r="Q105">
        <f t="shared" si="68"/>
        <v>0</v>
      </c>
      <c r="R105">
        <f t="shared" si="68"/>
        <v>0</v>
      </c>
      <c r="S105">
        <f t="shared" si="68"/>
        <v>0</v>
      </c>
      <c r="T105">
        <f t="shared" si="68"/>
        <v>0</v>
      </c>
      <c r="U105">
        <f t="shared" si="68"/>
        <v>0</v>
      </c>
      <c r="V105">
        <f t="shared" si="68"/>
        <v>0</v>
      </c>
      <c r="W105">
        <f t="shared" si="68"/>
        <v>0</v>
      </c>
      <c r="X105">
        <f t="shared" si="68"/>
        <v>0</v>
      </c>
      <c r="Y105">
        <f t="shared" si="68"/>
        <v>0</v>
      </c>
      <c r="Z105">
        <f t="shared" si="73"/>
        <v>0</v>
      </c>
      <c r="AA105">
        <f t="shared" si="73"/>
        <v>0</v>
      </c>
      <c r="AB105">
        <f t="shared" si="73"/>
        <v>0</v>
      </c>
      <c r="AC105">
        <f t="shared" si="73"/>
        <v>0</v>
      </c>
      <c r="AD105">
        <f t="shared" si="73"/>
        <v>0</v>
      </c>
      <c r="AE105">
        <f t="shared" si="73"/>
        <v>0</v>
      </c>
      <c r="AF105">
        <f t="shared" si="73"/>
        <v>0</v>
      </c>
      <c r="AG105">
        <f>D105-AR105</f>
        <v>0</v>
      </c>
      <c r="AH105">
        <f>AY53</f>
        <v>0</v>
      </c>
      <c r="AI105">
        <f t="shared" si="69"/>
        <v>0</v>
      </c>
      <c r="AJ105">
        <f t="shared" si="69"/>
        <v>0</v>
      </c>
      <c r="AK105">
        <f t="shared" si="69"/>
        <v>0</v>
      </c>
      <c r="AL105">
        <f t="shared" si="69"/>
        <v>0</v>
      </c>
      <c r="AM105">
        <f t="shared" si="69"/>
        <v>0</v>
      </c>
      <c r="AN105">
        <f t="shared" si="69"/>
        <v>0</v>
      </c>
      <c r="AO105">
        <f t="shared" si="69"/>
        <v>0</v>
      </c>
      <c r="AP105">
        <f t="shared" si="69"/>
        <v>0</v>
      </c>
      <c r="AQ105">
        <f t="shared" si="69"/>
        <v>0</v>
      </c>
      <c r="AR105">
        <f>E105+Q105+R105+S105+T105+U105+V105+W105+X105+Y105+Z105+AA105+AB105+AC105+AD105+AE105+AF105+AH105+AI105+AJ105+AK105+AL105+AM105+AN105+AO105+AP105+AQ105</f>
        <v>0</v>
      </c>
      <c r="AS105">
        <f>D105+AG116-AR105</f>
        <v>0</v>
      </c>
    </row>
    <row r="106" spans="1:45" ht="20.25" customHeight="1">
      <c r="A106" t="s">
        <v>97</v>
      </c>
      <c r="B106" t="s">
        <v>98</v>
      </c>
      <c r="C106" t="s">
        <v>99</v>
      </c>
      <c r="D106">
        <f t="shared" si="70"/>
        <v>0</v>
      </c>
      <c r="E106">
        <f t="shared" si="38"/>
        <v>0</v>
      </c>
      <c r="F106">
        <f t="shared" si="71"/>
        <v>0</v>
      </c>
      <c r="G106">
        <f t="shared" si="71"/>
        <v>0</v>
      </c>
      <c r="H106">
        <f t="shared" si="72"/>
        <v>0</v>
      </c>
      <c r="I106">
        <f t="shared" si="72"/>
        <v>0</v>
      </c>
      <c r="J106">
        <f t="shared" si="67"/>
        <v>0</v>
      </c>
      <c r="K106">
        <f t="shared" si="67"/>
        <v>0</v>
      </c>
      <c r="L106">
        <f t="shared" si="67"/>
        <v>0</v>
      </c>
      <c r="M106">
        <f t="shared" si="67"/>
        <v>0</v>
      </c>
      <c r="N106">
        <f t="shared" si="67"/>
        <v>0</v>
      </c>
      <c r="O106">
        <f t="shared" si="67"/>
        <v>0</v>
      </c>
      <c r="P106">
        <f t="shared" si="62"/>
        <v>0</v>
      </c>
      <c r="Q106">
        <f t="shared" si="68"/>
        <v>0</v>
      </c>
      <c r="R106">
        <f t="shared" si="68"/>
        <v>0</v>
      </c>
      <c r="S106">
        <f t="shared" si="68"/>
        <v>0</v>
      </c>
      <c r="T106">
        <f t="shared" si="68"/>
        <v>0</v>
      </c>
      <c r="U106">
        <f t="shared" si="68"/>
        <v>0</v>
      </c>
      <c r="V106">
        <f t="shared" si="68"/>
        <v>0</v>
      </c>
      <c r="W106">
        <f t="shared" si="68"/>
        <v>0</v>
      </c>
      <c r="X106">
        <f t="shared" si="68"/>
        <v>0</v>
      </c>
      <c r="Y106">
        <f t="shared" si="68"/>
        <v>0</v>
      </c>
      <c r="Z106">
        <f t="shared" si="73"/>
        <v>0</v>
      </c>
      <c r="AA106">
        <f t="shared" si="73"/>
        <v>0</v>
      </c>
      <c r="AB106">
        <f t="shared" si="73"/>
        <v>0</v>
      </c>
      <c r="AC106">
        <f t="shared" si="73"/>
        <v>0</v>
      </c>
      <c r="AD106">
        <f t="shared" si="73"/>
        <v>0</v>
      </c>
      <c r="AE106">
        <f t="shared" si="73"/>
        <v>0</v>
      </c>
      <c r="AF106">
        <f t="shared" si="73"/>
        <v>0</v>
      </c>
      <c r="AG106">
        <f t="shared" si="73"/>
        <v>0</v>
      </c>
      <c r="AH106">
        <f>D106-AR106</f>
        <v>0</v>
      </c>
      <c r="AI106">
        <f>AZ54</f>
        <v>0</v>
      </c>
      <c r="AJ106">
        <f t="shared" si="69"/>
        <v>0</v>
      </c>
      <c r="AK106">
        <f t="shared" si="69"/>
        <v>0</v>
      </c>
      <c r="AL106">
        <f t="shared" si="69"/>
        <v>0</v>
      </c>
      <c r="AM106">
        <f t="shared" si="69"/>
        <v>0</v>
      </c>
      <c r="AN106">
        <f t="shared" si="69"/>
        <v>0</v>
      </c>
      <c r="AO106">
        <f t="shared" si="69"/>
        <v>0</v>
      </c>
      <c r="AP106">
        <f t="shared" si="69"/>
        <v>0</v>
      </c>
      <c r="AQ106">
        <f t="shared" si="69"/>
        <v>0</v>
      </c>
      <c r="AR106">
        <f>E106+Q106+R106+S106+T106+U106+V106+W106+X106+Y106+Z106+AA106+AB106+AC106+AD106+AE106+AF106+AG106+AI106+AJ106+AK106+AL106+AM106+AN106+AO106+AP106+AQ106</f>
        <v>0</v>
      </c>
      <c r="AS106">
        <f>D106+AH116-AR106</f>
        <v>0</v>
      </c>
    </row>
    <row r="107" spans="1:45" ht="31.5" customHeight="1">
      <c r="A107" t="s">
        <v>100</v>
      </c>
      <c r="B107" t="s">
        <v>134</v>
      </c>
      <c r="C107" t="s">
        <v>101</v>
      </c>
      <c r="D107">
        <f t="shared" si="70"/>
        <v>0</v>
      </c>
      <c r="E107">
        <f t="shared" si="38"/>
        <v>0</v>
      </c>
      <c r="F107">
        <f t="shared" si="71"/>
        <v>0</v>
      </c>
      <c r="G107">
        <f t="shared" si="71"/>
        <v>0</v>
      </c>
      <c r="H107">
        <f t="shared" si="72"/>
        <v>0</v>
      </c>
      <c r="I107">
        <f t="shared" si="72"/>
        <v>0</v>
      </c>
      <c r="J107">
        <f t="shared" si="67"/>
        <v>0</v>
      </c>
      <c r="K107">
        <f t="shared" si="67"/>
        <v>0</v>
      </c>
      <c r="L107">
        <f t="shared" si="67"/>
        <v>0</v>
      </c>
      <c r="M107">
        <f t="shared" si="67"/>
        <v>0</v>
      </c>
      <c r="N107">
        <f t="shared" si="67"/>
        <v>0</v>
      </c>
      <c r="O107">
        <f t="shared" si="67"/>
        <v>0</v>
      </c>
      <c r="P107">
        <f t="shared" si="62"/>
        <v>0</v>
      </c>
      <c r="Q107">
        <f t="shared" si="68"/>
        <v>0</v>
      </c>
      <c r="R107">
        <f t="shared" si="68"/>
        <v>0</v>
      </c>
      <c r="S107">
        <f t="shared" si="68"/>
        <v>0</v>
      </c>
      <c r="T107">
        <f t="shared" si="68"/>
        <v>0</v>
      </c>
      <c r="U107">
        <f t="shared" si="68"/>
        <v>0</v>
      </c>
      <c r="V107">
        <f t="shared" si="68"/>
        <v>0</v>
      </c>
      <c r="W107">
        <f t="shared" si="68"/>
        <v>0</v>
      </c>
      <c r="X107">
        <f t="shared" si="68"/>
        <v>0</v>
      </c>
      <c r="Y107">
        <f t="shared" si="68"/>
        <v>0</v>
      </c>
      <c r="Z107">
        <f t="shared" si="73"/>
        <v>0</v>
      </c>
      <c r="AA107">
        <f t="shared" si="73"/>
        <v>0</v>
      </c>
      <c r="AB107">
        <f t="shared" si="73"/>
        <v>0</v>
      </c>
      <c r="AC107">
        <f t="shared" si="73"/>
        <v>0</v>
      </c>
      <c r="AD107">
        <f t="shared" si="73"/>
        <v>0</v>
      </c>
      <c r="AE107">
        <f t="shared" si="73"/>
        <v>0</v>
      </c>
      <c r="AF107">
        <f t="shared" si="73"/>
        <v>0</v>
      </c>
      <c r="AG107">
        <f t="shared" si="73"/>
        <v>0</v>
      </c>
      <c r="AH107">
        <f t="shared" si="73"/>
        <v>0</v>
      </c>
      <c r="AI107">
        <f>D107-AR107</f>
        <v>0</v>
      </c>
      <c r="AJ107">
        <f>BA55</f>
        <v>0</v>
      </c>
      <c r="AK107">
        <f t="shared" si="69"/>
        <v>0</v>
      </c>
      <c r="AL107">
        <f t="shared" si="69"/>
        <v>0</v>
      </c>
      <c r="AM107">
        <f t="shared" si="69"/>
        <v>0</v>
      </c>
      <c r="AN107">
        <f t="shared" si="69"/>
        <v>0</v>
      </c>
      <c r="AO107">
        <f t="shared" si="69"/>
        <v>0</v>
      </c>
      <c r="AP107">
        <f t="shared" si="69"/>
        <v>0</v>
      </c>
      <c r="AQ107">
        <f t="shared" si="69"/>
        <v>0</v>
      </c>
      <c r="AR107">
        <f>E107+Q107+R107+S107+T107+U107+V107+W107+X107+Y107+Z107+AA107+AB107+AC107+AD107+AE107+AF107+AG107+AH107+AJ107+AK107+AL107+AM107+AN107+AO107+AP107+AQ107</f>
        <v>0</v>
      </c>
      <c r="AS107">
        <f>D107+AI116-AR107</f>
        <v>0</v>
      </c>
    </row>
    <row r="108" spans="1:45" ht="20.25" customHeight="1">
      <c r="A108" t="s">
        <v>102</v>
      </c>
      <c r="B108" t="s">
        <v>103</v>
      </c>
      <c r="C108" t="s">
        <v>104</v>
      </c>
      <c r="D108">
        <f t="shared" si="70"/>
        <v>0</v>
      </c>
      <c r="E108">
        <f t="shared" si="38"/>
        <v>0</v>
      </c>
      <c r="F108">
        <f t="shared" si="71"/>
        <v>0</v>
      </c>
      <c r="G108">
        <f t="shared" si="71"/>
        <v>0</v>
      </c>
      <c r="H108">
        <f t="shared" si="72"/>
        <v>0</v>
      </c>
      <c r="I108">
        <f t="shared" si="72"/>
        <v>0</v>
      </c>
      <c r="J108">
        <f t="shared" si="67"/>
        <v>0</v>
      </c>
      <c r="K108">
        <f t="shared" si="67"/>
        <v>0</v>
      </c>
      <c r="L108">
        <f t="shared" si="67"/>
        <v>0</v>
      </c>
      <c r="M108">
        <f t="shared" si="67"/>
        <v>0</v>
      </c>
      <c r="N108">
        <f t="shared" si="67"/>
        <v>0</v>
      </c>
      <c r="O108">
        <f t="shared" si="67"/>
        <v>0</v>
      </c>
      <c r="P108">
        <f t="shared" si="62"/>
        <v>0</v>
      </c>
      <c r="Q108">
        <f t="shared" si="68"/>
        <v>0</v>
      </c>
      <c r="R108">
        <f t="shared" si="68"/>
        <v>0</v>
      </c>
      <c r="S108">
        <f t="shared" si="68"/>
        <v>0</v>
      </c>
      <c r="T108">
        <f t="shared" si="68"/>
        <v>0</v>
      </c>
      <c r="U108">
        <f t="shared" si="68"/>
        <v>0</v>
      </c>
      <c r="V108">
        <f t="shared" si="68"/>
        <v>0</v>
      </c>
      <c r="W108">
        <f t="shared" si="68"/>
        <v>0</v>
      </c>
      <c r="X108">
        <f t="shared" si="68"/>
        <v>0</v>
      </c>
      <c r="Y108">
        <f t="shared" si="68"/>
        <v>0</v>
      </c>
      <c r="Z108">
        <f t="shared" si="73"/>
        <v>0</v>
      </c>
      <c r="AA108">
        <f t="shared" si="73"/>
        <v>0</v>
      </c>
      <c r="AB108">
        <f t="shared" si="73"/>
        <v>0</v>
      </c>
      <c r="AC108">
        <f t="shared" si="73"/>
        <v>0</v>
      </c>
      <c r="AD108">
        <f t="shared" si="73"/>
        <v>0</v>
      </c>
      <c r="AE108">
        <f t="shared" si="73"/>
        <v>0</v>
      </c>
      <c r="AF108">
        <f t="shared" si="73"/>
        <v>0</v>
      </c>
      <c r="AG108">
        <f t="shared" si="73"/>
        <v>0</v>
      </c>
      <c r="AH108">
        <f t="shared" si="73"/>
        <v>0</v>
      </c>
      <c r="AI108">
        <f t="shared" si="73"/>
        <v>0</v>
      </c>
      <c r="AJ108">
        <f>D108-AR108</f>
        <v>0</v>
      </c>
      <c r="AK108">
        <f>BB56</f>
        <v>0</v>
      </c>
      <c r="AL108">
        <f t="shared" si="69"/>
        <v>0</v>
      </c>
      <c r="AM108">
        <f t="shared" si="69"/>
        <v>0</v>
      </c>
      <c r="AN108">
        <f t="shared" si="69"/>
        <v>0</v>
      </c>
      <c r="AO108">
        <f t="shared" si="69"/>
        <v>0</v>
      </c>
      <c r="AP108">
        <f t="shared" si="69"/>
        <v>0</v>
      </c>
      <c r="AQ108">
        <f t="shared" si="69"/>
        <v>0</v>
      </c>
      <c r="AR108">
        <f>E108+Q108+R108+S108+T108+U108+V108+W108+X108+Y108+Z108+AA108+AB108+AC108+AD108+AE108+AF108+AG108+AH108+AI108+AK108+AL108+AM108+AN108+AO108+AP108+AQ108</f>
        <v>0</v>
      </c>
      <c r="AS108">
        <f>D108+AJ116-AR108</f>
        <v>0</v>
      </c>
    </row>
    <row r="109" spans="1:45" ht="20.25" customHeight="1">
      <c r="A109" t="s">
        <v>105</v>
      </c>
      <c r="B109" t="s">
        <v>106</v>
      </c>
      <c r="C109" t="s">
        <v>107</v>
      </c>
      <c r="D109">
        <f t="shared" si="70"/>
        <v>0</v>
      </c>
      <c r="E109">
        <f t="shared" si="38"/>
        <v>0</v>
      </c>
      <c r="F109">
        <f t="shared" si="71"/>
        <v>0</v>
      </c>
      <c r="G109">
        <f t="shared" si="71"/>
        <v>0</v>
      </c>
      <c r="H109">
        <f t="shared" si="72"/>
        <v>0</v>
      </c>
      <c r="I109">
        <f t="shared" si="72"/>
        <v>0</v>
      </c>
      <c r="J109">
        <f t="shared" si="67"/>
        <v>0</v>
      </c>
      <c r="K109">
        <f t="shared" si="67"/>
        <v>0</v>
      </c>
      <c r="L109">
        <f t="shared" si="67"/>
        <v>0</v>
      </c>
      <c r="M109">
        <f t="shared" si="67"/>
        <v>0</v>
      </c>
      <c r="N109">
        <f t="shared" si="67"/>
        <v>0</v>
      </c>
      <c r="O109">
        <f t="shared" si="67"/>
        <v>0</v>
      </c>
      <c r="P109">
        <f t="shared" si="62"/>
        <v>0</v>
      </c>
      <c r="Q109">
        <f t="shared" si="68"/>
        <v>0</v>
      </c>
      <c r="R109">
        <f t="shared" si="68"/>
        <v>0</v>
      </c>
      <c r="S109">
        <f t="shared" si="68"/>
        <v>0</v>
      </c>
      <c r="T109">
        <f t="shared" si="68"/>
        <v>0</v>
      </c>
      <c r="U109">
        <f t="shared" si="68"/>
        <v>0</v>
      </c>
      <c r="V109">
        <f t="shared" si="68"/>
        <v>0</v>
      </c>
      <c r="W109">
        <f t="shared" si="68"/>
        <v>0</v>
      </c>
      <c r="X109">
        <f t="shared" si="68"/>
        <v>0</v>
      </c>
      <c r="Y109">
        <f t="shared" si="68"/>
        <v>0</v>
      </c>
      <c r="Z109">
        <f t="shared" si="73"/>
        <v>0</v>
      </c>
      <c r="AA109">
        <f t="shared" si="73"/>
        <v>0</v>
      </c>
      <c r="AB109">
        <f t="shared" si="73"/>
        <v>0</v>
      </c>
      <c r="AC109">
        <f t="shared" si="73"/>
        <v>0</v>
      </c>
      <c r="AD109">
        <f t="shared" si="73"/>
        <v>0</v>
      </c>
      <c r="AE109">
        <f t="shared" si="73"/>
        <v>0</v>
      </c>
      <c r="AF109">
        <f t="shared" si="73"/>
        <v>0</v>
      </c>
      <c r="AG109">
        <f t="shared" si="73"/>
        <v>0</v>
      </c>
      <c r="AH109">
        <f t="shared" si="73"/>
        <v>0</v>
      </c>
      <c r="AI109">
        <f t="shared" si="73"/>
        <v>0</v>
      </c>
      <c r="AJ109">
        <f t="shared" si="73"/>
        <v>0</v>
      </c>
      <c r="AK109">
        <f>D109-AR109</f>
        <v>0</v>
      </c>
      <c r="AL109">
        <f t="shared" si="69"/>
        <v>0</v>
      </c>
      <c r="AM109">
        <f t="shared" si="69"/>
        <v>0</v>
      </c>
      <c r="AN109">
        <f t="shared" si="69"/>
        <v>0</v>
      </c>
      <c r="AO109">
        <f t="shared" si="69"/>
        <v>0</v>
      </c>
      <c r="AP109">
        <f t="shared" si="69"/>
        <v>0</v>
      </c>
      <c r="AQ109">
        <f t="shared" si="69"/>
        <v>0</v>
      </c>
      <c r="AR109">
        <f>E109+Q109+R109+S109+T109+U109+V109+W109+X109+Y109+Z109+AA109+AB109+AC109+AD109+AE109+AF109+AG109+AH109+AI109+AJ109+AL109+AM109+AN109+AO109+AP109+AQ109</f>
        <v>0</v>
      </c>
      <c r="AS109">
        <f>D109+AK116-AR109</f>
        <v>0</v>
      </c>
    </row>
    <row r="110" spans="1:45" ht="20.25" customHeight="1">
      <c r="A110" t="s">
        <v>108</v>
      </c>
      <c r="B110" t="s">
        <v>109</v>
      </c>
      <c r="C110" t="s">
        <v>110</v>
      </c>
      <c r="D110">
        <f t="shared" si="70"/>
        <v>0</v>
      </c>
      <c r="E110">
        <f t="shared" si="38"/>
        <v>0</v>
      </c>
      <c r="F110">
        <f t="shared" si="71"/>
        <v>0</v>
      </c>
      <c r="G110">
        <f t="shared" si="71"/>
        <v>0</v>
      </c>
      <c r="H110">
        <f t="shared" si="72"/>
        <v>0</v>
      </c>
      <c r="I110">
        <f t="shared" si="72"/>
        <v>0</v>
      </c>
      <c r="J110">
        <f t="shared" si="67"/>
        <v>0</v>
      </c>
      <c r="K110">
        <f t="shared" si="67"/>
        <v>0</v>
      </c>
      <c r="L110">
        <f t="shared" si="67"/>
        <v>0</v>
      </c>
      <c r="M110">
        <f t="shared" si="67"/>
        <v>0</v>
      </c>
      <c r="N110">
        <f t="shared" si="67"/>
        <v>0</v>
      </c>
      <c r="O110">
        <f t="shared" si="67"/>
        <v>0</v>
      </c>
      <c r="P110">
        <f t="shared" si="62"/>
        <v>0</v>
      </c>
      <c r="Q110">
        <f t="shared" si="68"/>
        <v>0</v>
      </c>
      <c r="R110">
        <f t="shared" si="68"/>
        <v>0</v>
      </c>
      <c r="S110">
        <f t="shared" si="68"/>
        <v>0</v>
      </c>
      <c r="T110">
        <f t="shared" si="68"/>
        <v>0</v>
      </c>
      <c r="U110">
        <f t="shared" si="68"/>
        <v>0</v>
      </c>
      <c r="V110">
        <f t="shared" si="68"/>
        <v>0</v>
      </c>
      <c r="W110">
        <f t="shared" si="68"/>
        <v>0</v>
      </c>
      <c r="X110">
        <f t="shared" si="68"/>
        <v>0</v>
      </c>
      <c r="Y110">
        <f t="shared" si="68"/>
        <v>0</v>
      </c>
      <c r="Z110">
        <f t="shared" si="73"/>
        <v>0</v>
      </c>
      <c r="AA110">
        <f t="shared" si="73"/>
        <v>0</v>
      </c>
      <c r="AB110">
        <f t="shared" si="73"/>
        <v>0</v>
      </c>
      <c r="AC110">
        <f t="shared" si="73"/>
        <v>0</v>
      </c>
      <c r="AD110">
        <f t="shared" si="73"/>
        <v>0</v>
      </c>
      <c r="AE110">
        <f t="shared" si="73"/>
        <v>0</v>
      </c>
      <c r="AF110">
        <f t="shared" si="73"/>
        <v>0</v>
      </c>
      <c r="AG110">
        <f t="shared" si="73"/>
        <v>0</v>
      </c>
      <c r="AH110">
        <f t="shared" si="73"/>
        <v>0</v>
      </c>
      <c r="AI110">
        <f t="shared" si="73"/>
        <v>0</v>
      </c>
      <c r="AJ110">
        <f t="shared" si="73"/>
        <v>0</v>
      </c>
      <c r="AK110">
        <f t="shared" si="73"/>
        <v>0</v>
      </c>
      <c r="AL110">
        <f>D110-AR110</f>
        <v>0</v>
      </c>
      <c r="AM110">
        <f>BD58</f>
        <v>0</v>
      </c>
      <c r="AN110">
        <f>BE58</f>
        <v>0</v>
      </c>
      <c r="AO110">
        <f>BF58</f>
        <v>0</v>
      </c>
      <c r="AP110">
        <f>BG58</f>
        <v>0</v>
      </c>
      <c r="AQ110">
        <f>BH58</f>
        <v>0</v>
      </c>
      <c r="AR110">
        <f>E110+Q110+R110+S110+T110+U110+V110+W110+X110+Y110+Z110+AA110+AB110+AC110+AD110+AE110+AF110+AG110+AH110+AI110+AJ110+AK110+AM110+AN110+AO110+AP110+AQ110</f>
        <v>0</v>
      </c>
      <c r="AS110">
        <f>D110+AL116-AR110</f>
        <v>0</v>
      </c>
    </row>
    <row r="111" spans="1:45" ht="20.25" customHeight="1">
      <c r="A111" t="s">
        <v>111</v>
      </c>
      <c r="B111" t="s">
        <v>112</v>
      </c>
      <c r="C111" t="s">
        <v>113</v>
      </c>
      <c r="D111">
        <f t="shared" si="70"/>
        <v>0</v>
      </c>
      <c r="E111">
        <f t="shared" si="38"/>
        <v>0</v>
      </c>
      <c r="F111">
        <f t="shared" si="71"/>
        <v>0</v>
      </c>
      <c r="G111">
        <f t="shared" si="71"/>
        <v>0</v>
      </c>
      <c r="H111">
        <f t="shared" si="72"/>
        <v>0</v>
      </c>
      <c r="I111">
        <f t="shared" si="72"/>
        <v>0</v>
      </c>
      <c r="J111">
        <f t="shared" si="67"/>
        <v>0</v>
      </c>
      <c r="K111">
        <f t="shared" si="67"/>
        <v>0</v>
      </c>
      <c r="L111">
        <f t="shared" si="67"/>
        <v>0</v>
      </c>
      <c r="M111">
        <f t="shared" si="67"/>
        <v>0</v>
      </c>
      <c r="N111">
        <f t="shared" si="67"/>
        <v>0</v>
      </c>
      <c r="O111">
        <f t="shared" si="67"/>
        <v>0</v>
      </c>
      <c r="P111">
        <f t="shared" si="62"/>
        <v>0</v>
      </c>
      <c r="Q111">
        <f t="shared" si="68"/>
        <v>0</v>
      </c>
      <c r="R111">
        <f t="shared" si="68"/>
        <v>0</v>
      </c>
      <c r="S111">
        <f t="shared" si="68"/>
        <v>0</v>
      </c>
      <c r="T111">
        <f t="shared" si="68"/>
        <v>0</v>
      </c>
      <c r="U111">
        <f t="shared" si="68"/>
        <v>0</v>
      </c>
      <c r="V111">
        <f t="shared" si="68"/>
        <v>0</v>
      </c>
      <c r="W111">
        <f t="shared" si="68"/>
        <v>0</v>
      </c>
      <c r="X111">
        <f t="shared" si="68"/>
        <v>0</v>
      </c>
      <c r="Y111">
        <f t="shared" si="68"/>
        <v>0</v>
      </c>
      <c r="Z111">
        <f t="shared" si="73"/>
        <v>0</v>
      </c>
      <c r="AA111">
        <f t="shared" si="73"/>
        <v>0</v>
      </c>
      <c r="AB111">
        <f t="shared" si="73"/>
        <v>0</v>
      </c>
      <c r="AC111">
        <f t="shared" si="73"/>
        <v>0</v>
      </c>
      <c r="AD111">
        <f t="shared" si="73"/>
        <v>0</v>
      </c>
      <c r="AE111">
        <f t="shared" si="73"/>
        <v>0</v>
      </c>
      <c r="AF111">
        <f t="shared" si="73"/>
        <v>0</v>
      </c>
      <c r="AG111">
        <f t="shared" si="73"/>
        <v>0</v>
      </c>
      <c r="AH111">
        <f t="shared" si="73"/>
        <v>0</v>
      </c>
      <c r="AI111">
        <f t="shared" si="73"/>
        <v>0</v>
      </c>
      <c r="AJ111">
        <f t="shared" si="73"/>
        <v>0</v>
      </c>
      <c r="AK111">
        <f t="shared" si="73"/>
        <v>0</v>
      </c>
      <c r="AL111">
        <f>BC59</f>
        <v>0</v>
      </c>
      <c r="AM111">
        <f>D111-AR111</f>
        <v>0</v>
      </c>
      <c r="AN111">
        <f>BE59</f>
        <v>0</v>
      </c>
      <c r="AO111">
        <f>BF59</f>
        <v>0</v>
      </c>
      <c r="AP111">
        <f>BG59</f>
        <v>0</v>
      </c>
      <c r="AQ111">
        <f>BH59</f>
        <v>0</v>
      </c>
      <c r="AR111">
        <f>E111+Q111+R111+S111+T111+U111+V111+W111+X111+Y111+Z111+AA111+AB111+AC111+AD111+AE111+AF111+AG111+AH111+AI111+AJ111+AK111+AL111+AN111+AO111+AP111+AQ111</f>
        <v>0</v>
      </c>
      <c r="AS111">
        <f>D111+AM116-AR111</f>
        <v>0</v>
      </c>
    </row>
    <row r="112" spans="1:45" ht="20.25" customHeight="1">
      <c r="A112" t="s">
        <v>114</v>
      </c>
      <c r="B112" t="s">
        <v>115</v>
      </c>
      <c r="C112" t="s">
        <v>116</v>
      </c>
      <c r="D112">
        <f t="shared" si="70"/>
        <v>0</v>
      </c>
      <c r="E112">
        <f t="shared" si="38"/>
        <v>0</v>
      </c>
      <c r="F112">
        <f t="shared" si="71"/>
        <v>0</v>
      </c>
      <c r="G112">
        <f t="shared" si="71"/>
        <v>0</v>
      </c>
      <c r="H112">
        <f t="shared" si="72"/>
        <v>0</v>
      </c>
      <c r="I112">
        <f t="shared" si="72"/>
        <v>0</v>
      </c>
      <c r="J112">
        <f t="shared" si="67"/>
        <v>0</v>
      </c>
      <c r="K112">
        <f t="shared" si="67"/>
        <v>0</v>
      </c>
      <c r="L112">
        <f t="shared" si="67"/>
        <v>0</v>
      </c>
      <c r="M112">
        <f t="shared" si="67"/>
        <v>0</v>
      </c>
      <c r="N112">
        <f t="shared" si="67"/>
        <v>0</v>
      </c>
      <c r="O112">
        <f t="shared" si="67"/>
        <v>0</v>
      </c>
      <c r="P112">
        <f t="shared" si="62"/>
        <v>0</v>
      </c>
      <c r="Q112">
        <f t="shared" si="68"/>
        <v>0</v>
      </c>
      <c r="R112">
        <f t="shared" si="68"/>
        <v>0</v>
      </c>
      <c r="S112">
        <f t="shared" si="68"/>
        <v>0</v>
      </c>
      <c r="T112">
        <f t="shared" si="68"/>
        <v>0</v>
      </c>
      <c r="U112">
        <f t="shared" si="68"/>
        <v>0</v>
      </c>
      <c r="V112">
        <f t="shared" si="68"/>
        <v>0</v>
      </c>
      <c r="W112">
        <f t="shared" si="68"/>
        <v>0</v>
      </c>
      <c r="X112">
        <f t="shared" si="68"/>
        <v>0</v>
      </c>
      <c r="Y112">
        <f t="shared" si="68"/>
        <v>0</v>
      </c>
      <c r="Z112">
        <f t="shared" si="73"/>
        <v>0</v>
      </c>
      <c r="AA112">
        <f t="shared" si="73"/>
        <v>0</v>
      </c>
      <c r="AB112">
        <f t="shared" si="73"/>
        <v>0</v>
      </c>
      <c r="AC112">
        <f t="shared" si="73"/>
        <v>0</v>
      </c>
      <c r="AD112">
        <f t="shared" si="73"/>
        <v>0</v>
      </c>
      <c r="AE112">
        <f t="shared" si="73"/>
        <v>0</v>
      </c>
      <c r="AF112">
        <f t="shared" si="73"/>
        <v>0</v>
      </c>
      <c r="AG112">
        <f t="shared" si="73"/>
        <v>0</v>
      </c>
      <c r="AH112">
        <f t="shared" si="73"/>
        <v>0</v>
      </c>
      <c r="AI112">
        <f t="shared" si="73"/>
        <v>0</v>
      </c>
      <c r="AJ112">
        <f t="shared" si="73"/>
        <v>0</v>
      </c>
      <c r="AK112">
        <f t="shared" si="73"/>
        <v>0</v>
      </c>
      <c r="AL112">
        <f>BC60</f>
        <v>0</v>
      </c>
      <c r="AM112">
        <f>BD60</f>
        <v>0</v>
      </c>
      <c r="AN112">
        <f>D112-AR112</f>
        <v>0</v>
      </c>
      <c r="AO112">
        <f>BF60</f>
        <v>0</v>
      </c>
      <c r="AP112">
        <f>BG60</f>
        <v>0</v>
      </c>
      <c r="AQ112">
        <f>BH60</f>
        <v>0</v>
      </c>
      <c r="AR112">
        <f>E112+Q112+R112+S112+T112+U112+V112+W112+X112+Y112+Z112+AA112+AB112+AC112+AD112+AE112+AF112+AG112+AH112+AI112+AJ112+AK112+AL112+AM112+AO112+AP112+AQ112</f>
        <v>0</v>
      </c>
      <c r="AS112">
        <f>D112+AN116-AR112</f>
        <v>0</v>
      </c>
    </row>
    <row r="113" spans="1:45" ht="20.25" customHeight="1">
      <c r="A113" t="s">
        <v>117</v>
      </c>
      <c r="B113" t="s">
        <v>118</v>
      </c>
      <c r="C113" t="s">
        <v>119</v>
      </c>
      <c r="D113">
        <f t="shared" si="70"/>
        <v>0</v>
      </c>
      <c r="E113">
        <f t="shared" si="38"/>
        <v>0</v>
      </c>
      <c r="F113">
        <f t="shared" si="71"/>
        <v>0</v>
      </c>
      <c r="G113">
        <f t="shared" si="71"/>
        <v>0</v>
      </c>
      <c r="H113">
        <f t="shared" si="72"/>
        <v>0</v>
      </c>
      <c r="I113">
        <f t="shared" si="72"/>
        <v>0</v>
      </c>
      <c r="J113">
        <f t="shared" si="67"/>
        <v>0</v>
      </c>
      <c r="K113">
        <f t="shared" si="67"/>
        <v>0</v>
      </c>
      <c r="L113">
        <f t="shared" si="67"/>
        <v>0</v>
      </c>
      <c r="M113">
        <f t="shared" si="67"/>
        <v>0</v>
      </c>
      <c r="N113">
        <f t="shared" si="67"/>
        <v>0</v>
      </c>
      <c r="O113">
        <f t="shared" si="67"/>
        <v>0</v>
      </c>
      <c r="P113">
        <f t="shared" si="62"/>
        <v>0</v>
      </c>
      <c r="Q113">
        <f t="shared" si="68"/>
        <v>0</v>
      </c>
      <c r="R113">
        <f t="shared" si="68"/>
        <v>0</v>
      </c>
      <c r="S113">
        <f t="shared" si="68"/>
        <v>0</v>
      </c>
      <c r="T113">
        <f t="shared" si="68"/>
        <v>0</v>
      </c>
      <c r="U113">
        <f t="shared" si="68"/>
        <v>0</v>
      </c>
      <c r="V113">
        <f t="shared" si="68"/>
        <v>0</v>
      </c>
      <c r="W113">
        <f t="shared" si="68"/>
        <v>0</v>
      </c>
      <c r="X113">
        <f t="shared" si="68"/>
        <v>0</v>
      </c>
      <c r="Y113">
        <f t="shared" si="68"/>
        <v>0</v>
      </c>
      <c r="Z113">
        <f t="shared" si="73"/>
        <v>0</v>
      </c>
      <c r="AA113">
        <f t="shared" si="73"/>
        <v>0</v>
      </c>
      <c r="AB113">
        <f t="shared" si="73"/>
        <v>0</v>
      </c>
      <c r="AC113">
        <f t="shared" si="73"/>
        <v>0</v>
      </c>
      <c r="AD113">
        <f t="shared" si="73"/>
        <v>0</v>
      </c>
      <c r="AE113">
        <f t="shared" si="73"/>
        <v>0</v>
      </c>
      <c r="AF113">
        <f t="shared" si="73"/>
        <v>0</v>
      </c>
      <c r="AG113">
        <f t="shared" si="73"/>
        <v>0</v>
      </c>
      <c r="AH113">
        <f t="shared" si="73"/>
        <v>0</v>
      </c>
      <c r="AI113">
        <f t="shared" si="73"/>
        <v>0</v>
      </c>
      <c r="AJ113">
        <f t="shared" si="73"/>
        <v>0</v>
      </c>
      <c r="AK113">
        <f t="shared" si="73"/>
        <v>0</v>
      </c>
      <c r="AL113">
        <f>BC61</f>
        <v>0</v>
      </c>
      <c r="AM113">
        <f>BD61</f>
        <v>0</v>
      </c>
      <c r="AN113">
        <f>BE61</f>
        <v>0</v>
      </c>
      <c r="AO113">
        <f>D113-AR113</f>
        <v>0</v>
      </c>
      <c r="AP113">
        <f>BG61</f>
        <v>0</v>
      </c>
      <c r="AQ113">
        <f>BH61</f>
        <v>0</v>
      </c>
      <c r="AR113">
        <f>E113+Q113+R113+S113+T113+U113+V113+W113+X113+Y113+Z113+AA113+AB113+AC113+AD113+AE113+AF113+AG113+AH113+AI113+AJ113+AK113+AL113+AM113+AN113+AP113+AQ113</f>
        <v>0</v>
      </c>
      <c r="AS113">
        <f>D113+AO116-AR113</f>
        <v>0</v>
      </c>
    </row>
    <row r="114" spans="1:45" ht="20.25" customHeight="1">
      <c r="A114" t="s">
        <v>120</v>
      </c>
      <c r="B114" t="s">
        <v>121</v>
      </c>
      <c r="C114" t="s">
        <v>122</v>
      </c>
      <c r="D114">
        <f t="shared" si="70"/>
        <v>0</v>
      </c>
      <c r="E114">
        <f t="shared" si="38"/>
        <v>0</v>
      </c>
      <c r="F114">
        <f t="shared" si="71"/>
        <v>0</v>
      </c>
      <c r="G114">
        <f t="shared" si="71"/>
        <v>0</v>
      </c>
      <c r="H114">
        <f t="shared" si="72"/>
        <v>0</v>
      </c>
      <c r="I114">
        <f t="shared" si="72"/>
        <v>0</v>
      </c>
      <c r="J114">
        <f t="shared" ref="J114:O115" si="74">P62</f>
        <v>0</v>
      </c>
      <c r="K114">
        <f t="shared" si="74"/>
        <v>0</v>
      </c>
      <c r="L114">
        <f t="shared" si="74"/>
        <v>0</v>
      </c>
      <c r="M114">
        <f t="shared" si="74"/>
        <v>0</v>
      </c>
      <c r="N114">
        <f t="shared" si="74"/>
        <v>0</v>
      </c>
      <c r="O114">
        <f t="shared" si="74"/>
        <v>0</v>
      </c>
      <c r="P114">
        <f t="shared" si="62"/>
        <v>0</v>
      </c>
      <c r="Q114">
        <f t="shared" ref="Q114:Y115" si="75">W62</f>
        <v>0</v>
      </c>
      <c r="R114">
        <f t="shared" si="75"/>
        <v>0</v>
      </c>
      <c r="S114">
        <f t="shared" si="75"/>
        <v>0</v>
      </c>
      <c r="T114">
        <f t="shared" si="75"/>
        <v>0</v>
      </c>
      <c r="U114">
        <f t="shared" si="75"/>
        <v>0</v>
      </c>
      <c r="V114">
        <f t="shared" si="75"/>
        <v>0</v>
      </c>
      <c r="W114">
        <f t="shared" si="75"/>
        <v>0</v>
      </c>
      <c r="X114">
        <f t="shared" si="75"/>
        <v>0</v>
      </c>
      <c r="Y114">
        <f t="shared" si="75"/>
        <v>0</v>
      </c>
      <c r="Z114">
        <f t="shared" si="73"/>
        <v>0</v>
      </c>
      <c r="AA114">
        <f t="shared" si="73"/>
        <v>0</v>
      </c>
      <c r="AB114">
        <f t="shared" si="73"/>
        <v>0</v>
      </c>
      <c r="AC114">
        <f t="shared" si="73"/>
        <v>0</v>
      </c>
      <c r="AD114">
        <f t="shared" si="73"/>
        <v>0</v>
      </c>
      <c r="AE114">
        <f t="shared" si="73"/>
        <v>0</v>
      </c>
      <c r="AF114">
        <f t="shared" si="73"/>
        <v>0</v>
      </c>
      <c r="AG114">
        <f t="shared" si="73"/>
        <v>0</v>
      </c>
      <c r="AH114">
        <f t="shared" si="73"/>
        <v>0</v>
      </c>
      <c r="AI114">
        <f t="shared" si="73"/>
        <v>0</v>
      </c>
      <c r="AJ114">
        <f t="shared" si="73"/>
        <v>0</v>
      </c>
      <c r="AK114">
        <f t="shared" si="73"/>
        <v>0</v>
      </c>
      <c r="AL114">
        <f>BC62</f>
        <v>0</v>
      </c>
      <c r="AM114">
        <f>BD62</f>
        <v>0</v>
      </c>
      <c r="AN114">
        <f>BE62</f>
        <v>0</v>
      </c>
      <c r="AO114">
        <f>BF62</f>
        <v>0</v>
      </c>
      <c r="AP114">
        <f>D114-AR114</f>
        <v>0</v>
      </c>
      <c r="AQ114">
        <f>BH62</f>
        <v>0</v>
      </c>
      <c r="AR114">
        <f>E114+Q114+R114+S114+T114+U114+V114+W114+X114+Y114+Z114+AA114+AB114+AC114+AD114+AE114+AF114+AG114+AH114+AI114+AJ114+AK114+AL114+AM114+AN114+AO114+AQ114</f>
        <v>0</v>
      </c>
      <c r="AS114">
        <f>D114+AP116-AR114</f>
        <v>0</v>
      </c>
    </row>
    <row r="115" spans="1:45" ht="20.25" customHeight="1">
      <c r="A115">
        <v>3</v>
      </c>
      <c r="B115" t="s">
        <v>123</v>
      </c>
      <c r="C115" t="s">
        <v>124</v>
      </c>
      <c r="D115">
        <f>D63</f>
        <v>0</v>
      </c>
      <c r="E115">
        <f>F115+H115+I115+J115+K115+L115+M115+N115+O115</f>
        <v>0</v>
      </c>
      <c r="F115">
        <f t="shared" si="71"/>
        <v>0</v>
      </c>
      <c r="G115">
        <f t="shared" si="71"/>
        <v>0</v>
      </c>
      <c r="H115">
        <f t="shared" si="72"/>
        <v>0</v>
      </c>
      <c r="I115">
        <f t="shared" si="72"/>
        <v>0</v>
      </c>
      <c r="J115">
        <f t="shared" si="74"/>
        <v>0</v>
      </c>
      <c r="K115">
        <f t="shared" si="74"/>
        <v>0</v>
      </c>
      <c r="L115">
        <f t="shared" si="74"/>
        <v>0</v>
      </c>
      <c r="M115">
        <f t="shared" si="74"/>
        <v>0</v>
      </c>
      <c r="N115">
        <f t="shared" si="74"/>
        <v>0</v>
      </c>
      <c r="O115">
        <f t="shared" si="74"/>
        <v>0</v>
      </c>
      <c r="P115">
        <f>SUM(Q115:AP115)</f>
        <v>0</v>
      </c>
      <c r="Q115">
        <f t="shared" si="75"/>
        <v>0</v>
      </c>
      <c r="R115">
        <f t="shared" si="75"/>
        <v>0</v>
      </c>
      <c r="S115">
        <f t="shared" si="75"/>
        <v>0</v>
      </c>
      <c r="T115">
        <f t="shared" si="75"/>
        <v>0</v>
      </c>
      <c r="U115">
        <f t="shared" si="75"/>
        <v>0</v>
      </c>
      <c r="V115">
        <f t="shared" si="75"/>
        <v>0</v>
      </c>
      <c r="W115">
        <f t="shared" si="75"/>
        <v>0</v>
      </c>
      <c r="X115">
        <f t="shared" si="75"/>
        <v>0</v>
      </c>
      <c r="Y115">
        <f t="shared" si="75"/>
        <v>0</v>
      </c>
      <c r="Z115">
        <f t="shared" si="73"/>
        <v>0</v>
      </c>
      <c r="AA115">
        <f t="shared" si="73"/>
        <v>0</v>
      </c>
      <c r="AB115">
        <f t="shared" si="73"/>
        <v>0</v>
      </c>
      <c r="AC115">
        <f t="shared" si="73"/>
        <v>0</v>
      </c>
      <c r="AD115">
        <f t="shared" si="73"/>
        <v>0</v>
      </c>
      <c r="AE115">
        <f t="shared" si="73"/>
        <v>0</v>
      </c>
      <c r="AF115">
        <f t="shared" si="73"/>
        <v>0</v>
      </c>
      <c r="AG115">
        <f t="shared" si="73"/>
        <v>0</v>
      </c>
      <c r="AH115">
        <f t="shared" si="73"/>
        <v>0</v>
      </c>
      <c r="AI115">
        <f t="shared" si="73"/>
        <v>0</v>
      </c>
      <c r="AJ115">
        <f t="shared" si="73"/>
        <v>0</v>
      </c>
      <c r="AK115">
        <f t="shared" si="73"/>
        <v>0</v>
      </c>
      <c r="AL115">
        <f>BC63</f>
        <v>0</v>
      </c>
      <c r="AM115">
        <f>BD63</f>
        <v>0</v>
      </c>
      <c r="AN115">
        <f>BE63</f>
        <v>0</v>
      </c>
      <c r="AO115">
        <f>BF63</f>
        <v>0</v>
      </c>
      <c r="AP115">
        <f>BG63</f>
        <v>0</v>
      </c>
      <c r="AQ115">
        <f>AR115</f>
        <v>0</v>
      </c>
      <c r="AR115">
        <f>E115+Q115+R115+S115+T115+U115+V115+W115+X115+Y115+Z115+AA115+AB115+AC115+AD115+AE115+AF115+AG115+AH115+AI115+AJ115+AL115+AM115+AN115+AO115+AP115</f>
        <v>0</v>
      </c>
      <c r="AS115">
        <f>D115+AQ116-AR115</f>
        <v>0</v>
      </c>
    </row>
    <row r="116" spans="1:45" ht="20.25" customHeight="1">
      <c r="B116" t="s">
        <v>190</v>
      </c>
      <c r="E116">
        <f>E88+E115</f>
        <v>0</v>
      </c>
      <c r="F116">
        <f>F80+F81+F82+F83+F84+F85+F86+F87+F88+F115</f>
        <v>0</v>
      </c>
      <c r="G116">
        <f>G78+G80+G81+G82+G83+G84+G85+G86+G87+G88+G115</f>
        <v>0</v>
      </c>
      <c r="H116">
        <f>H78+H81+H82+H83+H84+H85+H86+H87+H88+H115</f>
        <v>0</v>
      </c>
      <c r="I116">
        <f>I78+I80+I82+I83+I84+I85+I86+I87+I88+I115</f>
        <v>0</v>
      </c>
      <c r="J116">
        <f>J78+J80+J81+J83+J84+J85+J86+J87+J88+J115</f>
        <v>0</v>
      </c>
      <c r="K116">
        <f>K78+K80+K81+K82+K84+K85+K86+K87+K88+K115</f>
        <v>0</v>
      </c>
      <c r="L116">
        <f>L78+L80+L81+L82+L83+L85+L86+L87+L88+L115</f>
        <v>0</v>
      </c>
      <c r="M116">
        <f>M78+M80+M81+M82+M83+M84+M86+M87+M88+M115</f>
        <v>0</v>
      </c>
      <c r="N116">
        <f>N78+N80+N81+N82+N83+N84+N85+N87+N88+N115</f>
        <v>0</v>
      </c>
      <c r="O116">
        <f>O78+O80+O81+O82+O83+O84+O85+O86+O88+O115</f>
        <v>0</v>
      </c>
      <c r="P116">
        <f>P77+P115</f>
        <v>0</v>
      </c>
      <c r="Q116">
        <f>Q77+Q90+Q91+Q92+Q93+Q94+Q95+Q96+Q97+Q98+Q99+Q100+Q101+Q102+Q103+Q104+Q105+Q106+Q107+Q108+Q109+Q110+Q111+Q112+Q113+Q114+Q115</f>
        <v>0</v>
      </c>
      <c r="R116">
        <f>R77+R89+R91+R92+R93+R94+R95+R96+R97+R98+R99+R100+R101+R102+R103+R104+R105+R106+R107+R108+R109+R110+R111+R112+R113+R114+R115</f>
        <v>0</v>
      </c>
      <c r="S116">
        <f>S77+S89+S90+S92+S93+S94+S95+S96+S97+S98+S99+S100+S101+S102+S103+S104+S105+S106+S107+S108+S109+S110+S111+S112+S113+S114+S115</f>
        <v>0</v>
      </c>
      <c r="T116">
        <f>T77+T89+T90+T91+T93+T94+T95+T96+T97+T98+T99+T100+T101+T102+T103+T104+T105+T106+T107+T108+T109+T110+T111+T112+T113+T114+T115</f>
        <v>0</v>
      </c>
      <c r="U116">
        <f>U77+U89+U90+U91+U92+U94+U95+U96+U97+U98+U99+U100+U101+U102+U103+U104+U105+U106+U107+U108+U109+U110+U111+U112+U113+U114+U115</f>
        <v>0</v>
      </c>
      <c r="V116">
        <f>V77+V89+V90+V91+V92+V93+V95+V96+V97+V98+V99+V100+V101+V102+V103+V104+V105+V106+V107+V108+V109+V110+V111+V112+V113+V114+V115</f>
        <v>0</v>
      </c>
      <c r="W116">
        <f>W77+W89+W90+W91+W92+W93+W94+W96+W97+W98+W99+W100+W101+W102+W103+W104+W105+W106+W107+W108+W109+W110+W111+W112+W113+W114+W115</f>
        <v>0</v>
      </c>
      <c r="X116">
        <f>X77+X89+X90+X91+X92+X93+X94+X95+X97+X98+X99+X100+X101+X102+X103+X104+X105+X106+X107+X108+X109+X110+X111+X112+X113+X114+X115</f>
        <v>0</v>
      </c>
      <c r="Y116">
        <f>Y77+Y89+Y90+Y91+Y92+Y93+Y94+Y95+Y96+Y98+Y99+Y100+Y101+Y102+Y103+Y104+Y105+Y106+Y107+Y108+Y109+Y110+Y111+Y112+Y113+Y114+Y115</f>
        <v>0</v>
      </c>
      <c r="Z116">
        <f>Z77+Z89+Z90+Z91+Z92+Z93+Z94+Z95+Z96+Z97+Z99+Z100+Z101+Z102+Z103+Z104+Z105+Z106+Z107+Z108+Z109+Z110+Z111+Z112+Z113+Z114+Z115</f>
        <v>0</v>
      </c>
      <c r="AA116">
        <f>AA77+AA89+AA90+AA91+AA92+AA93+AA94+AA95+AA96+AA97+AA98+AA100+AA101+AA102+AA103+AA104+AA105+AA106+AA107+AA108+AA109+AA110+AA111+AA112+AA113+AA114+AA115</f>
        <v>0</v>
      </c>
      <c r="AB116">
        <f>AB77+AB89+AB90+AB91+AB92+AB93+AB94+AB95+AB96+AB97+AB98+AB99+AB101+AB102+AB103+AB104+AB105+AB106+AB107+AB108+AB109+AB110+AB111+AB112+AB113+AB114+AB115</f>
        <v>0</v>
      </c>
      <c r="AC116">
        <f>AC77+AC89+AC90+AC91+AC92+AC93+AC94+AC95+AC96+AC97+AC98+AC99+AC100+AC102+AC103+AC104+AC105+AC106+AC107+AC108+AC109+AC110+AC111+AC112+AC113+AC114+AC115</f>
        <v>0</v>
      </c>
      <c r="AD116">
        <f>AD77+AD89+AD90+AD91+AD92+AD93+AD94+AD95+AD96+AD97+AD98+AD99+AD100+AD101+AD103+AD104+AD105+AD106+AD107+AD108+AD109+AD110+AD111+AD112+AD113+AD114+AD115</f>
        <v>0</v>
      </c>
      <c r="AE116">
        <f>AE77+AE89+AE90+AE91+AE92+AE93+AE94+AE95+AE96+AE97+AE98+AE99+AE100+AE101+AE102+AE104+AE105+AE106+AE107+AE108+AE109+AE110+AE111+AE112+AE113+AE114+AE115</f>
        <v>0</v>
      </c>
      <c r="AF116">
        <f>AF77+AF89+AF90+AF91+AF92+AF93+AF94+AF95+AF96+AF97+AF98+AF99+AF100+AF101+AF102+AF103+AF105+AF106+AF107+AF108+AF109+AF110+AF111+AF112+AF113+AF114+AF115</f>
        <v>0</v>
      </c>
      <c r="AG116">
        <f>AG77+AG89+AG90+AG91+AG92+AG93+AG94+AG95+AG96+AG97+AG98+AG99+AG100+AG101+AG102+AG103+AG104+AG106+AG107+AG108+AG109+AG110+AG111+AG112+AG113+AG114+AG115</f>
        <v>0</v>
      </c>
      <c r="AH116">
        <f>AH77+AH89+AH90+AH91+AH92+AH93+AH94+AH95+AH96+AH97+AH98+AH99+AH100+AH101+AH102+AH103+AH104+AH105+AH107+AH108+AH109+AH110+AH111+AH112+AH113+AH114+AH115</f>
        <v>0</v>
      </c>
      <c r="AI116">
        <f>AI77+AI89+AI90+AI91+AI92+AI93+AI94+AI95+AI96+AI97+AI98+AI99+AI100+AI101+AI102+AI103+AI104+AI105+AI106+AI108+AI109+AI110+AI111+AI112+AI113+AI114+AI115</f>
        <v>0</v>
      </c>
      <c r="AJ116">
        <f>AJ77+AJ89+AJ90+AJ91+AJ92+AJ93+AJ94+AJ95+AJ96+AJ97+AJ98+AJ99+AJ100+AJ101+AJ102+AJ103+AJ104+AJ105+AJ106+AJ107+AJ109+AJ110+AJ111+AJ112+AJ113+AJ114+AJ115</f>
        <v>0</v>
      </c>
      <c r="AK116">
        <f>AK77+AK89+AK90+AK91+AK92+AK93+AK94+AK95+AK96+AK97+AK98+AK99+AK100+AK101+AK102+AK103+AK104+AK105+AK106+AK107+AK108+AK110+AK111+AK112+AK113+AK114+AK115</f>
        <v>0</v>
      </c>
      <c r="AL116">
        <f>AL77+AL89+AL90+AL91+AL92+AL93+AL94+AL95+AL96+AL97+AL98+AL99+AL100+AL101+AL102+AL103+AL104+AL105+AL106+AL107+AL108+AL109+AL111+AL112+AL113+AL114+AL115</f>
        <v>0</v>
      </c>
      <c r="AM116">
        <f>AM77+AM89+AM90+AM91+AM92+AM93+AM94+AM95+AM96+AM97+AM98+AM99+AM100+AM101+AM102+AM103+AM104+AM105+AM106+AM107+AM108+AM109+AM110+AM112+AM113+AM114+AM115</f>
        <v>0</v>
      </c>
      <c r="AN116">
        <f>AN77+AN89+AN90+AN91+AN92+AN93+AN94+AN95+AN96+AN97+AN98+AN99+AN100+AN101+AN102+AN103+AN104+AN105+AN106+AN107+AN108+AN109+AN110+AN111+AN113+AN114+AN115</f>
        <v>0</v>
      </c>
      <c r="AO116">
        <f>AO77+AO89+AO90+AO91+AO92+AO93+AO94+AO95+AO96+AO97+AO98+AO99+AO100+AO101+AO102+AO103+AO104+AO105+AO106+AO107+AO108+AO109+AO110+AO111+AO112+AO114+AO115</f>
        <v>0</v>
      </c>
      <c r="AP116">
        <f>AP77+AP89+AP90+AP91+AP92+AP93+AP94+AP95+AP96+AP97+AP98+AP99+AP100+AP101+AP102+AP103+AP104+AP105+AP106+AP107+AP108+AP109+AP110+AP111+AP112+AP113+AP115</f>
        <v>0</v>
      </c>
      <c r="AQ116">
        <f>AQ77+AQ88</f>
        <v>0</v>
      </c>
    </row>
    <row r="117" spans="1:45" ht="25.5" customHeight="1">
      <c r="B117" t="s">
        <v>325</v>
      </c>
      <c r="D117">
        <f>AS76</f>
        <v>0</v>
      </c>
      <c r="E117">
        <f>AS77</f>
        <v>0</v>
      </c>
      <c r="F117">
        <f>AS78</f>
        <v>0</v>
      </c>
      <c r="G117">
        <f>AS79</f>
        <v>0</v>
      </c>
      <c r="H117">
        <f>AS80</f>
        <v>0</v>
      </c>
      <c r="I117">
        <f>AS81</f>
        <v>0</v>
      </c>
      <c r="J117">
        <f>AS82</f>
        <v>0</v>
      </c>
      <c r="K117">
        <f>AS83</f>
        <v>0</v>
      </c>
      <c r="L117">
        <f>AS84</f>
        <v>0</v>
      </c>
      <c r="M117">
        <f>AS85</f>
        <v>0</v>
      </c>
      <c r="N117">
        <f>AS86</f>
        <v>0</v>
      </c>
      <c r="O117">
        <f>AS87</f>
        <v>0</v>
      </c>
      <c r="P117">
        <f>AS88</f>
        <v>0</v>
      </c>
      <c r="Q117">
        <f>AS89</f>
        <v>0</v>
      </c>
      <c r="R117">
        <f>AS90</f>
        <v>0</v>
      </c>
      <c r="S117">
        <f>AS91</f>
        <v>0</v>
      </c>
      <c r="T117">
        <f>AS92</f>
        <v>0</v>
      </c>
      <c r="U117">
        <f>AS93</f>
        <v>0</v>
      </c>
      <c r="V117">
        <f>AS94</f>
        <v>0</v>
      </c>
      <c r="W117">
        <f>AS95</f>
        <v>0</v>
      </c>
      <c r="X117">
        <f>AS96</f>
        <v>0</v>
      </c>
      <c r="Y117">
        <f>AS97</f>
        <v>0</v>
      </c>
      <c r="Z117">
        <f>AS98</f>
        <v>0</v>
      </c>
      <c r="AA117">
        <f>AS99</f>
        <v>0</v>
      </c>
      <c r="AB117">
        <f>AS100</f>
        <v>0</v>
      </c>
      <c r="AC117">
        <f>AS101</f>
        <v>0</v>
      </c>
      <c r="AD117">
        <f>AS102</f>
        <v>0</v>
      </c>
      <c r="AE117">
        <f>AS103</f>
        <v>0</v>
      </c>
      <c r="AF117">
        <f>AS104</f>
        <v>0</v>
      </c>
      <c r="AG117">
        <f>AS105</f>
        <v>0</v>
      </c>
      <c r="AH117">
        <f>AS106</f>
        <v>0</v>
      </c>
      <c r="AI117">
        <f>AS107</f>
        <v>0</v>
      </c>
      <c r="AJ117">
        <f>AS108</f>
        <v>0</v>
      </c>
      <c r="AK117">
        <f>AS109</f>
        <v>0</v>
      </c>
      <c r="AL117">
        <f>AS110</f>
        <v>0</v>
      </c>
      <c r="AM117">
        <f>AS111</f>
        <v>0</v>
      </c>
      <c r="AN117">
        <f>AS112</f>
        <v>0</v>
      </c>
      <c r="AO117">
        <f>AS113</f>
        <v>0</v>
      </c>
      <c r="AP117">
        <f>AS114</f>
        <v>0</v>
      </c>
      <c r="AQ117">
        <f>AS115</f>
        <v>0</v>
      </c>
    </row>
  </sheetData>
  <mergeCells count="21">
    <mergeCell ref="A1:B1"/>
    <mergeCell ref="A2:BN2"/>
    <mergeCell ref="A4:A5"/>
    <mergeCell ref="B4:B5"/>
    <mergeCell ref="C4:C5"/>
    <mergeCell ref="A74:A75"/>
    <mergeCell ref="BN4:BN5"/>
    <mergeCell ref="A70:B70"/>
    <mergeCell ref="BM4:BM5"/>
    <mergeCell ref="A72:AS72"/>
    <mergeCell ref="AS74:AS75"/>
    <mergeCell ref="D4:D5"/>
    <mergeCell ref="C74:C75"/>
    <mergeCell ref="A71:AS71"/>
    <mergeCell ref="E74:AQ74"/>
    <mergeCell ref="D74:D75"/>
    <mergeCell ref="E4:BK4"/>
    <mergeCell ref="AR73:AS73"/>
    <mergeCell ref="BL4:BL5"/>
    <mergeCell ref="B74:B75"/>
    <mergeCell ref="AR74:AR75"/>
  </mergeCells>
  <phoneticPr fontId="4" type="noConversion"/>
  <pageMargins left="0.75" right="0.75" top="1" bottom="1" header="0.5" footer="0.5"/>
  <pageSetup paperSize="9" scale="45" orientation="portrait" r:id="rId1"/>
  <headerFooter alignWithMargins="0"/>
  <legacyDrawing r:id="rId2"/>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9"/>
  <dimension ref="A1:BP117"/>
  <sheetViews>
    <sheetView topLeftCell="A3" zoomScale="75" workbookViewId="0">
      <pane xSplit="4" ySplit="3" topLeftCell="BI6" activePane="bottomRight" state="frozenSplit"/>
      <selection activeCell="A2" sqref="A2:BN2"/>
      <selection pane="topRight" activeCell="BM7" sqref="BM7"/>
      <selection pane="bottomLeft" activeCell="B33" sqref="B33"/>
      <selection pane="bottomRight" activeCell="BT13" sqref="BT13"/>
    </sheetView>
  </sheetViews>
  <sheetFormatPr defaultRowHeight="24.95" customHeight="1"/>
  <cols>
    <col min="1" max="1" width="9.28515625" customWidth="1"/>
    <col min="2" max="2" width="47.140625" customWidth="1"/>
    <col min="3" max="3" width="8.28515625" customWidth="1"/>
    <col min="4" max="4" width="13.5703125" customWidth="1"/>
    <col min="5" max="6" width="11.85546875" customWidth="1"/>
    <col min="7" max="7" width="11.28515625" customWidth="1"/>
    <col min="8" max="8" width="10.85546875" customWidth="1"/>
    <col min="9" max="9" width="11.140625" customWidth="1"/>
    <col min="10" max="10" width="11" customWidth="1"/>
    <col min="11" max="11" width="10" customWidth="1"/>
    <col min="12" max="12" width="11.140625" customWidth="1"/>
    <col min="13" max="13" width="11.85546875" customWidth="1"/>
    <col min="14" max="15" width="11.28515625" customWidth="1"/>
    <col min="16" max="16" width="12.85546875" customWidth="1"/>
    <col min="17" max="17" width="12.28515625" customWidth="1"/>
    <col min="18" max="18" width="10.85546875" customWidth="1"/>
    <col min="20" max="20" width="10.140625" customWidth="1"/>
    <col min="21" max="21" width="9.85546875" customWidth="1"/>
    <col min="22" max="22" width="11.5703125" customWidth="1"/>
    <col min="23" max="23" width="11.140625" customWidth="1"/>
    <col min="24" max="24" width="10.7109375" customWidth="1"/>
    <col min="25" max="25" width="10.42578125" customWidth="1"/>
    <col min="26" max="26" width="11.140625" customWidth="1"/>
    <col min="27" max="27" width="9.85546875" customWidth="1"/>
    <col min="28" max="39" width="10.42578125" customWidth="1"/>
    <col min="40" max="40" width="11" customWidth="1"/>
    <col min="41" max="43" width="9.42578125" customWidth="1"/>
    <col min="44" max="44" width="10.85546875" customWidth="1"/>
    <col min="45" max="45" width="13.7109375" customWidth="1"/>
    <col min="46" max="47" width="9.42578125" customWidth="1"/>
    <col min="48" max="48" width="11.5703125" customWidth="1"/>
    <col min="49" max="59" width="9" customWidth="1"/>
    <col min="60" max="60" width="10.140625" customWidth="1"/>
    <col min="61" max="62" width="9.85546875" customWidth="1"/>
    <col min="64" max="64" width="10.5703125" customWidth="1"/>
    <col min="65" max="65" width="12.140625" customWidth="1"/>
    <col min="66" max="66" width="13" customWidth="1"/>
    <col min="67" max="67" width="12.28515625" customWidth="1"/>
  </cols>
  <sheetData>
    <row r="1" spans="1:68" ht="24.95" customHeight="1">
      <c r="A1" s="1300" t="s">
        <v>301</v>
      </c>
      <c r="B1" s="1300"/>
    </row>
    <row r="2" spans="1:68" ht="36.75" customHeight="1">
      <c r="A2" s="1282" t="s">
        <v>508</v>
      </c>
      <c r="B2" s="1282"/>
      <c r="C2" s="1282"/>
      <c r="D2" s="1282"/>
      <c r="E2" s="1282"/>
      <c r="F2" s="1282"/>
      <c r="G2" s="1282"/>
      <c r="H2" s="1282"/>
      <c r="I2" s="1282"/>
      <c r="J2" s="1282"/>
      <c r="K2" s="1282"/>
      <c r="L2" s="1282"/>
      <c r="M2" s="1282"/>
      <c r="N2" s="1282"/>
      <c r="O2" s="1282"/>
      <c r="P2" s="1282"/>
      <c r="Q2" s="1282"/>
      <c r="R2" s="1282"/>
      <c r="S2" s="1282"/>
      <c r="T2" s="1282"/>
      <c r="U2" s="1282"/>
      <c r="V2" s="1282"/>
      <c r="W2" s="1282"/>
      <c r="X2" s="1282"/>
      <c r="Y2" s="1282"/>
      <c r="Z2" s="1282"/>
      <c r="AA2" s="1282"/>
      <c r="AB2" s="1282"/>
      <c r="AC2" s="1282"/>
      <c r="AD2" s="1282"/>
      <c r="AE2" s="1282"/>
      <c r="AF2" s="1282"/>
      <c r="AG2" s="1282"/>
      <c r="AH2" s="1282"/>
      <c r="AI2" s="1282"/>
      <c r="AJ2" s="1282"/>
      <c r="AK2" s="1282"/>
      <c r="AL2" s="1282"/>
      <c r="AM2" s="1282"/>
      <c r="AN2" s="1282"/>
      <c r="AO2" s="1282"/>
      <c r="AP2" s="1282"/>
      <c r="AQ2" s="1282"/>
      <c r="AR2" s="1282"/>
      <c r="AS2" s="1282"/>
      <c r="AT2" s="1282"/>
      <c r="AU2" s="1282"/>
      <c r="AV2" s="1282"/>
      <c r="AW2" s="1282"/>
      <c r="AX2" s="1282"/>
      <c r="AY2" s="1282"/>
      <c r="AZ2" s="1282"/>
      <c r="BA2" s="1282"/>
      <c r="BB2" s="1282"/>
      <c r="BC2" s="1282"/>
      <c r="BD2" s="1282"/>
      <c r="BE2" s="1282"/>
      <c r="BF2" s="1282"/>
      <c r="BG2" s="1282"/>
      <c r="BH2" s="1282"/>
      <c r="BI2" s="1282"/>
      <c r="BJ2" s="1282"/>
      <c r="BK2" s="1282"/>
      <c r="BL2" s="1282"/>
      <c r="BM2" s="1282"/>
      <c r="BN2" s="1282"/>
    </row>
    <row r="4" spans="1:68" ht="33" customHeight="1">
      <c r="A4" s="1275" t="s">
        <v>136</v>
      </c>
      <c r="B4" s="1275" t="s">
        <v>469</v>
      </c>
      <c r="C4" s="1275" t="s">
        <v>13</v>
      </c>
      <c r="D4" s="1275" t="s">
        <v>373</v>
      </c>
      <c r="E4" s="1368" t="s">
        <v>465</v>
      </c>
      <c r="F4" s="1368"/>
      <c r="G4" s="1368"/>
      <c r="H4" s="1368"/>
      <c r="I4" s="1368"/>
      <c r="J4" s="1368"/>
      <c r="K4" s="1368"/>
      <c r="L4" s="1368"/>
      <c r="M4" s="1368"/>
      <c r="N4" s="1368"/>
      <c r="O4" s="1368"/>
      <c r="P4" s="1368"/>
      <c r="Q4" s="1368"/>
      <c r="R4" s="1368"/>
      <c r="S4" s="1368"/>
      <c r="T4" s="1368"/>
      <c r="U4" s="1368"/>
      <c r="V4" s="1368"/>
      <c r="W4" s="1368"/>
      <c r="X4" s="1368"/>
      <c r="Y4" s="1368"/>
      <c r="Z4" s="1368"/>
      <c r="AA4" s="1368"/>
      <c r="AB4" s="1368"/>
      <c r="AC4" s="1368"/>
      <c r="AD4" s="1368"/>
      <c r="AE4" s="1368"/>
      <c r="AF4" s="1368"/>
      <c r="AG4" s="1368"/>
      <c r="AH4" s="1368"/>
      <c r="AI4" s="1368"/>
      <c r="AJ4" s="1368"/>
      <c r="AK4" s="1368"/>
      <c r="AL4" s="1368"/>
      <c r="AM4" s="1368"/>
      <c r="AN4" s="1368"/>
      <c r="AO4" s="1368"/>
      <c r="AP4" s="1368"/>
      <c r="AQ4" s="1368"/>
      <c r="AR4" s="1368"/>
      <c r="AS4" s="1368"/>
      <c r="AT4" s="1368"/>
      <c r="AU4" s="1368"/>
      <c r="AV4" s="1368"/>
      <c r="AW4" s="1368"/>
      <c r="AX4" s="1368"/>
      <c r="AY4" s="1368"/>
      <c r="AZ4" s="1368"/>
      <c r="BA4" s="1368"/>
      <c r="BB4" s="1368"/>
      <c r="BC4" s="1368"/>
      <c r="BD4" s="1368"/>
      <c r="BE4" s="1368"/>
      <c r="BF4" s="1368"/>
      <c r="BG4" s="1368"/>
      <c r="BH4" s="1368"/>
      <c r="BI4" s="1368"/>
      <c r="BJ4" s="1368"/>
      <c r="BK4" s="1368"/>
      <c r="BL4" s="1365" t="s">
        <v>191</v>
      </c>
      <c r="BM4" s="1365" t="s">
        <v>493</v>
      </c>
      <c r="BN4" s="1365" t="s">
        <v>366</v>
      </c>
    </row>
    <row r="5" spans="1:68" ht="35.25" customHeight="1">
      <c r="A5" s="1275"/>
      <c r="B5" s="1275"/>
      <c r="C5" s="1275"/>
      <c r="D5" s="1275"/>
      <c r="E5" s="128" t="s">
        <v>15</v>
      </c>
      <c r="F5" s="128" t="s">
        <v>193</v>
      </c>
      <c r="G5" s="128" t="s">
        <v>194</v>
      </c>
      <c r="H5" s="128" t="s">
        <v>18</v>
      </c>
      <c r="I5" s="128" t="s">
        <v>20</v>
      </c>
      <c r="J5" s="128" t="s">
        <v>195</v>
      </c>
      <c r="K5" s="128" t="s">
        <v>196</v>
      </c>
      <c r="L5" s="128" t="s">
        <v>197</v>
      </c>
      <c r="M5" s="128" t="s">
        <v>23</v>
      </c>
      <c r="N5" s="128" t="s">
        <v>26</v>
      </c>
      <c r="O5" s="128" t="s">
        <v>198</v>
      </c>
      <c r="P5" s="128" t="s">
        <v>29</v>
      </c>
      <c r="Q5" s="128" t="s">
        <v>32</v>
      </c>
      <c r="R5" s="128" t="s">
        <v>35</v>
      </c>
      <c r="S5" s="128" t="s">
        <v>38</v>
      </c>
      <c r="T5" s="128" t="s">
        <v>41</v>
      </c>
      <c r="U5" s="128" t="s">
        <v>44</v>
      </c>
      <c r="V5" s="128" t="s">
        <v>46</v>
      </c>
      <c r="W5" s="128" t="s">
        <v>49</v>
      </c>
      <c r="X5" s="128" t="s">
        <v>52</v>
      </c>
      <c r="Y5" s="128" t="s">
        <v>55</v>
      </c>
      <c r="Z5" s="128" t="s">
        <v>58</v>
      </c>
      <c r="AA5" s="128" t="s">
        <v>61</v>
      </c>
      <c r="AB5" s="128" t="s">
        <v>64</v>
      </c>
      <c r="AC5" s="128" t="s">
        <v>67</v>
      </c>
      <c r="AD5" s="128" t="s">
        <v>70</v>
      </c>
      <c r="AE5" s="128" t="s">
        <v>72</v>
      </c>
      <c r="AF5" s="128" t="s">
        <v>202</v>
      </c>
      <c r="AG5" s="128" t="s">
        <v>203</v>
      </c>
      <c r="AH5" s="128" t="s">
        <v>204</v>
      </c>
      <c r="AI5" s="128" t="s">
        <v>205</v>
      </c>
      <c r="AJ5" s="128" t="s">
        <v>206</v>
      </c>
      <c r="AK5" s="128" t="s">
        <v>207</v>
      </c>
      <c r="AL5" s="128" t="s">
        <v>199</v>
      </c>
      <c r="AM5" s="128" t="s">
        <v>200</v>
      </c>
      <c r="AN5" s="128" t="s">
        <v>223</v>
      </c>
      <c r="AO5" s="128" t="s">
        <v>201</v>
      </c>
      <c r="AP5" s="128" t="s">
        <v>208</v>
      </c>
      <c r="AQ5" s="128" t="s">
        <v>75</v>
      </c>
      <c r="AR5" s="128" t="s">
        <v>78</v>
      </c>
      <c r="AS5" s="128" t="s">
        <v>81</v>
      </c>
      <c r="AT5" s="128" t="s">
        <v>84</v>
      </c>
      <c r="AU5" s="128" t="s">
        <v>87</v>
      </c>
      <c r="AV5" s="128" t="s">
        <v>90</v>
      </c>
      <c r="AW5" s="128" t="s">
        <v>93</v>
      </c>
      <c r="AX5" s="128" t="s">
        <v>96</v>
      </c>
      <c r="AY5" s="128" t="s">
        <v>99</v>
      </c>
      <c r="AZ5" s="128" t="s">
        <v>101</v>
      </c>
      <c r="BA5" s="128" t="s">
        <v>104</v>
      </c>
      <c r="BB5" s="128" t="s">
        <v>107</v>
      </c>
      <c r="BC5" s="128" t="s">
        <v>110</v>
      </c>
      <c r="BD5" s="128" t="s">
        <v>113</v>
      </c>
      <c r="BE5" s="128" t="s">
        <v>116</v>
      </c>
      <c r="BF5" s="128" t="s">
        <v>119</v>
      </c>
      <c r="BG5" s="128" t="s">
        <v>122</v>
      </c>
      <c r="BH5" s="128" t="s">
        <v>124</v>
      </c>
      <c r="BI5" s="128" t="s">
        <v>209</v>
      </c>
      <c r="BJ5" s="128" t="s">
        <v>210</v>
      </c>
      <c r="BK5" s="128" t="s">
        <v>211</v>
      </c>
      <c r="BL5" s="1366"/>
      <c r="BM5" s="1366"/>
      <c r="BN5" s="1366"/>
    </row>
    <row r="6" spans="1:68" ht="24.95" customHeight="1">
      <c r="A6" s="127" t="s">
        <v>235</v>
      </c>
      <c r="B6" s="127" t="s">
        <v>236</v>
      </c>
      <c r="C6" s="127" t="s">
        <v>237</v>
      </c>
      <c r="D6" s="127" t="s">
        <v>238</v>
      </c>
      <c r="E6" s="127" t="s">
        <v>239</v>
      </c>
      <c r="F6" s="127" t="s">
        <v>240</v>
      </c>
      <c r="G6" s="127" t="s">
        <v>241</v>
      </c>
      <c r="H6" s="127" t="s">
        <v>242</v>
      </c>
      <c r="I6" s="127" t="s">
        <v>243</v>
      </c>
      <c r="J6" s="127" t="s">
        <v>244</v>
      </c>
      <c r="K6" s="127" t="s">
        <v>245</v>
      </c>
      <c r="L6" s="127" t="s">
        <v>246</v>
      </c>
      <c r="M6" s="127" t="s">
        <v>247</v>
      </c>
      <c r="N6" s="127" t="s">
        <v>248</v>
      </c>
      <c r="O6" s="127" t="s">
        <v>249</v>
      </c>
      <c r="P6" s="127" t="s">
        <v>250</v>
      </c>
      <c r="Q6" s="127" t="s">
        <v>251</v>
      </c>
      <c r="R6" s="127" t="s">
        <v>252</v>
      </c>
      <c r="S6" s="127" t="s">
        <v>253</v>
      </c>
      <c r="T6" s="127" t="s">
        <v>254</v>
      </c>
      <c r="U6" s="127" t="s">
        <v>255</v>
      </c>
      <c r="V6" s="127" t="s">
        <v>256</v>
      </c>
      <c r="W6" s="127" t="s">
        <v>257</v>
      </c>
      <c r="X6" s="127" t="s">
        <v>258</v>
      </c>
      <c r="Y6" s="127" t="s">
        <v>259</v>
      </c>
      <c r="Z6" s="127" t="s">
        <v>260</v>
      </c>
      <c r="AA6" s="127" t="s">
        <v>261</v>
      </c>
      <c r="AB6" s="127" t="s">
        <v>262</v>
      </c>
      <c r="AC6" s="127" t="s">
        <v>263</v>
      </c>
      <c r="AD6" s="127" t="s">
        <v>264</v>
      </c>
      <c r="AE6" s="127" t="s">
        <v>265</v>
      </c>
      <c r="AF6" s="127" t="s">
        <v>266</v>
      </c>
      <c r="AG6" s="127" t="s">
        <v>267</v>
      </c>
      <c r="AH6" s="127" t="s">
        <v>268</v>
      </c>
      <c r="AI6" s="127" t="s">
        <v>269</v>
      </c>
      <c r="AJ6" s="127" t="s">
        <v>270</v>
      </c>
      <c r="AK6" s="127" t="s">
        <v>271</v>
      </c>
      <c r="AL6" s="127" t="s">
        <v>272</v>
      </c>
      <c r="AM6" s="127" t="s">
        <v>273</v>
      </c>
      <c r="AN6" s="127" t="s">
        <v>274</v>
      </c>
      <c r="AO6" s="127" t="s">
        <v>275</v>
      </c>
      <c r="AP6" s="127" t="s">
        <v>276</v>
      </c>
      <c r="AQ6" s="127" t="s">
        <v>277</v>
      </c>
      <c r="AR6" s="127" t="s">
        <v>278</v>
      </c>
      <c r="AS6" s="127" t="s">
        <v>279</v>
      </c>
      <c r="AT6" s="127" t="s">
        <v>280</v>
      </c>
      <c r="AU6" s="127" t="s">
        <v>281</v>
      </c>
      <c r="AV6" s="127" t="s">
        <v>282</v>
      </c>
      <c r="AW6" s="127" t="s">
        <v>283</v>
      </c>
      <c r="AX6" s="127" t="s">
        <v>284</v>
      </c>
      <c r="AY6" s="127" t="s">
        <v>285</v>
      </c>
      <c r="AZ6" s="127" t="s">
        <v>286</v>
      </c>
      <c r="BA6" s="127" t="s">
        <v>287</v>
      </c>
      <c r="BB6" s="127" t="s">
        <v>288</v>
      </c>
      <c r="BC6" s="127" t="s">
        <v>289</v>
      </c>
      <c r="BD6" s="127" t="s">
        <v>290</v>
      </c>
      <c r="BE6" s="127" t="s">
        <v>291</v>
      </c>
      <c r="BF6" s="127" t="s">
        <v>292</v>
      </c>
      <c r="BG6" s="127" t="s">
        <v>293</v>
      </c>
      <c r="BH6" s="127" t="s">
        <v>294</v>
      </c>
      <c r="BI6" s="127" t="s">
        <v>295</v>
      </c>
      <c r="BJ6" s="127" t="s">
        <v>296</v>
      </c>
      <c r="BK6" s="127" t="s">
        <v>297</v>
      </c>
      <c r="BL6" s="127" t="s">
        <v>298</v>
      </c>
      <c r="BM6" s="127" t="s">
        <v>299</v>
      </c>
      <c r="BN6" s="127" t="s">
        <v>300</v>
      </c>
    </row>
    <row r="7" spans="1:68" s="117" customFormat="1" ht="31.5" customHeight="1">
      <c r="A7" s="3"/>
      <c r="B7" s="3" t="s">
        <v>470</v>
      </c>
      <c r="C7" s="140"/>
      <c r="D7" s="140">
        <f>D8+D25+D63</f>
        <v>0</v>
      </c>
      <c r="E7" s="140">
        <f>E8+E25+E63</f>
        <v>0</v>
      </c>
      <c r="F7" s="140">
        <f t="shared" ref="F7:BN7" si="0">F8+F25+F63</f>
        <v>0</v>
      </c>
      <c r="G7" s="140">
        <f t="shared" si="0"/>
        <v>0</v>
      </c>
      <c r="H7" s="140">
        <f t="shared" si="0"/>
        <v>0</v>
      </c>
      <c r="I7" s="140">
        <f t="shared" si="0"/>
        <v>0</v>
      </c>
      <c r="J7" s="140">
        <f t="shared" si="0"/>
        <v>0</v>
      </c>
      <c r="K7" s="140">
        <f t="shared" si="0"/>
        <v>0</v>
      </c>
      <c r="L7" s="140">
        <f t="shared" si="0"/>
        <v>0</v>
      </c>
      <c r="M7" s="140">
        <f t="shared" si="0"/>
        <v>0</v>
      </c>
      <c r="N7" s="140">
        <f t="shared" si="0"/>
        <v>0</v>
      </c>
      <c r="O7" s="140">
        <f t="shared" si="0"/>
        <v>0</v>
      </c>
      <c r="P7" s="140">
        <f t="shared" si="0"/>
        <v>0</v>
      </c>
      <c r="Q7" s="140">
        <f t="shared" si="0"/>
        <v>0</v>
      </c>
      <c r="R7" s="140">
        <f t="shared" si="0"/>
        <v>0</v>
      </c>
      <c r="S7" s="140">
        <f t="shared" si="0"/>
        <v>0</v>
      </c>
      <c r="T7" s="140">
        <f t="shared" si="0"/>
        <v>0</v>
      </c>
      <c r="U7" s="140">
        <f t="shared" si="0"/>
        <v>0</v>
      </c>
      <c r="V7" s="140">
        <f t="shared" si="0"/>
        <v>0</v>
      </c>
      <c r="W7" s="140">
        <f t="shared" si="0"/>
        <v>0</v>
      </c>
      <c r="X7" s="140">
        <f t="shared" si="0"/>
        <v>0</v>
      </c>
      <c r="Y7" s="140">
        <f t="shared" si="0"/>
        <v>0</v>
      </c>
      <c r="Z7" s="140">
        <f t="shared" si="0"/>
        <v>0</v>
      </c>
      <c r="AA7" s="140">
        <f t="shared" si="0"/>
        <v>0</v>
      </c>
      <c r="AB7" s="140">
        <f t="shared" si="0"/>
        <v>0</v>
      </c>
      <c r="AC7" s="140">
        <f t="shared" si="0"/>
        <v>0</v>
      </c>
      <c r="AD7" s="140">
        <f t="shared" si="0"/>
        <v>0</v>
      </c>
      <c r="AE7" s="140">
        <f t="shared" si="0"/>
        <v>0</v>
      </c>
      <c r="AF7" s="140">
        <f t="shared" si="0"/>
        <v>0</v>
      </c>
      <c r="AG7" s="140">
        <f t="shared" si="0"/>
        <v>0</v>
      </c>
      <c r="AH7" s="140">
        <f t="shared" si="0"/>
        <v>0</v>
      </c>
      <c r="AI7" s="140">
        <f t="shared" si="0"/>
        <v>0</v>
      </c>
      <c r="AJ7" s="140">
        <f t="shared" si="0"/>
        <v>0</v>
      </c>
      <c r="AK7" s="140">
        <f t="shared" si="0"/>
        <v>0</v>
      </c>
      <c r="AL7" s="140">
        <f t="shared" si="0"/>
        <v>0</v>
      </c>
      <c r="AM7" s="140">
        <f t="shared" si="0"/>
        <v>0</v>
      </c>
      <c r="AN7" s="140">
        <f t="shared" si="0"/>
        <v>0</v>
      </c>
      <c r="AO7" s="140">
        <f t="shared" si="0"/>
        <v>0</v>
      </c>
      <c r="AP7" s="140">
        <f t="shared" si="0"/>
        <v>0</v>
      </c>
      <c r="AQ7" s="140">
        <f t="shared" si="0"/>
        <v>0</v>
      </c>
      <c r="AR7" s="140">
        <f t="shared" si="0"/>
        <v>0</v>
      </c>
      <c r="AS7" s="140">
        <f t="shared" si="0"/>
        <v>0</v>
      </c>
      <c r="AT7" s="140">
        <f t="shared" si="0"/>
        <v>0</v>
      </c>
      <c r="AU7" s="140">
        <f t="shared" si="0"/>
        <v>0</v>
      </c>
      <c r="AV7" s="140">
        <f t="shared" si="0"/>
        <v>0</v>
      </c>
      <c r="AW7" s="140">
        <f t="shared" si="0"/>
        <v>0</v>
      </c>
      <c r="AX7" s="140">
        <f t="shared" si="0"/>
        <v>0</v>
      </c>
      <c r="AY7" s="140">
        <f t="shared" si="0"/>
        <v>0</v>
      </c>
      <c r="AZ7" s="140">
        <f t="shared" si="0"/>
        <v>0</v>
      </c>
      <c r="BA7" s="140">
        <f t="shared" si="0"/>
        <v>0</v>
      </c>
      <c r="BB7" s="140">
        <f t="shared" si="0"/>
        <v>0</v>
      </c>
      <c r="BC7" s="140">
        <f t="shared" si="0"/>
        <v>0</v>
      </c>
      <c r="BD7" s="140">
        <f t="shared" si="0"/>
        <v>0</v>
      </c>
      <c r="BE7" s="140">
        <f t="shared" si="0"/>
        <v>0</v>
      </c>
      <c r="BF7" s="140">
        <f t="shared" si="0"/>
        <v>0</v>
      </c>
      <c r="BG7" s="140">
        <f t="shared" si="0"/>
        <v>0</v>
      </c>
      <c r="BH7" s="140">
        <f t="shared" si="0"/>
        <v>0</v>
      </c>
      <c r="BI7" s="140">
        <f t="shared" si="0"/>
        <v>0</v>
      </c>
      <c r="BJ7" s="140">
        <f t="shared" si="0"/>
        <v>0</v>
      </c>
      <c r="BK7" s="140">
        <f t="shared" si="0"/>
        <v>0</v>
      </c>
      <c r="BL7" s="140"/>
      <c r="BM7" s="140">
        <f t="shared" si="0"/>
        <v>0</v>
      </c>
      <c r="BN7" s="140">
        <f t="shared" si="0"/>
        <v>0</v>
      </c>
    </row>
    <row r="8" spans="1:68" s="115" customFormat="1" ht="21.75" customHeight="1">
      <c r="A8" s="6">
        <v>1</v>
      </c>
      <c r="B8" s="109" t="s">
        <v>14</v>
      </c>
      <c r="C8" s="114" t="s">
        <v>15</v>
      </c>
      <c r="D8" s="114">
        <f>D9+D18+D22+D23+D24</f>
        <v>0</v>
      </c>
      <c r="E8" s="114">
        <f>D8-BL8</f>
        <v>0</v>
      </c>
      <c r="F8" s="114">
        <f>G8+N8</f>
        <v>0</v>
      </c>
      <c r="G8" s="114">
        <f>H8+L8+M8</f>
        <v>0</v>
      </c>
      <c r="H8" s="114">
        <f>I8+J8+K8</f>
        <v>0</v>
      </c>
      <c r="I8" s="114">
        <f>I9+I18+I22+I23+I24</f>
        <v>0</v>
      </c>
      <c r="J8" s="114">
        <f t="shared" ref="J8:BG8" si="1">J9+J18+J22+J23+J24</f>
        <v>0</v>
      </c>
      <c r="K8" s="114">
        <f t="shared" si="1"/>
        <v>0</v>
      </c>
      <c r="L8" s="114">
        <f t="shared" si="1"/>
        <v>0</v>
      </c>
      <c r="M8" s="114">
        <f t="shared" si="1"/>
        <v>0</v>
      </c>
      <c r="N8" s="114">
        <f t="shared" si="1"/>
        <v>0</v>
      </c>
      <c r="O8" s="114">
        <f>P8+Q8+R8</f>
        <v>0</v>
      </c>
      <c r="P8" s="114">
        <f t="shared" si="1"/>
        <v>0</v>
      </c>
      <c r="Q8" s="114">
        <f t="shared" si="1"/>
        <v>0</v>
      </c>
      <c r="R8" s="114">
        <f t="shared" si="1"/>
        <v>0</v>
      </c>
      <c r="S8" s="114">
        <f t="shared" si="1"/>
        <v>0</v>
      </c>
      <c r="T8" s="114">
        <f t="shared" si="1"/>
        <v>0</v>
      </c>
      <c r="U8" s="114">
        <f t="shared" si="1"/>
        <v>0</v>
      </c>
      <c r="V8" s="114">
        <f t="shared" si="1"/>
        <v>0</v>
      </c>
      <c r="W8" s="114">
        <f t="shared" si="1"/>
        <v>0</v>
      </c>
      <c r="X8" s="114">
        <f t="shared" si="1"/>
        <v>0</v>
      </c>
      <c r="Y8" s="114">
        <f t="shared" si="1"/>
        <v>0</v>
      </c>
      <c r="Z8" s="114">
        <f t="shared" si="1"/>
        <v>0</v>
      </c>
      <c r="AA8" s="114">
        <f t="shared" si="1"/>
        <v>0</v>
      </c>
      <c r="AB8" s="114">
        <f t="shared" si="1"/>
        <v>0</v>
      </c>
      <c r="AC8" s="114">
        <f t="shared" si="1"/>
        <v>0</v>
      </c>
      <c r="AD8" s="114">
        <f t="shared" si="1"/>
        <v>0</v>
      </c>
      <c r="AE8" s="114">
        <f t="shared" si="1"/>
        <v>0</v>
      </c>
      <c r="AF8" s="114">
        <f t="shared" si="1"/>
        <v>0</v>
      </c>
      <c r="AG8" s="114">
        <f t="shared" si="1"/>
        <v>0</v>
      </c>
      <c r="AH8" s="114">
        <f t="shared" si="1"/>
        <v>0</v>
      </c>
      <c r="AI8" s="114">
        <f t="shared" si="1"/>
        <v>0</v>
      </c>
      <c r="AJ8" s="114">
        <f t="shared" si="1"/>
        <v>0</v>
      </c>
      <c r="AK8" s="114">
        <f t="shared" si="1"/>
        <v>0</v>
      </c>
      <c r="AL8" s="114">
        <f t="shared" si="1"/>
        <v>0</v>
      </c>
      <c r="AM8" s="114">
        <f t="shared" si="1"/>
        <v>0</v>
      </c>
      <c r="AN8" s="114">
        <f t="shared" si="1"/>
        <v>0</v>
      </c>
      <c r="AO8" s="114">
        <f t="shared" si="1"/>
        <v>0</v>
      </c>
      <c r="AP8" s="114">
        <f t="shared" si="1"/>
        <v>0</v>
      </c>
      <c r="AQ8" s="114">
        <f t="shared" si="1"/>
        <v>0</v>
      </c>
      <c r="AR8" s="114">
        <f t="shared" si="1"/>
        <v>0</v>
      </c>
      <c r="AS8" s="114">
        <f t="shared" si="1"/>
        <v>0</v>
      </c>
      <c r="AT8" s="114">
        <f t="shared" si="1"/>
        <v>0</v>
      </c>
      <c r="AU8" s="114">
        <f t="shared" si="1"/>
        <v>0</v>
      </c>
      <c r="AV8" s="114">
        <f t="shared" si="1"/>
        <v>0</v>
      </c>
      <c r="AW8" s="114">
        <f t="shared" si="1"/>
        <v>0</v>
      </c>
      <c r="AX8" s="114">
        <f t="shared" si="1"/>
        <v>0</v>
      </c>
      <c r="AY8" s="114">
        <f t="shared" si="1"/>
        <v>0</v>
      </c>
      <c r="AZ8" s="114">
        <f t="shared" si="1"/>
        <v>0</v>
      </c>
      <c r="BA8" s="114">
        <f t="shared" si="1"/>
        <v>0</v>
      </c>
      <c r="BB8" s="114">
        <f t="shared" si="1"/>
        <v>0</v>
      </c>
      <c r="BC8" s="114">
        <f t="shared" si="1"/>
        <v>0</v>
      </c>
      <c r="BD8" s="114">
        <f t="shared" si="1"/>
        <v>0</v>
      </c>
      <c r="BE8" s="114">
        <f t="shared" si="1"/>
        <v>0</v>
      </c>
      <c r="BF8" s="114">
        <f t="shared" si="1"/>
        <v>0</v>
      </c>
      <c r="BG8" s="114">
        <f t="shared" si="1"/>
        <v>0</v>
      </c>
      <c r="BH8" s="114">
        <f>BH9+BH18+BH22+BH23+BH24</f>
        <v>0</v>
      </c>
      <c r="BI8" s="114">
        <f>BI9+BI18+BI22+BI23+BI24</f>
        <v>0</v>
      </c>
      <c r="BJ8" s="114">
        <f>BJ9+BJ18+BJ22+BJ23+BJ24</f>
        <v>0</v>
      </c>
      <c r="BK8" s="114">
        <f>BK9+BK18+BK22+BK23+BK24</f>
        <v>0</v>
      </c>
      <c r="BL8" s="114">
        <f>V8+BH8</f>
        <v>0</v>
      </c>
      <c r="BM8" s="114">
        <f>BM9+BM18+BM22+BM23+BM24</f>
        <v>0</v>
      </c>
      <c r="BN8" s="114">
        <f>BN9+BN18+BN22+BN23+BN24</f>
        <v>0</v>
      </c>
    </row>
    <row r="9" spans="1:68" ht="21.75" customHeight="1">
      <c r="A9" s="5" t="s">
        <v>16</v>
      </c>
      <c r="B9" s="72" t="s">
        <v>471</v>
      </c>
      <c r="C9" s="126" t="s">
        <v>193</v>
      </c>
      <c r="D9" s="126">
        <f>D10+D17</f>
        <v>0</v>
      </c>
      <c r="E9" s="126">
        <f>F9+O9+S9+T9+U9</f>
        <v>0</v>
      </c>
      <c r="F9" s="126">
        <f>D9-BK9</f>
        <v>0</v>
      </c>
      <c r="G9" s="126">
        <f>H9+L9+M9</f>
        <v>0</v>
      </c>
      <c r="H9" s="126">
        <f>I9+J9+K9</f>
        <v>0</v>
      </c>
      <c r="I9" s="126">
        <f>I10+I17</f>
        <v>0</v>
      </c>
      <c r="J9" s="126">
        <f t="shared" ref="J9:BG9" si="2">J10+J17</f>
        <v>0</v>
      </c>
      <c r="K9" s="126">
        <f t="shared" si="2"/>
        <v>0</v>
      </c>
      <c r="L9" s="126">
        <f t="shared" si="2"/>
        <v>0</v>
      </c>
      <c r="M9" s="126">
        <f t="shared" si="2"/>
        <v>0</v>
      </c>
      <c r="N9" s="126">
        <f t="shared" si="2"/>
        <v>0</v>
      </c>
      <c r="O9" s="126">
        <f t="shared" ref="O9:O17" si="3">P9+Q9+R9</f>
        <v>0</v>
      </c>
      <c r="P9" s="126">
        <f t="shared" si="2"/>
        <v>0</v>
      </c>
      <c r="Q9" s="126">
        <f t="shared" si="2"/>
        <v>0</v>
      </c>
      <c r="R9" s="126">
        <f t="shared" si="2"/>
        <v>0</v>
      </c>
      <c r="S9" s="126">
        <f t="shared" si="2"/>
        <v>0</v>
      </c>
      <c r="T9" s="126">
        <f t="shared" si="2"/>
        <v>0</v>
      </c>
      <c r="U9" s="126">
        <f t="shared" si="2"/>
        <v>0</v>
      </c>
      <c r="V9" s="126">
        <f t="shared" si="2"/>
        <v>0</v>
      </c>
      <c r="W9" s="126">
        <f t="shared" si="2"/>
        <v>0</v>
      </c>
      <c r="X9" s="126">
        <f t="shared" si="2"/>
        <v>0</v>
      </c>
      <c r="Y9" s="126">
        <f t="shared" si="2"/>
        <v>0</v>
      </c>
      <c r="Z9" s="126">
        <f t="shared" si="2"/>
        <v>0</v>
      </c>
      <c r="AA9" s="126">
        <f t="shared" si="2"/>
        <v>0</v>
      </c>
      <c r="AB9" s="126">
        <f t="shared" si="2"/>
        <v>0</v>
      </c>
      <c r="AC9" s="126">
        <f t="shared" si="2"/>
        <v>0</v>
      </c>
      <c r="AD9" s="126">
        <f t="shared" si="2"/>
        <v>0</v>
      </c>
      <c r="AE9" s="126">
        <f t="shared" si="2"/>
        <v>0</v>
      </c>
      <c r="AF9" s="126">
        <f t="shared" si="2"/>
        <v>0</v>
      </c>
      <c r="AG9" s="126">
        <f t="shared" si="2"/>
        <v>0</v>
      </c>
      <c r="AH9" s="126">
        <f t="shared" si="2"/>
        <v>0</v>
      </c>
      <c r="AI9" s="126">
        <f t="shared" si="2"/>
        <v>0</v>
      </c>
      <c r="AJ9" s="126">
        <f t="shared" si="2"/>
        <v>0</v>
      </c>
      <c r="AK9" s="126">
        <f t="shared" si="2"/>
        <v>0</v>
      </c>
      <c r="AL9" s="126">
        <f t="shared" si="2"/>
        <v>0</v>
      </c>
      <c r="AM9" s="126">
        <f t="shared" si="2"/>
        <v>0</v>
      </c>
      <c r="AN9" s="126">
        <f t="shared" si="2"/>
        <v>0</v>
      </c>
      <c r="AO9" s="126">
        <f t="shared" si="2"/>
        <v>0</v>
      </c>
      <c r="AP9" s="126">
        <f t="shared" si="2"/>
        <v>0</v>
      </c>
      <c r="AQ9" s="126">
        <f t="shared" si="2"/>
        <v>0</v>
      </c>
      <c r="AR9" s="126">
        <f t="shared" si="2"/>
        <v>0</v>
      </c>
      <c r="AS9" s="126">
        <f t="shared" si="2"/>
        <v>0</v>
      </c>
      <c r="AT9" s="126">
        <f t="shared" si="2"/>
        <v>0</v>
      </c>
      <c r="AU9" s="126">
        <f t="shared" si="2"/>
        <v>0</v>
      </c>
      <c r="AV9" s="126">
        <f t="shared" si="2"/>
        <v>0</v>
      </c>
      <c r="AW9" s="126">
        <f t="shared" si="2"/>
        <v>0</v>
      </c>
      <c r="AX9" s="126">
        <f t="shared" si="2"/>
        <v>0</v>
      </c>
      <c r="AY9" s="126">
        <f t="shared" si="2"/>
        <v>0</v>
      </c>
      <c r="AZ9" s="126">
        <f t="shared" si="2"/>
        <v>0</v>
      </c>
      <c r="BA9" s="126">
        <f t="shared" si="2"/>
        <v>0</v>
      </c>
      <c r="BB9" s="126">
        <f t="shared" si="2"/>
        <v>0</v>
      </c>
      <c r="BC9" s="126">
        <f t="shared" si="2"/>
        <v>0</v>
      </c>
      <c r="BD9" s="126">
        <f t="shared" si="2"/>
        <v>0</v>
      </c>
      <c r="BE9" s="126">
        <f t="shared" si="2"/>
        <v>0</v>
      </c>
      <c r="BF9" s="126">
        <f t="shared" si="2"/>
        <v>0</v>
      </c>
      <c r="BG9" s="126">
        <f t="shared" si="2"/>
        <v>0</v>
      </c>
      <c r="BH9" s="126">
        <f>BH10+BH17</f>
        <v>0</v>
      </c>
      <c r="BI9" s="126">
        <f>BI10+BI17</f>
        <v>0</v>
      </c>
      <c r="BJ9" s="126">
        <f>BJ10+BJ17</f>
        <v>0</v>
      </c>
      <c r="BK9" s="126">
        <f>BK10+BK17</f>
        <v>0</v>
      </c>
      <c r="BL9" s="126">
        <f>O9+S9+T9+U9+V9+BH9</f>
        <v>0</v>
      </c>
      <c r="BM9" s="126">
        <f>BM10+BM17</f>
        <v>0</v>
      </c>
      <c r="BN9" s="126">
        <f>D9+BM9</f>
        <v>0</v>
      </c>
      <c r="BP9" s="139"/>
    </row>
    <row r="10" spans="1:68" ht="20.100000000000001" customHeight="1">
      <c r="A10" s="5" t="s">
        <v>212</v>
      </c>
      <c r="B10" s="72" t="s">
        <v>472</v>
      </c>
      <c r="C10" s="126" t="s">
        <v>194</v>
      </c>
      <c r="D10" s="126">
        <f>D11+D15+D16</f>
        <v>0</v>
      </c>
      <c r="E10" s="126">
        <f t="shared" ref="E10:E66" si="4">F10+O10+S10+T10+U10</f>
        <v>0</v>
      </c>
      <c r="F10" s="126">
        <f>G10+N10</f>
        <v>0</v>
      </c>
      <c r="G10" s="126">
        <f>D10-BL10</f>
        <v>0</v>
      </c>
      <c r="H10" s="126">
        <f>I10+J10+K10</f>
        <v>0</v>
      </c>
      <c r="I10" s="126">
        <f>I11+I15+I16</f>
        <v>0</v>
      </c>
      <c r="J10" s="126">
        <f t="shared" ref="J10:BG10" si="5">J11+J15+J16</f>
        <v>0</v>
      </c>
      <c r="K10" s="126">
        <f t="shared" si="5"/>
        <v>0</v>
      </c>
      <c r="L10" s="126">
        <f t="shared" si="5"/>
        <v>0</v>
      </c>
      <c r="M10" s="126">
        <f t="shared" si="5"/>
        <v>0</v>
      </c>
      <c r="N10" s="126">
        <f t="shared" si="5"/>
        <v>0</v>
      </c>
      <c r="O10" s="126">
        <f t="shared" si="3"/>
        <v>0</v>
      </c>
      <c r="P10" s="126">
        <f t="shared" si="5"/>
        <v>0</v>
      </c>
      <c r="Q10" s="126">
        <f t="shared" si="5"/>
        <v>0</v>
      </c>
      <c r="R10" s="126">
        <f t="shared" si="5"/>
        <v>0</v>
      </c>
      <c r="S10" s="126">
        <f t="shared" si="5"/>
        <v>0</v>
      </c>
      <c r="T10" s="126">
        <f t="shared" si="5"/>
        <v>0</v>
      </c>
      <c r="U10" s="126">
        <f t="shared" si="5"/>
        <v>0</v>
      </c>
      <c r="V10" s="126">
        <f t="shared" si="5"/>
        <v>0</v>
      </c>
      <c r="W10" s="126">
        <f t="shared" si="5"/>
        <v>0</v>
      </c>
      <c r="X10" s="126">
        <f t="shared" si="5"/>
        <v>0</v>
      </c>
      <c r="Y10" s="126">
        <f t="shared" si="5"/>
        <v>0</v>
      </c>
      <c r="Z10" s="126">
        <f t="shared" si="5"/>
        <v>0</v>
      </c>
      <c r="AA10" s="126">
        <f t="shared" si="5"/>
        <v>0</v>
      </c>
      <c r="AB10" s="126">
        <f t="shared" si="5"/>
        <v>0</v>
      </c>
      <c r="AC10" s="126">
        <f t="shared" si="5"/>
        <v>0</v>
      </c>
      <c r="AD10" s="126">
        <f t="shared" si="5"/>
        <v>0</v>
      </c>
      <c r="AE10" s="126">
        <f t="shared" si="5"/>
        <v>0</v>
      </c>
      <c r="AF10" s="126">
        <f t="shared" si="5"/>
        <v>0</v>
      </c>
      <c r="AG10" s="126">
        <f t="shared" si="5"/>
        <v>0</v>
      </c>
      <c r="AH10" s="126">
        <f t="shared" si="5"/>
        <v>0</v>
      </c>
      <c r="AI10" s="126">
        <f t="shared" si="5"/>
        <v>0</v>
      </c>
      <c r="AJ10" s="126">
        <f t="shared" si="5"/>
        <v>0</v>
      </c>
      <c r="AK10" s="126">
        <f t="shared" si="5"/>
        <v>0</v>
      </c>
      <c r="AL10" s="126">
        <f t="shared" si="5"/>
        <v>0</v>
      </c>
      <c r="AM10" s="126">
        <f t="shared" si="5"/>
        <v>0</v>
      </c>
      <c r="AN10" s="126">
        <f t="shared" si="5"/>
        <v>0</v>
      </c>
      <c r="AO10" s="126">
        <f t="shared" si="5"/>
        <v>0</v>
      </c>
      <c r="AP10" s="126">
        <f t="shared" si="5"/>
        <v>0</v>
      </c>
      <c r="AQ10" s="126">
        <f t="shared" si="5"/>
        <v>0</v>
      </c>
      <c r="AR10" s="126">
        <f t="shared" si="5"/>
        <v>0</v>
      </c>
      <c r="AS10" s="126">
        <f t="shared" si="5"/>
        <v>0</v>
      </c>
      <c r="AT10" s="126">
        <f t="shared" si="5"/>
        <v>0</v>
      </c>
      <c r="AU10" s="126">
        <f t="shared" si="5"/>
        <v>0</v>
      </c>
      <c r="AV10" s="126">
        <f t="shared" si="5"/>
        <v>0</v>
      </c>
      <c r="AW10" s="126">
        <f t="shared" si="5"/>
        <v>0</v>
      </c>
      <c r="AX10" s="126">
        <f t="shared" si="5"/>
        <v>0</v>
      </c>
      <c r="AY10" s="126">
        <f t="shared" si="5"/>
        <v>0</v>
      </c>
      <c r="AZ10" s="126">
        <f t="shared" si="5"/>
        <v>0</v>
      </c>
      <c r="BA10" s="126">
        <f t="shared" si="5"/>
        <v>0</v>
      </c>
      <c r="BB10" s="126">
        <f t="shared" si="5"/>
        <v>0</v>
      </c>
      <c r="BC10" s="126">
        <f t="shared" si="5"/>
        <v>0</v>
      </c>
      <c r="BD10" s="126">
        <f t="shared" si="5"/>
        <v>0</v>
      </c>
      <c r="BE10" s="126">
        <f t="shared" si="5"/>
        <v>0</v>
      </c>
      <c r="BF10" s="126">
        <f t="shared" si="5"/>
        <v>0</v>
      </c>
      <c r="BG10" s="126">
        <f t="shared" si="5"/>
        <v>0</v>
      </c>
      <c r="BH10" s="126">
        <f>BH11+BH15+BH16</f>
        <v>0</v>
      </c>
      <c r="BI10" s="126">
        <f>BI11+BI15+BI16</f>
        <v>0</v>
      </c>
      <c r="BJ10" s="126">
        <f>BJ11+BJ15+BJ16</f>
        <v>0</v>
      </c>
      <c r="BK10" s="126">
        <f>BK11+BK15+BK16</f>
        <v>0</v>
      </c>
      <c r="BL10" s="126">
        <f>N10+O10+S10+T10+U10+V10+BH10</f>
        <v>0</v>
      </c>
      <c r="BM10" s="126">
        <f>BM11+BM15+BM16</f>
        <v>0</v>
      </c>
      <c r="BN10" s="126">
        <f>BN11+BN15+BN16</f>
        <v>0</v>
      </c>
      <c r="BP10" s="139"/>
    </row>
    <row r="11" spans="1:68" ht="20.100000000000001" customHeight="1">
      <c r="A11" s="5" t="s">
        <v>213</v>
      </c>
      <c r="B11" s="72" t="s">
        <v>17</v>
      </c>
      <c r="C11" s="126" t="s">
        <v>18</v>
      </c>
      <c r="D11" s="126">
        <f>D12+D13+D14</f>
        <v>0</v>
      </c>
      <c r="E11" s="126">
        <f t="shared" si="4"/>
        <v>0</v>
      </c>
      <c r="F11" s="126">
        <f t="shared" ref="F11:F24" si="6">G11+N11</f>
        <v>0</v>
      </c>
      <c r="G11" s="126">
        <f>H11+L11+M11</f>
        <v>0</v>
      </c>
      <c r="H11" s="126">
        <f>D11-BL11</f>
        <v>0</v>
      </c>
      <c r="I11" s="126">
        <f>I12+I13+I14</f>
        <v>0</v>
      </c>
      <c r="J11" s="126">
        <f t="shared" ref="J11:BG11" si="7">J12+J13+J14</f>
        <v>0</v>
      </c>
      <c r="K11" s="126">
        <f t="shared" si="7"/>
        <v>0</v>
      </c>
      <c r="L11" s="126">
        <f t="shared" si="7"/>
        <v>0</v>
      </c>
      <c r="M11" s="126">
        <f t="shared" si="7"/>
        <v>0</v>
      </c>
      <c r="N11" s="126">
        <f t="shared" si="7"/>
        <v>0</v>
      </c>
      <c r="O11" s="126">
        <f t="shared" si="3"/>
        <v>0</v>
      </c>
      <c r="P11" s="126">
        <f t="shared" si="7"/>
        <v>0</v>
      </c>
      <c r="Q11" s="126">
        <f t="shared" si="7"/>
        <v>0</v>
      </c>
      <c r="R11" s="126">
        <f t="shared" si="7"/>
        <v>0</v>
      </c>
      <c r="S11" s="126">
        <f t="shared" si="7"/>
        <v>0</v>
      </c>
      <c r="T11" s="126">
        <f t="shared" si="7"/>
        <v>0</v>
      </c>
      <c r="U11" s="126">
        <f t="shared" si="7"/>
        <v>0</v>
      </c>
      <c r="V11" s="126">
        <f t="shared" si="7"/>
        <v>0</v>
      </c>
      <c r="W11" s="126">
        <f t="shared" si="7"/>
        <v>0</v>
      </c>
      <c r="X11" s="126">
        <f t="shared" si="7"/>
        <v>0</v>
      </c>
      <c r="Y11" s="126">
        <f t="shared" si="7"/>
        <v>0</v>
      </c>
      <c r="Z11" s="126">
        <f t="shared" si="7"/>
        <v>0</v>
      </c>
      <c r="AA11" s="126">
        <f t="shared" si="7"/>
        <v>0</v>
      </c>
      <c r="AB11" s="126">
        <f t="shared" si="7"/>
        <v>0</v>
      </c>
      <c r="AC11" s="126">
        <f t="shared" si="7"/>
        <v>0</v>
      </c>
      <c r="AD11" s="126">
        <f t="shared" si="7"/>
        <v>0</v>
      </c>
      <c r="AE11" s="126">
        <f t="shared" si="7"/>
        <v>0</v>
      </c>
      <c r="AF11" s="126">
        <f t="shared" si="7"/>
        <v>0</v>
      </c>
      <c r="AG11" s="126">
        <f t="shared" si="7"/>
        <v>0</v>
      </c>
      <c r="AH11" s="126">
        <f t="shared" si="7"/>
        <v>0</v>
      </c>
      <c r="AI11" s="126">
        <f t="shared" si="7"/>
        <v>0</v>
      </c>
      <c r="AJ11" s="126">
        <f t="shared" si="7"/>
        <v>0</v>
      </c>
      <c r="AK11" s="126">
        <f t="shared" si="7"/>
        <v>0</v>
      </c>
      <c r="AL11" s="126">
        <f t="shared" si="7"/>
        <v>0</v>
      </c>
      <c r="AM11" s="126">
        <f t="shared" si="7"/>
        <v>0</v>
      </c>
      <c r="AN11" s="126">
        <f t="shared" si="7"/>
        <v>0</v>
      </c>
      <c r="AO11" s="126">
        <f t="shared" si="7"/>
        <v>0</v>
      </c>
      <c r="AP11" s="126">
        <f t="shared" si="7"/>
        <v>0</v>
      </c>
      <c r="AQ11" s="126">
        <f t="shared" si="7"/>
        <v>0</v>
      </c>
      <c r="AR11" s="126">
        <f t="shared" si="7"/>
        <v>0</v>
      </c>
      <c r="AS11" s="126">
        <f t="shared" si="7"/>
        <v>0</v>
      </c>
      <c r="AT11" s="126">
        <f t="shared" si="7"/>
        <v>0</v>
      </c>
      <c r="AU11" s="126">
        <f t="shared" si="7"/>
        <v>0</v>
      </c>
      <c r="AV11" s="126">
        <f t="shared" si="7"/>
        <v>0</v>
      </c>
      <c r="AW11" s="126">
        <f t="shared" si="7"/>
        <v>0</v>
      </c>
      <c r="AX11" s="126">
        <f t="shared" si="7"/>
        <v>0</v>
      </c>
      <c r="AY11" s="126">
        <f t="shared" si="7"/>
        <v>0</v>
      </c>
      <c r="AZ11" s="126">
        <f t="shared" si="7"/>
        <v>0</v>
      </c>
      <c r="BA11" s="126">
        <f t="shared" si="7"/>
        <v>0</v>
      </c>
      <c r="BB11" s="126">
        <f t="shared" si="7"/>
        <v>0</v>
      </c>
      <c r="BC11" s="126">
        <f t="shared" si="7"/>
        <v>0</v>
      </c>
      <c r="BD11" s="126">
        <f t="shared" si="7"/>
        <v>0</v>
      </c>
      <c r="BE11" s="126">
        <f t="shared" si="7"/>
        <v>0</v>
      </c>
      <c r="BF11" s="126">
        <f t="shared" si="7"/>
        <v>0</v>
      </c>
      <c r="BG11" s="126">
        <f t="shared" si="7"/>
        <v>0</v>
      </c>
      <c r="BH11" s="126">
        <f>BH12+BH13+BH14</f>
        <v>0</v>
      </c>
      <c r="BI11" s="126">
        <f>BI12+BI13+BI14</f>
        <v>0</v>
      </c>
      <c r="BJ11" s="126">
        <f>BJ12+BJ13+BJ14</f>
        <v>0</v>
      </c>
      <c r="BK11" s="126">
        <f>BK12+BK13+BK14</f>
        <v>0</v>
      </c>
      <c r="BL11" s="126">
        <f>L11+M11+N11+S11+T11+U11+V11+BH11</f>
        <v>0</v>
      </c>
      <c r="BM11" s="126">
        <f>H67-BL11</f>
        <v>0</v>
      </c>
      <c r="BN11" s="126">
        <f>BN12+BN13+BN14</f>
        <v>0</v>
      </c>
      <c r="BP11" s="139"/>
    </row>
    <row r="12" spans="1:68" ht="20.100000000000001" customHeight="1">
      <c r="A12" s="5" t="s">
        <v>214</v>
      </c>
      <c r="B12" s="72" t="s">
        <v>473</v>
      </c>
      <c r="C12" s="126" t="s">
        <v>20</v>
      </c>
      <c r="D12" s="126"/>
      <c r="E12" s="126">
        <f t="shared" si="4"/>
        <v>0</v>
      </c>
      <c r="F12" s="126">
        <f t="shared" si="6"/>
        <v>0</v>
      </c>
      <c r="G12" s="126">
        <f t="shared" ref="G12:G66" si="8">H12+L12+M12</f>
        <v>0</v>
      </c>
      <c r="H12" s="126">
        <f>I12+J12+K12</f>
        <v>0</v>
      </c>
      <c r="I12" s="126">
        <f>D12-BL12</f>
        <v>0</v>
      </c>
      <c r="J12" s="126"/>
      <c r="K12" s="126"/>
      <c r="L12" s="126"/>
      <c r="M12" s="126"/>
      <c r="N12" s="126"/>
      <c r="O12" s="126">
        <f t="shared" si="3"/>
        <v>0</v>
      </c>
      <c r="P12" s="126"/>
      <c r="Q12" s="126"/>
      <c r="R12" s="126"/>
      <c r="S12" s="126"/>
      <c r="T12" s="126"/>
      <c r="U12" s="126"/>
      <c r="V12" s="126">
        <f>W12+X12+Y12+Z12+AA12+AB12+AC12+AD12+AE12+AQ12+AR12+AS12+AT12+AU12+AV12+AW12+AX12+AY12+AZ12+BA12+BB12+BC12+BD12+BE12+BF12+BG12</f>
        <v>0</v>
      </c>
      <c r="W12" s="126"/>
      <c r="X12" s="126"/>
      <c r="Y12" s="126"/>
      <c r="Z12" s="126"/>
      <c r="AA12" s="126"/>
      <c r="AB12" s="126"/>
      <c r="AC12" s="126"/>
      <c r="AD12" s="126"/>
      <c r="AE12" s="126">
        <f t="shared" ref="AE12:AE33" si="9">SUM(AF12:AP12)</f>
        <v>0</v>
      </c>
      <c r="AF12" s="126"/>
      <c r="AG12" s="126"/>
      <c r="AH12" s="126"/>
      <c r="AI12" s="126"/>
      <c r="AJ12" s="126"/>
      <c r="AK12" s="126"/>
      <c r="AL12" s="126"/>
      <c r="AM12" s="126"/>
      <c r="AN12" s="126"/>
      <c r="AO12" s="126"/>
      <c r="AP12" s="126"/>
      <c r="AQ12" s="126"/>
      <c r="AR12" s="126"/>
      <c r="AS12" s="126"/>
      <c r="AT12" s="126"/>
      <c r="AU12" s="126"/>
      <c r="AV12" s="126"/>
      <c r="AW12" s="126"/>
      <c r="AX12" s="126"/>
      <c r="AY12" s="126"/>
      <c r="AZ12" s="126"/>
      <c r="BA12" s="126"/>
      <c r="BB12" s="126"/>
      <c r="BC12" s="126"/>
      <c r="BD12" s="126"/>
      <c r="BE12" s="126"/>
      <c r="BF12" s="126"/>
      <c r="BG12" s="126"/>
      <c r="BH12" s="126">
        <f t="shared" ref="BH12:BH17" si="10">BI12+BJ12+BK12</f>
        <v>0</v>
      </c>
      <c r="BI12" s="126"/>
      <c r="BJ12" s="126"/>
      <c r="BK12" s="126"/>
      <c r="BL12" s="126">
        <f>J12+K12+L12+M12+N12+O12+S12+T12+U12+V12+BH12</f>
        <v>0</v>
      </c>
      <c r="BM12" s="126">
        <f>I67-BL12</f>
        <v>0</v>
      </c>
      <c r="BN12" s="126">
        <f t="shared" ref="BN12:BN17" si="11">D12+BM12</f>
        <v>0</v>
      </c>
      <c r="BP12" s="139"/>
    </row>
    <row r="13" spans="1:68" ht="20.100000000000001" customHeight="1">
      <c r="A13" s="5" t="s">
        <v>215</v>
      </c>
      <c r="B13" s="72" t="s">
        <v>474</v>
      </c>
      <c r="C13" s="126" t="s">
        <v>195</v>
      </c>
      <c r="D13" s="126"/>
      <c r="E13" s="126">
        <f t="shared" si="4"/>
        <v>0</v>
      </c>
      <c r="F13" s="126">
        <f t="shared" si="6"/>
        <v>0</v>
      </c>
      <c r="G13" s="126">
        <f t="shared" si="8"/>
        <v>0</v>
      </c>
      <c r="H13" s="126">
        <f t="shared" ref="H13:H66" si="12">I13+J13+K13</f>
        <v>0</v>
      </c>
      <c r="I13" s="126"/>
      <c r="J13" s="126">
        <f>D13-BL13</f>
        <v>0</v>
      </c>
      <c r="K13" s="126"/>
      <c r="L13" s="126"/>
      <c r="M13" s="126"/>
      <c r="N13" s="126"/>
      <c r="O13" s="126">
        <f t="shared" si="3"/>
        <v>0</v>
      </c>
      <c r="P13" s="126"/>
      <c r="Q13" s="126"/>
      <c r="R13" s="126"/>
      <c r="S13" s="126"/>
      <c r="T13" s="126"/>
      <c r="U13" s="126"/>
      <c r="V13" s="126">
        <f t="shared" ref="V13:V66" si="13">W13+X13+Y13+Z13+AA13+AB13+AC13+AD13+AE13+AQ13+AR13+AS13+AT13+AU13+AV13+AW13+AX13+AY13+AZ13+BA13+BB13+BC13+BD13+BE13+BF13+BG13</f>
        <v>0</v>
      </c>
      <c r="W13" s="126"/>
      <c r="X13" s="126"/>
      <c r="Y13" s="126"/>
      <c r="Z13" s="126"/>
      <c r="AA13" s="126"/>
      <c r="AB13" s="126"/>
      <c r="AC13" s="126"/>
      <c r="AD13" s="126"/>
      <c r="AE13" s="126">
        <f t="shared" si="9"/>
        <v>0</v>
      </c>
      <c r="AF13" s="126"/>
      <c r="AG13" s="126"/>
      <c r="AH13" s="126"/>
      <c r="AI13" s="126"/>
      <c r="AJ13" s="126"/>
      <c r="AK13" s="126"/>
      <c r="AL13" s="126"/>
      <c r="AM13" s="126"/>
      <c r="AN13" s="126"/>
      <c r="AO13" s="126"/>
      <c r="AP13" s="126"/>
      <c r="AQ13" s="126"/>
      <c r="AR13" s="126"/>
      <c r="AS13" s="126"/>
      <c r="AT13" s="126"/>
      <c r="AU13" s="126"/>
      <c r="AV13" s="126"/>
      <c r="AW13" s="126"/>
      <c r="AX13" s="126"/>
      <c r="AY13" s="126"/>
      <c r="AZ13" s="126"/>
      <c r="BA13" s="126"/>
      <c r="BB13" s="126"/>
      <c r="BC13" s="126"/>
      <c r="BD13" s="126"/>
      <c r="BE13" s="126"/>
      <c r="BF13" s="126"/>
      <c r="BG13" s="126"/>
      <c r="BH13" s="126">
        <f t="shared" si="10"/>
        <v>0</v>
      </c>
      <c r="BI13" s="126"/>
      <c r="BJ13" s="126"/>
      <c r="BK13" s="126"/>
      <c r="BL13" s="126">
        <f>I13+K13+L13+M13+N13+O13+S13+T13+U13+V13+BH13</f>
        <v>0</v>
      </c>
      <c r="BM13" s="126">
        <f>J67-BL13</f>
        <v>0</v>
      </c>
      <c r="BN13" s="126">
        <f t="shared" si="11"/>
        <v>0</v>
      </c>
      <c r="BP13" s="139"/>
    </row>
    <row r="14" spans="1:68" ht="20.100000000000001" customHeight="1">
      <c r="A14" s="5" t="s">
        <v>216</v>
      </c>
      <c r="B14" s="72" t="s">
        <v>475</v>
      </c>
      <c r="C14" s="126" t="s">
        <v>196</v>
      </c>
      <c r="D14" s="126"/>
      <c r="E14" s="126">
        <f t="shared" si="4"/>
        <v>0</v>
      </c>
      <c r="F14" s="126">
        <f t="shared" si="6"/>
        <v>0</v>
      </c>
      <c r="G14" s="126">
        <f t="shared" si="8"/>
        <v>0</v>
      </c>
      <c r="H14" s="126">
        <f t="shared" si="12"/>
        <v>0</v>
      </c>
      <c r="I14" s="126"/>
      <c r="J14" s="126"/>
      <c r="K14" s="126">
        <f>D14-BL14</f>
        <v>0</v>
      </c>
      <c r="L14" s="126"/>
      <c r="M14" s="126"/>
      <c r="N14" s="126"/>
      <c r="O14" s="126">
        <f t="shared" si="3"/>
        <v>0</v>
      </c>
      <c r="P14" s="126"/>
      <c r="Q14" s="126"/>
      <c r="R14" s="126"/>
      <c r="S14" s="126"/>
      <c r="T14" s="126"/>
      <c r="U14" s="126"/>
      <c r="V14" s="126">
        <f t="shared" si="13"/>
        <v>0</v>
      </c>
      <c r="W14" s="126"/>
      <c r="X14" s="126"/>
      <c r="Y14" s="126"/>
      <c r="Z14" s="126"/>
      <c r="AA14" s="126"/>
      <c r="AB14" s="126"/>
      <c r="AC14" s="126"/>
      <c r="AD14" s="126"/>
      <c r="AE14" s="126">
        <f t="shared" si="9"/>
        <v>0</v>
      </c>
      <c r="AF14" s="126"/>
      <c r="AG14" s="126"/>
      <c r="AH14" s="126"/>
      <c r="AI14" s="126"/>
      <c r="AJ14" s="126"/>
      <c r="AK14" s="126"/>
      <c r="AL14" s="126"/>
      <c r="AM14" s="126"/>
      <c r="AN14" s="126"/>
      <c r="AO14" s="126"/>
      <c r="AP14" s="126"/>
      <c r="AQ14" s="126"/>
      <c r="AR14" s="126"/>
      <c r="AS14" s="126"/>
      <c r="AT14" s="126"/>
      <c r="AU14" s="126"/>
      <c r="AV14" s="126"/>
      <c r="AW14" s="126"/>
      <c r="AX14" s="126"/>
      <c r="AY14" s="126"/>
      <c r="AZ14" s="126"/>
      <c r="BA14" s="126"/>
      <c r="BB14" s="126"/>
      <c r="BC14" s="126"/>
      <c r="BD14" s="126"/>
      <c r="BE14" s="126"/>
      <c r="BF14" s="126"/>
      <c r="BG14" s="126"/>
      <c r="BH14" s="126">
        <f t="shared" si="10"/>
        <v>0</v>
      </c>
      <c r="BI14" s="126"/>
      <c r="BJ14" s="126"/>
      <c r="BK14" s="126"/>
      <c r="BL14" s="126">
        <f>I14+J14+L14+M14+N14+O14+S14+T14+U14+V14+BH14</f>
        <v>0</v>
      </c>
      <c r="BM14" s="126">
        <f>K67-BL14</f>
        <v>0</v>
      </c>
      <c r="BN14" s="126">
        <f t="shared" si="11"/>
        <v>0</v>
      </c>
      <c r="BP14" s="123"/>
    </row>
    <row r="15" spans="1:68" ht="20.100000000000001" customHeight="1">
      <c r="A15" s="5" t="s">
        <v>217</v>
      </c>
      <c r="B15" s="72" t="s">
        <v>476</v>
      </c>
      <c r="C15" s="126" t="s">
        <v>197</v>
      </c>
      <c r="D15" s="126"/>
      <c r="E15" s="126">
        <f t="shared" si="4"/>
        <v>0</v>
      </c>
      <c r="F15" s="126">
        <f t="shared" si="6"/>
        <v>0</v>
      </c>
      <c r="G15" s="126">
        <f t="shared" si="8"/>
        <v>0</v>
      </c>
      <c r="H15" s="126">
        <f t="shared" si="12"/>
        <v>0</v>
      </c>
      <c r="I15" s="126"/>
      <c r="J15" s="126"/>
      <c r="K15" s="126"/>
      <c r="L15" s="126">
        <f>D15-BL15</f>
        <v>0</v>
      </c>
      <c r="M15" s="126"/>
      <c r="N15" s="126"/>
      <c r="O15" s="126">
        <f t="shared" si="3"/>
        <v>0</v>
      </c>
      <c r="P15" s="126"/>
      <c r="Q15" s="126"/>
      <c r="R15" s="126"/>
      <c r="S15" s="126"/>
      <c r="T15" s="126"/>
      <c r="U15" s="126"/>
      <c r="V15" s="126">
        <f t="shared" si="13"/>
        <v>0</v>
      </c>
      <c r="W15" s="126"/>
      <c r="X15" s="126"/>
      <c r="Y15" s="126"/>
      <c r="Z15" s="126"/>
      <c r="AA15" s="126"/>
      <c r="AB15" s="126"/>
      <c r="AC15" s="126"/>
      <c r="AD15" s="126"/>
      <c r="AE15" s="126">
        <f t="shared" si="9"/>
        <v>0</v>
      </c>
      <c r="AF15" s="126"/>
      <c r="AG15" s="126"/>
      <c r="AH15" s="126"/>
      <c r="AI15" s="126"/>
      <c r="AJ15" s="126"/>
      <c r="AK15" s="126"/>
      <c r="AL15" s="126"/>
      <c r="AM15" s="126"/>
      <c r="AN15" s="126"/>
      <c r="AO15" s="126"/>
      <c r="AP15" s="126"/>
      <c r="AQ15" s="126"/>
      <c r="AR15" s="126"/>
      <c r="AS15" s="126"/>
      <c r="AT15" s="126"/>
      <c r="AU15" s="126"/>
      <c r="AV15" s="126"/>
      <c r="AW15" s="126"/>
      <c r="AX15" s="126"/>
      <c r="AY15" s="126"/>
      <c r="AZ15" s="126"/>
      <c r="BA15" s="126"/>
      <c r="BB15" s="126"/>
      <c r="BC15" s="126"/>
      <c r="BD15" s="126"/>
      <c r="BE15" s="126"/>
      <c r="BF15" s="126"/>
      <c r="BG15" s="126"/>
      <c r="BH15" s="126">
        <f t="shared" si="10"/>
        <v>0</v>
      </c>
      <c r="BI15" s="126"/>
      <c r="BJ15" s="126"/>
      <c r="BK15" s="126"/>
      <c r="BL15" s="126">
        <f>H15+M15+N15+O15+S15+T15+U15+V15+BH15</f>
        <v>0</v>
      </c>
      <c r="BM15" s="126">
        <f>L67-BL15</f>
        <v>0</v>
      </c>
      <c r="BN15" s="126">
        <f t="shared" si="11"/>
        <v>0</v>
      </c>
      <c r="BP15" s="123"/>
    </row>
    <row r="16" spans="1:68" ht="20.100000000000001" customHeight="1">
      <c r="A16" s="5" t="s">
        <v>218</v>
      </c>
      <c r="B16" s="72" t="s">
        <v>22</v>
      </c>
      <c r="C16" s="126" t="s">
        <v>23</v>
      </c>
      <c r="D16" s="126"/>
      <c r="E16" s="126">
        <f t="shared" si="4"/>
        <v>0</v>
      </c>
      <c r="F16" s="126">
        <f t="shared" si="6"/>
        <v>0</v>
      </c>
      <c r="G16" s="126">
        <f t="shared" si="8"/>
        <v>0</v>
      </c>
      <c r="H16" s="126">
        <f t="shared" si="12"/>
        <v>0</v>
      </c>
      <c r="I16" s="126"/>
      <c r="J16" s="126"/>
      <c r="K16" s="126"/>
      <c r="L16" s="126"/>
      <c r="M16" s="126">
        <f>D16-BL16</f>
        <v>0</v>
      </c>
      <c r="N16" s="126"/>
      <c r="O16" s="126">
        <f t="shared" si="3"/>
        <v>0</v>
      </c>
      <c r="P16" s="126"/>
      <c r="Q16" s="126"/>
      <c r="R16" s="126"/>
      <c r="S16" s="126"/>
      <c r="T16" s="126"/>
      <c r="U16" s="126"/>
      <c r="V16" s="126">
        <f t="shared" si="13"/>
        <v>0</v>
      </c>
      <c r="W16" s="126"/>
      <c r="X16" s="126"/>
      <c r="Y16" s="126"/>
      <c r="Z16" s="126"/>
      <c r="AA16" s="126"/>
      <c r="AB16" s="126"/>
      <c r="AC16" s="126"/>
      <c r="AD16" s="126"/>
      <c r="AE16" s="126">
        <f t="shared" si="9"/>
        <v>0</v>
      </c>
      <c r="AF16" s="126"/>
      <c r="AG16" s="126"/>
      <c r="AH16" s="126"/>
      <c r="AI16" s="126"/>
      <c r="AJ16" s="126"/>
      <c r="AK16" s="126"/>
      <c r="AL16" s="126"/>
      <c r="AM16" s="126"/>
      <c r="AN16" s="126"/>
      <c r="AO16" s="126"/>
      <c r="AP16" s="126"/>
      <c r="AQ16" s="126"/>
      <c r="AR16" s="126"/>
      <c r="AS16" s="126"/>
      <c r="AT16" s="126"/>
      <c r="AU16" s="126"/>
      <c r="AV16" s="126"/>
      <c r="AW16" s="126"/>
      <c r="AX16" s="126"/>
      <c r="AY16" s="126"/>
      <c r="AZ16" s="126"/>
      <c r="BA16" s="126"/>
      <c r="BB16" s="126"/>
      <c r="BC16" s="126"/>
      <c r="BD16" s="126"/>
      <c r="BE16" s="126"/>
      <c r="BF16" s="126"/>
      <c r="BG16" s="126"/>
      <c r="BH16" s="126">
        <f t="shared" si="10"/>
        <v>0</v>
      </c>
      <c r="BI16" s="126"/>
      <c r="BJ16" s="126"/>
      <c r="BK16" s="126"/>
      <c r="BL16" s="126">
        <f>H16+L16+N16+S16+T16+U16+V16+BH16</f>
        <v>0</v>
      </c>
      <c r="BM16" s="126">
        <f>M67-BL16</f>
        <v>0</v>
      </c>
      <c r="BN16" s="126">
        <f t="shared" si="11"/>
        <v>0</v>
      </c>
      <c r="BP16" s="123"/>
    </row>
    <row r="17" spans="1:68" ht="20.100000000000001" customHeight="1">
      <c r="A17" s="5" t="s">
        <v>219</v>
      </c>
      <c r="B17" s="72" t="s">
        <v>25</v>
      </c>
      <c r="C17" s="126" t="s">
        <v>26</v>
      </c>
      <c r="D17" s="126"/>
      <c r="E17" s="126">
        <f t="shared" si="4"/>
        <v>0</v>
      </c>
      <c r="F17" s="126">
        <f t="shared" si="6"/>
        <v>0</v>
      </c>
      <c r="G17" s="126">
        <f t="shared" si="8"/>
        <v>0</v>
      </c>
      <c r="H17" s="126">
        <f t="shared" si="12"/>
        <v>0</v>
      </c>
      <c r="I17" s="126"/>
      <c r="J17" s="126"/>
      <c r="K17" s="126"/>
      <c r="L17" s="126"/>
      <c r="M17" s="126"/>
      <c r="N17" s="126">
        <f>D17-BL17</f>
        <v>0</v>
      </c>
      <c r="O17" s="126">
        <f t="shared" si="3"/>
        <v>0</v>
      </c>
      <c r="P17" s="126"/>
      <c r="Q17" s="126"/>
      <c r="R17" s="126"/>
      <c r="S17" s="126"/>
      <c r="T17" s="126"/>
      <c r="U17" s="126"/>
      <c r="V17" s="126">
        <f t="shared" si="13"/>
        <v>0</v>
      </c>
      <c r="W17" s="126"/>
      <c r="X17" s="126"/>
      <c r="Y17" s="126"/>
      <c r="Z17" s="126"/>
      <c r="AA17" s="126"/>
      <c r="AB17" s="126"/>
      <c r="AC17" s="126"/>
      <c r="AD17" s="126"/>
      <c r="AE17" s="126">
        <f t="shared" si="9"/>
        <v>0</v>
      </c>
      <c r="AF17" s="126"/>
      <c r="AG17" s="126"/>
      <c r="AH17" s="126"/>
      <c r="AI17" s="126"/>
      <c r="AJ17" s="126"/>
      <c r="AK17" s="126"/>
      <c r="AL17" s="126"/>
      <c r="AM17" s="126"/>
      <c r="AN17" s="126"/>
      <c r="AO17" s="126"/>
      <c r="AP17" s="126"/>
      <c r="AQ17" s="126"/>
      <c r="AR17" s="126"/>
      <c r="AS17" s="126"/>
      <c r="AT17" s="126"/>
      <c r="AU17" s="126"/>
      <c r="AV17" s="126"/>
      <c r="AW17" s="126"/>
      <c r="AX17" s="126"/>
      <c r="AY17" s="126"/>
      <c r="AZ17" s="126"/>
      <c r="BA17" s="126"/>
      <c r="BB17" s="126"/>
      <c r="BC17" s="126"/>
      <c r="BD17" s="126"/>
      <c r="BE17" s="126"/>
      <c r="BF17" s="126"/>
      <c r="BG17" s="126"/>
      <c r="BH17" s="126">
        <f t="shared" si="10"/>
        <v>0</v>
      </c>
      <c r="BI17" s="126"/>
      <c r="BJ17" s="126"/>
      <c r="BK17" s="126"/>
      <c r="BL17" s="126">
        <f>H17+L17+M17+O17+S17+T17+U17+V17+BH17</f>
        <v>0</v>
      </c>
      <c r="BM17" s="126">
        <f>N67-BL17</f>
        <v>0</v>
      </c>
      <c r="BN17" s="126">
        <f t="shared" si="11"/>
        <v>0</v>
      </c>
      <c r="BP17" s="123"/>
    </row>
    <row r="18" spans="1:68" ht="20.100000000000001" customHeight="1">
      <c r="A18" s="5" t="s">
        <v>21</v>
      </c>
      <c r="B18" s="72" t="s">
        <v>477</v>
      </c>
      <c r="C18" s="126" t="s">
        <v>198</v>
      </c>
      <c r="D18" s="126">
        <f>D19+D20+D21</f>
        <v>0</v>
      </c>
      <c r="E18" s="126">
        <f t="shared" si="4"/>
        <v>0</v>
      </c>
      <c r="F18" s="126">
        <f t="shared" si="6"/>
        <v>0</v>
      </c>
      <c r="G18" s="126">
        <f t="shared" si="8"/>
        <v>0</v>
      </c>
      <c r="H18" s="126">
        <f t="shared" si="12"/>
        <v>0</v>
      </c>
      <c r="I18" s="126">
        <f t="shared" ref="I18:N18" si="14">I19+I20+I21</f>
        <v>0</v>
      </c>
      <c r="J18" s="126">
        <f t="shared" si="14"/>
        <v>0</v>
      </c>
      <c r="K18" s="126">
        <f t="shared" si="14"/>
        <v>0</v>
      </c>
      <c r="L18" s="126">
        <f t="shared" si="14"/>
        <v>0</v>
      </c>
      <c r="M18" s="126">
        <f t="shared" si="14"/>
        <v>0</v>
      </c>
      <c r="N18" s="126">
        <f t="shared" si="14"/>
        <v>0</v>
      </c>
      <c r="O18" s="126">
        <f>D18-BL18</f>
        <v>0</v>
      </c>
      <c r="P18" s="126">
        <f t="shared" ref="P18:BG18" si="15">P19+P20+P21</f>
        <v>0</v>
      </c>
      <c r="Q18" s="126">
        <f t="shared" si="15"/>
        <v>0</v>
      </c>
      <c r="R18" s="126">
        <f t="shared" si="15"/>
        <v>0</v>
      </c>
      <c r="S18" s="126">
        <f t="shared" si="15"/>
        <v>0</v>
      </c>
      <c r="T18" s="126">
        <f t="shared" si="15"/>
        <v>0</v>
      </c>
      <c r="U18" s="126">
        <f t="shared" si="15"/>
        <v>0</v>
      </c>
      <c r="V18" s="126">
        <f t="shared" si="15"/>
        <v>0</v>
      </c>
      <c r="W18" s="126">
        <f t="shared" si="15"/>
        <v>0</v>
      </c>
      <c r="X18" s="126">
        <f t="shared" si="15"/>
        <v>0</v>
      </c>
      <c r="Y18" s="126">
        <f t="shared" si="15"/>
        <v>0</v>
      </c>
      <c r="Z18" s="126">
        <f t="shared" si="15"/>
        <v>0</v>
      </c>
      <c r="AA18" s="126">
        <f t="shared" si="15"/>
        <v>0</v>
      </c>
      <c r="AB18" s="126">
        <f t="shared" si="15"/>
        <v>0</v>
      </c>
      <c r="AC18" s="126">
        <f t="shared" si="15"/>
        <v>0</v>
      </c>
      <c r="AD18" s="126">
        <f t="shared" si="15"/>
        <v>0</v>
      </c>
      <c r="AE18" s="126">
        <f t="shared" si="15"/>
        <v>0</v>
      </c>
      <c r="AF18" s="126">
        <f t="shared" si="15"/>
        <v>0</v>
      </c>
      <c r="AG18" s="126">
        <f t="shared" si="15"/>
        <v>0</v>
      </c>
      <c r="AH18" s="126">
        <f t="shared" si="15"/>
        <v>0</v>
      </c>
      <c r="AI18" s="126">
        <f t="shared" si="15"/>
        <v>0</v>
      </c>
      <c r="AJ18" s="126">
        <f t="shared" si="15"/>
        <v>0</v>
      </c>
      <c r="AK18" s="126">
        <f t="shared" si="15"/>
        <v>0</v>
      </c>
      <c r="AL18" s="126">
        <f t="shared" si="15"/>
        <v>0</v>
      </c>
      <c r="AM18" s="126">
        <f t="shared" si="15"/>
        <v>0</v>
      </c>
      <c r="AN18" s="126">
        <f t="shared" si="15"/>
        <v>0</v>
      </c>
      <c r="AO18" s="126">
        <f t="shared" si="15"/>
        <v>0</v>
      </c>
      <c r="AP18" s="126">
        <f t="shared" si="15"/>
        <v>0</v>
      </c>
      <c r="AQ18" s="126">
        <f t="shared" si="15"/>
        <v>0</v>
      </c>
      <c r="AR18" s="126">
        <f t="shared" si="15"/>
        <v>0</v>
      </c>
      <c r="AS18" s="126">
        <f t="shared" si="15"/>
        <v>0</v>
      </c>
      <c r="AT18" s="126">
        <f t="shared" si="15"/>
        <v>0</v>
      </c>
      <c r="AU18" s="126">
        <f t="shared" si="15"/>
        <v>0</v>
      </c>
      <c r="AV18" s="126">
        <f t="shared" si="15"/>
        <v>0</v>
      </c>
      <c r="AW18" s="126">
        <f t="shared" si="15"/>
        <v>0</v>
      </c>
      <c r="AX18" s="126">
        <f t="shared" si="15"/>
        <v>0</v>
      </c>
      <c r="AY18" s="126">
        <f t="shared" si="15"/>
        <v>0</v>
      </c>
      <c r="AZ18" s="126">
        <f t="shared" si="15"/>
        <v>0</v>
      </c>
      <c r="BA18" s="126">
        <f t="shared" si="15"/>
        <v>0</v>
      </c>
      <c r="BB18" s="126">
        <f t="shared" si="15"/>
        <v>0</v>
      </c>
      <c r="BC18" s="126">
        <f t="shared" si="15"/>
        <v>0</v>
      </c>
      <c r="BD18" s="126">
        <f t="shared" si="15"/>
        <v>0</v>
      </c>
      <c r="BE18" s="126">
        <f t="shared" si="15"/>
        <v>0</v>
      </c>
      <c r="BF18" s="126">
        <f t="shared" si="15"/>
        <v>0</v>
      </c>
      <c r="BG18" s="126">
        <f t="shared" si="15"/>
        <v>0</v>
      </c>
      <c r="BH18" s="126">
        <f>BH19+BH20+BH21</f>
        <v>0</v>
      </c>
      <c r="BI18" s="126">
        <f>BI19+BI20+BI21</f>
        <v>0</v>
      </c>
      <c r="BJ18" s="126">
        <f>BJ19+BJ20+BJ21</f>
        <v>0</v>
      </c>
      <c r="BK18" s="126">
        <f>BK19+BK20+BK21</f>
        <v>0</v>
      </c>
      <c r="BL18" s="126">
        <f>F18+S18+T18+U18+BH18+V18</f>
        <v>0</v>
      </c>
      <c r="BM18" s="126">
        <f>O67-BL18</f>
        <v>0</v>
      </c>
      <c r="BN18" s="126">
        <f>BN19+BN20+BN21</f>
        <v>0</v>
      </c>
      <c r="BP18" s="123"/>
    </row>
    <row r="19" spans="1:68" ht="20.100000000000001" customHeight="1">
      <c r="A19" s="5" t="s">
        <v>182</v>
      </c>
      <c r="B19" s="72" t="s">
        <v>28</v>
      </c>
      <c r="C19" s="126" t="s">
        <v>29</v>
      </c>
      <c r="D19" s="126"/>
      <c r="E19" s="126">
        <f>F19+O19+S19+T19+U19</f>
        <v>0</v>
      </c>
      <c r="F19" s="126">
        <f>G19+N19</f>
        <v>0</v>
      </c>
      <c r="G19" s="126">
        <f>H19+L19+M19</f>
        <v>0</v>
      </c>
      <c r="H19" s="126">
        <f t="shared" si="12"/>
        <v>0</v>
      </c>
      <c r="I19" s="126"/>
      <c r="J19" s="126"/>
      <c r="K19" s="126"/>
      <c r="L19" s="126"/>
      <c r="M19" s="126"/>
      <c r="N19" s="126"/>
      <c r="O19" s="126">
        <f t="shared" ref="O19:O24" si="16">P19+Q19+R19</f>
        <v>0</v>
      </c>
      <c r="P19" s="126">
        <f>D19-BL19</f>
        <v>0</v>
      </c>
      <c r="Q19" s="126"/>
      <c r="R19" s="126"/>
      <c r="S19" s="126"/>
      <c r="T19" s="126"/>
      <c r="U19" s="126"/>
      <c r="V19" s="126">
        <f t="shared" si="13"/>
        <v>0</v>
      </c>
      <c r="W19" s="126"/>
      <c r="X19" s="126"/>
      <c r="Y19" s="126"/>
      <c r="Z19" s="126"/>
      <c r="AA19" s="126"/>
      <c r="AB19" s="126"/>
      <c r="AC19" s="126"/>
      <c r="AD19" s="126"/>
      <c r="AE19" s="126">
        <f t="shared" si="9"/>
        <v>0</v>
      </c>
      <c r="AF19" s="126"/>
      <c r="AG19" s="126"/>
      <c r="AH19" s="126"/>
      <c r="AI19" s="126"/>
      <c r="AJ19" s="126"/>
      <c r="AK19" s="126"/>
      <c r="AL19" s="126"/>
      <c r="AM19" s="126"/>
      <c r="AN19" s="126"/>
      <c r="AO19" s="126"/>
      <c r="AP19" s="126"/>
      <c r="AQ19" s="126"/>
      <c r="AR19" s="126"/>
      <c r="AS19" s="126"/>
      <c r="AT19" s="126"/>
      <c r="AU19" s="126"/>
      <c r="AV19" s="126"/>
      <c r="AW19" s="126"/>
      <c r="AX19" s="126"/>
      <c r="AY19" s="126"/>
      <c r="AZ19" s="126"/>
      <c r="BA19" s="126"/>
      <c r="BB19" s="126"/>
      <c r="BC19" s="126"/>
      <c r="BD19" s="126"/>
      <c r="BE19" s="126"/>
      <c r="BF19" s="126"/>
      <c r="BG19" s="126"/>
      <c r="BH19" s="126">
        <f t="shared" ref="BH19:BH24" si="17">BI19+BJ19+BK19</f>
        <v>0</v>
      </c>
      <c r="BI19" s="126"/>
      <c r="BJ19" s="126"/>
      <c r="BK19" s="126"/>
      <c r="BL19" s="126">
        <f>F19+Q19+R19+S19+T19+U19+V19+BH19</f>
        <v>0</v>
      </c>
      <c r="BM19" s="126">
        <f>P67-BL19</f>
        <v>0</v>
      </c>
      <c r="BN19" s="126">
        <f t="shared" ref="BN19:BN24" si="18">D19+BM19</f>
        <v>0</v>
      </c>
      <c r="BP19" s="123"/>
    </row>
    <row r="20" spans="1:68" ht="20.100000000000001" customHeight="1">
      <c r="A20" s="5" t="s">
        <v>183</v>
      </c>
      <c r="B20" s="72" t="s">
        <v>31</v>
      </c>
      <c r="C20" s="126" t="s">
        <v>32</v>
      </c>
      <c r="D20" s="126"/>
      <c r="E20" s="126">
        <f t="shared" si="4"/>
        <v>0</v>
      </c>
      <c r="F20" s="126">
        <f t="shared" si="6"/>
        <v>0</v>
      </c>
      <c r="G20" s="126">
        <f t="shared" si="8"/>
        <v>0</v>
      </c>
      <c r="H20" s="126">
        <f t="shared" si="12"/>
        <v>0</v>
      </c>
      <c r="I20" s="126"/>
      <c r="J20" s="126"/>
      <c r="K20" s="126"/>
      <c r="L20" s="126"/>
      <c r="M20" s="126"/>
      <c r="N20" s="126"/>
      <c r="O20" s="126">
        <f t="shared" si="16"/>
        <v>0</v>
      </c>
      <c r="P20" s="126"/>
      <c r="Q20" s="126">
        <f>D20-BL20</f>
        <v>0</v>
      </c>
      <c r="R20" s="126"/>
      <c r="S20" s="126"/>
      <c r="T20" s="126"/>
      <c r="U20" s="126"/>
      <c r="V20" s="126">
        <f t="shared" si="13"/>
        <v>0</v>
      </c>
      <c r="W20" s="126"/>
      <c r="X20" s="126"/>
      <c r="Y20" s="126"/>
      <c r="Z20" s="126"/>
      <c r="AA20" s="126"/>
      <c r="AB20" s="126"/>
      <c r="AC20" s="126"/>
      <c r="AD20" s="126"/>
      <c r="AE20" s="126">
        <f t="shared" si="9"/>
        <v>0</v>
      </c>
      <c r="AF20" s="126"/>
      <c r="AG20" s="126"/>
      <c r="AH20" s="126"/>
      <c r="AI20" s="126"/>
      <c r="AJ20" s="126"/>
      <c r="AK20" s="126"/>
      <c r="AL20" s="126"/>
      <c r="AM20" s="126"/>
      <c r="AN20" s="126"/>
      <c r="AO20" s="126"/>
      <c r="AP20" s="126"/>
      <c r="AQ20" s="126"/>
      <c r="AR20" s="126"/>
      <c r="AS20" s="126"/>
      <c r="AT20" s="126"/>
      <c r="AU20" s="126"/>
      <c r="AV20" s="126"/>
      <c r="AW20" s="126"/>
      <c r="AX20" s="126"/>
      <c r="AY20" s="126"/>
      <c r="AZ20" s="126"/>
      <c r="BA20" s="126"/>
      <c r="BB20" s="126"/>
      <c r="BC20" s="126"/>
      <c r="BD20" s="126"/>
      <c r="BE20" s="126"/>
      <c r="BF20" s="126"/>
      <c r="BG20" s="126"/>
      <c r="BH20" s="126">
        <f t="shared" si="17"/>
        <v>0</v>
      </c>
      <c r="BI20" s="126"/>
      <c r="BJ20" s="126"/>
      <c r="BK20" s="126"/>
      <c r="BL20" s="126">
        <f>F20+P20+R20+S20+T20+U20+V20+BH20</f>
        <v>0</v>
      </c>
      <c r="BM20" s="126">
        <f>Q67-BL20</f>
        <v>0</v>
      </c>
      <c r="BN20" s="126">
        <f t="shared" si="18"/>
        <v>0</v>
      </c>
      <c r="BP20" s="123"/>
    </row>
    <row r="21" spans="1:68" ht="20.100000000000001" customHeight="1">
      <c r="A21" s="5" t="s">
        <v>184</v>
      </c>
      <c r="B21" s="72" t="s">
        <v>34</v>
      </c>
      <c r="C21" s="126" t="s">
        <v>35</v>
      </c>
      <c r="D21" s="126"/>
      <c r="E21" s="126">
        <f t="shared" si="4"/>
        <v>0</v>
      </c>
      <c r="F21" s="126">
        <f>G21+N21</f>
        <v>0</v>
      </c>
      <c r="G21" s="126">
        <f t="shared" si="8"/>
        <v>0</v>
      </c>
      <c r="H21" s="126">
        <f t="shared" si="12"/>
        <v>0</v>
      </c>
      <c r="I21" s="126"/>
      <c r="J21" s="126"/>
      <c r="K21" s="126"/>
      <c r="L21" s="126"/>
      <c r="M21" s="126"/>
      <c r="N21" s="126"/>
      <c r="O21" s="126">
        <f t="shared" si="16"/>
        <v>0</v>
      </c>
      <c r="P21" s="126"/>
      <c r="Q21" s="126"/>
      <c r="R21" s="126">
        <f>D21-BL21</f>
        <v>0</v>
      </c>
      <c r="S21" s="126"/>
      <c r="T21" s="126"/>
      <c r="U21" s="126"/>
      <c r="V21" s="126">
        <f t="shared" si="13"/>
        <v>0</v>
      </c>
      <c r="W21" s="126"/>
      <c r="X21" s="126"/>
      <c r="Y21" s="126"/>
      <c r="Z21" s="126"/>
      <c r="AA21" s="126"/>
      <c r="AB21" s="126"/>
      <c r="AC21" s="126"/>
      <c r="AD21" s="126"/>
      <c r="AE21" s="126">
        <f t="shared" si="9"/>
        <v>0</v>
      </c>
      <c r="AF21" s="126"/>
      <c r="AG21" s="126"/>
      <c r="AH21" s="126"/>
      <c r="AI21" s="126"/>
      <c r="AJ21" s="126"/>
      <c r="AK21" s="126"/>
      <c r="AL21" s="126"/>
      <c r="AM21" s="126"/>
      <c r="AN21" s="126"/>
      <c r="AO21" s="126"/>
      <c r="AP21" s="126"/>
      <c r="AQ21" s="126"/>
      <c r="AR21" s="126"/>
      <c r="AS21" s="126"/>
      <c r="AT21" s="126"/>
      <c r="AU21" s="126"/>
      <c r="AV21" s="126"/>
      <c r="AW21" s="126"/>
      <c r="AX21" s="126"/>
      <c r="AY21" s="126"/>
      <c r="AZ21" s="126"/>
      <c r="BA21" s="126"/>
      <c r="BB21" s="126"/>
      <c r="BC21" s="126"/>
      <c r="BD21" s="126"/>
      <c r="BE21" s="126"/>
      <c r="BF21" s="126"/>
      <c r="BG21" s="126"/>
      <c r="BH21" s="126">
        <f t="shared" si="17"/>
        <v>0</v>
      </c>
      <c r="BI21" s="126"/>
      <c r="BJ21" s="126"/>
      <c r="BK21" s="126"/>
      <c r="BL21" s="126">
        <f>F21+P21+Q21+S21+T21+U21+V21+BH21</f>
        <v>0</v>
      </c>
      <c r="BM21" s="126">
        <f>R67-BL21</f>
        <v>0</v>
      </c>
      <c r="BN21" s="126">
        <f t="shared" si="18"/>
        <v>0</v>
      </c>
      <c r="BP21" s="123"/>
    </row>
    <row r="22" spans="1:68" ht="20.100000000000001" customHeight="1">
      <c r="A22" s="5" t="s">
        <v>24</v>
      </c>
      <c r="B22" s="72" t="s">
        <v>37</v>
      </c>
      <c r="C22" s="126" t="s">
        <v>38</v>
      </c>
      <c r="D22" s="126"/>
      <c r="E22" s="126">
        <f>F22+O22+S22+T22+U22</f>
        <v>0</v>
      </c>
      <c r="F22" s="126">
        <f t="shared" si="6"/>
        <v>0</v>
      </c>
      <c r="G22" s="126">
        <f t="shared" si="8"/>
        <v>0</v>
      </c>
      <c r="H22" s="126">
        <f t="shared" si="12"/>
        <v>0</v>
      </c>
      <c r="I22" s="126"/>
      <c r="J22" s="126"/>
      <c r="K22" s="126"/>
      <c r="L22" s="126"/>
      <c r="M22" s="126"/>
      <c r="N22" s="126"/>
      <c r="O22" s="126">
        <f t="shared" si="16"/>
        <v>0</v>
      </c>
      <c r="P22" s="126"/>
      <c r="Q22" s="126"/>
      <c r="R22" s="126"/>
      <c r="S22" s="126">
        <f>D22-BL22</f>
        <v>0</v>
      </c>
      <c r="T22" s="126"/>
      <c r="U22" s="126"/>
      <c r="V22" s="126">
        <f t="shared" si="13"/>
        <v>0</v>
      </c>
      <c r="W22" s="126"/>
      <c r="X22" s="126"/>
      <c r="Y22" s="126"/>
      <c r="Z22" s="126"/>
      <c r="AA22" s="126"/>
      <c r="AB22" s="126"/>
      <c r="AC22" s="126"/>
      <c r="AD22" s="126"/>
      <c r="AE22" s="126">
        <f t="shared" si="9"/>
        <v>0</v>
      </c>
      <c r="AF22" s="126"/>
      <c r="AG22" s="126"/>
      <c r="AH22" s="126"/>
      <c r="AI22" s="126"/>
      <c r="AJ22" s="126"/>
      <c r="AK22" s="126"/>
      <c r="AL22" s="126"/>
      <c r="AM22" s="126"/>
      <c r="AN22" s="126"/>
      <c r="AO22" s="126"/>
      <c r="AP22" s="126"/>
      <c r="AQ22" s="126"/>
      <c r="AR22" s="126"/>
      <c r="AS22" s="126"/>
      <c r="AT22" s="126"/>
      <c r="AU22" s="126"/>
      <c r="AV22" s="126"/>
      <c r="AW22" s="126"/>
      <c r="AX22" s="126"/>
      <c r="AY22" s="126"/>
      <c r="AZ22" s="126"/>
      <c r="BA22" s="126"/>
      <c r="BB22" s="126"/>
      <c r="BC22" s="126"/>
      <c r="BD22" s="126"/>
      <c r="BE22" s="126"/>
      <c r="BF22" s="126"/>
      <c r="BG22" s="126"/>
      <c r="BH22" s="126">
        <f t="shared" si="17"/>
        <v>0</v>
      </c>
      <c r="BI22" s="126"/>
      <c r="BJ22" s="126"/>
      <c r="BK22" s="126"/>
      <c r="BL22" s="126">
        <f>G22+O22+T22+U22+V22+BH22</f>
        <v>0</v>
      </c>
      <c r="BM22" s="126">
        <f>S67-BL22</f>
        <v>0</v>
      </c>
      <c r="BN22" s="126">
        <f t="shared" si="18"/>
        <v>0</v>
      </c>
      <c r="BP22" s="123"/>
    </row>
    <row r="23" spans="1:68" ht="20.100000000000001" customHeight="1">
      <c r="A23" s="5" t="s">
        <v>27</v>
      </c>
      <c r="B23" s="72" t="s">
        <v>40</v>
      </c>
      <c r="C23" s="126" t="s">
        <v>41</v>
      </c>
      <c r="D23" s="126"/>
      <c r="E23" s="126">
        <f t="shared" si="4"/>
        <v>0</v>
      </c>
      <c r="F23" s="126">
        <f t="shared" si="6"/>
        <v>0</v>
      </c>
      <c r="G23" s="126">
        <f t="shared" si="8"/>
        <v>0</v>
      </c>
      <c r="H23" s="126">
        <f t="shared" si="12"/>
        <v>0</v>
      </c>
      <c r="I23" s="126"/>
      <c r="J23" s="126"/>
      <c r="K23" s="126"/>
      <c r="L23" s="126"/>
      <c r="M23" s="126"/>
      <c r="N23" s="126"/>
      <c r="O23" s="126">
        <f t="shared" si="16"/>
        <v>0</v>
      </c>
      <c r="P23" s="126"/>
      <c r="Q23" s="126"/>
      <c r="R23" s="126"/>
      <c r="S23" s="126"/>
      <c r="T23" s="126">
        <f>D23-BL23</f>
        <v>0</v>
      </c>
      <c r="U23" s="126"/>
      <c r="V23" s="126">
        <f t="shared" si="13"/>
        <v>0</v>
      </c>
      <c r="W23" s="126"/>
      <c r="X23" s="126"/>
      <c r="Y23" s="126"/>
      <c r="Z23" s="126"/>
      <c r="AA23" s="126"/>
      <c r="AB23" s="126"/>
      <c r="AC23" s="126"/>
      <c r="AD23" s="126"/>
      <c r="AE23" s="126">
        <f t="shared" si="9"/>
        <v>0</v>
      </c>
      <c r="AF23" s="126"/>
      <c r="AG23" s="126"/>
      <c r="AH23" s="126"/>
      <c r="AI23" s="126"/>
      <c r="AJ23" s="126"/>
      <c r="AK23" s="126"/>
      <c r="AL23" s="126"/>
      <c r="AM23" s="126"/>
      <c r="AN23" s="126"/>
      <c r="AO23" s="126"/>
      <c r="AP23" s="126"/>
      <c r="AQ23" s="126"/>
      <c r="AR23" s="126"/>
      <c r="AS23" s="126"/>
      <c r="AT23" s="126"/>
      <c r="AU23" s="126"/>
      <c r="AV23" s="126"/>
      <c r="AW23" s="126"/>
      <c r="AX23" s="126"/>
      <c r="AY23" s="126"/>
      <c r="AZ23" s="126"/>
      <c r="BA23" s="126"/>
      <c r="BB23" s="126"/>
      <c r="BC23" s="126"/>
      <c r="BD23" s="126"/>
      <c r="BE23" s="126"/>
      <c r="BF23" s="126"/>
      <c r="BG23" s="126"/>
      <c r="BH23" s="126">
        <f t="shared" si="17"/>
        <v>0</v>
      </c>
      <c r="BI23" s="126"/>
      <c r="BJ23" s="126"/>
      <c r="BK23" s="126"/>
      <c r="BL23" s="126">
        <f>F23+O23+S23+U23+V23+BH23</f>
        <v>0</v>
      </c>
      <c r="BM23" s="126">
        <f>T67-BL23</f>
        <v>0</v>
      </c>
      <c r="BN23" s="126">
        <f t="shared" si="18"/>
        <v>0</v>
      </c>
      <c r="BP23" s="123"/>
    </row>
    <row r="24" spans="1:68" ht="20.100000000000001" customHeight="1">
      <c r="A24" s="5" t="s">
        <v>30</v>
      </c>
      <c r="B24" s="72" t="s">
        <v>43</v>
      </c>
      <c r="C24" s="126" t="s">
        <v>44</v>
      </c>
      <c r="D24" s="126"/>
      <c r="E24" s="126">
        <f t="shared" si="4"/>
        <v>0</v>
      </c>
      <c r="F24" s="126">
        <f t="shared" si="6"/>
        <v>0</v>
      </c>
      <c r="G24" s="126">
        <f t="shared" si="8"/>
        <v>0</v>
      </c>
      <c r="H24" s="126">
        <f t="shared" si="12"/>
        <v>0</v>
      </c>
      <c r="I24" s="126"/>
      <c r="J24" s="126"/>
      <c r="K24" s="126"/>
      <c r="L24" s="126"/>
      <c r="M24" s="126"/>
      <c r="N24" s="126"/>
      <c r="O24" s="126">
        <f t="shared" si="16"/>
        <v>0</v>
      </c>
      <c r="P24" s="126"/>
      <c r="Q24" s="126"/>
      <c r="R24" s="126"/>
      <c r="S24" s="126"/>
      <c r="T24" s="126"/>
      <c r="U24" s="126">
        <f>D24-BL24</f>
        <v>0</v>
      </c>
      <c r="V24" s="126">
        <f t="shared" si="13"/>
        <v>0</v>
      </c>
      <c r="W24" s="126"/>
      <c r="X24" s="126"/>
      <c r="Y24" s="126"/>
      <c r="Z24" s="126"/>
      <c r="AA24" s="126"/>
      <c r="AB24" s="126"/>
      <c r="AC24" s="126"/>
      <c r="AD24" s="126"/>
      <c r="AE24" s="126">
        <f t="shared" si="9"/>
        <v>0</v>
      </c>
      <c r="AF24" s="126"/>
      <c r="AG24" s="126"/>
      <c r="AH24" s="126"/>
      <c r="AI24" s="126"/>
      <c r="AJ24" s="126"/>
      <c r="AK24" s="126"/>
      <c r="AL24" s="126"/>
      <c r="AM24" s="126"/>
      <c r="AN24" s="126"/>
      <c r="AO24" s="126"/>
      <c r="AP24" s="126"/>
      <c r="AQ24" s="126"/>
      <c r="AR24" s="126"/>
      <c r="AS24" s="126"/>
      <c r="AT24" s="126"/>
      <c r="AU24" s="126"/>
      <c r="AV24" s="126"/>
      <c r="AW24" s="126"/>
      <c r="AX24" s="126"/>
      <c r="AY24" s="126"/>
      <c r="AZ24" s="126"/>
      <c r="BA24" s="126"/>
      <c r="BB24" s="126"/>
      <c r="BC24" s="126"/>
      <c r="BD24" s="126"/>
      <c r="BE24" s="126"/>
      <c r="BF24" s="126"/>
      <c r="BG24" s="126"/>
      <c r="BH24" s="126">
        <f t="shared" si="17"/>
        <v>0</v>
      </c>
      <c r="BI24" s="126"/>
      <c r="BJ24" s="126"/>
      <c r="BK24" s="126"/>
      <c r="BL24" s="126">
        <f>F24+O24+S24+T24+BH24</f>
        <v>0</v>
      </c>
      <c r="BM24" s="126">
        <f>U67-BL24</f>
        <v>0</v>
      </c>
      <c r="BN24" s="126">
        <f t="shared" si="18"/>
        <v>0</v>
      </c>
      <c r="BP24" s="123"/>
    </row>
    <row r="25" spans="1:68" s="115" customFormat="1" ht="25.5" customHeight="1">
      <c r="A25" s="6">
        <v>2</v>
      </c>
      <c r="B25" s="109" t="s">
        <v>45</v>
      </c>
      <c r="C25" s="114" t="s">
        <v>46</v>
      </c>
      <c r="D25" s="114">
        <f>D26+D27+D28+D29+D30+D31+D32+D33+D34+D46+D47+D48+D49+D50+D51+D52+D53+D54+D55+D56+D57+D58+D59+D60+D61+D62</f>
        <v>0</v>
      </c>
      <c r="E25" s="114">
        <f>E26+E27+E28+E29+E30+E31+E32+E33+E34+E46+E47+E48+E49+E50+E51+E52+E53+E54+E55+E56+E57+E58+E59+E60+E61+E62</f>
        <v>0</v>
      </c>
      <c r="F25" s="114">
        <f t="shared" ref="F25:U25" si="19">F26+F27+F28+F29+F30+F31+F32+F33+F34+F46+F47+F48+F49+F50+F51+F52+F53+F54+F55+F56+F57+F58+F59+F60+F61+F62</f>
        <v>0</v>
      </c>
      <c r="G25" s="114">
        <f t="shared" si="19"/>
        <v>0</v>
      </c>
      <c r="H25" s="114">
        <f t="shared" si="19"/>
        <v>0</v>
      </c>
      <c r="I25" s="114">
        <f t="shared" si="19"/>
        <v>0</v>
      </c>
      <c r="J25" s="114">
        <f t="shared" si="19"/>
        <v>0</v>
      </c>
      <c r="K25" s="114">
        <f t="shared" si="19"/>
        <v>0</v>
      </c>
      <c r="L25" s="114">
        <f t="shared" si="19"/>
        <v>0</v>
      </c>
      <c r="M25" s="114">
        <f t="shared" si="19"/>
        <v>0</v>
      </c>
      <c r="N25" s="114">
        <f t="shared" si="19"/>
        <v>0</v>
      </c>
      <c r="O25" s="114">
        <f t="shared" si="19"/>
        <v>0</v>
      </c>
      <c r="P25" s="114">
        <f t="shared" si="19"/>
        <v>0</v>
      </c>
      <c r="Q25" s="114">
        <f t="shared" si="19"/>
        <v>0</v>
      </c>
      <c r="R25" s="114">
        <f t="shared" si="19"/>
        <v>0</v>
      </c>
      <c r="S25" s="114">
        <f t="shared" si="19"/>
        <v>0</v>
      </c>
      <c r="T25" s="114">
        <f t="shared" si="19"/>
        <v>0</v>
      </c>
      <c r="U25" s="114">
        <f t="shared" si="19"/>
        <v>0</v>
      </c>
      <c r="V25" s="114">
        <f>D25-BL25</f>
        <v>0</v>
      </c>
      <c r="W25" s="114">
        <f>W26+W27+W28+W29+W30+W31+W32+W33+W34+W46+W47+W48+W49+W50+W51+W52+W53+W54+W55+W56+W57+W58+W59+W60+W61+W62</f>
        <v>0</v>
      </c>
      <c r="X25" s="114">
        <f t="shared" ref="X25:BK25" si="20">X26+X27+X28+X29+X30+X31+X32+X33+X34+X46+X47+X48+X49+X50+X51+X52+X53+X54+X55+X56+X57+X58+X59+X60+X61+X62</f>
        <v>0</v>
      </c>
      <c r="Y25" s="114">
        <f t="shared" si="20"/>
        <v>0</v>
      </c>
      <c r="Z25" s="114">
        <f t="shared" si="20"/>
        <v>0</v>
      </c>
      <c r="AA25" s="114">
        <f t="shared" si="20"/>
        <v>0</v>
      </c>
      <c r="AB25" s="114">
        <f t="shared" si="20"/>
        <v>0</v>
      </c>
      <c r="AC25" s="114">
        <f t="shared" si="20"/>
        <v>0</v>
      </c>
      <c r="AD25" s="114">
        <f t="shared" si="20"/>
        <v>0</v>
      </c>
      <c r="AE25" s="114">
        <f t="shared" si="20"/>
        <v>0</v>
      </c>
      <c r="AF25" s="114">
        <f t="shared" si="20"/>
        <v>0</v>
      </c>
      <c r="AG25" s="114">
        <f t="shared" si="20"/>
        <v>0</v>
      </c>
      <c r="AH25" s="114">
        <f t="shared" si="20"/>
        <v>0</v>
      </c>
      <c r="AI25" s="114">
        <f t="shared" si="20"/>
        <v>0</v>
      </c>
      <c r="AJ25" s="114">
        <f t="shared" si="20"/>
        <v>0</v>
      </c>
      <c r="AK25" s="114">
        <f t="shared" si="20"/>
        <v>0</v>
      </c>
      <c r="AL25" s="114">
        <f t="shared" si="20"/>
        <v>0</v>
      </c>
      <c r="AM25" s="114">
        <f t="shared" si="20"/>
        <v>0</v>
      </c>
      <c r="AN25" s="114">
        <f t="shared" si="20"/>
        <v>0</v>
      </c>
      <c r="AO25" s="114">
        <f t="shared" si="20"/>
        <v>0</v>
      </c>
      <c r="AP25" s="114">
        <f t="shared" si="20"/>
        <v>0</v>
      </c>
      <c r="AQ25" s="114">
        <f t="shared" si="20"/>
        <v>0</v>
      </c>
      <c r="AR25" s="114">
        <f t="shared" si="20"/>
        <v>0</v>
      </c>
      <c r="AS25" s="114">
        <f t="shared" si="20"/>
        <v>0</v>
      </c>
      <c r="AT25" s="114">
        <f t="shared" si="20"/>
        <v>0</v>
      </c>
      <c r="AU25" s="114">
        <f t="shared" si="20"/>
        <v>0</v>
      </c>
      <c r="AV25" s="114">
        <f t="shared" si="20"/>
        <v>0</v>
      </c>
      <c r="AW25" s="114">
        <f t="shared" si="20"/>
        <v>0</v>
      </c>
      <c r="AX25" s="114">
        <f t="shared" si="20"/>
        <v>0</v>
      </c>
      <c r="AY25" s="114">
        <f t="shared" si="20"/>
        <v>0</v>
      </c>
      <c r="AZ25" s="114">
        <f t="shared" si="20"/>
        <v>0</v>
      </c>
      <c r="BA25" s="114">
        <f t="shared" si="20"/>
        <v>0</v>
      </c>
      <c r="BB25" s="114">
        <f t="shared" si="20"/>
        <v>0</v>
      </c>
      <c r="BC25" s="114">
        <f t="shared" si="20"/>
        <v>0</v>
      </c>
      <c r="BD25" s="114">
        <f t="shared" si="20"/>
        <v>0</v>
      </c>
      <c r="BE25" s="114">
        <f t="shared" si="20"/>
        <v>0</v>
      </c>
      <c r="BF25" s="114">
        <f t="shared" si="20"/>
        <v>0</v>
      </c>
      <c r="BG25" s="114">
        <f t="shared" si="20"/>
        <v>0</v>
      </c>
      <c r="BH25" s="114">
        <f t="shared" si="20"/>
        <v>0</v>
      </c>
      <c r="BI25" s="114">
        <f t="shared" si="20"/>
        <v>0</v>
      </c>
      <c r="BJ25" s="114">
        <f t="shared" si="20"/>
        <v>0</v>
      </c>
      <c r="BK25" s="114">
        <f t="shared" si="20"/>
        <v>0</v>
      </c>
      <c r="BL25" s="114">
        <f>E25+BH25</f>
        <v>0</v>
      </c>
      <c r="BM25" s="114">
        <f>BM26+BM27+BM28+BM29+BM30+BM31+BM32+BM33+BM34+BM46+BM47+BM48+BM49+BM50+BM51+BM52+BM53+BM54+BM55+BM56+BM57+BM58+BM59+BM60+BM61+BM62</f>
        <v>0</v>
      </c>
      <c r="BN25" s="114">
        <f>BN26+BN27+BN28+BN29+BN30+BN31+BN32+BN33+BN34+BN46+BN47+BN48+BN49+BN50+BN51+BN52+BN53+BN54+BN55+BN56+BN57+BN58+BN59+BN60+BN61+BN62</f>
        <v>0</v>
      </c>
    </row>
    <row r="26" spans="1:68" ht="20.100000000000001" customHeight="1">
      <c r="A26" s="20" t="s">
        <v>47</v>
      </c>
      <c r="B26" s="110" t="s">
        <v>48</v>
      </c>
      <c r="C26" s="126" t="s">
        <v>49</v>
      </c>
      <c r="D26" s="126"/>
      <c r="E26" s="126">
        <f t="shared" si="4"/>
        <v>0</v>
      </c>
      <c r="F26" s="126">
        <f>G26+N26</f>
        <v>0</v>
      </c>
      <c r="G26" s="126">
        <f t="shared" si="8"/>
        <v>0</v>
      </c>
      <c r="H26" s="126">
        <f t="shared" si="12"/>
        <v>0</v>
      </c>
      <c r="I26" s="126"/>
      <c r="J26" s="126"/>
      <c r="K26" s="126"/>
      <c r="L26" s="126"/>
      <c r="M26" s="126"/>
      <c r="N26" s="126"/>
      <c r="O26" s="126"/>
      <c r="P26" s="126"/>
      <c r="Q26" s="126"/>
      <c r="R26" s="126"/>
      <c r="S26" s="126"/>
      <c r="T26" s="126"/>
      <c r="U26" s="126"/>
      <c r="V26" s="126">
        <f t="shared" si="13"/>
        <v>0</v>
      </c>
      <c r="W26" s="126">
        <f>D26-BL26</f>
        <v>0</v>
      </c>
      <c r="X26" s="126"/>
      <c r="Y26" s="126"/>
      <c r="Z26" s="126"/>
      <c r="AA26" s="126"/>
      <c r="AB26" s="126"/>
      <c r="AC26" s="126"/>
      <c r="AD26" s="126"/>
      <c r="AE26" s="126">
        <f t="shared" si="9"/>
        <v>0</v>
      </c>
      <c r="AF26" s="126"/>
      <c r="AG26" s="126"/>
      <c r="AH26" s="126"/>
      <c r="AI26" s="126"/>
      <c r="AJ26" s="126"/>
      <c r="AK26" s="126"/>
      <c r="AL26" s="126"/>
      <c r="AM26" s="126"/>
      <c r="AN26" s="126"/>
      <c r="AO26" s="126"/>
      <c r="AP26" s="126"/>
      <c r="AQ26" s="126"/>
      <c r="AR26" s="126"/>
      <c r="AS26" s="126"/>
      <c r="AT26" s="126"/>
      <c r="AU26" s="126"/>
      <c r="AV26" s="126"/>
      <c r="AW26" s="126"/>
      <c r="AX26" s="126"/>
      <c r="AY26" s="126"/>
      <c r="AZ26" s="126"/>
      <c r="BA26" s="126"/>
      <c r="BB26" s="126"/>
      <c r="BC26" s="126"/>
      <c r="BD26" s="126"/>
      <c r="BE26" s="126"/>
      <c r="BF26" s="126"/>
      <c r="BG26" s="126"/>
      <c r="BH26" s="126">
        <f>BI26+BJ26+BK26</f>
        <v>0</v>
      </c>
      <c r="BI26" s="126"/>
      <c r="BJ26" s="126"/>
      <c r="BK26" s="126"/>
      <c r="BL26" s="126">
        <f>X26+Y26+Z26+AA26+AB26+AC26+AD26+AE26+AQ26+AR26+AS26+AT26+AU26+AV26+AW26+AX26+AY26+AZ26+BA26+BB26+BC26+BD26+BE26+BF26+BG26+BH26</f>
        <v>0</v>
      </c>
      <c r="BM26" s="126">
        <f>W67-BL26</f>
        <v>0</v>
      </c>
      <c r="BN26" s="126">
        <f>D26+BM26</f>
        <v>0</v>
      </c>
      <c r="BP26" s="123"/>
    </row>
    <row r="27" spans="1:68" ht="20.100000000000001" customHeight="1">
      <c r="A27" s="20" t="s">
        <v>50</v>
      </c>
      <c r="B27" s="110" t="s">
        <v>51</v>
      </c>
      <c r="C27" s="126" t="s">
        <v>52</v>
      </c>
      <c r="D27" s="126"/>
      <c r="E27" s="126">
        <f t="shared" si="4"/>
        <v>0</v>
      </c>
      <c r="F27" s="126">
        <f t="shared" ref="F27:F66" si="21">G27+N27</f>
        <v>0</v>
      </c>
      <c r="G27" s="126">
        <f t="shared" si="8"/>
        <v>0</v>
      </c>
      <c r="H27" s="126">
        <f t="shared" si="12"/>
        <v>0</v>
      </c>
      <c r="I27" s="126"/>
      <c r="J27" s="126"/>
      <c r="K27" s="126"/>
      <c r="L27" s="126"/>
      <c r="M27" s="126"/>
      <c r="N27" s="126"/>
      <c r="O27" s="126"/>
      <c r="P27" s="126"/>
      <c r="Q27" s="126"/>
      <c r="R27" s="126"/>
      <c r="S27" s="126"/>
      <c r="T27" s="126"/>
      <c r="U27" s="126"/>
      <c r="V27" s="126">
        <f t="shared" si="13"/>
        <v>0</v>
      </c>
      <c r="W27" s="126"/>
      <c r="X27" s="126">
        <f>D27-BL27</f>
        <v>0</v>
      </c>
      <c r="Y27" s="126"/>
      <c r="Z27" s="126"/>
      <c r="AA27" s="126"/>
      <c r="AB27" s="126"/>
      <c r="AC27" s="126"/>
      <c r="AD27" s="126"/>
      <c r="AE27" s="126">
        <f t="shared" si="9"/>
        <v>0</v>
      </c>
      <c r="AF27" s="126"/>
      <c r="AG27" s="126"/>
      <c r="AH27" s="126"/>
      <c r="AI27" s="126"/>
      <c r="AJ27" s="126"/>
      <c r="AK27" s="126"/>
      <c r="AL27" s="126"/>
      <c r="AM27" s="126"/>
      <c r="AN27" s="126"/>
      <c r="AO27" s="126"/>
      <c r="AP27" s="126"/>
      <c r="AQ27" s="126"/>
      <c r="AR27" s="126"/>
      <c r="AS27" s="126"/>
      <c r="AT27" s="126"/>
      <c r="AU27" s="126"/>
      <c r="AV27" s="126"/>
      <c r="AW27" s="126"/>
      <c r="AX27" s="126"/>
      <c r="AY27" s="126"/>
      <c r="AZ27" s="126"/>
      <c r="BA27" s="126"/>
      <c r="BB27" s="126"/>
      <c r="BC27" s="126"/>
      <c r="BD27" s="126"/>
      <c r="BE27" s="126"/>
      <c r="BF27" s="126"/>
      <c r="BG27" s="126"/>
      <c r="BH27" s="126">
        <f t="shared" ref="BH27:BH62" si="22">BI27+BJ27+BK27</f>
        <v>0</v>
      </c>
      <c r="BI27" s="126"/>
      <c r="BJ27" s="126"/>
      <c r="BK27" s="126"/>
      <c r="BL27" s="126">
        <f>F27+W27+Y27+Z27+AA27+AB27+AC27+AD27+AE27+AQ27+AR27+AS27+AT27+AU27+AV27+AW27+AX27+AY27+AZ27+BA27+BB27+BC27+BD27+BE27+BF27+BG27+BH27</f>
        <v>0</v>
      </c>
      <c r="BM27" s="126">
        <f>X67-BL27</f>
        <v>0</v>
      </c>
      <c r="BN27" s="126">
        <f t="shared" ref="BN27:BN33" si="23">D27+BM27</f>
        <v>0</v>
      </c>
      <c r="BP27" s="123"/>
    </row>
    <row r="28" spans="1:68" ht="20.100000000000001" customHeight="1">
      <c r="A28" s="20" t="s">
        <v>53</v>
      </c>
      <c r="B28" s="110" t="s">
        <v>54</v>
      </c>
      <c r="C28" s="126" t="s">
        <v>55</v>
      </c>
      <c r="D28" s="126"/>
      <c r="E28" s="126">
        <f t="shared" si="4"/>
        <v>0</v>
      </c>
      <c r="F28" s="126">
        <f t="shared" si="21"/>
        <v>0</v>
      </c>
      <c r="G28" s="126">
        <f t="shared" si="8"/>
        <v>0</v>
      </c>
      <c r="H28" s="126">
        <f t="shared" si="12"/>
        <v>0</v>
      </c>
      <c r="I28" s="126"/>
      <c r="J28" s="126"/>
      <c r="K28" s="126"/>
      <c r="L28" s="126"/>
      <c r="M28" s="126"/>
      <c r="N28" s="126"/>
      <c r="O28" s="126"/>
      <c r="P28" s="126"/>
      <c r="Q28" s="126"/>
      <c r="R28" s="126"/>
      <c r="S28" s="126"/>
      <c r="T28" s="126"/>
      <c r="U28" s="126"/>
      <c r="V28" s="126">
        <f t="shared" si="13"/>
        <v>0</v>
      </c>
      <c r="W28" s="126"/>
      <c r="X28" s="126"/>
      <c r="Y28" s="126">
        <f>D28-BL28</f>
        <v>0</v>
      </c>
      <c r="Z28" s="126"/>
      <c r="AA28" s="126"/>
      <c r="AB28" s="126"/>
      <c r="AC28" s="126"/>
      <c r="AD28" s="126"/>
      <c r="AE28" s="126">
        <f t="shared" si="9"/>
        <v>0</v>
      </c>
      <c r="AF28" s="126"/>
      <c r="AG28" s="126"/>
      <c r="AH28" s="126"/>
      <c r="AI28" s="126"/>
      <c r="AJ28" s="126"/>
      <c r="AK28" s="126"/>
      <c r="AL28" s="126"/>
      <c r="AM28" s="126"/>
      <c r="AN28" s="126"/>
      <c r="AO28" s="126"/>
      <c r="AP28" s="126"/>
      <c r="AQ28" s="126"/>
      <c r="AR28" s="126"/>
      <c r="AS28" s="126"/>
      <c r="AT28" s="126"/>
      <c r="AU28" s="126"/>
      <c r="AV28" s="126"/>
      <c r="AW28" s="126"/>
      <c r="AX28" s="126"/>
      <c r="AY28" s="126"/>
      <c r="AZ28" s="126"/>
      <c r="BA28" s="126"/>
      <c r="BB28" s="126"/>
      <c r="BC28" s="126"/>
      <c r="BD28" s="126"/>
      <c r="BE28" s="126"/>
      <c r="BF28" s="126"/>
      <c r="BG28" s="126"/>
      <c r="BH28" s="126">
        <f t="shared" si="22"/>
        <v>0</v>
      </c>
      <c r="BI28" s="126"/>
      <c r="BJ28" s="126"/>
      <c r="BK28" s="126"/>
      <c r="BL28" s="126">
        <f>E28+W28+X28+Z28+AA28+AB28+AC28+AD28+AE28+AQ28+AR28+AS28+AT28+AU28+AV28+AW28+AX28+AY28+AZ28+BA28+BB28+BC28+BD28+BE28+BF28+BG28+BH28</f>
        <v>0</v>
      </c>
      <c r="BM28" s="126">
        <f>Y67-BL28</f>
        <v>0</v>
      </c>
      <c r="BN28" s="126">
        <f t="shared" si="23"/>
        <v>0</v>
      </c>
      <c r="BP28" s="123"/>
    </row>
    <row r="29" spans="1:68" ht="20.100000000000001" customHeight="1">
      <c r="A29" s="20" t="s">
        <v>56</v>
      </c>
      <c r="B29" s="110" t="s">
        <v>57</v>
      </c>
      <c r="C29" s="126" t="s">
        <v>58</v>
      </c>
      <c r="D29" s="126"/>
      <c r="E29" s="126">
        <f t="shared" si="4"/>
        <v>0</v>
      </c>
      <c r="F29" s="126">
        <f t="shared" si="21"/>
        <v>0</v>
      </c>
      <c r="G29" s="126">
        <f t="shared" si="8"/>
        <v>0</v>
      </c>
      <c r="H29" s="126">
        <f t="shared" si="12"/>
        <v>0</v>
      </c>
      <c r="I29" s="126"/>
      <c r="J29" s="126"/>
      <c r="K29" s="126"/>
      <c r="L29" s="126"/>
      <c r="M29" s="126"/>
      <c r="N29" s="126"/>
      <c r="O29" s="126"/>
      <c r="P29" s="126"/>
      <c r="Q29" s="126"/>
      <c r="R29" s="126"/>
      <c r="S29" s="126"/>
      <c r="T29" s="126"/>
      <c r="U29" s="126"/>
      <c r="V29" s="126">
        <f t="shared" si="13"/>
        <v>0</v>
      </c>
      <c r="W29" s="126"/>
      <c r="X29" s="126"/>
      <c r="Y29" s="126"/>
      <c r="Z29" s="126">
        <f>D29-BL29</f>
        <v>0</v>
      </c>
      <c r="AA29" s="126"/>
      <c r="AB29" s="126"/>
      <c r="AC29" s="126"/>
      <c r="AD29" s="126"/>
      <c r="AE29" s="126">
        <f t="shared" si="9"/>
        <v>0</v>
      </c>
      <c r="AF29" s="126"/>
      <c r="AG29" s="126"/>
      <c r="AH29" s="126"/>
      <c r="AI29" s="126"/>
      <c r="AJ29" s="126"/>
      <c r="AK29" s="126"/>
      <c r="AL29" s="126"/>
      <c r="AM29" s="126"/>
      <c r="AN29" s="126"/>
      <c r="AO29" s="126"/>
      <c r="AP29" s="126"/>
      <c r="AQ29" s="126"/>
      <c r="AR29" s="126"/>
      <c r="AS29" s="126"/>
      <c r="AT29" s="126"/>
      <c r="AU29" s="126"/>
      <c r="AV29" s="126"/>
      <c r="AW29" s="126"/>
      <c r="AX29" s="126"/>
      <c r="AY29" s="126"/>
      <c r="AZ29" s="126"/>
      <c r="BA29" s="126"/>
      <c r="BB29" s="126"/>
      <c r="BC29" s="126"/>
      <c r="BD29" s="126"/>
      <c r="BE29" s="126"/>
      <c r="BF29" s="126"/>
      <c r="BG29" s="126"/>
      <c r="BH29" s="126">
        <f t="shared" si="22"/>
        <v>0</v>
      </c>
      <c r="BI29" s="126"/>
      <c r="BJ29" s="126"/>
      <c r="BK29" s="126"/>
      <c r="BL29" s="126">
        <f>E29+W29+X29+Y29+AA29+AB29+AC29+AD29+AE29+AQ29+AR29+AS29+AT29+AU29+AV29+AW29+AX29+AY29+AZ29+BA29+BB29+BC29+BD29+BE29+BF29+BG29+BH29</f>
        <v>0</v>
      </c>
      <c r="BM29" s="126">
        <f>Z67-BL29</f>
        <v>0</v>
      </c>
      <c r="BN29" s="126">
        <f t="shared" si="23"/>
        <v>0</v>
      </c>
      <c r="BP29" s="123"/>
    </row>
    <row r="30" spans="1:68" ht="20.100000000000001" customHeight="1">
      <c r="A30" s="20" t="s">
        <v>59</v>
      </c>
      <c r="B30" s="110" t="s">
        <v>60</v>
      </c>
      <c r="C30" s="126" t="s">
        <v>61</v>
      </c>
      <c r="D30" s="126"/>
      <c r="E30" s="126">
        <f t="shared" si="4"/>
        <v>0</v>
      </c>
      <c r="F30" s="126">
        <f t="shared" si="21"/>
        <v>0</v>
      </c>
      <c r="G30" s="126">
        <f t="shared" si="8"/>
        <v>0</v>
      </c>
      <c r="H30" s="126">
        <f t="shared" si="12"/>
        <v>0</v>
      </c>
      <c r="I30" s="126"/>
      <c r="J30" s="126"/>
      <c r="K30" s="126"/>
      <c r="L30" s="126"/>
      <c r="M30" s="126"/>
      <c r="N30" s="126"/>
      <c r="O30" s="126"/>
      <c r="P30" s="126"/>
      <c r="Q30" s="126"/>
      <c r="R30" s="126"/>
      <c r="S30" s="126"/>
      <c r="T30" s="126"/>
      <c r="U30" s="126"/>
      <c r="V30" s="126">
        <f t="shared" si="13"/>
        <v>0</v>
      </c>
      <c r="W30" s="126"/>
      <c r="X30" s="126"/>
      <c r="Y30" s="126"/>
      <c r="Z30" s="126"/>
      <c r="AA30" s="126">
        <f>D30-BL30</f>
        <v>0</v>
      </c>
      <c r="AB30" s="126"/>
      <c r="AC30" s="126"/>
      <c r="AD30" s="126"/>
      <c r="AE30" s="126">
        <f t="shared" si="9"/>
        <v>0</v>
      </c>
      <c r="AF30" s="126"/>
      <c r="AG30" s="126"/>
      <c r="AH30" s="126"/>
      <c r="AI30" s="126"/>
      <c r="AJ30" s="126"/>
      <c r="AK30" s="126"/>
      <c r="AL30" s="126"/>
      <c r="AM30" s="126"/>
      <c r="AN30" s="126"/>
      <c r="AO30" s="126"/>
      <c r="AP30" s="126"/>
      <c r="AQ30" s="126"/>
      <c r="AR30" s="126"/>
      <c r="AS30" s="126"/>
      <c r="AT30" s="126"/>
      <c r="AU30" s="126"/>
      <c r="AV30" s="126"/>
      <c r="AW30" s="126"/>
      <c r="AX30" s="126"/>
      <c r="AY30" s="126"/>
      <c r="AZ30" s="126"/>
      <c r="BA30" s="126"/>
      <c r="BB30" s="126"/>
      <c r="BC30" s="126"/>
      <c r="BD30" s="126"/>
      <c r="BE30" s="126"/>
      <c r="BF30" s="126"/>
      <c r="BG30" s="126"/>
      <c r="BH30" s="126">
        <f t="shared" si="22"/>
        <v>0</v>
      </c>
      <c r="BI30" s="126"/>
      <c r="BJ30" s="126"/>
      <c r="BK30" s="126"/>
      <c r="BL30" s="126">
        <f>E30+W30+X30+Y30+Z30+AB30+AC30+AD30+AE30+AQ30+AR30+AS30+AT30+AU30+AV30+AW30+AX30+AY30+AZ30+BA30+BB30+BC30+BD30+BE30+BF30+BG30+BH30</f>
        <v>0</v>
      </c>
      <c r="BM30" s="126">
        <f>AA67-BL30</f>
        <v>0</v>
      </c>
      <c r="BN30" s="126">
        <f t="shared" si="23"/>
        <v>0</v>
      </c>
      <c r="BP30" s="123"/>
    </row>
    <row r="31" spans="1:68" ht="20.100000000000001" customHeight="1">
      <c r="A31" s="20" t="s">
        <v>62</v>
      </c>
      <c r="B31" s="110" t="s">
        <v>63</v>
      </c>
      <c r="C31" s="126" t="s">
        <v>64</v>
      </c>
      <c r="D31" s="126"/>
      <c r="E31" s="126">
        <f t="shared" si="4"/>
        <v>0</v>
      </c>
      <c r="F31" s="126">
        <f t="shared" si="21"/>
        <v>0</v>
      </c>
      <c r="G31" s="126">
        <f t="shared" si="8"/>
        <v>0</v>
      </c>
      <c r="H31" s="126">
        <f t="shared" si="12"/>
        <v>0</v>
      </c>
      <c r="I31" s="126"/>
      <c r="J31" s="126"/>
      <c r="K31" s="126"/>
      <c r="L31" s="126"/>
      <c r="M31" s="126"/>
      <c r="N31" s="126"/>
      <c r="O31" s="126"/>
      <c r="P31" s="126"/>
      <c r="Q31" s="126"/>
      <c r="R31" s="126"/>
      <c r="S31" s="126"/>
      <c r="T31" s="126"/>
      <c r="U31" s="126"/>
      <c r="V31" s="126">
        <f>W31+X31+Y31+Z31+AA31+AB31+AC31+AD31+AE31+AQ31+AR31+AS31+AT31+AU31+AV31+AW31+AX31+AY31+AZ31+BA31+BB31+BC31+BD31+BE31+BF31+BG31</f>
        <v>0</v>
      </c>
      <c r="W31" s="126"/>
      <c r="X31" s="126"/>
      <c r="Y31" s="126"/>
      <c r="Z31" s="126"/>
      <c r="AA31" s="126"/>
      <c r="AB31" s="126">
        <f>D31-BL31</f>
        <v>0</v>
      </c>
      <c r="AC31" s="126"/>
      <c r="AD31" s="126"/>
      <c r="AE31" s="126">
        <f t="shared" si="9"/>
        <v>0</v>
      </c>
      <c r="AF31" s="126"/>
      <c r="AG31" s="126"/>
      <c r="AH31" s="126"/>
      <c r="AI31" s="126"/>
      <c r="AJ31" s="126"/>
      <c r="AK31" s="126"/>
      <c r="AL31" s="126"/>
      <c r="AM31" s="126"/>
      <c r="AN31" s="126"/>
      <c r="AO31" s="126"/>
      <c r="AP31" s="126"/>
      <c r="AQ31" s="126"/>
      <c r="AR31" s="126"/>
      <c r="AS31" s="126"/>
      <c r="AT31" s="126"/>
      <c r="AU31" s="126"/>
      <c r="AV31" s="126"/>
      <c r="AW31" s="126"/>
      <c r="AX31" s="126"/>
      <c r="AY31" s="126"/>
      <c r="AZ31" s="126"/>
      <c r="BA31" s="126"/>
      <c r="BB31" s="126"/>
      <c r="BC31" s="126"/>
      <c r="BD31" s="126"/>
      <c r="BE31" s="126"/>
      <c r="BF31" s="126"/>
      <c r="BG31" s="126"/>
      <c r="BH31" s="126">
        <f>BI31+BJ31+BK31</f>
        <v>0</v>
      </c>
      <c r="BI31" s="126"/>
      <c r="BJ31" s="126"/>
      <c r="BK31" s="126"/>
      <c r="BL31" s="126">
        <f>E31+W31+X31+Y31+Z31+AA31+AC31+AD31+AE31+AQ31+AR31+AS31+AT31+AU31+AV31+AW31+AX31+AY31+AZ31+BA31+BB31+BC31+BD31+BE31+BF31+BG31+BH31</f>
        <v>0</v>
      </c>
      <c r="BM31" s="126">
        <f>AB67-BL31</f>
        <v>0</v>
      </c>
      <c r="BN31" s="126">
        <f t="shared" si="23"/>
        <v>0</v>
      </c>
      <c r="BP31" s="123"/>
    </row>
    <row r="32" spans="1:68" ht="20.100000000000001" customHeight="1">
      <c r="A32" s="20" t="s">
        <v>65</v>
      </c>
      <c r="B32" s="110" t="s">
        <v>66</v>
      </c>
      <c r="C32" s="126" t="s">
        <v>67</v>
      </c>
      <c r="D32" s="126"/>
      <c r="E32" s="126">
        <f t="shared" si="4"/>
        <v>0</v>
      </c>
      <c r="F32" s="126">
        <f t="shared" si="21"/>
        <v>0</v>
      </c>
      <c r="G32" s="126">
        <f t="shared" si="8"/>
        <v>0</v>
      </c>
      <c r="H32" s="126">
        <f t="shared" si="12"/>
        <v>0</v>
      </c>
      <c r="I32" s="126"/>
      <c r="J32" s="126"/>
      <c r="K32" s="126"/>
      <c r="L32" s="126"/>
      <c r="M32" s="126"/>
      <c r="N32" s="126"/>
      <c r="O32" s="126"/>
      <c r="P32" s="126"/>
      <c r="Q32" s="126"/>
      <c r="R32" s="126"/>
      <c r="S32" s="126"/>
      <c r="T32" s="126"/>
      <c r="U32" s="126"/>
      <c r="V32" s="126">
        <f t="shared" si="13"/>
        <v>0</v>
      </c>
      <c r="W32" s="126"/>
      <c r="X32" s="126"/>
      <c r="Y32" s="126"/>
      <c r="Z32" s="126"/>
      <c r="AA32" s="126"/>
      <c r="AB32" s="126"/>
      <c r="AC32" s="126">
        <f>D32-BL32</f>
        <v>0</v>
      </c>
      <c r="AD32" s="126"/>
      <c r="AE32" s="126">
        <f t="shared" si="9"/>
        <v>0</v>
      </c>
      <c r="AF32" s="126"/>
      <c r="AG32" s="126"/>
      <c r="AH32" s="126"/>
      <c r="AI32" s="126"/>
      <c r="AJ32" s="126"/>
      <c r="AK32" s="126"/>
      <c r="AL32" s="126"/>
      <c r="AM32" s="126"/>
      <c r="AN32" s="126"/>
      <c r="AO32" s="126"/>
      <c r="AP32" s="126"/>
      <c r="AQ32" s="126"/>
      <c r="AR32" s="126"/>
      <c r="AS32" s="126"/>
      <c r="AT32" s="126"/>
      <c r="AU32" s="126"/>
      <c r="AV32" s="126"/>
      <c r="AW32" s="126"/>
      <c r="AX32" s="126"/>
      <c r="AY32" s="126"/>
      <c r="AZ32" s="126"/>
      <c r="BA32" s="126"/>
      <c r="BB32" s="126"/>
      <c r="BC32" s="126"/>
      <c r="BD32" s="126"/>
      <c r="BE32" s="126"/>
      <c r="BF32" s="126"/>
      <c r="BG32" s="126"/>
      <c r="BH32" s="126">
        <f t="shared" si="22"/>
        <v>0</v>
      </c>
      <c r="BI32" s="126"/>
      <c r="BJ32" s="126"/>
      <c r="BK32" s="126"/>
      <c r="BL32" s="126">
        <f>E32+W32+X32+Y32+Z32+AA32+AB32+AD32+AE32+AQ32+AR32+AS32+AT32+AU32+AV32+AW32+AX32+AY32+AZ32+BA32+BB32+BC32+BD32+BE32+BF32+BG32+BH32</f>
        <v>0</v>
      </c>
      <c r="BM32" s="126">
        <f>AC67-BL32</f>
        <v>0</v>
      </c>
      <c r="BN32" s="126">
        <f t="shared" si="23"/>
        <v>0</v>
      </c>
      <c r="BP32" s="123"/>
    </row>
    <row r="33" spans="1:68" ht="20.100000000000001" customHeight="1">
      <c r="A33" s="20" t="s">
        <v>68</v>
      </c>
      <c r="B33" s="110" t="s">
        <v>69</v>
      </c>
      <c r="C33" s="126" t="s">
        <v>70</v>
      </c>
      <c r="D33" s="126"/>
      <c r="E33" s="126">
        <f t="shared" si="4"/>
        <v>0</v>
      </c>
      <c r="F33" s="126">
        <f t="shared" si="21"/>
        <v>0</v>
      </c>
      <c r="G33" s="126">
        <f t="shared" si="8"/>
        <v>0</v>
      </c>
      <c r="H33" s="126">
        <f t="shared" si="12"/>
        <v>0</v>
      </c>
      <c r="I33" s="126"/>
      <c r="J33" s="126"/>
      <c r="K33" s="126"/>
      <c r="L33" s="126"/>
      <c r="M33" s="126"/>
      <c r="N33" s="126"/>
      <c r="O33" s="126"/>
      <c r="P33" s="126"/>
      <c r="Q33" s="126"/>
      <c r="R33" s="126"/>
      <c r="S33" s="126"/>
      <c r="T33" s="126"/>
      <c r="U33" s="126"/>
      <c r="V33" s="126">
        <f t="shared" si="13"/>
        <v>0</v>
      </c>
      <c r="W33" s="126"/>
      <c r="X33" s="126"/>
      <c r="Y33" s="126"/>
      <c r="Z33" s="126"/>
      <c r="AA33" s="126"/>
      <c r="AB33" s="126"/>
      <c r="AC33" s="126"/>
      <c r="AD33" s="126">
        <f>D33-BL33</f>
        <v>0</v>
      </c>
      <c r="AE33" s="126">
        <f t="shared" si="9"/>
        <v>0</v>
      </c>
      <c r="AF33" s="126"/>
      <c r="AG33" s="126"/>
      <c r="AH33" s="126"/>
      <c r="AI33" s="126"/>
      <c r="AJ33" s="126"/>
      <c r="AK33" s="126"/>
      <c r="AL33" s="126"/>
      <c r="AM33" s="126"/>
      <c r="AN33" s="126"/>
      <c r="AO33" s="126"/>
      <c r="AP33" s="126"/>
      <c r="AQ33" s="126"/>
      <c r="AR33" s="126"/>
      <c r="AS33" s="126"/>
      <c r="AT33" s="126"/>
      <c r="AU33" s="126"/>
      <c r="AV33" s="126"/>
      <c r="AW33" s="126"/>
      <c r="AX33" s="126"/>
      <c r="AY33" s="126"/>
      <c r="AZ33" s="126"/>
      <c r="BA33" s="126"/>
      <c r="BB33" s="126"/>
      <c r="BC33" s="126"/>
      <c r="BD33" s="126"/>
      <c r="BE33" s="126"/>
      <c r="BF33" s="126"/>
      <c r="BG33" s="126"/>
      <c r="BH33" s="126">
        <f t="shared" si="22"/>
        <v>0</v>
      </c>
      <c r="BI33" s="126"/>
      <c r="BJ33" s="126"/>
      <c r="BK33" s="126"/>
      <c r="BL33" s="126">
        <f>E33+W33+X33+Y33+Z33+AA33+AB33+AC33+AE33+AQ33+AR33+AS33+AT33+AU33+AV33+AW33+AX33+AY33+AZ33+BA33+BB33+BC33+BD33+BE33+BF33+BG33+BH33</f>
        <v>0</v>
      </c>
      <c r="BM33" s="126">
        <f>AD67-BL33</f>
        <v>0</v>
      </c>
      <c r="BN33" s="126">
        <f t="shared" si="23"/>
        <v>0</v>
      </c>
      <c r="BP33" s="123"/>
    </row>
    <row r="34" spans="1:68" ht="40.5" customHeight="1">
      <c r="A34" s="20" t="s">
        <v>71</v>
      </c>
      <c r="B34" s="110" t="s">
        <v>135</v>
      </c>
      <c r="C34" s="126" t="s">
        <v>72</v>
      </c>
      <c r="D34" s="126">
        <f>SUM(D35:D45)</f>
        <v>0</v>
      </c>
      <c r="E34" s="126">
        <f>SUM(E35:E45)</f>
        <v>0</v>
      </c>
      <c r="F34" s="126">
        <f t="shared" ref="F34:U34" si="24">SUM(F35:F45)</f>
        <v>0</v>
      </c>
      <c r="G34" s="126">
        <f t="shared" si="24"/>
        <v>0</v>
      </c>
      <c r="H34" s="126">
        <f t="shared" si="24"/>
        <v>0</v>
      </c>
      <c r="I34" s="126">
        <f t="shared" si="24"/>
        <v>0</v>
      </c>
      <c r="J34" s="126">
        <f t="shared" si="24"/>
        <v>0</v>
      </c>
      <c r="K34" s="126">
        <f t="shared" si="24"/>
        <v>0</v>
      </c>
      <c r="L34" s="126">
        <f t="shared" si="24"/>
        <v>0</v>
      </c>
      <c r="M34" s="126">
        <f t="shared" si="24"/>
        <v>0</v>
      </c>
      <c r="N34" s="126">
        <f t="shared" si="24"/>
        <v>0</v>
      </c>
      <c r="O34" s="126">
        <f t="shared" si="24"/>
        <v>0</v>
      </c>
      <c r="P34" s="126">
        <f t="shared" si="24"/>
        <v>0</v>
      </c>
      <c r="Q34" s="126">
        <f t="shared" si="24"/>
        <v>0</v>
      </c>
      <c r="R34" s="126">
        <f t="shared" si="24"/>
        <v>0</v>
      </c>
      <c r="S34" s="126">
        <f t="shared" si="24"/>
        <v>0</v>
      </c>
      <c r="T34" s="126">
        <f t="shared" si="24"/>
        <v>0</v>
      </c>
      <c r="U34" s="126">
        <f t="shared" si="24"/>
        <v>0</v>
      </c>
      <c r="V34" s="126">
        <f>SUM(V35:V45)</f>
        <v>0</v>
      </c>
      <c r="W34" s="126">
        <f t="shared" ref="W34:AD34" si="25">SUM(W35:W45)</f>
        <v>0</v>
      </c>
      <c r="X34" s="126">
        <f t="shared" si="25"/>
        <v>0</v>
      </c>
      <c r="Y34" s="126">
        <f t="shared" si="25"/>
        <v>0</v>
      </c>
      <c r="Z34" s="126">
        <f t="shared" si="25"/>
        <v>0</v>
      </c>
      <c r="AA34" s="126">
        <f t="shared" si="25"/>
        <v>0</v>
      </c>
      <c r="AB34" s="126">
        <f t="shared" si="25"/>
        <v>0</v>
      </c>
      <c r="AC34" s="126">
        <f t="shared" si="25"/>
        <v>0</v>
      </c>
      <c r="AD34" s="126">
        <f t="shared" si="25"/>
        <v>0</v>
      </c>
      <c r="AE34" s="126">
        <f>D34-BL34</f>
        <v>0</v>
      </c>
      <c r="AF34" s="126">
        <f>SUM(AF35:AF45)</f>
        <v>0</v>
      </c>
      <c r="AG34" s="126">
        <f t="shared" ref="AG34:BE34" si="26">SUM(AG35:AG45)</f>
        <v>0</v>
      </c>
      <c r="AH34" s="126">
        <f t="shared" si="26"/>
        <v>0</v>
      </c>
      <c r="AI34" s="126">
        <f t="shared" si="26"/>
        <v>0</v>
      </c>
      <c r="AJ34" s="126">
        <f t="shared" si="26"/>
        <v>0</v>
      </c>
      <c r="AK34" s="126">
        <f t="shared" si="26"/>
        <v>0</v>
      </c>
      <c r="AL34" s="126">
        <f t="shared" si="26"/>
        <v>0</v>
      </c>
      <c r="AM34" s="126">
        <f t="shared" si="26"/>
        <v>0</v>
      </c>
      <c r="AN34" s="126">
        <f t="shared" si="26"/>
        <v>0</v>
      </c>
      <c r="AO34" s="126">
        <f t="shared" si="26"/>
        <v>0</v>
      </c>
      <c r="AP34" s="126">
        <f t="shared" si="26"/>
        <v>0</v>
      </c>
      <c r="AQ34" s="126">
        <f t="shared" si="26"/>
        <v>0</v>
      </c>
      <c r="AR34" s="126">
        <f t="shared" si="26"/>
        <v>0</v>
      </c>
      <c r="AS34" s="126">
        <f t="shared" si="26"/>
        <v>0</v>
      </c>
      <c r="AT34" s="126">
        <f t="shared" si="26"/>
        <v>0</v>
      </c>
      <c r="AU34" s="126">
        <f t="shared" si="26"/>
        <v>0</v>
      </c>
      <c r="AV34" s="126">
        <f t="shared" si="26"/>
        <v>0</v>
      </c>
      <c r="AW34" s="126">
        <f t="shared" si="26"/>
        <v>0</v>
      </c>
      <c r="AX34" s="126">
        <f t="shared" si="26"/>
        <v>0</v>
      </c>
      <c r="AY34" s="126">
        <f t="shared" si="26"/>
        <v>0</v>
      </c>
      <c r="AZ34" s="126">
        <f t="shared" si="26"/>
        <v>0</v>
      </c>
      <c r="BA34" s="126">
        <f t="shared" si="26"/>
        <v>0</v>
      </c>
      <c r="BB34" s="126">
        <f t="shared" si="26"/>
        <v>0</v>
      </c>
      <c r="BC34" s="126">
        <f t="shared" si="26"/>
        <v>0</v>
      </c>
      <c r="BD34" s="126">
        <f t="shared" si="26"/>
        <v>0</v>
      </c>
      <c r="BE34" s="126">
        <f t="shared" si="26"/>
        <v>0</v>
      </c>
      <c r="BF34" s="126">
        <f>SUM(BF35:BF45)</f>
        <v>0</v>
      </c>
      <c r="BG34" s="126">
        <f>SUM(BG35:BG45)</f>
        <v>0</v>
      </c>
      <c r="BH34" s="126">
        <f>BI34+BJ34+BK34</f>
        <v>0</v>
      </c>
      <c r="BI34" s="126">
        <f>SUM(BI35:BI45)</f>
        <v>0</v>
      </c>
      <c r="BJ34" s="126">
        <f>SUM(BJ35:BJ45)</f>
        <v>0</v>
      </c>
      <c r="BK34" s="126">
        <f>SUM(BK35:BK45)</f>
        <v>0</v>
      </c>
      <c r="BL34" s="126">
        <f>E34+W34+X34+Y34+Z34+AA34+AB34+AC34+AQ34+AR34+AS34+AT34+AU34+AV34+AW34+AX34+AY34+AZ34+BA34+BB34+BC34+BD34+BE34+BF34+BG34+BH34</f>
        <v>0</v>
      </c>
      <c r="BM34" s="126">
        <f>AE67-BL34</f>
        <v>0</v>
      </c>
      <c r="BN34" s="126">
        <f>SUM(BN35:BN45)</f>
        <v>0</v>
      </c>
      <c r="BP34" s="123"/>
    </row>
    <row r="35" spans="1:68" ht="20.100000000000001" customHeight="1">
      <c r="A35" s="5" t="s">
        <v>224</v>
      </c>
      <c r="B35" s="72" t="s">
        <v>478</v>
      </c>
      <c r="C35" s="126" t="s">
        <v>202</v>
      </c>
      <c r="D35" s="126"/>
      <c r="E35" s="126">
        <f t="shared" si="4"/>
        <v>0</v>
      </c>
      <c r="F35" s="126">
        <f t="shared" si="21"/>
        <v>0</v>
      </c>
      <c r="G35" s="126">
        <f t="shared" si="8"/>
        <v>0</v>
      </c>
      <c r="H35" s="126">
        <f t="shared" si="12"/>
        <v>0</v>
      </c>
      <c r="I35" s="126"/>
      <c r="J35" s="126"/>
      <c r="K35" s="126"/>
      <c r="L35" s="126"/>
      <c r="M35" s="126"/>
      <c r="N35" s="126"/>
      <c r="O35" s="126"/>
      <c r="P35" s="126"/>
      <c r="Q35" s="126"/>
      <c r="R35" s="126"/>
      <c r="S35" s="126"/>
      <c r="T35" s="126"/>
      <c r="U35" s="126"/>
      <c r="V35" s="126">
        <f t="shared" si="13"/>
        <v>0</v>
      </c>
      <c r="W35" s="126"/>
      <c r="X35" s="126"/>
      <c r="Y35" s="126"/>
      <c r="Z35" s="126"/>
      <c r="AA35" s="126"/>
      <c r="AB35" s="126"/>
      <c r="AC35" s="126"/>
      <c r="AD35" s="126"/>
      <c r="AE35" s="126">
        <f>SUM(AF35:AP35)</f>
        <v>0</v>
      </c>
      <c r="AF35" s="126">
        <f>D35-BL35</f>
        <v>0</v>
      </c>
      <c r="AG35" s="126"/>
      <c r="AH35" s="126"/>
      <c r="AI35" s="126"/>
      <c r="AJ35" s="126"/>
      <c r="AK35" s="126"/>
      <c r="AL35" s="126"/>
      <c r="AM35" s="126"/>
      <c r="AN35" s="126"/>
      <c r="AO35" s="126"/>
      <c r="AP35" s="126"/>
      <c r="AQ35" s="126"/>
      <c r="AR35" s="126"/>
      <c r="AS35" s="126"/>
      <c r="AT35" s="126"/>
      <c r="AU35" s="126"/>
      <c r="AV35" s="126"/>
      <c r="AW35" s="126"/>
      <c r="AX35" s="126"/>
      <c r="AY35" s="126"/>
      <c r="AZ35" s="126"/>
      <c r="BA35" s="126"/>
      <c r="BB35" s="126"/>
      <c r="BC35" s="126"/>
      <c r="BD35" s="126"/>
      <c r="BE35" s="126"/>
      <c r="BF35" s="126"/>
      <c r="BG35" s="126"/>
      <c r="BH35" s="126">
        <f t="shared" si="22"/>
        <v>0</v>
      </c>
      <c r="BI35" s="126"/>
      <c r="BJ35" s="126"/>
      <c r="BK35" s="126"/>
      <c r="BL35" s="126">
        <f>E35+W35+X35+Y35+Z35+AA35+AB35+AC35+AD35+AG35+AH35+AI35+AJ35+AK35+AL35+AM35+AN35+AO35+AP35+AQ35+AR35+AS35+AT35+AU35+AV35+AW35+AX35+AY35+AZ35+BA35+BB35+BC35+BD35</f>
        <v>0</v>
      </c>
      <c r="BM35" s="126">
        <f>AF67-BL35</f>
        <v>0</v>
      </c>
      <c r="BN35" s="126">
        <f>D35+BM35</f>
        <v>0</v>
      </c>
      <c r="BP35" s="123"/>
    </row>
    <row r="36" spans="1:68" ht="20.100000000000001" customHeight="1">
      <c r="A36" s="5" t="s">
        <v>225</v>
      </c>
      <c r="B36" s="72" t="s">
        <v>479</v>
      </c>
      <c r="C36" s="126" t="s">
        <v>203</v>
      </c>
      <c r="D36" s="126"/>
      <c r="E36" s="126">
        <f t="shared" si="4"/>
        <v>0</v>
      </c>
      <c r="F36" s="126">
        <f t="shared" si="21"/>
        <v>0</v>
      </c>
      <c r="G36" s="126">
        <f t="shared" si="8"/>
        <v>0</v>
      </c>
      <c r="H36" s="126">
        <f t="shared" si="12"/>
        <v>0</v>
      </c>
      <c r="I36" s="126"/>
      <c r="J36" s="126"/>
      <c r="K36" s="126"/>
      <c r="L36" s="126"/>
      <c r="M36" s="126"/>
      <c r="N36" s="126"/>
      <c r="O36" s="126"/>
      <c r="P36" s="126"/>
      <c r="Q36" s="126"/>
      <c r="R36" s="126"/>
      <c r="S36" s="126"/>
      <c r="T36" s="126"/>
      <c r="U36" s="126"/>
      <c r="V36" s="126">
        <f t="shared" si="13"/>
        <v>0</v>
      </c>
      <c r="W36" s="126"/>
      <c r="X36" s="126"/>
      <c r="Y36" s="126"/>
      <c r="Z36" s="126"/>
      <c r="AA36" s="126"/>
      <c r="AB36" s="126"/>
      <c r="AC36" s="126"/>
      <c r="AD36" s="126"/>
      <c r="AE36" s="126">
        <f t="shared" ref="AE36:AE66" si="27">SUM(AF36:AP36)</f>
        <v>0</v>
      </c>
      <c r="AF36" s="126"/>
      <c r="AG36" s="126">
        <f>D36-BL36</f>
        <v>0</v>
      </c>
      <c r="AH36" s="126"/>
      <c r="AI36" s="126"/>
      <c r="AJ36" s="126"/>
      <c r="AK36" s="126"/>
      <c r="AL36" s="126"/>
      <c r="AM36" s="126"/>
      <c r="AN36" s="126"/>
      <c r="AO36" s="126"/>
      <c r="AP36" s="126"/>
      <c r="AQ36" s="126"/>
      <c r="AR36" s="126"/>
      <c r="AS36" s="126"/>
      <c r="AT36" s="126"/>
      <c r="AU36" s="126"/>
      <c r="AV36" s="126"/>
      <c r="AW36" s="126"/>
      <c r="AX36" s="126"/>
      <c r="AY36" s="126"/>
      <c r="AZ36" s="126"/>
      <c r="BA36" s="126"/>
      <c r="BB36" s="126"/>
      <c r="BC36" s="126"/>
      <c r="BD36" s="126"/>
      <c r="BE36" s="126"/>
      <c r="BF36" s="126"/>
      <c r="BG36" s="126"/>
      <c r="BH36" s="126">
        <f t="shared" si="22"/>
        <v>0</v>
      </c>
      <c r="BI36" s="126"/>
      <c r="BJ36" s="126"/>
      <c r="BK36" s="126"/>
      <c r="BL36" s="126">
        <f>E36+W36+X36+Y36+Z36+AA36+AB36+AC36+AD36+AF36+AH36+AI36+AJ36+AK36+AL36+AM36+AN36+AO36+AP36+AQ36+AR36+AS36+AT36+AU36+AV36+AW36+AX36+AY36+AZ36+BA36+BB36+BC36+BD36+BE36+BF36+BG36+BH36</f>
        <v>0</v>
      </c>
      <c r="BM36" s="126">
        <f>AG67-BL36</f>
        <v>0</v>
      </c>
      <c r="BN36" s="126">
        <f t="shared" ref="BN36:BN45" si="28">D36+BM36</f>
        <v>0</v>
      </c>
      <c r="BP36" s="123"/>
    </row>
    <row r="37" spans="1:68" ht="20.100000000000001" customHeight="1">
      <c r="A37" s="5" t="s">
        <v>226</v>
      </c>
      <c r="B37" s="72" t="s">
        <v>480</v>
      </c>
      <c r="C37" s="126" t="s">
        <v>204</v>
      </c>
      <c r="D37" s="126"/>
      <c r="E37" s="126">
        <f t="shared" si="4"/>
        <v>0</v>
      </c>
      <c r="F37" s="126">
        <f t="shared" si="21"/>
        <v>0</v>
      </c>
      <c r="G37" s="126">
        <f t="shared" si="8"/>
        <v>0</v>
      </c>
      <c r="H37" s="126">
        <f t="shared" si="12"/>
        <v>0</v>
      </c>
      <c r="I37" s="126"/>
      <c r="J37" s="126"/>
      <c r="K37" s="126"/>
      <c r="L37" s="126"/>
      <c r="M37" s="126"/>
      <c r="N37" s="126"/>
      <c r="O37" s="126"/>
      <c r="P37" s="126"/>
      <c r="Q37" s="126"/>
      <c r="R37" s="126"/>
      <c r="S37" s="126"/>
      <c r="T37" s="126"/>
      <c r="U37" s="126"/>
      <c r="V37" s="126">
        <f t="shared" si="13"/>
        <v>0</v>
      </c>
      <c r="W37" s="126"/>
      <c r="X37" s="126"/>
      <c r="Y37" s="126"/>
      <c r="Z37" s="126"/>
      <c r="AA37" s="126"/>
      <c r="AB37" s="126"/>
      <c r="AC37" s="126"/>
      <c r="AD37" s="126"/>
      <c r="AE37" s="126">
        <f t="shared" si="27"/>
        <v>0</v>
      </c>
      <c r="AF37" s="126"/>
      <c r="AG37" s="126"/>
      <c r="AH37" s="126">
        <f>D37-BL37</f>
        <v>0</v>
      </c>
      <c r="AI37" s="126"/>
      <c r="AJ37" s="126"/>
      <c r="AK37" s="126"/>
      <c r="AL37" s="126"/>
      <c r="AM37" s="126"/>
      <c r="AN37" s="126"/>
      <c r="AO37" s="126"/>
      <c r="AP37" s="126"/>
      <c r="AQ37" s="126"/>
      <c r="AR37" s="126"/>
      <c r="AS37" s="126"/>
      <c r="AT37" s="126"/>
      <c r="AU37" s="126"/>
      <c r="AV37" s="126"/>
      <c r="AW37" s="126"/>
      <c r="AX37" s="126"/>
      <c r="AY37" s="126"/>
      <c r="AZ37" s="126"/>
      <c r="BA37" s="126"/>
      <c r="BB37" s="126"/>
      <c r="BC37" s="126"/>
      <c r="BD37" s="126"/>
      <c r="BE37" s="126"/>
      <c r="BF37" s="126"/>
      <c r="BG37" s="126"/>
      <c r="BH37" s="126">
        <f t="shared" si="22"/>
        <v>0</v>
      </c>
      <c r="BI37" s="126"/>
      <c r="BJ37" s="126"/>
      <c r="BK37" s="126"/>
      <c r="BL37" s="126">
        <f>E37+W37+X37+Y37+Z37+AA37+AB37+AC37+AD37+AF37+AG37+AI37+AJ37+AK37+AL37+AM37+AN37+AO37+AP37+AQ37+AR37+AS37+AT37+AU37+AV37+AW37+AX37+AY37+AZ37+BA37+BB37+BC37+BD37+BE37+BF37+BG37+BH37</f>
        <v>0</v>
      </c>
      <c r="BM37" s="126">
        <f>AH67-BL37</f>
        <v>0</v>
      </c>
      <c r="BN37" s="126">
        <f t="shared" si="28"/>
        <v>0</v>
      </c>
      <c r="BP37" s="123"/>
    </row>
    <row r="38" spans="1:68" ht="20.100000000000001" customHeight="1">
      <c r="A38" s="5" t="s">
        <v>227</v>
      </c>
      <c r="B38" s="72" t="s">
        <v>481</v>
      </c>
      <c r="C38" s="126" t="s">
        <v>205</v>
      </c>
      <c r="D38" s="126"/>
      <c r="E38" s="126">
        <f t="shared" si="4"/>
        <v>0</v>
      </c>
      <c r="F38" s="126">
        <f t="shared" si="21"/>
        <v>0</v>
      </c>
      <c r="G38" s="126">
        <f t="shared" si="8"/>
        <v>0</v>
      </c>
      <c r="H38" s="126">
        <f t="shared" si="12"/>
        <v>0</v>
      </c>
      <c r="I38" s="126"/>
      <c r="J38" s="126"/>
      <c r="K38" s="126"/>
      <c r="L38" s="126"/>
      <c r="M38" s="126"/>
      <c r="N38" s="126"/>
      <c r="O38" s="126"/>
      <c r="P38" s="126"/>
      <c r="Q38" s="126"/>
      <c r="R38" s="126"/>
      <c r="S38" s="126"/>
      <c r="T38" s="126"/>
      <c r="U38" s="126"/>
      <c r="V38" s="126">
        <f t="shared" si="13"/>
        <v>0</v>
      </c>
      <c r="W38" s="126"/>
      <c r="X38" s="126"/>
      <c r="Y38" s="126"/>
      <c r="Z38" s="126"/>
      <c r="AA38" s="126"/>
      <c r="AB38" s="126"/>
      <c r="AC38" s="126"/>
      <c r="AD38" s="126"/>
      <c r="AE38" s="126">
        <f t="shared" si="27"/>
        <v>0</v>
      </c>
      <c r="AF38" s="126"/>
      <c r="AG38" s="126"/>
      <c r="AH38" s="126"/>
      <c r="AI38" s="126">
        <f>D38-BL38</f>
        <v>0</v>
      </c>
      <c r="AJ38" s="126"/>
      <c r="AK38" s="126"/>
      <c r="AL38" s="126"/>
      <c r="AM38" s="126"/>
      <c r="AN38" s="126"/>
      <c r="AO38" s="126"/>
      <c r="AP38" s="126"/>
      <c r="AQ38" s="126"/>
      <c r="AR38" s="126"/>
      <c r="AS38" s="126"/>
      <c r="AT38" s="126"/>
      <c r="AU38" s="126"/>
      <c r="AV38" s="126"/>
      <c r="AW38" s="126"/>
      <c r="AX38" s="126"/>
      <c r="AY38" s="126"/>
      <c r="AZ38" s="126"/>
      <c r="BA38" s="126"/>
      <c r="BB38" s="126"/>
      <c r="BC38" s="126"/>
      <c r="BD38" s="126"/>
      <c r="BE38" s="126"/>
      <c r="BF38" s="126"/>
      <c r="BG38" s="126"/>
      <c r="BH38" s="126">
        <f t="shared" si="22"/>
        <v>0</v>
      </c>
      <c r="BI38" s="126"/>
      <c r="BJ38" s="126"/>
      <c r="BK38" s="126"/>
      <c r="BL38" s="126">
        <f>E38+W38+X38+Y38+Z38+AA38+AB38+AC38+AD38+AF38+AG38+AH38+AJ38+AK38+AL38+AM38+AN38+AO38+AP38+AQ38+AR38+AS38+AT38+AU38+AV38+AW38+AX38+AY38+AZ38+BA38+BB38+BC38+BD38+BE38+BF38+BG38+BH38</f>
        <v>0</v>
      </c>
      <c r="BM38" s="126">
        <f>AI67-BL38</f>
        <v>0</v>
      </c>
      <c r="BN38" s="126">
        <f t="shared" si="28"/>
        <v>0</v>
      </c>
      <c r="BP38" s="123"/>
    </row>
    <row r="39" spans="1:68" ht="20.100000000000001" customHeight="1">
      <c r="A39" s="5" t="s">
        <v>228</v>
      </c>
      <c r="B39" s="72" t="s">
        <v>482</v>
      </c>
      <c r="C39" s="126" t="s">
        <v>206</v>
      </c>
      <c r="D39" s="126"/>
      <c r="E39" s="126">
        <f t="shared" si="4"/>
        <v>0</v>
      </c>
      <c r="F39" s="126">
        <f t="shared" si="21"/>
        <v>0</v>
      </c>
      <c r="G39" s="126">
        <f t="shared" si="8"/>
        <v>0</v>
      </c>
      <c r="H39" s="126">
        <f t="shared" si="12"/>
        <v>0</v>
      </c>
      <c r="I39" s="126"/>
      <c r="J39" s="126"/>
      <c r="K39" s="126"/>
      <c r="L39" s="126"/>
      <c r="M39" s="126"/>
      <c r="N39" s="126"/>
      <c r="O39" s="126"/>
      <c r="P39" s="126"/>
      <c r="Q39" s="126"/>
      <c r="R39" s="126"/>
      <c r="S39" s="126"/>
      <c r="T39" s="126"/>
      <c r="U39" s="126"/>
      <c r="V39" s="126">
        <f t="shared" si="13"/>
        <v>0</v>
      </c>
      <c r="W39" s="126"/>
      <c r="X39" s="126"/>
      <c r="Y39" s="126"/>
      <c r="Z39" s="126"/>
      <c r="AA39" s="126"/>
      <c r="AB39" s="126"/>
      <c r="AC39" s="126"/>
      <c r="AD39" s="126"/>
      <c r="AE39" s="126">
        <f t="shared" si="27"/>
        <v>0</v>
      </c>
      <c r="AF39" s="126"/>
      <c r="AG39" s="126"/>
      <c r="AH39" s="126"/>
      <c r="AI39" s="126"/>
      <c r="AJ39" s="126">
        <f>D39-BL39</f>
        <v>0</v>
      </c>
      <c r="AK39" s="126"/>
      <c r="AL39" s="126"/>
      <c r="AM39" s="126"/>
      <c r="AN39" s="126"/>
      <c r="AO39" s="126"/>
      <c r="AP39" s="126"/>
      <c r="AQ39" s="126"/>
      <c r="AR39" s="126"/>
      <c r="AS39" s="126"/>
      <c r="AT39" s="126"/>
      <c r="AU39" s="126"/>
      <c r="AV39" s="126"/>
      <c r="AW39" s="126"/>
      <c r="AX39" s="126"/>
      <c r="AY39" s="126"/>
      <c r="AZ39" s="126"/>
      <c r="BA39" s="126"/>
      <c r="BB39" s="126"/>
      <c r="BC39" s="126"/>
      <c r="BD39" s="126"/>
      <c r="BE39" s="126"/>
      <c r="BF39" s="126"/>
      <c r="BG39" s="126"/>
      <c r="BH39" s="126">
        <f t="shared" si="22"/>
        <v>0</v>
      </c>
      <c r="BI39" s="126"/>
      <c r="BJ39" s="126"/>
      <c r="BK39" s="126"/>
      <c r="BL39" s="126">
        <f>E39+W39+X39+Y39+Z39+AA39+AB39+AC39+AD39+AQ39+AR39+AS39+AT39+AU39+AV39+AW39+AX39+AY39+AZ39+BA39+BB39+BC39+BD39+BE39+BF39+BG39+BH39+AF39+AG39+AH39+AI39+AK39+AL39+AM39+AN39+AO39+AP39</f>
        <v>0</v>
      </c>
      <c r="BM39" s="126">
        <f>AJ67-BL39</f>
        <v>0</v>
      </c>
      <c r="BN39" s="126">
        <f t="shared" si="28"/>
        <v>0</v>
      </c>
      <c r="BP39" s="123"/>
    </row>
    <row r="40" spans="1:68" ht="20.100000000000001" customHeight="1">
      <c r="A40" s="5" t="s">
        <v>229</v>
      </c>
      <c r="B40" s="72" t="s">
        <v>483</v>
      </c>
      <c r="C40" s="126" t="s">
        <v>207</v>
      </c>
      <c r="D40" s="126"/>
      <c r="E40" s="126">
        <f t="shared" si="4"/>
        <v>0</v>
      </c>
      <c r="F40" s="126">
        <f t="shared" si="21"/>
        <v>0</v>
      </c>
      <c r="G40" s="126">
        <f t="shared" si="8"/>
        <v>0</v>
      </c>
      <c r="H40" s="126">
        <f t="shared" si="12"/>
        <v>0</v>
      </c>
      <c r="I40" s="126"/>
      <c r="J40" s="126"/>
      <c r="K40" s="126"/>
      <c r="L40" s="126"/>
      <c r="M40" s="126"/>
      <c r="N40" s="126"/>
      <c r="O40" s="126"/>
      <c r="P40" s="126"/>
      <c r="Q40" s="126"/>
      <c r="R40" s="126"/>
      <c r="S40" s="126"/>
      <c r="T40" s="126"/>
      <c r="U40" s="126"/>
      <c r="V40" s="126">
        <f t="shared" si="13"/>
        <v>0</v>
      </c>
      <c r="W40" s="126"/>
      <c r="X40" s="126"/>
      <c r="Y40" s="126"/>
      <c r="Z40" s="126"/>
      <c r="AA40" s="126"/>
      <c r="AB40" s="126"/>
      <c r="AC40" s="126"/>
      <c r="AD40" s="126"/>
      <c r="AE40" s="126">
        <f t="shared" si="27"/>
        <v>0</v>
      </c>
      <c r="AF40" s="126"/>
      <c r="AG40" s="126"/>
      <c r="AH40" s="126"/>
      <c r="AI40" s="126"/>
      <c r="AJ40" s="126"/>
      <c r="AK40" s="126">
        <f>D40-BL40</f>
        <v>0</v>
      </c>
      <c r="AL40" s="126"/>
      <c r="AM40" s="126"/>
      <c r="AN40" s="126"/>
      <c r="AO40" s="126"/>
      <c r="AP40" s="126"/>
      <c r="AQ40" s="126"/>
      <c r="AR40" s="126"/>
      <c r="AS40" s="126"/>
      <c r="AT40" s="126"/>
      <c r="AU40" s="126"/>
      <c r="AV40" s="126"/>
      <c r="AW40" s="126"/>
      <c r="AX40" s="126"/>
      <c r="AY40" s="126"/>
      <c r="AZ40" s="126"/>
      <c r="BA40" s="126"/>
      <c r="BB40" s="126"/>
      <c r="BC40" s="126"/>
      <c r="BD40" s="126"/>
      <c r="BE40" s="126"/>
      <c r="BF40" s="126"/>
      <c r="BG40" s="126"/>
      <c r="BH40" s="126">
        <f t="shared" si="22"/>
        <v>0</v>
      </c>
      <c r="BI40" s="126"/>
      <c r="BJ40" s="126"/>
      <c r="BK40" s="126"/>
      <c r="BL40" s="126">
        <f>E40+W40+X40+Y40+Z40+AA40+AB40+AC40+AD40+AF40+AG40+AH40+AI40+AJ40+AL40+AM40+AN40+AO40+AP40+AQ40+AR40+AS40+AT40+AU40+AV40+AW40+AX40+AY40+AZ40+BA40+BB40+BC40+BD40+BE40+BF40+BG40+BH40</f>
        <v>0</v>
      </c>
      <c r="BM40" s="126">
        <f>AK67-BL40</f>
        <v>0</v>
      </c>
      <c r="BN40" s="126">
        <f t="shared" si="28"/>
        <v>0</v>
      </c>
      <c r="BP40" s="123"/>
    </row>
    <row r="41" spans="1:68" ht="20.100000000000001" customHeight="1">
      <c r="A41" s="5" t="s">
        <v>230</v>
      </c>
      <c r="B41" s="72" t="s">
        <v>484</v>
      </c>
      <c r="C41" s="126" t="s">
        <v>199</v>
      </c>
      <c r="D41" s="126"/>
      <c r="E41" s="126">
        <f t="shared" si="4"/>
        <v>0</v>
      </c>
      <c r="F41" s="126">
        <f t="shared" si="21"/>
        <v>0</v>
      </c>
      <c r="G41" s="126">
        <f t="shared" si="8"/>
        <v>0</v>
      </c>
      <c r="H41" s="126">
        <f t="shared" si="12"/>
        <v>0</v>
      </c>
      <c r="I41" s="126"/>
      <c r="J41" s="126"/>
      <c r="K41" s="126"/>
      <c r="L41" s="126"/>
      <c r="M41" s="126"/>
      <c r="N41" s="126"/>
      <c r="O41" s="126"/>
      <c r="P41" s="126"/>
      <c r="Q41" s="126"/>
      <c r="R41" s="126"/>
      <c r="S41" s="126"/>
      <c r="T41" s="126"/>
      <c r="U41" s="126"/>
      <c r="V41" s="126">
        <f t="shared" si="13"/>
        <v>0</v>
      </c>
      <c r="W41" s="126"/>
      <c r="X41" s="126"/>
      <c r="Y41" s="126"/>
      <c r="Z41" s="126"/>
      <c r="AA41" s="126"/>
      <c r="AB41" s="126"/>
      <c r="AC41" s="126"/>
      <c r="AD41" s="126"/>
      <c r="AE41" s="126">
        <f t="shared" si="27"/>
        <v>0</v>
      </c>
      <c r="AF41" s="126"/>
      <c r="AG41" s="126"/>
      <c r="AH41" s="126"/>
      <c r="AI41" s="126"/>
      <c r="AJ41" s="126"/>
      <c r="AK41" s="126"/>
      <c r="AL41" s="126">
        <f>D41-BL41</f>
        <v>0</v>
      </c>
      <c r="AM41" s="126"/>
      <c r="AN41" s="126"/>
      <c r="AO41" s="126"/>
      <c r="AP41" s="126"/>
      <c r="AQ41" s="126"/>
      <c r="AR41" s="126"/>
      <c r="AS41" s="126"/>
      <c r="AT41" s="126"/>
      <c r="AU41" s="126"/>
      <c r="AV41" s="126"/>
      <c r="AW41" s="126"/>
      <c r="AX41" s="126"/>
      <c r="AY41" s="126"/>
      <c r="AZ41" s="126"/>
      <c r="BA41" s="126"/>
      <c r="BB41" s="126"/>
      <c r="BC41" s="126"/>
      <c r="BD41" s="126"/>
      <c r="BE41" s="126"/>
      <c r="BF41" s="126"/>
      <c r="BG41" s="126"/>
      <c r="BH41" s="126">
        <f t="shared" si="22"/>
        <v>0</v>
      </c>
      <c r="BI41" s="126"/>
      <c r="BJ41" s="126"/>
      <c r="BK41" s="126"/>
      <c r="BL41" s="126">
        <f>E41+W41+X41+Y41+Z41+AA41+AB41+AC41+AD41+AF41+AG41+AH41+AI41+AJ41+AK41+AM41+AN41+AO41+AP41+AQ41+AR41+AS41+AT41+AU41+AV41+AW41+AX41+AY41+AZ41+BA41+BB41+BC41+BD41+BE41+BF41+BG41+BH41</f>
        <v>0</v>
      </c>
      <c r="BM41" s="126">
        <f>AL67-BL41</f>
        <v>0</v>
      </c>
      <c r="BN41" s="126">
        <f t="shared" si="28"/>
        <v>0</v>
      </c>
      <c r="BP41" s="123"/>
    </row>
    <row r="42" spans="1:68" ht="20.100000000000001" customHeight="1">
      <c r="A42" s="5" t="s">
        <v>231</v>
      </c>
      <c r="B42" s="72" t="s">
        <v>485</v>
      </c>
      <c r="C42" s="126" t="s">
        <v>200</v>
      </c>
      <c r="D42" s="126"/>
      <c r="E42" s="126">
        <f t="shared" si="4"/>
        <v>0</v>
      </c>
      <c r="F42" s="126">
        <f t="shared" si="21"/>
        <v>0</v>
      </c>
      <c r="G42" s="126">
        <f t="shared" si="8"/>
        <v>0</v>
      </c>
      <c r="H42" s="126">
        <f t="shared" si="12"/>
        <v>0</v>
      </c>
      <c r="I42" s="126"/>
      <c r="J42" s="126"/>
      <c r="K42" s="126"/>
      <c r="L42" s="126"/>
      <c r="M42" s="126"/>
      <c r="N42" s="126"/>
      <c r="O42" s="126"/>
      <c r="P42" s="126"/>
      <c r="Q42" s="126"/>
      <c r="R42" s="126"/>
      <c r="S42" s="126"/>
      <c r="T42" s="126"/>
      <c r="U42" s="126"/>
      <c r="V42" s="126">
        <f t="shared" si="13"/>
        <v>0</v>
      </c>
      <c r="W42" s="126"/>
      <c r="X42" s="126"/>
      <c r="Y42" s="126"/>
      <c r="Z42" s="126"/>
      <c r="AA42" s="126"/>
      <c r="AB42" s="126"/>
      <c r="AC42" s="126"/>
      <c r="AD42" s="126"/>
      <c r="AE42" s="126">
        <f t="shared" si="27"/>
        <v>0</v>
      </c>
      <c r="AF42" s="126"/>
      <c r="AG42" s="126"/>
      <c r="AH42" s="126"/>
      <c r="AI42" s="126"/>
      <c r="AJ42" s="126"/>
      <c r="AK42" s="126"/>
      <c r="AL42" s="126"/>
      <c r="AM42" s="126">
        <f>D42-BL42</f>
        <v>0</v>
      </c>
      <c r="AN42" s="126"/>
      <c r="AO42" s="126"/>
      <c r="AP42" s="126"/>
      <c r="AQ42" s="126"/>
      <c r="AR42" s="126"/>
      <c r="AS42" s="126"/>
      <c r="AT42" s="126"/>
      <c r="AU42" s="126"/>
      <c r="AV42" s="126"/>
      <c r="AW42" s="126"/>
      <c r="AX42" s="126"/>
      <c r="AY42" s="126"/>
      <c r="AZ42" s="126"/>
      <c r="BA42" s="126"/>
      <c r="BB42" s="126"/>
      <c r="BC42" s="126"/>
      <c r="BD42" s="126"/>
      <c r="BE42" s="126"/>
      <c r="BF42" s="126"/>
      <c r="BG42" s="126"/>
      <c r="BH42" s="126">
        <f t="shared" si="22"/>
        <v>0</v>
      </c>
      <c r="BI42" s="126"/>
      <c r="BJ42" s="126"/>
      <c r="BK42" s="126"/>
      <c r="BL42" s="126">
        <f>E42+W42+X42+Y42+Z42+AA42+AB42+AC42+AD42+AF42+AG42+AH42+AI42+AJ42+AK42+AL42+AN42+AO42+AP42+AQ42+AR42+AS42+AT42+AU42+AV42+AW42+AX42+AY42+AZ42+BA42+BB42+BC42+BD42+BE42+BF42+BG42+BH42</f>
        <v>0</v>
      </c>
      <c r="BM42" s="126">
        <f>AM67-BL42</f>
        <v>0</v>
      </c>
      <c r="BN42" s="126">
        <f t="shared" si="28"/>
        <v>0</v>
      </c>
      <c r="BP42" s="123"/>
    </row>
    <row r="43" spans="1:68" ht="20.100000000000001" customHeight="1">
      <c r="A43" s="5" t="s">
        <v>232</v>
      </c>
      <c r="B43" s="72" t="s">
        <v>486</v>
      </c>
      <c r="C43" s="126" t="s">
        <v>223</v>
      </c>
      <c r="D43" s="126"/>
      <c r="E43" s="126">
        <f t="shared" si="4"/>
        <v>0</v>
      </c>
      <c r="F43" s="126">
        <f t="shared" si="21"/>
        <v>0</v>
      </c>
      <c r="G43" s="126">
        <f t="shared" si="8"/>
        <v>0</v>
      </c>
      <c r="H43" s="126">
        <f t="shared" si="12"/>
        <v>0</v>
      </c>
      <c r="I43" s="126"/>
      <c r="J43" s="126"/>
      <c r="K43" s="126"/>
      <c r="L43" s="126"/>
      <c r="M43" s="126"/>
      <c r="N43" s="126"/>
      <c r="O43" s="126"/>
      <c r="P43" s="126"/>
      <c r="Q43" s="126"/>
      <c r="R43" s="126"/>
      <c r="S43" s="126"/>
      <c r="T43" s="126"/>
      <c r="U43" s="126"/>
      <c r="V43" s="126">
        <f t="shared" si="13"/>
        <v>0</v>
      </c>
      <c r="W43" s="126"/>
      <c r="X43" s="126"/>
      <c r="Y43" s="126"/>
      <c r="Z43" s="126"/>
      <c r="AA43" s="126"/>
      <c r="AB43" s="126"/>
      <c r="AC43" s="126"/>
      <c r="AD43" s="126"/>
      <c r="AE43" s="126">
        <f t="shared" si="27"/>
        <v>0</v>
      </c>
      <c r="AF43" s="126"/>
      <c r="AG43" s="126"/>
      <c r="AH43" s="126"/>
      <c r="AI43" s="126"/>
      <c r="AJ43" s="126"/>
      <c r="AK43" s="126"/>
      <c r="AL43" s="126"/>
      <c r="AM43" s="126"/>
      <c r="AN43" s="126">
        <f>D43-BL43</f>
        <v>0</v>
      </c>
      <c r="AO43" s="126"/>
      <c r="AP43" s="126"/>
      <c r="AQ43" s="126"/>
      <c r="AR43" s="126"/>
      <c r="AS43" s="126"/>
      <c r="AT43" s="126"/>
      <c r="AU43" s="126"/>
      <c r="AV43" s="126"/>
      <c r="AW43" s="126"/>
      <c r="AX43" s="126"/>
      <c r="AY43" s="126"/>
      <c r="AZ43" s="126"/>
      <c r="BA43" s="126"/>
      <c r="BB43" s="126"/>
      <c r="BC43" s="126"/>
      <c r="BD43" s="126"/>
      <c r="BE43" s="126"/>
      <c r="BF43" s="126"/>
      <c r="BG43" s="126"/>
      <c r="BH43" s="126">
        <f t="shared" si="22"/>
        <v>0</v>
      </c>
      <c r="BI43" s="126"/>
      <c r="BJ43" s="126"/>
      <c r="BK43" s="126"/>
      <c r="BL43" s="126">
        <f>E43+W43+X43+Y43+Z43+AA43+AB43+AC43+AD43+AF43+AG43+AH43+AI43+AJ43+AK43+AL43+AM43+AO43+AP43+AQ43+AR43+AS43+AT43+AU43+AV43+AW43+AX43+AY43+AZ43+BA43+BB43+BC43+BD43+BE43+BF43+BG43+BH43</f>
        <v>0</v>
      </c>
      <c r="BM43" s="126">
        <f>AN67-BL43</f>
        <v>0</v>
      </c>
      <c r="BN43" s="126">
        <f t="shared" si="28"/>
        <v>0</v>
      </c>
      <c r="BP43" s="123"/>
    </row>
    <row r="44" spans="1:68" ht="20.100000000000001" customHeight="1">
      <c r="A44" s="5" t="s">
        <v>233</v>
      </c>
      <c r="B44" s="72" t="s">
        <v>487</v>
      </c>
      <c r="C44" s="126" t="s">
        <v>201</v>
      </c>
      <c r="D44" s="126"/>
      <c r="E44" s="126">
        <f t="shared" si="4"/>
        <v>0</v>
      </c>
      <c r="F44" s="126">
        <f t="shared" si="21"/>
        <v>0</v>
      </c>
      <c r="G44" s="126">
        <f t="shared" si="8"/>
        <v>0</v>
      </c>
      <c r="H44" s="126">
        <f t="shared" si="12"/>
        <v>0</v>
      </c>
      <c r="I44" s="126"/>
      <c r="J44" s="126"/>
      <c r="K44" s="126"/>
      <c r="L44" s="126"/>
      <c r="M44" s="126"/>
      <c r="N44" s="126"/>
      <c r="O44" s="126"/>
      <c r="P44" s="126"/>
      <c r="Q44" s="126"/>
      <c r="R44" s="126"/>
      <c r="S44" s="126"/>
      <c r="T44" s="126"/>
      <c r="U44" s="126"/>
      <c r="V44" s="126">
        <f t="shared" si="13"/>
        <v>0</v>
      </c>
      <c r="W44" s="126"/>
      <c r="X44" s="126"/>
      <c r="Y44" s="126"/>
      <c r="Z44" s="126"/>
      <c r="AA44" s="126"/>
      <c r="AB44" s="126"/>
      <c r="AC44" s="126"/>
      <c r="AD44" s="126"/>
      <c r="AE44" s="126">
        <f t="shared" si="27"/>
        <v>0</v>
      </c>
      <c r="AF44" s="126"/>
      <c r="AG44" s="126"/>
      <c r="AH44" s="126"/>
      <c r="AI44" s="126"/>
      <c r="AJ44" s="126"/>
      <c r="AK44" s="126"/>
      <c r="AL44" s="126"/>
      <c r="AM44" s="126"/>
      <c r="AN44" s="126"/>
      <c r="AO44" s="126">
        <f>D44-BL44</f>
        <v>0</v>
      </c>
      <c r="AP44" s="126"/>
      <c r="AQ44" s="126"/>
      <c r="AR44" s="126"/>
      <c r="AS44" s="126"/>
      <c r="AT44" s="126"/>
      <c r="AU44" s="126"/>
      <c r="AV44" s="126"/>
      <c r="AW44" s="126"/>
      <c r="AX44" s="126"/>
      <c r="AY44" s="126"/>
      <c r="AZ44" s="126"/>
      <c r="BA44" s="126"/>
      <c r="BB44" s="126"/>
      <c r="BC44" s="126"/>
      <c r="BD44" s="126"/>
      <c r="BE44" s="126"/>
      <c r="BF44" s="126"/>
      <c r="BG44" s="126"/>
      <c r="BH44" s="126">
        <f t="shared" si="22"/>
        <v>0</v>
      </c>
      <c r="BI44" s="126"/>
      <c r="BJ44" s="126"/>
      <c r="BK44" s="126"/>
      <c r="BL44" s="126">
        <f>E44+W44+X44+Y44+Z44+AA44+AB44+AC44+AD44+AF44+AG44+AH44+AI44+AJ44+AK44+AL44+AM44+AN44+AP44+AQ44+AR44+AS44+AT44+AU44+AV44+AW44+AX44+AY44+AZ44+BA44+BB44+BC44+BD44+BE44+BF44+BG44+BH44</f>
        <v>0</v>
      </c>
      <c r="BM44" s="126">
        <f>AO67-BL44</f>
        <v>0</v>
      </c>
      <c r="BN44" s="126">
        <f t="shared" si="28"/>
        <v>0</v>
      </c>
      <c r="BP44" s="123"/>
    </row>
    <row r="45" spans="1:68" ht="20.100000000000001" customHeight="1">
      <c r="A45" s="5" t="s">
        <v>234</v>
      </c>
      <c r="B45" s="72" t="s">
        <v>488</v>
      </c>
      <c r="C45" s="126" t="s">
        <v>208</v>
      </c>
      <c r="D45" s="126"/>
      <c r="E45" s="126">
        <f t="shared" si="4"/>
        <v>0</v>
      </c>
      <c r="F45" s="126">
        <f t="shared" si="21"/>
        <v>0</v>
      </c>
      <c r="G45" s="126">
        <f t="shared" si="8"/>
        <v>0</v>
      </c>
      <c r="H45" s="126">
        <f t="shared" si="12"/>
        <v>0</v>
      </c>
      <c r="I45" s="126"/>
      <c r="J45" s="126"/>
      <c r="K45" s="126"/>
      <c r="L45" s="126"/>
      <c r="M45" s="126"/>
      <c r="N45" s="126"/>
      <c r="O45" s="126"/>
      <c r="P45" s="126"/>
      <c r="Q45" s="126"/>
      <c r="R45" s="126"/>
      <c r="S45" s="126"/>
      <c r="T45" s="126"/>
      <c r="U45" s="126"/>
      <c r="V45" s="126">
        <f t="shared" si="13"/>
        <v>0</v>
      </c>
      <c r="W45" s="126"/>
      <c r="X45" s="126"/>
      <c r="Y45" s="126"/>
      <c r="Z45" s="126"/>
      <c r="AA45" s="126"/>
      <c r="AB45" s="126"/>
      <c r="AC45" s="126"/>
      <c r="AD45" s="126"/>
      <c r="AE45" s="126">
        <f t="shared" si="27"/>
        <v>0</v>
      </c>
      <c r="AF45" s="126"/>
      <c r="AG45" s="126"/>
      <c r="AH45" s="126"/>
      <c r="AI45" s="126"/>
      <c r="AJ45" s="126"/>
      <c r="AK45" s="126"/>
      <c r="AL45" s="126"/>
      <c r="AM45" s="126"/>
      <c r="AN45" s="126"/>
      <c r="AO45" s="126"/>
      <c r="AP45" s="126">
        <f>D45-BL45</f>
        <v>0</v>
      </c>
      <c r="AQ45" s="126"/>
      <c r="AR45" s="126"/>
      <c r="AS45" s="126"/>
      <c r="AT45" s="126"/>
      <c r="AU45" s="126"/>
      <c r="AV45" s="126"/>
      <c r="AW45" s="126"/>
      <c r="AX45" s="126"/>
      <c r="AY45" s="126"/>
      <c r="AZ45" s="126"/>
      <c r="BA45" s="126"/>
      <c r="BB45" s="126"/>
      <c r="BC45" s="126"/>
      <c r="BD45" s="126"/>
      <c r="BE45" s="126"/>
      <c r="BF45" s="126"/>
      <c r="BG45" s="126"/>
      <c r="BH45" s="126">
        <f t="shared" si="22"/>
        <v>0</v>
      </c>
      <c r="BI45" s="126"/>
      <c r="BJ45" s="126"/>
      <c r="BK45" s="126"/>
      <c r="BL45" s="126">
        <f>E45+W45+X45+Y45+Z45+AA45+AB45+AC45+AD45+AF45+AG45+AH45+AI45+AJ45+AK45+AL45+AM45+AN45+AO45+AQ45+AR45+AS45+AT45+AU45+AV45+AW45+AX45+AY45+AZ45+BA45+BB45+BC45+BD45+BE45+BF45+BG45+BH45</f>
        <v>0</v>
      </c>
      <c r="BM45" s="126">
        <f>AP67-BL45</f>
        <v>0</v>
      </c>
      <c r="BN45" s="126">
        <f t="shared" si="28"/>
        <v>0</v>
      </c>
      <c r="BP45" s="123"/>
    </row>
    <row r="46" spans="1:68" ht="20.100000000000001" customHeight="1">
      <c r="A46" s="20" t="s">
        <v>73</v>
      </c>
      <c r="B46" s="110" t="s">
        <v>74</v>
      </c>
      <c r="C46" s="126" t="s">
        <v>75</v>
      </c>
      <c r="D46" s="126"/>
      <c r="E46" s="126">
        <f t="shared" si="4"/>
        <v>0</v>
      </c>
      <c r="F46" s="126">
        <f t="shared" si="21"/>
        <v>0</v>
      </c>
      <c r="G46" s="126">
        <f t="shared" si="8"/>
        <v>0</v>
      </c>
      <c r="H46" s="126">
        <f t="shared" si="12"/>
        <v>0</v>
      </c>
      <c r="I46" s="126"/>
      <c r="J46" s="126"/>
      <c r="K46" s="126"/>
      <c r="L46" s="126"/>
      <c r="M46" s="126"/>
      <c r="N46" s="126"/>
      <c r="O46" s="126"/>
      <c r="P46" s="126"/>
      <c r="Q46" s="126"/>
      <c r="R46" s="126"/>
      <c r="S46" s="126"/>
      <c r="T46" s="126"/>
      <c r="U46" s="126"/>
      <c r="V46" s="126">
        <f t="shared" si="13"/>
        <v>0</v>
      </c>
      <c r="W46" s="126"/>
      <c r="X46" s="126"/>
      <c r="Y46" s="126"/>
      <c r="Z46" s="126"/>
      <c r="AA46" s="126"/>
      <c r="AB46" s="126"/>
      <c r="AC46" s="126"/>
      <c r="AD46" s="126"/>
      <c r="AE46" s="126">
        <f t="shared" si="27"/>
        <v>0</v>
      </c>
      <c r="AF46" s="126"/>
      <c r="AG46" s="126"/>
      <c r="AH46" s="126"/>
      <c r="AI46" s="126"/>
      <c r="AJ46" s="126"/>
      <c r="AK46" s="126"/>
      <c r="AL46" s="126"/>
      <c r="AM46" s="126"/>
      <c r="AN46" s="126"/>
      <c r="AO46" s="126"/>
      <c r="AP46" s="126"/>
      <c r="AQ46" s="126">
        <f>D46-BL46</f>
        <v>0</v>
      </c>
      <c r="AR46" s="126"/>
      <c r="AS46" s="126"/>
      <c r="AT46" s="126"/>
      <c r="AU46" s="126"/>
      <c r="AV46" s="126"/>
      <c r="AW46" s="126"/>
      <c r="AX46" s="126"/>
      <c r="AY46" s="126"/>
      <c r="AZ46" s="126"/>
      <c r="BA46" s="126"/>
      <c r="BB46" s="126"/>
      <c r="BC46" s="126"/>
      <c r="BD46" s="126"/>
      <c r="BE46" s="126"/>
      <c r="BF46" s="126"/>
      <c r="BG46" s="126"/>
      <c r="BH46" s="126">
        <f t="shared" si="22"/>
        <v>0</v>
      </c>
      <c r="BI46" s="126"/>
      <c r="BJ46" s="126"/>
      <c r="BK46" s="126"/>
      <c r="BL46" s="126">
        <f>E46+W46+X46+Y46+Z46+AA46+AB46+AC46+AD46+AE46+AR46+AS46+AT46+AU46+AV46+AW46+AX46+AY46+AZ46+BA46+BB46+BC46+BD46+BE46+BF46+BG46+BH46</f>
        <v>0</v>
      </c>
      <c r="BM46" s="126">
        <f>AQ67-BL46</f>
        <v>0</v>
      </c>
      <c r="BN46" s="126">
        <f>D46+BM46</f>
        <v>0</v>
      </c>
      <c r="BP46" s="123"/>
    </row>
    <row r="47" spans="1:68" ht="20.100000000000001" customHeight="1">
      <c r="A47" s="20" t="s">
        <v>76</v>
      </c>
      <c r="B47" s="110" t="s">
        <v>77</v>
      </c>
      <c r="C47" s="126" t="s">
        <v>78</v>
      </c>
      <c r="D47" s="126"/>
      <c r="E47" s="126">
        <f t="shared" si="4"/>
        <v>0</v>
      </c>
      <c r="F47" s="126">
        <f t="shared" si="21"/>
        <v>0</v>
      </c>
      <c r="G47" s="126">
        <f t="shared" si="8"/>
        <v>0</v>
      </c>
      <c r="H47" s="126">
        <f t="shared" si="12"/>
        <v>0</v>
      </c>
      <c r="I47" s="126"/>
      <c r="J47" s="126"/>
      <c r="K47" s="126"/>
      <c r="L47" s="126"/>
      <c r="M47" s="126"/>
      <c r="N47" s="126"/>
      <c r="O47" s="126"/>
      <c r="P47" s="126"/>
      <c r="Q47" s="126"/>
      <c r="R47" s="126"/>
      <c r="S47" s="126"/>
      <c r="T47" s="126"/>
      <c r="U47" s="126"/>
      <c r="V47" s="126">
        <f t="shared" si="13"/>
        <v>0</v>
      </c>
      <c r="W47" s="126"/>
      <c r="X47" s="126"/>
      <c r="Y47" s="126"/>
      <c r="Z47" s="126"/>
      <c r="AA47" s="126"/>
      <c r="AB47" s="126"/>
      <c r="AC47" s="126"/>
      <c r="AD47" s="126"/>
      <c r="AE47" s="126">
        <f t="shared" si="27"/>
        <v>0</v>
      </c>
      <c r="AF47" s="126"/>
      <c r="AG47" s="126"/>
      <c r="AH47" s="126"/>
      <c r="AI47" s="126"/>
      <c r="AJ47" s="126"/>
      <c r="AK47" s="126"/>
      <c r="AL47" s="126"/>
      <c r="AM47" s="126"/>
      <c r="AN47" s="126"/>
      <c r="AO47" s="126"/>
      <c r="AP47" s="126"/>
      <c r="AQ47" s="126"/>
      <c r="AR47" s="126">
        <f>D47-BL47</f>
        <v>0</v>
      </c>
      <c r="AS47" s="126"/>
      <c r="AT47" s="126"/>
      <c r="AU47" s="126"/>
      <c r="AV47" s="126"/>
      <c r="AW47" s="126"/>
      <c r="AX47" s="126"/>
      <c r="AY47" s="126"/>
      <c r="AZ47" s="126"/>
      <c r="BA47" s="126"/>
      <c r="BB47" s="126"/>
      <c r="BC47" s="126"/>
      <c r="BD47" s="126"/>
      <c r="BE47" s="126"/>
      <c r="BF47" s="126"/>
      <c r="BG47" s="126"/>
      <c r="BH47" s="126">
        <f t="shared" si="22"/>
        <v>0</v>
      </c>
      <c r="BI47" s="126"/>
      <c r="BJ47" s="126"/>
      <c r="BK47" s="126"/>
      <c r="BL47" s="126">
        <f>E47+W47+X47+Y47+Z47+AA47+AB47+AC47+AD47+AE47+AQ47+AS47+AT47+AU47+AV47+AW47+AX47+AY47+AZ47+BA47+BB47+BC47+BD47+BE47+BF47+BG47+BH47</f>
        <v>0</v>
      </c>
      <c r="BM47" s="126">
        <f>AR67-BL47</f>
        <v>0</v>
      </c>
      <c r="BN47" s="126">
        <f t="shared" ref="BN47:BN62" si="29">D47+BM47</f>
        <v>0</v>
      </c>
      <c r="BP47" s="123"/>
    </row>
    <row r="48" spans="1:68" ht="20.100000000000001" customHeight="1">
      <c r="A48" s="20" t="s">
        <v>79</v>
      </c>
      <c r="B48" s="110" t="s">
        <v>80</v>
      </c>
      <c r="C48" s="126" t="s">
        <v>81</v>
      </c>
      <c r="D48" s="126"/>
      <c r="E48" s="126">
        <f t="shared" si="4"/>
        <v>0</v>
      </c>
      <c r="F48" s="126">
        <f t="shared" si="21"/>
        <v>0</v>
      </c>
      <c r="G48" s="126">
        <f t="shared" si="8"/>
        <v>0</v>
      </c>
      <c r="H48" s="126">
        <f t="shared" si="12"/>
        <v>0</v>
      </c>
      <c r="I48" s="126"/>
      <c r="J48" s="126"/>
      <c r="K48" s="126"/>
      <c r="L48" s="126"/>
      <c r="M48" s="126"/>
      <c r="N48" s="126"/>
      <c r="O48" s="126"/>
      <c r="P48" s="126"/>
      <c r="Q48" s="126"/>
      <c r="R48" s="126"/>
      <c r="S48" s="126"/>
      <c r="T48" s="126"/>
      <c r="U48" s="126"/>
      <c r="V48" s="126">
        <f t="shared" si="13"/>
        <v>0</v>
      </c>
      <c r="W48" s="126"/>
      <c r="X48" s="126"/>
      <c r="Y48" s="126"/>
      <c r="Z48" s="126"/>
      <c r="AA48" s="126"/>
      <c r="AB48" s="126"/>
      <c r="AC48" s="126"/>
      <c r="AD48" s="126"/>
      <c r="AE48" s="126">
        <f t="shared" si="27"/>
        <v>0</v>
      </c>
      <c r="AF48" s="126"/>
      <c r="AG48" s="126"/>
      <c r="AH48" s="126"/>
      <c r="AI48" s="126"/>
      <c r="AJ48" s="126"/>
      <c r="AK48" s="126"/>
      <c r="AL48" s="126"/>
      <c r="AM48" s="126"/>
      <c r="AN48" s="126"/>
      <c r="AO48" s="126"/>
      <c r="AP48" s="126"/>
      <c r="AQ48" s="126"/>
      <c r="AR48" s="126"/>
      <c r="AS48" s="126">
        <f>D48-BL48</f>
        <v>0</v>
      </c>
      <c r="AT48" s="126"/>
      <c r="AU48" s="126"/>
      <c r="AV48" s="126"/>
      <c r="AW48" s="126"/>
      <c r="AX48" s="126"/>
      <c r="AY48" s="126"/>
      <c r="AZ48" s="126"/>
      <c r="BA48" s="126"/>
      <c r="BB48" s="126"/>
      <c r="BC48" s="126"/>
      <c r="BD48" s="126"/>
      <c r="BE48" s="126"/>
      <c r="BF48" s="126"/>
      <c r="BG48" s="126"/>
      <c r="BH48" s="126">
        <f t="shared" si="22"/>
        <v>0</v>
      </c>
      <c r="BI48" s="126"/>
      <c r="BJ48" s="126"/>
      <c r="BK48" s="126"/>
      <c r="BL48" s="126">
        <f>E48+W48+X48+Y48+Z48+AA48+AB48+AC48+AD48+AQ48+AR48+AT48+AU48+AV48+AW48+AX48+AY48+AZ48+BA48+BB48+BC48+BD48+BE48+BF48+BG48+BH48</f>
        <v>0</v>
      </c>
      <c r="BM48" s="126">
        <f>AS67-BL48</f>
        <v>0</v>
      </c>
      <c r="BN48" s="126">
        <f t="shared" si="29"/>
        <v>0</v>
      </c>
      <c r="BP48" s="123"/>
    </row>
    <row r="49" spans="1:68" ht="20.100000000000001" customHeight="1">
      <c r="A49" s="20" t="s">
        <v>82</v>
      </c>
      <c r="B49" s="110" t="s">
        <v>83</v>
      </c>
      <c r="C49" s="126" t="s">
        <v>84</v>
      </c>
      <c r="D49" s="126"/>
      <c r="E49" s="126">
        <f t="shared" si="4"/>
        <v>0</v>
      </c>
      <c r="F49" s="126">
        <f t="shared" si="21"/>
        <v>0</v>
      </c>
      <c r="G49" s="126">
        <f t="shared" si="8"/>
        <v>0</v>
      </c>
      <c r="H49" s="126">
        <f t="shared" si="12"/>
        <v>0</v>
      </c>
      <c r="I49" s="126"/>
      <c r="J49" s="126"/>
      <c r="K49" s="126"/>
      <c r="L49" s="126"/>
      <c r="M49" s="126"/>
      <c r="N49" s="126"/>
      <c r="O49" s="126"/>
      <c r="P49" s="126"/>
      <c r="Q49" s="126"/>
      <c r="R49" s="126"/>
      <c r="S49" s="126"/>
      <c r="T49" s="126"/>
      <c r="U49" s="126"/>
      <c r="V49" s="126">
        <f t="shared" si="13"/>
        <v>0</v>
      </c>
      <c r="W49" s="126"/>
      <c r="X49" s="126"/>
      <c r="Y49" s="126"/>
      <c r="Z49" s="126"/>
      <c r="AA49" s="126"/>
      <c r="AB49" s="126"/>
      <c r="AC49" s="126"/>
      <c r="AD49" s="126"/>
      <c r="AE49" s="126">
        <f t="shared" si="27"/>
        <v>0</v>
      </c>
      <c r="AF49" s="126"/>
      <c r="AG49" s="126"/>
      <c r="AH49" s="126"/>
      <c r="AI49" s="126"/>
      <c r="AJ49" s="126"/>
      <c r="AK49" s="126"/>
      <c r="AL49" s="126"/>
      <c r="AM49" s="126"/>
      <c r="AN49" s="126"/>
      <c r="AO49" s="126"/>
      <c r="AP49" s="126"/>
      <c r="AQ49" s="126"/>
      <c r="AR49" s="126"/>
      <c r="AS49" s="126"/>
      <c r="AT49" s="126">
        <f>D49-BL49</f>
        <v>0</v>
      </c>
      <c r="AU49" s="126"/>
      <c r="AV49" s="126"/>
      <c r="AW49" s="126"/>
      <c r="AX49" s="126"/>
      <c r="AY49" s="126"/>
      <c r="AZ49" s="126"/>
      <c r="BA49" s="126"/>
      <c r="BB49" s="126"/>
      <c r="BC49" s="126"/>
      <c r="BD49" s="126"/>
      <c r="BE49" s="126"/>
      <c r="BF49" s="126"/>
      <c r="BG49" s="126"/>
      <c r="BH49" s="126">
        <f t="shared" si="22"/>
        <v>0</v>
      </c>
      <c r="BI49" s="126"/>
      <c r="BJ49" s="126"/>
      <c r="BK49" s="126"/>
      <c r="BL49" s="126">
        <f>E49+W49+X49+Y49+Z49+AA49+AB49+AC49+AD49+AE49+AQ49+AR49+AS49+AU49+AV49+AW49+AX49+AY49+AZ49+BA49+BB49+BC49+BD49+BE49+BF49+BG49+BH49</f>
        <v>0</v>
      </c>
      <c r="BM49" s="126">
        <f>AT67-BL49</f>
        <v>0</v>
      </c>
      <c r="BN49" s="126">
        <f t="shared" si="29"/>
        <v>0</v>
      </c>
      <c r="BP49" s="123"/>
    </row>
    <row r="50" spans="1:68" ht="20.100000000000001" customHeight="1">
      <c r="A50" s="20" t="s">
        <v>85</v>
      </c>
      <c r="B50" s="110" t="s">
        <v>86</v>
      </c>
      <c r="C50" s="126" t="s">
        <v>87</v>
      </c>
      <c r="D50" s="126"/>
      <c r="E50" s="126">
        <f t="shared" si="4"/>
        <v>0</v>
      </c>
      <c r="F50" s="126">
        <f t="shared" si="21"/>
        <v>0</v>
      </c>
      <c r="G50" s="126">
        <f t="shared" si="8"/>
        <v>0</v>
      </c>
      <c r="H50" s="126">
        <f t="shared" si="12"/>
        <v>0</v>
      </c>
      <c r="I50" s="126"/>
      <c r="J50" s="126"/>
      <c r="K50" s="126"/>
      <c r="L50" s="126"/>
      <c r="M50" s="126"/>
      <c r="N50" s="126"/>
      <c r="O50" s="126"/>
      <c r="P50" s="126"/>
      <c r="Q50" s="126"/>
      <c r="R50" s="126"/>
      <c r="S50" s="126"/>
      <c r="T50" s="126"/>
      <c r="U50" s="126"/>
      <c r="V50" s="126">
        <f t="shared" si="13"/>
        <v>0</v>
      </c>
      <c r="W50" s="126"/>
      <c r="X50" s="126"/>
      <c r="Y50" s="126"/>
      <c r="Z50" s="126"/>
      <c r="AA50" s="126"/>
      <c r="AB50" s="126"/>
      <c r="AC50" s="126"/>
      <c r="AD50" s="126"/>
      <c r="AE50" s="126">
        <f t="shared" si="27"/>
        <v>0</v>
      </c>
      <c r="AF50" s="126"/>
      <c r="AG50" s="126"/>
      <c r="AH50" s="126"/>
      <c r="AI50" s="126"/>
      <c r="AJ50" s="126"/>
      <c r="AK50" s="126"/>
      <c r="AL50" s="126"/>
      <c r="AM50" s="126"/>
      <c r="AN50" s="126"/>
      <c r="AO50" s="126"/>
      <c r="AP50" s="126"/>
      <c r="AQ50" s="126"/>
      <c r="AR50" s="126"/>
      <c r="AS50" s="126"/>
      <c r="AT50" s="126"/>
      <c r="AU50" s="126">
        <f>D50-BL50</f>
        <v>0</v>
      </c>
      <c r="AV50" s="126"/>
      <c r="AW50" s="126"/>
      <c r="AX50" s="126"/>
      <c r="AY50" s="126"/>
      <c r="AZ50" s="126"/>
      <c r="BA50" s="126"/>
      <c r="BB50" s="126"/>
      <c r="BC50" s="126"/>
      <c r="BD50" s="126"/>
      <c r="BE50" s="126"/>
      <c r="BF50" s="126"/>
      <c r="BG50" s="126"/>
      <c r="BH50" s="126">
        <f t="shared" si="22"/>
        <v>0</v>
      </c>
      <c r="BI50" s="126"/>
      <c r="BJ50" s="126"/>
      <c r="BK50" s="126"/>
      <c r="BL50" s="126">
        <f>E50+W50+X50+Y50+Z50+AA50+AB50+AC50+AD50+AE50+AQ50+AR50+AS50+AT50+AV50+AW50+AX50+AY50+AZ50+BA50+BB50+BC50+BD50+BE50+BF50+BG50+BH50</f>
        <v>0</v>
      </c>
      <c r="BM50" s="126">
        <f>AU67-BL50</f>
        <v>0</v>
      </c>
      <c r="BN50" s="126">
        <f t="shared" si="29"/>
        <v>0</v>
      </c>
      <c r="BP50" s="123"/>
    </row>
    <row r="51" spans="1:68" ht="20.100000000000001" customHeight="1">
      <c r="A51" s="20" t="s">
        <v>88</v>
      </c>
      <c r="B51" s="110" t="s">
        <v>89</v>
      </c>
      <c r="C51" s="126" t="s">
        <v>90</v>
      </c>
      <c r="D51" s="126"/>
      <c r="E51" s="126">
        <f t="shared" si="4"/>
        <v>0</v>
      </c>
      <c r="F51" s="126">
        <f t="shared" si="21"/>
        <v>0</v>
      </c>
      <c r="G51" s="126">
        <f t="shared" si="8"/>
        <v>0</v>
      </c>
      <c r="H51" s="126">
        <f t="shared" si="12"/>
        <v>0</v>
      </c>
      <c r="I51" s="126"/>
      <c r="J51" s="126"/>
      <c r="K51" s="126"/>
      <c r="L51" s="126"/>
      <c r="M51" s="126"/>
      <c r="N51" s="126"/>
      <c r="O51" s="126"/>
      <c r="P51" s="126"/>
      <c r="Q51" s="126"/>
      <c r="R51" s="126"/>
      <c r="S51" s="126"/>
      <c r="T51" s="126"/>
      <c r="U51" s="126"/>
      <c r="V51" s="126">
        <f t="shared" si="13"/>
        <v>0</v>
      </c>
      <c r="W51" s="126"/>
      <c r="X51" s="126"/>
      <c r="Y51" s="126"/>
      <c r="Z51" s="126"/>
      <c r="AA51" s="126"/>
      <c r="AB51" s="126"/>
      <c r="AC51" s="126"/>
      <c r="AD51" s="126"/>
      <c r="AE51" s="126">
        <f t="shared" si="27"/>
        <v>0</v>
      </c>
      <c r="AF51" s="126"/>
      <c r="AG51" s="126"/>
      <c r="AH51" s="126"/>
      <c r="AI51" s="126"/>
      <c r="AJ51" s="126"/>
      <c r="AK51" s="126"/>
      <c r="AL51" s="126"/>
      <c r="AM51" s="126"/>
      <c r="AN51" s="126"/>
      <c r="AO51" s="126"/>
      <c r="AP51" s="126"/>
      <c r="AQ51" s="126"/>
      <c r="AR51" s="126"/>
      <c r="AS51" s="126"/>
      <c r="AT51" s="126"/>
      <c r="AU51" s="126"/>
      <c r="AV51" s="126">
        <f>D51-BL51</f>
        <v>0</v>
      </c>
      <c r="AW51" s="126"/>
      <c r="AX51" s="126"/>
      <c r="AY51" s="126"/>
      <c r="AZ51" s="126"/>
      <c r="BA51" s="126"/>
      <c r="BB51" s="126"/>
      <c r="BC51" s="126"/>
      <c r="BD51" s="126"/>
      <c r="BE51" s="126"/>
      <c r="BF51" s="126"/>
      <c r="BG51" s="126"/>
      <c r="BH51" s="126">
        <f t="shared" si="22"/>
        <v>0</v>
      </c>
      <c r="BI51" s="126"/>
      <c r="BJ51" s="126"/>
      <c r="BK51" s="126"/>
      <c r="BL51" s="126">
        <f>E51+W51+X51+Y51+Z51+AA51+AB51+AC51+AD51+AE51+AQ51+AR51+AS51+AT51+AU51+AW51+AX51+AY51+AZ51+BA51+BB51+BC51+BD51+BE51+BF51+BG51+BH51</f>
        <v>0</v>
      </c>
      <c r="BM51" s="126">
        <f>AV67-BL51</f>
        <v>0</v>
      </c>
      <c r="BN51" s="126">
        <f t="shared" si="29"/>
        <v>0</v>
      </c>
      <c r="BP51" s="123"/>
    </row>
    <row r="52" spans="1:68" ht="20.100000000000001" customHeight="1">
      <c r="A52" s="20" t="s">
        <v>91</v>
      </c>
      <c r="B52" s="110" t="s">
        <v>489</v>
      </c>
      <c r="C52" s="126" t="s">
        <v>93</v>
      </c>
      <c r="D52" s="126"/>
      <c r="E52" s="126">
        <f t="shared" si="4"/>
        <v>0</v>
      </c>
      <c r="F52" s="126">
        <f t="shared" si="21"/>
        <v>0</v>
      </c>
      <c r="G52" s="126">
        <f t="shared" si="8"/>
        <v>0</v>
      </c>
      <c r="H52" s="126">
        <f t="shared" si="12"/>
        <v>0</v>
      </c>
      <c r="I52" s="126"/>
      <c r="J52" s="126"/>
      <c r="K52" s="126"/>
      <c r="L52" s="126"/>
      <c r="M52" s="126"/>
      <c r="N52" s="126"/>
      <c r="O52" s="126"/>
      <c r="P52" s="126"/>
      <c r="Q52" s="126"/>
      <c r="R52" s="126"/>
      <c r="S52" s="126"/>
      <c r="T52" s="126"/>
      <c r="U52" s="126"/>
      <c r="V52" s="126">
        <f t="shared" si="13"/>
        <v>0</v>
      </c>
      <c r="W52" s="126"/>
      <c r="X52" s="126"/>
      <c r="Y52" s="126"/>
      <c r="Z52" s="126"/>
      <c r="AA52" s="126"/>
      <c r="AB52" s="126"/>
      <c r="AC52" s="126"/>
      <c r="AD52" s="126"/>
      <c r="AE52" s="126">
        <f t="shared" si="27"/>
        <v>0</v>
      </c>
      <c r="AF52" s="126"/>
      <c r="AG52" s="126"/>
      <c r="AH52" s="126"/>
      <c r="AI52" s="126"/>
      <c r="AJ52" s="126"/>
      <c r="AK52" s="126"/>
      <c r="AL52" s="126"/>
      <c r="AM52" s="126"/>
      <c r="AN52" s="126"/>
      <c r="AO52" s="126"/>
      <c r="AP52" s="126"/>
      <c r="AQ52" s="126"/>
      <c r="AR52" s="126"/>
      <c r="AS52" s="126"/>
      <c r="AT52" s="126"/>
      <c r="AU52" s="126"/>
      <c r="AV52" s="126"/>
      <c r="AW52" s="126">
        <f>D52-BL52</f>
        <v>0</v>
      </c>
      <c r="AX52" s="126"/>
      <c r="AY52" s="126"/>
      <c r="AZ52" s="126"/>
      <c r="BA52" s="126"/>
      <c r="BB52" s="126"/>
      <c r="BC52" s="126"/>
      <c r="BD52" s="126"/>
      <c r="BE52" s="126"/>
      <c r="BF52" s="126"/>
      <c r="BG52" s="126"/>
      <c r="BH52" s="126">
        <f t="shared" si="22"/>
        <v>0</v>
      </c>
      <c r="BI52" s="126"/>
      <c r="BJ52" s="126"/>
      <c r="BK52" s="126"/>
      <c r="BL52" s="126">
        <f>E52+W52+X52+Y52+Z52+AA52+AB52+AC52+AD52+AE52+AQ52+AR52+AS52+AT52+AU52+AV52+AX52+AY52+AZ52+BA52+BB52+BC52+BD52+BE52+BF52+BG52+BH52</f>
        <v>0</v>
      </c>
      <c r="BM52" s="126">
        <f>AW67-BL52</f>
        <v>0</v>
      </c>
      <c r="BN52" s="126">
        <f t="shared" si="29"/>
        <v>0</v>
      </c>
      <c r="BP52" s="123"/>
    </row>
    <row r="53" spans="1:68" ht="20.100000000000001" customHeight="1">
      <c r="A53" s="20" t="s">
        <v>94</v>
      </c>
      <c r="B53" s="110" t="s">
        <v>95</v>
      </c>
      <c r="C53" s="126" t="s">
        <v>96</v>
      </c>
      <c r="D53" s="126"/>
      <c r="E53" s="126">
        <f t="shared" si="4"/>
        <v>0</v>
      </c>
      <c r="F53" s="126">
        <f t="shared" si="21"/>
        <v>0</v>
      </c>
      <c r="G53" s="126">
        <f t="shared" si="8"/>
        <v>0</v>
      </c>
      <c r="H53" s="126">
        <f t="shared" si="12"/>
        <v>0</v>
      </c>
      <c r="I53" s="126"/>
      <c r="J53" s="126"/>
      <c r="K53" s="126"/>
      <c r="L53" s="126"/>
      <c r="M53" s="126"/>
      <c r="N53" s="126"/>
      <c r="O53" s="126"/>
      <c r="P53" s="126"/>
      <c r="Q53" s="126"/>
      <c r="R53" s="126"/>
      <c r="S53" s="126"/>
      <c r="T53" s="126"/>
      <c r="U53" s="126"/>
      <c r="V53" s="126">
        <f t="shared" si="13"/>
        <v>0</v>
      </c>
      <c r="W53" s="126"/>
      <c r="X53" s="126"/>
      <c r="Y53" s="126"/>
      <c r="Z53" s="126"/>
      <c r="AA53" s="126"/>
      <c r="AB53" s="126"/>
      <c r="AC53" s="126"/>
      <c r="AD53" s="126"/>
      <c r="AE53" s="126">
        <f t="shared" si="27"/>
        <v>0</v>
      </c>
      <c r="AF53" s="126"/>
      <c r="AG53" s="126"/>
      <c r="AH53" s="126"/>
      <c r="AI53" s="126"/>
      <c r="AJ53" s="126"/>
      <c r="AK53" s="126"/>
      <c r="AL53" s="126"/>
      <c r="AM53" s="126"/>
      <c r="AN53" s="126"/>
      <c r="AO53" s="126"/>
      <c r="AP53" s="126"/>
      <c r="AQ53" s="126"/>
      <c r="AR53" s="126"/>
      <c r="AS53" s="126"/>
      <c r="AT53" s="126"/>
      <c r="AU53" s="126"/>
      <c r="AV53" s="126"/>
      <c r="AW53" s="126"/>
      <c r="AX53" s="126">
        <f>D53-BL53</f>
        <v>0</v>
      </c>
      <c r="AY53" s="126"/>
      <c r="AZ53" s="126"/>
      <c r="BA53" s="126"/>
      <c r="BB53" s="126"/>
      <c r="BC53" s="126"/>
      <c r="BD53" s="126"/>
      <c r="BE53" s="126"/>
      <c r="BF53" s="126"/>
      <c r="BG53" s="126"/>
      <c r="BH53" s="126">
        <f t="shared" si="22"/>
        <v>0</v>
      </c>
      <c r="BI53" s="126"/>
      <c r="BJ53" s="126"/>
      <c r="BK53" s="126"/>
      <c r="BL53" s="126">
        <f>E53+W53+X53+Y53+Z53+AA53+AB53+AC53+AD53+AE53+AQ53+AR53+AS53+AT53+AU53+AV53+AW53+AY53+AZ53+BA53+BB53+BC53+BD53+BE53+BF53+BG53+BH53</f>
        <v>0</v>
      </c>
      <c r="BM53" s="126">
        <f>AX67-BL53</f>
        <v>0</v>
      </c>
      <c r="BN53" s="126">
        <f t="shared" si="29"/>
        <v>0</v>
      </c>
      <c r="BP53" s="123"/>
    </row>
    <row r="54" spans="1:68" ht="20.100000000000001" customHeight="1">
      <c r="A54" s="20" t="s">
        <v>97</v>
      </c>
      <c r="B54" s="110" t="s">
        <v>98</v>
      </c>
      <c r="C54" s="126" t="s">
        <v>99</v>
      </c>
      <c r="D54" s="126"/>
      <c r="E54" s="126">
        <f t="shared" si="4"/>
        <v>0</v>
      </c>
      <c r="F54" s="126">
        <f t="shared" si="21"/>
        <v>0</v>
      </c>
      <c r="G54" s="126">
        <f t="shared" si="8"/>
        <v>0</v>
      </c>
      <c r="H54" s="126">
        <f t="shared" si="12"/>
        <v>0</v>
      </c>
      <c r="I54" s="126"/>
      <c r="J54" s="126"/>
      <c r="K54" s="126"/>
      <c r="L54" s="126"/>
      <c r="M54" s="126"/>
      <c r="N54" s="126"/>
      <c r="O54" s="126"/>
      <c r="P54" s="126"/>
      <c r="Q54" s="126"/>
      <c r="R54" s="126"/>
      <c r="S54" s="126"/>
      <c r="T54" s="126"/>
      <c r="U54" s="126"/>
      <c r="V54" s="126">
        <f t="shared" si="13"/>
        <v>0</v>
      </c>
      <c r="W54" s="126"/>
      <c r="X54" s="126"/>
      <c r="Y54" s="126"/>
      <c r="Z54" s="126"/>
      <c r="AA54" s="126"/>
      <c r="AB54" s="126"/>
      <c r="AC54" s="126"/>
      <c r="AD54" s="126"/>
      <c r="AE54" s="126">
        <f t="shared" si="27"/>
        <v>0</v>
      </c>
      <c r="AF54" s="126"/>
      <c r="AG54" s="126"/>
      <c r="AH54" s="126"/>
      <c r="AI54" s="126"/>
      <c r="AJ54" s="126"/>
      <c r="AK54" s="126"/>
      <c r="AL54" s="126"/>
      <c r="AM54" s="126"/>
      <c r="AN54" s="126"/>
      <c r="AO54" s="126"/>
      <c r="AP54" s="126"/>
      <c r="AQ54" s="126"/>
      <c r="AR54" s="126"/>
      <c r="AS54" s="126"/>
      <c r="AT54" s="126"/>
      <c r="AU54" s="126"/>
      <c r="AV54" s="126"/>
      <c r="AW54" s="126"/>
      <c r="AX54" s="126"/>
      <c r="AY54" s="126">
        <f>D54-BL54</f>
        <v>0</v>
      </c>
      <c r="AZ54" s="126"/>
      <c r="BA54" s="126"/>
      <c r="BB54" s="126"/>
      <c r="BC54" s="126"/>
      <c r="BD54" s="126"/>
      <c r="BE54" s="126"/>
      <c r="BF54" s="126"/>
      <c r="BG54" s="126"/>
      <c r="BH54" s="126">
        <f t="shared" si="22"/>
        <v>0</v>
      </c>
      <c r="BI54" s="126"/>
      <c r="BJ54" s="126"/>
      <c r="BK54" s="126"/>
      <c r="BL54" s="126">
        <f>E54+W54+X54+Y54+Z54+AA54+AB54+AC54+AD54+AE54+AQ54+AR54+AS54+AT54+AU54+AV54+AW54+AX54+AZ54+BA54+BB54+BC54+BD54+BE54+BF54+BG54+BH54</f>
        <v>0</v>
      </c>
      <c r="BM54" s="126">
        <f>AY67-BL54</f>
        <v>0</v>
      </c>
      <c r="BN54" s="126">
        <f t="shared" si="29"/>
        <v>0</v>
      </c>
      <c r="BP54" s="123"/>
    </row>
    <row r="55" spans="1:68" ht="20.100000000000001" customHeight="1">
      <c r="A55" s="20" t="s">
        <v>100</v>
      </c>
      <c r="B55" s="110" t="s">
        <v>490</v>
      </c>
      <c r="C55" s="126" t="s">
        <v>101</v>
      </c>
      <c r="D55" s="126"/>
      <c r="E55" s="126">
        <f t="shared" si="4"/>
        <v>0</v>
      </c>
      <c r="F55" s="126">
        <f t="shared" si="21"/>
        <v>0</v>
      </c>
      <c r="G55" s="126">
        <f t="shared" si="8"/>
        <v>0</v>
      </c>
      <c r="H55" s="126">
        <f t="shared" si="12"/>
        <v>0</v>
      </c>
      <c r="I55" s="126"/>
      <c r="J55" s="126"/>
      <c r="K55" s="126"/>
      <c r="L55" s="126"/>
      <c r="M55" s="126"/>
      <c r="N55" s="126"/>
      <c r="O55" s="126"/>
      <c r="P55" s="126"/>
      <c r="Q55" s="126"/>
      <c r="R55" s="126"/>
      <c r="S55" s="126"/>
      <c r="T55" s="126"/>
      <c r="U55" s="126"/>
      <c r="V55" s="126">
        <f t="shared" si="13"/>
        <v>0</v>
      </c>
      <c r="W55" s="126"/>
      <c r="X55" s="126"/>
      <c r="Y55" s="126"/>
      <c r="Z55" s="126"/>
      <c r="AA55" s="126"/>
      <c r="AB55" s="126"/>
      <c r="AC55" s="126"/>
      <c r="AD55" s="126"/>
      <c r="AE55" s="126">
        <f t="shared" si="27"/>
        <v>0</v>
      </c>
      <c r="AF55" s="126"/>
      <c r="AG55" s="126"/>
      <c r="AH55" s="126"/>
      <c r="AI55" s="126"/>
      <c r="AJ55" s="126"/>
      <c r="AK55" s="126"/>
      <c r="AL55" s="126"/>
      <c r="AM55" s="126"/>
      <c r="AN55" s="126"/>
      <c r="AO55" s="126"/>
      <c r="AP55" s="126"/>
      <c r="AQ55" s="126"/>
      <c r="AR55" s="126"/>
      <c r="AS55" s="126"/>
      <c r="AT55" s="126"/>
      <c r="AU55" s="126"/>
      <c r="AV55" s="126"/>
      <c r="AW55" s="126"/>
      <c r="AX55" s="126"/>
      <c r="AY55" s="126"/>
      <c r="AZ55" s="126">
        <f>D55-BL55</f>
        <v>0</v>
      </c>
      <c r="BA55" s="126"/>
      <c r="BB55" s="126"/>
      <c r="BC55" s="126"/>
      <c r="BD55" s="126"/>
      <c r="BE55" s="126"/>
      <c r="BF55" s="126"/>
      <c r="BG55" s="126"/>
      <c r="BH55" s="126">
        <f t="shared" si="22"/>
        <v>0</v>
      </c>
      <c r="BI55" s="126"/>
      <c r="BJ55" s="126"/>
      <c r="BK55" s="126"/>
      <c r="BL55" s="126">
        <f>E55+W55+X55+Y55+Z55+AA55+AB55+AC55+AD55+AE55+AQ55+AR55+AS55+AT55+AU55+AV55+AW55+AX55+AY55+BA55+BB55+BC55+BD55+BE55+BF55+BG55+BH55</f>
        <v>0</v>
      </c>
      <c r="BM55" s="126">
        <f>AZ67-BL55</f>
        <v>0</v>
      </c>
      <c r="BN55" s="126">
        <f t="shared" si="29"/>
        <v>0</v>
      </c>
      <c r="BP55" s="123"/>
    </row>
    <row r="56" spans="1:68" ht="20.100000000000001" customHeight="1">
      <c r="A56" s="20" t="s">
        <v>102</v>
      </c>
      <c r="B56" s="110" t="s">
        <v>103</v>
      </c>
      <c r="C56" s="126" t="s">
        <v>104</v>
      </c>
      <c r="D56" s="126"/>
      <c r="E56" s="126">
        <f t="shared" si="4"/>
        <v>0</v>
      </c>
      <c r="F56" s="126">
        <f t="shared" si="21"/>
        <v>0</v>
      </c>
      <c r="G56" s="126">
        <f t="shared" si="8"/>
        <v>0</v>
      </c>
      <c r="H56" s="126">
        <f t="shared" si="12"/>
        <v>0</v>
      </c>
      <c r="I56" s="126"/>
      <c r="J56" s="126"/>
      <c r="K56" s="126"/>
      <c r="L56" s="126"/>
      <c r="M56" s="126"/>
      <c r="N56" s="126"/>
      <c r="O56" s="126"/>
      <c r="P56" s="126"/>
      <c r="Q56" s="126"/>
      <c r="R56" s="126"/>
      <c r="S56" s="126"/>
      <c r="T56" s="126"/>
      <c r="U56" s="126"/>
      <c r="V56" s="126">
        <f t="shared" si="13"/>
        <v>0</v>
      </c>
      <c r="W56" s="126"/>
      <c r="X56" s="126"/>
      <c r="Y56" s="126"/>
      <c r="Z56" s="126"/>
      <c r="AA56" s="126"/>
      <c r="AB56" s="126"/>
      <c r="AC56" s="126"/>
      <c r="AD56" s="126"/>
      <c r="AE56" s="126">
        <f t="shared" si="27"/>
        <v>0</v>
      </c>
      <c r="AF56" s="126"/>
      <c r="AG56" s="126"/>
      <c r="AH56" s="126"/>
      <c r="AI56" s="126"/>
      <c r="AJ56" s="126"/>
      <c r="AK56" s="126"/>
      <c r="AL56" s="126"/>
      <c r="AM56" s="126"/>
      <c r="AN56" s="126"/>
      <c r="AO56" s="126"/>
      <c r="AP56" s="126"/>
      <c r="AQ56" s="126"/>
      <c r="AR56" s="126"/>
      <c r="AS56" s="126"/>
      <c r="AT56" s="126"/>
      <c r="AU56" s="126"/>
      <c r="AV56" s="126"/>
      <c r="AW56" s="126"/>
      <c r="AX56" s="126"/>
      <c r="AY56" s="126"/>
      <c r="AZ56" s="126"/>
      <c r="BA56" s="126">
        <f>D56-BL56</f>
        <v>0</v>
      </c>
      <c r="BB56" s="126"/>
      <c r="BC56" s="126"/>
      <c r="BD56" s="126"/>
      <c r="BE56" s="126"/>
      <c r="BF56" s="126"/>
      <c r="BG56" s="126"/>
      <c r="BH56" s="126">
        <f t="shared" si="22"/>
        <v>0</v>
      </c>
      <c r="BI56" s="126"/>
      <c r="BJ56" s="126"/>
      <c r="BK56" s="126"/>
      <c r="BL56" s="126">
        <f>E56+W56+X56+Y56+Z56+AA56+AB56+AC56+AD56+AE56+AQ56+AR56+AS56+AT56+AU56+AV56+AW56+AX56+AY56+AZ56+BB56+BC56+BD56+BE56+BF56+BG56+BH56</f>
        <v>0</v>
      </c>
      <c r="BM56" s="126">
        <f>BA67-BL56</f>
        <v>0</v>
      </c>
      <c r="BN56" s="126">
        <f t="shared" si="29"/>
        <v>0</v>
      </c>
      <c r="BP56" s="123"/>
    </row>
    <row r="57" spans="1:68" ht="20.100000000000001" customHeight="1">
      <c r="A57" s="20" t="s">
        <v>105</v>
      </c>
      <c r="B57" s="110" t="s">
        <v>106</v>
      </c>
      <c r="C57" s="126" t="s">
        <v>107</v>
      </c>
      <c r="D57" s="126"/>
      <c r="E57" s="126">
        <f t="shared" si="4"/>
        <v>0</v>
      </c>
      <c r="F57" s="126">
        <f t="shared" si="21"/>
        <v>0</v>
      </c>
      <c r="G57" s="126">
        <f t="shared" si="8"/>
        <v>0</v>
      </c>
      <c r="H57" s="126">
        <f t="shared" si="12"/>
        <v>0</v>
      </c>
      <c r="I57" s="126"/>
      <c r="J57" s="126"/>
      <c r="K57" s="126"/>
      <c r="L57" s="126"/>
      <c r="M57" s="126"/>
      <c r="N57" s="126"/>
      <c r="O57" s="126"/>
      <c r="P57" s="126"/>
      <c r="Q57" s="126"/>
      <c r="R57" s="126"/>
      <c r="S57" s="126"/>
      <c r="T57" s="126"/>
      <c r="U57" s="126"/>
      <c r="V57" s="126">
        <f t="shared" si="13"/>
        <v>0</v>
      </c>
      <c r="W57" s="126"/>
      <c r="X57" s="126"/>
      <c r="Y57" s="126"/>
      <c r="Z57" s="126"/>
      <c r="AA57" s="126"/>
      <c r="AB57" s="126"/>
      <c r="AC57" s="126"/>
      <c r="AD57" s="126"/>
      <c r="AE57" s="126">
        <f>SUM(AF57:AP57)</f>
        <v>0</v>
      </c>
      <c r="AF57" s="126"/>
      <c r="AG57" s="126"/>
      <c r="AH57" s="126"/>
      <c r="AI57" s="126"/>
      <c r="AJ57" s="126"/>
      <c r="AK57" s="126"/>
      <c r="AL57" s="126"/>
      <c r="AM57" s="126"/>
      <c r="AN57" s="126"/>
      <c r="AO57" s="126"/>
      <c r="AP57" s="126"/>
      <c r="AQ57" s="126"/>
      <c r="AR57" s="126"/>
      <c r="AS57" s="126"/>
      <c r="AT57" s="126"/>
      <c r="AU57" s="126"/>
      <c r="AV57" s="126"/>
      <c r="AW57" s="126"/>
      <c r="AX57" s="126"/>
      <c r="AY57" s="126"/>
      <c r="AZ57" s="126"/>
      <c r="BA57" s="126"/>
      <c r="BB57" s="126">
        <f>D57-BL57</f>
        <v>0</v>
      </c>
      <c r="BC57" s="126"/>
      <c r="BD57" s="126"/>
      <c r="BE57" s="126"/>
      <c r="BF57" s="126"/>
      <c r="BG57" s="126"/>
      <c r="BH57" s="126">
        <f t="shared" si="22"/>
        <v>0</v>
      </c>
      <c r="BI57" s="126"/>
      <c r="BJ57" s="126"/>
      <c r="BK57" s="126"/>
      <c r="BL57" s="126">
        <f>E57+W57+X57+Y57+Z57+AA57+AB57+AC57+AD57+AE57+AQ57+AR57+AS57+AT57+AU57+AV57+AW57+AX57+AY57+AZ57+BA57+BC57+BD57+BE57+BF57+BG57+BH57</f>
        <v>0</v>
      </c>
      <c r="BM57" s="126">
        <f>BB67-BL57</f>
        <v>0</v>
      </c>
      <c r="BN57" s="126">
        <f t="shared" si="29"/>
        <v>0</v>
      </c>
      <c r="BP57" s="123"/>
    </row>
    <row r="58" spans="1:68" ht="20.100000000000001" customHeight="1">
      <c r="A58" s="20" t="s">
        <v>108</v>
      </c>
      <c r="B58" s="110" t="s">
        <v>491</v>
      </c>
      <c r="C58" s="126" t="s">
        <v>110</v>
      </c>
      <c r="D58" s="126"/>
      <c r="E58" s="126">
        <f t="shared" si="4"/>
        <v>0</v>
      </c>
      <c r="F58" s="126">
        <f t="shared" si="21"/>
        <v>0</v>
      </c>
      <c r="G58" s="126">
        <f t="shared" si="8"/>
        <v>0</v>
      </c>
      <c r="H58" s="126">
        <f t="shared" si="12"/>
        <v>0</v>
      </c>
      <c r="I58" s="126"/>
      <c r="J58" s="126"/>
      <c r="K58" s="126"/>
      <c r="L58" s="126"/>
      <c r="M58" s="126"/>
      <c r="N58" s="126"/>
      <c r="O58" s="126"/>
      <c r="P58" s="126"/>
      <c r="Q58" s="126"/>
      <c r="R58" s="126"/>
      <c r="S58" s="126"/>
      <c r="T58" s="126"/>
      <c r="U58" s="126"/>
      <c r="V58" s="126">
        <f t="shared" si="13"/>
        <v>0</v>
      </c>
      <c r="W58" s="126"/>
      <c r="X58" s="126"/>
      <c r="Y58" s="126"/>
      <c r="Z58" s="126"/>
      <c r="AA58" s="126"/>
      <c r="AB58" s="126"/>
      <c r="AC58" s="126"/>
      <c r="AD58" s="126"/>
      <c r="AE58" s="126">
        <f t="shared" si="27"/>
        <v>0</v>
      </c>
      <c r="AF58" s="126"/>
      <c r="AG58" s="126"/>
      <c r="AH58" s="126"/>
      <c r="AI58" s="126"/>
      <c r="AJ58" s="126"/>
      <c r="AK58" s="126"/>
      <c r="AL58" s="126"/>
      <c r="AM58" s="126"/>
      <c r="AN58" s="126"/>
      <c r="AO58" s="126"/>
      <c r="AP58" s="126"/>
      <c r="AQ58" s="126"/>
      <c r="AR58" s="126"/>
      <c r="AS58" s="126"/>
      <c r="AT58" s="126"/>
      <c r="AU58" s="126"/>
      <c r="AV58" s="126"/>
      <c r="AW58" s="126"/>
      <c r="AX58" s="126"/>
      <c r="AY58" s="126"/>
      <c r="AZ58" s="126"/>
      <c r="BA58" s="126"/>
      <c r="BB58" s="126"/>
      <c r="BC58" s="126">
        <f>D58-BL58</f>
        <v>0</v>
      </c>
      <c r="BD58" s="126"/>
      <c r="BE58" s="126"/>
      <c r="BF58" s="126"/>
      <c r="BG58" s="126"/>
      <c r="BH58" s="126">
        <f t="shared" si="22"/>
        <v>0</v>
      </c>
      <c r="BI58" s="126"/>
      <c r="BJ58" s="126"/>
      <c r="BK58" s="126"/>
      <c r="BL58" s="126">
        <f>E58+W58+X58+Y58+Z58+AA58+AB58+AC58+AD58+AE58+AQ58+AR58+AS58+AT58+AU58+AV58+AW58+AX58+AY58+AZ58+BA58+BB58+BD58+BE58+BF58+BG58+BH58</f>
        <v>0</v>
      </c>
      <c r="BM58" s="126">
        <f>BC67-BL58</f>
        <v>0</v>
      </c>
      <c r="BN58" s="126">
        <f t="shared" si="29"/>
        <v>0</v>
      </c>
      <c r="BP58" s="123"/>
    </row>
    <row r="59" spans="1:68" ht="20.100000000000001" customHeight="1">
      <c r="A59" s="20" t="s">
        <v>111</v>
      </c>
      <c r="B59" s="110" t="s">
        <v>112</v>
      </c>
      <c r="C59" s="126" t="s">
        <v>113</v>
      </c>
      <c r="D59" s="126"/>
      <c r="E59" s="126">
        <f t="shared" si="4"/>
        <v>0</v>
      </c>
      <c r="F59" s="126">
        <f t="shared" si="21"/>
        <v>0</v>
      </c>
      <c r="G59" s="126">
        <f t="shared" si="8"/>
        <v>0</v>
      </c>
      <c r="H59" s="126">
        <f t="shared" si="12"/>
        <v>0</v>
      </c>
      <c r="I59" s="126"/>
      <c r="J59" s="126"/>
      <c r="K59" s="126"/>
      <c r="L59" s="126"/>
      <c r="M59" s="126"/>
      <c r="N59" s="126"/>
      <c r="O59" s="126"/>
      <c r="P59" s="126"/>
      <c r="Q59" s="126"/>
      <c r="R59" s="126"/>
      <c r="S59" s="126"/>
      <c r="T59" s="126"/>
      <c r="U59" s="126"/>
      <c r="V59" s="126">
        <f t="shared" si="13"/>
        <v>0</v>
      </c>
      <c r="W59" s="126"/>
      <c r="X59" s="126"/>
      <c r="Y59" s="126"/>
      <c r="Z59" s="126"/>
      <c r="AA59" s="126"/>
      <c r="AB59" s="126"/>
      <c r="AC59" s="126"/>
      <c r="AD59" s="126"/>
      <c r="AE59" s="126">
        <f t="shared" si="27"/>
        <v>0</v>
      </c>
      <c r="AF59" s="126"/>
      <c r="AG59" s="126"/>
      <c r="AH59" s="126"/>
      <c r="AI59" s="126"/>
      <c r="AJ59" s="126"/>
      <c r="AK59" s="126"/>
      <c r="AL59" s="126"/>
      <c r="AM59" s="126"/>
      <c r="AN59" s="126"/>
      <c r="AO59" s="126"/>
      <c r="AP59" s="126"/>
      <c r="AQ59" s="126"/>
      <c r="AR59" s="126"/>
      <c r="AS59" s="126"/>
      <c r="AT59" s="126"/>
      <c r="AU59" s="126"/>
      <c r="AV59" s="126"/>
      <c r="AW59" s="126"/>
      <c r="AX59" s="126"/>
      <c r="AY59" s="126"/>
      <c r="AZ59" s="126"/>
      <c r="BA59" s="126"/>
      <c r="BB59" s="126"/>
      <c r="BC59" s="126"/>
      <c r="BD59" s="126">
        <f>D59-BL59</f>
        <v>0</v>
      </c>
      <c r="BE59" s="126"/>
      <c r="BF59" s="126"/>
      <c r="BG59" s="126"/>
      <c r="BH59" s="126">
        <f t="shared" si="22"/>
        <v>0</v>
      </c>
      <c r="BI59" s="126"/>
      <c r="BJ59" s="126"/>
      <c r="BK59" s="126"/>
      <c r="BL59" s="126">
        <f>E59+W59+X59+Y59+Z59+AA59+AB59+AC59+AD59+AE59+AQ59+AR59+AS59+AT59+AU59+AV59+AW59+AX59+AY59+AZ59+BA59+BB59+BC59+BE59+BF59+BG59+BH59</f>
        <v>0</v>
      </c>
      <c r="BM59" s="126">
        <f>BD67-BL59</f>
        <v>0</v>
      </c>
      <c r="BN59" s="126">
        <f t="shared" si="29"/>
        <v>0</v>
      </c>
      <c r="BP59" s="123"/>
    </row>
    <row r="60" spans="1:68" ht="20.100000000000001" customHeight="1">
      <c r="A60" s="20" t="s">
        <v>114</v>
      </c>
      <c r="B60" s="110" t="s">
        <v>115</v>
      </c>
      <c r="C60" s="126" t="s">
        <v>116</v>
      </c>
      <c r="D60" s="126"/>
      <c r="E60" s="126">
        <f t="shared" si="4"/>
        <v>0</v>
      </c>
      <c r="F60" s="126">
        <f t="shared" si="21"/>
        <v>0</v>
      </c>
      <c r="G60" s="126">
        <f t="shared" si="8"/>
        <v>0</v>
      </c>
      <c r="H60" s="126">
        <f t="shared" si="12"/>
        <v>0</v>
      </c>
      <c r="I60" s="126"/>
      <c r="J60" s="126"/>
      <c r="K60" s="126"/>
      <c r="L60" s="126"/>
      <c r="M60" s="126"/>
      <c r="N60" s="126"/>
      <c r="O60" s="126"/>
      <c r="P60" s="126"/>
      <c r="Q60" s="126"/>
      <c r="R60" s="126"/>
      <c r="S60" s="126"/>
      <c r="T60" s="126"/>
      <c r="U60" s="126"/>
      <c r="V60" s="126">
        <f t="shared" si="13"/>
        <v>0</v>
      </c>
      <c r="W60" s="126"/>
      <c r="X60" s="126"/>
      <c r="Y60" s="126"/>
      <c r="Z60" s="126"/>
      <c r="AA60" s="126"/>
      <c r="AB60" s="126"/>
      <c r="AC60" s="126"/>
      <c r="AD60" s="126"/>
      <c r="AE60" s="126">
        <f t="shared" si="27"/>
        <v>0</v>
      </c>
      <c r="AF60" s="126"/>
      <c r="AG60" s="126"/>
      <c r="AH60" s="126"/>
      <c r="AI60" s="126"/>
      <c r="AJ60" s="126"/>
      <c r="AK60" s="126"/>
      <c r="AL60" s="126"/>
      <c r="AM60" s="126"/>
      <c r="AN60" s="126"/>
      <c r="AO60" s="126"/>
      <c r="AP60" s="126"/>
      <c r="AQ60" s="126"/>
      <c r="AR60" s="126"/>
      <c r="AS60" s="126"/>
      <c r="AT60" s="126"/>
      <c r="AU60" s="126"/>
      <c r="AV60" s="126"/>
      <c r="AW60" s="126"/>
      <c r="AX60" s="126"/>
      <c r="AY60" s="126"/>
      <c r="AZ60" s="126"/>
      <c r="BA60" s="126"/>
      <c r="BB60" s="126"/>
      <c r="BC60" s="126"/>
      <c r="BD60" s="126"/>
      <c r="BE60" s="126">
        <f>D60-BL60</f>
        <v>0</v>
      </c>
      <c r="BF60" s="126"/>
      <c r="BG60" s="126"/>
      <c r="BH60" s="126">
        <f t="shared" si="22"/>
        <v>0</v>
      </c>
      <c r="BI60" s="126"/>
      <c r="BJ60" s="126"/>
      <c r="BK60" s="126"/>
      <c r="BL60" s="126">
        <f>E60+W60+X60+Y60+Z60+AA60+AB60+AC60+AD60+AE60+AQ60+AR60+AS60+AT60+AU60+AV60+AW60+AX60+AY60+AZ60+BA60+BB60+BC60+BD60+BF60+BG60+BH60</f>
        <v>0</v>
      </c>
      <c r="BM60" s="126">
        <f>BE67-BL60</f>
        <v>0</v>
      </c>
      <c r="BN60" s="126">
        <f t="shared" si="29"/>
        <v>0</v>
      </c>
      <c r="BP60" s="123"/>
    </row>
    <row r="61" spans="1:68" ht="20.100000000000001" customHeight="1">
      <c r="A61" s="20" t="s">
        <v>117</v>
      </c>
      <c r="B61" s="110" t="s">
        <v>118</v>
      </c>
      <c r="C61" s="126" t="s">
        <v>119</v>
      </c>
      <c r="D61" s="126"/>
      <c r="E61" s="126">
        <f t="shared" si="4"/>
        <v>0</v>
      </c>
      <c r="F61" s="126">
        <f t="shared" si="21"/>
        <v>0</v>
      </c>
      <c r="G61" s="126">
        <f t="shared" si="8"/>
        <v>0</v>
      </c>
      <c r="H61" s="126">
        <f t="shared" si="12"/>
        <v>0</v>
      </c>
      <c r="I61" s="126"/>
      <c r="J61" s="126"/>
      <c r="K61" s="126"/>
      <c r="L61" s="126"/>
      <c r="M61" s="126"/>
      <c r="N61" s="126"/>
      <c r="O61" s="126"/>
      <c r="P61" s="126"/>
      <c r="Q61" s="126"/>
      <c r="R61" s="126"/>
      <c r="S61" s="126"/>
      <c r="T61" s="126"/>
      <c r="U61" s="126"/>
      <c r="V61" s="126">
        <f t="shared" si="13"/>
        <v>0</v>
      </c>
      <c r="W61" s="126"/>
      <c r="X61" s="126"/>
      <c r="Y61" s="126"/>
      <c r="Z61" s="126"/>
      <c r="AA61" s="126"/>
      <c r="AB61" s="126"/>
      <c r="AC61" s="126"/>
      <c r="AD61" s="126"/>
      <c r="AE61" s="126">
        <f t="shared" si="27"/>
        <v>0</v>
      </c>
      <c r="AF61" s="126"/>
      <c r="AG61" s="126"/>
      <c r="AH61" s="126"/>
      <c r="AI61" s="126"/>
      <c r="AJ61" s="126"/>
      <c r="AK61" s="126"/>
      <c r="AL61" s="126"/>
      <c r="AM61" s="126"/>
      <c r="AN61" s="126"/>
      <c r="AO61" s="126"/>
      <c r="AP61" s="126"/>
      <c r="AQ61" s="126"/>
      <c r="AR61" s="126"/>
      <c r="AS61" s="126"/>
      <c r="AT61" s="126"/>
      <c r="AU61" s="126"/>
      <c r="AV61" s="126"/>
      <c r="AW61" s="126"/>
      <c r="AX61" s="126"/>
      <c r="AY61" s="126"/>
      <c r="AZ61" s="126"/>
      <c r="BA61" s="126"/>
      <c r="BB61" s="126"/>
      <c r="BC61" s="126"/>
      <c r="BD61" s="126"/>
      <c r="BE61" s="126"/>
      <c r="BF61" s="126">
        <f>D61-BL61</f>
        <v>0</v>
      </c>
      <c r="BG61" s="126"/>
      <c r="BH61" s="126">
        <f t="shared" si="22"/>
        <v>0</v>
      </c>
      <c r="BI61" s="126"/>
      <c r="BJ61" s="126"/>
      <c r="BK61" s="126"/>
      <c r="BL61" s="126">
        <f>E61+W61+X61+Y61+Z61+AA61+AB61+AC61+AD61+AE61+AQ61+AR61+AS61+AT61+AU61+AV61+AW61+AX61+AY61+AZ61+BA61+BB61+BC61+BD61+BE61+BG61+BH61</f>
        <v>0</v>
      </c>
      <c r="BM61" s="126">
        <f>BF67-BL61</f>
        <v>0</v>
      </c>
      <c r="BN61" s="126">
        <f t="shared" si="29"/>
        <v>0</v>
      </c>
      <c r="BP61" s="123"/>
    </row>
    <row r="62" spans="1:68" ht="20.100000000000001" customHeight="1">
      <c r="A62" s="20" t="s">
        <v>120</v>
      </c>
      <c r="B62" s="110" t="s">
        <v>121</v>
      </c>
      <c r="C62" s="126" t="s">
        <v>122</v>
      </c>
      <c r="D62" s="126"/>
      <c r="E62" s="126">
        <f t="shared" si="4"/>
        <v>0</v>
      </c>
      <c r="F62" s="126">
        <f t="shared" si="21"/>
        <v>0</v>
      </c>
      <c r="G62" s="126">
        <f t="shared" si="8"/>
        <v>0</v>
      </c>
      <c r="H62" s="126">
        <f t="shared" si="12"/>
        <v>0</v>
      </c>
      <c r="I62" s="126"/>
      <c r="J62" s="126"/>
      <c r="K62" s="126"/>
      <c r="L62" s="126"/>
      <c r="M62" s="126"/>
      <c r="N62" s="126"/>
      <c r="O62" s="126"/>
      <c r="P62" s="126"/>
      <c r="Q62" s="126"/>
      <c r="R62" s="126"/>
      <c r="S62" s="126"/>
      <c r="T62" s="126"/>
      <c r="U62" s="126"/>
      <c r="V62" s="126">
        <f t="shared" si="13"/>
        <v>0</v>
      </c>
      <c r="W62" s="126"/>
      <c r="X62" s="126"/>
      <c r="Y62" s="126"/>
      <c r="Z62" s="126"/>
      <c r="AA62" s="126"/>
      <c r="AB62" s="126"/>
      <c r="AC62" s="126"/>
      <c r="AD62" s="126"/>
      <c r="AE62" s="126">
        <f t="shared" si="27"/>
        <v>0</v>
      </c>
      <c r="AF62" s="126"/>
      <c r="AG62" s="126"/>
      <c r="AH62" s="126"/>
      <c r="AI62" s="126"/>
      <c r="AJ62" s="126"/>
      <c r="AK62" s="126"/>
      <c r="AL62" s="126"/>
      <c r="AM62" s="126"/>
      <c r="AN62" s="126"/>
      <c r="AO62" s="126"/>
      <c r="AP62" s="126"/>
      <c r="AQ62" s="126"/>
      <c r="AR62" s="126"/>
      <c r="AS62" s="126"/>
      <c r="AT62" s="126"/>
      <c r="AU62" s="126"/>
      <c r="AV62" s="126"/>
      <c r="AW62" s="126"/>
      <c r="AX62" s="126"/>
      <c r="AY62" s="126"/>
      <c r="AZ62" s="126"/>
      <c r="BA62" s="126"/>
      <c r="BB62" s="126"/>
      <c r="BC62" s="126"/>
      <c r="BD62" s="126"/>
      <c r="BE62" s="126"/>
      <c r="BF62" s="126"/>
      <c r="BG62" s="126">
        <f>D62-BL62</f>
        <v>0</v>
      </c>
      <c r="BH62" s="126">
        <f t="shared" si="22"/>
        <v>0</v>
      </c>
      <c r="BI62" s="126"/>
      <c r="BJ62" s="126"/>
      <c r="BK62" s="126"/>
      <c r="BL62" s="126">
        <f>E62+W62+X62+Y62+Z62+AA62+AB62+AC62+AD62+AE62+AQ62+AR62+AS62+AT62+AU62+AV62+AW62+AX62+AY62+AZ62+BA62+BB62+BC62+BD62+BE62+BF62+BH62</f>
        <v>0</v>
      </c>
      <c r="BM62" s="126">
        <f>BG67-BL62</f>
        <v>0</v>
      </c>
      <c r="BN62" s="126">
        <f t="shared" si="29"/>
        <v>0</v>
      </c>
      <c r="BP62" s="123"/>
    </row>
    <row r="63" spans="1:68" s="115" customFormat="1" ht="21.75" customHeight="1">
      <c r="A63" s="6">
        <v>3</v>
      </c>
      <c r="B63" s="109" t="s">
        <v>123</v>
      </c>
      <c r="C63" s="114" t="s">
        <v>124</v>
      </c>
      <c r="D63" s="114">
        <f>D64+D65+D66</f>
        <v>0</v>
      </c>
      <c r="E63" s="114">
        <f>E64+E65+E66</f>
        <v>0</v>
      </c>
      <c r="F63" s="114">
        <f t="shared" ref="F63:U63" si="30">F64+F65+F66</f>
        <v>0</v>
      </c>
      <c r="G63" s="114">
        <f t="shared" si="30"/>
        <v>0</v>
      </c>
      <c r="H63" s="114">
        <f t="shared" si="30"/>
        <v>0</v>
      </c>
      <c r="I63" s="114">
        <f t="shared" si="30"/>
        <v>0</v>
      </c>
      <c r="J63" s="114">
        <f t="shared" si="30"/>
        <v>0</v>
      </c>
      <c r="K63" s="114">
        <f t="shared" si="30"/>
        <v>0</v>
      </c>
      <c r="L63" s="114">
        <f t="shared" si="30"/>
        <v>0</v>
      </c>
      <c r="M63" s="114">
        <f t="shared" si="30"/>
        <v>0</v>
      </c>
      <c r="N63" s="114">
        <f t="shared" si="30"/>
        <v>0</v>
      </c>
      <c r="O63" s="114">
        <f t="shared" si="30"/>
        <v>0</v>
      </c>
      <c r="P63" s="114">
        <f t="shared" si="30"/>
        <v>0</v>
      </c>
      <c r="Q63" s="114">
        <f t="shared" si="30"/>
        <v>0</v>
      </c>
      <c r="R63" s="114">
        <f t="shared" si="30"/>
        <v>0</v>
      </c>
      <c r="S63" s="114">
        <f t="shared" si="30"/>
        <v>0</v>
      </c>
      <c r="T63" s="114">
        <f t="shared" si="30"/>
        <v>0</v>
      </c>
      <c r="U63" s="114">
        <f t="shared" si="30"/>
        <v>0</v>
      </c>
      <c r="V63" s="114">
        <f>V64+V65+V66</f>
        <v>0</v>
      </c>
      <c r="W63" s="114">
        <f t="shared" ref="W63:BG63" si="31">W64+W65+W66</f>
        <v>0</v>
      </c>
      <c r="X63" s="114">
        <f t="shared" si="31"/>
        <v>0</v>
      </c>
      <c r="Y63" s="114">
        <f t="shared" si="31"/>
        <v>0</v>
      </c>
      <c r="Z63" s="114">
        <f t="shared" si="31"/>
        <v>0</v>
      </c>
      <c r="AA63" s="114">
        <f t="shared" si="31"/>
        <v>0</v>
      </c>
      <c r="AB63" s="114">
        <f t="shared" si="31"/>
        <v>0</v>
      </c>
      <c r="AC63" s="114">
        <f t="shared" si="31"/>
        <v>0</v>
      </c>
      <c r="AD63" s="114">
        <f t="shared" si="31"/>
        <v>0</v>
      </c>
      <c r="AE63" s="114">
        <f t="shared" si="31"/>
        <v>0</v>
      </c>
      <c r="AF63" s="114">
        <f t="shared" si="31"/>
        <v>0</v>
      </c>
      <c r="AG63" s="114">
        <f t="shared" si="31"/>
        <v>0</v>
      </c>
      <c r="AH63" s="114">
        <f t="shared" si="31"/>
        <v>0</v>
      </c>
      <c r="AI63" s="114">
        <f t="shared" si="31"/>
        <v>0</v>
      </c>
      <c r="AJ63" s="114">
        <f t="shared" si="31"/>
        <v>0</v>
      </c>
      <c r="AK63" s="114">
        <f t="shared" si="31"/>
        <v>0</v>
      </c>
      <c r="AL63" s="114">
        <f t="shared" si="31"/>
        <v>0</v>
      </c>
      <c r="AM63" s="114">
        <f t="shared" si="31"/>
        <v>0</v>
      </c>
      <c r="AN63" s="114">
        <f t="shared" si="31"/>
        <v>0</v>
      </c>
      <c r="AO63" s="114">
        <f t="shared" si="31"/>
        <v>0</v>
      </c>
      <c r="AP63" s="114">
        <f t="shared" si="31"/>
        <v>0</v>
      </c>
      <c r="AQ63" s="114">
        <f t="shared" si="31"/>
        <v>0</v>
      </c>
      <c r="AR63" s="114">
        <f t="shared" si="31"/>
        <v>0</v>
      </c>
      <c r="AS63" s="114">
        <f t="shared" si="31"/>
        <v>0</v>
      </c>
      <c r="AT63" s="114">
        <f t="shared" si="31"/>
        <v>0</v>
      </c>
      <c r="AU63" s="114">
        <f t="shared" si="31"/>
        <v>0</v>
      </c>
      <c r="AV63" s="114">
        <f t="shared" si="31"/>
        <v>0</v>
      </c>
      <c r="AW63" s="114">
        <f t="shared" si="31"/>
        <v>0</v>
      </c>
      <c r="AX63" s="114">
        <f t="shared" si="31"/>
        <v>0</v>
      </c>
      <c r="AY63" s="114">
        <f t="shared" si="31"/>
        <v>0</v>
      </c>
      <c r="AZ63" s="114">
        <f t="shared" si="31"/>
        <v>0</v>
      </c>
      <c r="BA63" s="114">
        <f t="shared" si="31"/>
        <v>0</v>
      </c>
      <c r="BB63" s="114">
        <f t="shared" si="31"/>
        <v>0</v>
      </c>
      <c r="BC63" s="114">
        <f t="shared" si="31"/>
        <v>0</v>
      </c>
      <c r="BD63" s="114">
        <f t="shared" si="31"/>
        <v>0</v>
      </c>
      <c r="BE63" s="114">
        <f t="shared" si="31"/>
        <v>0</v>
      </c>
      <c r="BF63" s="114">
        <f t="shared" si="31"/>
        <v>0</v>
      </c>
      <c r="BG63" s="114">
        <f t="shared" si="31"/>
        <v>0</v>
      </c>
      <c r="BH63" s="114">
        <f>D63-BL63</f>
        <v>0</v>
      </c>
      <c r="BI63" s="114">
        <f t="shared" ref="BI63:BN63" si="32">BI64+BI65+BI66</f>
        <v>0</v>
      </c>
      <c r="BJ63" s="114">
        <f t="shared" si="32"/>
        <v>0</v>
      </c>
      <c r="BK63" s="114">
        <f t="shared" si="32"/>
        <v>0</v>
      </c>
      <c r="BL63" s="114">
        <f t="shared" si="32"/>
        <v>0</v>
      </c>
      <c r="BM63" s="114">
        <f t="shared" si="32"/>
        <v>0</v>
      </c>
      <c r="BN63" s="114">
        <f t="shared" si="32"/>
        <v>0</v>
      </c>
    </row>
    <row r="64" spans="1:68" ht="21.75" customHeight="1">
      <c r="A64" s="5" t="s">
        <v>220</v>
      </c>
      <c r="B64" s="72" t="s">
        <v>461</v>
      </c>
      <c r="C64" s="126" t="s">
        <v>209</v>
      </c>
      <c r="D64" s="126"/>
      <c r="E64" s="126">
        <f t="shared" si="4"/>
        <v>0</v>
      </c>
      <c r="F64" s="126">
        <f t="shared" si="21"/>
        <v>0</v>
      </c>
      <c r="G64" s="126">
        <f t="shared" si="8"/>
        <v>0</v>
      </c>
      <c r="H64" s="126">
        <f t="shared" si="12"/>
        <v>0</v>
      </c>
      <c r="I64" s="126"/>
      <c r="J64" s="126"/>
      <c r="K64" s="126"/>
      <c r="L64" s="126"/>
      <c r="M64" s="126"/>
      <c r="N64" s="126"/>
      <c r="O64" s="126">
        <f>SUM(P64:R64)</f>
        <v>0</v>
      </c>
      <c r="P64" s="126"/>
      <c r="Q64" s="126"/>
      <c r="R64" s="126"/>
      <c r="S64" s="126"/>
      <c r="T64" s="126"/>
      <c r="U64" s="126"/>
      <c r="V64" s="126">
        <f t="shared" si="13"/>
        <v>0</v>
      </c>
      <c r="W64" s="126"/>
      <c r="X64" s="126"/>
      <c r="Y64" s="126"/>
      <c r="Z64" s="126"/>
      <c r="AA64" s="126"/>
      <c r="AB64" s="126"/>
      <c r="AC64" s="126"/>
      <c r="AD64" s="126"/>
      <c r="AE64" s="126">
        <f t="shared" si="27"/>
        <v>0</v>
      </c>
      <c r="AF64" s="126"/>
      <c r="AG64" s="126"/>
      <c r="AH64" s="126"/>
      <c r="AI64" s="126"/>
      <c r="AJ64" s="126"/>
      <c r="AK64" s="126"/>
      <c r="AL64" s="126"/>
      <c r="AM64" s="126"/>
      <c r="AN64" s="126"/>
      <c r="AO64" s="126"/>
      <c r="AP64" s="126"/>
      <c r="AQ64" s="126"/>
      <c r="AR64" s="126"/>
      <c r="AS64" s="126"/>
      <c r="AT64" s="126"/>
      <c r="AU64" s="126"/>
      <c r="AV64" s="126"/>
      <c r="AW64" s="126"/>
      <c r="AX64" s="126"/>
      <c r="AY64" s="126"/>
      <c r="AZ64" s="126"/>
      <c r="BA64" s="126"/>
      <c r="BB64" s="126"/>
      <c r="BC64" s="126"/>
      <c r="BD64" s="126"/>
      <c r="BE64" s="126"/>
      <c r="BF64" s="126"/>
      <c r="BG64" s="126"/>
      <c r="BH64" s="126">
        <f>BI64+BJ64+BK64</f>
        <v>0</v>
      </c>
      <c r="BI64" s="126">
        <f>D64-BL64</f>
        <v>0</v>
      </c>
      <c r="BJ64" s="126"/>
      <c r="BK64" s="126"/>
      <c r="BL64" s="126">
        <f>E64+V64</f>
        <v>0</v>
      </c>
      <c r="BM64" s="126">
        <f>BI67-BL64</f>
        <v>0</v>
      </c>
      <c r="BN64" s="126">
        <f>D64+BM64</f>
        <v>0</v>
      </c>
      <c r="BP64" s="123"/>
    </row>
    <row r="65" spans="1:68" ht="21.75" customHeight="1">
      <c r="A65" s="5" t="s">
        <v>221</v>
      </c>
      <c r="B65" s="72" t="s">
        <v>462</v>
      </c>
      <c r="C65" s="126" t="s">
        <v>210</v>
      </c>
      <c r="D65" s="126"/>
      <c r="E65" s="126">
        <f t="shared" si="4"/>
        <v>0</v>
      </c>
      <c r="F65" s="126">
        <f t="shared" si="21"/>
        <v>0</v>
      </c>
      <c r="G65" s="126">
        <f t="shared" si="8"/>
        <v>0</v>
      </c>
      <c r="H65" s="126">
        <f t="shared" si="12"/>
        <v>0</v>
      </c>
      <c r="I65" s="126"/>
      <c r="J65" s="126"/>
      <c r="K65" s="126"/>
      <c r="L65" s="126"/>
      <c r="M65" s="126"/>
      <c r="N65" s="126"/>
      <c r="O65" s="126">
        <f t="shared" ref="O65:O66" si="33">SUM(P65:R65)</f>
        <v>0</v>
      </c>
      <c r="P65" s="126"/>
      <c r="Q65" s="126"/>
      <c r="R65" s="126"/>
      <c r="S65" s="126"/>
      <c r="T65" s="126"/>
      <c r="U65" s="126"/>
      <c r="V65" s="126">
        <f t="shared" si="13"/>
        <v>0</v>
      </c>
      <c r="W65" s="126"/>
      <c r="X65" s="126"/>
      <c r="Y65" s="126"/>
      <c r="Z65" s="126"/>
      <c r="AA65" s="126"/>
      <c r="AB65" s="126"/>
      <c r="AC65" s="126"/>
      <c r="AD65" s="126"/>
      <c r="AE65" s="126">
        <f t="shared" si="27"/>
        <v>0</v>
      </c>
      <c r="AF65" s="126"/>
      <c r="AG65" s="126"/>
      <c r="AH65" s="126"/>
      <c r="AI65" s="126"/>
      <c r="AJ65" s="126"/>
      <c r="AK65" s="126"/>
      <c r="AL65" s="126"/>
      <c r="AM65" s="126"/>
      <c r="AN65" s="126"/>
      <c r="AO65" s="126"/>
      <c r="AP65" s="126"/>
      <c r="AQ65" s="126"/>
      <c r="AR65" s="126"/>
      <c r="AS65" s="126"/>
      <c r="AT65" s="126"/>
      <c r="AU65" s="126"/>
      <c r="AV65" s="126"/>
      <c r="AW65" s="126"/>
      <c r="AX65" s="126"/>
      <c r="AY65" s="126"/>
      <c r="AZ65" s="126"/>
      <c r="BA65" s="126"/>
      <c r="BB65" s="126"/>
      <c r="BC65" s="126"/>
      <c r="BD65" s="126"/>
      <c r="BE65" s="126"/>
      <c r="BF65" s="126"/>
      <c r="BG65" s="126"/>
      <c r="BH65" s="126">
        <f>BI65+BJ65+BK65</f>
        <v>0</v>
      </c>
      <c r="BI65" s="126"/>
      <c r="BJ65" s="126">
        <f>D65-BL65</f>
        <v>0</v>
      </c>
      <c r="BK65" s="126"/>
      <c r="BL65" s="126">
        <f>E65+V65</f>
        <v>0</v>
      </c>
      <c r="BM65" s="126">
        <f>BJ67-BL65</f>
        <v>0</v>
      </c>
      <c r="BN65" s="126">
        <f>D65+BM65</f>
        <v>0</v>
      </c>
      <c r="BP65" s="123"/>
    </row>
    <row r="66" spans="1:68" ht="21.75" customHeight="1">
      <c r="A66" s="5" t="s">
        <v>222</v>
      </c>
      <c r="B66" s="72" t="s">
        <v>492</v>
      </c>
      <c r="C66" s="126" t="s">
        <v>211</v>
      </c>
      <c r="D66" s="126"/>
      <c r="E66" s="126">
        <f t="shared" si="4"/>
        <v>0</v>
      </c>
      <c r="F66" s="126">
        <f t="shared" si="21"/>
        <v>0</v>
      </c>
      <c r="G66" s="126">
        <f t="shared" si="8"/>
        <v>0</v>
      </c>
      <c r="H66" s="126">
        <f t="shared" si="12"/>
        <v>0</v>
      </c>
      <c r="I66" s="126"/>
      <c r="J66" s="126"/>
      <c r="K66" s="126"/>
      <c r="L66" s="126"/>
      <c r="M66" s="126"/>
      <c r="N66" s="126"/>
      <c r="O66" s="126">
        <f t="shared" si="33"/>
        <v>0</v>
      </c>
      <c r="P66" s="126"/>
      <c r="Q66" s="126"/>
      <c r="R66" s="126"/>
      <c r="S66" s="126"/>
      <c r="T66" s="126"/>
      <c r="U66" s="126"/>
      <c r="V66" s="126">
        <f t="shared" si="13"/>
        <v>0</v>
      </c>
      <c r="W66" s="126"/>
      <c r="X66" s="126"/>
      <c r="Y66" s="126"/>
      <c r="Z66" s="126"/>
      <c r="AA66" s="126"/>
      <c r="AB66" s="126"/>
      <c r="AC66" s="126"/>
      <c r="AD66" s="126"/>
      <c r="AE66" s="126">
        <f t="shared" si="27"/>
        <v>0</v>
      </c>
      <c r="AF66" s="126"/>
      <c r="AG66" s="126"/>
      <c r="AH66" s="126"/>
      <c r="AI66" s="126"/>
      <c r="AJ66" s="126"/>
      <c r="AK66" s="126"/>
      <c r="AL66" s="126"/>
      <c r="AM66" s="126"/>
      <c r="AN66" s="126"/>
      <c r="AO66" s="126"/>
      <c r="AP66" s="126"/>
      <c r="AQ66" s="126"/>
      <c r="AR66" s="126"/>
      <c r="AS66" s="126"/>
      <c r="AT66" s="126"/>
      <c r="AU66" s="126"/>
      <c r="AV66" s="126"/>
      <c r="AW66" s="126"/>
      <c r="AX66" s="126"/>
      <c r="AY66" s="126"/>
      <c r="AZ66" s="126"/>
      <c r="BA66" s="126"/>
      <c r="BB66" s="126"/>
      <c r="BC66" s="126"/>
      <c r="BD66" s="126"/>
      <c r="BE66" s="126"/>
      <c r="BF66" s="126"/>
      <c r="BG66" s="126"/>
      <c r="BH66" s="126">
        <f>BI66+BJ66+BK66</f>
        <v>0</v>
      </c>
      <c r="BI66" s="126"/>
      <c r="BJ66" s="126"/>
      <c r="BK66" s="126">
        <f>D66-BL66</f>
        <v>0</v>
      </c>
      <c r="BL66" s="126">
        <f>E66+V66</f>
        <v>0</v>
      </c>
      <c r="BM66" s="126">
        <f>D66-BL66</f>
        <v>0</v>
      </c>
      <c r="BN66" s="126">
        <f>D66+BM66</f>
        <v>0</v>
      </c>
      <c r="BP66" s="123"/>
    </row>
    <row r="67" spans="1:68" s="115" customFormat="1" ht="24.75" customHeight="1">
      <c r="A67" s="416"/>
      <c r="B67" s="416" t="s">
        <v>190</v>
      </c>
      <c r="C67" s="417"/>
      <c r="D67" s="417"/>
      <c r="E67" s="417">
        <f>E25+E63</f>
        <v>0</v>
      </c>
      <c r="F67" s="417">
        <f>F18+F22+F23+F24+F25+F63</f>
        <v>0</v>
      </c>
      <c r="G67" s="417">
        <f>G17+G18+G22+G23+G24+G25+G63</f>
        <v>0</v>
      </c>
      <c r="H67" s="417">
        <f>H15+H16+H17+H18+H22+H23+H24+H25+H63</f>
        <v>0</v>
      </c>
      <c r="I67" s="417">
        <f>I13+I14+I15+I16+I17+I18+I22+I23+I24+I25+I63</f>
        <v>0</v>
      </c>
      <c r="J67" s="417">
        <f>J12+J14+J15+J16+J17+J18+J22+J23+J24+J25+J63</f>
        <v>0</v>
      </c>
      <c r="K67" s="417">
        <f>K12+K13+K15+K16+K17+K18+K22+K23+K24+K25+K63</f>
        <v>0</v>
      </c>
      <c r="L67" s="417">
        <f>L12+L13+L14+L16+L17+L18+L22+L23+L24+L25+L63</f>
        <v>0</v>
      </c>
      <c r="M67" s="417">
        <f>M12+M13+M14+M15+M17+M18+M22+M23+M24+M25+M63</f>
        <v>0</v>
      </c>
      <c r="N67" s="417">
        <f>N12+N13+N14+N15+N16+N18+N22+N23+N24+N25+N63</f>
        <v>0</v>
      </c>
      <c r="O67" s="417">
        <f>O9+O22+O23+O24+O25+O63</f>
        <v>0</v>
      </c>
      <c r="P67" s="417">
        <f>P10+P17+P20+P21+P22+P23+P24+P25+P63</f>
        <v>0</v>
      </c>
      <c r="Q67" s="417">
        <f>Q12+Q13+Q14+Q15+Q16+Q17+Q19+Q21+Q22+Q23+Q24+Q25+Q63</f>
        <v>0</v>
      </c>
      <c r="R67" s="417">
        <f>R12+R13+R14+R15+R16+R17+R19+R20+R22+R23+R24+R25+R63</f>
        <v>0</v>
      </c>
      <c r="S67" s="417">
        <f>S9+S18+S23+S24+S25+S63</f>
        <v>0</v>
      </c>
      <c r="T67" s="417">
        <f>T9+T18+T22+T24+T25+T63</f>
        <v>0</v>
      </c>
      <c r="U67" s="417">
        <f>U9+U18+U22+U23+U25+U63</f>
        <v>0</v>
      </c>
      <c r="V67" s="417">
        <f>V8+V63</f>
        <v>0</v>
      </c>
      <c r="W67" s="417">
        <f>W8+W27+W28+W29+W30+W31+W32+W33+W34+W46+W47+W48+W49+W50+W51+W52+W53+W54+W55+W56+W57+W58+W59+W60+W61+W62+W63</f>
        <v>0</v>
      </c>
      <c r="X67" s="417">
        <f>X8+X26+X28+X29+X30+X31+X32+X33+X34+X46+X47+X48+X49+X50+X51+X52+X53+X54+X55+X56+X57+X58+X59+X60+X61+X62+X63</f>
        <v>0</v>
      </c>
      <c r="Y67" s="417">
        <f>Y8+Y26+Y27+Y29+Y30+Y31+Y32+Y33+Y34+Y46+Y47+Y48+Y49+Y50+Y51+Y52+Y53+Y54+Y55+Y56+Y57+Y58+Y59+Y60+Y61+Y62+Y63</f>
        <v>0</v>
      </c>
      <c r="Z67" s="417">
        <f>Z8+Z26+Z27+Z28+Z30+Z31+Z32+Z33+Z34+Z46+Z47+Z48+Z49+Z50+Z51+Z52+Z53+Z54+Z55+Z56+Z57+Z58+Z59+Z60+Z61+Z62+Z63</f>
        <v>0</v>
      </c>
      <c r="AA67" s="417">
        <f>AA8+AA26+AA27+AA28+AA29+AA31+AA32+AA33+AA34+AA46+AA47+AA48+AA49+AA50+AA51+AA52+AA53+AA54+AA55+AA56+AA57+AA58+AA59+AA60+AA61+AA62+AA63</f>
        <v>0</v>
      </c>
      <c r="AB67" s="417">
        <f>AB8+AB26+AB27+AB28+AB29+AB30+AB32+AB33+AB34+AB46+AB47+AB48+AB49+AB50+AB51+AB52+AB53+AB54+AB55+AB56+AB57+AB58+AB59+AB60+AB61+AB62+AB63</f>
        <v>0</v>
      </c>
      <c r="AC67" s="417">
        <f>AC8+AC26+AC27+AC28+AC29+AC30+AC31+AC33+AC34+AC46+AC47+AC48+AC49+AC50+AC51+AC52+AC53+AC54+AC55+AC56+AC57+AC58+AC59+AC60+AC61+AC62+AC63</f>
        <v>0</v>
      </c>
      <c r="AD67" s="417">
        <f>AD8+AD26+AD27+AD28+AD29+AD30+AD31+AD32+AD34+AD46+AD47+AD48+AD49+AD50+AD51+AD52+AD53+AD54+AD55+AD56+AD57+AD58+AD59+AD60+AD61+AD62+AD63</f>
        <v>0</v>
      </c>
      <c r="AE67" s="417">
        <f>AE8+AE26+AE27+AE28+AE29+AE30+AE31+AE32+AE33+AE46+AE47+AE48+AE49+AE50+AE51+AE52+AE53+AE54+AE55+AE56+AE57+AE58+AE59+AE60+AE61+AE62+AE63</f>
        <v>0</v>
      </c>
      <c r="AF67" s="417">
        <f>AF8+AF26+AF27+AF28+AF29+AF30+AF31+AF32+AF33+AF3+AF36+AF37+AF38+AF39+AF40+AF41+AF42+AF43+AF44+AF45+AF46+AF47+AF48+AF49+AF50+AF51+AF52+AF53+AF54+AF55+AF56+AF57+AF58+AF59+AF60+AF61+AF62+AF63</f>
        <v>0</v>
      </c>
      <c r="AG67" s="417">
        <f>AG8+AG26+AG27+AG28+AG29+AG30+AG31+AG32+AG33+AG35+AG37+AG38+AG39+AG40+AG41+AG42+AG43+AG44+AG45+AG46+AG47+AG48+AG49+AG50+AG51+AG52+AG53+AG54+AG55+AG56+AG57+AG58+AG59+AG60+AG61+AG62+AG63</f>
        <v>0</v>
      </c>
      <c r="AH67" s="417">
        <f>AH8+AH26+AH27+AH28+AH29+AH30+AH31+AH32+AH33+AH35+AH36+AH38+AH39+AH40+AH41+AH42+AH43+AH44+AH45+AH46+AH47+AH48+AH49+AH50+AH51+AH52+AH53+AH54+AH55+AH56+AH57+AH58+AH59+AH60+AH61+AH62+AH63</f>
        <v>0</v>
      </c>
      <c r="AI67" s="417">
        <f>AI8+AI26+AI27+AI28+AI29+AI30+AI31+AI32+AI33+AI35+AI36+AI37+AI39+AI40+AI41+AI42+AI43+AI44+AI45+AI46+AI47+AI48+AI49+AI50+AI51+AI52+AI53+AI54+AI55+AI56+AI57+AI58+AI59+AI60+AI61+AI62+AI63</f>
        <v>0</v>
      </c>
      <c r="AJ67" s="417">
        <f>AJ8+AJ26+AJ27+AJ28+AJ29+AJ30+AJ31+AJ32+AJ33+AJ35+AJ36+AJ37+AJ38+AJ40+AJ41+AJ42+AJ43+AJ44+AJ45+AJ46+AJ47+AJ48+AJ49+AJ50+AJ51+AJ52+AJ53+AJ54+AJ55+AJ56+AJ57+AJ58+AJ59+AJ60+AJ61+AJ62+AJ63</f>
        <v>0</v>
      </c>
      <c r="AK67" s="417">
        <f>AK8+AK26+AK27+AK28+AK29+AK30+AK31+AK32+AK33+AK35+AK36+AK37+AK38+AK39+AK41+AK42+AK43+AK44+AK45+AK46+AK47+AK48+AK49+AK50+AK51+AK52+AK53+AK54+AK55+AK56+AK57+AK58+AK59+AK60+AK61+AK62+AK63</f>
        <v>0</v>
      </c>
      <c r="AL67" s="417">
        <f>AL8+AL26+AL27+AL28+AL29+AL30+AL31+AL32+AL33+AL35+AL36+AL37+AL38+AL39+AL40+AL42+AL43+AL44+AL45+AL46+AL47+AL48+AL49+AL50+AL51+AL52+AL53+AL54+AL55+AL56+AL57+AL58+AL59+AL60+AL61+AL62+AL63</f>
        <v>0</v>
      </c>
      <c r="AM67" s="417">
        <f>AM8+AM26+AM27+AM28+AM29+AM30+AM31+AM32+AM33+AM35+AM36+AM37+AM38+AM39+AM40+AM41+AM43+AM44+AM45+AM46+AM47+AM48+AM49+AM50+AM51+AM52+AM53+AM54+AM55+AM56+AM57+AM58+AM59+AM60+AM61+AM62+AM63</f>
        <v>0</v>
      </c>
      <c r="AN67" s="417">
        <f>AN8+AN26+AN27+AN28+AN29+AN30+AN31+AN32+AN33+AN35+AN36+AN37+AN38+AN39+AN40+AN41+AN42+AN44+AN45+AN46+AN47+AN48+AN49+AN50+AN51+AN52+AN53+AN54+AN55+AN56+AN57+AN58+AN59+AN60+AN61+AN62+AN63</f>
        <v>0</v>
      </c>
      <c r="AO67" s="417">
        <f>AO8+AO26+AO27+AO28+AO29+AO30+AO31+AO32+AO33+AO35+AO36+AO37+AO38+AO39+AO40+AO41+AO42+AO43+AO45+AO46+AO47+AO48+AO49+AO50+AO51+AO52+AO53+AO54+AO55+AO56+AO57+AO58+AO59+AO60+AO61+AO62+AO63</f>
        <v>0</v>
      </c>
      <c r="AP67" s="417">
        <f>AP8+AP26+AP27+AP28+AP29+AP30+AP31+AP32+AP33+AP35+AP36+AP37+AP38+AP39+AP40+AP41+AP42+AP43+AP44+AP46+AP47+AP48+AP49+AP50+AP51+AP52+AP53+AP54+AP55+AP56+AP57+AP58+AP59+AP60+AP61+AP62+AP63</f>
        <v>0</v>
      </c>
      <c r="AQ67" s="417">
        <f>AQ8+AQ26+AQ27+AQ28+AQ29+AQ30+AQ31+AQ32+AQ33+AQ34+AQ47+AQ48+AQ49+AQ50+AQ51+AQ52+AQ53+AQ54+AQ55+AQ56+AQ57+AQ58+AQ59+AQ60+AQ61+AQ62+AQ63</f>
        <v>0</v>
      </c>
      <c r="AR67" s="417">
        <f>AR8+AR26+AR27+AR28+AR29+AR30+AR31+AR32+AR33+AR34+AR46+AR48+AR49+AR50+AR51+AR52+AR53+AR54+AR55+AR56+AR57+AR58+AR59+AR60+AR61+AR62+AR63</f>
        <v>0</v>
      </c>
      <c r="AS67" s="417">
        <f>AS8+AS26+AS27+AS28+AS29+AS30+AS31+AS32+AS33+AS34+AS46+AS47+AS49+AS50+AS51+AS52+AS53+AS54+AS55+AS56+AS57+AS58+AS59+AS60+AS61+AS62+AS63</f>
        <v>0</v>
      </c>
      <c r="AT67" s="417">
        <f>AT8+AT26+AT27+AT28+AT29+AT30+AT31+AT32+AT33+AT34+AT46+AT47+AT48+AT50+AT51+AT52+AT53+AT54+AT55+AT56+AT57+AT58+AT59+AT60+AT61+AT62+AT63</f>
        <v>0</v>
      </c>
      <c r="AU67" s="417">
        <f>AU8+AU26+AU27+AU28+AU29+AU30+AU31+AU32+AU33+AU34+AU46+AU47+AU48+AU49+AU51+AU52+AU53+AU54+AU55+AU56+AU57+AU58+AU59+AU60+AU61+AU62+AU63</f>
        <v>0</v>
      </c>
      <c r="AV67" s="417">
        <f>AV8+AV26+AV27+AV28+AV29+AV30+AV31+AV32+AV33+AV34+AV46+AV47+AV48+AV49+AV50+AV52+AV53+AV54+AV55+AV56+AV57+AV58+AV59+AV60+AV61+AV62+AV63</f>
        <v>0</v>
      </c>
      <c r="AW67" s="417">
        <f>AW8+AW26+AW27+AW28+AW29+AW30+AW31+AW32+AW33+AW34+AW46+AW47+AW48+AW49+AW50+AW51+AW53+AW54+AW55+AW56+AW57+AW58+AW59+AW60+AW61+AW62+AW63</f>
        <v>0</v>
      </c>
      <c r="AX67" s="417">
        <f>AX8+AX26+AX27+AX28+AX29+AX30+AX31+AX32+AX33+AX34+AX46+AX47+AX48+AX49+AX50+AX51+AX52+AX54+AX55+AX56+AX57+AX58+AX59+AX60+AX61+AX62+AX63</f>
        <v>0</v>
      </c>
      <c r="AY67" s="417">
        <f>AY8+AY26+AY27+AY28+AY29+AY30+AY31+AY32+AY33+AY34+AY46+AY47+AY48+AY49+AY50+AY51+AY52+AY53+AY55+AY56+AY57+AY58+AY59+AY60+AY61+AY62+AY63</f>
        <v>0</v>
      </c>
      <c r="AZ67" s="417">
        <f>AZ8+AZ26+AZ27+AZ28+AZ29+AZ30+AZ31+AZ32+AZ33+AZ34+AZ46+AZ47+AZ48+AZ49+AZ50+AZ51+AZ52+AZ53+AZ54+AZ56+AZ57+AZ58+AZ59+AZ60+AZ61+AZ62+AZ63</f>
        <v>0</v>
      </c>
      <c r="BA67" s="417">
        <f>BA8+BA26+BA27+BA28+BA29+BA30+BA31+BA32+BA33+BA34+BA46+BA47+BA48+BA49+BA50+BA51+BA52+BA53+BA54+BA55+BA57+BA58+BA59+BA60+BA61+BA62+BA63</f>
        <v>0</v>
      </c>
      <c r="BB67" s="417">
        <f>BB8+BB26+BB27+BB28+BB29+BB30+BB31+BB32+BB33+BB34+BB46+BB47+BB48+BB49+BB50+BB51+BB52+BB53+BB54+BB55+BB56+BB58+BB59+BB60+BB61+BB62+BB63</f>
        <v>0</v>
      </c>
      <c r="BC67" s="417">
        <f>BC8+BC26+BC27+BC28+BC29+BC30+BC31+BC32+BC33+BC34+BC46+BC47+BC48+BC49+BC50+BC51+BC52+BC53+BC54+BC55+BC56+BC57+BC59+BC60+BC61+BC62+BC63</f>
        <v>0</v>
      </c>
      <c r="BD67" s="417">
        <f>BD8+BD26+BD27+BD28+BD29+BD30+BD31+BD32+BD33+BD34+BD46+BD47+BD48+BD49+BD50+BD51+BD52+BD53+BD54+BD55+BD56+BD57+BD58+BD60+BD61+BD62+BD63</f>
        <v>0</v>
      </c>
      <c r="BE67" s="417">
        <f>BE8+BE26+BE27+BE28+BE29+BE30+BE31+BE32+BE33+BE34+BE46+BE47+BE48+BE49+BE50+BE51+BE52+BE53+BE54+BE55+BE56+BE57+BE58+BE59+BE61+BE62+BE63</f>
        <v>0</v>
      </c>
      <c r="BF67" s="417">
        <f>BF8+BF26+BF27+BF28+BF29+BF30+BF31+BF32+BF33+BF34+BF46+BF47+BF48+BF49+BF50+BF51+BF52+BF53+BF54+BF55+BF56+BF57+BF58+BF59+BF60+BF62+BF63</f>
        <v>0</v>
      </c>
      <c r="BG67" s="417">
        <f>BG8+BG26+BG27+BG28+BG29+BG30+BG31+BG32+BG33+BG34+BG46+BG47+BG48+BG49+BG50+BG51+BG52+BG53+BG54+BG55+BG56+BG57+BG58+BG59+BG60+BG61+BG63</f>
        <v>0</v>
      </c>
      <c r="BH67" s="417">
        <f>BH8+BH25</f>
        <v>0</v>
      </c>
      <c r="BI67" s="417">
        <f>BI8+BI25+BI65+BI66</f>
        <v>0</v>
      </c>
      <c r="BJ67" s="417">
        <f>BJ8+BJ25+BJ64+BJ66</f>
        <v>0</v>
      </c>
      <c r="BK67" s="417">
        <f>BK8+BK25+BK64+BK65</f>
        <v>0</v>
      </c>
      <c r="BL67" s="417"/>
      <c r="BM67" s="417"/>
      <c r="BN67" s="417"/>
    </row>
    <row r="68" spans="1:68" s="117" customFormat="1" ht="31.5" customHeight="1">
      <c r="A68" s="10"/>
      <c r="B68" s="10" t="s">
        <v>366</v>
      </c>
      <c r="C68" s="10"/>
      <c r="D68" s="10">
        <f>BN7</f>
        <v>0</v>
      </c>
      <c r="E68" s="10">
        <f>BN8</f>
        <v>0</v>
      </c>
      <c r="F68" s="10">
        <f>BN9</f>
        <v>0</v>
      </c>
      <c r="G68" s="10">
        <f>BN10</f>
        <v>0</v>
      </c>
      <c r="H68" s="10">
        <f>BN11</f>
        <v>0</v>
      </c>
      <c r="I68" s="10">
        <f>BN12</f>
        <v>0</v>
      </c>
      <c r="J68" s="10">
        <f>BN13</f>
        <v>0</v>
      </c>
      <c r="K68" s="10">
        <f>BN14</f>
        <v>0</v>
      </c>
      <c r="L68" s="10">
        <f>BN15</f>
        <v>0</v>
      </c>
      <c r="M68" s="10">
        <f>BN16</f>
        <v>0</v>
      </c>
      <c r="N68" s="10">
        <f>BN17</f>
        <v>0</v>
      </c>
      <c r="O68" s="10">
        <f>BN18</f>
        <v>0</v>
      </c>
      <c r="P68" s="10">
        <f>BN19</f>
        <v>0</v>
      </c>
      <c r="Q68" s="10">
        <f>BN20</f>
        <v>0</v>
      </c>
      <c r="R68" s="10">
        <f>BN21</f>
        <v>0</v>
      </c>
      <c r="S68" s="10">
        <f>BN22</f>
        <v>0</v>
      </c>
      <c r="T68" s="10">
        <f>BN23</f>
        <v>0</v>
      </c>
      <c r="U68" s="10">
        <f>BN24</f>
        <v>0</v>
      </c>
      <c r="V68" s="10">
        <f>BN25</f>
        <v>0</v>
      </c>
      <c r="W68" s="10">
        <f>BN26</f>
        <v>0</v>
      </c>
      <c r="X68" s="10">
        <f>BN27</f>
        <v>0</v>
      </c>
      <c r="Y68" s="10">
        <f>BN28</f>
        <v>0</v>
      </c>
      <c r="Z68" s="10">
        <f>BN29</f>
        <v>0</v>
      </c>
      <c r="AA68" s="10">
        <f>BN30</f>
        <v>0</v>
      </c>
      <c r="AB68" s="10">
        <f>BN31</f>
        <v>0</v>
      </c>
      <c r="AC68" s="10">
        <f>BN32</f>
        <v>0</v>
      </c>
      <c r="AD68" s="10">
        <f>BN33</f>
        <v>0</v>
      </c>
      <c r="AE68" s="10">
        <f>BN34</f>
        <v>0</v>
      </c>
      <c r="AF68" s="10">
        <f>BN35</f>
        <v>0</v>
      </c>
      <c r="AG68" s="10">
        <f>BN36</f>
        <v>0</v>
      </c>
      <c r="AH68" s="10">
        <f>BN37</f>
        <v>0</v>
      </c>
      <c r="AI68" s="10">
        <f>BN38</f>
        <v>0</v>
      </c>
      <c r="AJ68" s="10">
        <f>BN39</f>
        <v>0</v>
      </c>
      <c r="AK68" s="10">
        <f>BN40</f>
        <v>0</v>
      </c>
      <c r="AL68" s="10">
        <f>BN41</f>
        <v>0</v>
      </c>
      <c r="AM68" s="10">
        <f>BN42</f>
        <v>0</v>
      </c>
      <c r="AN68" s="10">
        <f>BN43</f>
        <v>0</v>
      </c>
      <c r="AO68" s="10">
        <f>BN44</f>
        <v>0</v>
      </c>
      <c r="AP68" s="10">
        <f>BN45</f>
        <v>0</v>
      </c>
      <c r="AQ68" s="10">
        <f>BN46</f>
        <v>0</v>
      </c>
      <c r="AR68" s="10">
        <f>BN47</f>
        <v>0</v>
      </c>
      <c r="AS68" s="10">
        <f>BN48</f>
        <v>0</v>
      </c>
      <c r="AT68" s="10">
        <f>BN49</f>
        <v>0</v>
      </c>
      <c r="AU68" s="10">
        <f>BN50</f>
        <v>0</v>
      </c>
      <c r="AV68" s="10">
        <f>BN51</f>
        <v>0</v>
      </c>
      <c r="AW68" s="10">
        <f>BN52</f>
        <v>0</v>
      </c>
      <c r="AX68" s="10">
        <f>BN53</f>
        <v>0</v>
      </c>
      <c r="AY68" s="10">
        <f>BN54</f>
        <v>0</v>
      </c>
      <c r="AZ68" s="10">
        <f>BN55</f>
        <v>0</v>
      </c>
      <c r="BA68" s="10">
        <f>BN56</f>
        <v>0</v>
      </c>
      <c r="BB68" s="10">
        <f>BN57</f>
        <v>0</v>
      </c>
      <c r="BC68" s="10">
        <f>BN58</f>
        <v>0</v>
      </c>
      <c r="BD68" s="10">
        <f>BN59</f>
        <v>0</v>
      </c>
      <c r="BE68" s="10">
        <f>BN60</f>
        <v>0</v>
      </c>
      <c r="BF68" s="10">
        <f>BN61</f>
        <v>0</v>
      </c>
      <c r="BG68" s="10">
        <f>BN62</f>
        <v>0</v>
      </c>
      <c r="BH68" s="10">
        <f>BN63</f>
        <v>0</v>
      </c>
      <c r="BI68" s="10">
        <f>BN64</f>
        <v>0</v>
      </c>
      <c r="BJ68" s="10">
        <f>BN65</f>
        <v>0</v>
      </c>
      <c r="BK68" s="10">
        <f>BN66</f>
        <v>0</v>
      </c>
      <c r="BL68" s="10"/>
      <c r="BM68" s="10"/>
      <c r="BN68" s="10"/>
    </row>
    <row r="70" spans="1:68" ht="18" customHeight="1">
      <c r="A70" s="1300" t="s">
        <v>10</v>
      </c>
      <c r="B70" s="1300"/>
    </row>
    <row r="71" spans="1:68" ht="28.5" customHeight="1">
      <c r="A71" s="1300" t="s">
        <v>321</v>
      </c>
      <c r="B71" s="1300"/>
      <c r="C71" s="1300"/>
      <c r="D71" s="1300"/>
      <c r="E71" s="1300"/>
      <c r="F71" s="1300"/>
      <c r="G71" s="1300"/>
      <c r="H71" s="1300"/>
      <c r="I71" s="1300"/>
      <c r="J71" s="1300"/>
      <c r="K71" s="1300"/>
      <c r="L71" s="1300"/>
      <c r="M71" s="1300"/>
      <c r="N71" s="1300"/>
      <c r="O71" s="1300"/>
      <c r="P71" s="1300"/>
      <c r="Q71" s="1300"/>
      <c r="R71" s="1300"/>
      <c r="S71" s="1300"/>
      <c r="T71" s="1300"/>
      <c r="U71" s="1300"/>
      <c r="V71" s="1300"/>
      <c r="W71" s="1300"/>
      <c r="X71" s="1300"/>
      <c r="Y71" s="1300"/>
      <c r="Z71" s="1300"/>
      <c r="AA71" s="1300"/>
      <c r="AB71" s="1300"/>
      <c r="AC71" s="1300"/>
      <c r="AD71" s="1300"/>
      <c r="AE71" s="1300"/>
      <c r="AF71" s="1300"/>
      <c r="AG71" s="1300"/>
      <c r="AH71" s="1300"/>
      <c r="AI71" s="1300"/>
      <c r="AJ71" s="1300"/>
      <c r="AK71" s="1300"/>
      <c r="AL71" s="1300"/>
      <c r="AM71" s="1300"/>
      <c r="AN71" s="1300"/>
      <c r="AO71" s="1300"/>
      <c r="AP71" s="1300"/>
      <c r="AQ71" s="1300"/>
      <c r="AR71" s="1300"/>
      <c r="AS71" s="1300"/>
    </row>
    <row r="72" spans="1:68" ht="24.75" customHeight="1">
      <c r="A72" s="1300" t="s">
        <v>322</v>
      </c>
      <c r="B72" s="1300"/>
      <c r="C72" s="1300"/>
      <c r="D72" s="1300"/>
      <c r="E72" s="1300"/>
      <c r="F72" s="1300"/>
      <c r="G72" s="1300"/>
      <c r="H72" s="1300"/>
      <c r="I72" s="1300"/>
      <c r="J72" s="1300"/>
      <c r="K72" s="1300"/>
      <c r="L72" s="1300"/>
      <c r="M72" s="1300"/>
      <c r="N72" s="1300"/>
      <c r="O72" s="1300"/>
      <c r="P72" s="1300"/>
      <c r="Q72" s="1300"/>
      <c r="R72" s="1300"/>
      <c r="S72" s="1300"/>
      <c r="T72" s="1300"/>
      <c r="U72" s="1300"/>
      <c r="V72" s="1300"/>
      <c r="W72" s="1300"/>
      <c r="X72" s="1300"/>
      <c r="Y72" s="1300"/>
      <c r="Z72" s="1300"/>
      <c r="AA72" s="1300"/>
      <c r="AB72" s="1300"/>
      <c r="AC72" s="1300"/>
      <c r="AD72" s="1300"/>
      <c r="AE72" s="1300"/>
      <c r="AF72" s="1300"/>
      <c r="AG72" s="1300"/>
      <c r="AH72" s="1300"/>
      <c r="AI72" s="1300"/>
      <c r="AJ72" s="1300"/>
      <c r="AK72" s="1300"/>
      <c r="AL72" s="1300"/>
      <c r="AM72" s="1300"/>
      <c r="AN72" s="1300"/>
      <c r="AO72" s="1300"/>
      <c r="AP72" s="1300"/>
      <c r="AQ72" s="1300"/>
      <c r="AR72" s="1300"/>
      <c r="AS72" s="1300"/>
    </row>
    <row r="73" spans="1:68" ht="21.75" customHeight="1">
      <c r="AR73" s="1300" t="s">
        <v>138</v>
      </c>
      <c r="AS73" s="1300"/>
    </row>
    <row r="74" spans="1:68" ht="31.5" customHeight="1">
      <c r="A74" s="1300" t="s">
        <v>0</v>
      </c>
      <c r="B74" s="1300" t="s">
        <v>12</v>
      </c>
      <c r="C74" s="1300" t="s">
        <v>13</v>
      </c>
      <c r="D74" s="1300" t="s">
        <v>324</v>
      </c>
      <c r="E74" s="1300" t="s">
        <v>326</v>
      </c>
      <c r="F74" s="1300"/>
      <c r="G74" s="1300"/>
      <c r="H74" s="1300"/>
      <c r="I74" s="1300"/>
      <c r="J74" s="1300"/>
      <c r="K74" s="1300"/>
      <c r="L74" s="1300"/>
      <c r="M74" s="1300"/>
      <c r="N74" s="1300"/>
      <c r="O74" s="1300"/>
      <c r="P74" s="1300"/>
      <c r="Q74" s="1300"/>
      <c r="R74" s="1300"/>
      <c r="S74" s="1300"/>
      <c r="T74" s="1300"/>
      <c r="U74" s="1300"/>
      <c r="V74" s="1300"/>
      <c r="W74" s="1300"/>
      <c r="X74" s="1300"/>
      <c r="Y74" s="1300"/>
      <c r="Z74" s="1300"/>
      <c r="AA74" s="1300"/>
      <c r="AB74" s="1300"/>
      <c r="AC74" s="1300"/>
      <c r="AD74" s="1300"/>
      <c r="AE74" s="1300"/>
      <c r="AF74" s="1300"/>
      <c r="AG74" s="1300"/>
      <c r="AH74" s="1300"/>
      <c r="AI74" s="1300"/>
      <c r="AJ74" s="1300"/>
      <c r="AK74" s="1300"/>
      <c r="AL74" s="1300"/>
      <c r="AM74" s="1300"/>
      <c r="AN74" s="1300"/>
      <c r="AO74" s="1300"/>
      <c r="AP74" s="1300"/>
      <c r="AQ74" s="1300"/>
      <c r="AR74" s="1300" t="s">
        <v>191</v>
      </c>
      <c r="AS74" s="1300" t="s">
        <v>323</v>
      </c>
    </row>
    <row r="75" spans="1:68" ht="30" customHeight="1">
      <c r="A75" s="1300"/>
      <c r="B75" s="1300"/>
      <c r="C75" s="1300"/>
      <c r="D75" s="1300"/>
      <c r="E75" t="s">
        <v>15</v>
      </c>
      <c r="F75" t="s">
        <v>18</v>
      </c>
      <c r="G75" t="s">
        <v>20</v>
      </c>
      <c r="H75" t="s">
        <v>23</v>
      </c>
      <c r="I75" t="s">
        <v>26</v>
      </c>
      <c r="J75" t="s">
        <v>29</v>
      </c>
      <c r="K75" t="s">
        <v>32</v>
      </c>
      <c r="L75" t="s">
        <v>35</v>
      </c>
      <c r="M75" t="s">
        <v>38</v>
      </c>
      <c r="N75" t="s">
        <v>41</v>
      </c>
      <c r="O75" t="s">
        <v>44</v>
      </c>
      <c r="P75" t="s">
        <v>46</v>
      </c>
      <c r="Q75" t="s">
        <v>49</v>
      </c>
      <c r="R75" t="s">
        <v>52</v>
      </c>
      <c r="S75" t="s">
        <v>55</v>
      </c>
      <c r="T75" t="s">
        <v>58</v>
      </c>
      <c r="U75" t="s">
        <v>61</v>
      </c>
      <c r="V75" t="s">
        <v>64</v>
      </c>
      <c r="W75" t="s">
        <v>67</v>
      </c>
      <c r="X75" t="s">
        <v>70</v>
      </c>
      <c r="Y75" t="s">
        <v>72</v>
      </c>
      <c r="Z75" t="s">
        <v>75</v>
      </c>
      <c r="AA75" t="s">
        <v>78</v>
      </c>
      <c r="AB75" t="s">
        <v>81</v>
      </c>
      <c r="AC75" t="s">
        <v>84</v>
      </c>
      <c r="AD75" t="s">
        <v>87</v>
      </c>
      <c r="AE75" t="s">
        <v>90</v>
      </c>
      <c r="AF75" t="s">
        <v>93</v>
      </c>
      <c r="AG75" t="s">
        <v>96</v>
      </c>
      <c r="AH75" t="s">
        <v>99</v>
      </c>
      <c r="AI75" t="s">
        <v>101</v>
      </c>
      <c r="AJ75" t="s">
        <v>104</v>
      </c>
      <c r="AK75" t="s">
        <v>107</v>
      </c>
      <c r="AL75" t="s">
        <v>110</v>
      </c>
      <c r="AM75" t="s">
        <v>113</v>
      </c>
      <c r="AN75" t="s">
        <v>116</v>
      </c>
      <c r="AO75" t="s">
        <v>119</v>
      </c>
      <c r="AP75" t="s">
        <v>122</v>
      </c>
      <c r="AQ75" t="s">
        <v>124</v>
      </c>
      <c r="AR75" s="1300"/>
      <c r="AS75" s="1300"/>
    </row>
    <row r="76" spans="1:68" ht="27.75" customHeight="1">
      <c r="B76" t="s">
        <v>189</v>
      </c>
      <c r="D76">
        <f>D77+D88+D115</f>
        <v>0</v>
      </c>
      <c r="E76">
        <f t="shared" ref="E76:AS76" si="34">E77+E88+E115</f>
        <v>0</v>
      </c>
      <c r="F76">
        <f t="shared" si="34"/>
        <v>0</v>
      </c>
      <c r="G76">
        <f t="shared" si="34"/>
        <v>0</v>
      </c>
      <c r="H76">
        <f t="shared" si="34"/>
        <v>0</v>
      </c>
      <c r="I76">
        <f t="shared" si="34"/>
        <v>0</v>
      </c>
      <c r="J76">
        <f>J77+J88+J115</f>
        <v>0</v>
      </c>
      <c r="K76">
        <f t="shared" si="34"/>
        <v>0</v>
      </c>
      <c r="L76">
        <f t="shared" si="34"/>
        <v>0</v>
      </c>
      <c r="M76">
        <f t="shared" si="34"/>
        <v>0</v>
      </c>
      <c r="N76">
        <f t="shared" si="34"/>
        <v>0</v>
      </c>
      <c r="O76">
        <f t="shared" si="34"/>
        <v>0</v>
      </c>
      <c r="P76">
        <f t="shared" si="34"/>
        <v>0</v>
      </c>
      <c r="Q76">
        <f t="shared" si="34"/>
        <v>0</v>
      </c>
      <c r="R76">
        <f t="shared" si="34"/>
        <v>0</v>
      </c>
      <c r="S76">
        <f t="shared" si="34"/>
        <v>0</v>
      </c>
      <c r="T76">
        <f t="shared" si="34"/>
        <v>0</v>
      </c>
      <c r="U76">
        <f t="shared" si="34"/>
        <v>0</v>
      </c>
      <c r="V76">
        <f t="shared" si="34"/>
        <v>0</v>
      </c>
      <c r="W76">
        <f t="shared" si="34"/>
        <v>0</v>
      </c>
      <c r="X76">
        <f t="shared" si="34"/>
        <v>0</v>
      </c>
      <c r="Y76">
        <f t="shared" si="34"/>
        <v>0</v>
      </c>
      <c r="Z76">
        <f t="shared" si="34"/>
        <v>0</v>
      </c>
      <c r="AA76">
        <f t="shared" si="34"/>
        <v>0</v>
      </c>
      <c r="AB76">
        <f t="shared" si="34"/>
        <v>0</v>
      </c>
      <c r="AC76">
        <f t="shared" si="34"/>
        <v>0</v>
      </c>
      <c r="AD76">
        <f t="shared" si="34"/>
        <v>0</v>
      </c>
      <c r="AE76">
        <f t="shared" si="34"/>
        <v>0</v>
      </c>
      <c r="AF76">
        <f t="shared" si="34"/>
        <v>0</v>
      </c>
      <c r="AG76">
        <f t="shared" si="34"/>
        <v>0</v>
      </c>
      <c r="AH76">
        <f t="shared" si="34"/>
        <v>0</v>
      </c>
      <c r="AI76">
        <f t="shared" si="34"/>
        <v>0</v>
      </c>
      <c r="AJ76">
        <f t="shared" si="34"/>
        <v>0</v>
      </c>
      <c r="AK76">
        <f t="shared" si="34"/>
        <v>0</v>
      </c>
      <c r="AL76">
        <f t="shared" si="34"/>
        <v>0</v>
      </c>
      <c r="AM76">
        <f t="shared" si="34"/>
        <v>0</v>
      </c>
      <c r="AN76">
        <f t="shared" si="34"/>
        <v>0</v>
      </c>
      <c r="AO76">
        <f t="shared" si="34"/>
        <v>0</v>
      </c>
      <c r="AP76">
        <f t="shared" si="34"/>
        <v>0</v>
      </c>
      <c r="AQ76">
        <f t="shared" si="34"/>
        <v>0</v>
      </c>
      <c r="AS76">
        <f t="shared" si="34"/>
        <v>0</v>
      </c>
    </row>
    <row r="77" spans="1:68" ht="20.25" customHeight="1">
      <c r="A77">
        <v>1</v>
      </c>
      <c r="B77" t="s">
        <v>14</v>
      </c>
      <c r="C77" t="s">
        <v>15</v>
      </c>
      <c r="D77">
        <f>D78+D80+D81+D82+D83+D84+D85+D86+D87</f>
        <v>0</v>
      </c>
      <c r="E77">
        <f t="shared" ref="E77:AS77" si="35">E78+E80+E81+E82+E83+E84+E85+E86+E87</f>
        <v>0</v>
      </c>
      <c r="F77">
        <f t="shared" si="35"/>
        <v>0</v>
      </c>
      <c r="G77">
        <f t="shared" si="35"/>
        <v>0</v>
      </c>
      <c r="H77">
        <f t="shared" si="35"/>
        <v>0</v>
      </c>
      <c r="I77">
        <f t="shared" si="35"/>
        <v>0</v>
      </c>
      <c r="J77">
        <f t="shared" si="35"/>
        <v>0</v>
      </c>
      <c r="K77">
        <f t="shared" si="35"/>
        <v>0</v>
      </c>
      <c r="L77">
        <f t="shared" si="35"/>
        <v>0</v>
      </c>
      <c r="M77">
        <f t="shared" si="35"/>
        <v>0</v>
      </c>
      <c r="N77">
        <f t="shared" si="35"/>
        <v>0</v>
      </c>
      <c r="O77">
        <f t="shared" si="35"/>
        <v>0</v>
      </c>
      <c r="P77">
        <f>P78+P80+P81+P82+P83+P84+P85+P86+P87</f>
        <v>0</v>
      </c>
      <c r="Q77">
        <f t="shared" si="35"/>
        <v>0</v>
      </c>
      <c r="R77">
        <f t="shared" si="35"/>
        <v>0</v>
      </c>
      <c r="S77">
        <f t="shared" si="35"/>
        <v>0</v>
      </c>
      <c r="T77">
        <f t="shared" si="35"/>
        <v>0</v>
      </c>
      <c r="U77">
        <f t="shared" si="35"/>
        <v>0</v>
      </c>
      <c r="V77">
        <f t="shared" si="35"/>
        <v>0</v>
      </c>
      <c r="W77">
        <f t="shared" si="35"/>
        <v>0</v>
      </c>
      <c r="X77">
        <f t="shared" si="35"/>
        <v>0</v>
      </c>
      <c r="Y77">
        <f t="shared" si="35"/>
        <v>0</v>
      </c>
      <c r="Z77">
        <f t="shared" si="35"/>
        <v>0</v>
      </c>
      <c r="AA77">
        <f t="shared" si="35"/>
        <v>0</v>
      </c>
      <c r="AB77">
        <f t="shared" si="35"/>
        <v>0</v>
      </c>
      <c r="AC77">
        <f t="shared" si="35"/>
        <v>0</v>
      </c>
      <c r="AD77">
        <f t="shared" si="35"/>
        <v>0</v>
      </c>
      <c r="AE77">
        <f t="shared" si="35"/>
        <v>0</v>
      </c>
      <c r="AF77">
        <f t="shared" si="35"/>
        <v>0</v>
      </c>
      <c r="AG77">
        <f t="shared" si="35"/>
        <v>0</v>
      </c>
      <c r="AH77">
        <f t="shared" si="35"/>
        <v>0</v>
      </c>
      <c r="AI77">
        <f t="shared" si="35"/>
        <v>0</v>
      </c>
      <c r="AJ77">
        <f t="shared" si="35"/>
        <v>0</v>
      </c>
      <c r="AK77">
        <f t="shared" si="35"/>
        <v>0</v>
      </c>
      <c r="AL77">
        <f t="shared" si="35"/>
        <v>0</v>
      </c>
      <c r="AM77">
        <f t="shared" si="35"/>
        <v>0</v>
      </c>
      <c r="AN77">
        <f t="shared" si="35"/>
        <v>0</v>
      </c>
      <c r="AO77">
        <f t="shared" si="35"/>
        <v>0</v>
      </c>
      <c r="AP77">
        <f t="shared" si="35"/>
        <v>0</v>
      </c>
      <c r="AQ77">
        <f t="shared" si="35"/>
        <v>0</v>
      </c>
      <c r="AR77">
        <f>P77</f>
        <v>0</v>
      </c>
      <c r="AS77">
        <f t="shared" si="35"/>
        <v>0</v>
      </c>
    </row>
    <row r="78" spans="1:68" ht="20.25" customHeight="1">
      <c r="A78" t="s">
        <v>16</v>
      </c>
      <c r="B78" t="s">
        <v>17</v>
      </c>
      <c r="C78" t="s">
        <v>18</v>
      </c>
      <c r="D78">
        <f>D11</f>
        <v>0</v>
      </c>
      <c r="E78">
        <f>F78+H78+I78+J78+K78+L78+M78+N78+O78</f>
        <v>0</v>
      </c>
      <c r="F78">
        <f>D78-AR78</f>
        <v>0</v>
      </c>
      <c r="G78">
        <f>I13</f>
        <v>0</v>
      </c>
      <c r="H78">
        <f>M11</f>
        <v>0</v>
      </c>
      <c r="I78">
        <f>N11</f>
        <v>0</v>
      </c>
      <c r="J78">
        <f t="shared" ref="J78:O79" si="36">P11</f>
        <v>0</v>
      </c>
      <c r="K78">
        <f t="shared" si="36"/>
        <v>0</v>
      </c>
      <c r="L78">
        <f t="shared" si="36"/>
        <v>0</v>
      </c>
      <c r="M78">
        <f t="shared" si="36"/>
        <v>0</v>
      </c>
      <c r="N78">
        <f t="shared" si="36"/>
        <v>0</v>
      </c>
      <c r="O78">
        <f t="shared" si="36"/>
        <v>0</v>
      </c>
      <c r="P78">
        <f>SUM(Q78:AP78)</f>
        <v>0</v>
      </c>
      <c r="Q78">
        <f t="shared" ref="Q78:Y79" si="37">W11</f>
        <v>0</v>
      </c>
      <c r="R78">
        <f t="shared" si="37"/>
        <v>0</v>
      </c>
      <c r="S78">
        <f t="shared" si="37"/>
        <v>0</v>
      </c>
      <c r="T78">
        <f t="shared" si="37"/>
        <v>0</v>
      </c>
      <c r="U78">
        <f t="shared" si="37"/>
        <v>0</v>
      </c>
      <c r="V78">
        <f t="shared" si="37"/>
        <v>0</v>
      </c>
      <c r="W78">
        <f t="shared" si="37"/>
        <v>0</v>
      </c>
      <c r="X78">
        <f t="shared" si="37"/>
        <v>0</v>
      </c>
      <c r="Y78">
        <f t="shared" si="37"/>
        <v>0</v>
      </c>
      <c r="Z78">
        <f>AQ11</f>
        <v>0</v>
      </c>
      <c r="AA78">
        <f t="shared" ref="AA78:AQ79" si="38">AR11</f>
        <v>0</v>
      </c>
      <c r="AB78">
        <f t="shared" si="38"/>
        <v>0</v>
      </c>
      <c r="AC78">
        <f t="shared" si="38"/>
        <v>0</v>
      </c>
      <c r="AD78">
        <f t="shared" si="38"/>
        <v>0</v>
      </c>
      <c r="AE78">
        <f t="shared" si="38"/>
        <v>0</v>
      </c>
      <c r="AF78">
        <f t="shared" si="38"/>
        <v>0</v>
      </c>
      <c r="AG78">
        <f t="shared" si="38"/>
        <v>0</v>
      </c>
      <c r="AH78">
        <f t="shared" si="38"/>
        <v>0</v>
      </c>
      <c r="AI78">
        <f t="shared" si="38"/>
        <v>0</v>
      </c>
      <c r="AJ78">
        <f t="shared" si="38"/>
        <v>0</v>
      </c>
      <c r="AK78">
        <f t="shared" si="38"/>
        <v>0</v>
      </c>
      <c r="AL78">
        <f t="shared" si="38"/>
        <v>0</v>
      </c>
      <c r="AM78">
        <f t="shared" si="38"/>
        <v>0</v>
      </c>
      <c r="AN78">
        <f t="shared" si="38"/>
        <v>0</v>
      </c>
      <c r="AO78">
        <f t="shared" si="38"/>
        <v>0</v>
      </c>
      <c r="AP78">
        <f t="shared" si="38"/>
        <v>0</v>
      </c>
      <c r="AQ78">
        <f t="shared" si="38"/>
        <v>0</v>
      </c>
      <c r="AR78">
        <f>H78+I78+J78+K78+L78+M78+N78+O78+P78+AQ78</f>
        <v>0</v>
      </c>
      <c r="AS78">
        <f>D78+F116-AR78</f>
        <v>0</v>
      </c>
    </row>
    <row r="79" spans="1:68" ht="20.25" customHeight="1">
      <c r="B79" t="s">
        <v>19</v>
      </c>
      <c r="C79" t="s">
        <v>20</v>
      </c>
      <c r="D79">
        <f>D12</f>
        <v>0</v>
      </c>
      <c r="E79">
        <f t="shared" ref="E79:E114" si="39">F79+H79+I79+J79+K79+L79+M79+N79+O79</f>
        <v>0</v>
      </c>
      <c r="G79">
        <f>D79-AR79</f>
        <v>0</v>
      </c>
      <c r="H79">
        <f>M12</f>
        <v>0</v>
      </c>
      <c r="I79">
        <f>N12</f>
        <v>0</v>
      </c>
      <c r="J79">
        <f t="shared" si="36"/>
        <v>0</v>
      </c>
      <c r="K79">
        <f t="shared" si="36"/>
        <v>0</v>
      </c>
      <c r="L79">
        <f t="shared" si="36"/>
        <v>0</v>
      </c>
      <c r="M79">
        <f t="shared" si="36"/>
        <v>0</v>
      </c>
      <c r="N79">
        <f t="shared" si="36"/>
        <v>0</v>
      </c>
      <c r="O79">
        <f t="shared" si="36"/>
        <v>0</v>
      </c>
      <c r="P79">
        <f t="shared" ref="P79:P87" si="40">SUM(Q79:AP79)</f>
        <v>0</v>
      </c>
      <c r="Q79">
        <f t="shared" si="37"/>
        <v>0</v>
      </c>
      <c r="R79">
        <f t="shared" si="37"/>
        <v>0</v>
      </c>
      <c r="S79">
        <f t="shared" si="37"/>
        <v>0</v>
      </c>
      <c r="T79">
        <f t="shared" si="37"/>
        <v>0</v>
      </c>
      <c r="U79">
        <f t="shared" si="37"/>
        <v>0</v>
      </c>
      <c r="V79">
        <f t="shared" si="37"/>
        <v>0</v>
      </c>
      <c r="W79">
        <f t="shared" si="37"/>
        <v>0</v>
      </c>
      <c r="X79">
        <f t="shared" si="37"/>
        <v>0</v>
      </c>
      <c r="Y79">
        <f t="shared" si="37"/>
        <v>0</v>
      </c>
      <c r="Z79">
        <f>AQ12</f>
        <v>0</v>
      </c>
      <c r="AA79">
        <f t="shared" si="38"/>
        <v>0</v>
      </c>
      <c r="AB79">
        <f t="shared" si="38"/>
        <v>0</v>
      </c>
      <c r="AC79">
        <f t="shared" si="38"/>
        <v>0</v>
      </c>
      <c r="AD79">
        <f t="shared" si="38"/>
        <v>0</v>
      </c>
      <c r="AE79">
        <f t="shared" si="38"/>
        <v>0</v>
      </c>
      <c r="AF79">
        <f t="shared" si="38"/>
        <v>0</v>
      </c>
      <c r="AG79">
        <f t="shared" si="38"/>
        <v>0</v>
      </c>
      <c r="AH79">
        <f t="shared" si="38"/>
        <v>0</v>
      </c>
      <c r="AI79">
        <f t="shared" si="38"/>
        <v>0</v>
      </c>
      <c r="AJ79">
        <f t="shared" si="38"/>
        <v>0</v>
      </c>
      <c r="AK79">
        <f t="shared" si="38"/>
        <v>0</v>
      </c>
      <c r="AL79">
        <f t="shared" si="38"/>
        <v>0</v>
      </c>
      <c r="AM79">
        <f t="shared" si="38"/>
        <v>0</v>
      </c>
      <c r="AN79">
        <f t="shared" si="38"/>
        <v>0</v>
      </c>
      <c r="AO79">
        <f t="shared" si="38"/>
        <v>0</v>
      </c>
      <c r="AP79">
        <f t="shared" si="38"/>
        <v>0</v>
      </c>
      <c r="AQ79">
        <f t="shared" si="38"/>
        <v>0</v>
      </c>
      <c r="AR79">
        <f>F79+H79+I79+J79+K79+L79+M79+N79+O79+P79</f>
        <v>0</v>
      </c>
      <c r="AS79">
        <f>D79+G116-AR79</f>
        <v>0</v>
      </c>
    </row>
    <row r="80" spans="1:68" ht="20.25" customHeight="1">
      <c r="A80" t="s">
        <v>21</v>
      </c>
      <c r="B80" t="s">
        <v>22</v>
      </c>
      <c r="C80" t="s">
        <v>23</v>
      </c>
      <c r="D80">
        <f>D16</f>
        <v>0</v>
      </c>
      <c r="E80">
        <f t="shared" si="39"/>
        <v>0</v>
      </c>
      <c r="F80">
        <f>H16</f>
        <v>0</v>
      </c>
      <c r="G80">
        <f>I16</f>
        <v>0</v>
      </c>
      <c r="H80">
        <f>D80-AR80</f>
        <v>0</v>
      </c>
      <c r="I80">
        <f>N16</f>
        <v>0</v>
      </c>
      <c r="J80">
        <f t="shared" ref="J80:O81" si="41">P16</f>
        <v>0</v>
      </c>
      <c r="K80">
        <f t="shared" si="41"/>
        <v>0</v>
      </c>
      <c r="L80">
        <f t="shared" si="41"/>
        <v>0</v>
      </c>
      <c r="M80">
        <f t="shared" si="41"/>
        <v>0</v>
      </c>
      <c r="N80">
        <f t="shared" si="41"/>
        <v>0</v>
      </c>
      <c r="O80">
        <f t="shared" si="41"/>
        <v>0</v>
      </c>
      <c r="P80">
        <f t="shared" si="40"/>
        <v>0</v>
      </c>
      <c r="Q80">
        <f t="shared" ref="Q80:Y81" si="42">W16</f>
        <v>0</v>
      </c>
      <c r="R80">
        <f t="shared" si="42"/>
        <v>0</v>
      </c>
      <c r="S80">
        <f t="shared" si="42"/>
        <v>0</v>
      </c>
      <c r="T80">
        <f t="shared" si="42"/>
        <v>0</v>
      </c>
      <c r="U80">
        <f t="shared" si="42"/>
        <v>0</v>
      </c>
      <c r="V80">
        <f t="shared" si="42"/>
        <v>0</v>
      </c>
      <c r="W80">
        <f t="shared" si="42"/>
        <v>0</v>
      </c>
      <c r="X80">
        <f t="shared" si="42"/>
        <v>0</v>
      </c>
      <c r="Y80">
        <f t="shared" si="42"/>
        <v>0</v>
      </c>
      <c r="Z80">
        <f>AQ16</f>
        <v>0</v>
      </c>
      <c r="AA80">
        <f t="shared" ref="AA80:AQ81" si="43">AR16</f>
        <v>0</v>
      </c>
      <c r="AB80">
        <f t="shared" si="43"/>
        <v>0</v>
      </c>
      <c r="AC80">
        <f t="shared" si="43"/>
        <v>0</v>
      </c>
      <c r="AD80">
        <f t="shared" si="43"/>
        <v>0</v>
      </c>
      <c r="AE80">
        <f t="shared" si="43"/>
        <v>0</v>
      </c>
      <c r="AF80">
        <f t="shared" si="43"/>
        <v>0</v>
      </c>
      <c r="AG80">
        <f t="shared" si="43"/>
        <v>0</v>
      </c>
      <c r="AH80">
        <f t="shared" si="43"/>
        <v>0</v>
      </c>
      <c r="AI80">
        <f t="shared" si="43"/>
        <v>0</v>
      </c>
      <c r="AJ80">
        <f t="shared" si="43"/>
        <v>0</v>
      </c>
      <c r="AK80">
        <f t="shared" si="43"/>
        <v>0</v>
      </c>
      <c r="AL80">
        <f t="shared" si="43"/>
        <v>0</v>
      </c>
      <c r="AM80">
        <f t="shared" si="43"/>
        <v>0</v>
      </c>
      <c r="AN80">
        <f t="shared" si="43"/>
        <v>0</v>
      </c>
      <c r="AO80">
        <f t="shared" si="43"/>
        <v>0</v>
      </c>
      <c r="AP80">
        <f t="shared" si="43"/>
        <v>0</v>
      </c>
      <c r="AQ80">
        <f t="shared" si="43"/>
        <v>0</v>
      </c>
      <c r="AR80">
        <f>F80+I80+J80+K80+L80+M80+N80+O80+P80</f>
        <v>0</v>
      </c>
      <c r="AS80">
        <f>D80+H116-AR80</f>
        <v>0</v>
      </c>
    </row>
    <row r="81" spans="1:45" ht="20.25" customHeight="1">
      <c r="A81" t="s">
        <v>24</v>
      </c>
      <c r="B81" t="s">
        <v>25</v>
      </c>
      <c r="C81" t="s">
        <v>26</v>
      </c>
      <c r="D81">
        <f>D17</f>
        <v>0</v>
      </c>
      <c r="E81">
        <f t="shared" si="39"/>
        <v>0</v>
      </c>
      <c r="F81">
        <f>H17</f>
        <v>0</v>
      </c>
      <c r="G81">
        <f>I17</f>
        <v>0</v>
      </c>
      <c r="H81">
        <f>M17</f>
        <v>0</v>
      </c>
      <c r="I81">
        <f>D81-AR81</f>
        <v>0</v>
      </c>
      <c r="J81">
        <f t="shared" si="41"/>
        <v>0</v>
      </c>
      <c r="K81">
        <f t="shared" si="41"/>
        <v>0</v>
      </c>
      <c r="L81">
        <f t="shared" si="41"/>
        <v>0</v>
      </c>
      <c r="M81">
        <f t="shared" si="41"/>
        <v>0</v>
      </c>
      <c r="N81">
        <f t="shared" si="41"/>
        <v>0</v>
      </c>
      <c r="O81">
        <f t="shared" si="41"/>
        <v>0</v>
      </c>
      <c r="P81">
        <f t="shared" si="40"/>
        <v>0</v>
      </c>
      <c r="Q81">
        <f t="shared" si="42"/>
        <v>0</v>
      </c>
      <c r="R81">
        <f t="shared" si="42"/>
        <v>0</v>
      </c>
      <c r="S81">
        <f t="shared" si="42"/>
        <v>0</v>
      </c>
      <c r="T81">
        <f t="shared" si="42"/>
        <v>0</v>
      </c>
      <c r="U81">
        <f t="shared" si="42"/>
        <v>0</v>
      </c>
      <c r="V81">
        <f t="shared" si="42"/>
        <v>0</v>
      </c>
      <c r="W81">
        <f t="shared" si="42"/>
        <v>0</v>
      </c>
      <c r="X81">
        <f t="shared" si="42"/>
        <v>0</v>
      </c>
      <c r="Y81">
        <f t="shared" si="42"/>
        <v>0</v>
      </c>
      <c r="Z81">
        <f>AQ17</f>
        <v>0</v>
      </c>
      <c r="AA81">
        <f t="shared" si="43"/>
        <v>0</v>
      </c>
      <c r="AB81">
        <f t="shared" si="43"/>
        <v>0</v>
      </c>
      <c r="AC81">
        <f t="shared" si="43"/>
        <v>0</v>
      </c>
      <c r="AD81">
        <f t="shared" si="43"/>
        <v>0</v>
      </c>
      <c r="AE81">
        <f t="shared" si="43"/>
        <v>0</v>
      </c>
      <c r="AF81">
        <f t="shared" si="43"/>
        <v>0</v>
      </c>
      <c r="AG81">
        <f t="shared" si="43"/>
        <v>0</v>
      </c>
      <c r="AH81">
        <f t="shared" si="43"/>
        <v>0</v>
      </c>
      <c r="AI81">
        <f t="shared" si="43"/>
        <v>0</v>
      </c>
      <c r="AJ81">
        <f t="shared" si="43"/>
        <v>0</v>
      </c>
      <c r="AK81">
        <f t="shared" si="43"/>
        <v>0</v>
      </c>
      <c r="AL81">
        <f t="shared" si="43"/>
        <v>0</v>
      </c>
      <c r="AM81">
        <f t="shared" si="43"/>
        <v>0</v>
      </c>
      <c r="AN81">
        <f t="shared" si="43"/>
        <v>0</v>
      </c>
      <c r="AO81">
        <f t="shared" si="43"/>
        <v>0</v>
      </c>
      <c r="AP81">
        <f t="shared" si="43"/>
        <v>0</v>
      </c>
      <c r="AQ81">
        <f t="shared" si="43"/>
        <v>0</v>
      </c>
      <c r="AR81">
        <f>F81+H81+J81+K81+L81+M81+N81+O81+P81</f>
        <v>0</v>
      </c>
      <c r="AS81">
        <f>D81+I116-AR81</f>
        <v>0</v>
      </c>
    </row>
    <row r="82" spans="1:45" ht="20.25" customHeight="1">
      <c r="A82" t="s">
        <v>27</v>
      </c>
      <c r="B82" t="s">
        <v>28</v>
      </c>
      <c r="C82" t="s">
        <v>29</v>
      </c>
      <c r="D82">
        <f t="shared" ref="D82:D87" si="44">D19</f>
        <v>0</v>
      </c>
      <c r="E82">
        <f t="shared" si="39"/>
        <v>0</v>
      </c>
      <c r="F82">
        <f>H20</f>
        <v>0</v>
      </c>
      <c r="G82">
        <f>I20</f>
        <v>0</v>
      </c>
      <c r="H82">
        <f>M20</f>
        <v>0</v>
      </c>
      <c r="I82">
        <f>N20</f>
        <v>0</v>
      </c>
      <c r="J82">
        <f>D82-AR82</f>
        <v>0</v>
      </c>
      <c r="K82">
        <f>Q19</f>
        <v>0</v>
      </c>
      <c r="L82">
        <f>R19</f>
        <v>0</v>
      </c>
      <c r="M82">
        <f t="shared" ref="M82:O83" si="45">S20</f>
        <v>0</v>
      </c>
      <c r="N82">
        <f t="shared" si="45"/>
        <v>0</v>
      </c>
      <c r="O82">
        <f t="shared" si="45"/>
        <v>0</v>
      </c>
      <c r="P82">
        <f t="shared" si="40"/>
        <v>0</v>
      </c>
      <c r="Q82">
        <f>W20</f>
        <v>0</v>
      </c>
      <c r="R82">
        <f>X20</f>
        <v>0</v>
      </c>
      <c r="S82">
        <f>Z20</f>
        <v>0</v>
      </c>
      <c r="T82">
        <f t="shared" ref="T82:Y83" si="46">Z20</f>
        <v>0</v>
      </c>
      <c r="U82">
        <f t="shared" si="46"/>
        <v>0</v>
      </c>
      <c r="V82">
        <f t="shared" si="46"/>
        <v>0</v>
      </c>
      <c r="W82">
        <f t="shared" si="46"/>
        <v>0</v>
      </c>
      <c r="X82">
        <f t="shared" si="46"/>
        <v>0</v>
      </c>
      <c r="Y82">
        <f t="shared" si="46"/>
        <v>0</v>
      </c>
      <c r="Z82">
        <f>AQ20</f>
        <v>0</v>
      </c>
      <c r="AA82">
        <f t="shared" ref="AA82:AQ83" si="47">AR20</f>
        <v>0</v>
      </c>
      <c r="AB82">
        <f t="shared" si="47"/>
        <v>0</v>
      </c>
      <c r="AC82">
        <f t="shared" si="47"/>
        <v>0</v>
      </c>
      <c r="AD82">
        <f t="shared" si="47"/>
        <v>0</v>
      </c>
      <c r="AE82">
        <f t="shared" si="47"/>
        <v>0</v>
      </c>
      <c r="AF82">
        <f t="shared" si="47"/>
        <v>0</v>
      </c>
      <c r="AG82">
        <f t="shared" si="47"/>
        <v>0</v>
      </c>
      <c r="AH82">
        <f t="shared" si="47"/>
        <v>0</v>
      </c>
      <c r="AI82">
        <f t="shared" si="47"/>
        <v>0</v>
      </c>
      <c r="AJ82">
        <f t="shared" si="47"/>
        <v>0</v>
      </c>
      <c r="AK82">
        <f t="shared" si="47"/>
        <v>0</v>
      </c>
      <c r="AL82">
        <f t="shared" si="47"/>
        <v>0</v>
      </c>
      <c r="AM82">
        <f t="shared" si="47"/>
        <v>0</v>
      </c>
      <c r="AN82">
        <f t="shared" si="47"/>
        <v>0</v>
      </c>
      <c r="AO82">
        <f t="shared" si="47"/>
        <v>0</v>
      </c>
      <c r="AP82">
        <f t="shared" si="47"/>
        <v>0</v>
      </c>
      <c r="AQ82">
        <f t="shared" si="47"/>
        <v>0</v>
      </c>
      <c r="AR82">
        <f>F82+H82+I82+K82+L82+M82+N82+O82+P82</f>
        <v>0</v>
      </c>
      <c r="AS82">
        <f>D82+J116-AR82</f>
        <v>0</v>
      </c>
    </row>
    <row r="83" spans="1:45" ht="20.25" customHeight="1">
      <c r="A83" t="s">
        <v>30</v>
      </c>
      <c r="B83" t="s">
        <v>31</v>
      </c>
      <c r="C83" t="s">
        <v>32</v>
      </c>
      <c r="D83">
        <f t="shared" si="44"/>
        <v>0</v>
      </c>
      <c r="E83">
        <f t="shared" si="39"/>
        <v>0</v>
      </c>
      <c r="F83">
        <f>H21</f>
        <v>0</v>
      </c>
      <c r="G83">
        <f>I21</f>
        <v>0</v>
      </c>
      <c r="H83">
        <f>M21</f>
        <v>0</v>
      </c>
      <c r="I83">
        <f>N21</f>
        <v>0</v>
      </c>
      <c r="J83">
        <f>P20</f>
        <v>0</v>
      </c>
      <c r="K83">
        <f>D83-AR83</f>
        <v>0</v>
      </c>
      <c r="L83">
        <f>R20</f>
        <v>0</v>
      </c>
      <c r="M83">
        <f t="shared" si="45"/>
        <v>0</v>
      </c>
      <c r="N83">
        <f t="shared" si="45"/>
        <v>0</v>
      </c>
      <c r="O83">
        <f t="shared" si="45"/>
        <v>0</v>
      </c>
      <c r="P83">
        <f t="shared" si="40"/>
        <v>0</v>
      </c>
      <c r="Q83">
        <f>W21</f>
        <v>0</v>
      </c>
      <c r="R83">
        <f>X21</f>
        <v>0</v>
      </c>
      <c r="S83">
        <f>Z21</f>
        <v>0</v>
      </c>
      <c r="T83">
        <f t="shared" si="46"/>
        <v>0</v>
      </c>
      <c r="U83">
        <f t="shared" si="46"/>
        <v>0</v>
      </c>
      <c r="V83">
        <f t="shared" si="46"/>
        <v>0</v>
      </c>
      <c r="W83">
        <f t="shared" si="46"/>
        <v>0</v>
      </c>
      <c r="X83">
        <f t="shared" si="46"/>
        <v>0</v>
      </c>
      <c r="Y83">
        <f t="shared" si="46"/>
        <v>0</v>
      </c>
      <c r="Z83">
        <f>AQ21</f>
        <v>0</v>
      </c>
      <c r="AA83">
        <f t="shared" si="47"/>
        <v>0</v>
      </c>
      <c r="AB83">
        <f t="shared" si="47"/>
        <v>0</v>
      </c>
      <c r="AC83">
        <f t="shared" si="47"/>
        <v>0</v>
      </c>
      <c r="AD83">
        <f t="shared" si="47"/>
        <v>0</v>
      </c>
      <c r="AE83">
        <f t="shared" si="47"/>
        <v>0</v>
      </c>
      <c r="AF83">
        <f t="shared" si="47"/>
        <v>0</v>
      </c>
      <c r="AG83">
        <f t="shared" si="47"/>
        <v>0</v>
      </c>
      <c r="AH83">
        <f t="shared" si="47"/>
        <v>0</v>
      </c>
      <c r="AI83">
        <f t="shared" si="47"/>
        <v>0</v>
      </c>
      <c r="AJ83">
        <f t="shared" si="47"/>
        <v>0</v>
      </c>
      <c r="AK83">
        <f t="shared" si="47"/>
        <v>0</v>
      </c>
      <c r="AL83">
        <f t="shared" si="47"/>
        <v>0</v>
      </c>
      <c r="AM83">
        <f t="shared" si="47"/>
        <v>0</v>
      </c>
      <c r="AN83">
        <f t="shared" si="47"/>
        <v>0</v>
      </c>
      <c r="AO83">
        <f t="shared" si="47"/>
        <v>0</v>
      </c>
      <c r="AP83">
        <f t="shared" si="47"/>
        <v>0</v>
      </c>
      <c r="AQ83">
        <f t="shared" si="47"/>
        <v>0</v>
      </c>
      <c r="AR83">
        <f>F83+H83+I83+J83+L83+M83+N83+O83+P83</f>
        <v>0</v>
      </c>
      <c r="AS83">
        <f>D83+K116-AR83</f>
        <v>0</v>
      </c>
    </row>
    <row r="84" spans="1:45" ht="20.25" customHeight="1">
      <c r="A84" t="s">
        <v>33</v>
      </c>
      <c r="B84" t="s">
        <v>34</v>
      </c>
      <c r="C84" t="s">
        <v>35</v>
      </c>
      <c r="D84">
        <f t="shared" si="44"/>
        <v>0</v>
      </c>
      <c r="E84">
        <f t="shared" si="39"/>
        <v>0</v>
      </c>
      <c r="F84">
        <f>H19</f>
        <v>0</v>
      </c>
      <c r="G84">
        <f>I19</f>
        <v>0</v>
      </c>
      <c r="H84">
        <f>M19</f>
        <v>0</v>
      </c>
      <c r="I84">
        <f>N19</f>
        <v>0</v>
      </c>
      <c r="J84">
        <f>P21</f>
        <v>0</v>
      </c>
      <c r="K84">
        <f>Q21</f>
        <v>0</v>
      </c>
      <c r="L84">
        <f>D84-AR84</f>
        <v>0</v>
      </c>
      <c r="M84">
        <f>S19</f>
        <v>0</v>
      </c>
      <c r="N84">
        <f>T19</f>
        <v>0</v>
      </c>
      <c r="O84">
        <f>U19</f>
        <v>0</v>
      </c>
      <c r="P84">
        <f t="shared" si="40"/>
        <v>0</v>
      </c>
      <c r="Q84">
        <f t="shared" ref="Q84:Y84" si="48">W19</f>
        <v>0</v>
      </c>
      <c r="R84">
        <f t="shared" si="48"/>
        <v>0</v>
      </c>
      <c r="S84">
        <f t="shared" si="48"/>
        <v>0</v>
      </c>
      <c r="T84">
        <f t="shared" si="48"/>
        <v>0</v>
      </c>
      <c r="U84">
        <f t="shared" si="48"/>
        <v>0</v>
      </c>
      <c r="V84">
        <f t="shared" si="48"/>
        <v>0</v>
      </c>
      <c r="W84">
        <f t="shared" si="48"/>
        <v>0</v>
      </c>
      <c r="X84">
        <f t="shared" si="48"/>
        <v>0</v>
      </c>
      <c r="Y84">
        <f t="shared" si="48"/>
        <v>0</v>
      </c>
      <c r="Z84">
        <f>AQ19</f>
        <v>0</v>
      </c>
      <c r="AA84">
        <f t="shared" ref="AA84:AQ84" si="49">AR19</f>
        <v>0</v>
      </c>
      <c r="AB84">
        <f t="shared" si="49"/>
        <v>0</v>
      </c>
      <c r="AC84">
        <f t="shared" si="49"/>
        <v>0</v>
      </c>
      <c r="AD84">
        <f t="shared" si="49"/>
        <v>0</v>
      </c>
      <c r="AE84">
        <f t="shared" si="49"/>
        <v>0</v>
      </c>
      <c r="AF84">
        <f t="shared" si="49"/>
        <v>0</v>
      </c>
      <c r="AG84">
        <f t="shared" si="49"/>
        <v>0</v>
      </c>
      <c r="AH84">
        <f t="shared" si="49"/>
        <v>0</v>
      </c>
      <c r="AI84">
        <f t="shared" si="49"/>
        <v>0</v>
      </c>
      <c r="AJ84">
        <f t="shared" si="49"/>
        <v>0</v>
      </c>
      <c r="AK84">
        <f t="shared" si="49"/>
        <v>0</v>
      </c>
      <c r="AL84">
        <f t="shared" si="49"/>
        <v>0</v>
      </c>
      <c r="AM84">
        <f t="shared" si="49"/>
        <v>0</v>
      </c>
      <c r="AN84">
        <f t="shared" si="49"/>
        <v>0</v>
      </c>
      <c r="AO84">
        <f t="shared" si="49"/>
        <v>0</v>
      </c>
      <c r="AP84">
        <f t="shared" si="49"/>
        <v>0</v>
      </c>
      <c r="AQ84">
        <f t="shared" si="49"/>
        <v>0</v>
      </c>
      <c r="AR84">
        <f>F84+H84+I84+J84+K84+M84+N84+O84+P84</f>
        <v>0</v>
      </c>
      <c r="AS84">
        <f>D84+L116-AR84</f>
        <v>0</v>
      </c>
    </row>
    <row r="85" spans="1:45" ht="20.25" customHeight="1">
      <c r="A85" t="s">
        <v>36</v>
      </c>
      <c r="B85" t="s">
        <v>37</v>
      </c>
      <c r="C85" t="s">
        <v>38</v>
      </c>
      <c r="D85">
        <f t="shared" si="44"/>
        <v>0</v>
      </c>
      <c r="E85">
        <f t="shared" si="39"/>
        <v>0</v>
      </c>
      <c r="F85">
        <f t="shared" ref="F85:G87" si="50">H22</f>
        <v>0</v>
      </c>
      <c r="G85">
        <f t="shared" si="50"/>
        <v>0</v>
      </c>
      <c r="H85">
        <f t="shared" ref="H85:I87" si="51">M22</f>
        <v>0</v>
      </c>
      <c r="I85">
        <f t="shared" si="51"/>
        <v>0</v>
      </c>
      <c r="J85">
        <f>P22</f>
        <v>0</v>
      </c>
      <c r="K85">
        <f>Q22</f>
        <v>0</v>
      </c>
      <c r="L85">
        <f>R22</f>
        <v>0</v>
      </c>
      <c r="M85">
        <f>D85-AR85</f>
        <v>0</v>
      </c>
      <c r="N85">
        <f>T22</f>
        <v>0</v>
      </c>
      <c r="O85">
        <f>U22</f>
        <v>0</v>
      </c>
      <c r="P85">
        <f>SUM(Q85:AP85)</f>
        <v>0</v>
      </c>
      <c r="Q85">
        <f t="shared" ref="Q85:Y87" si="52">W22</f>
        <v>0</v>
      </c>
      <c r="R85">
        <f t="shared" si="52"/>
        <v>0</v>
      </c>
      <c r="S85">
        <f t="shared" si="52"/>
        <v>0</v>
      </c>
      <c r="T85">
        <f t="shared" si="52"/>
        <v>0</v>
      </c>
      <c r="U85">
        <f t="shared" si="52"/>
        <v>0</v>
      </c>
      <c r="V85">
        <f t="shared" si="52"/>
        <v>0</v>
      </c>
      <c r="W85">
        <f t="shared" si="52"/>
        <v>0</v>
      </c>
      <c r="X85">
        <f t="shared" si="52"/>
        <v>0</v>
      </c>
      <c r="Y85">
        <f t="shared" si="52"/>
        <v>0</v>
      </c>
      <c r="Z85">
        <f t="shared" ref="Z85:AP85" si="53">AQ22</f>
        <v>0</v>
      </c>
      <c r="AA85">
        <f t="shared" si="53"/>
        <v>0</v>
      </c>
      <c r="AB85">
        <f t="shared" si="53"/>
        <v>0</v>
      </c>
      <c r="AC85">
        <f t="shared" si="53"/>
        <v>0</v>
      </c>
      <c r="AD85">
        <f t="shared" si="53"/>
        <v>0</v>
      </c>
      <c r="AE85">
        <f t="shared" si="53"/>
        <v>0</v>
      </c>
      <c r="AF85">
        <f t="shared" si="53"/>
        <v>0</v>
      </c>
      <c r="AG85">
        <f t="shared" si="53"/>
        <v>0</v>
      </c>
      <c r="AH85">
        <f t="shared" si="53"/>
        <v>0</v>
      </c>
      <c r="AI85">
        <f t="shared" si="53"/>
        <v>0</v>
      </c>
      <c r="AJ85">
        <f t="shared" si="53"/>
        <v>0</v>
      </c>
      <c r="AK85">
        <f t="shared" si="53"/>
        <v>0</v>
      </c>
      <c r="AL85">
        <f t="shared" si="53"/>
        <v>0</v>
      </c>
      <c r="AM85">
        <f t="shared" si="53"/>
        <v>0</v>
      </c>
      <c r="AN85">
        <f t="shared" si="53"/>
        <v>0</v>
      </c>
      <c r="AO85">
        <f t="shared" si="53"/>
        <v>0</v>
      </c>
      <c r="AP85">
        <f t="shared" si="53"/>
        <v>0</v>
      </c>
      <c r="AQ85">
        <f t="shared" ref="AA85:AQ87" si="54">BH22</f>
        <v>0</v>
      </c>
      <c r="AR85">
        <f>F85+H85+I85+J85+K85+L85+N85+O85+P85</f>
        <v>0</v>
      </c>
      <c r="AS85">
        <f>D85+M116-AR85</f>
        <v>0</v>
      </c>
    </row>
    <row r="86" spans="1:45" ht="20.25" customHeight="1">
      <c r="A86" t="s">
        <v>39</v>
      </c>
      <c r="B86" t="s">
        <v>40</v>
      </c>
      <c r="C86" t="s">
        <v>41</v>
      </c>
      <c r="D86">
        <f t="shared" si="44"/>
        <v>0</v>
      </c>
      <c r="E86">
        <f t="shared" si="39"/>
        <v>0</v>
      </c>
      <c r="F86">
        <f t="shared" si="50"/>
        <v>0</v>
      </c>
      <c r="G86">
        <f t="shared" si="50"/>
        <v>0</v>
      </c>
      <c r="H86">
        <f t="shared" si="51"/>
        <v>0</v>
      </c>
      <c r="I86">
        <f t="shared" si="51"/>
        <v>0</v>
      </c>
      <c r="J86">
        <f>P23</f>
        <v>0</v>
      </c>
      <c r="K86">
        <f>Q23</f>
        <v>0</v>
      </c>
      <c r="L86">
        <f>R23</f>
        <v>0</v>
      </c>
      <c r="M86">
        <f>S23</f>
        <v>0</v>
      </c>
      <c r="N86">
        <f>D86-AR86</f>
        <v>0</v>
      </c>
      <c r="O86">
        <f>U23</f>
        <v>0</v>
      </c>
      <c r="P86">
        <f t="shared" si="40"/>
        <v>0</v>
      </c>
      <c r="Q86">
        <f t="shared" si="52"/>
        <v>0</v>
      </c>
      <c r="R86">
        <f t="shared" si="52"/>
        <v>0</v>
      </c>
      <c r="S86">
        <f t="shared" si="52"/>
        <v>0</v>
      </c>
      <c r="T86">
        <f t="shared" si="52"/>
        <v>0</v>
      </c>
      <c r="U86">
        <f t="shared" si="52"/>
        <v>0</v>
      </c>
      <c r="V86">
        <f t="shared" si="52"/>
        <v>0</v>
      </c>
      <c r="W86">
        <f t="shared" si="52"/>
        <v>0</v>
      </c>
      <c r="X86">
        <f t="shared" si="52"/>
        <v>0</v>
      </c>
      <c r="Y86">
        <f t="shared" si="52"/>
        <v>0</v>
      </c>
      <c r="Z86">
        <f>AQ23</f>
        <v>0</v>
      </c>
      <c r="AA86">
        <f t="shared" si="54"/>
        <v>0</v>
      </c>
      <c r="AB86">
        <f t="shared" si="54"/>
        <v>0</v>
      </c>
      <c r="AC86">
        <f t="shared" si="54"/>
        <v>0</v>
      </c>
      <c r="AD86">
        <f t="shared" si="54"/>
        <v>0</v>
      </c>
      <c r="AE86">
        <f t="shared" si="54"/>
        <v>0</v>
      </c>
      <c r="AF86">
        <f t="shared" si="54"/>
        <v>0</v>
      </c>
      <c r="AG86">
        <f t="shared" si="54"/>
        <v>0</v>
      </c>
      <c r="AH86">
        <f t="shared" si="54"/>
        <v>0</v>
      </c>
      <c r="AI86">
        <f t="shared" si="54"/>
        <v>0</v>
      </c>
      <c r="AJ86">
        <f t="shared" si="54"/>
        <v>0</v>
      </c>
      <c r="AK86">
        <f t="shared" si="54"/>
        <v>0</v>
      </c>
      <c r="AL86">
        <f t="shared" si="54"/>
        <v>0</v>
      </c>
      <c r="AM86">
        <f t="shared" si="54"/>
        <v>0</v>
      </c>
      <c r="AN86">
        <f t="shared" si="54"/>
        <v>0</v>
      </c>
      <c r="AO86">
        <f t="shared" si="54"/>
        <v>0</v>
      </c>
      <c r="AP86">
        <f t="shared" si="54"/>
        <v>0</v>
      </c>
      <c r="AQ86">
        <f t="shared" si="54"/>
        <v>0</v>
      </c>
      <c r="AR86">
        <f>F86+H86+I86+J86+K86+L86+M86+O86+P86</f>
        <v>0</v>
      </c>
      <c r="AS86">
        <f>D86+N116-AR86</f>
        <v>0</v>
      </c>
    </row>
    <row r="87" spans="1:45" ht="20.25" customHeight="1">
      <c r="A87">
        <v>2</v>
      </c>
      <c r="B87" t="s">
        <v>43</v>
      </c>
      <c r="C87" t="s">
        <v>44</v>
      </c>
      <c r="D87">
        <f t="shared" si="44"/>
        <v>0</v>
      </c>
      <c r="E87">
        <f t="shared" si="39"/>
        <v>0</v>
      </c>
      <c r="F87">
        <f t="shared" si="50"/>
        <v>0</v>
      </c>
      <c r="G87">
        <f t="shared" si="50"/>
        <v>0</v>
      </c>
      <c r="H87">
        <f t="shared" si="51"/>
        <v>0</v>
      </c>
      <c r="I87">
        <f t="shared" si="51"/>
        <v>0</v>
      </c>
      <c r="J87">
        <f>P24</f>
        <v>0</v>
      </c>
      <c r="K87">
        <f>Q24</f>
        <v>0</v>
      </c>
      <c r="L87">
        <f>R24</f>
        <v>0</v>
      </c>
      <c r="M87">
        <f>S24</f>
        <v>0</v>
      </c>
      <c r="N87">
        <f>T24</f>
        <v>0</v>
      </c>
      <c r="O87">
        <f>D87-AR87</f>
        <v>0</v>
      </c>
      <c r="P87">
        <f t="shared" si="40"/>
        <v>0</v>
      </c>
      <c r="Q87">
        <f t="shared" si="52"/>
        <v>0</v>
      </c>
      <c r="R87">
        <f t="shared" si="52"/>
        <v>0</v>
      </c>
      <c r="S87">
        <f t="shared" si="52"/>
        <v>0</v>
      </c>
      <c r="T87">
        <f t="shared" si="52"/>
        <v>0</v>
      </c>
      <c r="U87">
        <f t="shared" si="52"/>
        <v>0</v>
      </c>
      <c r="V87">
        <f t="shared" si="52"/>
        <v>0</v>
      </c>
      <c r="W87">
        <f t="shared" si="52"/>
        <v>0</v>
      </c>
      <c r="X87">
        <f t="shared" si="52"/>
        <v>0</v>
      </c>
      <c r="Y87">
        <f t="shared" si="52"/>
        <v>0</v>
      </c>
      <c r="Z87">
        <f>AQ24</f>
        <v>0</v>
      </c>
      <c r="AA87">
        <f t="shared" si="54"/>
        <v>0</v>
      </c>
      <c r="AB87">
        <f t="shared" si="54"/>
        <v>0</v>
      </c>
      <c r="AC87">
        <f t="shared" si="54"/>
        <v>0</v>
      </c>
      <c r="AD87">
        <f t="shared" si="54"/>
        <v>0</v>
      </c>
      <c r="AE87">
        <f t="shared" si="54"/>
        <v>0</v>
      </c>
      <c r="AF87">
        <f t="shared" si="54"/>
        <v>0</v>
      </c>
      <c r="AG87">
        <f t="shared" si="54"/>
        <v>0</v>
      </c>
      <c r="AH87">
        <f t="shared" si="54"/>
        <v>0</v>
      </c>
      <c r="AI87">
        <f t="shared" si="54"/>
        <v>0</v>
      </c>
      <c r="AJ87">
        <f t="shared" si="54"/>
        <v>0</v>
      </c>
      <c r="AK87">
        <f t="shared" si="54"/>
        <v>0</v>
      </c>
      <c r="AL87">
        <f t="shared" si="54"/>
        <v>0</v>
      </c>
      <c r="AM87">
        <f t="shared" si="54"/>
        <v>0</v>
      </c>
      <c r="AN87">
        <f t="shared" si="54"/>
        <v>0</v>
      </c>
      <c r="AO87">
        <f t="shared" si="54"/>
        <v>0</v>
      </c>
      <c r="AP87">
        <f t="shared" si="54"/>
        <v>0</v>
      </c>
      <c r="AQ87">
        <f t="shared" si="54"/>
        <v>0</v>
      </c>
      <c r="AR87">
        <f>F87+H87+I87+J87+K87+L87+M87+N87+P87</f>
        <v>0</v>
      </c>
      <c r="AS87">
        <f>D87+O116-AR87</f>
        <v>0</v>
      </c>
    </row>
    <row r="88" spans="1:45" ht="20.25" customHeight="1">
      <c r="A88">
        <v>2</v>
      </c>
      <c r="B88" t="s">
        <v>45</v>
      </c>
      <c r="C88" t="s">
        <v>46</v>
      </c>
      <c r="D88">
        <f>SUM(D89:D114)</f>
        <v>0</v>
      </c>
      <c r="E88">
        <f t="shared" ref="E88:AS88" si="55">SUM(E89:E114)</f>
        <v>0</v>
      </c>
      <c r="F88">
        <f t="shared" si="55"/>
        <v>0</v>
      </c>
      <c r="G88">
        <f t="shared" si="55"/>
        <v>0</v>
      </c>
      <c r="H88">
        <f t="shared" si="55"/>
        <v>0</v>
      </c>
      <c r="I88">
        <f t="shared" si="55"/>
        <v>0</v>
      </c>
      <c r="J88">
        <f t="shared" si="55"/>
        <v>0</v>
      </c>
      <c r="K88">
        <f t="shared" si="55"/>
        <v>0</v>
      </c>
      <c r="L88">
        <f t="shared" si="55"/>
        <v>0</v>
      </c>
      <c r="M88">
        <f t="shared" si="55"/>
        <v>0</v>
      </c>
      <c r="N88">
        <f t="shared" si="55"/>
        <v>0</v>
      </c>
      <c r="O88">
        <f t="shared" si="55"/>
        <v>0</v>
      </c>
      <c r="P88">
        <f t="shared" si="55"/>
        <v>0</v>
      </c>
      <c r="Q88">
        <f t="shared" si="55"/>
        <v>0</v>
      </c>
      <c r="R88">
        <f t="shared" si="55"/>
        <v>0</v>
      </c>
      <c r="S88">
        <f t="shared" si="55"/>
        <v>0</v>
      </c>
      <c r="T88">
        <f t="shared" si="55"/>
        <v>0</v>
      </c>
      <c r="U88">
        <f t="shared" si="55"/>
        <v>0</v>
      </c>
      <c r="V88">
        <f t="shared" si="55"/>
        <v>0</v>
      </c>
      <c r="W88">
        <f t="shared" si="55"/>
        <v>0</v>
      </c>
      <c r="X88">
        <f t="shared" si="55"/>
        <v>0</v>
      </c>
      <c r="Y88">
        <f t="shared" si="55"/>
        <v>0</v>
      </c>
      <c r="Z88">
        <f t="shared" si="55"/>
        <v>0</v>
      </c>
      <c r="AA88">
        <f t="shared" si="55"/>
        <v>0</v>
      </c>
      <c r="AB88">
        <f t="shared" si="55"/>
        <v>0</v>
      </c>
      <c r="AC88">
        <f t="shared" si="55"/>
        <v>0</v>
      </c>
      <c r="AD88">
        <f t="shared" si="55"/>
        <v>0</v>
      </c>
      <c r="AE88">
        <f t="shared" si="55"/>
        <v>0</v>
      </c>
      <c r="AF88">
        <f t="shared" si="55"/>
        <v>0</v>
      </c>
      <c r="AG88">
        <f t="shared" si="55"/>
        <v>0</v>
      </c>
      <c r="AH88">
        <f t="shared" si="55"/>
        <v>0</v>
      </c>
      <c r="AI88">
        <f t="shared" si="55"/>
        <v>0</v>
      </c>
      <c r="AJ88">
        <f t="shared" si="55"/>
        <v>0</v>
      </c>
      <c r="AK88">
        <f t="shared" si="55"/>
        <v>0</v>
      </c>
      <c r="AL88">
        <f t="shared" si="55"/>
        <v>0</v>
      </c>
      <c r="AM88">
        <f t="shared" si="55"/>
        <v>0</v>
      </c>
      <c r="AN88">
        <f t="shared" si="55"/>
        <v>0</v>
      </c>
      <c r="AO88">
        <f t="shared" si="55"/>
        <v>0</v>
      </c>
      <c r="AP88">
        <f t="shared" si="55"/>
        <v>0</v>
      </c>
      <c r="AQ88">
        <f t="shared" si="55"/>
        <v>0</v>
      </c>
      <c r="AR88">
        <f>E88+AQ88</f>
        <v>0</v>
      </c>
      <c r="AS88">
        <f t="shared" si="55"/>
        <v>0</v>
      </c>
    </row>
    <row r="89" spans="1:45" ht="20.25" customHeight="1">
      <c r="A89" t="s">
        <v>47</v>
      </c>
      <c r="B89" t="s">
        <v>48</v>
      </c>
      <c r="C89" t="s">
        <v>49</v>
      </c>
      <c r="D89">
        <f>D26</f>
        <v>0</v>
      </c>
      <c r="E89">
        <f t="shared" si="39"/>
        <v>0</v>
      </c>
      <c r="F89">
        <f>H26</f>
        <v>0</v>
      </c>
      <c r="G89">
        <f>I26</f>
        <v>0</v>
      </c>
      <c r="H89">
        <f>M26</f>
        <v>0</v>
      </c>
      <c r="I89">
        <f>N26</f>
        <v>0</v>
      </c>
      <c r="J89">
        <f t="shared" ref="J89:O97" si="56">P26</f>
        <v>0</v>
      </c>
      <c r="K89">
        <f t="shared" si="56"/>
        <v>0</v>
      </c>
      <c r="L89">
        <f t="shared" si="56"/>
        <v>0</v>
      </c>
      <c r="M89">
        <f t="shared" si="56"/>
        <v>0</v>
      </c>
      <c r="N89">
        <f t="shared" si="56"/>
        <v>0</v>
      </c>
      <c r="O89">
        <f t="shared" si="56"/>
        <v>0</v>
      </c>
      <c r="P89">
        <f>SUM(Q89:AP89)</f>
        <v>0</v>
      </c>
      <c r="Q89">
        <f>D89-AR89</f>
        <v>0</v>
      </c>
      <c r="R89">
        <f t="shared" ref="R89:Y89" si="57">X26</f>
        <v>0</v>
      </c>
      <c r="S89">
        <f t="shared" si="57"/>
        <v>0</v>
      </c>
      <c r="T89">
        <f t="shared" si="57"/>
        <v>0</v>
      </c>
      <c r="U89">
        <f t="shared" si="57"/>
        <v>0</v>
      </c>
      <c r="V89">
        <f t="shared" si="57"/>
        <v>0</v>
      </c>
      <c r="W89">
        <f t="shared" si="57"/>
        <v>0</v>
      </c>
      <c r="X89">
        <f t="shared" si="57"/>
        <v>0</v>
      </c>
      <c r="Y89">
        <f t="shared" si="57"/>
        <v>0</v>
      </c>
      <c r="Z89">
        <f t="shared" ref="Z89:AP89" si="58">AQ26</f>
        <v>0</v>
      </c>
      <c r="AA89">
        <f t="shared" si="58"/>
        <v>0</v>
      </c>
      <c r="AB89">
        <f t="shared" si="58"/>
        <v>0</v>
      </c>
      <c r="AC89">
        <f t="shared" si="58"/>
        <v>0</v>
      </c>
      <c r="AD89">
        <f t="shared" si="58"/>
        <v>0</v>
      </c>
      <c r="AE89">
        <f t="shared" si="58"/>
        <v>0</v>
      </c>
      <c r="AF89">
        <f t="shared" si="58"/>
        <v>0</v>
      </c>
      <c r="AG89">
        <f t="shared" si="58"/>
        <v>0</v>
      </c>
      <c r="AH89">
        <f t="shared" si="58"/>
        <v>0</v>
      </c>
      <c r="AI89">
        <f t="shared" si="58"/>
        <v>0</v>
      </c>
      <c r="AJ89">
        <f t="shared" si="58"/>
        <v>0</v>
      </c>
      <c r="AK89">
        <f t="shared" si="58"/>
        <v>0</v>
      </c>
      <c r="AL89">
        <f t="shared" si="58"/>
        <v>0</v>
      </c>
      <c r="AM89">
        <f t="shared" si="58"/>
        <v>0</v>
      </c>
      <c r="AN89">
        <f t="shared" si="58"/>
        <v>0</v>
      </c>
      <c r="AO89">
        <f t="shared" si="58"/>
        <v>0</v>
      </c>
      <c r="AP89">
        <f t="shared" si="58"/>
        <v>0</v>
      </c>
      <c r="AQ89">
        <f t="shared" ref="AA89:AQ97" si="59">BH26</f>
        <v>0</v>
      </c>
      <c r="AR89">
        <f>E89+R89+S89+T89+U89+V89+W89+X89+Y89+Z89+AA89+AB89+AC89+AD89+AE89+AF89+AG89+AH89+AI89+AJ89+AK89+AL89+AM89+AN89+AO89+AP89+AQ89</f>
        <v>0</v>
      </c>
      <c r="AS89">
        <f>D89+Q116-AR89</f>
        <v>0</v>
      </c>
    </row>
    <row r="90" spans="1:45" ht="20.25" customHeight="1">
      <c r="A90" t="s">
        <v>50</v>
      </c>
      <c r="B90" t="s">
        <v>51</v>
      </c>
      <c r="C90" t="s">
        <v>52</v>
      </c>
      <c r="D90">
        <f t="shared" ref="D90:D97" si="60">D27</f>
        <v>0</v>
      </c>
      <c r="E90">
        <f t="shared" si="39"/>
        <v>0</v>
      </c>
      <c r="F90">
        <f t="shared" ref="F90:G97" si="61">H27</f>
        <v>0</v>
      </c>
      <c r="G90">
        <f t="shared" si="61"/>
        <v>0</v>
      </c>
      <c r="H90">
        <f t="shared" ref="H90:I97" si="62">M27</f>
        <v>0</v>
      </c>
      <c r="I90">
        <f t="shared" si="62"/>
        <v>0</v>
      </c>
      <c r="J90">
        <f t="shared" si="56"/>
        <v>0</v>
      </c>
      <c r="K90">
        <f t="shared" si="56"/>
        <v>0</v>
      </c>
      <c r="L90">
        <f t="shared" si="56"/>
        <v>0</v>
      </c>
      <c r="M90">
        <f t="shared" si="56"/>
        <v>0</v>
      </c>
      <c r="N90">
        <f t="shared" si="56"/>
        <v>0</v>
      </c>
      <c r="O90">
        <f t="shared" si="56"/>
        <v>0</v>
      </c>
      <c r="P90">
        <f t="shared" ref="P90:P114" si="63">SUM(Q90:AP90)</f>
        <v>0</v>
      </c>
      <c r="Q90">
        <f>W27</f>
        <v>0</v>
      </c>
      <c r="R90">
        <f>D90-AR90</f>
        <v>0</v>
      </c>
      <c r="S90">
        <f t="shared" ref="S90:Y90" si="64">Y27</f>
        <v>0</v>
      </c>
      <c r="T90">
        <f t="shared" si="64"/>
        <v>0</v>
      </c>
      <c r="U90">
        <f t="shared" si="64"/>
        <v>0</v>
      </c>
      <c r="V90">
        <f t="shared" si="64"/>
        <v>0</v>
      </c>
      <c r="W90">
        <f t="shared" si="64"/>
        <v>0</v>
      </c>
      <c r="X90">
        <f t="shared" si="64"/>
        <v>0</v>
      </c>
      <c r="Y90">
        <f t="shared" si="64"/>
        <v>0</v>
      </c>
      <c r="Z90">
        <f t="shared" ref="Z90:Z97" si="65">AQ27</f>
        <v>0</v>
      </c>
      <c r="AA90">
        <f t="shared" si="59"/>
        <v>0</v>
      </c>
      <c r="AB90">
        <f t="shared" si="59"/>
        <v>0</v>
      </c>
      <c r="AC90">
        <f t="shared" si="59"/>
        <v>0</v>
      </c>
      <c r="AD90">
        <f t="shared" si="59"/>
        <v>0</v>
      </c>
      <c r="AE90">
        <f t="shared" si="59"/>
        <v>0</v>
      </c>
      <c r="AF90">
        <f t="shared" si="59"/>
        <v>0</v>
      </c>
      <c r="AG90">
        <f t="shared" si="59"/>
        <v>0</v>
      </c>
      <c r="AH90">
        <f t="shared" si="59"/>
        <v>0</v>
      </c>
      <c r="AI90">
        <f t="shared" si="59"/>
        <v>0</v>
      </c>
      <c r="AJ90">
        <f t="shared" si="59"/>
        <v>0</v>
      </c>
      <c r="AK90">
        <f t="shared" si="59"/>
        <v>0</v>
      </c>
      <c r="AL90">
        <f t="shared" si="59"/>
        <v>0</v>
      </c>
      <c r="AM90">
        <f t="shared" si="59"/>
        <v>0</v>
      </c>
      <c r="AN90">
        <f t="shared" si="59"/>
        <v>0</v>
      </c>
      <c r="AO90">
        <f t="shared" si="59"/>
        <v>0</v>
      </c>
      <c r="AP90">
        <f t="shared" si="59"/>
        <v>0</v>
      </c>
      <c r="AQ90">
        <f t="shared" si="59"/>
        <v>0</v>
      </c>
      <c r="AR90">
        <f>E90+Q90+S90+T90+U90+V90+W90+X90+Y90+Z90+AA90+AB90+AC90+AD90+AE90+AF90+AG90+AH90+AI90+AJ90+AK90+AL90+AM90+AN90+AO90+AP90+AQ90</f>
        <v>0</v>
      </c>
      <c r="AS90">
        <f>D90+R116-AR90</f>
        <v>0</v>
      </c>
    </row>
    <row r="91" spans="1:45" ht="20.25" customHeight="1">
      <c r="A91" t="s">
        <v>53</v>
      </c>
      <c r="B91" t="s">
        <v>54</v>
      </c>
      <c r="C91" t="s">
        <v>55</v>
      </c>
      <c r="D91">
        <f t="shared" si="60"/>
        <v>0</v>
      </c>
      <c r="E91">
        <f t="shared" si="39"/>
        <v>0</v>
      </c>
      <c r="F91">
        <f t="shared" si="61"/>
        <v>0</v>
      </c>
      <c r="G91">
        <f t="shared" si="61"/>
        <v>0</v>
      </c>
      <c r="H91">
        <f t="shared" si="62"/>
        <v>0</v>
      </c>
      <c r="I91">
        <f t="shared" si="62"/>
        <v>0</v>
      </c>
      <c r="J91">
        <f t="shared" si="56"/>
        <v>0</v>
      </c>
      <c r="K91">
        <f t="shared" si="56"/>
        <v>0</v>
      </c>
      <c r="L91">
        <f t="shared" si="56"/>
        <v>0</v>
      </c>
      <c r="M91">
        <f t="shared" si="56"/>
        <v>0</v>
      </c>
      <c r="N91">
        <f t="shared" si="56"/>
        <v>0</v>
      </c>
      <c r="O91">
        <f t="shared" si="56"/>
        <v>0</v>
      </c>
      <c r="P91">
        <f t="shared" si="63"/>
        <v>0</v>
      </c>
      <c r="Q91">
        <f t="shared" ref="Q91:S97" si="66">W28</f>
        <v>0</v>
      </c>
      <c r="R91">
        <f>X28</f>
        <v>0</v>
      </c>
      <c r="S91">
        <f>D91-AR91</f>
        <v>0</v>
      </c>
      <c r="T91">
        <f t="shared" ref="T91:Y91" si="67">Z28</f>
        <v>0</v>
      </c>
      <c r="U91">
        <f t="shared" si="67"/>
        <v>0</v>
      </c>
      <c r="V91">
        <f t="shared" si="67"/>
        <v>0</v>
      </c>
      <c r="W91">
        <f t="shared" si="67"/>
        <v>0</v>
      </c>
      <c r="X91">
        <f t="shared" si="67"/>
        <v>0</v>
      </c>
      <c r="Y91">
        <f t="shared" si="67"/>
        <v>0</v>
      </c>
      <c r="Z91">
        <f t="shared" si="65"/>
        <v>0</v>
      </c>
      <c r="AA91">
        <f t="shared" si="59"/>
        <v>0</v>
      </c>
      <c r="AB91">
        <f t="shared" si="59"/>
        <v>0</v>
      </c>
      <c r="AC91">
        <f t="shared" si="59"/>
        <v>0</v>
      </c>
      <c r="AD91">
        <f t="shared" si="59"/>
        <v>0</v>
      </c>
      <c r="AE91">
        <f t="shared" si="59"/>
        <v>0</v>
      </c>
      <c r="AF91">
        <f t="shared" si="59"/>
        <v>0</v>
      </c>
      <c r="AG91">
        <f t="shared" si="59"/>
        <v>0</v>
      </c>
      <c r="AH91">
        <f t="shared" si="59"/>
        <v>0</v>
      </c>
      <c r="AI91">
        <f t="shared" si="59"/>
        <v>0</v>
      </c>
      <c r="AJ91">
        <f t="shared" si="59"/>
        <v>0</v>
      </c>
      <c r="AK91">
        <f t="shared" si="59"/>
        <v>0</v>
      </c>
      <c r="AL91">
        <f t="shared" si="59"/>
        <v>0</v>
      </c>
      <c r="AM91">
        <f t="shared" si="59"/>
        <v>0</v>
      </c>
      <c r="AN91">
        <f t="shared" si="59"/>
        <v>0</v>
      </c>
      <c r="AO91">
        <f t="shared" si="59"/>
        <v>0</v>
      </c>
      <c r="AP91">
        <f t="shared" si="59"/>
        <v>0</v>
      </c>
      <c r="AQ91">
        <f t="shared" si="59"/>
        <v>0</v>
      </c>
      <c r="AR91">
        <f>E91+Q91+R91+T91+U91+V91+W91+X91+Y91+Z91+AA91+AB91+AC91+AD91+AE91+AF91+AG91+AH91+AI91+AJ91+AK91+AL91+AM91+AN91+AO91+AP91+AQ91</f>
        <v>0</v>
      </c>
      <c r="AS91">
        <f>D91+S116-AR91</f>
        <v>0</v>
      </c>
    </row>
    <row r="92" spans="1:45" ht="20.25" customHeight="1">
      <c r="A92" t="s">
        <v>56</v>
      </c>
      <c r="B92" t="s">
        <v>57</v>
      </c>
      <c r="C92" t="s">
        <v>58</v>
      </c>
      <c r="D92">
        <f t="shared" si="60"/>
        <v>0</v>
      </c>
      <c r="E92">
        <f t="shared" si="39"/>
        <v>0</v>
      </c>
      <c r="F92">
        <f t="shared" si="61"/>
        <v>0</v>
      </c>
      <c r="G92">
        <f t="shared" si="61"/>
        <v>0</v>
      </c>
      <c r="H92">
        <f t="shared" si="62"/>
        <v>0</v>
      </c>
      <c r="I92">
        <f t="shared" si="62"/>
        <v>0</v>
      </c>
      <c r="J92">
        <f t="shared" si="56"/>
        <v>0</v>
      </c>
      <c r="K92">
        <f t="shared" si="56"/>
        <v>0</v>
      </c>
      <c r="L92">
        <f t="shared" si="56"/>
        <v>0</v>
      </c>
      <c r="M92">
        <f t="shared" si="56"/>
        <v>0</v>
      </c>
      <c r="N92">
        <f t="shared" si="56"/>
        <v>0</v>
      </c>
      <c r="O92">
        <f t="shared" si="56"/>
        <v>0</v>
      </c>
      <c r="P92">
        <f t="shared" si="63"/>
        <v>0</v>
      </c>
      <c r="Q92">
        <f t="shared" si="66"/>
        <v>0</v>
      </c>
      <c r="R92">
        <f t="shared" si="66"/>
        <v>0</v>
      </c>
      <c r="S92">
        <f t="shared" si="66"/>
        <v>0</v>
      </c>
      <c r="T92">
        <f>D92-AR92</f>
        <v>0</v>
      </c>
      <c r="U92">
        <f>AA29</f>
        <v>0</v>
      </c>
      <c r="V92">
        <f>AB29</f>
        <v>0</v>
      </c>
      <c r="W92">
        <f>AC29</f>
        <v>0</v>
      </c>
      <c r="X92">
        <f>AD29</f>
        <v>0</v>
      </c>
      <c r="Y92">
        <f>AE29</f>
        <v>0</v>
      </c>
      <c r="Z92">
        <f t="shared" si="65"/>
        <v>0</v>
      </c>
      <c r="AA92">
        <f t="shared" si="59"/>
        <v>0</v>
      </c>
      <c r="AB92">
        <f t="shared" si="59"/>
        <v>0</v>
      </c>
      <c r="AC92">
        <f t="shared" si="59"/>
        <v>0</v>
      </c>
      <c r="AD92">
        <f t="shared" si="59"/>
        <v>0</v>
      </c>
      <c r="AE92">
        <f t="shared" si="59"/>
        <v>0</v>
      </c>
      <c r="AF92">
        <f t="shared" si="59"/>
        <v>0</v>
      </c>
      <c r="AG92">
        <f t="shared" si="59"/>
        <v>0</v>
      </c>
      <c r="AH92">
        <f t="shared" si="59"/>
        <v>0</v>
      </c>
      <c r="AI92">
        <f t="shared" si="59"/>
        <v>0</v>
      </c>
      <c r="AJ92">
        <f t="shared" si="59"/>
        <v>0</v>
      </c>
      <c r="AK92">
        <f t="shared" si="59"/>
        <v>0</v>
      </c>
      <c r="AL92">
        <f t="shared" si="59"/>
        <v>0</v>
      </c>
      <c r="AM92">
        <f t="shared" si="59"/>
        <v>0</v>
      </c>
      <c r="AN92">
        <f t="shared" si="59"/>
        <v>0</v>
      </c>
      <c r="AO92">
        <f t="shared" si="59"/>
        <v>0</v>
      </c>
      <c r="AP92">
        <f t="shared" si="59"/>
        <v>0</v>
      </c>
      <c r="AQ92">
        <f t="shared" si="59"/>
        <v>0</v>
      </c>
      <c r="AR92">
        <f>E92+Q92+R92+S92+U92+V92+W92+X92+Y92+Z92+AA92+AB92+AC92+AD92+AE92+AF92+AG92+AH92+AI92+AJ92+AK92+AL92+AM92+AN92+AO92+AP92+AQ92</f>
        <v>0</v>
      </c>
      <c r="AS92">
        <f>D92+T116-AR92</f>
        <v>0</v>
      </c>
    </row>
    <row r="93" spans="1:45" ht="20.25" customHeight="1">
      <c r="A93" t="s">
        <v>59</v>
      </c>
      <c r="B93" t="s">
        <v>60</v>
      </c>
      <c r="C93" t="s">
        <v>61</v>
      </c>
      <c r="D93">
        <f t="shared" si="60"/>
        <v>0</v>
      </c>
      <c r="E93">
        <f t="shared" si="39"/>
        <v>0</v>
      </c>
      <c r="F93">
        <f t="shared" si="61"/>
        <v>0</v>
      </c>
      <c r="G93">
        <f t="shared" si="61"/>
        <v>0</v>
      </c>
      <c r="H93">
        <f t="shared" si="62"/>
        <v>0</v>
      </c>
      <c r="I93">
        <f t="shared" si="62"/>
        <v>0</v>
      </c>
      <c r="J93">
        <f t="shared" si="56"/>
        <v>0</v>
      </c>
      <c r="K93">
        <f t="shared" si="56"/>
        <v>0</v>
      </c>
      <c r="L93">
        <f t="shared" si="56"/>
        <v>0</v>
      </c>
      <c r="M93">
        <f t="shared" si="56"/>
        <v>0</v>
      </c>
      <c r="N93">
        <f t="shared" si="56"/>
        <v>0</v>
      </c>
      <c r="O93">
        <f t="shared" si="56"/>
        <v>0</v>
      </c>
      <c r="P93">
        <f t="shared" si="63"/>
        <v>0</v>
      </c>
      <c r="Q93">
        <f t="shared" si="66"/>
        <v>0</v>
      </c>
      <c r="R93">
        <f t="shared" si="66"/>
        <v>0</v>
      </c>
      <c r="S93">
        <f t="shared" si="66"/>
        <v>0</v>
      </c>
      <c r="T93">
        <f>Z30</f>
        <v>0</v>
      </c>
      <c r="U93">
        <f>D93-AR93</f>
        <v>0</v>
      </c>
      <c r="V93">
        <f>AB30</f>
        <v>0</v>
      </c>
      <c r="W93">
        <f>AC30</f>
        <v>0</v>
      </c>
      <c r="X93">
        <f>AD30</f>
        <v>0</v>
      </c>
      <c r="Y93">
        <f>AE30</f>
        <v>0</v>
      </c>
      <c r="Z93">
        <f t="shared" si="65"/>
        <v>0</v>
      </c>
      <c r="AA93">
        <f t="shared" si="59"/>
        <v>0</v>
      </c>
      <c r="AB93">
        <f t="shared" si="59"/>
        <v>0</v>
      </c>
      <c r="AC93">
        <f t="shared" si="59"/>
        <v>0</v>
      </c>
      <c r="AD93">
        <f t="shared" si="59"/>
        <v>0</v>
      </c>
      <c r="AE93">
        <f t="shared" si="59"/>
        <v>0</v>
      </c>
      <c r="AF93">
        <f t="shared" si="59"/>
        <v>0</v>
      </c>
      <c r="AG93">
        <f t="shared" si="59"/>
        <v>0</v>
      </c>
      <c r="AH93">
        <f t="shared" si="59"/>
        <v>0</v>
      </c>
      <c r="AI93">
        <f t="shared" si="59"/>
        <v>0</v>
      </c>
      <c r="AJ93">
        <f t="shared" si="59"/>
        <v>0</v>
      </c>
      <c r="AK93">
        <f t="shared" si="59"/>
        <v>0</v>
      </c>
      <c r="AL93">
        <f t="shared" si="59"/>
        <v>0</v>
      </c>
      <c r="AM93">
        <f t="shared" si="59"/>
        <v>0</v>
      </c>
      <c r="AN93">
        <f t="shared" si="59"/>
        <v>0</v>
      </c>
      <c r="AO93">
        <f t="shared" si="59"/>
        <v>0</v>
      </c>
      <c r="AP93">
        <f t="shared" si="59"/>
        <v>0</v>
      </c>
      <c r="AQ93">
        <f t="shared" si="59"/>
        <v>0</v>
      </c>
      <c r="AR93">
        <f>E93+Q93+R93+S93+T93+V93+W93+X93+Y93+Z93+AA93+AB93+AC93+AD93+AE93+AF93+AG93+AH93+AI93+AJ93+AK93+AL93+AM93+AN93+AO93+AP93+AQ93</f>
        <v>0</v>
      </c>
      <c r="AS93">
        <f>D93+U116-AR93</f>
        <v>0</v>
      </c>
    </row>
    <row r="94" spans="1:45" ht="20.25" customHeight="1">
      <c r="A94" t="s">
        <v>62</v>
      </c>
      <c r="B94" t="s">
        <v>63</v>
      </c>
      <c r="C94" t="s">
        <v>64</v>
      </c>
      <c r="D94">
        <f t="shared" si="60"/>
        <v>0</v>
      </c>
      <c r="E94">
        <f t="shared" si="39"/>
        <v>0</v>
      </c>
      <c r="F94">
        <f t="shared" si="61"/>
        <v>0</v>
      </c>
      <c r="G94">
        <f t="shared" si="61"/>
        <v>0</v>
      </c>
      <c r="H94">
        <f t="shared" si="62"/>
        <v>0</v>
      </c>
      <c r="I94">
        <f t="shared" si="62"/>
        <v>0</v>
      </c>
      <c r="J94">
        <f t="shared" si="56"/>
        <v>0</v>
      </c>
      <c r="K94">
        <f t="shared" si="56"/>
        <v>0</v>
      </c>
      <c r="L94">
        <f t="shared" si="56"/>
        <v>0</v>
      </c>
      <c r="M94">
        <f t="shared" si="56"/>
        <v>0</v>
      </c>
      <c r="N94">
        <f t="shared" si="56"/>
        <v>0</v>
      </c>
      <c r="O94">
        <f t="shared" si="56"/>
        <v>0</v>
      </c>
      <c r="P94">
        <f t="shared" si="63"/>
        <v>0</v>
      </c>
      <c r="Q94">
        <f t="shared" si="66"/>
        <v>0</v>
      </c>
      <c r="R94">
        <f t="shared" si="66"/>
        <v>0</v>
      </c>
      <c r="S94">
        <f t="shared" si="66"/>
        <v>0</v>
      </c>
      <c r="T94">
        <f>Z31</f>
        <v>0</v>
      </c>
      <c r="U94">
        <f>AA31</f>
        <v>0</v>
      </c>
      <c r="V94">
        <f>D94-AR94</f>
        <v>0</v>
      </c>
      <c r="W94">
        <f>AC31</f>
        <v>0</v>
      </c>
      <c r="X94">
        <f>AD31</f>
        <v>0</v>
      </c>
      <c r="Y94">
        <f>AE31</f>
        <v>0</v>
      </c>
      <c r="Z94">
        <f t="shared" si="65"/>
        <v>0</v>
      </c>
      <c r="AA94">
        <f t="shared" si="59"/>
        <v>0</v>
      </c>
      <c r="AB94">
        <f t="shared" si="59"/>
        <v>0</v>
      </c>
      <c r="AC94">
        <f t="shared" si="59"/>
        <v>0</v>
      </c>
      <c r="AD94">
        <f t="shared" si="59"/>
        <v>0</v>
      </c>
      <c r="AE94">
        <f t="shared" si="59"/>
        <v>0</v>
      </c>
      <c r="AF94">
        <f t="shared" si="59"/>
        <v>0</v>
      </c>
      <c r="AG94">
        <f t="shared" si="59"/>
        <v>0</v>
      </c>
      <c r="AH94">
        <f t="shared" si="59"/>
        <v>0</v>
      </c>
      <c r="AI94">
        <f t="shared" si="59"/>
        <v>0</v>
      </c>
      <c r="AJ94">
        <f t="shared" si="59"/>
        <v>0</v>
      </c>
      <c r="AK94">
        <f t="shared" si="59"/>
        <v>0</v>
      </c>
      <c r="AL94">
        <f t="shared" si="59"/>
        <v>0</v>
      </c>
      <c r="AM94">
        <f t="shared" si="59"/>
        <v>0</v>
      </c>
      <c r="AN94">
        <f t="shared" si="59"/>
        <v>0</v>
      </c>
      <c r="AO94">
        <f t="shared" si="59"/>
        <v>0</v>
      </c>
      <c r="AP94">
        <f t="shared" si="59"/>
        <v>0</v>
      </c>
      <c r="AQ94">
        <f t="shared" si="59"/>
        <v>0</v>
      </c>
      <c r="AR94">
        <f>E94+Q94+R94+S94+T94+U94+W94+X94+Y94+Z94+AA94+AB94+AC94+AD94+AE94+AF94+AG94+AH94+AI94+AJ94+AK94+AL94+AM94+AN94+AO94+AP94+AQ94</f>
        <v>0</v>
      </c>
      <c r="AS94">
        <f>D94+V116-AR94</f>
        <v>0</v>
      </c>
    </row>
    <row r="95" spans="1:45" ht="20.25" customHeight="1">
      <c r="A95" t="s">
        <v>65</v>
      </c>
      <c r="B95" t="s">
        <v>66</v>
      </c>
      <c r="C95" t="s">
        <v>67</v>
      </c>
      <c r="D95">
        <f t="shared" si="60"/>
        <v>0</v>
      </c>
      <c r="E95">
        <f t="shared" si="39"/>
        <v>0</v>
      </c>
      <c r="F95">
        <f t="shared" si="61"/>
        <v>0</v>
      </c>
      <c r="G95">
        <f t="shared" si="61"/>
        <v>0</v>
      </c>
      <c r="H95">
        <f t="shared" si="62"/>
        <v>0</v>
      </c>
      <c r="I95">
        <f t="shared" si="62"/>
        <v>0</v>
      </c>
      <c r="J95">
        <f t="shared" si="56"/>
        <v>0</v>
      </c>
      <c r="K95">
        <f t="shared" si="56"/>
        <v>0</v>
      </c>
      <c r="L95">
        <f t="shared" si="56"/>
        <v>0</v>
      </c>
      <c r="M95">
        <f t="shared" si="56"/>
        <v>0</v>
      </c>
      <c r="N95">
        <f t="shared" si="56"/>
        <v>0</v>
      </c>
      <c r="O95">
        <f t="shared" si="56"/>
        <v>0</v>
      </c>
      <c r="P95">
        <f t="shared" si="63"/>
        <v>0</v>
      </c>
      <c r="Q95">
        <f t="shared" si="66"/>
        <v>0</v>
      </c>
      <c r="R95">
        <f t="shared" si="66"/>
        <v>0</v>
      </c>
      <c r="S95">
        <f t="shared" si="66"/>
        <v>0</v>
      </c>
      <c r="T95">
        <f>Z32</f>
        <v>0</v>
      </c>
      <c r="U95">
        <f>AA32</f>
        <v>0</v>
      </c>
      <c r="V95">
        <f>AB32</f>
        <v>0</v>
      </c>
      <c r="W95">
        <f>D95-AR95</f>
        <v>0</v>
      </c>
      <c r="X95">
        <f>AD32</f>
        <v>0</v>
      </c>
      <c r="Y95">
        <f>AE32</f>
        <v>0</v>
      </c>
      <c r="Z95">
        <f t="shared" si="65"/>
        <v>0</v>
      </c>
      <c r="AA95">
        <f t="shared" si="59"/>
        <v>0</v>
      </c>
      <c r="AB95">
        <f t="shared" si="59"/>
        <v>0</v>
      </c>
      <c r="AC95">
        <f t="shared" si="59"/>
        <v>0</v>
      </c>
      <c r="AD95">
        <f t="shared" si="59"/>
        <v>0</v>
      </c>
      <c r="AE95">
        <f t="shared" si="59"/>
        <v>0</v>
      </c>
      <c r="AF95">
        <f t="shared" si="59"/>
        <v>0</v>
      </c>
      <c r="AG95">
        <f t="shared" si="59"/>
        <v>0</v>
      </c>
      <c r="AH95">
        <f t="shared" si="59"/>
        <v>0</v>
      </c>
      <c r="AI95">
        <f t="shared" si="59"/>
        <v>0</v>
      </c>
      <c r="AJ95">
        <f t="shared" si="59"/>
        <v>0</v>
      </c>
      <c r="AK95">
        <f t="shared" si="59"/>
        <v>0</v>
      </c>
      <c r="AL95">
        <f t="shared" si="59"/>
        <v>0</v>
      </c>
      <c r="AM95">
        <f t="shared" si="59"/>
        <v>0</v>
      </c>
      <c r="AN95">
        <f t="shared" si="59"/>
        <v>0</v>
      </c>
      <c r="AO95">
        <f t="shared" si="59"/>
        <v>0</v>
      </c>
      <c r="AP95">
        <f t="shared" si="59"/>
        <v>0</v>
      </c>
      <c r="AQ95">
        <f t="shared" si="59"/>
        <v>0</v>
      </c>
      <c r="AR95">
        <f>E95+Q95+R95+S95+T95+U95+V95+X95+Y95+Z95+AA95+AB95+AC95+AD95+AE95+AF95+AG95+AH95+AI95+AJ95+AK95+AL95+AM95+AN95+AO95+AP95+AQ95</f>
        <v>0</v>
      </c>
      <c r="AS95">
        <f>D95+W116-AR95</f>
        <v>0</v>
      </c>
    </row>
    <row r="96" spans="1:45" ht="20.25" customHeight="1">
      <c r="A96" t="s">
        <v>68</v>
      </c>
      <c r="B96" t="s">
        <v>69</v>
      </c>
      <c r="C96" t="s">
        <v>70</v>
      </c>
      <c r="D96">
        <f t="shared" si="60"/>
        <v>0</v>
      </c>
      <c r="E96">
        <f t="shared" si="39"/>
        <v>0</v>
      </c>
      <c r="F96">
        <f t="shared" si="61"/>
        <v>0</v>
      </c>
      <c r="G96">
        <f t="shared" si="61"/>
        <v>0</v>
      </c>
      <c r="H96">
        <f t="shared" si="62"/>
        <v>0</v>
      </c>
      <c r="I96">
        <f t="shared" si="62"/>
        <v>0</v>
      </c>
      <c r="J96">
        <f t="shared" si="56"/>
        <v>0</v>
      </c>
      <c r="K96">
        <f t="shared" si="56"/>
        <v>0</v>
      </c>
      <c r="L96">
        <f t="shared" si="56"/>
        <v>0</v>
      </c>
      <c r="M96">
        <f t="shared" si="56"/>
        <v>0</v>
      </c>
      <c r="N96">
        <f t="shared" si="56"/>
        <v>0</v>
      </c>
      <c r="O96">
        <f t="shared" si="56"/>
        <v>0</v>
      </c>
      <c r="P96">
        <f t="shared" si="63"/>
        <v>0</v>
      </c>
      <c r="Q96">
        <f t="shared" si="66"/>
        <v>0</v>
      </c>
      <c r="R96">
        <f t="shared" si="66"/>
        <v>0</v>
      </c>
      <c r="S96">
        <f t="shared" si="66"/>
        <v>0</v>
      </c>
      <c r="T96">
        <f>Z33</f>
        <v>0</v>
      </c>
      <c r="U96">
        <f>AA33</f>
        <v>0</v>
      </c>
      <c r="V96">
        <f>AB33</f>
        <v>0</v>
      </c>
      <c r="W96">
        <f>AC33</f>
        <v>0</v>
      </c>
      <c r="X96">
        <f>D96-AR96</f>
        <v>0</v>
      </c>
      <c r="Y96">
        <f>AE33</f>
        <v>0</v>
      </c>
      <c r="Z96">
        <f t="shared" si="65"/>
        <v>0</v>
      </c>
      <c r="AA96">
        <f t="shared" si="59"/>
        <v>0</v>
      </c>
      <c r="AB96">
        <f t="shared" si="59"/>
        <v>0</v>
      </c>
      <c r="AC96">
        <f t="shared" si="59"/>
        <v>0</v>
      </c>
      <c r="AD96">
        <f t="shared" si="59"/>
        <v>0</v>
      </c>
      <c r="AE96">
        <f t="shared" si="59"/>
        <v>0</v>
      </c>
      <c r="AF96">
        <f t="shared" si="59"/>
        <v>0</v>
      </c>
      <c r="AG96">
        <f t="shared" si="59"/>
        <v>0</v>
      </c>
      <c r="AH96">
        <f t="shared" si="59"/>
        <v>0</v>
      </c>
      <c r="AI96">
        <f t="shared" si="59"/>
        <v>0</v>
      </c>
      <c r="AJ96">
        <f t="shared" si="59"/>
        <v>0</v>
      </c>
      <c r="AK96">
        <f t="shared" si="59"/>
        <v>0</v>
      </c>
      <c r="AL96">
        <f t="shared" si="59"/>
        <v>0</v>
      </c>
      <c r="AM96">
        <f t="shared" si="59"/>
        <v>0</v>
      </c>
      <c r="AN96">
        <f t="shared" si="59"/>
        <v>0</v>
      </c>
      <c r="AO96">
        <f t="shared" si="59"/>
        <v>0</v>
      </c>
      <c r="AP96">
        <f t="shared" si="59"/>
        <v>0</v>
      </c>
      <c r="AQ96">
        <f t="shared" si="59"/>
        <v>0</v>
      </c>
      <c r="AR96">
        <f>E96+Q96+R96+S96+T96+U96+V96+W96+Y96+Z96+AA96+AB96+AC96+AD96+AE96+AF96+AG96+AH96+AI96+AJ96+AK96+AL96+AM96+AN96+AO96+AP96+AQ96</f>
        <v>0</v>
      </c>
      <c r="AS96">
        <f>D96+X116-AR96</f>
        <v>0</v>
      </c>
    </row>
    <row r="97" spans="1:45" ht="38.25" customHeight="1">
      <c r="A97" t="s">
        <v>71</v>
      </c>
      <c r="B97" t="s">
        <v>135</v>
      </c>
      <c r="C97" t="s">
        <v>72</v>
      </c>
      <c r="D97">
        <f t="shared" si="60"/>
        <v>0</v>
      </c>
      <c r="E97">
        <f t="shared" si="39"/>
        <v>0</v>
      </c>
      <c r="F97">
        <f t="shared" si="61"/>
        <v>0</v>
      </c>
      <c r="G97">
        <f t="shared" si="61"/>
        <v>0</v>
      </c>
      <c r="H97">
        <f t="shared" si="62"/>
        <v>0</v>
      </c>
      <c r="I97">
        <f t="shared" si="62"/>
        <v>0</v>
      </c>
      <c r="J97">
        <f>P34</f>
        <v>0</v>
      </c>
      <c r="K97">
        <f t="shared" si="56"/>
        <v>0</v>
      </c>
      <c r="L97">
        <f t="shared" si="56"/>
        <v>0</v>
      </c>
      <c r="M97">
        <f t="shared" si="56"/>
        <v>0</v>
      </c>
      <c r="N97">
        <f t="shared" si="56"/>
        <v>0</v>
      </c>
      <c r="O97">
        <f t="shared" si="56"/>
        <v>0</v>
      </c>
      <c r="P97">
        <f t="shared" si="63"/>
        <v>0</v>
      </c>
      <c r="Q97">
        <f t="shared" si="66"/>
        <v>0</v>
      </c>
      <c r="R97">
        <f t="shared" si="66"/>
        <v>0</v>
      </c>
      <c r="S97">
        <f t="shared" si="66"/>
        <v>0</v>
      </c>
      <c r="T97">
        <f>Z34</f>
        <v>0</v>
      </c>
      <c r="U97">
        <f>AA34</f>
        <v>0</v>
      </c>
      <c r="V97">
        <f>AB34</f>
        <v>0</v>
      </c>
      <c r="W97">
        <f>AC34</f>
        <v>0</v>
      </c>
      <c r="X97">
        <f>AD34</f>
        <v>0</v>
      </c>
      <c r="Y97">
        <f>D97-AR97</f>
        <v>0</v>
      </c>
      <c r="Z97">
        <f t="shared" si="65"/>
        <v>0</v>
      </c>
      <c r="AA97">
        <f t="shared" si="59"/>
        <v>0</v>
      </c>
      <c r="AB97">
        <f t="shared" si="59"/>
        <v>0</v>
      </c>
      <c r="AC97">
        <f t="shared" si="59"/>
        <v>0</v>
      </c>
      <c r="AD97">
        <f t="shared" si="59"/>
        <v>0</v>
      </c>
      <c r="AE97">
        <f t="shared" si="59"/>
        <v>0</v>
      </c>
      <c r="AF97">
        <f t="shared" si="59"/>
        <v>0</v>
      </c>
      <c r="AG97">
        <f t="shared" si="59"/>
        <v>0</v>
      </c>
      <c r="AH97">
        <f t="shared" si="59"/>
        <v>0</v>
      </c>
      <c r="AI97">
        <f t="shared" si="59"/>
        <v>0</v>
      </c>
      <c r="AJ97">
        <f t="shared" si="59"/>
        <v>0</v>
      </c>
      <c r="AK97">
        <f t="shared" si="59"/>
        <v>0</v>
      </c>
      <c r="AL97">
        <f t="shared" si="59"/>
        <v>0</v>
      </c>
      <c r="AM97">
        <f t="shared" si="59"/>
        <v>0</v>
      </c>
      <c r="AN97">
        <f t="shared" si="59"/>
        <v>0</v>
      </c>
      <c r="AO97">
        <f t="shared" si="59"/>
        <v>0</v>
      </c>
      <c r="AP97">
        <f t="shared" si="59"/>
        <v>0</v>
      </c>
      <c r="AQ97">
        <f t="shared" si="59"/>
        <v>0</v>
      </c>
      <c r="AR97">
        <f>E97+Q97+R97+S97+T97+U97+V97+W97+X97+Z97+AA97+AB97+AC97+AD97+AE97+AF97+AG97+AH97+AI97+AJ97+AK97+AL97+AM97+AN97+AO97+AP97+AQ97</f>
        <v>0</v>
      </c>
      <c r="AS97">
        <f>D97+Y116-AR97</f>
        <v>0</v>
      </c>
    </row>
    <row r="98" spans="1:45" ht="20.25" customHeight="1">
      <c r="A98" t="s">
        <v>73</v>
      </c>
      <c r="B98" t="s">
        <v>74</v>
      </c>
      <c r="C98" t="s">
        <v>75</v>
      </c>
      <c r="D98">
        <f>D46</f>
        <v>0</v>
      </c>
      <c r="E98">
        <f t="shared" si="39"/>
        <v>0</v>
      </c>
      <c r="F98">
        <f>H46</f>
        <v>0</v>
      </c>
      <c r="G98">
        <f>I46</f>
        <v>0</v>
      </c>
      <c r="H98">
        <f>M46</f>
        <v>0</v>
      </c>
      <c r="I98">
        <f>N46</f>
        <v>0</v>
      </c>
      <c r="J98">
        <f t="shared" ref="J98:O113" si="68">P46</f>
        <v>0</v>
      </c>
      <c r="K98">
        <f t="shared" si="68"/>
        <v>0</v>
      </c>
      <c r="L98">
        <f t="shared" si="68"/>
        <v>0</v>
      </c>
      <c r="M98">
        <f t="shared" si="68"/>
        <v>0</v>
      </c>
      <c r="N98">
        <f t="shared" si="68"/>
        <v>0</v>
      </c>
      <c r="O98">
        <f t="shared" si="68"/>
        <v>0</v>
      </c>
      <c r="P98">
        <f t="shared" si="63"/>
        <v>0</v>
      </c>
      <c r="Q98">
        <f t="shared" ref="Q98:Y113" si="69">W46</f>
        <v>0</v>
      </c>
      <c r="R98">
        <f t="shared" si="69"/>
        <v>0</v>
      </c>
      <c r="S98">
        <f t="shared" si="69"/>
        <v>0</v>
      </c>
      <c r="T98">
        <f t="shared" si="69"/>
        <v>0</v>
      </c>
      <c r="U98">
        <f t="shared" si="69"/>
        <v>0</v>
      </c>
      <c r="V98">
        <f t="shared" si="69"/>
        <v>0</v>
      </c>
      <c r="W98">
        <f t="shared" si="69"/>
        <v>0</v>
      </c>
      <c r="X98">
        <f t="shared" si="69"/>
        <v>0</v>
      </c>
      <c r="Y98">
        <f t="shared" si="69"/>
        <v>0</v>
      </c>
      <c r="Z98">
        <f>D98-AR98</f>
        <v>0</v>
      </c>
      <c r="AA98">
        <f>AR46</f>
        <v>0</v>
      </c>
      <c r="AB98">
        <f t="shared" ref="AB98:AQ109" si="70">AS46</f>
        <v>0</v>
      </c>
      <c r="AC98">
        <f t="shared" si="70"/>
        <v>0</v>
      </c>
      <c r="AD98">
        <f t="shared" si="70"/>
        <v>0</v>
      </c>
      <c r="AE98">
        <f t="shared" si="70"/>
        <v>0</v>
      </c>
      <c r="AF98">
        <f t="shared" si="70"/>
        <v>0</v>
      </c>
      <c r="AG98">
        <f t="shared" si="70"/>
        <v>0</v>
      </c>
      <c r="AH98">
        <f t="shared" si="70"/>
        <v>0</v>
      </c>
      <c r="AI98">
        <f t="shared" si="70"/>
        <v>0</v>
      </c>
      <c r="AJ98">
        <f t="shared" si="70"/>
        <v>0</v>
      </c>
      <c r="AK98">
        <f t="shared" si="70"/>
        <v>0</v>
      </c>
      <c r="AL98">
        <f t="shared" si="70"/>
        <v>0</v>
      </c>
      <c r="AM98">
        <f t="shared" si="70"/>
        <v>0</v>
      </c>
      <c r="AN98">
        <f t="shared" si="70"/>
        <v>0</v>
      </c>
      <c r="AO98">
        <f t="shared" si="70"/>
        <v>0</v>
      </c>
      <c r="AP98">
        <f t="shared" si="70"/>
        <v>0</v>
      </c>
      <c r="AQ98">
        <f t="shared" si="70"/>
        <v>0</v>
      </c>
      <c r="AR98">
        <f>E98+Q98+R98+S98+T98+U98+V98+W98+X98+Y98+AA98+AB98+AC98+AD98+AE98+AF98+AG98+AH98+AI98+AJ98+AK98+AL98+AM98+AN98+AO98+AP98+AQ98</f>
        <v>0</v>
      </c>
      <c r="AS98">
        <f>D98+Z116-AR98</f>
        <v>0</v>
      </c>
    </row>
    <row r="99" spans="1:45" ht="20.25" customHeight="1">
      <c r="A99" t="s">
        <v>76</v>
      </c>
      <c r="B99" t="s">
        <v>77</v>
      </c>
      <c r="C99" t="s">
        <v>78</v>
      </c>
      <c r="D99">
        <f t="shared" ref="D99:D114" si="71">D47</f>
        <v>0</v>
      </c>
      <c r="E99">
        <f t="shared" si="39"/>
        <v>0</v>
      </c>
      <c r="F99">
        <f t="shared" ref="F99:G115" si="72">H47</f>
        <v>0</v>
      </c>
      <c r="G99">
        <f t="shared" si="72"/>
        <v>0</v>
      </c>
      <c r="H99">
        <f t="shared" ref="H99:I115" si="73">M47</f>
        <v>0</v>
      </c>
      <c r="I99">
        <f t="shared" si="73"/>
        <v>0</v>
      </c>
      <c r="J99">
        <f t="shared" si="68"/>
        <v>0</v>
      </c>
      <c r="K99">
        <f t="shared" si="68"/>
        <v>0</v>
      </c>
      <c r="L99">
        <f t="shared" si="68"/>
        <v>0</v>
      </c>
      <c r="M99">
        <f t="shared" si="68"/>
        <v>0</v>
      </c>
      <c r="N99">
        <f t="shared" si="68"/>
        <v>0</v>
      </c>
      <c r="O99">
        <f t="shared" si="68"/>
        <v>0</v>
      </c>
      <c r="P99">
        <f t="shared" si="63"/>
        <v>0</v>
      </c>
      <c r="Q99">
        <f t="shared" si="69"/>
        <v>0</v>
      </c>
      <c r="R99">
        <f t="shared" si="69"/>
        <v>0</v>
      </c>
      <c r="S99">
        <f t="shared" si="69"/>
        <v>0</v>
      </c>
      <c r="T99">
        <f t="shared" si="69"/>
        <v>0</v>
      </c>
      <c r="U99">
        <f t="shared" si="69"/>
        <v>0</v>
      </c>
      <c r="V99">
        <f t="shared" si="69"/>
        <v>0</v>
      </c>
      <c r="W99">
        <f t="shared" si="69"/>
        <v>0</v>
      </c>
      <c r="X99">
        <f t="shared" si="69"/>
        <v>0</v>
      </c>
      <c r="Y99">
        <f t="shared" si="69"/>
        <v>0</v>
      </c>
      <c r="Z99">
        <f>AQ47</f>
        <v>0</v>
      </c>
      <c r="AA99">
        <f>D99-AR99</f>
        <v>0</v>
      </c>
      <c r="AB99">
        <f>AS47</f>
        <v>0</v>
      </c>
      <c r="AC99">
        <f t="shared" si="70"/>
        <v>0</v>
      </c>
      <c r="AD99">
        <f t="shared" si="70"/>
        <v>0</v>
      </c>
      <c r="AE99">
        <f t="shared" si="70"/>
        <v>0</v>
      </c>
      <c r="AF99">
        <f t="shared" si="70"/>
        <v>0</v>
      </c>
      <c r="AG99">
        <f t="shared" si="70"/>
        <v>0</v>
      </c>
      <c r="AH99">
        <f t="shared" si="70"/>
        <v>0</v>
      </c>
      <c r="AI99">
        <f t="shared" si="70"/>
        <v>0</v>
      </c>
      <c r="AJ99">
        <f t="shared" si="70"/>
        <v>0</v>
      </c>
      <c r="AK99">
        <f t="shared" si="70"/>
        <v>0</v>
      </c>
      <c r="AL99">
        <f t="shared" si="70"/>
        <v>0</v>
      </c>
      <c r="AM99">
        <f t="shared" si="70"/>
        <v>0</v>
      </c>
      <c r="AN99">
        <f t="shared" si="70"/>
        <v>0</v>
      </c>
      <c r="AO99">
        <f t="shared" si="70"/>
        <v>0</v>
      </c>
      <c r="AP99">
        <f t="shared" si="70"/>
        <v>0</v>
      </c>
      <c r="AQ99">
        <f t="shared" si="70"/>
        <v>0</v>
      </c>
      <c r="AR99">
        <f>E99+Q99+R99+S99+T99+U99+V99+W99+X99+Y99+Z99+AB99+AC99+AD99+AE99+AF99+AG99+AH99+AI99+AJ99+AK99+AL99+AM99+AN99+AO99+AP99+AQ99</f>
        <v>0</v>
      </c>
      <c r="AS99">
        <f>D99+AA116-AR99</f>
        <v>0</v>
      </c>
    </row>
    <row r="100" spans="1:45" ht="20.25" customHeight="1">
      <c r="A100" t="s">
        <v>79</v>
      </c>
      <c r="B100" t="s">
        <v>80</v>
      </c>
      <c r="C100" t="s">
        <v>81</v>
      </c>
      <c r="D100">
        <f t="shared" si="71"/>
        <v>0</v>
      </c>
      <c r="E100">
        <f t="shared" si="39"/>
        <v>0</v>
      </c>
      <c r="F100">
        <f t="shared" si="72"/>
        <v>0</v>
      </c>
      <c r="G100">
        <f t="shared" si="72"/>
        <v>0</v>
      </c>
      <c r="H100">
        <f t="shared" si="73"/>
        <v>0</v>
      </c>
      <c r="I100">
        <f t="shared" si="73"/>
        <v>0</v>
      </c>
      <c r="J100">
        <f t="shared" si="68"/>
        <v>0</v>
      </c>
      <c r="K100">
        <f t="shared" si="68"/>
        <v>0</v>
      </c>
      <c r="L100">
        <f t="shared" si="68"/>
        <v>0</v>
      </c>
      <c r="M100">
        <f t="shared" si="68"/>
        <v>0</v>
      </c>
      <c r="N100">
        <f t="shared" si="68"/>
        <v>0</v>
      </c>
      <c r="O100">
        <f t="shared" si="68"/>
        <v>0</v>
      </c>
      <c r="P100">
        <f t="shared" si="63"/>
        <v>0</v>
      </c>
      <c r="Q100">
        <f t="shared" si="69"/>
        <v>0</v>
      </c>
      <c r="R100">
        <f t="shared" si="69"/>
        <v>0</v>
      </c>
      <c r="S100">
        <f t="shared" si="69"/>
        <v>0</v>
      </c>
      <c r="T100">
        <f t="shared" si="69"/>
        <v>0</v>
      </c>
      <c r="U100">
        <f t="shared" si="69"/>
        <v>0</v>
      </c>
      <c r="V100">
        <f t="shared" si="69"/>
        <v>0</v>
      </c>
      <c r="W100">
        <f t="shared" si="69"/>
        <v>0</v>
      </c>
      <c r="X100">
        <f t="shared" si="69"/>
        <v>0</v>
      </c>
      <c r="Y100">
        <f t="shared" si="69"/>
        <v>0</v>
      </c>
      <c r="Z100">
        <f t="shared" ref="Z100:AK115" si="74">AQ48</f>
        <v>0</v>
      </c>
      <c r="AA100">
        <f t="shared" si="74"/>
        <v>0</v>
      </c>
      <c r="AB100">
        <f>D100-AR100</f>
        <v>0</v>
      </c>
      <c r="AC100">
        <f>AT48</f>
        <v>0</v>
      </c>
      <c r="AD100">
        <f t="shared" si="70"/>
        <v>0</v>
      </c>
      <c r="AE100">
        <f t="shared" si="70"/>
        <v>0</v>
      </c>
      <c r="AF100">
        <f t="shared" si="70"/>
        <v>0</v>
      </c>
      <c r="AG100">
        <f t="shared" si="70"/>
        <v>0</v>
      </c>
      <c r="AH100">
        <f t="shared" si="70"/>
        <v>0</v>
      </c>
      <c r="AI100">
        <f t="shared" si="70"/>
        <v>0</v>
      </c>
      <c r="AJ100">
        <f t="shared" si="70"/>
        <v>0</v>
      </c>
      <c r="AK100">
        <f t="shared" si="70"/>
        <v>0</v>
      </c>
      <c r="AL100">
        <f t="shared" si="70"/>
        <v>0</v>
      </c>
      <c r="AM100">
        <f t="shared" si="70"/>
        <v>0</v>
      </c>
      <c r="AN100">
        <f t="shared" si="70"/>
        <v>0</v>
      </c>
      <c r="AO100">
        <f t="shared" si="70"/>
        <v>0</v>
      </c>
      <c r="AP100">
        <f t="shared" si="70"/>
        <v>0</v>
      </c>
      <c r="AQ100">
        <f t="shared" si="70"/>
        <v>0</v>
      </c>
      <c r="AR100">
        <f>E100+Q100+R100+S100+T100+U100+V100+W100+X100+Y100+Z100+AA100+AC100+AD100+AE100+AF100+AG100+AH100+AI100+AJ100+AK100+AL100+AM100+AN100+AO100+AP100+AQ100</f>
        <v>0</v>
      </c>
      <c r="AS100">
        <f>D100+AB116-AR100</f>
        <v>0</v>
      </c>
    </row>
    <row r="101" spans="1:45" ht="20.25" customHeight="1">
      <c r="A101" t="s">
        <v>82</v>
      </c>
      <c r="B101" t="s">
        <v>83</v>
      </c>
      <c r="C101" t="s">
        <v>84</v>
      </c>
      <c r="D101">
        <f t="shared" si="71"/>
        <v>0</v>
      </c>
      <c r="E101">
        <f t="shared" si="39"/>
        <v>0</v>
      </c>
      <c r="F101">
        <f t="shared" si="72"/>
        <v>0</v>
      </c>
      <c r="G101">
        <f t="shared" si="72"/>
        <v>0</v>
      </c>
      <c r="H101">
        <f t="shared" si="73"/>
        <v>0</v>
      </c>
      <c r="I101">
        <f t="shared" si="73"/>
        <v>0</v>
      </c>
      <c r="J101">
        <f t="shared" si="68"/>
        <v>0</v>
      </c>
      <c r="K101">
        <f t="shared" si="68"/>
        <v>0</v>
      </c>
      <c r="L101">
        <f t="shared" si="68"/>
        <v>0</v>
      </c>
      <c r="M101">
        <f t="shared" si="68"/>
        <v>0</v>
      </c>
      <c r="N101">
        <f t="shared" si="68"/>
        <v>0</v>
      </c>
      <c r="O101">
        <f t="shared" si="68"/>
        <v>0</v>
      </c>
      <c r="P101">
        <f t="shared" si="63"/>
        <v>0</v>
      </c>
      <c r="Q101">
        <f t="shared" si="69"/>
        <v>0</v>
      </c>
      <c r="R101">
        <f t="shared" si="69"/>
        <v>0</v>
      </c>
      <c r="S101">
        <f t="shared" si="69"/>
        <v>0</v>
      </c>
      <c r="T101">
        <f t="shared" si="69"/>
        <v>0</v>
      </c>
      <c r="U101">
        <f t="shared" si="69"/>
        <v>0</v>
      </c>
      <c r="V101">
        <f t="shared" si="69"/>
        <v>0</v>
      </c>
      <c r="W101">
        <f t="shared" si="69"/>
        <v>0</v>
      </c>
      <c r="X101">
        <f t="shared" si="69"/>
        <v>0</v>
      </c>
      <c r="Y101">
        <f t="shared" si="69"/>
        <v>0</v>
      </c>
      <c r="Z101">
        <f t="shared" si="74"/>
        <v>0</v>
      </c>
      <c r="AA101">
        <f t="shared" si="74"/>
        <v>0</v>
      </c>
      <c r="AB101">
        <f t="shared" si="74"/>
        <v>0</v>
      </c>
      <c r="AC101">
        <f>D101-AR101</f>
        <v>0</v>
      </c>
      <c r="AD101">
        <f>AU49</f>
        <v>0</v>
      </c>
      <c r="AE101">
        <f t="shared" si="70"/>
        <v>0</v>
      </c>
      <c r="AF101">
        <f t="shared" si="70"/>
        <v>0</v>
      </c>
      <c r="AG101">
        <f t="shared" si="70"/>
        <v>0</v>
      </c>
      <c r="AH101">
        <f t="shared" si="70"/>
        <v>0</v>
      </c>
      <c r="AI101">
        <f t="shared" si="70"/>
        <v>0</v>
      </c>
      <c r="AJ101">
        <f t="shared" si="70"/>
        <v>0</v>
      </c>
      <c r="AK101">
        <f t="shared" si="70"/>
        <v>0</v>
      </c>
      <c r="AL101">
        <f t="shared" si="70"/>
        <v>0</v>
      </c>
      <c r="AM101">
        <f t="shared" si="70"/>
        <v>0</v>
      </c>
      <c r="AN101">
        <f t="shared" si="70"/>
        <v>0</v>
      </c>
      <c r="AO101">
        <f t="shared" si="70"/>
        <v>0</v>
      </c>
      <c r="AP101">
        <f t="shared" si="70"/>
        <v>0</v>
      </c>
      <c r="AQ101">
        <f t="shared" si="70"/>
        <v>0</v>
      </c>
      <c r="AR101">
        <f>E101+Q101+R101+S101+T101+U101+V101+W101+X101+Y101+Z101+AA101+AB101+AD101+AE101+AF101+AG101+AH101+AI101+AJ101+AK101+AL101+AM101+AN101+AO101+AP101+AQ101</f>
        <v>0</v>
      </c>
      <c r="AS101">
        <f>D101+AC116-AR101</f>
        <v>0</v>
      </c>
    </row>
    <row r="102" spans="1:45" ht="20.25" customHeight="1">
      <c r="A102" t="s">
        <v>85</v>
      </c>
      <c r="B102" t="s">
        <v>86</v>
      </c>
      <c r="C102" t="s">
        <v>87</v>
      </c>
      <c r="D102">
        <f t="shared" si="71"/>
        <v>0</v>
      </c>
      <c r="E102">
        <f t="shared" si="39"/>
        <v>0</v>
      </c>
      <c r="F102">
        <f t="shared" si="72"/>
        <v>0</v>
      </c>
      <c r="G102">
        <f t="shared" si="72"/>
        <v>0</v>
      </c>
      <c r="H102">
        <f t="shared" si="73"/>
        <v>0</v>
      </c>
      <c r="I102">
        <f t="shared" si="73"/>
        <v>0</v>
      </c>
      <c r="J102">
        <f t="shared" si="68"/>
        <v>0</v>
      </c>
      <c r="K102">
        <f t="shared" si="68"/>
        <v>0</v>
      </c>
      <c r="L102">
        <f t="shared" si="68"/>
        <v>0</v>
      </c>
      <c r="M102">
        <f t="shared" si="68"/>
        <v>0</v>
      </c>
      <c r="N102">
        <f t="shared" si="68"/>
        <v>0</v>
      </c>
      <c r="O102">
        <f t="shared" si="68"/>
        <v>0</v>
      </c>
      <c r="P102">
        <f t="shared" si="63"/>
        <v>0</v>
      </c>
      <c r="Q102">
        <f t="shared" si="69"/>
        <v>0</v>
      </c>
      <c r="R102">
        <f t="shared" si="69"/>
        <v>0</v>
      </c>
      <c r="S102">
        <f t="shared" si="69"/>
        <v>0</v>
      </c>
      <c r="T102">
        <f t="shared" si="69"/>
        <v>0</v>
      </c>
      <c r="U102">
        <f t="shared" si="69"/>
        <v>0</v>
      </c>
      <c r="V102">
        <f t="shared" si="69"/>
        <v>0</v>
      </c>
      <c r="W102">
        <f t="shared" si="69"/>
        <v>0</v>
      </c>
      <c r="X102">
        <f t="shared" si="69"/>
        <v>0</v>
      </c>
      <c r="Y102">
        <f t="shared" si="69"/>
        <v>0</v>
      </c>
      <c r="Z102">
        <f t="shared" si="74"/>
        <v>0</v>
      </c>
      <c r="AA102">
        <f t="shared" si="74"/>
        <v>0</v>
      </c>
      <c r="AB102">
        <f t="shared" si="74"/>
        <v>0</v>
      </c>
      <c r="AC102">
        <f t="shared" si="74"/>
        <v>0</v>
      </c>
      <c r="AD102">
        <f>D102-AR102</f>
        <v>0</v>
      </c>
      <c r="AE102">
        <f>AV50</f>
        <v>0</v>
      </c>
      <c r="AF102">
        <f t="shared" si="70"/>
        <v>0</v>
      </c>
      <c r="AG102">
        <f t="shared" si="70"/>
        <v>0</v>
      </c>
      <c r="AH102">
        <f t="shared" si="70"/>
        <v>0</v>
      </c>
      <c r="AI102">
        <f t="shared" si="70"/>
        <v>0</v>
      </c>
      <c r="AJ102">
        <f t="shared" si="70"/>
        <v>0</v>
      </c>
      <c r="AK102">
        <f t="shared" si="70"/>
        <v>0</v>
      </c>
      <c r="AL102">
        <f t="shared" si="70"/>
        <v>0</v>
      </c>
      <c r="AM102">
        <f t="shared" si="70"/>
        <v>0</v>
      </c>
      <c r="AN102">
        <f t="shared" si="70"/>
        <v>0</v>
      </c>
      <c r="AO102">
        <f t="shared" si="70"/>
        <v>0</v>
      </c>
      <c r="AP102">
        <f t="shared" si="70"/>
        <v>0</v>
      </c>
      <c r="AQ102">
        <f t="shared" si="70"/>
        <v>0</v>
      </c>
      <c r="AR102">
        <f>E102+Q102+R102+S102+T102+U102+V102+W102+X102+Y102+Z102+AA102+AB102+AC102+AE102+AF102+AG102+AH102+AI102+AJ102+AK102+AL102+AM102+AN102+AO102+AP102+AQ102</f>
        <v>0</v>
      </c>
      <c r="AS102">
        <f>D102+AD116-AR102</f>
        <v>0</v>
      </c>
    </row>
    <row r="103" spans="1:45" ht="20.25" customHeight="1">
      <c r="A103" t="s">
        <v>88</v>
      </c>
      <c r="B103" t="s">
        <v>89</v>
      </c>
      <c r="C103" t="s">
        <v>90</v>
      </c>
      <c r="D103">
        <f t="shared" si="71"/>
        <v>0</v>
      </c>
      <c r="E103">
        <f t="shared" si="39"/>
        <v>0</v>
      </c>
      <c r="F103">
        <f t="shared" si="72"/>
        <v>0</v>
      </c>
      <c r="G103">
        <f t="shared" si="72"/>
        <v>0</v>
      </c>
      <c r="H103">
        <f t="shared" si="73"/>
        <v>0</v>
      </c>
      <c r="I103">
        <f t="shared" si="73"/>
        <v>0</v>
      </c>
      <c r="J103">
        <f t="shared" si="68"/>
        <v>0</v>
      </c>
      <c r="K103">
        <f t="shared" si="68"/>
        <v>0</v>
      </c>
      <c r="L103">
        <f t="shared" si="68"/>
        <v>0</v>
      </c>
      <c r="M103">
        <f t="shared" si="68"/>
        <v>0</v>
      </c>
      <c r="N103">
        <f t="shared" si="68"/>
        <v>0</v>
      </c>
      <c r="O103">
        <f t="shared" si="68"/>
        <v>0</v>
      </c>
      <c r="P103">
        <f t="shared" si="63"/>
        <v>0</v>
      </c>
      <c r="Q103">
        <f t="shared" si="69"/>
        <v>0</v>
      </c>
      <c r="R103">
        <f t="shared" si="69"/>
        <v>0</v>
      </c>
      <c r="S103">
        <f t="shared" si="69"/>
        <v>0</v>
      </c>
      <c r="T103">
        <f t="shared" si="69"/>
        <v>0</v>
      </c>
      <c r="U103">
        <f t="shared" si="69"/>
        <v>0</v>
      </c>
      <c r="V103">
        <f t="shared" si="69"/>
        <v>0</v>
      </c>
      <c r="W103">
        <f t="shared" si="69"/>
        <v>0</v>
      </c>
      <c r="X103">
        <f t="shared" si="69"/>
        <v>0</v>
      </c>
      <c r="Y103">
        <f t="shared" si="69"/>
        <v>0</v>
      </c>
      <c r="Z103">
        <f t="shared" si="74"/>
        <v>0</v>
      </c>
      <c r="AA103">
        <f t="shared" si="74"/>
        <v>0</v>
      </c>
      <c r="AB103">
        <f t="shared" si="74"/>
        <v>0</v>
      </c>
      <c r="AC103">
        <f t="shared" si="74"/>
        <v>0</v>
      </c>
      <c r="AD103">
        <f t="shared" si="74"/>
        <v>0</v>
      </c>
      <c r="AE103">
        <f>D103-AR103</f>
        <v>0</v>
      </c>
      <c r="AF103">
        <f>AW51</f>
        <v>0</v>
      </c>
      <c r="AG103">
        <f t="shared" si="70"/>
        <v>0</v>
      </c>
      <c r="AH103">
        <f t="shared" si="70"/>
        <v>0</v>
      </c>
      <c r="AI103">
        <f t="shared" si="70"/>
        <v>0</v>
      </c>
      <c r="AJ103">
        <f t="shared" si="70"/>
        <v>0</v>
      </c>
      <c r="AK103">
        <f t="shared" si="70"/>
        <v>0</v>
      </c>
      <c r="AL103">
        <f t="shared" si="70"/>
        <v>0</v>
      </c>
      <c r="AM103">
        <f t="shared" si="70"/>
        <v>0</v>
      </c>
      <c r="AN103">
        <f t="shared" si="70"/>
        <v>0</v>
      </c>
      <c r="AO103">
        <f t="shared" si="70"/>
        <v>0</v>
      </c>
      <c r="AP103">
        <f t="shared" si="70"/>
        <v>0</v>
      </c>
      <c r="AQ103">
        <f t="shared" si="70"/>
        <v>0</v>
      </c>
      <c r="AR103">
        <f>E103+Q103+R103+S103+T103+U103+V103+W103+X103+Y103+Z103+AA103+AB103+AC103+AD103+AF103+AG103+AH103+AI103+AJ103+AK103+AL103+AM103+AN103+AO103+AP103+AQ103</f>
        <v>0</v>
      </c>
      <c r="AS103">
        <f>D103+AE116-AR103</f>
        <v>0</v>
      </c>
    </row>
    <row r="104" spans="1:45" ht="37.5" customHeight="1">
      <c r="A104" t="s">
        <v>91</v>
      </c>
      <c r="B104" t="s">
        <v>92</v>
      </c>
      <c r="C104" t="s">
        <v>93</v>
      </c>
      <c r="D104">
        <f t="shared" si="71"/>
        <v>0</v>
      </c>
      <c r="E104">
        <f t="shared" si="39"/>
        <v>0</v>
      </c>
      <c r="F104">
        <f t="shared" si="72"/>
        <v>0</v>
      </c>
      <c r="G104">
        <f t="shared" si="72"/>
        <v>0</v>
      </c>
      <c r="H104">
        <f t="shared" si="73"/>
        <v>0</v>
      </c>
      <c r="I104">
        <f t="shared" si="73"/>
        <v>0</v>
      </c>
      <c r="J104">
        <f t="shared" si="68"/>
        <v>0</v>
      </c>
      <c r="K104">
        <f t="shared" si="68"/>
        <v>0</v>
      </c>
      <c r="L104">
        <f t="shared" si="68"/>
        <v>0</v>
      </c>
      <c r="M104">
        <f t="shared" si="68"/>
        <v>0</v>
      </c>
      <c r="N104">
        <f t="shared" si="68"/>
        <v>0</v>
      </c>
      <c r="O104">
        <f t="shared" si="68"/>
        <v>0</v>
      </c>
      <c r="P104">
        <f t="shared" si="63"/>
        <v>0</v>
      </c>
      <c r="Q104">
        <f t="shared" si="69"/>
        <v>0</v>
      </c>
      <c r="R104">
        <f t="shared" si="69"/>
        <v>0</v>
      </c>
      <c r="S104">
        <f t="shared" si="69"/>
        <v>0</v>
      </c>
      <c r="T104">
        <f t="shared" si="69"/>
        <v>0</v>
      </c>
      <c r="U104">
        <f t="shared" si="69"/>
        <v>0</v>
      </c>
      <c r="V104">
        <f t="shared" si="69"/>
        <v>0</v>
      </c>
      <c r="W104">
        <f t="shared" si="69"/>
        <v>0</v>
      </c>
      <c r="X104">
        <f t="shared" si="69"/>
        <v>0</v>
      </c>
      <c r="Y104">
        <f t="shared" si="69"/>
        <v>0</v>
      </c>
      <c r="Z104">
        <f t="shared" si="74"/>
        <v>0</v>
      </c>
      <c r="AA104">
        <f t="shared" si="74"/>
        <v>0</v>
      </c>
      <c r="AB104">
        <f t="shared" si="74"/>
        <v>0</v>
      </c>
      <c r="AC104">
        <f t="shared" si="74"/>
        <v>0</v>
      </c>
      <c r="AD104">
        <f t="shared" si="74"/>
        <v>0</v>
      </c>
      <c r="AE104">
        <f t="shared" si="74"/>
        <v>0</v>
      </c>
      <c r="AF104">
        <f>D104-AR104</f>
        <v>0</v>
      </c>
      <c r="AG104">
        <f>AX52</f>
        <v>0</v>
      </c>
      <c r="AH104">
        <f t="shared" si="70"/>
        <v>0</v>
      </c>
      <c r="AI104">
        <f t="shared" si="70"/>
        <v>0</v>
      </c>
      <c r="AJ104">
        <f t="shared" si="70"/>
        <v>0</v>
      </c>
      <c r="AK104">
        <f t="shared" si="70"/>
        <v>0</v>
      </c>
      <c r="AL104">
        <f t="shared" si="70"/>
        <v>0</v>
      </c>
      <c r="AM104">
        <f t="shared" si="70"/>
        <v>0</v>
      </c>
      <c r="AN104">
        <f t="shared" si="70"/>
        <v>0</v>
      </c>
      <c r="AO104">
        <f t="shared" si="70"/>
        <v>0</v>
      </c>
      <c r="AP104">
        <f t="shared" si="70"/>
        <v>0</v>
      </c>
      <c r="AQ104">
        <f t="shared" si="70"/>
        <v>0</v>
      </c>
      <c r="AR104">
        <f>E104+Q104+R104+S104+T104+U104+V104+W104+X104+Y104+Z104+AA104+AB104+AC104+AD104+AE104+AG104+AH104+AI104+AJ104+AK104+AL104+AM104+AN104+AO104+AP104+AQ104</f>
        <v>0</v>
      </c>
      <c r="AS104">
        <f>D104+AF116-AR104</f>
        <v>0</v>
      </c>
    </row>
    <row r="105" spans="1:45" ht="20.25" customHeight="1">
      <c r="A105" t="s">
        <v>94</v>
      </c>
      <c r="B105" t="s">
        <v>95</v>
      </c>
      <c r="C105" t="s">
        <v>96</v>
      </c>
      <c r="D105">
        <f t="shared" si="71"/>
        <v>0</v>
      </c>
      <c r="E105">
        <f t="shared" si="39"/>
        <v>0</v>
      </c>
      <c r="F105">
        <f t="shared" si="72"/>
        <v>0</v>
      </c>
      <c r="G105">
        <f t="shared" si="72"/>
        <v>0</v>
      </c>
      <c r="H105">
        <f t="shared" si="73"/>
        <v>0</v>
      </c>
      <c r="I105">
        <f t="shared" si="73"/>
        <v>0</v>
      </c>
      <c r="J105">
        <f t="shared" si="68"/>
        <v>0</v>
      </c>
      <c r="K105">
        <f t="shared" si="68"/>
        <v>0</v>
      </c>
      <c r="L105">
        <f t="shared" si="68"/>
        <v>0</v>
      </c>
      <c r="M105">
        <f t="shared" si="68"/>
        <v>0</v>
      </c>
      <c r="N105">
        <f t="shared" si="68"/>
        <v>0</v>
      </c>
      <c r="O105">
        <f t="shared" si="68"/>
        <v>0</v>
      </c>
      <c r="P105">
        <f t="shared" si="63"/>
        <v>0</v>
      </c>
      <c r="Q105">
        <f t="shared" si="69"/>
        <v>0</v>
      </c>
      <c r="R105">
        <f t="shared" si="69"/>
        <v>0</v>
      </c>
      <c r="S105">
        <f t="shared" si="69"/>
        <v>0</v>
      </c>
      <c r="T105">
        <f t="shared" si="69"/>
        <v>0</v>
      </c>
      <c r="U105">
        <f t="shared" si="69"/>
        <v>0</v>
      </c>
      <c r="V105">
        <f t="shared" si="69"/>
        <v>0</v>
      </c>
      <c r="W105">
        <f t="shared" si="69"/>
        <v>0</v>
      </c>
      <c r="X105">
        <f t="shared" si="69"/>
        <v>0</v>
      </c>
      <c r="Y105">
        <f t="shared" si="69"/>
        <v>0</v>
      </c>
      <c r="Z105">
        <f t="shared" si="74"/>
        <v>0</v>
      </c>
      <c r="AA105">
        <f t="shared" si="74"/>
        <v>0</v>
      </c>
      <c r="AB105">
        <f t="shared" si="74"/>
        <v>0</v>
      </c>
      <c r="AC105">
        <f t="shared" si="74"/>
        <v>0</v>
      </c>
      <c r="AD105">
        <f t="shared" si="74"/>
        <v>0</v>
      </c>
      <c r="AE105">
        <f t="shared" si="74"/>
        <v>0</v>
      </c>
      <c r="AF105">
        <f t="shared" si="74"/>
        <v>0</v>
      </c>
      <c r="AG105">
        <f>D105-AR105</f>
        <v>0</v>
      </c>
      <c r="AH105">
        <f>AY53</f>
        <v>0</v>
      </c>
      <c r="AI105">
        <f t="shared" si="70"/>
        <v>0</v>
      </c>
      <c r="AJ105">
        <f t="shared" si="70"/>
        <v>0</v>
      </c>
      <c r="AK105">
        <f t="shared" si="70"/>
        <v>0</v>
      </c>
      <c r="AL105">
        <f t="shared" si="70"/>
        <v>0</v>
      </c>
      <c r="AM105">
        <f t="shared" si="70"/>
        <v>0</v>
      </c>
      <c r="AN105">
        <f t="shared" si="70"/>
        <v>0</v>
      </c>
      <c r="AO105">
        <f t="shared" si="70"/>
        <v>0</v>
      </c>
      <c r="AP105">
        <f t="shared" si="70"/>
        <v>0</v>
      </c>
      <c r="AQ105">
        <f t="shared" si="70"/>
        <v>0</v>
      </c>
      <c r="AR105">
        <f>E105+Q105+R105+S105+T105+U105+V105+W105+X105+Y105+Z105+AA105+AB105+AC105+AD105+AE105+AF105+AH105+AI105+AJ105+AK105+AL105+AM105+AN105+AO105+AP105+AQ105</f>
        <v>0</v>
      </c>
      <c r="AS105">
        <f>D105+AG116-AR105</f>
        <v>0</v>
      </c>
    </row>
    <row r="106" spans="1:45" ht="20.25" customHeight="1">
      <c r="A106" t="s">
        <v>97</v>
      </c>
      <c r="B106" t="s">
        <v>98</v>
      </c>
      <c r="C106" t="s">
        <v>99</v>
      </c>
      <c r="D106">
        <f t="shared" si="71"/>
        <v>0</v>
      </c>
      <c r="E106">
        <f t="shared" si="39"/>
        <v>0</v>
      </c>
      <c r="F106">
        <f t="shared" si="72"/>
        <v>0</v>
      </c>
      <c r="G106">
        <f t="shared" si="72"/>
        <v>0</v>
      </c>
      <c r="H106">
        <f t="shared" si="73"/>
        <v>0</v>
      </c>
      <c r="I106">
        <f t="shared" si="73"/>
        <v>0</v>
      </c>
      <c r="J106">
        <f t="shared" si="68"/>
        <v>0</v>
      </c>
      <c r="K106">
        <f t="shared" si="68"/>
        <v>0</v>
      </c>
      <c r="L106">
        <f t="shared" si="68"/>
        <v>0</v>
      </c>
      <c r="M106">
        <f t="shared" si="68"/>
        <v>0</v>
      </c>
      <c r="N106">
        <f t="shared" si="68"/>
        <v>0</v>
      </c>
      <c r="O106">
        <f t="shared" si="68"/>
        <v>0</v>
      </c>
      <c r="P106">
        <f t="shared" si="63"/>
        <v>0</v>
      </c>
      <c r="Q106">
        <f t="shared" si="69"/>
        <v>0</v>
      </c>
      <c r="R106">
        <f t="shared" si="69"/>
        <v>0</v>
      </c>
      <c r="S106">
        <f t="shared" si="69"/>
        <v>0</v>
      </c>
      <c r="T106">
        <f t="shared" si="69"/>
        <v>0</v>
      </c>
      <c r="U106">
        <f t="shared" si="69"/>
        <v>0</v>
      </c>
      <c r="V106">
        <f t="shared" si="69"/>
        <v>0</v>
      </c>
      <c r="W106">
        <f t="shared" si="69"/>
        <v>0</v>
      </c>
      <c r="X106">
        <f t="shared" si="69"/>
        <v>0</v>
      </c>
      <c r="Y106">
        <f t="shared" si="69"/>
        <v>0</v>
      </c>
      <c r="Z106">
        <f t="shared" si="74"/>
        <v>0</v>
      </c>
      <c r="AA106">
        <f t="shared" si="74"/>
        <v>0</v>
      </c>
      <c r="AB106">
        <f t="shared" si="74"/>
        <v>0</v>
      </c>
      <c r="AC106">
        <f t="shared" si="74"/>
        <v>0</v>
      </c>
      <c r="AD106">
        <f t="shared" si="74"/>
        <v>0</v>
      </c>
      <c r="AE106">
        <f t="shared" si="74"/>
        <v>0</v>
      </c>
      <c r="AF106">
        <f t="shared" si="74"/>
        <v>0</v>
      </c>
      <c r="AG106">
        <f t="shared" si="74"/>
        <v>0</v>
      </c>
      <c r="AH106">
        <f>D106-AR106</f>
        <v>0</v>
      </c>
      <c r="AI106">
        <f>AZ54</f>
        <v>0</v>
      </c>
      <c r="AJ106">
        <f t="shared" si="70"/>
        <v>0</v>
      </c>
      <c r="AK106">
        <f t="shared" si="70"/>
        <v>0</v>
      </c>
      <c r="AL106">
        <f t="shared" si="70"/>
        <v>0</v>
      </c>
      <c r="AM106">
        <f t="shared" si="70"/>
        <v>0</v>
      </c>
      <c r="AN106">
        <f t="shared" si="70"/>
        <v>0</v>
      </c>
      <c r="AO106">
        <f t="shared" si="70"/>
        <v>0</v>
      </c>
      <c r="AP106">
        <f t="shared" si="70"/>
        <v>0</v>
      </c>
      <c r="AQ106">
        <f t="shared" si="70"/>
        <v>0</v>
      </c>
      <c r="AR106">
        <f>E106+Q106+R106+S106+T106+U106+V106+W106+X106+Y106+Z106+AA106+AB106+AC106+AD106+AE106+AF106+AG106+AI106+AJ106+AK106+AL106+AM106+AN106+AO106+AP106+AQ106</f>
        <v>0</v>
      </c>
      <c r="AS106">
        <f>D106+AH116-AR106</f>
        <v>0</v>
      </c>
    </row>
    <row r="107" spans="1:45" ht="31.5" customHeight="1">
      <c r="A107" t="s">
        <v>100</v>
      </c>
      <c r="B107" t="s">
        <v>134</v>
      </c>
      <c r="C107" t="s">
        <v>101</v>
      </c>
      <c r="D107">
        <f t="shared" si="71"/>
        <v>0</v>
      </c>
      <c r="E107">
        <f t="shared" si="39"/>
        <v>0</v>
      </c>
      <c r="F107">
        <f t="shared" si="72"/>
        <v>0</v>
      </c>
      <c r="G107">
        <f t="shared" si="72"/>
        <v>0</v>
      </c>
      <c r="H107">
        <f t="shared" si="73"/>
        <v>0</v>
      </c>
      <c r="I107">
        <f t="shared" si="73"/>
        <v>0</v>
      </c>
      <c r="J107">
        <f t="shared" si="68"/>
        <v>0</v>
      </c>
      <c r="K107">
        <f t="shared" si="68"/>
        <v>0</v>
      </c>
      <c r="L107">
        <f t="shared" si="68"/>
        <v>0</v>
      </c>
      <c r="M107">
        <f t="shared" si="68"/>
        <v>0</v>
      </c>
      <c r="N107">
        <f t="shared" si="68"/>
        <v>0</v>
      </c>
      <c r="O107">
        <f t="shared" si="68"/>
        <v>0</v>
      </c>
      <c r="P107">
        <f t="shared" si="63"/>
        <v>0</v>
      </c>
      <c r="Q107">
        <f t="shared" si="69"/>
        <v>0</v>
      </c>
      <c r="R107">
        <f t="shared" si="69"/>
        <v>0</v>
      </c>
      <c r="S107">
        <f t="shared" si="69"/>
        <v>0</v>
      </c>
      <c r="T107">
        <f t="shared" si="69"/>
        <v>0</v>
      </c>
      <c r="U107">
        <f t="shared" si="69"/>
        <v>0</v>
      </c>
      <c r="V107">
        <f t="shared" si="69"/>
        <v>0</v>
      </c>
      <c r="W107">
        <f t="shared" si="69"/>
        <v>0</v>
      </c>
      <c r="X107">
        <f t="shared" si="69"/>
        <v>0</v>
      </c>
      <c r="Y107">
        <f t="shared" si="69"/>
        <v>0</v>
      </c>
      <c r="Z107">
        <f t="shared" si="74"/>
        <v>0</v>
      </c>
      <c r="AA107">
        <f t="shared" si="74"/>
        <v>0</v>
      </c>
      <c r="AB107">
        <f t="shared" si="74"/>
        <v>0</v>
      </c>
      <c r="AC107">
        <f t="shared" si="74"/>
        <v>0</v>
      </c>
      <c r="AD107">
        <f t="shared" si="74"/>
        <v>0</v>
      </c>
      <c r="AE107">
        <f t="shared" si="74"/>
        <v>0</v>
      </c>
      <c r="AF107">
        <f t="shared" si="74"/>
        <v>0</v>
      </c>
      <c r="AG107">
        <f t="shared" si="74"/>
        <v>0</v>
      </c>
      <c r="AH107">
        <f t="shared" si="74"/>
        <v>0</v>
      </c>
      <c r="AI107">
        <f>D107-AR107</f>
        <v>0</v>
      </c>
      <c r="AJ107">
        <f>BA55</f>
        <v>0</v>
      </c>
      <c r="AK107">
        <f t="shared" si="70"/>
        <v>0</v>
      </c>
      <c r="AL107">
        <f t="shared" si="70"/>
        <v>0</v>
      </c>
      <c r="AM107">
        <f t="shared" si="70"/>
        <v>0</v>
      </c>
      <c r="AN107">
        <f t="shared" si="70"/>
        <v>0</v>
      </c>
      <c r="AO107">
        <f t="shared" si="70"/>
        <v>0</v>
      </c>
      <c r="AP107">
        <f t="shared" si="70"/>
        <v>0</v>
      </c>
      <c r="AQ107">
        <f t="shared" si="70"/>
        <v>0</v>
      </c>
      <c r="AR107">
        <f>E107+Q107+R107+S107+T107+U107+V107+W107+X107+Y107+Z107+AA107+AB107+AC107+AD107+AE107+AF107+AG107+AH107+AJ107+AK107+AL107+AM107+AN107+AO107+AP107+AQ107</f>
        <v>0</v>
      </c>
      <c r="AS107">
        <f>D107+AI116-AR107</f>
        <v>0</v>
      </c>
    </row>
    <row r="108" spans="1:45" ht="20.25" customHeight="1">
      <c r="A108" t="s">
        <v>102</v>
      </c>
      <c r="B108" t="s">
        <v>103</v>
      </c>
      <c r="C108" t="s">
        <v>104</v>
      </c>
      <c r="D108">
        <f t="shared" si="71"/>
        <v>0</v>
      </c>
      <c r="E108">
        <f t="shared" si="39"/>
        <v>0</v>
      </c>
      <c r="F108">
        <f t="shared" si="72"/>
        <v>0</v>
      </c>
      <c r="G108">
        <f t="shared" si="72"/>
        <v>0</v>
      </c>
      <c r="H108">
        <f t="shared" si="73"/>
        <v>0</v>
      </c>
      <c r="I108">
        <f t="shared" si="73"/>
        <v>0</v>
      </c>
      <c r="J108">
        <f t="shared" si="68"/>
        <v>0</v>
      </c>
      <c r="K108">
        <f t="shared" si="68"/>
        <v>0</v>
      </c>
      <c r="L108">
        <f t="shared" si="68"/>
        <v>0</v>
      </c>
      <c r="M108">
        <f t="shared" si="68"/>
        <v>0</v>
      </c>
      <c r="N108">
        <f t="shared" si="68"/>
        <v>0</v>
      </c>
      <c r="O108">
        <f t="shared" si="68"/>
        <v>0</v>
      </c>
      <c r="P108">
        <f t="shared" si="63"/>
        <v>0</v>
      </c>
      <c r="Q108">
        <f t="shared" si="69"/>
        <v>0</v>
      </c>
      <c r="R108">
        <f t="shared" si="69"/>
        <v>0</v>
      </c>
      <c r="S108">
        <f t="shared" si="69"/>
        <v>0</v>
      </c>
      <c r="T108">
        <f t="shared" si="69"/>
        <v>0</v>
      </c>
      <c r="U108">
        <f t="shared" si="69"/>
        <v>0</v>
      </c>
      <c r="V108">
        <f t="shared" si="69"/>
        <v>0</v>
      </c>
      <c r="W108">
        <f t="shared" si="69"/>
        <v>0</v>
      </c>
      <c r="X108">
        <f t="shared" si="69"/>
        <v>0</v>
      </c>
      <c r="Y108">
        <f t="shared" si="69"/>
        <v>0</v>
      </c>
      <c r="Z108">
        <f t="shared" si="74"/>
        <v>0</v>
      </c>
      <c r="AA108">
        <f t="shared" si="74"/>
        <v>0</v>
      </c>
      <c r="AB108">
        <f t="shared" si="74"/>
        <v>0</v>
      </c>
      <c r="AC108">
        <f t="shared" si="74"/>
        <v>0</v>
      </c>
      <c r="AD108">
        <f t="shared" si="74"/>
        <v>0</v>
      </c>
      <c r="AE108">
        <f t="shared" si="74"/>
        <v>0</v>
      </c>
      <c r="AF108">
        <f t="shared" si="74"/>
        <v>0</v>
      </c>
      <c r="AG108">
        <f t="shared" si="74"/>
        <v>0</v>
      </c>
      <c r="AH108">
        <f t="shared" si="74"/>
        <v>0</v>
      </c>
      <c r="AI108">
        <f t="shared" si="74"/>
        <v>0</v>
      </c>
      <c r="AJ108">
        <f>D108-AR108</f>
        <v>0</v>
      </c>
      <c r="AK108">
        <f>BB56</f>
        <v>0</v>
      </c>
      <c r="AL108">
        <f t="shared" si="70"/>
        <v>0</v>
      </c>
      <c r="AM108">
        <f t="shared" si="70"/>
        <v>0</v>
      </c>
      <c r="AN108">
        <f t="shared" si="70"/>
        <v>0</v>
      </c>
      <c r="AO108">
        <f t="shared" si="70"/>
        <v>0</v>
      </c>
      <c r="AP108">
        <f t="shared" si="70"/>
        <v>0</v>
      </c>
      <c r="AQ108">
        <f t="shared" si="70"/>
        <v>0</v>
      </c>
      <c r="AR108">
        <f>E108+Q108+R108+S108+T108+U108+V108+W108+X108+Y108+Z108+AA108+AB108+AC108+AD108+AE108+AF108+AG108+AH108+AI108+AK108+AL108+AM108+AN108+AO108+AP108+AQ108</f>
        <v>0</v>
      </c>
      <c r="AS108">
        <f>D108+AJ116-AR108</f>
        <v>0</v>
      </c>
    </row>
    <row r="109" spans="1:45" ht="20.25" customHeight="1">
      <c r="A109" t="s">
        <v>105</v>
      </c>
      <c r="B109" t="s">
        <v>106</v>
      </c>
      <c r="C109" t="s">
        <v>107</v>
      </c>
      <c r="D109">
        <f t="shared" si="71"/>
        <v>0</v>
      </c>
      <c r="E109">
        <f t="shared" si="39"/>
        <v>0</v>
      </c>
      <c r="F109">
        <f t="shared" si="72"/>
        <v>0</v>
      </c>
      <c r="G109">
        <f t="shared" si="72"/>
        <v>0</v>
      </c>
      <c r="H109">
        <f t="shared" si="73"/>
        <v>0</v>
      </c>
      <c r="I109">
        <f t="shared" si="73"/>
        <v>0</v>
      </c>
      <c r="J109">
        <f t="shared" si="68"/>
        <v>0</v>
      </c>
      <c r="K109">
        <f t="shared" si="68"/>
        <v>0</v>
      </c>
      <c r="L109">
        <f t="shared" si="68"/>
        <v>0</v>
      </c>
      <c r="M109">
        <f t="shared" si="68"/>
        <v>0</v>
      </c>
      <c r="N109">
        <f t="shared" si="68"/>
        <v>0</v>
      </c>
      <c r="O109">
        <f t="shared" si="68"/>
        <v>0</v>
      </c>
      <c r="P109">
        <f t="shared" si="63"/>
        <v>0</v>
      </c>
      <c r="Q109">
        <f t="shared" si="69"/>
        <v>0</v>
      </c>
      <c r="R109">
        <f t="shared" si="69"/>
        <v>0</v>
      </c>
      <c r="S109">
        <f t="shared" si="69"/>
        <v>0</v>
      </c>
      <c r="T109">
        <f t="shared" si="69"/>
        <v>0</v>
      </c>
      <c r="U109">
        <f t="shared" si="69"/>
        <v>0</v>
      </c>
      <c r="V109">
        <f t="shared" si="69"/>
        <v>0</v>
      </c>
      <c r="W109">
        <f t="shared" si="69"/>
        <v>0</v>
      </c>
      <c r="X109">
        <f t="shared" si="69"/>
        <v>0</v>
      </c>
      <c r="Y109">
        <f t="shared" si="69"/>
        <v>0</v>
      </c>
      <c r="Z109">
        <f t="shared" si="74"/>
        <v>0</v>
      </c>
      <c r="AA109">
        <f t="shared" si="74"/>
        <v>0</v>
      </c>
      <c r="AB109">
        <f t="shared" si="74"/>
        <v>0</v>
      </c>
      <c r="AC109">
        <f t="shared" si="74"/>
        <v>0</v>
      </c>
      <c r="AD109">
        <f t="shared" si="74"/>
        <v>0</v>
      </c>
      <c r="AE109">
        <f t="shared" si="74"/>
        <v>0</v>
      </c>
      <c r="AF109">
        <f t="shared" si="74"/>
        <v>0</v>
      </c>
      <c r="AG109">
        <f t="shared" si="74"/>
        <v>0</v>
      </c>
      <c r="AH109">
        <f t="shared" si="74"/>
        <v>0</v>
      </c>
      <c r="AI109">
        <f t="shared" si="74"/>
        <v>0</v>
      </c>
      <c r="AJ109">
        <f t="shared" si="74"/>
        <v>0</v>
      </c>
      <c r="AK109">
        <f>D109-AR109</f>
        <v>0</v>
      </c>
      <c r="AL109">
        <f t="shared" si="70"/>
        <v>0</v>
      </c>
      <c r="AM109">
        <f t="shared" si="70"/>
        <v>0</v>
      </c>
      <c r="AN109">
        <f t="shared" si="70"/>
        <v>0</v>
      </c>
      <c r="AO109">
        <f t="shared" si="70"/>
        <v>0</v>
      </c>
      <c r="AP109">
        <f t="shared" si="70"/>
        <v>0</v>
      </c>
      <c r="AQ109">
        <f t="shared" si="70"/>
        <v>0</v>
      </c>
      <c r="AR109">
        <f>E109+Q109+R109+S109+T109+U109+V109+W109+X109+Y109+Z109+AA109+AB109+AC109+AD109+AE109+AF109+AG109+AH109+AI109+AJ109+AL109+AM109+AN109+AO109+AP109+AQ109</f>
        <v>0</v>
      </c>
      <c r="AS109">
        <f>D109+AK116-AR109</f>
        <v>0</v>
      </c>
    </row>
    <row r="110" spans="1:45" ht="20.25" customHeight="1">
      <c r="A110" t="s">
        <v>108</v>
      </c>
      <c r="B110" t="s">
        <v>109</v>
      </c>
      <c r="C110" t="s">
        <v>110</v>
      </c>
      <c r="D110">
        <f t="shared" si="71"/>
        <v>0</v>
      </c>
      <c r="E110">
        <f t="shared" si="39"/>
        <v>0</v>
      </c>
      <c r="F110">
        <f t="shared" si="72"/>
        <v>0</v>
      </c>
      <c r="G110">
        <f t="shared" si="72"/>
        <v>0</v>
      </c>
      <c r="H110">
        <f t="shared" si="73"/>
        <v>0</v>
      </c>
      <c r="I110">
        <f t="shared" si="73"/>
        <v>0</v>
      </c>
      <c r="J110">
        <f t="shared" si="68"/>
        <v>0</v>
      </c>
      <c r="K110">
        <f t="shared" si="68"/>
        <v>0</v>
      </c>
      <c r="L110">
        <f t="shared" si="68"/>
        <v>0</v>
      </c>
      <c r="M110">
        <f t="shared" si="68"/>
        <v>0</v>
      </c>
      <c r="N110">
        <f t="shared" si="68"/>
        <v>0</v>
      </c>
      <c r="O110">
        <f t="shared" si="68"/>
        <v>0</v>
      </c>
      <c r="P110">
        <f t="shared" si="63"/>
        <v>0</v>
      </c>
      <c r="Q110">
        <f t="shared" si="69"/>
        <v>0</v>
      </c>
      <c r="R110">
        <f t="shared" si="69"/>
        <v>0</v>
      </c>
      <c r="S110">
        <f t="shared" si="69"/>
        <v>0</v>
      </c>
      <c r="T110">
        <f t="shared" si="69"/>
        <v>0</v>
      </c>
      <c r="U110">
        <f t="shared" si="69"/>
        <v>0</v>
      </c>
      <c r="V110">
        <f t="shared" si="69"/>
        <v>0</v>
      </c>
      <c r="W110">
        <f t="shared" si="69"/>
        <v>0</v>
      </c>
      <c r="X110">
        <f t="shared" si="69"/>
        <v>0</v>
      </c>
      <c r="Y110">
        <f t="shared" si="69"/>
        <v>0</v>
      </c>
      <c r="Z110">
        <f t="shared" si="74"/>
        <v>0</v>
      </c>
      <c r="AA110">
        <f t="shared" si="74"/>
        <v>0</v>
      </c>
      <c r="AB110">
        <f t="shared" si="74"/>
        <v>0</v>
      </c>
      <c r="AC110">
        <f t="shared" si="74"/>
        <v>0</v>
      </c>
      <c r="AD110">
        <f t="shared" si="74"/>
        <v>0</v>
      </c>
      <c r="AE110">
        <f t="shared" si="74"/>
        <v>0</v>
      </c>
      <c r="AF110">
        <f t="shared" si="74"/>
        <v>0</v>
      </c>
      <c r="AG110">
        <f t="shared" si="74"/>
        <v>0</v>
      </c>
      <c r="AH110">
        <f t="shared" si="74"/>
        <v>0</v>
      </c>
      <c r="AI110">
        <f t="shared" si="74"/>
        <v>0</v>
      </c>
      <c r="AJ110">
        <f t="shared" si="74"/>
        <v>0</v>
      </c>
      <c r="AK110">
        <f t="shared" si="74"/>
        <v>0</v>
      </c>
      <c r="AL110">
        <f>D110-AR110</f>
        <v>0</v>
      </c>
      <c r="AM110">
        <f>BD58</f>
        <v>0</v>
      </c>
      <c r="AN110">
        <f>BE58</f>
        <v>0</v>
      </c>
      <c r="AO110">
        <f>BF58</f>
        <v>0</v>
      </c>
      <c r="AP110">
        <f>BG58</f>
        <v>0</v>
      </c>
      <c r="AQ110">
        <f>BH58</f>
        <v>0</v>
      </c>
      <c r="AR110">
        <f>E110+Q110+R110+S110+T110+U110+V110+W110+X110+Y110+Z110+AA110+AB110+AC110+AD110+AE110+AF110+AG110+AH110+AI110+AJ110+AK110+AM110+AN110+AO110+AP110+AQ110</f>
        <v>0</v>
      </c>
      <c r="AS110">
        <f>D110+AL116-AR110</f>
        <v>0</v>
      </c>
    </row>
    <row r="111" spans="1:45" ht="20.25" customHeight="1">
      <c r="A111" t="s">
        <v>111</v>
      </c>
      <c r="B111" t="s">
        <v>112</v>
      </c>
      <c r="C111" t="s">
        <v>113</v>
      </c>
      <c r="D111">
        <f t="shared" si="71"/>
        <v>0</v>
      </c>
      <c r="E111">
        <f t="shared" si="39"/>
        <v>0</v>
      </c>
      <c r="F111">
        <f t="shared" si="72"/>
        <v>0</v>
      </c>
      <c r="G111">
        <f t="shared" si="72"/>
        <v>0</v>
      </c>
      <c r="H111">
        <f t="shared" si="73"/>
        <v>0</v>
      </c>
      <c r="I111">
        <f t="shared" si="73"/>
        <v>0</v>
      </c>
      <c r="J111">
        <f t="shared" si="68"/>
        <v>0</v>
      </c>
      <c r="K111">
        <f t="shared" si="68"/>
        <v>0</v>
      </c>
      <c r="L111">
        <f t="shared" si="68"/>
        <v>0</v>
      </c>
      <c r="M111">
        <f t="shared" si="68"/>
        <v>0</v>
      </c>
      <c r="N111">
        <f t="shared" si="68"/>
        <v>0</v>
      </c>
      <c r="O111">
        <f t="shared" si="68"/>
        <v>0</v>
      </c>
      <c r="P111">
        <f t="shared" si="63"/>
        <v>0</v>
      </c>
      <c r="Q111">
        <f t="shared" si="69"/>
        <v>0</v>
      </c>
      <c r="R111">
        <f t="shared" si="69"/>
        <v>0</v>
      </c>
      <c r="S111">
        <f t="shared" si="69"/>
        <v>0</v>
      </c>
      <c r="T111">
        <f t="shared" si="69"/>
        <v>0</v>
      </c>
      <c r="U111">
        <f t="shared" si="69"/>
        <v>0</v>
      </c>
      <c r="V111">
        <f t="shared" si="69"/>
        <v>0</v>
      </c>
      <c r="W111">
        <f t="shared" si="69"/>
        <v>0</v>
      </c>
      <c r="X111">
        <f t="shared" si="69"/>
        <v>0</v>
      </c>
      <c r="Y111">
        <f t="shared" si="69"/>
        <v>0</v>
      </c>
      <c r="Z111">
        <f t="shared" si="74"/>
        <v>0</v>
      </c>
      <c r="AA111">
        <f t="shared" si="74"/>
        <v>0</v>
      </c>
      <c r="AB111">
        <f t="shared" si="74"/>
        <v>0</v>
      </c>
      <c r="AC111">
        <f t="shared" si="74"/>
        <v>0</v>
      </c>
      <c r="AD111">
        <f t="shared" si="74"/>
        <v>0</v>
      </c>
      <c r="AE111">
        <f t="shared" si="74"/>
        <v>0</v>
      </c>
      <c r="AF111">
        <f t="shared" si="74"/>
        <v>0</v>
      </c>
      <c r="AG111">
        <f t="shared" si="74"/>
        <v>0</v>
      </c>
      <c r="AH111">
        <f t="shared" si="74"/>
        <v>0</v>
      </c>
      <c r="AI111">
        <f t="shared" si="74"/>
        <v>0</v>
      </c>
      <c r="AJ111">
        <f t="shared" si="74"/>
        <v>0</v>
      </c>
      <c r="AK111">
        <f t="shared" si="74"/>
        <v>0</v>
      </c>
      <c r="AL111">
        <f>BC59</f>
        <v>0</v>
      </c>
      <c r="AM111">
        <f>D111-AR111</f>
        <v>0</v>
      </c>
      <c r="AN111">
        <f>BE59</f>
        <v>0</v>
      </c>
      <c r="AO111">
        <f>BF59</f>
        <v>0</v>
      </c>
      <c r="AP111">
        <f>BG59</f>
        <v>0</v>
      </c>
      <c r="AQ111">
        <f>BH59</f>
        <v>0</v>
      </c>
      <c r="AR111">
        <f>E111+Q111+R111+S111+T111+U111+V111+W111+X111+Y111+Z111+AA111+AB111+AC111+AD111+AE111+AF111+AG111+AH111+AI111+AJ111+AK111+AL111+AN111+AO111+AP111+AQ111</f>
        <v>0</v>
      </c>
      <c r="AS111">
        <f>D111+AM116-AR111</f>
        <v>0</v>
      </c>
    </row>
    <row r="112" spans="1:45" ht="20.25" customHeight="1">
      <c r="A112" t="s">
        <v>114</v>
      </c>
      <c r="B112" t="s">
        <v>115</v>
      </c>
      <c r="C112" t="s">
        <v>116</v>
      </c>
      <c r="D112">
        <f t="shared" si="71"/>
        <v>0</v>
      </c>
      <c r="E112">
        <f t="shared" si="39"/>
        <v>0</v>
      </c>
      <c r="F112">
        <f t="shared" si="72"/>
        <v>0</v>
      </c>
      <c r="G112">
        <f t="shared" si="72"/>
        <v>0</v>
      </c>
      <c r="H112">
        <f t="shared" si="73"/>
        <v>0</v>
      </c>
      <c r="I112">
        <f t="shared" si="73"/>
        <v>0</v>
      </c>
      <c r="J112">
        <f t="shared" si="68"/>
        <v>0</v>
      </c>
      <c r="K112">
        <f t="shared" si="68"/>
        <v>0</v>
      </c>
      <c r="L112">
        <f t="shared" si="68"/>
        <v>0</v>
      </c>
      <c r="M112">
        <f t="shared" si="68"/>
        <v>0</v>
      </c>
      <c r="N112">
        <f t="shared" si="68"/>
        <v>0</v>
      </c>
      <c r="O112">
        <f t="shared" si="68"/>
        <v>0</v>
      </c>
      <c r="P112">
        <f t="shared" si="63"/>
        <v>0</v>
      </c>
      <c r="Q112">
        <f t="shared" si="69"/>
        <v>0</v>
      </c>
      <c r="R112">
        <f t="shared" si="69"/>
        <v>0</v>
      </c>
      <c r="S112">
        <f t="shared" si="69"/>
        <v>0</v>
      </c>
      <c r="T112">
        <f t="shared" si="69"/>
        <v>0</v>
      </c>
      <c r="U112">
        <f t="shared" si="69"/>
        <v>0</v>
      </c>
      <c r="V112">
        <f t="shared" si="69"/>
        <v>0</v>
      </c>
      <c r="W112">
        <f t="shared" si="69"/>
        <v>0</v>
      </c>
      <c r="X112">
        <f t="shared" si="69"/>
        <v>0</v>
      </c>
      <c r="Y112">
        <f t="shared" si="69"/>
        <v>0</v>
      </c>
      <c r="Z112">
        <f t="shared" si="74"/>
        <v>0</v>
      </c>
      <c r="AA112">
        <f t="shared" si="74"/>
        <v>0</v>
      </c>
      <c r="AB112">
        <f t="shared" si="74"/>
        <v>0</v>
      </c>
      <c r="AC112">
        <f t="shared" si="74"/>
        <v>0</v>
      </c>
      <c r="AD112">
        <f t="shared" si="74"/>
        <v>0</v>
      </c>
      <c r="AE112">
        <f t="shared" si="74"/>
        <v>0</v>
      </c>
      <c r="AF112">
        <f t="shared" si="74"/>
        <v>0</v>
      </c>
      <c r="AG112">
        <f t="shared" si="74"/>
        <v>0</v>
      </c>
      <c r="AH112">
        <f t="shared" si="74"/>
        <v>0</v>
      </c>
      <c r="AI112">
        <f t="shared" si="74"/>
        <v>0</v>
      </c>
      <c r="AJ112">
        <f t="shared" si="74"/>
        <v>0</v>
      </c>
      <c r="AK112">
        <f t="shared" si="74"/>
        <v>0</v>
      </c>
      <c r="AL112">
        <f>BC60</f>
        <v>0</v>
      </c>
      <c r="AM112">
        <f>BD60</f>
        <v>0</v>
      </c>
      <c r="AN112">
        <f>D112-AR112</f>
        <v>0</v>
      </c>
      <c r="AO112">
        <f>BF60</f>
        <v>0</v>
      </c>
      <c r="AP112">
        <f>BG60</f>
        <v>0</v>
      </c>
      <c r="AQ112">
        <f>BH60</f>
        <v>0</v>
      </c>
      <c r="AR112">
        <f>E112+Q112+R112+S112+T112+U112+V112+W112+X112+Y112+Z112+AA112+AB112+AC112+AD112+AE112+AF112+AG112+AH112+AI112+AJ112+AK112+AL112+AM112+AO112+AP112+AQ112</f>
        <v>0</v>
      </c>
      <c r="AS112">
        <f>D112+AN116-AR112</f>
        <v>0</v>
      </c>
    </row>
    <row r="113" spans="1:45" ht="20.25" customHeight="1">
      <c r="A113" t="s">
        <v>117</v>
      </c>
      <c r="B113" t="s">
        <v>118</v>
      </c>
      <c r="C113" t="s">
        <v>119</v>
      </c>
      <c r="D113">
        <f t="shared" si="71"/>
        <v>0</v>
      </c>
      <c r="E113">
        <f t="shared" si="39"/>
        <v>0</v>
      </c>
      <c r="F113">
        <f t="shared" si="72"/>
        <v>0</v>
      </c>
      <c r="G113">
        <f t="shared" si="72"/>
        <v>0</v>
      </c>
      <c r="H113">
        <f t="shared" si="73"/>
        <v>0</v>
      </c>
      <c r="I113">
        <f t="shared" si="73"/>
        <v>0</v>
      </c>
      <c r="J113">
        <f t="shared" si="68"/>
        <v>0</v>
      </c>
      <c r="K113">
        <f t="shared" si="68"/>
        <v>0</v>
      </c>
      <c r="L113">
        <f t="shared" si="68"/>
        <v>0</v>
      </c>
      <c r="M113">
        <f t="shared" si="68"/>
        <v>0</v>
      </c>
      <c r="N113">
        <f t="shared" si="68"/>
        <v>0</v>
      </c>
      <c r="O113">
        <f t="shared" si="68"/>
        <v>0</v>
      </c>
      <c r="P113">
        <f t="shared" si="63"/>
        <v>0</v>
      </c>
      <c r="Q113">
        <f t="shared" si="69"/>
        <v>0</v>
      </c>
      <c r="R113">
        <f t="shared" si="69"/>
        <v>0</v>
      </c>
      <c r="S113">
        <f t="shared" si="69"/>
        <v>0</v>
      </c>
      <c r="T113">
        <f t="shared" si="69"/>
        <v>0</v>
      </c>
      <c r="U113">
        <f t="shared" si="69"/>
        <v>0</v>
      </c>
      <c r="V113">
        <f t="shared" si="69"/>
        <v>0</v>
      </c>
      <c r="W113">
        <f t="shared" si="69"/>
        <v>0</v>
      </c>
      <c r="X113">
        <f t="shared" si="69"/>
        <v>0</v>
      </c>
      <c r="Y113">
        <f t="shared" si="69"/>
        <v>0</v>
      </c>
      <c r="Z113">
        <f t="shared" si="74"/>
        <v>0</v>
      </c>
      <c r="AA113">
        <f t="shared" si="74"/>
        <v>0</v>
      </c>
      <c r="AB113">
        <f t="shared" si="74"/>
        <v>0</v>
      </c>
      <c r="AC113">
        <f t="shared" si="74"/>
        <v>0</v>
      </c>
      <c r="AD113">
        <f t="shared" si="74"/>
        <v>0</v>
      </c>
      <c r="AE113">
        <f t="shared" si="74"/>
        <v>0</v>
      </c>
      <c r="AF113">
        <f t="shared" si="74"/>
        <v>0</v>
      </c>
      <c r="AG113">
        <f t="shared" si="74"/>
        <v>0</v>
      </c>
      <c r="AH113">
        <f t="shared" si="74"/>
        <v>0</v>
      </c>
      <c r="AI113">
        <f t="shared" si="74"/>
        <v>0</v>
      </c>
      <c r="AJ113">
        <f t="shared" si="74"/>
        <v>0</v>
      </c>
      <c r="AK113">
        <f t="shared" si="74"/>
        <v>0</v>
      </c>
      <c r="AL113">
        <f>BC61</f>
        <v>0</v>
      </c>
      <c r="AM113">
        <f>BD61</f>
        <v>0</v>
      </c>
      <c r="AN113">
        <f>BE61</f>
        <v>0</v>
      </c>
      <c r="AO113">
        <f>D113-AR113</f>
        <v>0</v>
      </c>
      <c r="AP113">
        <f>BG61</f>
        <v>0</v>
      </c>
      <c r="AQ113">
        <f>BH61</f>
        <v>0</v>
      </c>
      <c r="AR113">
        <f>E113+Q113+R113+S113+T113+U113+V113+W113+X113+Y113+Z113+AA113+AB113+AC113+AD113+AE113+AF113+AG113+AH113+AI113+AJ113+AK113+AL113+AM113+AN113+AP113+AQ113</f>
        <v>0</v>
      </c>
      <c r="AS113">
        <f>D113+AO116-AR113</f>
        <v>0</v>
      </c>
    </row>
    <row r="114" spans="1:45" ht="20.25" customHeight="1">
      <c r="A114" t="s">
        <v>120</v>
      </c>
      <c r="B114" t="s">
        <v>121</v>
      </c>
      <c r="C114" t="s">
        <v>122</v>
      </c>
      <c r="D114">
        <f t="shared" si="71"/>
        <v>0</v>
      </c>
      <c r="E114">
        <f t="shared" si="39"/>
        <v>0</v>
      </c>
      <c r="F114">
        <f t="shared" si="72"/>
        <v>0</v>
      </c>
      <c r="G114">
        <f t="shared" si="72"/>
        <v>0</v>
      </c>
      <c r="H114">
        <f t="shared" si="73"/>
        <v>0</v>
      </c>
      <c r="I114">
        <f t="shared" si="73"/>
        <v>0</v>
      </c>
      <c r="J114">
        <f t="shared" ref="J114:O115" si="75">P62</f>
        <v>0</v>
      </c>
      <c r="K114">
        <f t="shared" si="75"/>
        <v>0</v>
      </c>
      <c r="L114">
        <f t="shared" si="75"/>
        <v>0</v>
      </c>
      <c r="M114">
        <f t="shared" si="75"/>
        <v>0</v>
      </c>
      <c r="N114">
        <f t="shared" si="75"/>
        <v>0</v>
      </c>
      <c r="O114">
        <f t="shared" si="75"/>
        <v>0</v>
      </c>
      <c r="P114">
        <f t="shared" si="63"/>
        <v>0</v>
      </c>
      <c r="Q114">
        <f t="shared" ref="Q114:Y115" si="76">W62</f>
        <v>0</v>
      </c>
      <c r="R114">
        <f t="shared" si="76"/>
        <v>0</v>
      </c>
      <c r="S114">
        <f t="shared" si="76"/>
        <v>0</v>
      </c>
      <c r="T114">
        <f t="shared" si="76"/>
        <v>0</v>
      </c>
      <c r="U114">
        <f t="shared" si="76"/>
        <v>0</v>
      </c>
      <c r="V114">
        <f t="shared" si="76"/>
        <v>0</v>
      </c>
      <c r="W114">
        <f t="shared" si="76"/>
        <v>0</v>
      </c>
      <c r="X114">
        <f t="shared" si="76"/>
        <v>0</v>
      </c>
      <c r="Y114">
        <f t="shared" si="76"/>
        <v>0</v>
      </c>
      <c r="Z114">
        <f t="shared" si="74"/>
        <v>0</v>
      </c>
      <c r="AA114">
        <f t="shared" si="74"/>
        <v>0</v>
      </c>
      <c r="AB114">
        <f t="shared" si="74"/>
        <v>0</v>
      </c>
      <c r="AC114">
        <f t="shared" si="74"/>
        <v>0</v>
      </c>
      <c r="AD114">
        <f t="shared" si="74"/>
        <v>0</v>
      </c>
      <c r="AE114">
        <f t="shared" si="74"/>
        <v>0</v>
      </c>
      <c r="AF114">
        <f t="shared" si="74"/>
        <v>0</v>
      </c>
      <c r="AG114">
        <f t="shared" si="74"/>
        <v>0</v>
      </c>
      <c r="AH114">
        <f t="shared" si="74"/>
        <v>0</v>
      </c>
      <c r="AI114">
        <f t="shared" si="74"/>
        <v>0</v>
      </c>
      <c r="AJ114">
        <f t="shared" si="74"/>
        <v>0</v>
      </c>
      <c r="AK114">
        <f t="shared" si="74"/>
        <v>0</v>
      </c>
      <c r="AL114">
        <f>BC62</f>
        <v>0</v>
      </c>
      <c r="AM114">
        <f>BD62</f>
        <v>0</v>
      </c>
      <c r="AN114">
        <f>BE62</f>
        <v>0</v>
      </c>
      <c r="AO114">
        <f>BF62</f>
        <v>0</v>
      </c>
      <c r="AP114">
        <f>D114-AR114</f>
        <v>0</v>
      </c>
      <c r="AQ114">
        <f>BH62</f>
        <v>0</v>
      </c>
      <c r="AR114">
        <f>E114+Q114+R114+S114+T114+U114+V114+W114+X114+Y114+Z114+AA114+AB114+AC114+AD114+AE114+AF114+AG114+AH114+AI114+AJ114+AK114+AL114+AM114+AN114+AO114+AQ114</f>
        <v>0</v>
      </c>
      <c r="AS114">
        <f>D114+AP116-AR114</f>
        <v>0</v>
      </c>
    </row>
    <row r="115" spans="1:45" ht="20.25" customHeight="1">
      <c r="A115">
        <v>3</v>
      </c>
      <c r="B115" t="s">
        <v>123</v>
      </c>
      <c r="C115" t="s">
        <v>124</v>
      </c>
      <c r="D115">
        <f>D63</f>
        <v>0</v>
      </c>
      <c r="E115">
        <f>F115+H115+I115+J115+K115+L115+M115+N115+O115</f>
        <v>0</v>
      </c>
      <c r="F115">
        <f t="shared" si="72"/>
        <v>0</v>
      </c>
      <c r="G115">
        <f t="shared" si="72"/>
        <v>0</v>
      </c>
      <c r="H115">
        <f t="shared" si="73"/>
        <v>0</v>
      </c>
      <c r="I115">
        <f t="shared" si="73"/>
        <v>0</v>
      </c>
      <c r="J115">
        <f t="shared" si="75"/>
        <v>0</v>
      </c>
      <c r="K115">
        <f t="shared" si="75"/>
        <v>0</v>
      </c>
      <c r="L115">
        <f t="shared" si="75"/>
        <v>0</v>
      </c>
      <c r="M115">
        <f t="shared" si="75"/>
        <v>0</v>
      </c>
      <c r="N115">
        <f t="shared" si="75"/>
        <v>0</v>
      </c>
      <c r="O115">
        <f t="shared" si="75"/>
        <v>0</v>
      </c>
      <c r="P115">
        <f>SUM(Q115:AP115)</f>
        <v>0</v>
      </c>
      <c r="Q115">
        <f t="shared" si="76"/>
        <v>0</v>
      </c>
      <c r="R115">
        <f t="shared" si="76"/>
        <v>0</v>
      </c>
      <c r="S115">
        <f t="shared" si="76"/>
        <v>0</v>
      </c>
      <c r="T115">
        <f t="shared" si="76"/>
        <v>0</v>
      </c>
      <c r="U115">
        <f t="shared" si="76"/>
        <v>0</v>
      </c>
      <c r="V115">
        <f t="shared" si="76"/>
        <v>0</v>
      </c>
      <c r="W115">
        <f t="shared" si="76"/>
        <v>0</v>
      </c>
      <c r="X115">
        <f t="shared" si="76"/>
        <v>0</v>
      </c>
      <c r="Y115">
        <f t="shared" si="76"/>
        <v>0</v>
      </c>
      <c r="Z115">
        <f t="shared" si="74"/>
        <v>0</v>
      </c>
      <c r="AA115">
        <f t="shared" si="74"/>
        <v>0</v>
      </c>
      <c r="AB115">
        <f t="shared" si="74"/>
        <v>0</v>
      </c>
      <c r="AC115">
        <f t="shared" si="74"/>
        <v>0</v>
      </c>
      <c r="AD115">
        <f t="shared" si="74"/>
        <v>0</v>
      </c>
      <c r="AE115">
        <f t="shared" si="74"/>
        <v>0</v>
      </c>
      <c r="AF115">
        <f t="shared" si="74"/>
        <v>0</v>
      </c>
      <c r="AG115">
        <f t="shared" si="74"/>
        <v>0</v>
      </c>
      <c r="AH115">
        <f t="shared" si="74"/>
        <v>0</v>
      </c>
      <c r="AI115">
        <f t="shared" si="74"/>
        <v>0</v>
      </c>
      <c r="AJ115">
        <f t="shared" si="74"/>
        <v>0</v>
      </c>
      <c r="AK115">
        <f t="shared" si="74"/>
        <v>0</v>
      </c>
      <c r="AL115">
        <f>BC63</f>
        <v>0</v>
      </c>
      <c r="AM115">
        <f>BD63</f>
        <v>0</v>
      </c>
      <c r="AN115">
        <f>BE63</f>
        <v>0</v>
      </c>
      <c r="AO115">
        <f>BF63</f>
        <v>0</v>
      </c>
      <c r="AP115">
        <f>BG63</f>
        <v>0</v>
      </c>
      <c r="AQ115">
        <f>AR115</f>
        <v>0</v>
      </c>
      <c r="AR115">
        <f>E115+Q115+R115+S115+T115+U115+V115+W115+X115+Y115+Z115+AA115+AB115+AC115+AD115+AE115+AF115+AG115+AH115+AI115+AJ115+AL115+AM115+AN115+AO115+AP115</f>
        <v>0</v>
      </c>
      <c r="AS115">
        <f>D115+AQ116-AR115</f>
        <v>0</v>
      </c>
    </row>
    <row r="116" spans="1:45" ht="20.25" customHeight="1">
      <c r="B116" t="s">
        <v>190</v>
      </c>
      <c r="E116">
        <f>E88+E115</f>
        <v>0</v>
      </c>
      <c r="F116">
        <f>F80+F81+F82+F83+F84+F85+F86+F87+F88+F115</f>
        <v>0</v>
      </c>
      <c r="G116">
        <f>G78+G80+G81+G82+G83+G84+G85+G86+G87+G88+G115</f>
        <v>0</v>
      </c>
      <c r="H116">
        <f>H78+H81+H82+H83+H84+H85+H86+H87+H88+H115</f>
        <v>0</v>
      </c>
      <c r="I116">
        <f>I78+I80+I82+I83+I84+I85+I86+I87+I88+I115</f>
        <v>0</v>
      </c>
      <c r="J116">
        <f>J78+J80+J81+J83+J84+J85+J86+J87+J88+J115</f>
        <v>0</v>
      </c>
      <c r="K116">
        <f>K78+K80+K81+K82+K84+K85+K86+K87+K88+K115</f>
        <v>0</v>
      </c>
      <c r="L116">
        <f>L78+L80+L81+L82+L83+L85+L86+L87+L88+L115</f>
        <v>0</v>
      </c>
      <c r="M116">
        <f>M78+M80+M81+M82+M83+M84+M86+M87+M88+M115</f>
        <v>0</v>
      </c>
      <c r="N116">
        <f>N78+N80+N81+N82+N83+N84+N85+N87+N88+N115</f>
        <v>0</v>
      </c>
      <c r="O116">
        <f>O78+O80+O81+O82+O83+O84+O85+O86+O88+O115</f>
        <v>0</v>
      </c>
      <c r="P116">
        <f>P77+P115</f>
        <v>0</v>
      </c>
      <c r="Q116">
        <f>Q77+Q90+Q91+Q92+Q93+Q94+Q95+Q96+Q97+Q98+Q99+Q100+Q101+Q102+Q103+Q104+Q105+Q106+Q107+Q108+Q109+Q110+Q111+Q112+Q113+Q114+Q115</f>
        <v>0</v>
      </c>
      <c r="R116">
        <f>R77+R89+R91+R92+R93+R94+R95+R96+R97+R98+R99+R100+R101+R102+R103+R104+R105+R106+R107+R108+R109+R110+R111+R112+R113+R114+R115</f>
        <v>0</v>
      </c>
      <c r="S116">
        <f>S77+S89+S90+S92+S93+S94+S95+S96+S97+S98+S99+S100+S101+S102+S103+S104+S105+S106+S107+S108+S109+S110+S111+S112+S113+S114+S115</f>
        <v>0</v>
      </c>
      <c r="T116">
        <f>T77+T89+T90+T91+T93+T94+T95+T96+T97+T98+T99+T100+T101+T102+T103+T104+T105+T106+T107+T108+T109+T110+T111+T112+T113+T114+T115</f>
        <v>0</v>
      </c>
      <c r="U116">
        <f>U77+U89+U90+U91+U92+U94+U95+U96+U97+U98+U99+U100+U101+U102+U103+U104+U105+U106+U107+U108+U109+U110+U111+U112+U113+U114+U115</f>
        <v>0</v>
      </c>
      <c r="V116">
        <f>V77+V89+V90+V91+V92+V93+V95+V96+V97+V98+V99+V100+V101+V102+V103+V104+V105+V106+V107+V108+V109+V110+V111+V112+V113+V114+V115</f>
        <v>0</v>
      </c>
      <c r="W116">
        <f>W77+W89+W90+W91+W92+W93+W94+W96+W97+W98+W99+W100+W101+W102+W103+W104+W105+W106+W107+W108+W109+W110+W111+W112+W113+W114+W115</f>
        <v>0</v>
      </c>
      <c r="X116">
        <f>X77+X89+X90+X91+X92+X93+X94+X95+X97+X98+X99+X100+X101+X102+X103+X104+X105+X106+X107+X108+X109+X110+X111+X112+X113+X114+X115</f>
        <v>0</v>
      </c>
      <c r="Y116">
        <f>Y77+Y89+Y90+Y91+Y92+Y93+Y94+Y95+Y96+Y98+Y99+Y100+Y101+Y102+Y103+Y104+Y105+Y106+Y107+Y108+Y109+Y110+Y111+Y112+Y113+Y114+Y115</f>
        <v>0</v>
      </c>
      <c r="Z116">
        <f>Z77+Z89+Z90+Z91+Z92+Z93+Z94+Z95+Z96+Z97+Z99+Z100+Z101+Z102+Z103+Z104+Z105+Z106+Z107+Z108+Z109+Z110+Z111+Z112+Z113+Z114+Z115</f>
        <v>0</v>
      </c>
      <c r="AA116">
        <f>AA77+AA89+AA90+AA91+AA92+AA93+AA94+AA95+AA96+AA97+AA98+AA100+AA101+AA102+AA103+AA104+AA105+AA106+AA107+AA108+AA109+AA110+AA111+AA112+AA113+AA114+AA115</f>
        <v>0</v>
      </c>
      <c r="AB116">
        <f>AB77+AB89+AB90+AB91+AB92+AB93+AB94+AB95+AB96+AB97+AB98+AB99+AB101+AB102+AB103+AB104+AB105+AB106+AB107+AB108+AB109+AB110+AB111+AB112+AB113+AB114+AB115</f>
        <v>0</v>
      </c>
      <c r="AC116">
        <f>AC77+AC89+AC90+AC91+AC92+AC93+AC94+AC95+AC96+AC97+AC98+AC99+AC100+AC102+AC103+AC104+AC105+AC106+AC107+AC108+AC109+AC110+AC111+AC112+AC113+AC114+AC115</f>
        <v>0</v>
      </c>
      <c r="AD116">
        <f>AD77+AD89+AD90+AD91+AD92+AD93+AD94+AD95+AD96+AD97+AD98+AD99+AD100+AD101+AD103+AD104+AD105+AD106+AD107+AD108+AD109+AD110+AD111+AD112+AD113+AD114+AD115</f>
        <v>0</v>
      </c>
      <c r="AE116">
        <f>AE77+AE89+AE90+AE91+AE92+AE93+AE94+AE95+AE96+AE97+AE98+AE99+AE100+AE101+AE102+AE104+AE105+AE106+AE107+AE108+AE109+AE110+AE111+AE112+AE113+AE114+AE115</f>
        <v>0</v>
      </c>
      <c r="AF116">
        <f>AF77+AF89+AF90+AF91+AF92+AF93+AF94+AF95+AF96+AF97+AF98+AF99+AF100+AF101+AF102+AF103+AF105+AF106+AF107+AF108+AF109+AF110+AF111+AF112+AF113+AF114+AF115</f>
        <v>0</v>
      </c>
      <c r="AG116">
        <f>AG77+AG89+AG90+AG91+AG92+AG93+AG94+AG95+AG96+AG97+AG98+AG99+AG100+AG101+AG102+AG103+AG104+AG106+AG107+AG108+AG109+AG110+AG111+AG112+AG113+AG114+AG115</f>
        <v>0</v>
      </c>
      <c r="AH116">
        <f>AH77+AH89+AH90+AH91+AH92+AH93+AH94+AH95+AH96+AH97+AH98+AH99+AH100+AH101+AH102+AH103+AH104+AH105+AH107+AH108+AH109+AH110+AH111+AH112+AH113+AH114+AH115</f>
        <v>0</v>
      </c>
      <c r="AI116">
        <f>AI77+AI89+AI90+AI91+AI92+AI93+AI94+AI95+AI96+AI97+AI98+AI99+AI100+AI101+AI102+AI103+AI104+AI105+AI106+AI108+AI109+AI110+AI111+AI112+AI113+AI114+AI115</f>
        <v>0</v>
      </c>
      <c r="AJ116">
        <f>AJ77+AJ89+AJ90+AJ91+AJ92+AJ93+AJ94+AJ95+AJ96+AJ97+AJ98+AJ99+AJ100+AJ101+AJ102+AJ103+AJ104+AJ105+AJ106+AJ107+AJ109+AJ110+AJ111+AJ112+AJ113+AJ114+AJ115</f>
        <v>0</v>
      </c>
      <c r="AK116">
        <f>AK77+AK89+AK90+AK91+AK92+AK93+AK94+AK95+AK96+AK97+AK98+AK99+AK100+AK101+AK102+AK103+AK104+AK105+AK106+AK107+AK108+AK110+AK111+AK112+AK113+AK114+AK115</f>
        <v>0</v>
      </c>
      <c r="AL116">
        <f>AL77+AL89+AL90+AL91+AL92+AL93+AL94+AL95+AL96+AL97+AL98+AL99+AL100+AL101+AL102+AL103+AL104+AL105+AL106+AL107+AL108+AL109+AL111+AL112+AL113+AL114+AL115</f>
        <v>0</v>
      </c>
      <c r="AM116">
        <f>AM77+AM89+AM90+AM91+AM92+AM93+AM94+AM95+AM96+AM97+AM98+AM99+AM100+AM101+AM102+AM103+AM104+AM105+AM106+AM107+AM108+AM109+AM110+AM112+AM113+AM114+AM115</f>
        <v>0</v>
      </c>
      <c r="AN116">
        <f>AN77+AN89+AN90+AN91+AN92+AN93+AN94+AN95+AN96+AN97+AN98+AN99+AN100+AN101+AN102+AN103+AN104+AN105+AN106+AN107+AN108+AN109+AN110+AN111+AN113+AN114+AN115</f>
        <v>0</v>
      </c>
      <c r="AO116">
        <f>AO77+AO89+AO90+AO91+AO92+AO93+AO94+AO95+AO96+AO97+AO98+AO99+AO100+AO101+AO102+AO103+AO104+AO105+AO106+AO107+AO108+AO109+AO110+AO111+AO112+AO114+AO115</f>
        <v>0</v>
      </c>
      <c r="AP116">
        <f>AP77+AP89+AP90+AP91+AP92+AP93+AP94+AP95+AP96+AP97+AP98+AP99+AP100+AP101+AP102+AP103+AP104+AP105+AP106+AP107+AP108+AP109+AP110+AP111+AP112+AP113+AP115</f>
        <v>0</v>
      </c>
      <c r="AQ116">
        <f>AQ77+AQ88</f>
        <v>0</v>
      </c>
    </row>
    <row r="117" spans="1:45" ht="25.5" customHeight="1">
      <c r="B117" t="s">
        <v>325</v>
      </c>
      <c r="D117">
        <f>AS76</f>
        <v>0</v>
      </c>
      <c r="E117">
        <f>AS77</f>
        <v>0</v>
      </c>
      <c r="F117">
        <f>AS78</f>
        <v>0</v>
      </c>
      <c r="G117">
        <f>AS79</f>
        <v>0</v>
      </c>
      <c r="H117">
        <f>AS80</f>
        <v>0</v>
      </c>
      <c r="I117">
        <f>AS81</f>
        <v>0</v>
      </c>
      <c r="J117">
        <f>AS82</f>
        <v>0</v>
      </c>
      <c r="K117">
        <f>AS83</f>
        <v>0</v>
      </c>
      <c r="L117">
        <f>AS84</f>
        <v>0</v>
      </c>
      <c r="M117">
        <f>AS85</f>
        <v>0</v>
      </c>
      <c r="N117">
        <f>AS86</f>
        <v>0</v>
      </c>
      <c r="O117">
        <f>AS87</f>
        <v>0</v>
      </c>
      <c r="P117">
        <f>AS88</f>
        <v>0</v>
      </c>
      <c r="Q117">
        <f>AS89</f>
        <v>0</v>
      </c>
      <c r="R117">
        <f>AS90</f>
        <v>0</v>
      </c>
      <c r="S117">
        <f>AS91</f>
        <v>0</v>
      </c>
      <c r="T117">
        <f>AS92</f>
        <v>0</v>
      </c>
      <c r="U117">
        <f>AS93</f>
        <v>0</v>
      </c>
      <c r="V117">
        <f>AS94</f>
        <v>0</v>
      </c>
      <c r="W117">
        <f>AS95</f>
        <v>0</v>
      </c>
      <c r="X117">
        <f>AS96</f>
        <v>0</v>
      </c>
      <c r="Y117">
        <f>AS97</f>
        <v>0</v>
      </c>
      <c r="Z117">
        <f>AS98</f>
        <v>0</v>
      </c>
      <c r="AA117">
        <f>AS99</f>
        <v>0</v>
      </c>
      <c r="AB117">
        <f>AS100</f>
        <v>0</v>
      </c>
      <c r="AC117">
        <f>AS101</f>
        <v>0</v>
      </c>
      <c r="AD117">
        <f>AS102</f>
        <v>0</v>
      </c>
      <c r="AE117">
        <f>AS103</f>
        <v>0</v>
      </c>
      <c r="AF117">
        <f>AS104</f>
        <v>0</v>
      </c>
      <c r="AG117">
        <f>AS105</f>
        <v>0</v>
      </c>
      <c r="AH117">
        <f>AS106</f>
        <v>0</v>
      </c>
      <c r="AI117">
        <f>AS107</f>
        <v>0</v>
      </c>
      <c r="AJ117">
        <f>AS108</f>
        <v>0</v>
      </c>
      <c r="AK117">
        <f>AS109</f>
        <v>0</v>
      </c>
      <c r="AL117">
        <f>AS110</f>
        <v>0</v>
      </c>
      <c r="AM117">
        <f>AS111</f>
        <v>0</v>
      </c>
      <c r="AN117">
        <f>AS112</f>
        <v>0</v>
      </c>
      <c r="AO117">
        <f>AS113</f>
        <v>0</v>
      </c>
      <c r="AP117">
        <f>AS114</f>
        <v>0</v>
      </c>
      <c r="AQ117">
        <f>AS115</f>
        <v>0</v>
      </c>
    </row>
  </sheetData>
  <mergeCells count="21">
    <mergeCell ref="A1:B1"/>
    <mergeCell ref="A2:BN2"/>
    <mergeCell ref="A4:A5"/>
    <mergeCell ref="B4:B5"/>
    <mergeCell ref="C4:C5"/>
    <mergeCell ref="A74:A75"/>
    <mergeCell ref="BN4:BN5"/>
    <mergeCell ref="A70:B70"/>
    <mergeCell ref="BM4:BM5"/>
    <mergeCell ref="A72:AS72"/>
    <mergeCell ref="AS74:AS75"/>
    <mergeCell ref="D4:D5"/>
    <mergeCell ref="C74:C75"/>
    <mergeCell ref="A71:AS71"/>
    <mergeCell ref="E74:AQ74"/>
    <mergeCell ref="D74:D75"/>
    <mergeCell ref="E4:BK4"/>
    <mergeCell ref="AR73:AS73"/>
    <mergeCell ref="BL4:BL5"/>
    <mergeCell ref="B74:B75"/>
    <mergeCell ref="AR74:AR75"/>
  </mergeCells>
  <phoneticPr fontId="4" type="noConversion"/>
  <pageMargins left="0.5" right="0.25" top="0.25" bottom="0.25" header="0.5" footer="0.5"/>
  <pageSetup paperSize="9" scale="55" orientation="portrait" r:id="rId1"/>
  <headerFooter alignWithMargins="0"/>
  <legacy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F199"/>
  <sheetViews>
    <sheetView showZeros="0" topLeftCell="A22" workbookViewId="0">
      <selection activeCell="C30" sqref="C30"/>
    </sheetView>
  </sheetViews>
  <sheetFormatPr defaultRowHeight="12.75"/>
  <cols>
    <col min="1" max="1" width="6.85546875" customWidth="1"/>
    <col min="2" max="2" width="28.28515625" customWidth="1"/>
    <col min="3" max="3" width="12.85546875" customWidth="1"/>
    <col min="4" max="4" width="12.28515625" customWidth="1"/>
    <col min="5" max="5" width="11.42578125" customWidth="1"/>
    <col min="6" max="6" width="13.28515625" customWidth="1"/>
  </cols>
  <sheetData>
    <row r="1" spans="1:6">
      <c r="A1" s="1300" t="s">
        <v>374</v>
      </c>
      <c r="B1" s="1300"/>
    </row>
    <row r="2" spans="1:6">
      <c r="A2" s="1300" t="s">
        <v>375</v>
      </c>
      <c r="B2" s="1300"/>
      <c r="C2" s="1300"/>
      <c r="D2" s="1300"/>
      <c r="E2" s="1300"/>
      <c r="F2" s="1300"/>
    </row>
    <row r="3" spans="1:6" ht="21" customHeight="1">
      <c r="A3" s="1300" t="s">
        <v>138</v>
      </c>
      <c r="B3" s="1300"/>
      <c r="C3" s="1300"/>
      <c r="D3" s="1300"/>
      <c r="E3" s="1300"/>
      <c r="F3" s="1300"/>
    </row>
    <row r="4" spans="1:6" ht="51" customHeight="1">
      <c r="A4" t="s">
        <v>368</v>
      </c>
      <c r="B4" t="s">
        <v>369</v>
      </c>
      <c r="C4" t="s">
        <v>373</v>
      </c>
      <c r="D4" t="s">
        <v>371</v>
      </c>
      <c r="E4" t="s">
        <v>372</v>
      </c>
      <c r="F4" t="s">
        <v>366</v>
      </c>
    </row>
    <row r="5" spans="1:6" ht="18" customHeight="1">
      <c r="A5" t="s">
        <v>235</v>
      </c>
      <c r="B5" t="s">
        <v>376</v>
      </c>
      <c r="C5">
        <f>'Bac Son'!D11</f>
        <v>216.71</v>
      </c>
      <c r="D5">
        <f>'Bac Son'!H67</f>
        <v>0</v>
      </c>
      <c r="E5">
        <f>'Bac Son'!BL11</f>
        <v>0.91</v>
      </c>
      <c r="F5">
        <f>C5+D5-E5</f>
        <v>215.8</v>
      </c>
    </row>
    <row r="6" spans="1:6" ht="18" customHeight="1">
      <c r="A6" t="s">
        <v>236</v>
      </c>
      <c r="B6" t="s">
        <v>377</v>
      </c>
      <c r="C6">
        <f>'Hai Son'!D11</f>
        <v>140.62225000000001</v>
      </c>
      <c r="D6">
        <f>'Hai Son'!H67</f>
        <v>0</v>
      </c>
      <c r="E6">
        <f>'Hai Son'!BL11</f>
        <v>7.0000000000000007E-2</v>
      </c>
      <c r="F6">
        <f t="shared" ref="F6:F23" si="0">C6+D6-E6</f>
        <v>140.55225000000002</v>
      </c>
    </row>
    <row r="7" spans="1:6" ht="18" customHeight="1">
      <c r="A7" t="s">
        <v>237</v>
      </c>
      <c r="B7" t="s">
        <v>378</v>
      </c>
      <c r="C7">
        <f>'Quang Nghia'!D11</f>
        <v>234.95</v>
      </c>
      <c r="D7">
        <f>'Quang Nghia'!H67</f>
        <v>0</v>
      </c>
      <c r="E7">
        <f>'Quang Nghia'!BL11</f>
        <v>4.1599999999999993</v>
      </c>
      <c r="F7">
        <f t="shared" si="0"/>
        <v>230.79</v>
      </c>
    </row>
    <row r="8" spans="1:6" ht="18" customHeight="1">
      <c r="A8" t="s">
        <v>238</v>
      </c>
      <c r="B8" t="s">
        <v>379</v>
      </c>
      <c r="C8">
        <f>'Hai Dong'!D11</f>
        <v>231.57999999999998</v>
      </c>
      <c r="D8">
        <f>'Hai Dong'!H67</f>
        <v>0</v>
      </c>
      <c r="E8">
        <f>'Hai Dong'!BL11</f>
        <v>0.73</v>
      </c>
      <c r="F8">
        <f t="shared" si="0"/>
        <v>230.85</v>
      </c>
    </row>
    <row r="9" spans="1:6" ht="18" customHeight="1">
      <c r="A9" t="s">
        <v>239</v>
      </c>
      <c r="B9" t="s">
        <v>380</v>
      </c>
      <c r="C9">
        <f>'Hai Tien'!D11</f>
        <v>279.36</v>
      </c>
      <c r="D9">
        <f>'Hai Tien'!H67</f>
        <v>0</v>
      </c>
      <c r="E9">
        <f>'Hai Tien'!BL11</f>
        <v>14.629999999999999</v>
      </c>
      <c r="F9">
        <f t="shared" si="0"/>
        <v>264.73</v>
      </c>
    </row>
    <row r="10" spans="1:6" ht="18" customHeight="1">
      <c r="A10" t="s">
        <v>240</v>
      </c>
      <c r="B10" t="s">
        <v>381</v>
      </c>
      <c r="C10">
        <f>'Hai Xuan'!D11</f>
        <v>391.48</v>
      </c>
      <c r="D10">
        <f>'Hai Xuan'!H67</f>
        <v>0</v>
      </c>
      <c r="E10">
        <f>'Hai Xuan'!BL11</f>
        <v>12.46</v>
      </c>
      <c r="F10">
        <f t="shared" si="0"/>
        <v>379.02000000000004</v>
      </c>
    </row>
    <row r="11" spans="1:6" ht="18" customHeight="1">
      <c r="A11" t="s">
        <v>241</v>
      </c>
      <c r="B11" t="s">
        <v>382</v>
      </c>
      <c r="C11">
        <f>'Van Ninh'!D11</f>
        <v>223.16</v>
      </c>
      <c r="D11">
        <f>'Van Ninh'!H68</f>
        <v>0</v>
      </c>
      <c r="E11">
        <f>'Van Ninh'!BL11</f>
        <v>5.48</v>
      </c>
      <c r="F11">
        <f t="shared" si="0"/>
        <v>217.68</v>
      </c>
    </row>
    <row r="12" spans="1:6" ht="18" customHeight="1">
      <c r="A12" t="s">
        <v>242</v>
      </c>
      <c r="B12" t="s">
        <v>383</v>
      </c>
      <c r="C12">
        <f>'Vinh Trung'!D11</f>
        <v>172.05</v>
      </c>
      <c r="D12">
        <f>'Vinh Trung'!H68</f>
        <v>0</v>
      </c>
      <c r="E12">
        <f>'Vinh Trung'!BL11</f>
        <v>0.3</v>
      </c>
      <c r="F12">
        <f t="shared" si="0"/>
        <v>171.75</v>
      </c>
    </row>
    <row r="13" spans="1:6" ht="18" customHeight="1">
      <c r="A13" t="s">
        <v>243</v>
      </c>
      <c r="B13" t="s">
        <v>384</v>
      </c>
      <c r="C13">
        <f>'Vinh Thuc'!D11</f>
        <v>251.77999999999997</v>
      </c>
      <c r="D13">
        <f>'Vinh Thuc'!H67</f>
        <v>0</v>
      </c>
      <c r="E13">
        <f>'Vinh Thuc'!BL11</f>
        <v>0.95000000000000007</v>
      </c>
      <c r="F13">
        <f t="shared" si="0"/>
        <v>250.82999999999998</v>
      </c>
    </row>
    <row r="14" spans="1:6" ht="18" customHeight="1">
      <c r="A14" t="s">
        <v>244</v>
      </c>
      <c r="B14" t="s">
        <v>385</v>
      </c>
      <c r="C14">
        <f>'Hai Yen'!D11</f>
        <v>306.83510000000001</v>
      </c>
      <c r="D14">
        <f>'Hai Yen'!H68</f>
        <v>0</v>
      </c>
      <c r="E14">
        <f>'Hai Yen'!BL11</f>
        <v>20.399999999999999</v>
      </c>
      <c r="F14">
        <f t="shared" si="0"/>
        <v>286.43510000000003</v>
      </c>
    </row>
    <row r="15" spans="1:6" ht="18" customHeight="1">
      <c r="A15" t="s">
        <v>245</v>
      </c>
      <c r="B15" t="s">
        <v>386</v>
      </c>
      <c r="C15">
        <f>'Ka Long'!D11</f>
        <v>0</v>
      </c>
      <c r="D15">
        <f>'Ka Long'!H67</f>
        <v>0</v>
      </c>
      <c r="E15">
        <f>'Ka Long'!BL11</f>
        <v>0</v>
      </c>
      <c r="F15">
        <f t="shared" si="0"/>
        <v>0</v>
      </c>
    </row>
    <row r="16" spans="1:6" ht="18" customHeight="1">
      <c r="A16" t="s">
        <v>246</v>
      </c>
      <c r="B16" t="s">
        <v>387</v>
      </c>
      <c r="C16">
        <f>'Ninh Duong'!D11</f>
        <v>252.77289999999999</v>
      </c>
      <c r="D16">
        <f>'Ninh Duong'!H67</f>
        <v>0</v>
      </c>
      <c r="E16">
        <f>'Ninh Duong'!BL11</f>
        <v>18.59</v>
      </c>
      <c r="F16">
        <f t="shared" si="0"/>
        <v>234.18289999999999</v>
      </c>
    </row>
    <row r="17" spans="1:6" ht="18" customHeight="1">
      <c r="A17" t="s">
        <v>247</v>
      </c>
      <c r="B17" t="s">
        <v>388</v>
      </c>
      <c r="C17">
        <f>'Hoa Lac'!D11</f>
        <v>0</v>
      </c>
      <c r="D17">
        <f>'Hoa Lac'!H67</f>
        <v>0</v>
      </c>
      <c r="E17">
        <f>'Hoa Lac'!BL11</f>
        <v>0</v>
      </c>
      <c r="F17">
        <f t="shared" si="0"/>
        <v>0</v>
      </c>
    </row>
    <row r="18" spans="1:6" ht="18" customHeight="1">
      <c r="A18" t="s">
        <v>248</v>
      </c>
      <c r="B18" t="s">
        <v>389</v>
      </c>
      <c r="C18">
        <f>'Tran Phu'!D11</f>
        <v>0</v>
      </c>
      <c r="D18">
        <f>'Tran Phu'!H67</f>
        <v>0</v>
      </c>
      <c r="E18">
        <f>'Tran Phu'!BL11</f>
        <v>0</v>
      </c>
      <c r="F18">
        <f t="shared" si="0"/>
        <v>0</v>
      </c>
    </row>
    <row r="19" spans="1:6" ht="18" customHeight="1">
      <c r="A19" t="s">
        <v>249</v>
      </c>
      <c r="B19" t="s">
        <v>390</v>
      </c>
      <c r="C19">
        <f>'Hai Hoa'!D11</f>
        <v>347.36</v>
      </c>
      <c r="D19">
        <f>'Hai Hoa'!H67</f>
        <v>0</v>
      </c>
      <c r="E19">
        <f>'Hai Hoa'!BL11</f>
        <v>88.820000000000007</v>
      </c>
      <c r="F19">
        <f t="shared" si="0"/>
        <v>258.54000000000002</v>
      </c>
    </row>
    <row r="20" spans="1:6" ht="18" customHeight="1">
      <c r="A20" t="s">
        <v>250</v>
      </c>
      <c r="B20" t="s">
        <v>391</v>
      </c>
      <c r="C20">
        <f>'Tra Co'!D11</f>
        <v>17.09</v>
      </c>
      <c r="D20">
        <f>'Tra Co'!H67</f>
        <v>0</v>
      </c>
      <c r="E20">
        <f>'Tra Co'!BL11</f>
        <v>0</v>
      </c>
      <c r="F20">
        <f t="shared" si="0"/>
        <v>17.09</v>
      </c>
    </row>
    <row r="21" spans="1:6" ht="18" customHeight="1">
      <c r="A21" t="s">
        <v>251</v>
      </c>
      <c r="B21" t="s">
        <v>392</v>
      </c>
      <c r="C21">
        <f>'Binh Ngoc'!D11</f>
        <v>181.18</v>
      </c>
      <c r="D21">
        <f>'Binh Ngoc'!H67</f>
        <v>0</v>
      </c>
      <c r="E21">
        <f>'Binh Ngoc'!BL11</f>
        <v>0.02</v>
      </c>
      <c r="F21">
        <f t="shared" si="0"/>
        <v>181.16</v>
      </c>
    </row>
    <row r="22" spans="1:6" ht="18" customHeight="1">
      <c r="A22" t="s">
        <v>252</v>
      </c>
      <c r="B22" t="s">
        <v>393</v>
      </c>
      <c r="C22">
        <f>'Lien vị'!D11</f>
        <v>0</v>
      </c>
      <c r="D22">
        <f>'Lien vị'!H67</f>
        <v>0</v>
      </c>
      <c r="E22">
        <f>'Lien vị'!BL11</f>
        <v>0</v>
      </c>
      <c r="F22">
        <f t="shared" si="0"/>
        <v>0</v>
      </c>
    </row>
    <row r="23" spans="1:6" ht="18" customHeight="1">
      <c r="A23" t="s">
        <v>253</v>
      </c>
      <c r="B23" t="s">
        <v>394</v>
      </c>
      <c r="C23">
        <f>'Tien Phong'!D11</f>
        <v>0</v>
      </c>
      <c r="D23">
        <f>'Tien Phong'!H67</f>
        <v>0</v>
      </c>
      <c r="E23">
        <f>'Tien Phong'!BL11</f>
        <v>0</v>
      </c>
      <c r="F23">
        <f t="shared" si="0"/>
        <v>0</v>
      </c>
    </row>
    <row r="24" spans="1:6" ht="24" customHeight="1">
      <c r="B24" t="s">
        <v>370</v>
      </c>
      <c r="C24">
        <f>SUM(C5:C23)</f>
        <v>3246.9302500000003</v>
      </c>
      <c r="D24">
        <f>SUM(D5:D23)</f>
        <v>0</v>
      </c>
      <c r="E24">
        <f>SUM(E5:E23)</f>
        <v>167.52</v>
      </c>
      <c r="F24">
        <f>SUM(F5:F23)</f>
        <v>3079.4102499999999</v>
      </c>
    </row>
    <row r="26" spans="1:6">
      <c r="A26" s="1300" t="s">
        <v>396</v>
      </c>
      <c r="B26" s="1300"/>
    </row>
    <row r="27" spans="1:6">
      <c r="A27" s="1300" t="s">
        <v>397</v>
      </c>
      <c r="B27" s="1300"/>
      <c r="C27" s="1300"/>
      <c r="D27" s="1300"/>
      <c r="E27" s="1300"/>
      <c r="F27" s="1300"/>
    </row>
    <row r="28" spans="1:6" ht="21" customHeight="1">
      <c r="A28" s="1300" t="s">
        <v>138</v>
      </c>
      <c r="B28" s="1300"/>
      <c r="C28" s="1300"/>
      <c r="D28" s="1300"/>
      <c r="E28" s="1300"/>
      <c r="F28" s="1300"/>
    </row>
    <row r="29" spans="1:6" ht="51" customHeight="1">
      <c r="A29" t="s">
        <v>368</v>
      </c>
      <c r="B29" t="s">
        <v>369</v>
      </c>
      <c r="C29" t="s">
        <v>373</v>
      </c>
      <c r="D29" t="s">
        <v>371</v>
      </c>
      <c r="E29" t="s">
        <v>372</v>
      </c>
      <c r="F29" t="s">
        <v>366</v>
      </c>
    </row>
    <row r="30" spans="1:6" ht="18" customHeight="1">
      <c r="A30" t="s">
        <v>235</v>
      </c>
      <c r="B30" t="s">
        <v>376</v>
      </c>
      <c r="C30">
        <f>'Bac Son'!D12</f>
        <v>0</v>
      </c>
      <c r="D30">
        <f>'Bac Son'!I67</f>
        <v>0</v>
      </c>
      <c r="E30">
        <f>'Bac Son'!BL12</f>
        <v>0</v>
      </c>
      <c r="F30">
        <f>C30+D30-E30</f>
        <v>0</v>
      </c>
    </row>
    <row r="31" spans="1:6" ht="18" customHeight="1">
      <c r="A31" t="s">
        <v>236</v>
      </c>
      <c r="B31" t="s">
        <v>377</v>
      </c>
      <c r="C31">
        <f>'Hai Son'!D12</f>
        <v>0</v>
      </c>
      <c r="D31">
        <f>'Hai Son'!I67</f>
        <v>0</v>
      </c>
      <c r="E31">
        <f>'Hai Son'!BL12</f>
        <v>0</v>
      </c>
      <c r="F31">
        <f t="shared" ref="F31:F48" si="1">C31+D31-E31</f>
        <v>0</v>
      </c>
    </row>
    <row r="32" spans="1:6" ht="18" customHeight="1">
      <c r="A32" t="s">
        <v>237</v>
      </c>
      <c r="B32" t="s">
        <v>378</v>
      </c>
      <c r="C32">
        <f>'Quang Nghia'!D12</f>
        <v>43.16</v>
      </c>
      <c r="D32">
        <f>'Quang Nghia'!I67</f>
        <v>0</v>
      </c>
      <c r="E32">
        <f>'Quang Nghia'!BL12</f>
        <v>0.03</v>
      </c>
      <c r="F32">
        <f t="shared" si="1"/>
        <v>43.129999999999995</v>
      </c>
    </row>
    <row r="33" spans="1:6" ht="18" customHeight="1">
      <c r="A33" t="s">
        <v>238</v>
      </c>
      <c r="B33" t="s">
        <v>379</v>
      </c>
      <c r="C33">
        <f>'Hai Dong'!D12</f>
        <v>166.66</v>
      </c>
      <c r="D33">
        <f>'Hai Dong'!I67</f>
        <v>0</v>
      </c>
      <c r="E33">
        <f>'Hai Dong'!BL12</f>
        <v>0.72</v>
      </c>
      <c r="F33">
        <f t="shared" si="1"/>
        <v>165.94</v>
      </c>
    </row>
    <row r="34" spans="1:6" ht="18" customHeight="1">
      <c r="A34" t="s">
        <v>239</v>
      </c>
      <c r="B34" t="s">
        <v>380</v>
      </c>
      <c r="C34">
        <f>'Hai Tien'!D12</f>
        <v>190.68</v>
      </c>
      <c r="D34">
        <f>'Hai Tien'!I67</f>
        <v>0</v>
      </c>
      <c r="E34">
        <f>'Hai Tien'!BL12</f>
        <v>4.87</v>
      </c>
      <c r="F34">
        <f t="shared" si="1"/>
        <v>185.81</v>
      </c>
    </row>
    <row r="35" spans="1:6" ht="18" customHeight="1">
      <c r="A35" t="s">
        <v>240</v>
      </c>
      <c r="B35" t="s">
        <v>381</v>
      </c>
      <c r="C35">
        <f>'Hai Xuan'!D12</f>
        <v>275.83</v>
      </c>
      <c r="D35">
        <f>'Hai Xuan'!I67</f>
        <v>0</v>
      </c>
      <c r="E35">
        <f>'Hai Xuan'!BL12</f>
        <v>6.97</v>
      </c>
      <c r="F35">
        <f t="shared" si="1"/>
        <v>268.85999999999996</v>
      </c>
    </row>
    <row r="36" spans="1:6" ht="18" customHeight="1">
      <c r="A36" t="s">
        <v>241</v>
      </c>
      <c r="B36" t="s">
        <v>382</v>
      </c>
      <c r="C36">
        <f>'Van Ninh'!D12</f>
        <v>168.84</v>
      </c>
      <c r="D36">
        <f>'Van Ninh'!I68</f>
        <v>0</v>
      </c>
      <c r="E36">
        <f>'Van Ninh'!BL12</f>
        <v>4.18</v>
      </c>
      <c r="F36">
        <f t="shared" si="1"/>
        <v>164.66</v>
      </c>
    </row>
    <row r="37" spans="1:6" ht="18" customHeight="1">
      <c r="A37" t="s">
        <v>242</v>
      </c>
      <c r="B37" t="s">
        <v>383</v>
      </c>
      <c r="C37">
        <f>'Vinh Trung'!D12</f>
        <v>23.21</v>
      </c>
      <c r="D37">
        <f>'Vinh Trung'!I68</f>
        <v>0</v>
      </c>
      <c r="E37">
        <f>'Vinh Trung'!BL12</f>
        <v>0.3</v>
      </c>
      <c r="F37">
        <f t="shared" si="1"/>
        <v>22.91</v>
      </c>
    </row>
    <row r="38" spans="1:6" ht="18" customHeight="1">
      <c r="A38" t="s">
        <v>243</v>
      </c>
      <c r="B38" t="s">
        <v>384</v>
      </c>
      <c r="C38">
        <f>'Vinh Thuc'!D12</f>
        <v>108.58</v>
      </c>
      <c r="D38">
        <f>'Vinh Thuc'!I67</f>
        <v>0</v>
      </c>
      <c r="E38">
        <f>'Vinh Thuc'!BL12</f>
        <v>0.03</v>
      </c>
      <c r="F38">
        <f t="shared" si="1"/>
        <v>108.55</v>
      </c>
    </row>
    <row r="39" spans="1:6" ht="18" customHeight="1">
      <c r="A39" t="s">
        <v>244</v>
      </c>
      <c r="B39" t="s">
        <v>385</v>
      </c>
      <c r="C39">
        <f>'Hai Yen'!D12</f>
        <v>215.92510000000001</v>
      </c>
      <c r="D39">
        <f>'Hai Yen'!I68</f>
        <v>0</v>
      </c>
      <c r="E39">
        <f>'Hai Yen'!BL12</f>
        <v>8.2099999999999991</v>
      </c>
      <c r="F39">
        <f t="shared" si="1"/>
        <v>207.71510000000001</v>
      </c>
    </row>
    <row r="40" spans="1:6" ht="18" customHeight="1">
      <c r="A40" t="s">
        <v>245</v>
      </c>
      <c r="B40" t="s">
        <v>386</v>
      </c>
      <c r="C40">
        <f>'Ka Long'!D12</f>
        <v>0</v>
      </c>
      <c r="D40">
        <f>'Ka Long'!I67</f>
        <v>0</v>
      </c>
      <c r="E40">
        <f>'Ka Long'!BL12</f>
        <v>0</v>
      </c>
      <c r="F40">
        <f t="shared" si="1"/>
        <v>0</v>
      </c>
    </row>
    <row r="41" spans="1:6" ht="18" customHeight="1">
      <c r="A41" t="s">
        <v>246</v>
      </c>
      <c r="B41" t="s">
        <v>387</v>
      </c>
      <c r="C41">
        <f>'Ninh Duong'!D12</f>
        <v>102.16290000000001</v>
      </c>
      <c r="D41">
        <f>'Ninh Duong'!I67</f>
        <v>0</v>
      </c>
      <c r="E41">
        <f>'Ninh Duong'!BL12</f>
        <v>11.18</v>
      </c>
      <c r="F41">
        <f t="shared" si="1"/>
        <v>90.982900000000001</v>
      </c>
    </row>
    <row r="42" spans="1:6" ht="18" customHeight="1">
      <c r="A42" t="s">
        <v>247</v>
      </c>
      <c r="B42" t="s">
        <v>388</v>
      </c>
      <c r="C42">
        <f>'Hoa Lac'!D12</f>
        <v>0</v>
      </c>
      <c r="D42">
        <f>'Hoa Lac'!I67</f>
        <v>0</v>
      </c>
      <c r="E42">
        <f>'Hoa Lac'!BL12</f>
        <v>0</v>
      </c>
      <c r="F42">
        <f t="shared" si="1"/>
        <v>0</v>
      </c>
    </row>
    <row r="43" spans="1:6" ht="18" customHeight="1">
      <c r="A43" t="s">
        <v>248</v>
      </c>
      <c r="B43" t="s">
        <v>389</v>
      </c>
      <c r="C43">
        <f>'Tran Phu'!D12</f>
        <v>0</v>
      </c>
      <c r="D43">
        <f>'Tran Phu'!I67</f>
        <v>0</v>
      </c>
      <c r="E43">
        <f>'Tran Phu'!BL12</f>
        <v>0</v>
      </c>
      <c r="F43">
        <f t="shared" si="1"/>
        <v>0</v>
      </c>
    </row>
    <row r="44" spans="1:6" ht="18" customHeight="1">
      <c r="A44" t="s">
        <v>249</v>
      </c>
      <c r="B44" t="s">
        <v>390</v>
      </c>
      <c r="C44">
        <f>'Hai Hoa'!D12</f>
        <v>347.05</v>
      </c>
      <c r="D44">
        <f>'Hai Hoa'!I67</f>
        <v>0</v>
      </c>
      <c r="E44">
        <f>'Hai Hoa'!BL12</f>
        <v>88.820000000000007</v>
      </c>
      <c r="F44">
        <f t="shared" si="1"/>
        <v>258.23</v>
      </c>
    </row>
    <row r="45" spans="1:6" ht="18" customHeight="1">
      <c r="A45" t="s">
        <v>250</v>
      </c>
      <c r="B45" t="s">
        <v>391</v>
      </c>
      <c r="C45">
        <f>'Tra Co'!D12</f>
        <v>17.09</v>
      </c>
      <c r="D45">
        <f>'Tra Co'!I67</f>
        <v>0</v>
      </c>
      <c r="E45">
        <f>'Tra Co'!BL12</f>
        <v>0</v>
      </c>
      <c r="F45">
        <f t="shared" si="1"/>
        <v>17.09</v>
      </c>
    </row>
    <row r="46" spans="1:6" ht="18" customHeight="1">
      <c r="A46" t="s">
        <v>251</v>
      </c>
      <c r="B46" t="s">
        <v>392</v>
      </c>
      <c r="C46">
        <f>'Binh Ngoc'!D12</f>
        <v>181.18</v>
      </c>
      <c r="D46">
        <f>'Binh Ngoc'!I67</f>
        <v>0</v>
      </c>
      <c r="E46">
        <f>'Binh Ngoc'!BL12</f>
        <v>0</v>
      </c>
      <c r="F46">
        <f t="shared" si="1"/>
        <v>181.18</v>
      </c>
    </row>
    <row r="47" spans="1:6" ht="18" customHeight="1">
      <c r="A47" t="s">
        <v>252</v>
      </c>
      <c r="B47" t="s">
        <v>393</v>
      </c>
      <c r="C47">
        <f>'Lien vị'!D12</f>
        <v>0</v>
      </c>
      <c r="D47">
        <f>'Lien vị'!I67</f>
        <v>0</v>
      </c>
      <c r="E47">
        <f>'Lien vị'!BL12</f>
        <v>0</v>
      </c>
      <c r="F47">
        <f t="shared" si="1"/>
        <v>0</v>
      </c>
    </row>
    <row r="48" spans="1:6" ht="18" customHeight="1">
      <c r="A48" t="s">
        <v>253</v>
      </c>
      <c r="B48" t="s">
        <v>394</v>
      </c>
      <c r="C48">
        <f>'Tien Phong'!D12</f>
        <v>0</v>
      </c>
      <c r="D48">
        <f>'Tien Phong'!I67</f>
        <v>0</v>
      </c>
      <c r="E48">
        <f>'Tien Phong'!BL12</f>
        <v>0</v>
      </c>
      <c r="F48">
        <f t="shared" si="1"/>
        <v>0</v>
      </c>
    </row>
    <row r="49" spans="1:6" ht="24" customHeight="1">
      <c r="B49" t="s">
        <v>370</v>
      </c>
      <c r="C49">
        <f>SUM(C30:C48)</f>
        <v>1840.3679999999999</v>
      </c>
      <c r="D49">
        <f>SUM(D30:D48)</f>
        <v>0</v>
      </c>
      <c r="E49">
        <f>SUM(E30:E48)</f>
        <v>125.31</v>
      </c>
      <c r="F49">
        <f>SUM(F30:F48)</f>
        <v>1715.058</v>
      </c>
    </row>
    <row r="51" spans="1:6">
      <c r="A51" s="1300" t="s">
        <v>399</v>
      </c>
      <c r="B51" s="1300"/>
    </row>
    <row r="52" spans="1:6">
      <c r="A52" s="1300" t="s">
        <v>398</v>
      </c>
      <c r="B52" s="1300"/>
      <c r="C52" s="1300"/>
      <c r="D52" s="1300"/>
      <c r="E52" s="1300"/>
      <c r="F52" s="1300"/>
    </row>
    <row r="53" spans="1:6" ht="21" customHeight="1">
      <c r="A53" s="1300" t="s">
        <v>138</v>
      </c>
      <c r="B53" s="1300"/>
      <c r="C53" s="1300"/>
      <c r="D53" s="1300"/>
      <c r="E53" s="1300"/>
      <c r="F53" s="1300"/>
    </row>
    <row r="54" spans="1:6" ht="51" customHeight="1">
      <c r="A54" t="s">
        <v>368</v>
      </c>
      <c r="B54" t="s">
        <v>369</v>
      </c>
      <c r="C54" t="s">
        <v>373</v>
      </c>
      <c r="D54" t="s">
        <v>371</v>
      </c>
      <c r="E54" t="s">
        <v>372</v>
      </c>
      <c r="F54" t="s">
        <v>366</v>
      </c>
    </row>
    <row r="55" spans="1:6" ht="18" customHeight="1">
      <c r="A55" t="s">
        <v>235</v>
      </c>
      <c r="B55" t="s">
        <v>376</v>
      </c>
      <c r="C55">
        <f>'Bac Son'!D16</f>
        <v>41.15</v>
      </c>
      <c r="D55">
        <f>'Bac Son'!M67</f>
        <v>0</v>
      </c>
      <c r="E55">
        <f>'Bac Son'!BL16</f>
        <v>0</v>
      </c>
      <c r="F55">
        <f>C55+D55-E55</f>
        <v>41.15</v>
      </c>
    </row>
    <row r="56" spans="1:6" ht="18" customHeight="1">
      <c r="A56" t="s">
        <v>236</v>
      </c>
      <c r="B56" t="s">
        <v>377</v>
      </c>
      <c r="C56">
        <f>'Hai Son'!D16</f>
        <v>64.004499999999993</v>
      </c>
      <c r="D56">
        <f>'Hai Son'!M67</f>
        <v>0</v>
      </c>
      <c r="E56">
        <f>'Hai Son'!BL16</f>
        <v>0</v>
      </c>
      <c r="F56">
        <f t="shared" ref="F56:F73" si="2">C56+D56-E56</f>
        <v>64.004499999999993</v>
      </c>
    </row>
    <row r="57" spans="1:6" ht="18" customHeight="1">
      <c r="A57" t="s">
        <v>237</v>
      </c>
      <c r="B57" t="s">
        <v>378</v>
      </c>
      <c r="C57">
        <f>'Quang Nghia'!D16</f>
        <v>163.37</v>
      </c>
      <c r="D57">
        <f>'Quang Nghia'!M67</f>
        <v>0</v>
      </c>
      <c r="E57">
        <f>'Quang Nghia'!BL16</f>
        <v>3.8099999999999996</v>
      </c>
      <c r="F57">
        <f t="shared" si="2"/>
        <v>159.56</v>
      </c>
    </row>
    <row r="58" spans="1:6" ht="18" customHeight="1">
      <c r="A58" t="s">
        <v>238</v>
      </c>
      <c r="B58" t="s">
        <v>379</v>
      </c>
      <c r="C58">
        <f>'Hai Dong'!D16</f>
        <v>157.84</v>
      </c>
      <c r="D58">
        <f>'Hai Dong'!M67</f>
        <v>0</v>
      </c>
      <c r="E58">
        <f>'Hai Dong'!BL16</f>
        <v>1.29</v>
      </c>
      <c r="F58">
        <f t="shared" si="2"/>
        <v>156.55000000000001</v>
      </c>
    </row>
    <row r="59" spans="1:6" ht="18" customHeight="1">
      <c r="A59" t="s">
        <v>239</v>
      </c>
      <c r="B59" t="s">
        <v>380</v>
      </c>
      <c r="C59">
        <f>'Hai Tien'!D16</f>
        <v>58.82</v>
      </c>
      <c r="D59">
        <f>'Hai Tien'!M67</f>
        <v>0</v>
      </c>
      <c r="E59">
        <f>'Hai Tien'!BL16</f>
        <v>6.7299999999999995</v>
      </c>
      <c r="F59">
        <f t="shared" si="2"/>
        <v>52.09</v>
      </c>
    </row>
    <row r="60" spans="1:6" ht="18" customHeight="1">
      <c r="A60" t="s">
        <v>240</v>
      </c>
      <c r="B60" t="s">
        <v>381</v>
      </c>
      <c r="C60">
        <f>'Hai Xuan'!D16</f>
        <v>40.520000000000003</v>
      </c>
      <c r="D60">
        <f>'Hai Xuan'!M67</f>
        <v>0</v>
      </c>
      <c r="E60">
        <f>'Hai Xuan'!BL16</f>
        <v>0.69000000000000006</v>
      </c>
      <c r="F60">
        <f t="shared" si="2"/>
        <v>39.830000000000005</v>
      </c>
    </row>
    <row r="61" spans="1:6" ht="18" customHeight="1">
      <c r="A61" t="s">
        <v>241</v>
      </c>
      <c r="B61" t="s">
        <v>382</v>
      </c>
      <c r="C61">
        <f>'Van Ninh'!D16</f>
        <v>92.42</v>
      </c>
      <c r="D61">
        <f>'Van Ninh'!M68</f>
        <v>0</v>
      </c>
      <c r="E61">
        <f>'Van Ninh'!BL16</f>
        <v>3.62</v>
      </c>
      <c r="F61">
        <f t="shared" si="2"/>
        <v>88.8</v>
      </c>
    </row>
    <row r="62" spans="1:6" ht="18" customHeight="1">
      <c r="A62" t="s">
        <v>242</v>
      </c>
      <c r="B62" t="s">
        <v>383</v>
      </c>
      <c r="C62">
        <f>'Vinh Trung'!D16</f>
        <v>50.44</v>
      </c>
      <c r="D62">
        <f>'Vinh Trung'!M68</f>
        <v>0</v>
      </c>
      <c r="E62">
        <f>'Vinh Trung'!BL16</f>
        <v>0.01</v>
      </c>
      <c r="F62">
        <f t="shared" si="2"/>
        <v>50.43</v>
      </c>
    </row>
    <row r="63" spans="1:6" ht="18" customHeight="1">
      <c r="A63" t="s">
        <v>243</v>
      </c>
      <c r="B63" t="s">
        <v>384</v>
      </c>
      <c r="C63">
        <f>'Vinh Thuc'!D16</f>
        <v>89.34</v>
      </c>
      <c r="D63">
        <f>'Vinh Thuc'!M67</f>
        <v>0</v>
      </c>
      <c r="E63">
        <f>'Vinh Thuc'!BL16</f>
        <v>1.1200000000000001</v>
      </c>
      <c r="F63">
        <f t="shared" si="2"/>
        <v>88.22</v>
      </c>
    </row>
    <row r="64" spans="1:6" ht="18" customHeight="1">
      <c r="A64" t="s">
        <v>244</v>
      </c>
      <c r="B64" t="s">
        <v>385</v>
      </c>
      <c r="C64">
        <f>'Hai Yen'!D16</f>
        <v>120.8407</v>
      </c>
      <c r="D64">
        <f>'Hai Yen'!M68</f>
        <v>0</v>
      </c>
      <c r="E64">
        <f>'Hai Yen'!BL16</f>
        <v>16.02</v>
      </c>
      <c r="F64">
        <f t="shared" si="2"/>
        <v>104.8207</v>
      </c>
    </row>
    <row r="65" spans="1:6" ht="18" customHeight="1">
      <c r="A65" t="s">
        <v>245</v>
      </c>
      <c r="B65" t="s">
        <v>386</v>
      </c>
      <c r="C65">
        <f>'Ka Long'!D16</f>
        <v>0</v>
      </c>
      <c r="D65">
        <f>'Ka Long'!M67</f>
        <v>0</v>
      </c>
      <c r="E65">
        <f>'Ka Long'!BL16</f>
        <v>0</v>
      </c>
      <c r="F65">
        <f t="shared" si="2"/>
        <v>0</v>
      </c>
    </row>
    <row r="66" spans="1:6" ht="18" customHeight="1">
      <c r="A66" t="s">
        <v>246</v>
      </c>
      <c r="B66" t="s">
        <v>387</v>
      </c>
      <c r="C66">
        <f>'Ninh Duong'!D16</f>
        <v>31.289100000000001</v>
      </c>
      <c r="D66">
        <f>'Ninh Duong'!M67</f>
        <v>0</v>
      </c>
      <c r="E66">
        <f>'Ninh Duong'!BL16</f>
        <v>3.5300000000000002</v>
      </c>
      <c r="F66">
        <f t="shared" si="2"/>
        <v>27.7591</v>
      </c>
    </row>
    <row r="67" spans="1:6" ht="18" customHeight="1">
      <c r="A67" t="s">
        <v>247</v>
      </c>
      <c r="B67" t="s">
        <v>388</v>
      </c>
      <c r="C67">
        <f>'Hoa Lac'!D16</f>
        <v>0</v>
      </c>
      <c r="D67">
        <f>'Hoa Lac'!M67</f>
        <v>0</v>
      </c>
      <c r="E67">
        <f>'Hoa Lac'!BL16</f>
        <v>0</v>
      </c>
      <c r="F67">
        <f t="shared" si="2"/>
        <v>0</v>
      </c>
    </row>
    <row r="68" spans="1:6" ht="18" customHeight="1">
      <c r="A68" t="s">
        <v>248</v>
      </c>
      <c r="B68" t="s">
        <v>389</v>
      </c>
      <c r="C68">
        <f>'Tran Phu'!D16</f>
        <v>0</v>
      </c>
      <c r="D68">
        <f>'Tran Phu'!M67</f>
        <v>0</v>
      </c>
      <c r="E68">
        <f>'Tran Phu'!BL16</f>
        <v>0</v>
      </c>
      <c r="F68">
        <f t="shared" si="2"/>
        <v>0</v>
      </c>
    </row>
    <row r="69" spans="1:6" ht="18" customHeight="1">
      <c r="A69" t="s">
        <v>249</v>
      </c>
      <c r="B69" t="s">
        <v>390</v>
      </c>
      <c r="C69">
        <f>'Hai Hoa'!D16</f>
        <v>14.62</v>
      </c>
      <c r="D69">
        <f>'Hai Hoa'!M67</f>
        <v>0</v>
      </c>
      <c r="E69">
        <f>'Hai Hoa'!BL16</f>
        <v>1.1499999999999999</v>
      </c>
      <c r="F69">
        <f t="shared" si="2"/>
        <v>13.469999999999999</v>
      </c>
    </row>
    <row r="70" spans="1:6" ht="18" customHeight="1">
      <c r="A70" t="s">
        <v>250</v>
      </c>
      <c r="B70" t="s">
        <v>391</v>
      </c>
      <c r="C70">
        <f>'Tra Co'!D16</f>
        <v>14.13</v>
      </c>
      <c r="D70">
        <f>'Tra Co'!M67</f>
        <v>0</v>
      </c>
      <c r="E70">
        <f>'Tra Co'!BL16</f>
        <v>0</v>
      </c>
      <c r="F70">
        <f t="shared" si="2"/>
        <v>14.13</v>
      </c>
    </row>
    <row r="71" spans="1:6" ht="18" customHeight="1">
      <c r="A71" t="s">
        <v>251</v>
      </c>
      <c r="B71" t="s">
        <v>392</v>
      </c>
      <c r="C71">
        <f>'Binh Ngoc'!D16</f>
        <v>76.53</v>
      </c>
      <c r="D71">
        <f>'Binh Ngoc'!M67</f>
        <v>0</v>
      </c>
      <c r="E71">
        <f>'Binh Ngoc'!BL16</f>
        <v>0</v>
      </c>
      <c r="F71">
        <f t="shared" si="2"/>
        <v>76.53</v>
      </c>
    </row>
    <row r="72" spans="1:6" ht="18" customHeight="1">
      <c r="A72" t="s">
        <v>252</v>
      </c>
      <c r="B72" t="s">
        <v>393</v>
      </c>
      <c r="C72">
        <f>'Lien vị'!D16</f>
        <v>0</v>
      </c>
      <c r="D72">
        <f>'Lien vị'!M67</f>
        <v>0</v>
      </c>
      <c r="E72">
        <f>'Lien vị'!BL16</f>
        <v>0</v>
      </c>
      <c r="F72">
        <f t="shared" si="2"/>
        <v>0</v>
      </c>
    </row>
    <row r="73" spans="1:6" ht="18" customHeight="1">
      <c r="A73" t="s">
        <v>253</v>
      </c>
      <c r="B73" t="s">
        <v>394</v>
      </c>
      <c r="C73">
        <f>'Tien Phong'!D16</f>
        <v>0</v>
      </c>
      <c r="D73">
        <f>'Tien Phong'!M67</f>
        <v>0</v>
      </c>
      <c r="E73">
        <f>'Tien Phong'!BL16</f>
        <v>0</v>
      </c>
      <c r="F73">
        <f t="shared" si="2"/>
        <v>0</v>
      </c>
    </row>
    <row r="74" spans="1:6" ht="24" customHeight="1">
      <c r="B74" t="s">
        <v>370</v>
      </c>
      <c r="C74">
        <f>SUM(C55:C73)</f>
        <v>1015.3142999999999</v>
      </c>
      <c r="D74">
        <f>SUM(D55:D73)</f>
        <v>0</v>
      </c>
      <c r="E74">
        <f>SUM(E55:E73)</f>
        <v>37.97</v>
      </c>
      <c r="F74">
        <f>SUM(F55:F73)</f>
        <v>977.34429999999998</v>
      </c>
    </row>
    <row r="76" spans="1:6">
      <c r="A76" s="1300" t="s">
        <v>400</v>
      </c>
      <c r="B76" s="1300"/>
    </row>
    <row r="77" spans="1:6">
      <c r="A77" s="1300" t="s">
        <v>401</v>
      </c>
      <c r="B77" s="1300"/>
      <c r="C77" s="1300"/>
      <c r="D77" s="1300"/>
      <c r="E77" s="1300"/>
      <c r="F77" s="1300"/>
    </row>
    <row r="78" spans="1:6" ht="21" customHeight="1">
      <c r="A78" s="1300" t="s">
        <v>138</v>
      </c>
      <c r="B78" s="1300"/>
      <c r="C78" s="1300"/>
      <c r="D78" s="1300"/>
      <c r="E78" s="1300"/>
      <c r="F78" s="1300"/>
    </row>
    <row r="79" spans="1:6" ht="51" customHeight="1">
      <c r="A79" t="s">
        <v>368</v>
      </c>
      <c r="B79" t="s">
        <v>369</v>
      </c>
      <c r="C79" t="s">
        <v>373</v>
      </c>
      <c r="D79" t="s">
        <v>371</v>
      </c>
      <c r="E79" t="s">
        <v>372</v>
      </c>
      <c r="F79" t="s">
        <v>366</v>
      </c>
    </row>
    <row r="80" spans="1:6" ht="18" customHeight="1">
      <c r="A80" t="s">
        <v>235</v>
      </c>
      <c r="B80" t="s">
        <v>376</v>
      </c>
      <c r="C80">
        <f>'Bac Son'!D17</f>
        <v>198.53</v>
      </c>
      <c r="D80">
        <f>'Bac Son'!N67</f>
        <v>0</v>
      </c>
      <c r="E80">
        <f>'Bac Son'!BL17</f>
        <v>0.37</v>
      </c>
      <c r="F80">
        <f>C80+D80-E80</f>
        <v>198.16</v>
      </c>
    </row>
    <row r="81" spans="1:6" ht="18" customHeight="1">
      <c r="A81" t="s">
        <v>236</v>
      </c>
      <c r="B81" t="s">
        <v>377</v>
      </c>
      <c r="C81">
        <f>'Hai Son'!D17</f>
        <v>91.102339999999998</v>
      </c>
      <c r="D81">
        <f>'Hai Son'!N67</f>
        <v>0</v>
      </c>
      <c r="E81">
        <f>'Hai Son'!BL17</f>
        <v>0.3</v>
      </c>
      <c r="F81">
        <f t="shared" ref="F81:F98" si="3">C81+D81-E81</f>
        <v>90.802340000000001</v>
      </c>
    </row>
    <row r="82" spans="1:6" ht="18" customHeight="1">
      <c r="A82" t="s">
        <v>237</v>
      </c>
      <c r="B82" t="s">
        <v>378</v>
      </c>
      <c r="C82">
        <f>'Quang Nghia'!D17</f>
        <v>133.25</v>
      </c>
      <c r="D82">
        <f>'Quang Nghia'!N67</f>
        <v>0</v>
      </c>
      <c r="E82">
        <f>'Quang Nghia'!BL17</f>
        <v>8.08</v>
      </c>
      <c r="F82">
        <f t="shared" si="3"/>
        <v>125.17</v>
      </c>
    </row>
    <row r="83" spans="1:6" ht="18" customHeight="1">
      <c r="A83" t="s">
        <v>238</v>
      </c>
      <c r="B83" t="s">
        <v>379</v>
      </c>
      <c r="C83">
        <f>'Hai Dong'!D17</f>
        <v>135</v>
      </c>
      <c r="D83">
        <f>'Hai Dong'!N67</f>
        <v>0</v>
      </c>
      <c r="E83">
        <f>'Hai Dong'!BL17</f>
        <v>3.54</v>
      </c>
      <c r="F83">
        <f t="shared" si="3"/>
        <v>131.46</v>
      </c>
    </row>
    <row r="84" spans="1:6" ht="18" customHeight="1">
      <c r="A84" t="s">
        <v>239</v>
      </c>
      <c r="B84" t="s">
        <v>380</v>
      </c>
      <c r="C84">
        <f>'Hai Tien'!D17</f>
        <v>76.13</v>
      </c>
      <c r="D84">
        <f>'Hai Tien'!N67</f>
        <v>0</v>
      </c>
      <c r="E84">
        <f>'Hai Tien'!BL17</f>
        <v>1</v>
      </c>
      <c r="F84">
        <f t="shared" si="3"/>
        <v>75.13</v>
      </c>
    </row>
    <row r="85" spans="1:6" ht="18" customHeight="1">
      <c r="A85" t="s">
        <v>240</v>
      </c>
      <c r="B85" t="s">
        <v>381</v>
      </c>
      <c r="C85">
        <f>'Hai Xuan'!D17</f>
        <v>141.47</v>
      </c>
      <c r="D85">
        <f>'Hai Xuan'!N67</f>
        <v>0</v>
      </c>
      <c r="E85">
        <f>'Hai Xuan'!BL17</f>
        <v>1.27</v>
      </c>
      <c r="F85">
        <f t="shared" si="3"/>
        <v>140.19999999999999</v>
      </c>
    </row>
    <row r="86" spans="1:6" ht="18" customHeight="1">
      <c r="A86" t="s">
        <v>241</v>
      </c>
      <c r="B86" t="s">
        <v>382</v>
      </c>
      <c r="C86">
        <f>'Van Ninh'!D17</f>
        <v>45.79</v>
      </c>
      <c r="D86">
        <f>'Van Ninh'!N68</f>
        <v>0</v>
      </c>
      <c r="E86">
        <f>'Van Ninh'!BL17</f>
        <v>1.07</v>
      </c>
      <c r="F86">
        <f t="shared" si="3"/>
        <v>44.72</v>
      </c>
    </row>
    <row r="87" spans="1:6" ht="18" customHeight="1">
      <c r="A87" t="s">
        <v>242</v>
      </c>
      <c r="B87" t="s">
        <v>383</v>
      </c>
      <c r="C87">
        <f>'Vinh Trung'!D17</f>
        <v>41.48</v>
      </c>
      <c r="D87">
        <f>'Vinh Trung'!N68</f>
        <v>0</v>
      </c>
      <c r="E87">
        <f>'Vinh Trung'!BL17</f>
        <v>0.54</v>
      </c>
      <c r="F87">
        <f t="shared" si="3"/>
        <v>40.94</v>
      </c>
    </row>
    <row r="88" spans="1:6" ht="18" customHeight="1">
      <c r="A88" t="s">
        <v>243</v>
      </c>
      <c r="B88" t="s">
        <v>384</v>
      </c>
      <c r="C88">
        <f>'Vinh Thuc'!D17</f>
        <v>55.68</v>
      </c>
      <c r="D88">
        <f>'Vinh Thuc'!N67</f>
        <v>0</v>
      </c>
      <c r="E88">
        <f>'Vinh Thuc'!BL17</f>
        <v>0.5</v>
      </c>
      <c r="F88">
        <f t="shared" si="3"/>
        <v>55.18</v>
      </c>
    </row>
    <row r="89" spans="1:6" ht="18" customHeight="1">
      <c r="A89" t="s">
        <v>244</v>
      </c>
      <c r="B89" t="s">
        <v>385</v>
      </c>
      <c r="C89">
        <f>'Hai Yen'!D17</f>
        <v>393.78960000000001</v>
      </c>
      <c r="D89">
        <f>'Hai Yen'!N68</f>
        <v>0</v>
      </c>
      <c r="E89">
        <f>'Hai Yen'!BL17</f>
        <v>16.490000000000002</v>
      </c>
      <c r="F89">
        <f t="shared" si="3"/>
        <v>377.2996</v>
      </c>
    </row>
    <row r="90" spans="1:6" ht="18" customHeight="1">
      <c r="A90" t="s">
        <v>245</v>
      </c>
      <c r="B90" t="s">
        <v>386</v>
      </c>
      <c r="C90">
        <f>'Ka Long'!D17</f>
        <v>3.88</v>
      </c>
      <c r="D90">
        <f>'Ka Long'!N67</f>
        <v>0</v>
      </c>
      <c r="E90">
        <f>'Ka Long'!BL17</f>
        <v>0.3</v>
      </c>
      <c r="F90">
        <f t="shared" si="3"/>
        <v>3.58</v>
      </c>
    </row>
    <row r="91" spans="1:6" ht="18" customHeight="1">
      <c r="A91" t="s">
        <v>246</v>
      </c>
      <c r="B91" t="s">
        <v>387</v>
      </c>
      <c r="C91">
        <f>'Ninh Duong'!D17</f>
        <v>110.37</v>
      </c>
      <c r="D91">
        <f>'Ninh Duong'!N67</f>
        <v>0</v>
      </c>
      <c r="E91">
        <f>'Ninh Duong'!BL17</f>
        <v>1</v>
      </c>
      <c r="F91">
        <f t="shared" si="3"/>
        <v>109.37</v>
      </c>
    </row>
    <row r="92" spans="1:6" ht="18" customHeight="1">
      <c r="A92" t="s">
        <v>247</v>
      </c>
      <c r="B92" t="s">
        <v>388</v>
      </c>
      <c r="C92">
        <f>'Hoa Lac'!D17</f>
        <v>0</v>
      </c>
      <c r="D92">
        <f>'Hoa Lac'!N67</f>
        <v>0</v>
      </c>
      <c r="E92">
        <f>'Hoa Lac'!BL17</f>
        <v>0</v>
      </c>
      <c r="F92">
        <f t="shared" si="3"/>
        <v>0</v>
      </c>
    </row>
    <row r="93" spans="1:6" ht="18" customHeight="1">
      <c r="A93" t="s">
        <v>248</v>
      </c>
      <c r="B93" t="s">
        <v>389</v>
      </c>
      <c r="C93">
        <f>'Tran Phu'!D17</f>
        <v>0</v>
      </c>
      <c r="D93">
        <f>'Tran Phu'!N67</f>
        <v>0</v>
      </c>
      <c r="E93">
        <f>'Tran Phu'!BL17</f>
        <v>0</v>
      </c>
      <c r="F93">
        <f t="shared" si="3"/>
        <v>0</v>
      </c>
    </row>
    <row r="94" spans="1:6" ht="18" customHeight="1">
      <c r="A94" t="s">
        <v>249</v>
      </c>
      <c r="B94" t="s">
        <v>390</v>
      </c>
      <c r="C94">
        <f>'Hai Hoa'!D17</f>
        <v>333.56</v>
      </c>
      <c r="D94">
        <f>'Hai Hoa'!N67</f>
        <v>0</v>
      </c>
      <c r="E94">
        <f>'Hai Hoa'!BL17</f>
        <v>67.199999999999989</v>
      </c>
      <c r="F94">
        <f t="shared" si="3"/>
        <v>266.36</v>
      </c>
    </row>
    <row r="95" spans="1:6" ht="18" customHeight="1">
      <c r="A95" t="s">
        <v>250</v>
      </c>
      <c r="B95" t="s">
        <v>391</v>
      </c>
      <c r="C95">
        <f>'Tra Co'!D17</f>
        <v>27.79</v>
      </c>
      <c r="D95">
        <f>'Tra Co'!N67</f>
        <v>0</v>
      </c>
      <c r="E95">
        <f>'Tra Co'!BL17</f>
        <v>0.5</v>
      </c>
      <c r="F95">
        <f t="shared" si="3"/>
        <v>27.29</v>
      </c>
    </row>
    <row r="96" spans="1:6" ht="18" customHeight="1">
      <c r="A96" t="s">
        <v>251</v>
      </c>
      <c r="B96" t="s">
        <v>392</v>
      </c>
      <c r="C96">
        <f>'Binh Ngoc'!D17</f>
        <v>52.22</v>
      </c>
      <c r="D96">
        <f>'Binh Ngoc'!N67</f>
        <v>0</v>
      </c>
      <c r="E96">
        <f>'Binh Ngoc'!BL17</f>
        <v>0.5</v>
      </c>
      <c r="F96">
        <f t="shared" si="3"/>
        <v>51.72</v>
      </c>
    </row>
    <row r="97" spans="1:6" ht="18" customHeight="1">
      <c r="A97" t="s">
        <v>252</v>
      </c>
      <c r="B97" t="s">
        <v>393</v>
      </c>
      <c r="C97">
        <f>'Lien vị'!D17</f>
        <v>0</v>
      </c>
      <c r="D97">
        <f>'Lien vị'!N67</f>
        <v>0</v>
      </c>
      <c r="E97">
        <f>'Lien vị'!BL17</f>
        <v>0</v>
      </c>
      <c r="F97">
        <f t="shared" si="3"/>
        <v>0</v>
      </c>
    </row>
    <row r="98" spans="1:6" ht="18" customHeight="1">
      <c r="A98" t="s">
        <v>253</v>
      </c>
      <c r="B98" t="s">
        <v>394</v>
      </c>
      <c r="C98">
        <f>'Tien Phong'!D17</f>
        <v>0</v>
      </c>
      <c r="D98">
        <f>'Tien Phong'!N67</f>
        <v>0</v>
      </c>
      <c r="E98">
        <f>'Tien Phong'!BL17</f>
        <v>0</v>
      </c>
      <c r="F98">
        <f t="shared" si="3"/>
        <v>0</v>
      </c>
    </row>
    <row r="99" spans="1:6" ht="24" customHeight="1">
      <c r="B99" t="s">
        <v>370</v>
      </c>
      <c r="C99">
        <f>SUM(C80:C98)</f>
        <v>1840.0419399999998</v>
      </c>
      <c r="D99">
        <f>SUM(D80:D98)</f>
        <v>0</v>
      </c>
      <c r="E99">
        <f>SUM(E80:E98)</f>
        <v>102.65999999999998</v>
      </c>
      <c r="F99">
        <f>SUM(F80:F98)</f>
        <v>1737.38194</v>
      </c>
    </row>
    <row r="101" spans="1:6">
      <c r="A101" s="1300" t="s">
        <v>402</v>
      </c>
      <c r="B101" s="1300"/>
    </row>
    <row r="102" spans="1:6">
      <c r="A102" s="1300" t="s">
        <v>403</v>
      </c>
      <c r="B102" s="1300"/>
      <c r="C102" s="1300"/>
      <c r="D102" s="1300"/>
      <c r="E102" s="1300"/>
      <c r="F102" s="1300"/>
    </row>
    <row r="103" spans="1:6" ht="21" customHeight="1">
      <c r="A103" s="1300" t="s">
        <v>138</v>
      </c>
      <c r="B103" s="1300"/>
      <c r="C103" s="1300"/>
      <c r="D103" s="1300"/>
      <c r="E103" s="1300"/>
      <c r="F103" s="1300"/>
    </row>
    <row r="104" spans="1:6" ht="51" customHeight="1">
      <c r="A104" t="s">
        <v>368</v>
      </c>
      <c r="B104" t="s">
        <v>369</v>
      </c>
      <c r="C104" t="s">
        <v>373</v>
      </c>
      <c r="D104" t="s">
        <v>371</v>
      </c>
      <c r="E104" t="s">
        <v>372</v>
      </c>
      <c r="F104" t="s">
        <v>366</v>
      </c>
    </row>
    <row r="105" spans="1:6" ht="18" customHeight="1">
      <c r="A105" t="s">
        <v>235</v>
      </c>
      <c r="B105" t="s">
        <v>376</v>
      </c>
      <c r="C105">
        <f>'Bac Son'!D19</f>
        <v>2437.75</v>
      </c>
      <c r="D105">
        <f>'Bac Son'!P67</f>
        <v>0</v>
      </c>
      <c r="E105">
        <f>'Bac Son'!BL19</f>
        <v>0</v>
      </c>
      <c r="F105">
        <f>C105+D105-E105</f>
        <v>2437.75</v>
      </c>
    </row>
    <row r="106" spans="1:6" ht="18" customHeight="1">
      <c r="A106" t="s">
        <v>236</v>
      </c>
      <c r="B106" t="s">
        <v>377</v>
      </c>
      <c r="C106">
        <f>'Hai Son'!D19</f>
        <v>4319.0600000000004</v>
      </c>
      <c r="D106">
        <f>'Hai Son'!P67</f>
        <v>0</v>
      </c>
      <c r="E106">
        <f>'Hai Son'!BL19</f>
        <v>0</v>
      </c>
      <c r="F106">
        <f t="shared" ref="F106:F123" si="4">C106+D106-E106</f>
        <v>4319.0600000000004</v>
      </c>
    </row>
    <row r="107" spans="1:6" ht="18" customHeight="1">
      <c r="A107" t="s">
        <v>237</v>
      </c>
      <c r="B107" t="s">
        <v>378</v>
      </c>
      <c r="C107">
        <f>'Quang Nghia'!D19</f>
        <v>915.98</v>
      </c>
      <c r="D107">
        <f>'Quang Nghia'!P67</f>
        <v>0</v>
      </c>
      <c r="E107">
        <f>'Quang Nghia'!BL19</f>
        <v>19.12</v>
      </c>
      <c r="F107">
        <f t="shared" si="4"/>
        <v>896.86</v>
      </c>
    </row>
    <row r="108" spans="1:6" ht="18" customHeight="1">
      <c r="A108" t="s">
        <v>238</v>
      </c>
      <c r="B108" t="s">
        <v>379</v>
      </c>
      <c r="C108">
        <f>'Hai Dong'!D19</f>
        <v>967.14</v>
      </c>
      <c r="D108">
        <f>'Hai Dong'!P67</f>
        <v>0</v>
      </c>
      <c r="E108">
        <f>'Hai Dong'!BL19</f>
        <v>4.55</v>
      </c>
      <c r="F108">
        <f t="shared" si="4"/>
        <v>962.59</v>
      </c>
    </row>
    <row r="109" spans="1:6" ht="18" customHeight="1">
      <c r="A109" t="s">
        <v>239</v>
      </c>
      <c r="B109" t="s">
        <v>380</v>
      </c>
      <c r="C109">
        <f>'Hai Tien'!D19</f>
        <v>896.23</v>
      </c>
      <c r="D109">
        <f>'Hai Tien'!P67</f>
        <v>0</v>
      </c>
      <c r="E109">
        <f>'Hai Tien'!BL19</f>
        <v>7.68</v>
      </c>
      <c r="F109">
        <f t="shared" si="4"/>
        <v>888.55000000000007</v>
      </c>
    </row>
    <row r="110" spans="1:6" ht="18" customHeight="1">
      <c r="A110" t="s">
        <v>240</v>
      </c>
      <c r="B110" t="s">
        <v>381</v>
      </c>
      <c r="C110">
        <f>'Hai Xuan'!D19</f>
        <v>74.400000000000006</v>
      </c>
      <c r="D110">
        <f>'Hai Xuan'!P67</f>
        <v>0</v>
      </c>
      <c r="E110">
        <f>'Hai Xuan'!BL19</f>
        <v>0</v>
      </c>
      <c r="F110">
        <f t="shared" si="4"/>
        <v>74.400000000000006</v>
      </c>
    </row>
    <row r="111" spans="1:6" ht="18" customHeight="1">
      <c r="A111" t="s">
        <v>241</v>
      </c>
      <c r="B111" t="s">
        <v>382</v>
      </c>
      <c r="C111">
        <f>'Van Ninh'!D19</f>
        <v>1783.71</v>
      </c>
      <c r="D111">
        <f>'Van Ninh'!P68</f>
        <v>0</v>
      </c>
      <c r="E111">
        <f>'Van Ninh'!BL19</f>
        <v>5.6099999999999994</v>
      </c>
      <c r="F111">
        <f t="shared" si="4"/>
        <v>1778.1000000000001</v>
      </c>
    </row>
    <row r="112" spans="1:6" ht="18" customHeight="1">
      <c r="A112" t="s">
        <v>242</v>
      </c>
      <c r="B112" t="s">
        <v>383</v>
      </c>
      <c r="C112">
        <f>'Vinh Trung'!D19</f>
        <v>956.86</v>
      </c>
      <c r="D112">
        <f>'Vinh Trung'!P68</f>
        <v>0</v>
      </c>
      <c r="E112">
        <f>'Vinh Trung'!BL19</f>
        <v>0</v>
      </c>
      <c r="F112">
        <f t="shared" si="4"/>
        <v>956.86</v>
      </c>
    </row>
    <row r="113" spans="1:6" ht="18" customHeight="1">
      <c r="A113" t="s">
        <v>243</v>
      </c>
      <c r="B113" t="s">
        <v>384</v>
      </c>
      <c r="C113">
        <f>'Vinh Thuc'!D19</f>
        <v>159.12</v>
      </c>
      <c r="D113">
        <f>'Vinh Thuc'!P67</f>
        <v>0</v>
      </c>
      <c r="E113">
        <f>'Vinh Thuc'!BL19</f>
        <v>0</v>
      </c>
      <c r="F113">
        <f t="shared" si="4"/>
        <v>159.12</v>
      </c>
    </row>
    <row r="114" spans="1:6" ht="18" customHeight="1">
      <c r="A114" t="s">
        <v>244</v>
      </c>
      <c r="B114" t="s">
        <v>385</v>
      </c>
      <c r="C114">
        <f>'Hai Yen'!D19</f>
        <v>880.47</v>
      </c>
      <c r="D114">
        <f>'Hai Yen'!P68</f>
        <v>0</v>
      </c>
      <c r="E114">
        <f>'Hai Yen'!BL19</f>
        <v>10.19</v>
      </c>
      <c r="F114">
        <f t="shared" si="4"/>
        <v>870.28</v>
      </c>
    </row>
    <row r="115" spans="1:6" ht="18" customHeight="1">
      <c r="A115" t="s">
        <v>245</v>
      </c>
      <c r="B115" t="s">
        <v>386</v>
      </c>
      <c r="C115">
        <f>'Ka Long'!D19</f>
        <v>0</v>
      </c>
      <c r="D115">
        <f>'Ka Long'!P67</f>
        <v>0</v>
      </c>
      <c r="E115">
        <f>'Ka Long'!BL19</f>
        <v>0</v>
      </c>
      <c r="F115">
        <f t="shared" si="4"/>
        <v>0</v>
      </c>
    </row>
    <row r="116" spans="1:6" ht="18" customHeight="1">
      <c r="A116" t="s">
        <v>246</v>
      </c>
      <c r="B116" t="s">
        <v>387</v>
      </c>
      <c r="C116">
        <f>'Ninh Duong'!D19</f>
        <v>13.91</v>
      </c>
      <c r="D116">
        <f>'Ninh Duong'!P67</f>
        <v>0</v>
      </c>
      <c r="E116">
        <f>'Ninh Duong'!BL19</f>
        <v>0</v>
      </c>
      <c r="F116">
        <f t="shared" si="4"/>
        <v>13.91</v>
      </c>
    </row>
    <row r="117" spans="1:6" ht="18" customHeight="1">
      <c r="A117" t="s">
        <v>247</v>
      </c>
      <c r="B117" t="s">
        <v>388</v>
      </c>
      <c r="C117">
        <f>'Hoa Lac'!D19</f>
        <v>0</v>
      </c>
      <c r="D117">
        <f>'Hoa Lac'!P67</f>
        <v>0</v>
      </c>
      <c r="E117">
        <f>'Hoa Lac'!BL19</f>
        <v>0</v>
      </c>
      <c r="F117">
        <f t="shared" si="4"/>
        <v>0</v>
      </c>
    </row>
    <row r="118" spans="1:6" ht="18" customHeight="1">
      <c r="A118" t="s">
        <v>248</v>
      </c>
      <c r="B118" t="s">
        <v>389</v>
      </c>
      <c r="C118">
        <f>'Tran Phu'!D19</f>
        <v>0</v>
      </c>
      <c r="D118">
        <f>'Tran Phu'!P67</f>
        <v>0</v>
      </c>
      <c r="E118">
        <f>'Tran Phu'!BL19</f>
        <v>0</v>
      </c>
      <c r="F118">
        <f t="shared" si="4"/>
        <v>0</v>
      </c>
    </row>
    <row r="119" spans="1:6" ht="18" customHeight="1">
      <c r="A119" t="s">
        <v>249</v>
      </c>
      <c r="B119" t="s">
        <v>390</v>
      </c>
      <c r="C119">
        <f>'Hai Hoa'!D19</f>
        <v>1079.44</v>
      </c>
      <c r="D119">
        <f>'Hai Hoa'!P67</f>
        <v>0</v>
      </c>
      <c r="E119">
        <f>'Hai Hoa'!BL19</f>
        <v>23.560000000000002</v>
      </c>
      <c r="F119">
        <f t="shared" si="4"/>
        <v>1055.8800000000001</v>
      </c>
    </row>
    <row r="120" spans="1:6" ht="18" customHeight="1">
      <c r="A120" t="s">
        <v>250</v>
      </c>
      <c r="B120" t="s">
        <v>391</v>
      </c>
      <c r="C120">
        <f>'Tra Co'!D19</f>
        <v>514.20000000000005</v>
      </c>
      <c r="D120">
        <f>'Tra Co'!P67</f>
        <v>0</v>
      </c>
      <c r="E120">
        <f>'Tra Co'!BL19</f>
        <v>1.22</v>
      </c>
      <c r="F120">
        <f t="shared" si="4"/>
        <v>512.98</v>
      </c>
    </row>
    <row r="121" spans="1:6" ht="18" customHeight="1">
      <c r="A121" t="s">
        <v>251</v>
      </c>
      <c r="B121" t="s">
        <v>392</v>
      </c>
      <c r="C121">
        <f>'Binh Ngoc'!D19</f>
        <v>178.92</v>
      </c>
      <c r="D121">
        <f>'Binh Ngoc'!P67</f>
        <v>0</v>
      </c>
      <c r="E121">
        <f>'Binh Ngoc'!BL19</f>
        <v>0</v>
      </c>
      <c r="F121">
        <f t="shared" si="4"/>
        <v>178.92</v>
      </c>
    </row>
    <row r="122" spans="1:6" ht="18" customHeight="1">
      <c r="A122" t="s">
        <v>252</v>
      </c>
      <c r="B122" t="s">
        <v>393</v>
      </c>
      <c r="C122">
        <f>'Lien vị'!D19</f>
        <v>0</v>
      </c>
      <c r="D122">
        <f>'Lien vị'!P67</f>
        <v>0</v>
      </c>
      <c r="E122">
        <f>'Lien vị'!BL19</f>
        <v>0</v>
      </c>
      <c r="F122">
        <f t="shared" si="4"/>
        <v>0</v>
      </c>
    </row>
    <row r="123" spans="1:6" ht="18" customHeight="1">
      <c r="A123" t="s">
        <v>253</v>
      </c>
      <c r="B123" t="s">
        <v>394</v>
      </c>
      <c r="C123">
        <f>'Tien Phong'!D19</f>
        <v>0</v>
      </c>
      <c r="D123">
        <f>'Tien Phong'!P67</f>
        <v>0</v>
      </c>
      <c r="E123">
        <f>'Tien Phong'!BL19</f>
        <v>0</v>
      </c>
      <c r="F123">
        <f t="shared" si="4"/>
        <v>0</v>
      </c>
    </row>
    <row r="124" spans="1:6" ht="24" customHeight="1">
      <c r="B124" t="s">
        <v>370</v>
      </c>
      <c r="C124">
        <f>SUM(C105:C123)</f>
        <v>15177.190000000002</v>
      </c>
      <c r="D124">
        <f>SUM(D105:D123)</f>
        <v>0</v>
      </c>
      <c r="E124">
        <f>SUM(E105:E123)</f>
        <v>71.930000000000007</v>
      </c>
      <c r="F124">
        <f>SUM(F105:F123)</f>
        <v>15105.26</v>
      </c>
    </row>
    <row r="126" spans="1:6">
      <c r="A126" s="1300" t="s">
        <v>405</v>
      </c>
      <c r="B126" s="1300"/>
    </row>
    <row r="127" spans="1:6">
      <c r="A127" s="1300" t="s">
        <v>406</v>
      </c>
      <c r="B127" s="1300"/>
      <c r="C127" s="1300"/>
      <c r="D127" s="1300"/>
      <c r="E127" s="1300"/>
      <c r="F127" s="1300"/>
    </row>
    <row r="128" spans="1:6" ht="21" customHeight="1">
      <c r="A128" s="1300" t="s">
        <v>138</v>
      </c>
      <c r="B128" s="1300"/>
      <c r="C128" s="1300"/>
      <c r="D128" s="1300"/>
      <c r="E128" s="1300"/>
      <c r="F128" s="1300"/>
    </row>
    <row r="129" spans="1:6" ht="51" customHeight="1">
      <c r="A129" t="s">
        <v>368</v>
      </c>
      <c r="B129" t="s">
        <v>369</v>
      </c>
      <c r="C129" t="s">
        <v>373</v>
      </c>
      <c r="D129" t="s">
        <v>371</v>
      </c>
      <c r="E129" t="s">
        <v>372</v>
      </c>
      <c r="F129" t="s">
        <v>366</v>
      </c>
    </row>
    <row r="130" spans="1:6" ht="18" customHeight="1">
      <c r="A130" t="s">
        <v>235</v>
      </c>
      <c r="B130" t="s">
        <v>376</v>
      </c>
      <c r="C130">
        <f>'Bac Son'!D21</f>
        <v>1411.78</v>
      </c>
      <c r="D130">
        <f>'Bac Son'!R67</f>
        <v>0</v>
      </c>
      <c r="E130">
        <f>'Bac Son'!BL21</f>
        <v>1.6400000000000001</v>
      </c>
      <c r="F130">
        <f>C130+D130-E130</f>
        <v>1410.1399999999999</v>
      </c>
    </row>
    <row r="131" spans="1:6" ht="18" customHeight="1">
      <c r="A131" t="s">
        <v>236</v>
      </c>
      <c r="B131" t="s">
        <v>377</v>
      </c>
      <c r="C131">
        <f>'Hai Son'!D21</f>
        <v>2916.8660999999997</v>
      </c>
      <c r="D131">
        <f>'Hai Son'!R67</f>
        <v>0</v>
      </c>
      <c r="E131">
        <f>'Hai Son'!BL21</f>
        <v>6.47</v>
      </c>
      <c r="F131">
        <f t="shared" ref="F131:F148" si="5">C131+D131-E131</f>
        <v>2910.3960999999999</v>
      </c>
    </row>
    <row r="132" spans="1:6" ht="18" customHeight="1">
      <c r="A132" t="s">
        <v>237</v>
      </c>
      <c r="B132" t="s">
        <v>378</v>
      </c>
      <c r="C132">
        <f>'Quang Nghia'!D21</f>
        <v>3293.08</v>
      </c>
      <c r="D132">
        <f>'Quang Nghia'!R67</f>
        <v>0</v>
      </c>
      <c r="E132">
        <f>'Quang Nghia'!BL21</f>
        <v>269.69000000000005</v>
      </c>
      <c r="F132">
        <f t="shared" si="5"/>
        <v>3023.39</v>
      </c>
    </row>
    <row r="133" spans="1:6" ht="18" customHeight="1">
      <c r="A133" t="s">
        <v>238</v>
      </c>
      <c r="B133" t="s">
        <v>379</v>
      </c>
      <c r="C133">
        <f>'Hai Dong'!D21</f>
        <v>1484.09</v>
      </c>
      <c r="D133">
        <f>'Hai Dong'!R67</f>
        <v>0</v>
      </c>
      <c r="E133">
        <f>'Hai Dong'!BL21</f>
        <v>4.47</v>
      </c>
      <c r="F133">
        <f t="shared" si="5"/>
        <v>1479.62</v>
      </c>
    </row>
    <row r="134" spans="1:6" ht="18" customHeight="1">
      <c r="A134" t="s">
        <v>239</v>
      </c>
      <c r="B134" t="s">
        <v>380</v>
      </c>
      <c r="C134">
        <f>'Hai Tien'!D21</f>
        <v>1023.57</v>
      </c>
      <c r="D134">
        <f>'Hai Tien'!R67</f>
        <v>0</v>
      </c>
      <c r="E134">
        <f>'Hai Tien'!BL21</f>
        <v>10.74</v>
      </c>
      <c r="F134">
        <f t="shared" si="5"/>
        <v>1012.83</v>
      </c>
    </row>
    <row r="135" spans="1:6" ht="18" customHeight="1">
      <c r="A135" t="s">
        <v>240</v>
      </c>
      <c r="B135" t="s">
        <v>381</v>
      </c>
      <c r="C135">
        <f>'Hai Xuan'!D21</f>
        <v>0</v>
      </c>
      <c r="D135">
        <f>'Hai Xuan'!R67</f>
        <v>0</v>
      </c>
      <c r="E135">
        <f>'Hai Xuan'!BL21</f>
        <v>0</v>
      </c>
      <c r="F135">
        <f t="shared" si="5"/>
        <v>0</v>
      </c>
    </row>
    <row r="136" spans="1:6" ht="18" customHeight="1">
      <c r="A136" t="s">
        <v>241</v>
      </c>
      <c r="B136" t="s">
        <v>382</v>
      </c>
      <c r="C136">
        <f>'Van Ninh'!D21</f>
        <v>8.15</v>
      </c>
      <c r="D136">
        <f>'Van Ninh'!R68</f>
        <v>0</v>
      </c>
      <c r="E136">
        <f>'Van Ninh'!BL21</f>
        <v>0</v>
      </c>
      <c r="F136">
        <f t="shared" si="5"/>
        <v>8.15</v>
      </c>
    </row>
    <row r="137" spans="1:6" ht="18" customHeight="1">
      <c r="A137" t="s">
        <v>242</v>
      </c>
      <c r="B137" t="s">
        <v>383</v>
      </c>
      <c r="C137">
        <f>'Vinh Trung'!D21</f>
        <v>579.66999999999996</v>
      </c>
      <c r="D137">
        <f>'Vinh Trung'!R68</f>
        <v>0</v>
      </c>
      <c r="E137">
        <f>'Vinh Trung'!BL21</f>
        <v>4.5799999999999992</v>
      </c>
      <c r="F137">
        <f t="shared" si="5"/>
        <v>575.08999999999992</v>
      </c>
    </row>
    <row r="138" spans="1:6" ht="18" customHeight="1">
      <c r="A138" t="s">
        <v>243</v>
      </c>
      <c r="B138" t="s">
        <v>384</v>
      </c>
      <c r="C138">
        <f>'Vinh Thuc'!D21</f>
        <v>1004.16</v>
      </c>
      <c r="D138">
        <f>'Vinh Thuc'!R67</f>
        <v>0</v>
      </c>
      <c r="E138">
        <f>'Vinh Thuc'!BL21</f>
        <v>0</v>
      </c>
      <c r="F138">
        <f t="shared" si="5"/>
        <v>1004.16</v>
      </c>
    </row>
    <row r="139" spans="1:6" ht="18" customHeight="1">
      <c r="A139" t="s">
        <v>244</v>
      </c>
      <c r="B139" t="s">
        <v>385</v>
      </c>
      <c r="C139">
        <f>'Hai Yen'!D21</f>
        <v>1643.07</v>
      </c>
      <c r="D139">
        <f>'Hai Yen'!R68</f>
        <v>0</v>
      </c>
      <c r="E139">
        <f>'Hai Yen'!BL21</f>
        <v>84.350000000000009</v>
      </c>
      <c r="F139">
        <f t="shared" si="5"/>
        <v>1558.72</v>
      </c>
    </row>
    <row r="140" spans="1:6" ht="18" customHeight="1">
      <c r="A140" t="s">
        <v>245</v>
      </c>
      <c r="B140" t="s">
        <v>386</v>
      </c>
      <c r="C140">
        <f>'Ka Long'!D21</f>
        <v>0</v>
      </c>
      <c r="D140">
        <f>'Ka Long'!R67</f>
        <v>0</v>
      </c>
      <c r="E140">
        <f>'Ka Long'!BL21</f>
        <v>0</v>
      </c>
      <c r="F140">
        <f t="shared" si="5"/>
        <v>0</v>
      </c>
    </row>
    <row r="141" spans="1:6" ht="18" customHeight="1">
      <c r="A141" t="s">
        <v>246</v>
      </c>
      <c r="B141" t="s">
        <v>387</v>
      </c>
      <c r="C141">
        <f>'Ninh Duong'!D21</f>
        <v>115.84</v>
      </c>
      <c r="D141">
        <f>'Ninh Duong'!R67</f>
        <v>0</v>
      </c>
      <c r="E141">
        <f>'Ninh Duong'!BL21</f>
        <v>0.89999999999999991</v>
      </c>
      <c r="F141">
        <f t="shared" si="5"/>
        <v>114.94</v>
      </c>
    </row>
    <row r="142" spans="1:6" ht="18" customHeight="1">
      <c r="A142" t="s">
        <v>247</v>
      </c>
      <c r="B142" t="s">
        <v>388</v>
      </c>
      <c r="C142">
        <f>'Hoa Lac'!D21</f>
        <v>0</v>
      </c>
      <c r="D142">
        <f>'Hoa Lac'!R67</f>
        <v>0</v>
      </c>
      <c r="E142">
        <f>'Hoa Lac'!BL21</f>
        <v>0</v>
      </c>
      <c r="F142">
        <f t="shared" si="5"/>
        <v>0</v>
      </c>
    </row>
    <row r="143" spans="1:6" ht="18" customHeight="1">
      <c r="A143" t="s">
        <v>248</v>
      </c>
      <c r="B143" t="s">
        <v>389</v>
      </c>
      <c r="C143">
        <f>'Tran Phu'!D21</f>
        <v>0</v>
      </c>
      <c r="D143">
        <f>'Tran Phu'!R67</f>
        <v>0</v>
      </c>
      <c r="E143">
        <f>'Tran Phu'!BL21</f>
        <v>0</v>
      </c>
      <c r="F143">
        <f t="shared" si="5"/>
        <v>0</v>
      </c>
    </row>
    <row r="144" spans="1:6" ht="18" customHeight="1">
      <c r="A144" t="s">
        <v>249</v>
      </c>
      <c r="B144" t="s">
        <v>390</v>
      </c>
      <c r="C144">
        <f>'Hai Hoa'!D21</f>
        <v>0</v>
      </c>
      <c r="D144">
        <f>'Hai Hoa'!R67</f>
        <v>0</v>
      </c>
      <c r="E144">
        <f>'Hai Hoa'!BL21</f>
        <v>0</v>
      </c>
      <c r="F144">
        <f t="shared" si="5"/>
        <v>0</v>
      </c>
    </row>
    <row r="145" spans="1:6" ht="18" customHeight="1">
      <c r="A145" t="s">
        <v>250</v>
      </c>
      <c r="B145" t="s">
        <v>391</v>
      </c>
      <c r="C145">
        <f>'Tra Co'!D21</f>
        <v>22.14</v>
      </c>
      <c r="D145">
        <f>'Tra Co'!R67</f>
        <v>0</v>
      </c>
      <c r="E145">
        <f>'Tra Co'!BL21</f>
        <v>0</v>
      </c>
      <c r="F145">
        <f t="shared" si="5"/>
        <v>22.14</v>
      </c>
    </row>
    <row r="146" spans="1:6" ht="18" customHeight="1">
      <c r="A146" t="s">
        <v>251</v>
      </c>
      <c r="B146" t="s">
        <v>392</v>
      </c>
      <c r="C146">
        <f>'Binh Ngoc'!D21</f>
        <v>39.22</v>
      </c>
      <c r="D146">
        <f>'Binh Ngoc'!R67</f>
        <v>0</v>
      </c>
      <c r="E146">
        <f>'Binh Ngoc'!BL21</f>
        <v>0</v>
      </c>
      <c r="F146">
        <f t="shared" si="5"/>
        <v>39.22</v>
      </c>
    </row>
    <row r="147" spans="1:6" ht="18" customHeight="1">
      <c r="A147" t="s">
        <v>252</v>
      </c>
      <c r="B147" t="s">
        <v>393</v>
      </c>
      <c r="C147">
        <f>'Lien vị'!D21</f>
        <v>0</v>
      </c>
      <c r="D147">
        <f>'Lien vị'!R67</f>
        <v>0</v>
      </c>
      <c r="E147">
        <f>'Lien vị'!BL21</f>
        <v>0</v>
      </c>
      <c r="F147">
        <f t="shared" si="5"/>
        <v>0</v>
      </c>
    </row>
    <row r="148" spans="1:6" ht="18" customHeight="1">
      <c r="A148" t="s">
        <v>253</v>
      </c>
      <c r="B148" t="s">
        <v>394</v>
      </c>
      <c r="C148">
        <f>'Tien Phong'!D21</f>
        <v>0</v>
      </c>
      <c r="D148">
        <f>'Tien Phong'!R67</f>
        <v>0</v>
      </c>
      <c r="E148">
        <f>'Tien Phong'!BL21</f>
        <v>0</v>
      </c>
      <c r="F148">
        <f t="shared" si="5"/>
        <v>0</v>
      </c>
    </row>
    <row r="149" spans="1:6" ht="24" customHeight="1">
      <c r="B149" t="s">
        <v>370</v>
      </c>
      <c r="C149">
        <f>SUM(C130:C148)</f>
        <v>13541.636099999998</v>
      </c>
      <c r="D149">
        <f>SUM(D130:D148)</f>
        <v>0</v>
      </c>
      <c r="E149">
        <f>SUM(E130:E148)</f>
        <v>382.84000000000009</v>
      </c>
      <c r="F149">
        <f>SUM(F130:F148)</f>
        <v>13158.796099999998</v>
      </c>
    </row>
    <row r="151" spans="1:6">
      <c r="A151" s="1300" t="s">
        <v>405</v>
      </c>
      <c r="B151" s="1300"/>
    </row>
    <row r="152" spans="1:6">
      <c r="A152" s="1300" t="s">
        <v>407</v>
      </c>
      <c r="B152" s="1300"/>
      <c r="C152" s="1300"/>
      <c r="D152" s="1300"/>
      <c r="E152" s="1300"/>
      <c r="F152" s="1300"/>
    </row>
    <row r="153" spans="1:6" ht="21" customHeight="1">
      <c r="A153" s="1300" t="s">
        <v>138</v>
      </c>
      <c r="B153" s="1300"/>
      <c r="C153" s="1300"/>
      <c r="D153" s="1300"/>
      <c r="E153" s="1300"/>
      <c r="F153" s="1300"/>
    </row>
    <row r="154" spans="1:6" ht="51" customHeight="1">
      <c r="A154" t="s">
        <v>368</v>
      </c>
      <c r="B154" t="s">
        <v>369</v>
      </c>
      <c r="C154" t="s">
        <v>373</v>
      </c>
      <c r="D154" t="s">
        <v>371</v>
      </c>
      <c r="E154" t="s">
        <v>372</v>
      </c>
      <c r="F154" t="s">
        <v>366</v>
      </c>
    </row>
    <row r="155" spans="1:6" ht="18" customHeight="1">
      <c r="A155" t="s">
        <v>235</v>
      </c>
      <c r="B155" t="s">
        <v>376</v>
      </c>
      <c r="C155">
        <f>'Bac Son'!D22</f>
        <v>1.54</v>
      </c>
      <c r="D155">
        <f>'Bac Son'!S67</f>
        <v>0</v>
      </c>
      <c r="E155">
        <f>'Bac Son'!BL22</f>
        <v>0</v>
      </c>
      <c r="F155">
        <f>C155+D155-E155</f>
        <v>1.54</v>
      </c>
    </row>
    <row r="156" spans="1:6" ht="18" customHeight="1">
      <c r="A156" t="s">
        <v>236</v>
      </c>
      <c r="B156" t="s">
        <v>377</v>
      </c>
      <c r="C156">
        <f>'Hai Son'!D22</f>
        <v>0.95</v>
      </c>
      <c r="D156">
        <f>'Hai Son'!S67</f>
        <v>0</v>
      </c>
      <c r="E156">
        <f>'Hai Son'!BL22</f>
        <v>0</v>
      </c>
      <c r="F156">
        <f t="shared" ref="F156:F173" si="6">C156+D156-E156</f>
        <v>0.95</v>
      </c>
    </row>
    <row r="157" spans="1:6" ht="18" customHeight="1">
      <c r="A157" t="s">
        <v>237</v>
      </c>
      <c r="B157" t="s">
        <v>378</v>
      </c>
      <c r="C157">
        <f>'Quang Nghia'!D22</f>
        <v>178.94</v>
      </c>
      <c r="D157">
        <f>'Quang Nghia'!S67</f>
        <v>25.62</v>
      </c>
      <c r="E157">
        <f>'Quang Nghia'!BL22</f>
        <v>4.4000000000000004</v>
      </c>
      <c r="F157">
        <f t="shared" si="6"/>
        <v>200.16</v>
      </c>
    </row>
    <row r="158" spans="1:6" ht="18" customHeight="1">
      <c r="A158" t="s">
        <v>238</v>
      </c>
      <c r="B158" t="s">
        <v>379</v>
      </c>
      <c r="C158">
        <f>'Hai Dong'!D22</f>
        <v>401.09</v>
      </c>
      <c r="D158">
        <f>'Hai Dong'!S67</f>
        <v>8.01</v>
      </c>
      <c r="E158">
        <f>'Hai Dong'!BL22</f>
        <v>2.4500000000000002</v>
      </c>
      <c r="F158">
        <f t="shared" si="6"/>
        <v>406.65</v>
      </c>
    </row>
    <row r="159" spans="1:6" ht="18" customHeight="1">
      <c r="A159" t="s">
        <v>239</v>
      </c>
      <c r="B159" t="s">
        <v>380</v>
      </c>
      <c r="C159">
        <f>'Hai Tien'!D22</f>
        <v>142.43</v>
      </c>
      <c r="D159">
        <f>'Hai Tien'!S67</f>
        <v>32.47</v>
      </c>
      <c r="E159">
        <f>'Hai Tien'!BL22</f>
        <v>1.24</v>
      </c>
      <c r="F159">
        <f t="shared" si="6"/>
        <v>173.66</v>
      </c>
    </row>
    <row r="160" spans="1:6" ht="18" customHeight="1">
      <c r="A160" t="s">
        <v>240</v>
      </c>
      <c r="B160" t="s">
        <v>381</v>
      </c>
      <c r="C160">
        <f>'Hai Xuan'!D22</f>
        <v>498.88</v>
      </c>
      <c r="D160">
        <f>'Hai Xuan'!S67</f>
        <v>19.88</v>
      </c>
      <c r="E160">
        <f>'Hai Xuan'!BL22</f>
        <v>4.4000000000000004</v>
      </c>
      <c r="F160">
        <f t="shared" si="6"/>
        <v>514.36</v>
      </c>
    </row>
    <row r="161" spans="1:6" ht="18" customHeight="1">
      <c r="A161" t="s">
        <v>241</v>
      </c>
      <c r="B161" t="s">
        <v>382</v>
      </c>
      <c r="C161">
        <f>'Van Ninh'!D22</f>
        <v>579.23</v>
      </c>
      <c r="D161">
        <f>'Van Ninh'!S68</f>
        <v>66.05</v>
      </c>
      <c r="E161">
        <f>'Van Ninh'!BL22</f>
        <v>1.65</v>
      </c>
      <c r="F161">
        <f t="shared" si="6"/>
        <v>643.63</v>
      </c>
    </row>
    <row r="162" spans="1:6" ht="18" customHeight="1">
      <c r="A162" t="s">
        <v>242</v>
      </c>
      <c r="B162" t="s">
        <v>383</v>
      </c>
      <c r="C162">
        <f>'Vinh Trung'!D22</f>
        <v>84.53</v>
      </c>
      <c r="D162">
        <f>'Vinh Trung'!S68</f>
        <v>19.46</v>
      </c>
      <c r="E162">
        <f>'Vinh Trung'!BL22</f>
        <v>0</v>
      </c>
      <c r="F162">
        <f t="shared" si="6"/>
        <v>103.99000000000001</v>
      </c>
    </row>
    <row r="163" spans="1:6" ht="18" customHeight="1">
      <c r="A163" t="s">
        <v>243</v>
      </c>
      <c r="B163" t="s">
        <v>384</v>
      </c>
      <c r="C163">
        <f>'Vinh Thuc'!D22</f>
        <v>30.49</v>
      </c>
      <c r="D163">
        <f>'Vinh Thuc'!S67</f>
        <v>0</v>
      </c>
      <c r="E163">
        <f>'Vinh Thuc'!BL22</f>
        <v>0</v>
      </c>
      <c r="F163">
        <f t="shared" si="6"/>
        <v>30.49</v>
      </c>
    </row>
    <row r="164" spans="1:6" ht="18" customHeight="1">
      <c r="A164" t="s">
        <v>244</v>
      </c>
      <c r="B164" t="s">
        <v>385</v>
      </c>
      <c r="C164">
        <f>'Hai Yen'!D22</f>
        <v>286.83</v>
      </c>
      <c r="D164">
        <f>'Hai Yen'!S68</f>
        <v>1.1900000000000002</v>
      </c>
      <c r="E164">
        <f>'Hai Yen'!BL22</f>
        <v>10.149999999999997</v>
      </c>
      <c r="F164">
        <f t="shared" si="6"/>
        <v>277.87</v>
      </c>
    </row>
    <row r="165" spans="1:6" ht="18" customHeight="1">
      <c r="A165" t="s">
        <v>245</v>
      </c>
      <c r="B165" t="s">
        <v>386</v>
      </c>
      <c r="C165">
        <f>'Ka Long'!D22</f>
        <v>0.32</v>
      </c>
      <c r="D165">
        <f>'Ka Long'!S67</f>
        <v>0</v>
      </c>
      <c r="E165">
        <f>'Ka Long'!BL22</f>
        <v>0</v>
      </c>
      <c r="F165">
        <f>C165+D165-E165</f>
        <v>0.32</v>
      </c>
    </row>
    <row r="166" spans="1:6" ht="18" customHeight="1">
      <c r="A166" t="s">
        <v>246</v>
      </c>
      <c r="B166" t="s">
        <v>387</v>
      </c>
      <c r="C166">
        <f>'Ninh Duong'!D22</f>
        <v>177.53</v>
      </c>
      <c r="D166">
        <f>'Ninh Duong'!S67</f>
        <v>4.05</v>
      </c>
      <c r="E166">
        <f>'Ninh Duong'!BL22</f>
        <v>0.8</v>
      </c>
      <c r="F166">
        <f t="shared" si="6"/>
        <v>180.78</v>
      </c>
    </row>
    <row r="167" spans="1:6" ht="18" customHeight="1">
      <c r="A167" t="s">
        <v>247</v>
      </c>
      <c r="B167" t="s">
        <v>388</v>
      </c>
      <c r="C167">
        <f>'Hoa Lac'!D22</f>
        <v>0</v>
      </c>
      <c r="D167">
        <f>'Hoa Lac'!S67</f>
        <v>0</v>
      </c>
      <c r="E167">
        <f>'Hoa Lac'!BL22</f>
        <v>0</v>
      </c>
      <c r="F167">
        <f t="shared" si="6"/>
        <v>0</v>
      </c>
    </row>
    <row r="168" spans="1:6" ht="18" customHeight="1">
      <c r="A168" t="s">
        <v>248</v>
      </c>
      <c r="B168" t="s">
        <v>389</v>
      </c>
      <c r="C168">
        <f>'Tran Phu'!D22</f>
        <v>0</v>
      </c>
      <c r="D168">
        <f>'Tran Phu'!S67</f>
        <v>0</v>
      </c>
      <c r="E168">
        <f>'Tran Phu'!BL22</f>
        <v>0</v>
      </c>
      <c r="F168">
        <f t="shared" si="6"/>
        <v>0</v>
      </c>
    </row>
    <row r="169" spans="1:6" ht="18" customHeight="1">
      <c r="A169" t="s">
        <v>249</v>
      </c>
      <c r="B169" t="s">
        <v>390</v>
      </c>
      <c r="C169">
        <f>'Hai Hoa'!D22</f>
        <v>837.17</v>
      </c>
      <c r="D169">
        <f>'Hai Hoa'!S67</f>
        <v>1.27</v>
      </c>
      <c r="E169">
        <f>'Hai Hoa'!BL22</f>
        <v>189.99</v>
      </c>
      <c r="F169">
        <f t="shared" si="6"/>
        <v>648.44999999999993</v>
      </c>
    </row>
    <row r="170" spans="1:6" ht="18" customHeight="1">
      <c r="A170" t="s">
        <v>250</v>
      </c>
      <c r="B170" t="s">
        <v>391</v>
      </c>
      <c r="C170">
        <f>'Tra Co'!D22</f>
        <v>111.45</v>
      </c>
      <c r="D170">
        <f>'Tra Co'!S67</f>
        <v>25.23</v>
      </c>
      <c r="E170">
        <f>'Tra Co'!BL22</f>
        <v>0</v>
      </c>
      <c r="F170">
        <f t="shared" si="6"/>
        <v>136.68</v>
      </c>
    </row>
    <row r="171" spans="1:6" ht="18" customHeight="1">
      <c r="A171" t="s">
        <v>251</v>
      </c>
      <c r="B171" t="s">
        <v>392</v>
      </c>
      <c r="C171">
        <f>'Binh Ngoc'!D22</f>
        <v>255.57</v>
      </c>
      <c r="D171">
        <f>'Binh Ngoc'!S67</f>
        <v>0</v>
      </c>
      <c r="E171">
        <f>'Binh Ngoc'!BL22</f>
        <v>0</v>
      </c>
      <c r="F171">
        <f t="shared" si="6"/>
        <v>255.57</v>
      </c>
    </row>
    <row r="172" spans="1:6" ht="18" customHeight="1">
      <c r="A172" t="s">
        <v>252</v>
      </c>
      <c r="B172" t="s">
        <v>393</v>
      </c>
      <c r="C172">
        <f>'Lien vị'!D22</f>
        <v>0</v>
      </c>
      <c r="D172">
        <f>'Lien vị'!S67</f>
        <v>0</v>
      </c>
      <c r="E172">
        <f>'Lien vị'!BL22</f>
        <v>0</v>
      </c>
      <c r="F172">
        <f t="shared" si="6"/>
        <v>0</v>
      </c>
    </row>
    <row r="173" spans="1:6" ht="18" customHeight="1">
      <c r="A173" t="s">
        <v>253</v>
      </c>
      <c r="B173" t="s">
        <v>394</v>
      </c>
      <c r="C173">
        <f>'Tien Phong'!D22</f>
        <v>0</v>
      </c>
      <c r="D173">
        <f>'Tien Phong'!S67</f>
        <v>0</v>
      </c>
      <c r="E173">
        <f>'Tien Phong'!BL22</f>
        <v>0</v>
      </c>
      <c r="F173">
        <f t="shared" si="6"/>
        <v>0</v>
      </c>
    </row>
    <row r="174" spans="1:6" ht="24" customHeight="1">
      <c r="B174" t="s">
        <v>370</v>
      </c>
      <c r="C174">
        <f>SUM(C155:C173)</f>
        <v>3586.9500000000003</v>
      </c>
      <c r="D174">
        <f>SUM(D155:D173)</f>
        <v>203.23</v>
      </c>
      <c r="E174">
        <f>SUM(E155:E173)</f>
        <v>215.08</v>
      </c>
      <c r="F174">
        <f>SUM(F155:F173)</f>
        <v>3575.1</v>
      </c>
    </row>
    <row r="176" spans="1:6">
      <c r="A176" s="1300" t="s">
        <v>409</v>
      </c>
      <c r="B176" s="1300"/>
    </row>
    <row r="177" spans="1:6">
      <c r="A177" s="1300" t="s">
        <v>408</v>
      </c>
      <c r="B177" s="1300"/>
      <c r="C177" s="1300"/>
      <c r="D177" s="1300"/>
      <c r="E177" s="1300"/>
      <c r="F177" s="1300"/>
    </row>
    <row r="178" spans="1:6" ht="21" customHeight="1">
      <c r="A178" s="1300" t="s">
        <v>138</v>
      </c>
      <c r="B178" s="1300"/>
      <c r="C178" s="1300"/>
      <c r="D178" s="1300"/>
      <c r="E178" s="1300"/>
      <c r="F178" s="1300"/>
    </row>
    <row r="179" spans="1:6" ht="51" customHeight="1">
      <c r="A179" t="s">
        <v>368</v>
      </c>
      <c r="B179" t="s">
        <v>369</v>
      </c>
      <c r="C179" t="s">
        <v>373</v>
      </c>
      <c r="D179" t="s">
        <v>371</v>
      </c>
      <c r="E179" t="s">
        <v>372</v>
      </c>
      <c r="F179" t="s">
        <v>366</v>
      </c>
    </row>
    <row r="180" spans="1:6" ht="18" customHeight="1">
      <c r="A180" t="s">
        <v>235</v>
      </c>
      <c r="B180" t="s">
        <v>376</v>
      </c>
      <c r="C180">
        <f>'Bac Son'!D24</f>
        <v>0.88</v>
      </c>
      <c r="D180">
        <f>'Bac Son'!U67</f>
        <v>0</v>
      </c>
      <c r="E180">
        <f>'Bac Son'!BL24</f>
        <v>0</v>
      </c>
      <c r="F180">
        <f>C180+D180-E180</f>
        <v>0.88</v>
      </c>
    </row>
    <row r="181" spans="1:6" ht="18" customHeight="1">
      <c r="A181" t="s">
        <v>236</v>
      </c>
      <c r="B181" t="s">
        <v>377</v>
      </c>
      <c r="C181">
        <f>'Hai Son'!D24</f>
        <v>0</v>
      </c>
      <c r="D181">
        <f>'Hai Son'!U67</f>
        <v>0</v>
      </c>
      <c r="E181">
        <f>'Hai Son'!BL24</f>
        <v>0</v>
      </c>
      <c r="F181">
        <f t="shared" ref="F181:F189" si="7">C181+D181-E181</f>
        <v>0</v>
      </c>
    </row>
    <row r="182" spans="1:6" ht="18" customHeight="1">
      <c r="A182" t="s">
        <v>237</v>
      </c>
      <c r="B182" t="s">
        <v>378</v>
      </c>
      <c r="C182">
        <f>'Quang Nghia'!D24</f>
        <v>0</v>
      </c>
      <c r="D182">
        <f>'Quang Nghia'!U67</f>
        <v>0</v>
      </c>
      <c r="E182">
        <f>'Quang Nghia'!BL24</f>
        <v>0</v>
      </c>
      <c r="F182">
        <f t="shared" si="7"/>
        <v>0</v>
      </c>
    </row>
    <row r="183" spans="1:6" ht="18" customHeight="1">
      <c r="A183" t="s">
        <v>238</v>
      </c>
      <c r="B183" t="s">
        <v>379</v>
      </c>
      <c r="C183">
        <f>'Hai Dong'!D24</f>
        <v>0</v>
      </c>
      <c r="D183">
        <f>'Hai Dong'!U67</f>
        <v>0</v>
      </c>
      <c r="E183">
        <f>'Hai Dong'!BL24</f>
        <v>0</v>
      </c>
      <c r="F183">
        <f t="shared" si="7"/>
        <v>0</v>
      </c>
    </row>
    <row r="184" spans="1:6" ht="18" customHeight="1">
      <c r="A184" t="s">
        <v>239</v>
      </c>
      <c r="B184" t="s">
        <v>380</v>
      </c>
      <c r="C184">
        <f>'Hai Tien'!D24</f>
        <v>0</v>
      </c>
      <c r="D184">
        <f>'Hai Tien'!U67</f>
        <v>0</v>
      </c>
      <c r="E184">
        <f>'Hai Tien'!BL24</f>
        <v>0</v>
      </c>
      <c r="F184">
        <f t="shared" si="7"/>
        <v>0</v>
      </c>
    </row>
    <row r="185" spans="1:6" ht="18" customHeight="1">
      <c r="A185" t="s">
        <v>240</v>
      </c>
      <c r="B185" t="s">
        <v>381</v>
      </c>
      <c r="C185">
        <f>'Hai Xuan'!D24</f>
        <v>0</v>
      </c>
      <c r="D185">
        <f>'Hai Xuan'!U67</f>
        <v>0</v>
      </c>
      <c r="E185">
        <f>'Hai Xuan'!BL24</f>
        <v>0</v>
      </c>
      <c r="F185">
        <f t="shared" si="7"/>
        <v>0</v>
      </c>
    </row>
    <row r="186" spans="1:6" ht="18" customHeight="1">
      <c r="A186" t="s">
        <v>241</v>
      </c>
      <c r="B186" t="s">
        <v>382</v>
      </c>
      <c r="C186">
        <f>'Van Ninh'!D24</f>
        <v>0.38</v>
      </c>
      <c r="D186">
        <f>'Van Ninh'!U68</f>
        <v>0</v>
      </c>
      <c r="E186">
        <f>'Van Ninh'!BL24</f>
        <v>0</v>
      </c>
      <c r="F186">
        <f t="shared" si="7"/>
        <v>0.38</v>
      </c>
    </row>
    <row r="187" spans="1:6" ht="18" customHeight="1">
      <c r="A187" t="s">
        <v>242</v>
      </c>
      <c r="B187" t="s">
        <v>383</v>
      </c>
      <c r="C187">
        <f>'Vinh Trung'!D24</f>
        <v>1.1100000000000001</v>
      </c>
      <c r="D187">
        <f>'Vinh Trung'!U68</f>
        <v>0</v>
      </c>
      <c r="E187">
        <f>'Vinh Trung'!BL24</f>
        <v>0</v>
      </c>
      <c r="F187">
        <f t="shared" si="7"/>
        <v>1.1100000000000001</v>
      </c>
    </row>
    <row r="188" spans="1:6" ht="18" customHeight="1">
      <c r="A188" t="s">
        <v>243</v>
      </c>
      <c r="B188" t="s">
        <v>384</v>
      </c>
      <c r="C188">
        <f>'Vinh Thuc'!D24</f>
        <v>0</v>
      </c>
      <c r="D188">
        <f>'Vinh Thuc'!U67</f>
        <v>0</v>
      </c>
      <c r="E188">
        <f>'Vinh Thuc'!BL24</f>
        <v>0</v>
      </c>
      <c r="F188">
        <f t="shared" si="7"/>
        <v>0</v>
      </c>
    </row>
    <row r="189" spans="1:6" ht="18" customHeight="1">
      <c r="A189" t="s">
        <v>244</v>
      </c>
      <c r="B189" t="s">
        <v>385</v>
      </c>
      <c r="C189">
        <f>'Hai Yen'!D24</f>
        <v>37.64</v>
      </c>
      <c r="D189">
        <f>'Hai Yen'!U68</f>
        <v>0</v>
      </c>
      <c r="E189">
        <f>'Hai Yen'!BL24</f>
        <v>0</v>
      </c>
      <c r="F189">
        <f t="shared" si="7"/>
        <v>37.64</v>
      </c>
    </row>
    <row r="190" spans="1:6" ht="18" customHeight="1">
      <c r="A190" t="s">
        <v>245</v>
      </c>
      <c r="B190" t="s">
        <v>386</v>
      </c>
      <c r="C190">
        <f>'Ka Long'!D24</f>
        <v>0</v>
      </c>
      <c r="D190">
        <f>'Ka Long'!U67</f>
        <v>0</v>
      </c>
      <c r="E190">
        <f>'Ka Long'!BL24</f>
        <v>0</v>
      </c>
      <c r="F190">
        <f>C190+D190-E190</f>
        <v>0</v>
      </c>
    </row>
    <row r="191" spans="1:6" ht="18" customHeight="1">
      <c r="A191" t="s">
        <v>246</v>
      </c>
      <c r="B191" t="s">
        <v>387</v>
      </c>
      <c r="C191">
        <f>'Ninh Duong'!D24</f>
        <v>7.0000000000000007E-2</v>
      </c>
      <c r="D191">
        <f>'Ninh Duong'!U67</f>
        <v>0</v>
      </c>
      <c r="E191">
        <f>'Ninh Duong'!BL24</f>
        <v>0</v>
      </c>
      <c r="F191">
        <f t="shared" ref="F191:F198" si="8">C191+D191-E191</f>
        <v>7.0000000000000007E-2</v>
      </c>
    </row>
    <row r="192" spans="1:6" ht="18" customHeight="1">
      <c r="A192" t="s">
        <v>247</v>
      </c>
      <c r="B192" t="s">
        <v>388</v>
      </c>
      <c r="C192">
        <f>'Hoa Lac'!D24</f>
        <v>0</v>
      </c>
      <c r="D192">
        <f>'Hoa Lac'!U67</f>
        <v>0</v>
      </c>
      <c r="E192">
        <f>'Hoa Lac'!BL24</f>
        <v>0</v>
      </c>
      <c r="F192">
        <f t="shared" si="8"/>
        <v>0</v>
      </c>
    </row>
    <row r="193" spans="1:6" ht="18" customHeight="1">
      <c r="A193" t="s">
        <v>248</v>
      </c>
      <c r="B193" t="s">
        <v>389</v>
      </c>
      <c r="C193">
        <f>'Tran Phu'!D24</f>
        <v>0</v>
      </c>
      <c r="D193">
        <f>'Tran Phu'!U67</f>
        <v>0</v>
      </c>
      <c r="E193">
        <f>'Tran Phu'!BL24</f>
        <v>0</v>
      </c>
      <c r="F193">
        <f t="shared" si="8"/>
        <v>0</v>
      </c>
    </row>
    <row r="194" spans="1:6" ht="18" customHeight="1">
      <c r="A194" t="s">
        <v>249</v>
      </c>
      <c r="B194" t="s">
        <v>390</v>
      </c>
      <c r="C194">
        <f>'Hai Hoa'!D24</f>
        <v>0</v>
      </c>
      <c r="D194">
        <f>'Hai Hoa'!U67</f>
        <v>0</v>
      </c>
      <c r="E194">
        <f>'Hai Hoa'!BL24</f>
        <v>0</v>
      </c>
      <c r="F194">
        <f t="shared" si="8"/>
        <v>0</v>
      </c>
    </row>
    <row r="195" spans="1:6" ht="18" customHeight="1">
      <c r="A195" t="s">
        <v>250</v>
      </c>
      <c r="B195" t="s">
        <v>391</v>
      </c>
      <c r="C195">
        <f>'Tra Co'!D24</f>
        <v>0</v>
      </c>
      <c r="D195">
        <f>'Tra Co'!U67</f>
        <v>0</v>
      </c>
      <c r="E195">
        <f>'Tra Co'!BL24</f>
        <v>0</v>
      </c>
      <c r="F195">
        <f t="shared" si="8"/>
        <v>0</v>
      </c>
    </row>
    <row r="196" spans="1:6" ht="18" customHeight="1">
      <c r="A196" t="s">
        <v>251</v>
      </c>
      <c r="B196" t="s">
        <v>392</v>
      </c>
      <c r="C196">
        <f>'Binh Ngoc'!D24</f>
        <v>0</v>
      </c>
      <c r="D196">
        <f>'Binh Ngoc'!U67</f>
        <v>0</v>
      </c>
      <c r="E196">
        <f>'Binh Ngoc'!BL24</f>
        <v>0</v>
      </c>
      <c r="F196">
        <f t="shared" si="8"/>
        <v>0</v>
      </c>
    </row>
    <row r="197" spans="1:6" ht="18" customHeight="1">
      <c r="A197" t="s">
        <v>252</v>
      </c>
      <c r="B197" t="s">
        <v>393</v>
      </c>
      <c r="C197">
        <f>'Lien vị'!D24</f>
        <v>0</v>
      </c>
      <c r="D197">
        <f>'Lien vị'!U67</f>
        <v>0</v>
      </c>
      <c r="E197">
        <f>'Lien vị'!BL24</f>
        <v>0</v>
      </c>
      <c r="F197">
        <f t="shared" si="8"/>
        <v>0</v>
      </c>
    </row>
    <row r="198" spans="1:6" ht="18" customHeight="1">
      <c r="A198" t="s">
        <v>253</v>
      </c>
      <c r="B198" t="s">
        <v>394</v>
      </c>
      <c r="C198">
        <f>'Tien Phong'!D24</f>
        <v>0</v>
      </c>
      <c r="D198">
        <f>'Tien Phong'!U67</f>
        <v>0</v>
      </c>
      <c r="E198">
        <f>'Tien Phong'!BL24</f>
        <v>0</v>
      </c>
      <c r="F198">
        <f t="shared" si="8"/>
        <v>0</v>
      </c>
    </row>
    <row r="199" spans="1:6" ht="24" customHeight="1">
      <c r="B199" t="s">
        <v>370</v>
      </c>
      <c r="C199">
        <f>SUM(C180:C198)</f>
        <v>40.08</v>
      </c>
      <c r="D199">
        <f>SUM(D180:D198)</f>
        <v>0</v>
      </c>
      <c r="E199">
        <f>SUM(E180:E198)</f>
        <v>0</v>
      </c>
      <c r="F199">
        <f>SUM(F180:F198)</f>
        <v>40.08</v>
      </c>
    </row>
  </sheetData>
  <mergeCells count="24">
    <mergeCell ref="A176:B176"/>
    <mergeCell ref="A177:F177"/>
    <mergeCell ref="A178:F178"/>
    <mergeCell ref="A53:F53"/>
    <mergeCell ref="A102:F102"/>
    <mergeCell ref="A103:F103"/>
    <mergeCell ref="A76:B76"/>
    <mergeCell ref="A77:F77"/>
    <mergeCell ref="A78:F78"/>
    <mergeCell ref="A101:B101"/>
    <mergeCell ref="A152:F152"/>
    <mergeCell ref="A153:F153"/>
    <mergeCell ref="A126:B126"/>
    <mergeCell ref="A127:F127"/>
    <mergeCell ref="A128:F128"/>
    <mergeCell ref="A151:B151"/>
    <mergeCell ref="A27:F27"/>
    <mergeCell ref="A28:F28"/>
    <mergeCell ref="A51:B51"/>
    <mergeCell ref="A52:F52"/>
    <mergeCell ref="A1:B1"/>
    <mergeCell ref="A2:F2"/>
    <mergeCell ref="A3:F3"/>
    <mergeCell ref="A26:B26"/>
  </mergeCells>
  <phoneticPr fontId="4" type="noConversion"/>
  <pageMargins left="0.75" right="0.75" top="1" bottom="1" header="0.5" footer="0.5"/>
  <pageSetup paperSize="9" orientation="portrait"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A1:F499"/>
  <sheetViews>
    <sheetView showZeros="0" topLeftCell="A127" workbookViewId="0">
      <selection activeCell="F499" sqref="F499"/>
    </sheetView>
  </sheetViews>
  <sheetFormatPr defaultRowHeight="12.75"/>
  <cols>
    <col min="1" max="1" width="6.85546875" customWidth="1"/>
    <col min="2" max="2" width="28.28515625" customWidth="1"/>
    <col min="3" max="3" width="12.85546875" customWidth="1"/>
    <col min="4" max="5" width="12.28515625" customWidth="1"/>
    <col min="6" max="6" width="13.28515625" customWidth="1"/>
  </cols>
  <sheetData>
    <row r="1" spans="1:6">
      <c r="A1" s="1300" t="s">
        <v>410</v>
      </c>
      <c r="B1" s="1300"/>
    </row>
    <row r="2" spans="1:6">
      <c r="A2" s="1300" t="s">
        <v>395</v>
      </c>
      <c r="B2" s="1300"/>
      <c r="C2" s="1300"/>
      <c r="D2" s="1300"/>
      <c r="E2" s="1300"/>
      <c r="F2" s="1300"/>
    </row>
    <row r="3" spans="1:6" ht="21" customHeight="1">
      <c r="A3" s="1300" t="s">
        <v>138</v>
      </c>
      <c r="B3" s="1300"/>
      <c r="C3" s="1300"/>
      <c r="D3" s="1300"/>
      <c r="E3" s="1300"/>
      <c r="F3" s="1300"/>
    </row>
    <row r="4" spans="1:6" ht="51" customHeight="1">
      <c r="A4" t="s">
        <v>368</v>
      </c>
      <c r="B4" t="s">
        <v>369</v>
      </c>
      <c r="C4" t="s">
        <v>373</v>
      </c>
      <c r="D4" t="s">
        <v>371</v>
      </c>
      <c r="E4" t="s">
        <v>372</v>
      </c>
      <c r="F4" t="s">
        <v>366</v>
      </c>
    </row>
    <row r="5" spans="1:6" ht="18" customHeight="1">
      <c r="A5" t="s">
        <v>235</v>
      </c>
      <c r="B5" t="s">
        <v>376</v>
      </c>
      <c r="C5">
        <f>'Bac Son'!D26</f>
        <v>44.83</v>
      </c>
      <c r="D5">
        <f>'Bac Son'!W67</f>
        <v>0</v>
      </c>
      <c r="E5">
        <f>'Bac Son'!BL26</f>
        <v>0</v>
      </c>
      <c r="F5">
        <f>C5+D5-E5</f>
        <v>44.83</v>
      </c>
    </row>
    <row r="6" spans="1:6" ht="18" customHeight="1">
      <c r="A6" t="s">
        <v>236</v>
      </c>
      <c r="B6" t="s">
        <v>377</v>
      </c>
      <c r="C6">
        <f>'Hai Son'!D26</f>
        <v>63.778669999999998</v>
      </c>
      <c r="D6">
        <f>'Hai Son'!W67</f>
        <v>0</v>
      </c>
      <c r="E6">
        <f>'Hai Son'!BL26</f>
        <v>0</v>
      </c>
      <c r="F6">
        <f t="shared" ref="F6:F23" si="0">C6+D6-E6</f>
        <v>63.778669999999998</v>
      </c>
    </row>
    <row r="7" spans="1:6" ht="18" customHeight="1">
      <c r="A7" t="s">
        <v>237</v>
      </c>
      <c r="B7" t="s">
        <v>378</v>
      </c>
      <c r="C7">
        <f>'Quang Nghia'!D26</f>
        <v>0.68</v>
      </c>
      <c r="D7">
        <f>'Quang Nghia'!W67</f>
        <v>0</v>
      </c>
      <c r="E7">
        <f>'Quang Nghia'!BL26</f>
        <v>0</v>
      </c>
      <c r="F7">
        <f t="shared" si="0"/>
        <v>0.68</v>
      </c>
    </row>
    <row r="8" spans="1:6" ht="18" customHeight="1">
      <c r="A8" t="s">
        <v>238</v>
      </c>
      <c r="B8" t="s">
        <v>379</v>
      </c>
      <c r="C8">
        <f>'Hai Dong'!D26</f>
        <v>7.06</v>
      </c>
      <c r="D8">
        <f>'Hai Dong'!W67</f>
        <v>4.29</v>
      </c>
      <c r="E8">
        <f>'Hai Dong'!BL26</f>
        <v>0</v>
      </c>
      <c r="F8">
        <f t="shared" si="0"/>
        <v>11.35</v>
      </c>
    </row>
    <row r="9" spans="1:6" ht="18" customHeight="1">
      <c r="A9" t="s">
        <v>239</v>
      </c>
      <c r="B9" t="s">
        <v>380</v>
      </c>
      <c r="C9">
        <f>'Hai Tien'!D26</f>
        <v>3.71</v>
      </c>
      <c r="D9">
        <f>'Hai Tien'!W67</f>
        <v>0</v>
      </c>
      <c r="E9">
        <f>'Hai Tien'!BL26</f>
        <v>0</v>
      </c>
      <c r="F9">
        <f t="shared" si="0"/>
        <v>3.71</v>
      </c>
    </row>
    <row r="10" spans="1:6" ht="18" customHeight="1">
      <c r="A10" t="s">
        <v>240</v>
      </c>
      <c r="B10" t="s">
        <v>381</v>
      </c>
      <c r="C10">
        <f>'Hai Xuan'!D26</f>
        <v>0</v>
      </c>
      <c r="D10">
        <f>'Hai Xuan'!W67</f>
        <v>0</v>
      </c>
      <c r="E10">
        <f>'Hai Xuan'!BL26</f>
        <v>0</v>
      </c>
      <c r="F10">
        <f t="shared" si="0"/>
        <v>0</v>
      </c>
    </row>
    <row r="11" spans="1:6" ht="18" customHeight="1">
      <c r="A11" t="s">
        <v>241</v>
      </c>
      <c r="B11" t="s">
        <v>382</v>
      </c>
      <c r="C11">
        <f>'Van Ninh'!D26</f>
        <v>0</v>
      </c>
      <c r="D11">
        <f>'Van Ninh'!W68</f>
        <v>0</v>
      </c>
      <c r="E11">
        <f>'Van Ninh'!BL26</f>
        <v>0</v>
      </c>
      <c r="F11">
        <f t="shared" si="0"/>
        <v>0</v>
      </c>
    </row>
    <row r="12" spans="1:6" ht="18" customHeight="1">
      <c r="A12" t="s">
        <v>242</v>
      </c>
      <c r="B12" t="s">
        <v>383</v>
      </c>
      <c r="C12">
        <f>'Vinh Trung'!D26</f>
        <v>5.38</v>
      </c>
      <c r="D12">
        <f>'Vinh Trung'!W68</f>
        <v>0</v>
      </c>
      <c r="E12">
        <f>'Vinh Trung'!BL26</f>
        <v>0</v>
      </c>
      <c r="F12">
        <f t="shared" si="0"/>
        <v>5.38</v>
      </c>
    </row>
    <row r="13" spans="1:6" ht="18" customHeight="1">
      <c r="A13" t="s">
        <v>243</v>
      </c>
      <c r="B13" t="s">
        <v>384</v>
      </c>
      <c r="C13">
        <f>'Vinh Thuc'!D26</f>
        <v>53.27</v>
      </c>
      <c r="D13">
        <f>'Vinh Thuc'!W67</f>
        <v>0</v>
      </c>
      <c r="E13">
        <f>'Vinh Thuc'!BL26</f>
        <v>0</v>
      </c>
      <c r="F13">
        <f t="shared" si="0"/>
        <v>53.27</v>
      </c>
    </row>
    <row r="14" spans="1:6" ht="18" customHeight="1">
      <c r="A14" t="s">
        <v>244</v>
      </c>
      <c r="B14" t="s">
        <v>385</v>
      </c>
      <c r="C14">
        <f>'Hai Yen'!D26</f>
        <v>18.47</v>
      </c>
      <c r="D14">
        <f>'Hai Yen'!W68</f>
        <v>0.02</v>
      </c>
      <c r="E14">
        <f>'Hai Yen'!BL26</f>
        <v>0</v>
      </c>
      <c r="F14">
        <f t="shared" si="0"/>
        <v>18.489999999999998</v>
      </c>
    </row>
    <row r="15" spans="1:6" ht="18" customHeight="1">
      <c r="A15" t="s">
        <v>245</v>
      </c>
      <c r="B15" t="s">
        <v>386</v>
      </c>
      <c r="C15">
        <f>'Ka Long'!D26</f>
        <v>1.85</v>
      </c>
      <c r="D15">
        <f>'Ka Long'!W67</f>
        <v>0</v>
      </c>
      <c r="E15">
        <f>'Ka Long'!BL26</f>
        <v>0</v>
      </c>
      <c r="F15">
        <f t="shared" si="0"/>
        <v>1.85</v>
      </c>
    </row>
    <row r="16" spans="1:6" ht="18" customHeight="1">
      <c r="A16" t="s">
        <v>246</v>
      </c>
      <c r="B16" t="s">
        <v>387</v>
      </c>
      <c r="C16">
        <f>'Ninh Duong'!D26</f>
        <v>14.43</v>
      </c>
      <c r="D16">
        <f>'Ninh Duong'!W67</f>
        <v>0</v>
      </c>
      <c r="E16">
        <f>'Ninh Duong'!BL26</f>
        <v>0</v>
      </c>
      <c r="F16">
        <f t="shared" si="0"/>
        <v>14.43</v>
      </c>
    </row>
    <row r="17" spans="1:6" ht="18" customHeight="1">
      <c r="A17" t="s">
        <v>247</v>
      </c>
      <c r="B17" t="s">
        <v>388</v>
      </c>
      <c r="C17">
        <f>'Hoa Lac'!D26</f>
        <v>5.47</v>
      </c>
      <c r="D17">
        <f>'Hoa Lac'!W67</f>
        <v>0</v>
      </c>
      <c r="E17">
        <f>'Hoa Lac'!BL26</f>
        <v>0</v>
      </c>
      <c r="F17">
        <f t="shared" si="0"/>
        <v>5.47</v>
      </c>
    </row>
    <row r="18" spans="1:6" ht="18" customHeight="1">
      <c r="A18" t="s">
        <v>248</v>
      </c>
      <c r="B18" t="s">
        <v>389</v>
      </c>
      <c r="C18">
        <f>'Tran Phu'!D26</f>
        <v>19.940000000000001</v>
      </c>
      <c r="D18">
        <f>'Tran Phu'!W67</f>
        <v>0</v>
      </c>
      <c r="E18">
        <f>'Tran Phu'!BL26</f>
        <v>0</v>
      </c>
      <c r="F18">
        <f t="shared" si="0"/>
        <v>19.940000000000001</v>
      </c>
    </row>
    <row r="19" spans="1:6" ht="18" customHeight="1">
      <c r="A19" t="s">
        <v>249</v>
      </c>
      <c r="B19" t="s">
        <v>390</v>
      </c>
      <c r="C19">
        <f>'Hai Hoa'!D26</f>
        <v>38.9</v>
      </c>
      <c r="D19">
        <f>'Hai Hoa'!W67</f>
        <v>0.63</v>
      </c>
      <c r="E19">
        <f>'Hai Hoa'!BL26</f>
        <v>5.86</v>
      </c>
      <c r="F19">
        <f t="shared" si="0"/>
        <v>33.67</v>
      </c>
    </row>
    <row r="20" spans="1:6" ht="18" customHeight="1">
      <c r="A20" t="s">
        <v>250</v>
      </c>
      <c r="B20" t="s">
        <v>391</v>
      </c>
      <c r="C20">
        <f>'Tra Co'!D26</f>
        <v>7.87</v>
      </c>
      <c r="D20">
        <f>'Tra Co'!W67</f>
        <v>2.1999999999999997</v>
      </c>
      <c r="E20">
        <f>'Tra Co'!BL26</f>
        <v>0</v>
      </c>
      <c r="F20">
        <f t="shared" si="0"/>
        <v>10.07</v>
      </c>
    </row>
    <row r="21" spans="1:6" ht="18" customHeight="1">
      <c r="A21" t="s">
        <v>251</v>
      </c>
      <c r="B21" t="s">
        <v>392</v>
      </c>
      <c r="C21">
        <f>'Binh Ngoc'!D26</f>
        <v>0.28999999999999998</v>
      </c>
      <c r="D21">
        <f>'Binh Ngoc'!W67</f>
        <v>0</v>
      </c>
      <c r="E21">
        <f>'Binh Ngoc'!BL26</f>
        <v>0</v>
      </c>
      <c r="F21">
        <f t="shared" si="0"/>
        <v>0.28999999999999998</v>
      </c>
    </row>
    <row r="22" spans="1:6" ht="18" customHeight="1">
      <c r="A22" t="s">
        <v>252</v>
      </c>
      <c r="B22" t="s">
        <v>393</v>
      </c>
      <c r="C22">
        <f>'Lien vị'!D26</f>
        <v>0</v>
      </c>
      <c r="D22">
        <f>'Lien vị'!W67</f>
        <v>0</v>
      </c>
      <c r="E22">
        <f>'Lien vị'!BL26</f>
        <v>0</v>
      </c>
      <c r="F22">
        <f t="shared" si="0"/>
        <v>0</v>
      </c>
    </row>
    <row r="23" spans="1:6" ht="18" customHeight="1">
      <c r="A23" t="s">
        <v>253</v>
      </c>
      <c r="B23" t="s">
        <v>394</v>
      </c>
      <c r="C23">
        <f>'Tien Phong'!D26</f>
        <v>0</v>
      </c>
      <c r="D23">
        <f>'Tien Phong'!W67</f>
        <v>0</v>
      </c>
      <c r="E23">
        <f>'Tien Phong'!BL26</f>
        <v>0</v>
      </c>
      <c r="F23">
        <f t="shared" si="0"/>
        <v>0</v>
      </c>
    </row>
    <row r="24" spans="1:6" ht="24" customHeight="1">
      <c r="B24" t="s">
        <v>370</v>
      </c>
      <c r="C24">
        <f>SUM(C5:C23)</f>
        <v>285.92867000000001</v>
      </c>
      <c r="D24">
        <f>SUM(D5:D23)</f>
        <v>7.1399999999999988</v>
      </c>
      <c r="E24">
        <f>SUM(E5:E23)</f>
        <v>5.86</v>
      </c>
      <c r="F24">
        <f>SUM(F5:F23)</f>
        <v>287.20867000000004</v>
      </c>
    </row>
    <row r="26" spans="1:6">
      <c r="A26" s="1300" t="s">
        <v>411</v>
      </c>
      <c r="B26" s="1300"/>
    </row>
    <row r="27" spans="1:6">
      <c r="A27" s="1300" t="s">
        <v>412</v>
      </c>
      <c r="B27" s="1300"/>
      <c r="C27" s="1300"/>
      <c r="D27" s="1300"/>
      <c r="E27" s="1300"/>
      <c r="F27" s="1300"/>
    </row>
    <row r="28" spans="1:6" ht="21" customHeight="1">
      <c r="A28" s="1300" t="s">
        <v>138</v>
      </c>
      <c r="B28" s="1300"/>
      <c r="C28" s="1300"/>
      <c r="D28" s="1300"/>
      <c r="E28" s="1300"/>
      <c r="F28" s="1300"/>
    </row>
    <row r="29" spans="1:6" ht="51" customHeight="1">
      <c r="A29" t="s">
        <v>368</v>
      </c>
      <c r="B29" t="s">
        <v>369</v>
      </c>
      <c r="C29" t="s">
        <v>373</v>
      </c>
      <c r="D29" t="s">
        <v>371</v>
      </c>
      <c r="E29" t="s">
        <v>372</v>
      </c>
      <c r="F29" t="s">
        <v>366</v>
      </c>
    </row>
    <row r="30" spans="1:6" ht="18" customHeight="1">
      <c r="A30" t="s">
        <v>235</v>
      </c>
      <c r="B30" t="s">
        <v>376</v>
      </c>
      <c r="C30">
        <f>'Bac Son'!D27</f>
        <v>0</v>
      </c>
      <c r="D30">
        <f>'Bac Son'!X67</f>
        <v>0</v>
      </c>
      <c r="E30">
        <f>'Bac Son'!BL27</f>
        <v>0</v>
      </c>
      <c r="F30">
        <f>C30+D30-E30</f>
        <v>0</v>
      </c>
    </row>
    <row r="31" spans="1:6" ht="18" customHeight="1">
      <c r="A31" t="s">
        <v>236</v>
      </c>
      <c r="B31" t="s">
        <v>377</v>
      </c>
      <c r="C31">
        <f>'Hai Son'!D27</f>
        <v>0</v>
      </c>
      <c r="D31">
        <f>'Hai Son'!X67</f>
        <v>0</v>
      </c>
      <c r="E31">
        <f>'Hai Son'!BL27</f>
        <v>0</v>
      </c>
      <c r="F31">
        <f t="shared" ref="F31:F48" si="1">C31+D31-E31</f>
        <v>0</v>
      </c>
    </row>
    <row r="32" spans="1:6" ht="18" customHeight="1">
      <c r="A32" t="s">
        <v>237</v>
      </c>
      <c r="B32" t="s">
        <v>378</v>
      </c>
      <c r="C32">
        <f>'Quang Nghia'!D27</f>
        <v>0</v>
      </c>
      <c r="D32">
        <f>'Quang Nghia'!X67</f>
        <v>0</v>
      </c>
      <c r="E32">
        <f>'Quang Nghia'!BL27</f>
        <v>0</v>
      </c>
      <c r="F32">
        <f t="shared" si="1"/>
        <v>0</v>
      </c>
    </row>
    <row r="33" spans="1:6" ht="18" customHeight="1">
      <c r="A33" t="s">
        <v>238</v>
      </c>
      <c r="B33" t="s">
        <v>379</v>
      </c>
      <c r="C33">
        <f>'Hai Dong'!D27</f>
        <v>0</v>
      </c>
      <c r="D33">
        <f>'Hai Dong'!X67</f>
        <v>0</v>
      </c>
      <c r="E33">
        <f>'Hai Dong'!BL27</f>
        <v>0</v>
      </c>
      <c r="F33">
        <f t="shared" si="1"/>
        <v>0</v>
      </c>
    </row>
    <row r="34" spans="1:6" ht="18" customHeight="1">
      <c r="A34" t="s">
        <v>239</v>
      </c>
      <c r="B34" t="s">
        <v>380</v>
      </c>
      <c r="C34">
        <f>'Hai Tien'!D27</f>
        <v>0</v>
      </c>
      <c r="D34">
        <f>'Hai Tien'!X67</f>
        <v>0</v>
      </c>
      <c r="E34">
        <f>'Hai Tien'!BL27</f>
        <v>0</v>
      </c>
      <c r="F34">
        <f t="shared" si="1"/>
        <v>0</v>
      </c>
    </row>
    <row r="35" spans="1:6" ht="18" customHeight="1">
      <c r="A35" t="s">
        <v>240</v>
      </c>
      <c r="B35" t="s">
        <v>381</v>
      </c>
      <c r="C35">
        <f>'Hai Xuan'!D27</f>
        <v>0</v>
      </c>
      <c r="D35">
        <f>'Hai Xuan'!X67</f>
        <v>0</v>
      </c>
      <c r="E35">
        <f>'Hai Xuan'!BL27</f>
        <v>0</v>
      </c>
      <c r="F35">
        <f t="shared" si="1"/>
        <v>0</v>
      </c>
    </row>
    <row r="36" spans="1:6" ht="18" customHeight="1">
      <c r="A36" t="s">
        <v>241</v>
      </c>
      <c r="B36" t="s">
        <v>382</v>
      </c>
      <c r="C36">
        <f>'Van Ninh'!D27</f>
        <v>0</v>
      </c>
      <c r="D36">
        <f>'Van Ninh'!X68</f>
        <v>0</v>
      </c>
      <c r="E36">
        <f>'Van Ninh'!BL27</f>
        <v>0</v>
      </c>
      <c r="F36">
        <f t="shared" si="1"/>
        <v>0</v>
      </c>
    </row>
    <row r="37" spans="1:6" ht="18" customHeight="1">
      <c r="A37" t="s">
        <v>242</v>
      </c>
      <c r="B37" t="s">
        <v>383</v>
      </c>
      <c r="C37">
        <f>'Vinh Trung'!D27</f>
        <v>0</v>
      </c>
      <c r="D37">
        <f>'Vinh Trung'!X68</f>
        <v>0</v>
      </c>
      <c r="E37">
        <f>'Vinh Trung'!BL27</f>
        <v>0</v>
      </c>
      <c r="F37">
        <f t="shared" si="1"/>
        <v>0</v>
      </c>
    </row>
    <row r="38" spans="1:6" ht="18" customHeight="1">
      <c r="A38" t="s">
        <v>243</v>
      </c>
      <c r="B38" t="s">
        <v>384</v>
      </c>
      <c r="C38">
        <f>'Vinh Thuc'!D27</f>
        <v>0</v>
      </c>
      <c r="D38">
        <f>'Vinh Thuc'!X67</f>
        <v>0</v>
      </c>
      <c r="E38">
        <f>'Vinh Thuc'!BL27</f>
        <v>0</v>
      </c>
      <c r="F38">
        <f t="shared" si="1"/>
        <v>0</v>
      </c>
    </row>
    <row r="39" spans="1:6" ht="18" customHeight="1">
      <c r="A39" t="s">
        <v>244</v>
      </c>
      <c r="B39" t="s">
        <v>385</v>
      </c>
      <c r="C39">
        <f>'Hai Yen'!D27</f>
        <v>0.61</v>
      </c>
      <c r="D39">
        <f>'Hai Yen'!X68</f>
        <v>0</v>
      </c>
      <c r="E39">
        <f>'Hai Yen'!BL27</f>
        <v>0</v>
      </c>
      <c r="F39">
        <f t="shared" si="1"/>
        <v>0.61</v>
      </c>
    </row>
    <row r="40" spans="1:6" ht="18" customHeight="1">
      <c r="A40" t="s">
        <v>245</v>
      </c>
      <c r="B40" t="s">
        <v>386</v>
      </c>
      <c r="C40">
        <f>'Ka Long'!D27</f>
        <v>0.22</v>
      </c>
      <c r="D40">
        <f>'Ka Long'!X67</f>
        <v>0</v>
      </c>
      <c r="E40">
        <f>'Ka Long'!BL27</f>
        <v>0</v>
      </c>
      <c r="F40">
        <f t="shared" si="1"/>
        <v>0.22</v>
      </c>
    </row>
    <row r="41" spans="1:6" ht="18" customHeight="1">
      <c r="A41" t="s">
        <v>246</v>
      </c>
      <c r="B41" t="s">
        <v>387</v>
      </c>
      <c r="C41">
        <f>'Ninh Duong'!D27</f>
        <v>0.16</v>
      </c>
      <c r="D41">
        <f>'Ninh Duong'!X67</f>
        <v>0</v>
      </c>
      <c r="E41">
        <f>'Ninh Duong'!BL27</f>
        <v>0</v>
      </c>
      <c r="F41">
        <f t="shared" si="1"/>
        <v>0.16</v>
      </c>
    </row>
    <row r="42" spans="1:6" ht="18" customHeight="1">
      <c r="A42" t="s">
        <v>247</v>
      </c>
      <c r="B42" t="s">
        <v>388</v>
      </c>
      <c r="C42">
        <f>'Hoa Lac'!D27</f>
        <v>0.43</v>
      </c>
      <c r="D42">
        <f>'Hoa Lac'!X67</f>
        <v>0</v>
      </c>
      <c r="E42">
        <f>'Hoa Lac'!BL27</f>
        <v>0</v>
      </c>
      <c r="F42">
        <f t="shared" si="1"/>
        <v>0.43</v>
      </c>
    </row>
    <row r="43" spans="1:6" ht="18" customHeight="1">
      <c r="A43" t="s">
        <v>248</v>
      </c>
      <c r="B43" t="s">
        <v>389</v>
      </c>
      <c r="C43">
        <f>'Tran Phu'!D27</f>
        <v>0.46</v>
      </c>
      <c r="D43">
        <f>'Tran Phu'!X67</f>
        <v>0</v>
      </c>
      <c r="E43">
        <f>'Tran Phu'!BL27</f>
        <v>0</v>
      </c>
      <c r="F43">
        <f t="shared" si="1"/>
        <v>0.46</v>
      </c>
    </row>
    <row r="44" spans="1:6" ht="18" customHeight="1">
      <c r="A44" t="s">
        <v>249</v>
      </c>
      <c r="B44" t="s">
        <v>390</v>
      </c>
      <c r="C44">
        <f>'Hai Hoa'!D27</f>
        <v>6.37</v>
      </c>
      <c r="D44">
        <f>'Hai Hoa'!X67</f>
        <v>0</v>
      </c>
      <c r="E44">
        <f>'Hai Hoa'!BL27</f>
        <v>0</v>
      </c>
      <c r="F44">
        <f t="shared" si="1"/>
        <v>6.37</v>
      </c>
    </row>
    <row r="45" spans="1:6" ht="18" customHeight="1">
      <c r="A45" t="s">
        <v>250</v>
      </c>
      <c r="B45" t="s">
        <v>391</v>
      </c>
      <c r="C45">
        <f>'Tra Co'!D27</f>
        <v>1.19</v>
      </c>
      <c r="D45">
        <f>'Tra Co'!X67</f>
        <v>0</v>
      </c>
      <c r="E45">
        <f>'Tra Co'!BL27</f>
        <v>0</v>
      </c>
      <c r="F45">
        <f t="shared" si="1"/>
        <v>1.19</v>
      </c>
    </row>
    <row r="46" spans="1:6" ht="18" customHeight="1">
      <c r="A46" t="s">
        <v>251</v>
      </c>
      <c r="B46" t="s">
        <v>392</v>
      </c>
      <c r="C46">
        <f>'Binh Ngoc'!D27</f>
        <v>0.39</v>
      </c>
      <c r="D46">
        <f>'Binh Ngoc'!X67</f>
        <v>0</v>
      </c>
      <c r="E46">
        <f>'Binh Ngoc'!BL27</f>
        <v>0</v>
      </c>
      <c r="F46">
        <f t="shared" si="1"/>
        <v>0.39</v>
      </c>
    </row>
    <row r="47" spans="1:6" ht="18" customHeight="1">
      <c r="A47" t="s">
        <v>252</v>
      </c>
      <c r="B47" t="s">
        <v>393</v>
      </c>
      <c r="C47">
        <f>'Lien vị'!D27</f>
        <v>0</v>
      </c>
      <c r="D47">
        <f>'Lien vị'!X67</f>
        <v>0</v>
      </c>
      <c r="E47">
        <f>'Lien vị'!BL27</f>
        <v>0</v>
      </c>
      <c r="F47">
        <f t="shared" si="1"/>
        <v>0</v>
      </c>
    </row>
    <row r="48" spans="1:6" ht="18" customHeight="1">
      <c r="A48" t="s">
        <v>253</v>
      </c>
      <c r="B48" t="s">
        <v>394</v>
      </c>
      <c r="C48">
        <f>'Tien Phong'!D27</f>
        <v>0</v>
      </c>
      <c r="D48">
        <f>'Tien Phong'!X67</f>
        <v>0</v>
      </c>
      <c r="E48">
        <f>'Tien Phong'!BL27</f>
        <v>0</v>
      </c>
      <c r="F48">
        <f t="shared" si="1"/>
        <v>0</v>
      </c>
    </row>
    <row r="49" spans="1:6" ht="24" customHeight="1">
      <c r="B49" t="s">
        <v>370</v>
      </c>
      <c r="C49">
        <f>SUM(C30:C48)</f>
        <v>9.83</v>
      </c>
      <c r="D49">
        <f>SUM(D30:D48)</f>
        <v>0</v>
      </c>
      <c r="E49">
        <f>SUM(E30:E48)</f>
        <v>0</v>
      </c>
      <c r="F49">
        <f>SUM(F30:F48)</f>
        <v>9.83</v>
      </c>
    </row>
    <row r="51" spans="1:6">
      <c r="A51" s="1300" t="s">
        <v>414</v>
      </c>
      <c r="B51" s="1300"/>
    </row>
    <row r="52" spans="1:6">
      <c r="A52" s="1300" t="s">
        <v>413</v>
      </c>
      <c r="B52" s="1300"/>
      <c r="C52" s="1300"/>
      <c r="D52" s="1300"/>
      <c r="E52" s="1300"/>
      <c r="F52" s="1300"/>
    </row>
    <row r="53" spans="1:6" ht="21" customHeight="1">
      <c r="A53" s="1300" t="s">
        <v>138</v>
      </c>
      <c r="B53" s="1300"/>
      <c r="C53" s="1300"/>
      <c r="D53" s="1300"/>
      <c r="E53" s="1300"/>
      <c r="F53" s="1300"/>
    </row>
    <row r="54" spans="1:6" ht="51" customHeight="1">
      <c r="A54" t="s">
        <v>368</v>
      </c>
      <c r="B54" t="s">
        <v>369</v>
      </c>
      <c r="C54" t="s">
        <v>373</v>
      </c>
      <c r="D54" t="s">
        <v>371</v>
      </c>
      <c r="E54" t="s">
        <v>372</v>
      </c>
      <c r="F54" t="s">
        <v>366</v>
      </c>
    </row>
    <row r="55" spans="1:6" ht="18" customHeight="1">
      <c r="A55" t="s">
        <v>235</v>
      </c>
      <c r="B55" t="s">
        <v>376</v>
      </c>
      <c r="C55">
        <f>'Bac Son'!D28</f>
        <v>0</v>
      </c>
      <c r="D55">
        <f>'Bac Son'!Y67</f>
        <v>0</v>
      </c>
      <c r="E55">
        <f>'Bac Son'!BL28</f>
        <v>0</v>
      </c>
      <c r="F55">
        <f>C55+D55-E55</f>
        <v>0</v>
      </c>
    </row>
    <row r="56" spans="1:6" ht="18" customHeight="1">
      <c r="A56" t="s">
        <v>236</v>
      </c>
      <c r="B56" t="s">
        <v>377</v>
      </c>
      <c r="C56">
        <f>'Hai Son'!D28</f>
        <v>0</v>
      </c>
      <c r="D56">
        <f>'Hai Son'!Y67</f>
        <v>0</v>
      </c>
      <c r="E56">
        <f>'Hai Son'!BL28</f>
        <v>0</v>
      </c>
      <c r="F56">
        <f t="shared" ref="F56:F73" si="2">C56+D56-E56</f>
        <v>0</v>
      </c>
    </row>
    <row r="57" spans="1:6" ht="18" customHeight="1">
      <c r="A57" t="s">
        <v>237</v>
      </c>
      <c r="B57" t="s">
        <v>378</v>
      </c>
      <c r="C57">
        <f>'Quang Nghia'!D28</f>
        <v>0</v>
      </c>
      <c r="D57">
        <f>'Quang Nghia'!Y67</f>
        <v>0</v>
      </c>
      <c r="E57">
        <f>'Quang Nghia'!BL28</f>
        <v>0</v>
      </c>
      <c r="F57">
        <f t="shared" si="2"/>
        <v>0</v>
      </c>
    </row>
    <row r="58" spans="1:6" ht="18" customHeight="1">
      <c r="A58" t="s">
        <v>238</v>
      </c>
      <c r="B58" t="s">
        <v>379</v>
      </c>
      <c r="C58">
        <f>'Hai Dong'!D28</f>
        <v>0</v>
      </c>
      <c r="D58">
        <f>'Hai Dong'!Y67</f>
        <v>0</v>
      </c>
      <c r="E58">
        <f>'Hai Dong'!BL28</f>
        <v>0</v>
      </c>
      <c r="F58">
        <f t="shared" si="2"/>
        <v>0</v>
      </c>
    </row>
    <row r="59" spans="1:6" ht="18" customHeight="1">
      <c r="A59" t="s">
        <v>239</v>
      </c>
      <c r="B59" t="s">
        <v>380</v>
      </c>
      <c r="C59">
        <f>'Hai Tien'!D28</f>
        <v>0</v>
      </c>
      <c r="D59">
        <f>'Hai Tien'!Y67</f>
        <v>0</v>
      </c>
      <c r="E59">
        <f>'Hai Tien'!BL28</f>
        <v>0</v>
      </c>
      <c r="F59">
        <f t="shared" si="2"/>
        <v>0</v>
      </c>
    </row>
    <row r="60" spans="1:6" ht="18" customHeight="1">
      <c r="A60" t="s">
        <v>240</v>
      </c>
      <c r="B60" t="s">
        <v>381</v>
      </c>
      <c r="C60">
        <f>'Hai Xuan'!D28</f>
        <v>0</v>
      </c>
      <c r="D60">
        <f>'Hai Xuan'!Y67</f>
        <v>0</v>
      </c>
      <c r="E60">
        <f>'Hai Xuan'!BL28</f>
        <v>0</v>
      </c>
      <c r="F60">
        <f t="shared" si="2"/>
        <v>0</v>
      </c>
    </row>
    <row r="61" spans="1:6" ht="18" customHeight="1">
      <c r="A61" t="s">
        <v>241</v>
      </c>
      <c r="B61" t="s">
        <v>382</v>
      </c>
      <c r="C61">
        <f>'Van Ninh'!D28</f>
        <v>0</v>
      </c>
      <c r="D61">
        <f>'Van Ninh'!Y68</f>
        <v>0</v>
      </c>
      <c r="E61">
        <f>'Van Ninh'!BL28</f>
        <v>0</v>
      </c>
      <c r="F61">
        <f t="shared" si="2"/>
        <v>0</v>
      </c>
    </row>
    <row r="62" spans="1:6" ht="18" customHeight="1">
      <c r="A62" t="s">
        <v>242</v>
      </c>
      <c r="B62" t="s">
        <v>383</v>
      </c>
      <c r="C62">
        <f>'Vinh Trung'!D28</f>
        <v>0</v>
      </c>
      <c r="D62">
        <f>'Vinh Trung'!Y68</f>
        <v>0</v>
      </c>
      <c r="E62">
        <f>'Vinh Trung'!BL28</f>
        <v>0</v>
      </c>
      <c r="F62">
        <f t="shared" si="2"/>
        <v>0</v>
      </c>
    </row>
    <row r="63" spans="1:6" ht="18" customHeight="1">
      <c r="A63" t="s">
        <v>243</v>
      </c>
      <c r="B63" t="s">
        <v>384</v>
      </c>
      <c r="C63">
        <f>'Vinh Thuc'!D28</f>
        <v>0</v>
      </c>
      <c r="D63">
        <f>'Vinh Thuc'!Y67</f>
        <v>0</v>
      </c>
      <c r="E63">
        <f>'Vinh Thuc'!BL28</f>
        <v>0</v>
      </c>
      <c r="F63">
        <f t="shared" si="2"/>
        <v>0</v>
      </c>
    </row>
    <row r="64" spans="1:6" ht="18" customHeight="1">
      <c r="A64" t="s">
        <v>244</v>
      </c>
      <c r="B64" t="s">
        <v>385</v>
      </c>
      <c r="C64">
        <f>'Hai Yen'!D28</f>
        <v>79.59</v>
      </c>
      <c r="D64">
        <f>'Hai Yen'!Y68</f>
        <v>38.219999999999992</v>
      </c>
      <c r="E64">
        <f>'Hai Yen'!BL28</f>
        <v>0</v>
      </c>
      <c r="F64">
        <f t="shared" si="2"/>
        <v>117.81</v>
      </c>
    </row>
    <row r="65" spans="1:6" ht="18" customHeight="1">
      <c r="A65" t="s">
        <v>245</v>
      </c>
      <c r="B65" t="s">
        <v>386</v>
      </c>
      <c r="C65">
        <f>'Ka Long'!D28</f>
        <v>0</v>
      </c>
      <c r="D65">
        <f>'Ka Long'!Y67</f>
        <v>0</v>
      </c>
      <c r="E65">
        <f>'Ka Long'!BL28</f>
        <v>0</v>
      </c>
      <c r="F65">
        <f t="shared" si="2"/>
        <v>0</v>
      </c>
    </row>
    <row r="66" spans="1:6" ht="18" customHeight="1">
      <c r="A66" t="s">
        <v>246</v>
      </c>
      <c r="B66" t="s">
        <v>387</v>
      </c>
      <c r="C66">
        <f>'Ninh Duong'!D28</f>
        <v>0</v>
      </c>
      <c r="D66">
        <f>'Ninh Duong'!Y67</f>
        <v>0</v>
      </c>
      <c r="E66">
        <f>'Ninh Duong'!BL28</f>
        <v>0</v>
      </c>
      <c r="F66">
        <f t="shared" si="2"/>
        <v>0</v>
      </c>
    </row>
    <row r="67" spans="1:6" ht="18" customHeight="1">
      <c r="A67" t="s">
        <v>247</v>
      </c>
      <c r="B67" t="s">
        <v>388</v>
      </c>
      <c r="C67">
        <f>'Hoa Lac'!D28</f>
        <v>0</v>
      </c>
      <c r="D67">
        <f>'Hoa Lac'!Y67</f>
        <v>0</v>
      </c>
      <c r="E67">
        <f>'Hoa Lac'!BL28</f>
        <v>0</v>
      </c>
      <c r="F67">
        <f t="shared" si="2"/>
        <v>0</v>
      </c>
    </row>
    <row r="68" spans="1:6" ht="18" customHeight="1">
      <c r="A68" t="s">
        <v>248</v>
      </c>
      <c r="B68" t="s">
        <v>389</v>
      </c>
      <c r="C68">
        <f>'Tran Phu'!D28</f>
        <v>0</v>
      </c>
      <c r="D68">
        <f>'Tran Phu'!Y67</f>
        <v>0</v>
      </c>
      <c r="E68">
        <f>'Tran Phu'!BL28</f>
        <v>0</v>
      </c>
      <c r="F68">
        <f t="shared" si="2"/>
        <v>0</v>
      </c>
    </row>
    <row r="69" spans="1:6" ht="18" customHeight="1">
      <c r="A69" t="s">
        <v>249</v>
      </c>
      <c r="B69" t="s">
        <v>390</v>
      </c>
      <c r="C69">
        <f>'Hai Hoa'!D28</f>
        <v>0</v>
      </c>
      <c r="D69">
        <f>'Hai Hoa'!Y67</f>
        <v>0</v>
      </c>
      <c r="E69">
        <f>'Hai Hoa'!BL28</f>
        <v>0</v>
      </c>
      <c r="F69">
        <f t="shared" si="2"/>
        <v>0</v>
      </c>
    </row>
    <row r="70" spans="1:6" ht="18" customHeight="1">
      <c r="A70" t="s">
        <v>250</v>
      </c>
      <c r="B70" t="s">
        <v>391</v>
      </c>
      <c r="C70">
        <f>'Tra Co'!D28</f>
        <v>0</v>
      </c>
      <c r="D70">
        <f>'Tra Co'!Y67</f>
        <v>0</v>
      </c>
      <c r="E70">
        <f>'Tra Co'!BL28</f>
        <v>0</v>
      </c>
      <c r="F70">
        <f t="shared" si="2"/>
        <v>0</v>
      </c>
    </row>
    <row r="71" spans="1:6" ht="18" customHeight="1">
      <c r="A71" t="s">
        <v>251</v>
      </c>
      <c r="B71" t="s">
        <v>392</v>
      </c>
      <c r="C71">
        <f>'Binh Ngoc'!D28</f>
        <v>0</v>
      </c>
      <c r="D71">
        <f>'Binh Ngoc'!Y67</f>
        <v>0</v>
      </c>
      <c r="E71">
        <f>'Binh Ngoc'!BL28</f>
        <v>0</v>
      </c>
      <c r="F71">
        <f t="shared" si="2"/>
        <v>0</v>
      </c>
    </row>
    <row r="72" spans="1:6" ht="18" customHeight="1">
      <c r="A72" t="s">
        <v>252</v>
      </c>
      <c r="B72" t="s">
        <v>393</v>
      </c>
      <c r="C72">
        <f>'Lien vị'!D28</f>
        <v>0</v>
      </c>
      <c r="D72">
        <f>'Lien vị'!Y67</f>
        <v>0</v>
      </c>
      <c r="E72">
        <f>'Lien vị'!BL28</f>
        <v>0</v>
      </c>
      <c r="F72">
        <f t="shared" si="2"/>
        <v>0</v>
      </c>
    </row>
    <row r="73" spans="1:6" ht="18" customHeight="1">
      <c r="A73" t="s">
        <v>253</v>
      </c>
      <c r="B73" t="s">
        <v>394</v>
      </c>
      <c r="C73">
        <f>'Tien Phong'!D28</f>
        <v>0</v>
      </c>
      <c r="D73">
        <f>'Tien Phong'!Y67</f>
        <v>0</v>
      </c>
      <c r="E73">
        <f>'Tien Phong'!BL28</f>
        <v>0</v>
      </c>
      <c r="F73">
        <f t="shared" si="2"/>
        <v>0</v>
      </c>
    </row>
    <row r="74" spans="1:6" ht="24" customHeight="1">
      <c r="B74" t="s">
        <v>370</v>
      </c>
      <c r="C74">
        <f>SUM(C55:C73)</f>
        <v>79.59</v>
      </c>
      <c r="D74">
        <f>SUM(D55:D73)</f>
        <v>38.219999999999992</v>
      </c>
      <c r="E74">
        <f>SUM(E55:E73)</f>
        <v>0</v>
      </c>
      <c r="F74">
        <f>SUM(F55:F73)</f>
        <v>117.81</v>
      </c>
    </row>
    <row r="76" spans="1:6">
      <c r="A76" s="1300" t="s">
        <v>415</v>
      </c>
      <c r="B76" s="1300"/>
    </row>
    <row r="77" spans="1:6">
      <c r="A77" s="1300" t="s">
        <v>416</v>
      </c>
      <c r="B77" s="1300"/>
      <c r="C77" s="1300"/>
      <c r="D77" s="1300"/>
      <c r="E77" s="1300"/>
      <c r="F77" s="1300"/>
    </row>
    <row r="78" spans="1:6" ht="21" customHeight="1">
      <c r="A78" s="1300" t="s">
        <v>138</v>
      </c>
      <c r="B78" s="1300"/>
      <c r="C78" s="1300"/>
      <c r="D78" s="1300"/>
      <c r="E78" s="1300"/>
      <c r="F78" s="1300"/>
    </row>
    <row r="79" spans="1:6" ht="51" customHeight="1">
      <c r="A79" t="s">
        <v>368</v>
      </c>
      <c r="B79" t="s">
        <v>369</v>
      </c>
      <c r="C79" t="s">
        <v>373</v>
      </c>
      <c r="D79" t="s">
        <v>371</v>
      </c>
      <c r="E79" t="s">
        <v>372</v>
      </c>
      <c r="F79" t="s">
        <v>366</v>
      </c>
    </row>
    <row r="80" spans="1:6" ht="18" customHeight="1">
      <c r="A80" t="s">
        <v>235</v>
      </c>
      <c r="B80" t="s">
        <v>376</v>
      </c>
      <c r="C80">
        <f>'Bac Son'!D31</f>
        <v>24.09</v>
      </c>
      <c r="D80">
        <f>'Bac Son'!AB67</f>
        <v>0</v>
      </c>
      <c r="E80">
        <f>'Bac Son'!BL31</f>
        <v>0</v>
      </c>
      <c r="F80">
        <f>C80+D80-E80</f>
        <v>24.09</v>
      </c>
    </row>
    <row r="81" spans="1:6" ht="18" customHeight="1">
      <c r="A81" t="s">
        <v>236</v>
      </c>
      <c r="B81" t="s">
        <v>377</v>
      </c>
      <c r="C81">
        <f>'Hai Son'!D31</f>
        <v>0.32517000000000001</v>
      </c>
      <c r="D81">
        <f>'Hai Son'!AB67</f>
        <v>0</v>
      </c>
      <c r="E81">
        <f>'Hai Son'!BL31</f>
        <v>0</v>
      </c>
      <c r="F81">
        <f t="shared" ref="F81:F98" si="3">C81+D81-E81</f>
        <v>0.32517000000000001</v>
      </c>
    </row>
    <row r="82" spans="1:6" ht="18" customHeight="1">
      <c r="A82" t="s">
        <v>237</v>
      </c>
      <c r="B82" t="s">
        <v>378</v>
      </c>
      <c r="C82">
        <f>'Quang Nghia'!D31</f>
        <v>3.21</v>
      </c>
      <c r="D82">
        <f>'Quang Nghia'!AB67</f>
        <v>0</v>
      </c>
      <c r="E82">
        <f>'Quang Nghia'!BL31</f>
        <v>0</v>
      </c>
      <c r="F82">
        <f t="shared" si="3"/>
        <v>3.21</v>
      </c>
    </row>
    <row r="83" spans="1:6" ht="18" customHeight="1">
      <c r="A83" t="s">
        <v>238</v>
      </c>
      <c r="B83" t="s">
        <v>379</v>
      </c>
      <c r="C83">
        <f>'Hai Dong'!D31</f>
        <v>0.2</v>
      </c>
      <c r="D83">
        <f>'Hai Dong'!AB67</f>
        <v>0</v>
      </c>
      <c r="E83">
        <f>'Hai Dong'!BL31</f>
        <v>0</v>
      </c>
      <c r="F83">
        <f t="shared" si="3"/>
        <v>0.2</v>
      </c>
    </row>
    <row r="84" spans="1:6" ht="18" customHeight="1">
      <c r="A84" t="s">
        <v>239</v>
      </c>
      <c r="B84" t="s">
        <v>380</v>
      </c>
      <c r="C84">
        <f>'Hai Tien'!D31</f>
        <v>6.18</v>
      </c>
      <c r="D84">
        <f>'Hai Tien'!AB67</f>
        <v>0</v>
      </c>
      <c r="E84">
        <f>'Hai Tien'!BL31</f>
        <v>0</v>
      </c>
      <c r="F84">
        <f t="shared" si="3"/>
        <v>6.18</v>
      </c>
    </row>
    <row r="85" spans="1:6" ht="18" customHeight="1">
      <c r="A85" t="s">
        <v>240</v>
      </c>
      <c r="B85" t="s">
        <v>381</v>
      </c>
      <c r="C85">
        <f>'Hai Xuan'!D31</f>
        <v>1.79</v>
      </c>
      <c r="D85">
        <f>'Hai Xuan'!AB67</f>
        <v>0.15</v>
      </c>
      <c r="E85">
        <f>'Hai Xuan'!BL31</f>
        <v>0</v>
      </c>
      <c r="F85">
        <f t="shared" si="3"/>
        <v>1.94</v>
      </c>
    </row>
    <row r="86" spans="1:6" ht="18" customHeight="1">
      <c r="A86" t="s">
        <v>241</v>
      </c>
      <c r="B86" t="s">
        <v>382</v>
      </c>
      <c r="C86">
        <f>'Van Ninh'!D31</f>
        <v>0</v>
      </c>
      <c r="D86">
        <f>'Van Ninh'!AB68</f>
        <v>5.27</v>
      </c>
      <c r="E86">
        <f>'Van Ninh'!BL31</f>
        <v>0</v>
      </c>
      <c r="F86">
        <f t="shared" si="3"/>
        <v>5.27</v>
      </c>
    </row>
    <row r="87" spans="1:6" ht="18" customHeight="1">
      <c r="A87" t="s">
        <v>242</v>
      </c>
      <c r="B87" t="s">
        <v>383</v>
      </c>
      <c r="C87">
        <f>'Vinh Trung'!D31</f>
        <v>0</v>
      </c>
      <c r="D87">
        <f>'Vinh Trung'!AB68</f>
        <v>0</v>
      </c>
      <c r="E87">
        <f>'Vinh Trung'!BL31</f>
        <v>0</v>
      </c>
      <c r="F87">
        <f t="shared" si="3"/>
        <v>0</v>
      </c>
    </row>
    <row r="88" spans="1:6" ht="18" customHeight="1">
      <c r="A88" t="s">
        <v>243</v>
      </c>
      <c r="B88" t="s">
        <v>384</v>
      </c>
      <c r="C88">
        <f>'Vinh Thuc'!D31</f>
        <v>0</v>
      </c>
      <c r="D88">
        <f>'Vinh Thuc'!AB67</f>
        <v>0</v>
      </c>
      <c r="E88">
        <f>'Vinh Thuc'!BL31</f>
        <v>0</v>
      </c>
      <c r="F88">
        <f t="shared" si="3"/>
        <v>0</v>
      </c>
    </row>
    <row r="89" spans="1:6" ht="18" customHeight="1">
      <c r="A89" t="s">
        <v>244</v>
      </c>
      <c r="B89" t="s">
        <v>385</v>
      </c>
      <c r="C89">
        <f>'Hai Yen'!D31</f>
        <v>114.26</v>
      </c>
      <c r="D89">
        <f>'Hai Yen'!AB68</f>
        <v>59.449999999999996</v>
      </c>
      <c r="E89">
        <f>'Hai Yen'!BL31</f>
        <v>0</v>
      </c>
      <c r="F89">
        <f t="shared" si="3"/>
        <v>173.71</v>
      </c>
    </row>
    <row r="90" spans="1:6" ht="18" customHeight="1">
      <c r="A90" t="s">
        <v>245</v>
      </c>
      <c r="B90" t="s">
        <v>386</v>
      </c>
      <c r="C90">
        <f>'Ka Long'!D31</f>
        <v>9.0378000000000007</v>
      </c>
      <c r="D90">
        <f>'Ka Long'!AB67</f>
        <v>0</v>
      </c>
      <c r="E90">
        <f>'Ka Long'!BL31</f>
        <v>0</v>
      </c>
      <c r="F90">
        <f t="shared" si="3"/>
        <v>9.0378000000000007</v>
      </c>
    </row>
    <row r="91" spans="1:6" ht="18" customHeight="1">
      <c r="A91" t="s">
        <v>246</v>
      </c>
      <c r="B91" t="s">
        <v>387</v>
      </c>
      <c r="C91">
        <f>'Ninh Duong'!D31</f>
        <v>16.494199999999999</v>
      </c>
      <c r="D91">
        <f>'Ninh Duong'!AB67</f>
        <v>1.2500000000000002</v>
      </c>
      <c r="E91">
        <f>'Ninh Duong'!BL31</f>
        <v>0.08</v>
      </c>
      <c r="F91">
        <f t="shared" si="3"/>
        <v>17.664200000000001</v>
      </c>
    </row>
    <row r="92" spans="1:6" ht="18" customHeight="1">
      <c r="A92" t="s">
        <v>247</v>
      </c>
      <c r="B92" t="s">
        <v>388</v>
      </c>
      <c r="C92">
        <f>'Hoa Lac'!D31</f>
        <v>2.67</v>
      </c>
      <c r="D92">
        <f>'Hoa Lac'!AB67</f>
        <v>0</v>
      </c>
      <c r="E92">
        <f>'Hoa Lac'!BL31</f>
        <v>0</v>
      </c>
      <c r="F92">
        <f t="shared" si="3"/>
        <v>2.67</v>
      </c>
    </row>
    <row r="93" spans="1:6" ht="18" customHeight="1">
      <c r="A93" t="s">
        <v>248</v>
      </c>
      <c r="B93" t="s">
        <v>389</v>
      </c>
      <c r="C93">
        <f>'Tran Phu'!D31</f>
        <v>16.920000000000002</v>
      </c>
      <c r="D93">
        <f>'Tran Phu'!AB67</f>
        <v>0</v>
      </c>
      <c r="E93">
        <f>'Tran Phu'!BL31</f>
        <v>0</v>
      </c>
      <c r="F93">
        <f t="shared" si="3"/>
        <v>16.920000000000002</v>
      </c>
    </row>
    <row r="94" spans="1:6" ht="18" customHeight="1">
      <c r="A94" t="s">
        <v>249</v>
      </c>
      <c r="B94" t="s">
        <v>390</v>
      </c>
      <c r="C94">
        <f>'Hai Hoa'!D31</f>
        <v>66.75</v>
      </c>
      <c r="D94">
        <f>'Hai Hoa'!AB67</f>
        <v>27.1</v>
      </c>
      <c r="E94">
        <f>'Hai Hoa'!BL31</f>
        <v>0.13</v>
      </c>
      <c r="F94">
        <f t="shared" si="3"/>
        <v>93.72</v>
      </c>
    </row>
    <row r="95" spans="1:6" ht="18" customHeight="1">
      <c r="A95" t="s">
        <v>250</v>
      </c>
      <c r="B95" t="s">
        <v>391</v>
      </c>
      <c r="C95">
        <f>'Tra Co'!D31</f>
        <v>87.67</v>
      </c>
      <c r="D95">
        <f>'Tra Co'!AB67</f>
        <v>0</v>
      </c>
      <c r="E95">
        <f>'Tra Co'!BL31</f>
        <v>3.26</v>
      </c>
      <c r="F95">
        <f t="shared" si="3"/>
        <v>84.41</v>
      </c>
    </row>
    <row r="96" spans="1:6" ht="18" customHeight="1">
      <c r="A96" t="s">
        <v>251</v>
      </c>
      <c r="B96" t="s">
        <v>392</v>
      </c>
      <c r="C96">
        <f>'Binh Ngoc'!D31</f>
        <v>0.36</v>
      </c>
      <c r="D96">
        <f>'Binh Ngoc'!AB67</f>
        <v>0</v>
      </c>
      <c r="E96">
        <f>'Binh Ngoc'!BL31</f>
        <v>0</v>
      </c>
      <c r="F96">
        <f t="shared" si="3"/>
        <v>0.36</v>
      </c>
    </row>
    <row r="97" spans="1:6" ht="18" customHeight="1">
      <c r="A97" t="s">
        <v>252</v>
      </c>
      <c r="B97" t="s">
        <v>393</v>
      </c>
      <c r="C97">
        <f>'Lien vị'!D31</f>
        <v>0</v>
      </c>
      <c r="D97">
        <f>'Lien vị'!AB67</f>
        <v>0</v>
      </c>
      <c r="E97">
        <f>'Lien vị'!BL31</f>
        <v>0</v>
      </c>
      <c r="F97">
        <f t="shared" si="3"/>
        <v>0</v>
      </c>
    </row>
    <row r="98" spans="1:6" ht="18" customHeight="1">
      <c r="A98" t="s">
        <v>253</v>
      </c>
      <c r="B98" t="s">
        <v>394</v>
      </c>
      <c r="C98">
        <f>'Tien Phong'!D31</f>
        <v>0</v>
      </c>
      <c r="D98">
        <f>'Tien Phong'!AB67</f>
        <v>0</v>
      </c>
      <c r="E98">
        <f>'Tien Phong'!BL31</f>
        <v>0</v>
      </c>
      <c r="F98">
        <f t="shared" si="3"/>
        <v>0</v>
      </c>
    </row>
    <row r="99" spans="1:6" ht="24" customHeight="1">
      <c r="B99" t="s">
        <v>370</v>
      </c>
      <c r="C99">
        <f>SUM(C80:C98)</f>
        <v>349.95717000000002</v>
      </c>
      <c r="D99">
        <f>SUM(D80:D98)</f>
        <v>93.22</v>
      </c>
      <c r="E99">
        <f>SUM(E80:E98)</f>
        <v>3.4699999999999998</v>
      </c>
      <c r="F99">
        <f>SUM(F80:F98)</f>
        <v>439.70717000000002</v>
      </c>
    </row>
    <row r="101" spans="1:6">
      <c r="A101" s="1300" t="s">
        <v>417</v>
      </c>
      <c r="B101" s="1300"/>
    </row>
    <row r="102" spans="1:6" ht="39" customHeight="1">
      <c r="A102" s="1300" t="s">
        <v>418</v>
      </c>
      <c r="B102" s="1300"/>
      <c r="C102" s="1300"/>
      <c r="D102" s="1300"/>
      <c r="E102" s="1300"/>
      <c r="F102" s="1300"/>
    </row>
    <row r="103" spans="1:6" ht="21" customHeight="1">
      <c r="A103" s="1300" t="s">
        <v>138</v>
      </c>
      <c r="B103" s="1300"/>
      <c r="C103" s="1300"/>
      <c r="D103" s="1300"/>
      <c r="E103" s="1300"/>
      <c r="F103" s="1300"/>
    </row>
    <row r="104" spans="1:6" ht="51" customHeight="1">
      <c r="A104" t="s">
        <v>368</v>
      </c>
      <c r="B104" t="s">
        <v>369</v>
      </c>
      <c r="C104" t="s">
        <v>373</v>
      </c>
      <c r="D104" t="s">
        <v>371</v>
      </c>
      <c r="E104" t="s">
        <v>372</v>
      </c>
      <c r="F104" t="s">
        <v>366</v>
      </c>
    </row>
    <row r="105" spans="1:6" ht="18" customHeight="1">
      <c r="A105" t="s">
        <v>235</v>
      </c>
      <c r="B105" t="s">
        <v>376</v>
      </c>
      <c r="C105">
        <f>'Bac Son'!D32</f>
        <v>0</v>
      </c>
      <c r="D105">
        <f>'Bac Son'!AC67</f>
        <v>0</v>
      </c>
      <c r="E105">
        <f>'Bac Son'!BL32</f>
        <v>0</v>
      </c>
      <c r="F105">
        <f>C105+D105-E105</f>
        <v>0</v>
      </c>
    </row>
    <row r="106" spans="1:6" ht="18" customHeight="1">
      <c r="A106" t="s">
        <v>236</v>
      </c>
      <c r="B106" t="s">
        <v>377</v>
      </c>
      <c r="C106">
        <f>'Hai Son'!D32</f>
        <v>3.47</v>
      </c>
      <c r="D106">
        <f>'Hai Son'!AC67</f>
        <v>0</v>
      </c>
      <c r="E106">
        <f>'Hai Son'!BL32</f>
        <v>0</v>
      </c>
      <c r="F106">
        <f t="shared" ref="F106:F123" si="4">C106+D106-E106</f>
        <v>3.47</v>
      </c>
    </row>
    <row r="107" spans="1:6" ht="18" customHeight="1">
      <c r="A107" t="s">
        <v>237</v>
      </c>
      <c r="B107" t="s">
        <v>378</v>
      </c>
      <c r="C107">
        <f>'Quang Nghia'!D32</f>
        <v>0</v>
      </c>
      <c r="D107">
        <f>'Quang Nghia'!AC67</f>
        <v>6.8199999999999994</v>
      </c>
      <c r="E107">
        <f>'Quang Nghia'!BL32</f>
        <v>0</v>
      </c>
      <c r="F107">
        <f t="shared" si="4"/>
        <v>6.8199999999999994</v>
      </c>
    </row>
    <row r="108" spans="1:6" ht="18" customHeight="1">
      <c r="A108" t="s">
        <v>238</v>
      </c>
      <c r="B108" t="s">
        <v>379</v>
      </c>
      <c r="C108">
        <f>'Hai Dong'!D32</f>
        <v>0.26</v>
      </c>
      <c r="D108">
        <f>'Hai Dong'!AC67</f>
        <v>0</v>
      </c>
      <c r="E108">
        <f>'Hai Dong'!BL32</f>
        <v>0</v>
      </c>
      <c r="F108">
        <f t="shared" si="4"/>
        <v>0.26</v>
      </c>
    </row>
    <row r="109" spans="1:6" ht="18" customHeight="1">
      <c r="A109" t="s">
        <v>239</v>
      </c>
      <c r="B109" t="s">
        <v>380</v>
      </c>
      <c r="C109">
        <f>'Hai Tien'!D32</f>
        <v>12.18</v>
      </c>
      <c r="D109">
        <f>'Hai Tien'!AC67</f>
        <v>0</v>
      </c>
      <c r="E109">
        <f>'Hai Tien'!BL32</f>
        <v>0</v>
      </c>
      <c r="F109">
        <f t="shared" si="4"/>
        <v>12.18</v>
      </c>
    </row>
    <row r="110" spans="1:6" ht="18" customHeight="1">
      <c r="A110" t="s">
        <v>240</v>
      </c>
      <c r="B110" t="s">
        <v>381</v>
      </c>
      <c r="C110">
        <f>'Hai Xuan'!D32</f>
        <v>5.89</v>
      </c>
      <c r="D110">
        <f>'Hai Xuan'!AC67</f>
        <v>0</v>
      </c>
      <c r="E110">
        <f>'Hai Xuan'!BL32</f>
        <v>0</v>
      </c>
      <c r="F110">
        <f t="shared" si="4"/>
        <v>5.89</v>
      </c>
    </row>
    <row r="111" spans="1:6" ht="18" customHeight="1">
      <c r="A111" t="s">
        <v>241</v>
      </c>
      <c r="B111" t="s">
        <v>382</v>
      </c>
      <c r="C111">
        <f>'Van Ninh'!D32</f>
        <v>6.39</v>
      </c>
      <c r="D111">
        <f>'Van Ninh'!AC68</f>
        <v>0</v>
      </c>
      <c r="E111">
        <f>'Van Ninh'!BL32</f>
        <v>4.9400000000000004</v>
      </c>
      <c r="F111">
        <f t="shared" si="4"/>
        <v>1.4499999999999993</v>
      </c>
    </row>
    <row r="112" spans="1:6" ht="18" customHeight="1">
      <c r="A112" t="s">
        <v>242</v>
      </c>
      <c r="B112" t="s">
        <v>383</v>
      </c>
      <c r="C112">
        <f>'Vinh Trung'!D32</f>
        <v>0.55000000000000004</v>
      </c>
      <c r="D112">
        <f>'Vinh Trung'!AC68</f>
        <v>0</v>
      </c>
      <c r="E112">
        <f>'Vinh Trung'!BL32</f>
        <v>0</v>
      </c>
      <c r="F112">
        <f t="shared" si="4"/>
        <v>0.55000000000000004</v>
      </c>
    </row>
    <row r="113" spans="1:6" ht="18" customHeight="1">
      <c r="A113" t="s">
        <v>243</v>
      </c>
      <c r="B113" t="s">
        <v>384</v>
      </c>
      <c r="C113">
        <f>'Vinh Thuc'!D32</f>
        <v>1.51</v>
      </c>
      <c r="D113">
        <f>'Vinh Thuc'!AC67</f>
        <v>0</v>
      </c>
      <c r="E113">
        <f>'Vinh Thuc'!BL32</f>
        <v>0</v>
      </c>
      <c r="F113">
        <f t="shared" si="4"/>
        <v>1.51</v>
      </c>
    </row>
    <row r="114" spans="1:6" ht="18" customHeight="1">
      <c r="A114" t="s">
        <v>244</v>
      </c>
      <c r="B114" t="s">
        <v>385</v>
      </c>
      <c r="C114">
        <f>'Hai Yen'!D32</f>
        <v>13.05</v>
      </c>
      <c r="D114">
        <f>'Hai Yen'!AC68</f>
        <v>11.43</v>
      </c>
      <c r="E114">
        <f>'Hai Yen'!BL32</f>
        <v>0.95</v>
      </c>
      <c r="F114">
        <f t="shared" si="4"/>
        <v>23.53</v>
      </c>
    </row>
    <row r="115" spans="1:6" ht="18" customHeight="1">
      <c r="A115" t="s">
        <v>245</v>
      </c>
      <c r="B115" t="s">
        <v>386</v>
      </c>
      <c r="C115">
        <f>'Ka Long'!D32</f>
        <v>16.350000000000001</v>
      </c>
      <c r="D115">
        <f>'Ka Long'!AC67</f>
        <v>0</v>
      </c>
      <c r="E115">
        <f>'Ka Long'!BL32</f>
        <v>0</v>
      </c>
      <c r="F115">
        <f t="shared" si="4"/>
        <v>16.350000000000001</v>
      </c>
    </row>
    <row r="116" spans="1:6" ht="18" customHeight="1">
      <c r="A116" t="s">
        <v>246</v>
      </c>
      <c r="B116" t="s">
        <v>387</v>
      </c>
      <c r="C116">
        <f>'Ninh Duong'!D32</f>
        <v>60.28</v>
      </c>
      <c r="D116">
        <f>'Ninh Duong'!AC67</f>
        <v>0</v>
      </c>
      <c r="E116">
        <f>'Ninh Duong'!BL32</f>
        <v>0</v>
      </c>
      <c r="F116">
        <f t="shared" si="4"/>
        <v>60.28</v>
      </c>
    </row>
    <row r="117" spans="1:6" ht="18" customHeight="1">
      <c r="A117" t="s">
        <v>247</v>
      </c>
      <c r="B117" t="s">
        <v>388</v>
      </c>
      <c r="C117">
        <f>'Hoa Lac'!D32</f>
        <v>0</v>
      </c>
      <c r="D117">
        <f>'Hoa Lac'!AC67</f>
        <v>0</v>
      </c>
      <c r="E117">
        <f>'Hoa Lac'!BL32</f>
        <v>0</v>
      </c>
      <c r="F117">
        <f t="shared" si="4"/>
        <v>0</v>
      </c>
    </row>
    <row r="118" spans="1:6" ht="18" customHeight="1">
      <c r="A118" t="s">
        <v>248</v>
      </c>
      <c r="B118" t="s">
        <v>389</v>
      </c>
      <c r="C118">
        <f>'Tran Phu'!D32</f>
        <v>0</v>
      </c>
      <c r="D118">
        <f>'Tran Phu'!AC67</f>
        <v>0</v>
      </c>
      <c r="E118">
        <f>'Tran Phu'!BL32</f>
        <v>0</v>
      </c>
      <c r="F118">
        <f t="shared" si="4"/>
        <v>0</v>
      </c>
    </row>
    <row r="119" spans="1:6" ht="18" customHeight="1">
      <c r="A119" t="s">
        <v>249</v>
      </c>
      <c r="B119" t="s">
        <v>390</v>
      </c>
      <c r="C119">
        <f>'Hai Hoa'!D32</f>
        <v>2.13</v>
      </c>
      <c r="D119">
        <f>'Hai Hoa'!AC67</f>
        <v>91.61</v>
      </c>
      <c r="E119">
        <f>'Hai Hoa'!BL32</f>
        <v>0</v>
      </c>
      <c r="F119">
        <f t="shared" si="4"/>
        <v>93.74</v>
      </c>
    </row>
    <row r="120" spans="1:6" ht="18" customHeight="1">
      <c r="A120" t="s">
        <v>250</v>
      </c>
      <c r="B120" t="s">
        <v>391</v>
      </c>
      <c r="C120">
        <f>'Tra Co'!D32</f>
        <v>0</v>
      </c>
      <c r="D120">
        <f>'Tra Co'!AC67</f>
        <v>0</v>
      </c>
      <c r="E120">
        <f>'Tra Co'!BL32</f>
        <v>0</v>
      </c>
      <c r="F120">
        <f t="shared" si="4"/>
        <v>0</v>
      </c>
    </row>
    <row r="121" spans="1:6" ht="18" customHeight="1">
      <c r="A121" t="s">
        <v>251</v>
      </c>
      <c r="B121" t="s">
        <v>392</v>
      </c>
      <c r="C121">
        <f>'Binh Ngoc'!D32</f>
        <v>4.0599999999999996</v>
      </c>
      <c r="D121">
        <f>'Binh Ngoc'!AC67</f>
        <v>0</v>
      </c>
      <c r="E121">
        <f>'Binh Ngoc'!BL32</f>
        <v>0</v>
      </c>
      <c r="F121">
        <f t="shared" si="4"/>
        <v>4.0599999999999996</v>
      </c>
    </row>
    <row r="122" spans="1:6" ht="18" customHeight="1">
      <c r="A122" t="s">
        <v>252</v>
      </c>
      <c r="B122" t="s">
        <v>393</v>
      </c>
      <c r="C122">
        <f>'Lien vị'!D32</f>
        <v>0</v>
      </c>
      <c r="D122">
        <f>'Lien vị'!AC67</f>
        <v>0</v>
      </c>
      <c r="E122">
        <f>'Lien vị'!BL32</f>
        <v>0</v>
      </c>
      <c r="F122">
        <f t="shared" si="4"/>
        <v>0</v>
      </c>
    </row>
    <row r="123" spans="1:6" ht="18" customHeight="1">
      <c r="A123" t="s">
        <v>253</v>
      </c>
      <c r="B123" t="s">
        <v>394</v>
      </c>
      <c r="C123">
        <f>'Tien Phong'!D32</f>
        <v>0</v>
      </c>
      <c r="D123">
        <f>'Tien Phong'!AC67</f>
        <v>0</v>
      </c>
      <c r="E123">
        <f>'Tien Phong'!BL32</f>
        <v>0</v>
      </c>
      <c r="F123">
        <f t="shared" si="4"/>
        <v>0</v>
      </c>
    </row>
    <row r="124" spans="1:6" ht="24" customHeight="1">
      <c r="B124" t="s">
        <v>370</v>
      </c>
      <c r="C124">
        <f>SUM(C105:C123)</f>
        <v>126.12</v>
      </c>
      <c r="D124">
        <f>SUM(D105:D123)</f>
        <v>109.86</v>
      </c>
      <c r="E124">
        <f>SUM(E105:E123)</f>
        <v>5.8900000000000006</v>
      </c>
      <c r="F124">
        <f>SUM(F105:F123)</f>
        <v>230.08999999999997</v>
      </c>
    </row>
    <row r="126" spans="1:6">
      <c r="A126" s="1300" t="s">
        <v>419</v>
      </c>
      <c r="B126" s="1300"/>
    </row>
    <row r="127" spans="1:6" ht="26.25" customHeight="1">
      <c r="A127" s="1300" t="s">
        <v>420</v>
      </c>
      <c r="B127" s="1300"/>
      <c r="C127" s="1300"/>
      <c r="D127" s="1300"/>
      <c r="E127" s="1300"/>
      <c r="F127" s="1300"/>
    </row>
    <row r="128" spans="1:6" ht="21" customHeight="1">
      <c r="A128" s="1300" t="s">
        <v>138</v>
      </c>
      <c r="B128" s="1300"/>
      <c r="C128" s="1300"/>
      <c r="D128" s="1300"/>
      <c r="E128" s="1300"/>
      <c r="F128" s="1300"/>
    </row>
    <row r="129" spans="1:6" ht="51" customHeight="1">
      <c r="A129" t="s">
        <v>368</v>
      </c>
      <c r="B129" t="s">
        <v>369</v>
      </c>
      <c r="C129" t="s">
        <v>373</v>
      </c>
      <c r="D129" t="s">
        <v>371</v>
      </c>
      <c r="E129" t="s">
        <v>372</v>
      </c>
      <c r="F129" t="s">
        <v>366</v>
      </c>
    </row>
    <row r="130" spans="1:6" ht="18" customHeight="1">
      <c r="A130" t="s">
        <v>235</v>
      </c>
      <c r="B130" t="s">
        <v>376</v>
      </c>
      <c r="C130">
        <f>'Bac Son'!D34</f>
        <v>94.109500000000011</v>
      </c>
      <c r="D130">
        <f>'Bac Son'!AE67</f>
        <v>3.23</v>
      </c>
      <c r="E130">
        <f>'Bac Son'!BL34</f>
        <v>0.37</v>
      </c>
      <c r="F130">
        <f>C130+D130-E130</f>
        <v>96.969500000000011</v>
      </c>
    </row>
    <row r="131" spans="1:6" ht="18" customHeight="1">
      <c r="A131" t="s">
        <v>236</v>
      </c>
      <c r="B131" t="s">
        <v>377</v>
      </c>
      <c r="C131">
        <f>'Hai Son'!D34</f>
        <v>58.248599999999996</v>
      </c>
      <c r="D131">
        <f>'Hai Son'!AE67</f>
        <v>0.15000000000000002</v>
      </c>
      <c r="E131">
        <f>'Hai Son'!BL34</f>
        <v>0.16</v>
      </c>
      <c r="F131">
        <f t="shared" ref="F131:F148" si="5">C131+D131-E131</f>
        <v>58.238599999999998</v>
      </c>
    </row>
    <row r="132" spans="1:6" ht="18" customHeight="1">
      <c r="A132" t="s">
        <v>237</v>
      </c>
      <c r="B132" t="s">
        <v>378</v>
      </c>
      <c r="C132">
        <f>'Quang Nghia'!D34</f>
        <v>194.39950000000005</v>
      </c>
      <c r="D132">
        <f>'Quang Nghia'!AE67</f>
        <v>26.810000000000006</v>
      </c>
      <c r="E132">
        <f>'Quang Nghia'!BL34</f>
        <v>2.29</v>
      </c>
      <c r="F132">
        <f t="shared" si="5"/>
        <v>218.91950000000006</v>
      </c>
    </row>
    <row r="133" spans="1:6" ht="18" customHeight="1">
      <c r="A133" t="s">
        <v>238</v>
      </c>
      <c r="B133" t="s">
        <v>379</v>
      </c>
      <c r="C133">
        <f>'Hai Dong'!D34</f>
        <v>167.77500000000001</v>
      </c>
      <c r="D133">
        <f>'Hai Dong'!AE67</f>
        <v>10.58</v>
      </c>
      <c r="E133">
        <f>'Hai Dong'!BL34</f>
        <v>0.05</v>
      </c>
      <c r="F133">
        <f t="shared" si="5"/>
        <v>178.30500000000001</v>
      </c>
    </row>
    <row r="134" spans="1:6" ht="18" customHeight="1">
      <c r="A134" t="s">
        <v>239</v>
      </c>
      <c r="B134" t="s">
        <v>380</v>
      </c>
      <c r="C134">
        <f>'Hai Tien'!D34</f>
        <v>149.97999999999999</v>
      </c>
      <c r="D134">
        <f>'Hai Tien'!AE67</f>
        <v>14.080000000000002</v>
      </c>
      <c r="E134">
        <f>'Hai Tien'!BL34</f>
        <v>0.89999999999999991</v>
      </c>
      <c r="F134">
        <f t="shared" si="5"/>
        <v>163.16</v>
      </c>
    </row>
    <row r="135" spans="1:6" ht="18" customHeight="1">
      <c r="A135" t="s">
        <v>240</v>
      </c>
      <c r="B135" t="s">
        <v>381</v>
      </c>
      <c r="C135">
        <f>'Hai Xuan'!D34</f>
        <v>158.82499999999999</v>
      </c>
      <c r="D135">
        <f>'Hai Xuan'!AE67</f>
        <v>10.37</v>
      </c>
      <c r="E135">
        <f>'Hai Xuan'!BL34</f>
        <v>12.059999999999999</v>
      </c>
      <c r="F135">
        <f t="shared" si="5"/>
        <v>157.13499999999999</v>
      </c>
    </row>
    <row r="136" spans="1:6" ht="18" customHeight="1">
      <c r="A136" t="s">
        <v>241</v>
      </c>
      <c r="B136" t="s">
        <v>382</v>
      </c>
      <c r="C136">
        <f>'Van Ninh'!D34</f>
        <v>157.42999999999998</v>
      </c>
      <c r="D136">
        <f>'Van Ninh'!AE68</f>
        <v>18.169999999999998</v>
      </c>
      <c r="E136">
        <f>'Van Ninh'!BL34</f>
        <v>6.68</v>
      </c>
      <c r="F136">
        <f t="shared" si="5"/>
        <v>168.91999999999996</v>
      </c>
    </row>
    <row r="137" spans="1:6" ht="18" customHeight="1">
      <c r="A137" t="s">
        <v>242</v>
      </c>
      <c r="B137" t="s">
        <v>383</v>
      </c>
      <c r="C137">
        <f>'Vinh Trung'!D34</f>
        <v>74.799499999999995</v>
      </c>
      <c r="D137">
        <f>'Vinh Trung'!AE68</f>
        <v>0.42</v>
      </c>
      <c r="E137">
        <f>'Vinh Trung'!BL34</f>
        <v>0</v>
      </c>
      <c r="F137">
        <f t="shared" si="5"/>
        <v>75.219499999999996</v>
      </c>
    </row>
    <row r="138" spans="1:6" ht="18" customHeight="1">
      <c r="A138" t="s">
        <v>243</v>
      </c>
      <c r="B138" t="s">
        <v>384</v>
      </c>
      <c r="C138">
        <f>'Vinh Thuc'!D34</f>
        <v>86.71</v>
      </c>
      <c r="D138">
        <f>'Vinh Thuc'!AE67</f>
        <v>0.55000000000000004</v>
      </c>
      <c r="E138">
        <f>'Vinh Thuc'!BL34</f>
        <v>2.77</v>
      </c>
      <c r="F138">
        <f t="shared" si="5"/>
        <v>84.49</v>
      </c>
    </row>
    <row r="139" spans="1:6" ht="18" customHeight="1">
      <c r="A139" t="s">
        <v>244</v>
      </c>
      <c r="B139" t="s">
        <v>385</v>
      </c>
      <c r="C139">
        <f>'Hai Yen'!D34</f>
        <v>245.72519999999997</v>
      </c>
      <c r="D139">
        <f>'Hai Yen'!AE68</f>
        <v>48.47</v>
      </c>
      <c r="E139">
        <f>'Hai Yen'!BL34</f>
        <v>3.5200000000000005</v>
      </c>
      <c r="F139">
        <f t="shared" si="5"/>
        <v>290.67520000000002</v>
      </c>
    </row>
    <row r="140" spans="1:6" ht="18" customHeight="1">
      <c r="A140" t="s">
        <v>245</v>
      </c>
      <c r="B140" t="s">
        <v>386</v>
      </c>
      <c r="C140">
        <f>'Ka Long'!D34</f>
        <v>60.747900000000001</v>
      </c>
      <c r="D140">
        <f>'Ka Long'!AE67</f>
        <v>0</v>
      </c>
      <c r="E140">
        <f>'Ka Long'!BL34</f>
        <v>0</v>
      </c>
      <c r="F140">
        <f t="shared" si="5"/>
        <v>60.747900000000001</v>
      </c>
    </row>
    <row r="141" spans="1:6" ht="18" customHeight="1">
      <c r="A141" t="s">
        <v>246</v>
      </c>
      <c r="B141" t="s">
        <v>387</v>
      </c>
      <c r="C141">
        <f>'Ninh Duong'!D34</f>
        <v>120.88280000000003</v>
      </c>
      <c r="D141">
        <f>'Ninh Duong'!AE67</f>
        <v>16.860000000000003</v>
      </c>
      <c r="E141">
        <f>'Ninh Duong'!BL34</f>
        <v>0.69000000000000006</v>
      </c>
      <c r="F141">
        <f t="shared" si="5"/>
        <v>137.05280000000005</v>
      </c>
    </row>
    <row r="142" spans="1:6" ht="18" customHeight="1">
      <c r="A142" t="s">
        <v>247</v>
      </c>
      <c r="B142" t="s">
        <v>388</v>
      </c>
      <c r="C142">
        <f>'Hoa Lac'!D34</f>
        <v>29.960000000000004</v>
      </c>
      <c r="D142">
        <f>'Hoa Lac'!AE67</f>
        <v>0</v>
      </c>
      <c r="E142">
        <f>'Hoa Lac'!BL34</f>
        <v>0</v>
      </c>
      <c r="F142">
        <f t="shared" si="5"/>
        <v>29.960000000000004</v>
      </c>
    </row>
    <row r="143" spans="1:6" ht="18" customHeight="1">
      <c r="A143" t="s">
        <v>248</v>
      </c>
      <c r="B143" t="s">
        <v>389</v>
      </c>
      <c r="C143">
        <f>'Tran Phu'!D34</f>
        <v>39.74</v>
      </c>
      <c r="D143">
        <f>'Tran Phu'!AE67</f>
        <v>0.04</v>
      </c>
      <c r="E143">
        <f>'Tran Phu'!BL34</f>
        <v>0.04</v>
      </c>
      <c r="F143">
        <f t="shared" si="5"/>
        <v>39.74</v>
      </c>
    </row>
    <row r="144" spans="1:6" ht="18" customHeight="1">
      <c r="A144" t="s">
        <v>249</v>
      </c>
      <c r="B144" t="s">
        <v>390</v>
      </c>
      <c r="C144">
        <f>'Hai Hoa'!D34</f>
        <v>222.68</v>
      </c>
      <c r="D144">
        <f>'Hai Hoa'!AE67</f>
        <v>79.62</v>
      </c>
      <c r="E144">
        <f>'Hai Hoa'!BL34</f>
        <v>21.740000000000002</v>
      </c>
      <c r="F144">
        <f t="shared" si="5"/>
        <v>280.56</v>
      </c>
    </row>
    <row r="145" spans="1:6" ht="18" customHeight="1">
      <c r="A145" t="s">
        <v>250</v>
      </c>
      <c r="B145" t="s">
        <v>391</v>
      </c>
      <c r="C145">
        <f>'Tra Co'!D34</f>
        <v>164.6095</v>
      </c>
      <c r="D145">
        <f>'Tra Co'!AE67</f>
        <v>3.7</v>
      </c>
      <c r="E145">
        <f>'Tra Co'!BL34</f>
        <v>0.22000000000000003</v>
      </c>
      <c r="F145">
        <f t="shared" si="5"/>
        <v>168.08949999999999</v>
      </c>
    </row>
    <row r="146" spans="1:6" ht="18" customHeight="1">
      <c r="A146" t="s">
        <v>251</v>
      </c>
      <c r="B146" t="s">
        <v>392</v>
      </c>
      <c r="C146">
        <f>'Binh Ngoc'!D34</f>
        <v>117.68999999999998</v>
      </c>
      <c r="D146">
        <f>'Binh Ngoc'!AE67</f>
        <v>1.34</v>
      </c>
      <c r="E146">
        <f>'Binh Ngoc'!BL34</f>
        <v>0.24</v>
      </c>
      <c r="F146">
        <f t="shared" si="5"/>
        <v>118.78999999999999</v>
      </c>
    </row>
    <row r="147" spans="1:6" ht="18" customHeight="1">
      <c r="A147" t="s">
        <v>252</v>
      </c>
      <c r="B147" t="s">
        <v>393</v>
      </c>
      <c r="C147">
        <f>'Lien vị'!D34</f>
        <v>0</v>
      </c>
      <c r="D147">
        <f>'Lien vị'!AE67</f>
        <v>0</v>
      </c>
      <c r="E147">
        <f>'Lien vị'!BL34</f>
        <v>0</v>
      </c>
      <c r="F147">
        <f t="shared" si="5"/>
        <v>0</v>
      </c>
    </row>
    <row r="148" spans="1:6" ht="18" customHeight="1">
      <c r="A148" t="s">
        <v>253</v>
      </c>
      <c r="B148" t="s">
        <v>394</v>
      </c>
      <c r="C148">
        <f>'Tien Phong'!D34</f>
        <v>0</v>
      </c>
      <c r="D148">
        <f>'Tien Phong'!AE67</f>
        <v>0</v>
      </c>
      <c r="E148">
        <f>'Tien Phong'!BL34</f>
        <v>0</v>
      </c>
      <c r="F148">
        <f t="shared" si="5"/>
        <v>0</v>
      </c>
    </row>
    <row r="149" spans="1:6" ht="24" customHeight="1">
      <c r="B149" t="s">
        <v>370</v>
      </c>
      <c r="C149">
        <f>SUM(C130:C148)</f>
        <v>2144.3125000000005</v>
      </c>
      <c r="D149">
        <f>SUM(D130:D148)</f>
        <v>234.39000000000001</v>
      </c>
      <c r="E149">
        <f>SUM(E130:E148)</f>
        <v>51.73</v>
      </c>
      <c r="F149">
        <f>SUM(F130:F148)</f>
        <v>2326.9724999999999</v>
      </c>
    </row>
    <row r="151" spans="1:6">
      <c r="A151" s="1300" t="s">
        <v>421</v>
      </c>
      <c r="B151" s="1300"/>
    </row>
    <row r="152" spans="1:6" ht="26.25" customHeight="1">
      <c r="A152" s="1300" t="s">
        <v>422</v>
      </c>
      <c r="B152" s="1300"/>
      <c r="C152" s="1300"/>
      <c r="D152" s="1300"/>
      <c r="E152" s="1300"/>
      <c r="F152" s="1300"/>
    </row>
    <row r="153" spans="1:6" ht="21" customHeight="1">
      <c r="A153" s="1300" t="s">
        <v>138</v>
      </c>
      <c r="B153" s="1300"/>
      <c r="C153" s="1300"/>
      <c r="D153" s="1300"/>
      <c r="E153" s="1300"/>
      <c r="F153" s="1300"/>
    </row>
    <row r="154" spans="1:6" ht="51" customHeight="1">
      <c r="A154" t="s">
        <v>368</v>
      </c>
      <c r="B154" t="s">
        <v>369</v>
      </c>
      <c r="C154" t="s">
        <v>373</v>
      </c>
      <c r="D154" t="s">
        <v>371</v>
      </c>
      <c r="E154" t="s">
        <v>372</v>
      </c>
      <c r="F154" t="s">
        <v>366</v>
      </c>
    </row>
    <row r="155" spans="1:6" ht="18" customHeight="1">
      <c r="A155" t="s">
        <v>235</v>
      </c>
      <c r="B155" t="s">
        <v>376</v>
      </c>
      <c r="C155">
        <f>'Bac Son'!D46</f>
        <v>0</v>
      </c>
      <c r="D155">
        <f>'Bac Son'!AQ67</f>
        <v>0</v>
      </c>
      <c r="E155">
        <f>'Bac Son'!BL46</f>
        <v>0</v>
      </c>
      <c r="F155">
        <f>C155+D155-E155</f>
        <v>0</v>
      </c>
    </row>
    <row r="156" spans="1:6" ht="18" customHeight="1">
      <c r="A156" t="s">
        <v>236</v>
      </c>
      <c r="B156" t="s">
        <v>377</v>
      </c>
      <c r="C156">
        <f>'Hai Son'!D46</f>
        <v>0</v>
      </c>
      <c r="D156">
        <f>'Hai Son'!AQ67</f>
        <v>0</v>
      </c>
      <c r="E156">
        <f>'Hai Son'!BL46</f>
        <v>0</v>
      </c>
      <c r="F156">
        <f t="shared" ref="F156:F173" si="6">C156+D156-E156</f>
        <v>0</v>
      </c>
    </row>
    <row r="157" spans="1:6" ht="18" customHeight="1">
      <c r="A157" t="s">
        <v>237</v>
      </c>
      <c r="B157" t="s">
        <v>378</v>
      </c>
      <c r="C157">
        <f>'Quang Nghia'!D46</f>
        <v>0</v>
      </c>
      <c r="D157">
        <f>'Quang Nghia'!AQ67</f>
        <v>0</v>
      </c>
      <c r="E157">
        <f>'Quang Nghia'!BL46</f>
        <v>0</v>
      </c>
      <c r="F157">
        <f t="shared" si="6"/>
        <v>0</v>
      </c>
    </row>
    <row r="158" spans="1:6" ht="18" customHeight="1">
      <c r="A158" t="s">
        <v>238</v>
      </c>
      <c r="B158" t="s">
        <v>379</v>
      </c>
      <c r="C158">
        <f>'Hai Dong'!D46</f>
        <v>0</v>
      </c>
      <c r="D158">
        <f>'Hai Dong'!AQ67</f>
        <v>0</v>
      </c>
      <c r="E158">
        <f>'Hai Dong'!BL46</f>
        <v>0</v>
      </c>
      <c r="F158">
        <f t="shared" si="6"/>
        <v>0</v>
      </c>
    </row>
    <row r="159" spans="1:6" ht="18" customHeight="1">
      <c r="A159" t="s">
        <v>239</v>
      </c>
      <c r="B159" t="s">
        <v>380</v>
      </c>
      <c r="C159">
        <f>'Hai Tien'!D46</f>
        <v>0</v>
      </c>
      <c r="D159">
        <f>'Hai Tien'!AQ67</f>
        <v>0</v>
      </c>
      <c r="E159">
        <f>'Hai Tien'!BL46</f>
        <v>0</v>
      </c>
      <c r="F159">
        <f t="shared" si="6"/>
        <v>0</v>
      </c>
    </row>
    <row r="160" spans="1:6" ht="18" customHeight="1">
      <c r="A160" t="s">
        <v>240</v>
      </c>
      <c r="B160" t="s">
        <v>381</v>
      </c>
      <c r="C160">
        <f>'Hai Xuan'!D46</f>
        <v>0</v>
      </c>
      <c r="D160">
        <f>'Hai Xuan'!AQ67</f>
        <v>0</v>
      </c>
      <c r="E160">
        <f>'Hai Xuan'!BL46</f>
        <v>0</v>
      </c>
      <c r="F160">
        <f t="shared" si="6"/>
        <v>0</v>
      </c>
    </row>
    <row r="161" spans="1:6" ht="18" customHeight="1">
      <c r="A161" t="s">
        <v>241</v>
      </c>
      <c r="B161" t="s">
        <v>382</v>
      </c>
      <c r="C161">
        <f>'Van Ninh'!D46</f>
        <v>7.0000000000000007E-2</v>
      </c>
      <c r="D161">
        <f>'Van Ninh'!AQ68</f>
        <v>0</v>
      </c>
      <c r="E161">
        <f>'Van Ninh'!BL46</f>
        <v>0</v>
      </c>
      <c r="F161">
        <f t="shared" si="6"/>
        <v>7.0000000000000007E-2</v>
      </c>
    </row>
    <row r="162" spans="1:6" ht="18" customHeight="1">
      <c r="A162" t="s">
        <v>242</v>
      </c>
      <c r="B162" t="s">
        <v>383</v>
      </c>
      <c r="C162">
        <f>'Vinh Trung'!D46</f>
        <v>0</v>
      </c>
      <c r="D162">
        <f>'Vinh Trung'!AQ68</f>
        <v>0</v>
      </c>
      <c r="E162">
        <f>'Vinh Trung'!BL46</f>
        <v>0</v>
      </c>
      <c r="F162">
        <f t="shared" si="6"/>
        <v>0</v>
      </c>
    </row>
    <row r="163" spans="1:6" ht="18" customHeight="1">
      <c r="A163" t="s">
        <v>243</v>
      </c>
      <c r="B163" t="s">
        <v>384</v>
      </c>
      <c r="C163">
        <f>'Vinh Thuc'!D46</f>
        <v>0</v>
      </c>
      <c r="D163">
        <f>'Vinh Thuc'!AQ67</f>
        <v>0</v>
      </c>
      <c r="E163">
        <f>'Vinh Thuc'!BL46</f>
        <v>0</v>
      </c>
      <c r="F163">
        <f t="shared" si="6"/>
        <v>0</v>
      </c>
    </row>
    <row r="164" spans="1:6" ht="18" customHeight="1">
      <c r="A164" t="s">
        <v>244</v>
      </c>
      <c r="B164" t="s">
        <v>385</v>
      </c>
      <c r="C164">
        <f>'Hai Yen'!D46</f>
        <v>0</v>
      </c>
      <c r="D164">
        <f>'Hai Yen'!AQ68</f>
        <v>0</v>
      </c>
      <c r="E164">
        <f>'Hai Yen'!BL46</f>
        <v>0</v>
      </c>
      <c r="F164">
        <f t="shared" si="6"/>
        <v>0</v>
      </c>
    </row>
    <row r="165" spans="1:6" ht="18" customHeight="1">
      <c r="A165" t="s">
        <v>245</v>
      </c>
      <c r="B165" t="s">
        <v>386</v>
      </c>
      <c r="C165">
        <f>'Ka Long'!D46</f>
        <v>0</v>
      </c>
      <c r="D165">
        <f>'Ka Long'!AQ67</f>
        <v>0</v>
      </c>
      <c r="E165">
        <f>'Ka Long'!BL46</f>
        <v>0</v>
      </c>
      <c r="F165">
        <f t="shared" si="6"/>
        <v>0</v>
      </c>
    </row>
    <row r="166" spans="1:6" ht="18" customHeight="1">
      <c r="A166" t="s">
        <v>246</v>
      </c>
      <c r="B166" t="s">
        <v>387</v>
      </c>
      <c r="C166">
        <f>'Ninh Duong'!D46</f>
        <v>0</v>
      </c>
      <c r="D166">
        <f>'Ninh Duong'!AQ67</f>
        <v>0</v>
      </c>
      <c r="E166">
        <f>'Ninh Duong'!BL46</f>
        <v>0</v>
      </c>
      <c r="F166">
        <f t="shared" si="6"/>
        <v>0</v>
      </c>
    </row>
    <row r="167" spans="1:6" ht="18" customHeight="1">
      <c r="A167" t="s">
        <v>247</v>
      </c>
      <c r="B167" t="s">
        <v>388</v>
      </c>
      <c r="C167">
        <f>'Hoa Lac'!D46</f>
        <v>0</v>
      </c>
      <c r="D167">
        <f>'Hoa Lac'!AQ67</f>
        <v>0</v>
      </c>
      <c r="E167">
        <f>'Hoa Lac'!BL46</f>
        <v>0</v>
      </c>
      <c r="F167">
        <f t="shared" si="6"/>
        <v>0</v>
      </c>
    </row>
    <row r="168" spans="1:6" ht="18" customHeight="1">
      <c r="A168" t="s">
        <v>248</v>
      </c>
      <c r="B168" t="s">
        <v>389</v>
      </c>
      <c r="C168">
        <f>'Tran Phu'!D46</f>
        <v>0</v>
      </c>
      <c r="D168">
        <f>'Tran Phu'!AQ67</f>
        <v>0</v>
      </c>
      <c r="E168">
        <f>'Tran Phu'!BL46</f>
        <v>0</v>
      </c>
      <c r="F168">
        <f t="shared" si="6"/>
        <v>0</v>
      </c>
    </row>
    <row r="169" spans="1:6" ht="18" customHeight="1">
      <c r="A169" t="s">
        <v>249</v>
      </c>
      <c r="B169" t="s">
        <v>390</v>
      </c>
      <c r="C169">
        <f>'Hai Hoa'!D46</f>
        <v>0</v>
      </c>
      <c r="D169">
        <f>'Hai Hoa'!AQ67</f>
        <v>0</v>
      </c>
      <c r="E169">
        <f>'Hai Hoa'!BL46</f>
        <v>0</v>
      </c>
      <c r="F169">
        <f t="shared" si="6"/>
        <v>0</v>
      </c>
    </row>
    <row r="170" spans="1:6" ht="18" customHeight="1">
      <c r="A170" t="s">
        <v>250</v>
      </c>
      <c r="B170" t="s">
        <v>391</v>
      </c>
      <c r="C170">
        <f>'Tra Co'!D46</f>
        <v>0.17</v>
      </c>
      <c r="D170">
        <f>'Tra Co'!AQ67</f>
        <v>0</v>
      </c>
      <c r="E170">
        <f>'Tra Co'!BL46</f>
        <v>0</v>
      </c>
      <c r="F170">
        <f t="shared" si="6"/>
        <v>0.17</v>
      </c>
    </row>
    <row r="171" spans="1:6" ht="18" customHeight="1">
      <c r="A171" t="s">
        <v>251</v>
      </c>
      <c r="B171" t="s">
        <v>392</v>
      </c>
      <c r="C171">
        <f>'Binh Ngoc'!D46</f>
        <v>0</v>
      </c>
      <c r="D171">
        <f>'Binh Ngoc'!AQ67</f>
        <v>0</v>
      </c>
      <c r="E171">
        <f>'Binh Ngoc'!BL46</f>
        <v>0</v>
      </c>
      <c r="F171">
        <f t="shared" si="6"/>
        <v>0</v>
      </c>
    </row>
    <row r="172" spans="1:6" ht="18" customHeight="1">
      <c r="A172" t="s">
        <v>252</v>
      </c>
      <c r="B172" t="s">
        <v>393</v>
      </c>
      <c r="C172">
        <f>'Lien vị'!D46</f>
        <v>0</v>
      </c>
      <c r="D172">
        <f>'Lien vị'!AQ67</f>
        <v>0</v>
      </c>
      <c r="E172">
        <f>'Lien vị'!BL46</f>
        <v>0</v>
      </c>
      <c r="F172">
        <f t="shared" si="6"/>
        <v>0</v>
      </c>
    </row>
    <row r="173" spans="1:6" ht="18" customHeight="1">
      <c r="A173" t="s">
        <v>253</v>
      </c>
      <c r="B173" t="s">
        <v>394</v>
      </c>
      <c r="C173">
        <f>'Tien Phong'!D46</f>
        <v>0</v>
      </c>
      <c r="D173">
        <f>'Tien Phong'!AQ67</f>
        <v>0</v>
      </c>
      <c r="E173">
        <f>'Tien Phong'!BL46</f>
        <v>0</v>
      </c>
      <c r="F173">
        <f t="shared" si="6"/>
        <v>0</v>
      </c>
    </row>
    <row r="174" spans="1:6" ht="24" customHeight="1">
      <c r="B174" t="s">
        <v>370</v>
      </c>
      <c r="C174">
        <f>SUM(C155:C173)</f>
        <v>0.24000000000000002</v>
      </c>
      <c r="D174">
        <f>SUM(D155:D173)</f>
        <v>0</v>
      </c>
      <c r="E174">
        <f>SUM(E155:E173)</f>
        <v>0</v>
      </c>
      <c r="F174">
        <f>SUM(F155:F173)</f>
        <v>0.24000000000000002</v>
      </c>
    </row>
    <row r="176" spans="1:6">
      <c r="A176" s="1300" t="s">
        <v>431</v>
      </c>
      <c r="B176" s="1300"/>
    </row>
    <row r="177" spans="1:6" ht="26.25" customHeight="1">
      <c r="A177" s="1300" t="s">
        <v>432</v>
      </c>
      <c r="B177" s="1300"/>
      <c r="C177" s="1300"/>
      <c r="D177" s="1300"/>
      <c r="E177" s="1300"/>
      <c r="F177" s="1300"/>
    </row>
    <row r="178" spans="1:6" ht="21" customHeight="1">
      <c r="A178" s="1300" t="s">
        <v>138</v>
      </c>
      <c r="B178" s="1300"/>
      <c r="C178" s="1300"/>
      <c r="D178" s="1300"/>
      <c r="E178" s="1300"/>
      <c r="F178" s="1300"/>
    </row>
    <row r="179" spans="1:6" ht="51" customHeight="1">
      <c r="A179" t="s">
        <v>368</v>
      </c>
      <c r="B179" t="s">
        <v>369</v>
      </c>
      <c r="C179" t="s">
        <v>373</v>
      </c>
      <c r="D179" t="s">
        <v>371</v>
      </c>
      <c r="E179" t="s">
        <v>372</v>
      </c>
      <c r="F179" t="s">
        <v>366</v>
      </c>
    </row>
    <row r="180" spans="1:6" ht="18" customHeight="1">
      <c r="A180" t="s">
        <v>235</v>
      </c>
      <c r="B180" t="s">
        <v>376</v>
      </c>
      <c r="C180">
        <f>'Bac Son'!D48</f>
        <v>0</v>
      </c>
      <c r="D180">
        <f>'Bac Son'!AS67</f>
        <v>0</v>
      </c>
      <c r="E180">
        <f>'Bac Son'!BL48</f>
        <v>0</v>
      </c>
      <c r="F180">
        <f>C180+D180-E180</f>
        <v>0</v>
      </c>
    </row>
    <row r="181" spans="1:6" ht="18" customHeight="1">
      <c r="A181" t="s">
        <v>236</v>
      </c>
      <c r="B181" t="s">
        <v>377</v>
      </c>
      <c r="C181">
        <f>'Hai Son'!D48</f>
        <v>0</v>
      </c>
      <c r="D181">
        <f>'Hai Son'!AS67</f>
        <v>0</v>
      </c>
      <c r="E181">
        <f>'Hai Son'!BL48</f>
        <v>0</v>
      </c>
      <c r="F181">
        <f t="shared" ref="F181:F198" si="7">C181+D181-E181</f>
        <v>0</v>
      </c>
    </row>
    <row r="182" spans="1:6" ht="18" customHeight="1">
      <c r="A182" t="s">
        <v>237</v>
      </c>
      <c r="B182" t="s">
        <v>378</v>
      </c>
      <c r="C182">
        <f>'Quang Nghia'!D48</f>
        <v>35.369999999999997</v>
      </c>
      <c r="D182">
        <f>'Quang Nghia'!AS67</f>
        <v>0.78</v>
      </c>
      <c r="E182">
        <f>'Quang Nghia'!BL48</f>
        <v>0</v>
      </c>
      <c r="F182">
        <f t="shared" si="7"/>
        <v>36.15</v>
      </c>
    </row>
    <row r="183" spans="1:6" ht="18" customHeight="1">
      <c r="A183" t="s">
        <v>238</v>
      </c>
      <c r="B183" t="s">
        <v>379</v>
      </c>
      <c r="C183">
        <f>'Hai Dong'!D48</f>
        <v>0</v>
      </c>
      <c r="D183">
        <f>'Hai Dong'!AS67</f>
        <v>1.29</v>
      </c>
      <c r="E183">
        <f>'Hai Dong'!BL48</f>
        <v>0</v>
      </c>
      <c r="F183">
        <f t="shared" si="7"/>
        <v>1.29</v>
      </c>
    </row>
    <row r="184" spans="1:6" ht="18" customHeight="1">
      <c r="A184" t="s">
        <v>239</v>
      </c>
      <c r="B184" t="s">
        <v>380</v>
      </c>
      <c r="C184">
        <f>'Hai Tien'!D48</f>
        <v>0</v>
      </c>
      <c r="D184">
        <f>'Hai Tien'!AS67</f>
        <v>4.6000000000000005</v>
      </c>
      <c r="E184">
        <f>'Hai Tien'!BL48</f>
        <v>0</v>
      </c>
      <c r="F184">
        <f t="shared" si="7"/>
        <v>4.6000000000000005</v>
      </c>
    </row>
    <row r="185" spans="1:6" ht="18" customHeight="1">
      <c r="A185" t="s">
        <v>240</v>
      </c>
      <c r="B185" t="s">
        <v>381</v>
      </c>
      <c r="C185">
        <f>'Hai Xuan'!D48</f>
        <v>2.65</v>
      </c>
      <c r="D185">
        <f>'Hai Xuan'!AS67</f>
        <v>3.73</v>
      </c>
      <c r="E185">
        <f>'Hai Xuan'!BL48</f>
        <v>0</v>
      </c>
      <c r="F185">
        <f t="shared" si="7"/>
        <v>6.38</v>
      </c>
    </row>
    <row r="186" spans="1:6" ht="18" customHeight="1">
      <c r="A186" t="s">
        <v>241</v>
      </c>
      <c r="B186" t="s">
        <v>382</v>
      </c>
      <c r="C186">
        <f>'Van Ninh'!D48</f>
        <v>0.01</v>
      </c>
      <c r="D186">
        <f>'Van Ninh'!AS68</f>
        <v>1.22</v>
      </c>
      <c r="E186">
        <f>'Van Ninh'!BL48</f>
        <v>0</v>
      </c>
      <c r="F186">
        <f t="shared" si="7"/>
        <v>1.23</v>
      </c>
    </row>
    <row r="187" spans="1:6" ht="18" customHeight="1">
      <c r="A187" t="s">
        <v>242</v>
      </c>
      <c r="B187" t="s">
        <v>383</v>
      </c>
      <c r="C187">
        <f>'Vinh Trung'!D48</f>
        <v>0.16</v>
      </c>
      <c r="D187">
        <f>'Vinh Trung'!AS68</f>
        <v>0</v>
      </c>
      <c r="E187">
        <f>'Vinh Trung'!BL48</f>
        <v>0</v>
      </c>
      <c r="F187">
        <f t="shared" si="7"/>
        <v>0.16</v>
      </c>
    </row>
    <row r="188" spans="1:6" ht="18" customHeight="1">
      <c r="A188" t="s">
        <v>243</v>
      </c>
      <c r="B188" t="s">
        <v>384</v>
      </c>
      <c r="C188">
        <f>'Vinh Thuc'!D48</f>
        <v>0.21</v>
      </c>
      <c r="D188">
        <f>'Vinh Thuc'!AS67</f>
        <v>0</v>
      </c>
      <c r="E188">
        <f>'Vinh Thuc'!BL48</f>
        <v>0</v>
      </c>
      <c r="F188">
        <f t="shared" si="7"/>
        <v>0.21</v>
      </c>
    </row>
    <row r="189" spans="1:6" ht="18" customHeight="1">
      <c r="A189" t="s">
        <v>244</v>
      </c>
      <c r="B189" t="s">
        <v>385</v>
      </c>
      <c r="C189">
        <f>'Hai Yen'!D48</f>
        <v>3.84</v>
      </c>
      <c r="D189">
        <f>'Hai Yen'!AS68</f>
        <v>0</v>
      </c>
      <c r="E189">
        <f>'Hai Yen'!BL48</f>
        <v>0</v>
      </c>
      <c r="F189">
        <f t="shared" si="7"/>
        <v>3.84</v>
      </c>
    </row>
    <row r="190" spans="1:6" ht="18" customHeight="1">
      <c r="A190" t="s">
        <v>245</v>
      </c>
      <c r="B190" t="s">
        <v>386</v>
      </c>
      <c r="C190">
        <f>'Ka Long'!D48</f>
        <v>0</v>
      </c>
      <c r="D190">
        <f>'Ka Long'!AS67</f>
        <v>0</v>
      </c>
      <c r="E190">
        <f>'Ka Long'!BL48</f>
        <v>0</v>
      </c>
      <c r="F190">
        <f t="shared" si="7"/>
        <v>0</v>
      </c>
    </row>
    <row r="191" spans="1:6" ht="18" customHeight="1">
      <c r="A191" t="s">
        <v>246</v>
      </c>
      <c r="B191" t="s">
        <v>387</v>
      </c>
      <c r="C191">
        <f>'Ninh Duong'!D48</f>
        <v>0</v>
      </c>
      <c r="D191">
        <f>'Ninh Duong'!AS67</f>
        <v>0</v>
      </c>
      <c r="E191">
        <f>'Ninh Duong'!BL48</f>
        <v>0</v>
      </c>
      <c r="F191">
        <f t="shared" si="7"/>
        <v>0</v>
      </c>
    </row>
    <row r="192" spans="1:6" ht="18" customHeight="1">
      <c r="A192" t="s">
        <v>247</v>
      </c>
      <c r="B192" t="s">
        <v>388</v>
      </c>
      <c r="C192">
        <f>'Hoa Lac'!D48</f>
        <v>0</v>
      </c>
      <c r="D192">
        <f>'Hoa Lac'!AS67</f>
        <v>0</v>
      </c>
      <c r="E192">
        <f>'Hoa Lac'!BL48</f>
        <v>0</v>
      </c>
      <c r="F192">
        <f t="shared" si="7"/>
        <v>0</v>
      </c>
    </row>
    <row r="193" spans="1:6" ht="18" customHeight="1">
      <c r="A193" t="s">
        <v>248</v>
      </c>
      <c r="B193" t="s">
        <v>389</v>
      </c>
      <c r="C193">
        <f>'Tran Phu'!D48</f>
        <v>0</v>
      </c>
      <c r="D193">
        <f>'Tran Phu'!AS67</f>
        <v>0</v>
      </c>
      <c r="E193">
        <f>'Tran Phu'!BL48</f>
        <v>0</v>
      </c>
      <c r="F193">
        <f t="shared" si="7"/>
        <v>0</v>
      </c>
    </row>
    <row r="194" spans="1:6" ht="18" customHeight="1">
      <c r="A194" t="s">
        <v>249</v>
      </c>
      <c r="B194" t="s">
        <v>390</v>
      </c>
      <c r="C194">
        <f>'Hai Hoa'!D48</f>
        <v>2.09</v>
      </c>
      <c r="D194">
        <f>'Hai Hoa'!AS67</f>
        <v>0</v>
      </c>
      <c r="E194">
        <f>'Hai Hoa'!BL48</f>
        <v>0.1</v>
      </c>
      <c r="F194">
        <f t="shared" si="7"/>
        <v>1.9899999999999998</v>
      </c>
    </row>
    <row r="195" spans="1:6" ht="18" customHeight="1">
      <c r="A195" t="s">
        <v>250</v>
      </c>
      <c r="B195" t="s">
        <v>391</v>
      </c>
      <c r="C195">
        <f>'Tra Co'!D48</f>
        <v>0</v>
      </c>
      <c r="D195">
        <f>'Tra Co'!AS67</f>
        <v>0</v>
      </c>
      <c r="E195">
        <f>'Tra Co'!BL48</f>
        <v>0</v>
      </c>
      <c r="F195">
        <f t="shared" si="7"/>
        <v>0</v>
      </c>
    </row>
    <row r="196" spans="1:6" ht="18" customHeight="1">
      <c r="A196" t="s">
        <v>251</v>
      </c>
      <c r="B196" t="s">
        <v>392</v>
      </c>
      <c r="C196">
        <f>'Binh Ngoc'!D48</f>
        <v>0</v>
      </c>
      <c r="D196">
        <f>'Binh Ngoc'!AS67</f>
        <v>0</v>
      </c>
      <c r="E196">
        <f>'Binh Ngoc'!BL48</f>
        <v>0</v>
      </c>
      <c r="F196">
        <f t="shared" si="7"/>
        <v>0</v>
      </c>
    </row>
    <row r="197" spans="1:6" ht="18" customHeight="1">
      <c r="A197" t="s">
        <v>252</v>
      </c>
      <c r="B197" t="s">
        <v>393</v>
      </c>
      <c r="C197">
        <f>'Lien vị'!D48</f>
        <v>0</v>
      </c>
      <c r="D197">
        <f>'Lien vị'!AS67</f>
        <v>0</v>
      </c>
      <c r="E197">
        <f>'Lien vị'!BL48</f>
        <v>0</v>
      </c>
      <c r="F197">
        <f t="shared" si="7"/>
        <v>0</v>
      </c>
    </row>
    <row r="198" spans="1:6" ht="18" customHeight="1">
      <c r="A198" t="s">
        <v>253</v>
      </c>
      <c r="B198" t="s">
        <v>394</v>
      </c>
      <c r="C198">
        <f>'Tien Phong'!D48</f>
        <v>0</v>
      </c>
      <c r="D198">
        <f>'Tien Phong'!AS67</f>
        <v>0</v>
      </c>
      <c r="E198">
        <f>'Tien Phong'!BL48</f>
        <v>0</v>
      </c>
      <c r="F198">
        <f t="shared" si="7"/>
        <v>0</v>
      </c>
    </row>
    <row r="199" spans="1:6" ht="24" customHeight="1">
      <c r="B199" t="s">
        <v>370</v>
      </c>
      <c r="C199">
        <f>SUM(C180:C198)</f>
        <v>44.33</v>
      </c>
      <c r="D199">
        <f>SUM(D180:D198)</f>
        <v>11.620000000000001</v>
      </c>
      <c r="E199">
        <f>SUM(E180:E198)</f>
        <v>0.1</v>
      </c>
      <c r="F199">
        <f>SUM(F180:F198)</f>
        <v>55.85</v>
      </c>
    </row>
    <row r="201" spans="1:6">
      <c r="A201" s="1300" t="s">
        <v>431</v>
      </c>
      <c r="B201" s="1300"/>
    </row>
    <row r="202" spans="1:6" ht="26.25" customHeight="1">
      <c r="A202" s="1300" t="s">
        <v>433</v>
      </c>
      <c r="B202" s="1300"/>
      <c r="C202" s="1300"/>
      <c r="D202" s="1300"/>
      <c r="E202" s="1300"/>
      <c r="F202" s="1300"/>
    </row>
    <row r="203" spans="1:6" ht="21" customHeight="1">
      <c r="A203" s="1300" t="s">
        <v>138</v>
      </c>
      <c r="B203" s="1300"/>
      <c r="C203" s="1300"/>
      <c r="D203" s="1300"/>
      <c r="E203" s="1300"/>
      <c r="F203" s="1300"/>
    </row>
    <row r="204" spans="1:6" ht="51" customHeight="1">
      <c r="A204" t="s">
        <v>368</v>
      </c>
      <c r="B204" t="s">
        <v>369</v>
      </c>
      <c r="C204" t="s">
        <v>373</v>
      </c>
      <c r="D204" t="s">
        <v>371</v>
      </c>
      <c r="E204" t="s">
        <v>372</v>
      </c>
      <c r="F204" t="s">
        <v>366</v>
      </c>
    </row>
    <row r="205" spans="1:6" ht="18" customHeight="1">
      <c r="A205" t="s">
        <v>235</v>
      </c>
      <c r="B205" t="s">
        <v>376</v>
      </c>
      <c r="D205">
        <f>'Bac Son'!AS92</f>
        <v>0</v>
      </c>
      <c r="E205">
        <f>'Bac Son'!BL73</f>
        <v>0</v>
      </c>
      <c r="F205">
        <f>C205+D205-E205</f>
        <v>0</v>
      </c>
    </row>
    <row r="206" spans="1:6" ht="18" customHeight="1">
      <c r="A206" t="s">
        <v>236</v>
      </c>
      <c r="B206" t="s">
        <v>377</v>
      </c>
      <c r="C206">
        <f>'Hai Son'!D73</f>
        <v>0</v>
      </c>
      <c r="D206">
        <f>'Hai Son'!AS92</f>
        <v>0</v>
      </c>
      <c r="E206">
        <f>'Hai Son'!BL73</f>
        <v>0</v>
      </c>
      <c r="F206">
        <f t="shared" ref="F206:F223" si="8">C206+D206-E206</f>
        <v>0</v>
      </c>
    </row>
    <row r="207" spans="1:6" ht="18" customHeight="1">
      <c r="A207" t="s">
        <v>237</v>
      </c>
      <c r="B207" t="s">
        <v>378</v>
      </c>
      <c r="C207">
        <f>'Quang Nghia'!D73</f>
        <v>0</v>
      </c>
      <c r="D207">
        <f>'Quang Nghia'!AS92</f>
        <v>0</v>
      </c>
      <c r="E207">
        <f>'Quang Nghia'!BL73</f>
        <v>0</v>
      </c>
      <c r="F207">
        <f t="shared" si="8"/>
        <v>0</v>
      </c>
    </row>
    <row r="208" spans="1:6" ht="18" customHeight="1">
      <c r="A208" t="s">
        <v>238</v>
      </c>
      <c r="B208" t="s">
        <v>379</v>
      </c>
      <c r="C208">
        <f>'Hai Dong'!D73</f>
        <v>0</v>
      </c>
      <c r="D208">
        <f>'Hai Dong'!AS92</f>
        <v>0</v>
      </c>
      <c r="E208">
        <f>'Hai Dong'!BL73</f>
        <v>0</v>
      </c>
      <c r="F208">
        <f t="shared" si="8"/>
        <v>0</v>
      </c>
    </row>
    <row r="209" spans="1:6" ht="18" customHeight="1">
      <c r="A209" t="s">
        <v>239</v>
      </c>
      <c r="B209" t="s">
        <v>380</v>
      </c>
      <c r="C209">
        <f>'Hai Tien'!D73</f>
        <v>0</v>
      </c>
      <c r="D209">
        <f>'Hai Tien'!AS92</f>
        <v>0</v>
      </c>
      <c r="E209">
        <f>'Hai Tien'!BL73</f>
        <v>0</v>
      </c>
      <c r="F209">
        <f t="shared" si="8"/>
        <v>0</v>
      </c>
    </row>
    <row r="210" spans="1:6" ht="18" customHeight="1">
      <c r="A210" t="s">
        <v>240</v>
      </c>
      <c r="B210" t="s">
        <v>381</v>
      </c>
      <c r="C210">
        <f>'Hai Xuan'!D73</f>
        <v>0</v>
      </c>
      <c r="D210">
        <f>'Hai Xuan'!AS92</f>
        <v>0</v>
      </c>
      <c r="E210">
        <f>'Hai Xuan'!BL73</f>
        <v>0</v>
      </c>
      <c r="F210">
        <f t="shared" si="8"/>
        <v>0</v>
      </c>
    </row>
    <row r="211" spans="1:6" ht="18" customHeight="1">
      <c r="A211" t="s">
        <v>241</v>
      </c>
      <c r="B211" t="s">
        <v>382</v>
      </c>
      <c r="C211">
        <f>'Van Ninh'!D74</f>
        <v>0</v>
      </c>
      <c r="D211">
        <f>'Van Ninh'!AS93</f>
        <v>0</v>
      </c>
      <c r="E211">
        <f>'Van Ninh'!BL74</f>
        <v>0</v>
      </c>
      <c r="F211">
        <f t="shared" si="8"/>
        <v>0</v>
      </c>
    </row>
    <row r="212" spans="1:6" ht="18" customHeight="1">
      <c r="A212" t="s">
        <v>242</v>
      </c>
      <c r="B212" t="s">
        <v>383</v>
      </c>
      <c r="C212">
        <f>'Vinh Trung'!D74</f>
        <v>0</v>
      </c>
      <c r="D212">
        <f>'Vinh Trung'!AS93</f>
        <v>0</v>
      </c>
      <c r="E212">
        <f>'Vinh Trung'!BL74</f>
        <v>0</v>
      </c>
      <c r="F212">
        <f t="shared" si="8"/>
        <v>0</v>
      </c>
    </row>
    <row r="213" spans="1:6" ht="18" customHeight="1">
      <c r="A213" t="s">
        <v>243</v>
      </c>
      <c r="B213" t="s">
        <v>384</v>
      </c>
      <c r="C213">
        <f>'Vinh Thuc'!D73</f>
        <v>0</v>
      </c>
      <c r="D213">
        <f>'Vinh Thuc'!AS92</f>
        <v>0</v>
      </c>
      <c r="E213">
        <f>'Vinh Thuc'!BL73</f>
        <v>0</v>
      </c>
      <c r="F213">
        <f t="shared" si="8"/>
        <v>0</v>
      </c>
    </row>
    <row r="214" spans="1:6" ht="18" customHeight="1">
      <c r="A214" t="s">
        <v>244</v>
      </c>
      <c r="B214" t="s">
        <v>385</v>
      </c>
      <c r="C214">
        <f>'Hai Yen'!D74</f>
        <v>0</v>
      </c>
      <c r="D214">
        <f>'Hai Yen'!AS93</f>
        <v>0</v>
      </c>
      <c r="E214">
        <f>'Hai Yen'!BL74</f>
        <v>0</v>
      </c>
      <c r="F214">
        <f t="shared" si="8"/>
        <v>0</v>
      </c>
    </row>
    <row r="215" spans="1:6" ht="18" customHeight="1">
      <c r="A215" t="s">
        <v>245</v>
      </c>
      <c r="B215" t="s">
        <v>386</v>
      </c>
      <c r="C215">
        <f>'Ka Long'!D73</f>
        <v>0</v>
      </c>
      <c r="D215">
        <f>'Ka Long'!AS92</f>
        <v>0</v>
      </c>
      <c r="E215">
        <f>'Ka Long'!BL73</f>
        <v>0</v>
      </c>
      <c r="F215">
        <f t="shared" si="8"/>
        <v>0</v>
      </c>
    </row>
    <row r="216" spans="1:6" ht="18" customHeight="1">
      <c r="A216" t="s">
        <v>246</v>
      </c>
      <c r="B216" t="s">
        <v>387</v>
      </c>
      <c r="C216">
        <f>'Ninh Duong'!D49</f>
        <v>0</v>
      </c>
      <c r="D216">
        <f>'Ninh Duong'!AT67</f>
        <v>0</v>
      </c>
      <c r="E216">
        <f>'Ninh Duong'!BL49</f>
        <v>0</v>
      </c>
      <c r="F216">
        <f t="shared" si="8"/>
        <v>0</v>
      </c>
    </row>
    <row r="217" spans="1:6" ht="18" customHeight="1">
      <c r="A217" t="s">
        <v>247</v>
      </c>
      <c r="B217" t="s">
        <v>388</v>
      </c>
      <c r="C217">
        <f>'Hoa Lac'!D49</f>
        <v>0</v>
      </c>
      <c r="D217">
        <f>'Hoa Lac'!AT67</f>
        <v>0</v>
      </c>
      <c r="E217">
        <f>'Hoa Lac'!BL49</f>
        <v>0</v>
      </c>
      <c r="F217">
        <f t="shared" si="8"/>
        <v>0</v>
      </c>
    </row>
    <row r="218" spans="1:6" ht="18" customHeight="1">
      <c r="A218" t="s">
        <v>248</v>
      </c>
      <c r="B218" t="s">
        <v>389</v>
      </c>
      <c r="C218">
        <f>'Tran Phu'!D49</f>
        <v>0</v>
      </c>
      <c r="D218">
        <f>'Tran Phu'!AT67</f>
        <v>0</v>
      </c>
      <c r="E218">
        <f>'Tran Phu'!BL49</f>
        <v>0</v>
      </c>
      <c r="F218">
        <f t="shared" si="8"/>
        <v>0</v>
      </c>
    </row>
    <row r="219" spans="1:6" ht="18" customHeight="1">
      <c r="A219" t="s">
        <v>249</v>
      </c>
      <c r="B219" t="s">
        <v>390</v>
      </c>
      <c r="C219">
        <f>'Hai Hoa'!D49</f>
        <v>0</v>
      </c>
      <c r="D219">
        <f>'Hai Hoa'!AT67</f>
        <v>0</v>
      </c>
      <c r="E219">
        <f>'Hai Hoa'!BL49</f>
        <v>0</v>
      </c>
      <c r="F219">
        <f t="shared" si="8"/>
        <v>0</v>
      </c>
    </row>
    <row r="220" spans="1:6" ht="18" customHeight="1">
      <c r="A220" t="s">
        <v>250</v>
      </c>
      <c r="B220" t="s">
        <v>391</v>
      </c>
      <c r="C220">
        <f>'Tra Co'!D49</f>
        <v>0</v>
      </c>
      <c r="D220">
        <f>'Tra Co'!AT67</f>
        <v>0</v>
      </c>
      <c r="E220">
        <f>'Tra Co'!BL49</f>
        <v>0</v>
      </c>
      <c r="F220">
        <f t="shared" si="8"/>
        <v>0</v>
      </c>
    </row>
    <row r="221" spans="1:6" ht="18" customHeight="1">
      <c r="A221" t="s">
        <v>251</v>
      </c>
      <c r="B221" t="s">
        <v>392</v>
      </c>
      <c r="C221">
        <f>'Binh Ngoc'!D49</f>
        <v>0</v>
      </c>
      <c r="D221">
        <f>'Binh Ngoc'!AT67</f>
        <v>0</v>
      </c>
      <c r="E221">
        <f>'Binh Ngoc'!BL49</f>
        <v>0</v>
      </c>
      <c r="F221">
        <f t="shared" si="8"/>
        <v>0</v>
      </c>
    </row>
    <row r="222" spans="1:6" ht="18" customHeight="1">
      <c r="A222" t="s">
        <v>252</v>
      </c>
      <c r="B222" t="s">
        <v>393</v>
      </c>
      <c r="C222">
        <f>'Lien vị'!D49</f>
        <v>0</v>
      </c>
      <c r="D222">
        <f>'Lien vị'!AT67</f>
        <v>0</v>
      </c>
      <c r="E222">
        <f>'Lien vị'!BL49</f>
        <v>0</v>
      </c>
      <c r="F222">
        <f t="shared" si="8"/>
        <v>0</v>
      </c>
    </row>
    <row r="223" spans="1:6" ht="18" customHeight="1">
      <c r="A223" t="s">
        <v>253</v>
      </c>
      <c r="B223" t="s">
        <v>394</v>
      </c>
      <c r="C223">
        <f>'Tien Phong'!D49</f>
        <v>0</v>
      </c>
      <c r="D223">
        <f>'Tien Phong'!AT67</f>
        <v>0</v>
      </c>
      <c r="E223">
        <f>'Tien Phong'!BL49</f>
        <v>0</v>
      </c>
      <c r="F223">
        <f t="shared" si="8"/>
        <v>0</v>
      </c>
    </row>
    <row r="224" spans="1:6" ht="24" customHeight="1">
      <c r="B224" t="s">
        <v>370</v>
      </c>
      <c r="C224">
        <f>SUM(C205:C223)</f>
        <v>0</v>
      </c>
      <c r="D224">
        <f>SUM(D205:D223)</f>
        <v>0</v>
      </c>
      <c r="E224">
        <f>SUM(E205:E223)</f>
        <v>0</v>
      </c>
      <c r="F224">
        <f>SUM(F205:F223)</f>
        <v>0</v>
      </c>
    </row>
    <row r="226" spans="1:6">
      <c r="A226" s="1300" t="s">
        <v>431</v>
      </c>
      <c r="B226" s="1300"/>
    </row>
    <row r="227" spans="1:6" ht="26.25" customHeight="1">
      <c r="A227" s="1300" t="s">
        <v>434</v>
      </c>
      <c r="B227" s="1300"/>
      <c r="C227" s="1300"/>
      <c r="D227" s="1300"/>
      <c r="E227" s="1300"/>
      <c r="F227" s="1300"/>
    </row>
    <row r="228" spans="1:6" ht="21" customHeight="1">
      <c r="A228" s="1300" t="s">
        <v>138</v>
      </c>
      <c r="B228" s="1300"/>
      <c r="C228" s="1300"/>
      <c r="D228" s="1300"/>
      <c r="E228" s="1300"/>
      <c r="F228" s="1300"/>
    </row>
    <row r="229" spans="1:6" ht="51" customHeight="1">
      <c r="A229" t="s">
        <v>368</v>
      </c>
      <c r="B229" t="s">
        <v>369</v>
      </c>
      <c r="C229" t="s">
        <v>373</v>
      </c>
      <c r="D229" t="s">
        <v>371</v>
      </c>
      <c r="E229" t="s">
        <v>372</v>
      </c>
      <c r="F229" t="s">
        <v>366</v>
      </c>
    </row>
    <row r="230" spans="1:6" ht="18" customHeight="1">
      <c r="A230" t="s">
        <v>235</v>
      </c>
      <c r="B230" t="s">
        <v>376</v>
      </c>
      <c r="C230">
        <f>'Bac Son'!D50</f>
        <v>0</v>
      </c>
      <c r="D230">
        <f>'Bac Son'!AU67</f>
        <v>0</v>
      </c>
      <c r="E230">
        <f>'Bac Son'!BL50</f>
        <v>0</v>
      </c>
      <c r="F230">
        <f>C230+D230-E230</f>
        <v>0</v>
      </c>
    </row>
    <row r="231" spans="1:6" ht="18" customHeight="1">
      <c r="A231" t="s">
        <v>236</v>
      </c>
      <c r="B231" t="s">
        <v>377</v>
      </c>
      <c r="C231">
        <f>'Hai Son'!D50</f>
        <v>0</v>
      </c>
      <c r="D231">
        <f>'Hai Son'!AU67</f>
        <v>0</v>
      </c>
      <c r="E231">
        <f>'Hai Son'!BL50</f>
        <v>0</v>
      </c>
      <c r="F231">
        <f t="shared" ref="F231:F240" si="9">C231+D231-E231</f>
        <v>0</v>
      </c>
    </row>
    <row r="232" spans="1:6" ht="18" customHeight="1">
      <c r="A232" t="s">
        <v>237</v>
      </c>
      <c r="B232" t="s">
        <v>378</v>
      </c>
      <c r="C232">
        <f>'Quang Nghia'!D50</f>
        <v>0</v>
      </c>
      <c r="D232">
        <f>'Quang Nghia'!AU67</f>
        <v>0</v>
      </c>
      <c r="E232">
        <f>'Quang Nghia'!BL50</f>
        <v>0</v>
      </c>
      <c r="F232">
        <f t="shared" si="9"/>
        <v>0</v>
      </c>
    </row>
    <row r="233" spans="1:6" ht="18" customHeight="1">
      <c r="A233" t="s">
        <v>238</v>
      </c>
      <c r="B233" t="s">
        <v>379</v>
      </c>
      <c r="C233">
        <f>'Hai Dong'!D50</f>
        <v>0</v>
      </c>
      <c r="D233">
        <f>'Hai Dong'!AU67</f>
        <v>0</v>
      </c>
      <c r="E233">
        <f>'Hai Dong'!BL50</f>
        <v>0</v>
      </c>
      <c r="F233">
        <f t="shared" si="9"/>
        <v>0</v>
      </c>
    </row>
    <row r="234" spans="1:6" ht="18" customHeight="1">
      <c r="A234" t="s">
        <v>239</v>
      </c>
      <c r="B234" t="s">
        <v>380</v>
      </c>
      <c r="C234">
        <f>'Hai Tien'!D50</f>
        <v>0</v>
      </c>
      <c r="D234">
        <f>'Hai Tien'!AU67</f>
        <v>0</v>
      </c>
      <c r="E234">
        <f>'Hai Tien'!BL50</f>
        <v>0</v>
      </c>
      <c r="F234">
        <f t="shared" si="9"/>
        <v>0</v>
      </c>
    </row>
    <row r="235" spans="1:6" ht="18" customHeight="1">
      <c r="A235" t="s">
        <v>240</v>
      </c>
      <c r="B235" t="s">
        <v>381</v>
      </c>
      <c r="C235">
        <f>'Hai Xuan'!D50</f>
        <v>0</v>
      </c>
      <c r="D235">
        <f>'Hai Xuan'!AU67</f>
        <v>0</v>
      </c>
      <c r="E235">
        <f>'Hai Xuan'!BL50</f>
        <v>0</v>
      </c>
      <c r="F235">
        <f t="shared" si="9"/>
        <v>0</v>
      </c>
    </row>
    <row r="236" spans="1:6" ht="18" customHeight="1">
      <c r="A236" t="s">
        <v>241</v>
      </c>
      <c r="B236" t="s">
        <v>382</v>
      </c>
      <c r="C236">
        <f>'Van Ninh'!D50</f>
        <v>0</v>
      </c>
      <c r="D236">
        <f>'Van Ninh'!AU68</f>
        <v>0</v>
      </c>
      <c r="E236">
        <f>'Van Ninh'!BL50</f>
        <v>0</v>
      </c>
      <c r="F236">
        <f t="shared" si="9"/>
        <v>0</v>
      </c>
    </row>
    <row r="237" spans="1:6" ht="18" customHeight="1">
      <c r="A237" t="s">
        <v>242</v>
      </c>
      <c r="B237" t="s">
        <v>383</v>
      </c>
      <c r="C237">
        <f>'Vinh Trung'!D50</f>
        <v>0</v>
      </c>
      <c r="D237">
        <f>'Vinh Trung'!AU68</f>
        <v>0</v>
      </c>
      <c r="E237">
        <f>'Vinh Trung'!BL50</f>
        <v>0</v>
      </c>
      <c r="F237">
        <f t="shared" si="9"/>
        <v>0</v>
      </c>
    </row>
    <row r="238" spans="1:6" ht="18" customHeight="1">
      <c r="A238" t="s">
        <v>243</v>
      </c>
      <c r="B238" t="s">
        <v>384</v>
      </c>
      <c r="C238">
        <f>'Vinh Thuc'!D50</f>
        <v>0</v>
      </c>
      <c r="D238">
        <f>'Vinh Thuc'!AU67</f>
        <v>0</v>
      </c>
      <c r="E238">
        <f>'Vinh Thuc'!BL50</f>
        <v>0</v>
      </c>
      <c r="F238">
        <f t="shared" si="9"/>
        <v>0</v>
      </c>
    </row>
    <row r="239" spans="1:6" ht="18" customHeight="1">
      <c r="A239" t="s">
        <v>244</v>
      </c>
      <c r="B239" t="s">
        <v>385</v>
      </c>
      <c r="C239">
        <f>'Hai Yen'!D50</f>
        <v>84.563699999999997</v>
      </c>
      <c r="D239">
        <f>'Hai Yen'!AU68</f>
        <v>18.939999999999998</v>
      </c>
      <c r="E239">
        <f>'Hai Yen'!BL50</f>
        <v>3.23</v>
      </c>
      <c r="F239">
        <f t="shared" si="9"/>
        <v>100.27369999999999</v>
      </c>
    </row>
    <row r="240" spans="1:6" ht="18" customHeight="1">
      <c r="A240" t="s">
        <v>245</v>
      </c>
      <c r="B240" t="s">
        <v>386</v>
      </c>
      <c r="C240">
        <f>'Ka Long'!D50</f>
        <v>36.459299999999999</v>
      </c>
      <c r="D240">
        <f>'Ka Long'!AU67</f>
        <v>0.3</v>
      </c>
      <c r="E240">
        <f>'Ka Long'!BL50</f>
        <v>0</v>
      </c>
      <c r="F240">
        <f t="shared" si="9"/>
        <v>36.759299999999996</v>
      </c>
    </row>
    <row r="241" spans="1:6" ht="18" customHeight="1">
      <c r="A241" t="s">
        <v>246</v>
      </c>
      <c r="B241" t="s">
        <v>387</v>
      </c>
    </row>
    <row r="242" spans="1:6" ht="18" customHeight="1">
      <c r="A242" t="s">
        <v>247</v>
      </c>
      <c r="B242" t="s">
        <v>388</v>
      </c>
    </row>
    <row r="243" spans="1:6" ht="18" customHeight="1">
      <c r="A243" t="s">
        <v>248</v>
      </c>
      <c r="B243" t="s">
        <v>389</v>
      </c>
    </row>
    <row r="244" spans="1:6" ht="18" customHeight="1">
      <c r="A244" t="s">
        <v>249</v>
      </c>
      <c r="B244" t="s">
        <v>390</v>
      </c>
    </row>
    <row r="245" spans="1:6" ht="18" customHeight="1">
      <c r="A245" t="s">
        <v>250</v>
      </c>
      <c r="B245" t="s">
        <v>391</v>
      </c>
    </row>
    <row r="246" spans="1:6" ht="18" customHeight="1">
      <c r="A246" t="s">
        <v>251</v>
      </c>
      <c r="B246" t="s">
        <v>392</v>
      </c>
    </row>
    <row r="247" spans="1:6" ht="18" customHeight="1">
      <c r="A247" t="s">
        <v>252</v>
      </c>
      <c r="B247" t="s">
        <v>393</v>
      </c>
    </row>
    <row r="248" spans="1:6" ht="18" customHeight="1">
      <c r="A248" t="s">
        <v>253</v>
      </c>
      <c r="B248" t="s">
        <v>394</v>
      </c>
    </row>
    <row r="249" spans="1:6" ht="24" customHeight="1">
      <c r="B249" t="s">
        <v>370</v>
      </c>
      <c r="C249">
        <f>SUM(C230:C248)</f>
        <v>121.023</v>
      </c>
      <c r="D249">
        <f>SUM(D230:D248)</f>
        <v>19.239999999999998</v>
      </c>
      <c r="E249">
        <f>SUM(E230:E248)</f>
        <v>3.23</v>
      </c>
      <c r="F249">
        <f>SUM(F230:F248)</f>
        <v>137.03299999999999</v>
      </c>
    </row>
    <row r="251" spans="1:6">
      <c r="A251" s="1300" t="s">
        <v>431</v>
      </c>
      <c r="B251" s="1300"/>
    </row>
    <row r="252" spans="1:6" ht="26.25" customHeight="1">
      <c r="A252" s="1300" t="s">
        <v>435</v>
      </c>
      <c r="B252" s="1300"/>
      <c r="C252" s="1300"/>
      <c r="D252" s="1300"/>
      <c r="E252" s="1300"/>
      <c r="F252" s="1300"/>
    </row>
    <row r="253" spans="1:6" ht="21" customHeight="1">
      <c r="A253" s="1300" t="s">
        <v>138</v>
      </c>
      <c r="B253" s="1300"/>
      <c r="C253" s="1300"/>
      <c r="D253" s="1300"/>
      <c r="E253" s="1300"/>
      <c r="F253" s="1300"/>
    </row>
    <row r="254" spans="1:6" ht="51" customHeight="1">
      <c r="A254" t="s">
        <v>368</v>
      </c>
      <c r="B254" t="s">
        <v>369</v>
      </c>
      <c r="C254" t="s">
        <v>373</v>
      </c>
      <c r="D254" t="s">
        <v>371</v>
      </c>
      <c r="E254" t="s">
        <v>372</v>
      </c>
      <c r="F254" t="s">
        <v>366</v>
      </c>
    </row>
    <row r="255" spans="1:6" ht="18" customHeight="1">
      <c r="A255" t="s">
        <v>235</v>
      </c>
      <c r="B255" t="s">
        <v>376</v>
      </c>
      <c r="C255">
        <f>'Bac Son'!D51</f>
        <v>2.15</v>
      </c>
      <c r="D255">
        <f>'Bac Son'!AV67</f>
        <v>0</v>
      </c>
      <c r="E255">
        <f>'Bac Son'!BL51</f>
        <v>0</v>
      </c>
      <c r="F255">
        <f>C255+D255-E255</f>
        <v>2.15</v>
      </c>
    </row>
    <row r="256" spans="1:6" ht="18" customHeight="1">
      <c r="A256" t="s">
        <v>236</v>
      </c>
      <c r="B256" t="s">
        <v>377</v>
      </c>
      <c r="C256">
        <f>'Hai Son'!D51</f>
        <v>0.45577999999999996</v>
      </c>
      <c r="D256">
        <f>'Hai Son'!AV67</f>
        <v>0</v>
      </c>
      <c r="E256">
        <f>'Hai Son'!BL51</f>
        <v>0</v>
      </c>
      <c r="F256">
        <f t="shared" ref="F256:F273" si="10">C256+D256-E256</f>
        <v>0.45577999999999996</v>
      </c>
    </row>
    <row r="257" spans="1:6" ht="18" customHeight="1">
      <c r="A257" t="s">
        <v>237</v>
      </c>
      <c r="B257" t="s">
        <v>378</v>
      </c>
      <c r="C257">
        <f>'Quang Nghia'!D51</f>
        <v>0.47</v>
      </c>
      <c r="D257">
        <f>'Quang Nghia'!AV67</f>
        <v>0</v>
      </c>
      <c r="E257">
        <f>'Quang Nghia'!BL51</f>
        <v>0</v>
      </c>
      <c r="F257">
        <f t="shared" si="10"/>
        <v>0.47</v>
      </c>
    </row>
    <row r="258" spans="1:6" ht="18" customHeight="1">
      <c r="A258" t="s">
        <v>238</v>
      </c>
      <c r="B258" t="s">
        <v>379</v>
      </c>
      <c r="C258">
        <f>'Hai Dong'!D51</f>
        <v>1.1100000000000001</v>
      </c>
      <c r="D258">
        <f>'Hai Dong'!AV67</f>
        <v>0</v>
      </c>
      <c r="E258">
        <f>'Hai Dong'!BL51</f>
        <v>0</v>
      </c>
      <c r="F258">
        <f t="shared" si="10"/>
        <v>1.1100000000000001</v>
      </c>
    </row>
    <row r="259" spans="1:6" ht="18" customHeight="1">
      <c r="A259" t="s">
        <v>239</v>
      </c>
      <c r="B259" t="s">
        <v>380</v>
      </c>
      <c r="C259">
        <f>'Hai Tien'!D51</f>
        <v>4.47</v>
      </c>
      <c r="D259">
        <f>'Hai Tien'!AV67</f>
        <v>0</v>
      </c>
      <c r="E259">
        <f>'Hai Tien'!BL51</f>
        <v>0</v>
      </c>
      <c r="F259">
        <f t="shared" si="10"/>
        <v>4.47</v>
      </c>
    </row>
    <row r="260" spans="1:6" ht="18" customHeight="1">
      <c r="A260" t="s">
        <v>240</v>
      </c>
      <c r="B260" t="s">
        <v>381</v>
      </c>
      <c r="C260">
        <f>'Hai Xuan'!D51</f>
        <v>1.1599999999999999</v>
      </c>
      <c r="D260">
        <f>'Hai Xuan'!AV67</f>
        <v>0</v>
      </c>
      <c r="E260">
        <f>'Hai Xuan'!BL51</f>
        <v>0</v>
      </c>
      <c r="F260">
        <f t="shared" si="10"/>
        <v>1.1599999999999999</v>
      </c>
    </row>
    <row r="261" spans="1:6" ht="18" customHeight="1">
      <c r="A261" t="s">
        <v>241</v>
      </c>
      <c r="B261" t="s">
        <v>382</v>
      </c>
      <c r="C261">
        <f>'Van Ninh'!D51</f>
        <v>0.91</v>
      </c>
      <c r="D261">
        <f>'Van Ninh'!AV68</f>
        <v>0</v>
      </c>
      <c r="E261">
        <f>'Van Ninh'!BL51</f>
        <v>0</v>
      </c>
      <c r="F261">
        <f t="shared" si="10"/>
        <v>0.91</v>
      </c>
    </row>
    <row r="262" spans="1:6" ht="18" customHeight="1">
      <c r="A262" t="s">
        <v>242</v>
      </c>
      <c r="B262" t="s">
        <v>383</v>
      </c>
      <c r="C262">
        <f>'Vinh Trung'!D51</f>
        <v>0.65</v>
      </c>
      <c r="D262">
        <f>'Vinh Trung'!AV68</f>
        <v>0</v>
      </c>
      <c r="E262">
        <f>'Vinh Trung'!BL51</f>
        <v>0</v>
      </c>
      <c r="F262">
        <f t="shared" si="10"/>
        <v>0.65</v>
      </c>
    </row>
    <row r="263" spans="1:6" ht="18" customHeight="1">
      <c r="A263" t="s">
        <v>243</v>
      </c>
      <c r="B263" t="s">
        <v>384</v>
      </c>
      <c r="C263">
        <f>'Vinh Thuc'!D51</f>
        <v>1.05</v>
      </c>
      <c r="D263">
        <f>'Vinh Thuc'!AV67</f>
        <v>0</v>
      </c>
      <c r="E263">
        <f>'Vinh Thuc'!BL51</f>
        <v>0</v>
      </c>
      <c r="F263">
        <f t="shared" si="10"/>
        <v>1.05</v>
      </c>
    </row>
    <row r="264" spans="1:6" ht="18" customHeight="1">
      <c r="A264" t="s">
        <v>244</v>
      </c>
      <c r="B264" t="s">
        <v>385</v>
      </c>
      <c r="C264">
        <f>'Hai Yen'!D51</f>
        <v>0.77</v>
      </c>
      <c r="D264">
        <f>'Hai Yen'!AV68</f>
        <v>0</v>
      </c>
      <c r="E264">
        <f>'Hai Yen'!BL51</f>
        <v>6.0000000000000005E-2</v>
      </c>
      <c r="F264">
        <f t="shared" si="10"/>
        <v>0.71</v>
      </c>
    </row>
    <row r="265" spans="1:6" ht="18" customHeight="1">
      <c r="A265" t="s">
        <v>245</v>
      </c>
      <c r="B265" t="s">
        <v>386</v>
      </c>
      <c r="C265">
        <f>'Ka Long'!D51</f>
        <v>0.81</v>
      </c>
      <c r="D265">
        <f>'Ka Long'!AV67</f>
        <v>0</v>
      </c>
      <c r="E265">
        <f>'Ka Long'!BL51</f>
        <v>0</v>
      </c>
      <c r="F265">
        <f t="shared" si="10"/>
        <v>0.81</v>
      </c>
    </row>
    <row r="266" spans="1:6" ht="18" customHeight="1">
      <c r="A266" t="s">
        <v>246</v>
      </c>
      <c r="B266" t="s">
        <v>387</v>
      </c>
      <c r="C266">
        <f>'Ninh Duong'!D51</f>
        <v>0.51</v>
      </c>
      <c r="D266">
        <f>'Ninh Duong'!AV67</f>
        <v>0</v>
      </c>
      <c r="E266">
        <f>'Ninh Duong'!BL51</f>
        <v>0</v>
      </c>
      <c r="F266">
        <f t="shared" si="10"/>
        <v>0.51</v>
      </c>
    </row>
    <row r="267" spans="1:6" ht="18" customHeight="1">
      <c r="A267" t="s">
        <v>247</v>
      </c>
      <c r="B267" t="s">
        <v>388</v>
      </c>
      <c r="C267">
        <f>'Hoa Lac'!D51</f>
        <v>4.1695000000000002</v>
      </c>
      <c r="D267">
        <f>'Hoa Lac'!AV67</f>
        <v>0</v>
      </c>
      <c r="E267">
        <f>'Hoa Lac'!BL51</f>
        <v>0.46</v>
      </c>
      <c r="F267">
        <f t="shared" si="10"/>
        <v>3.7095000000000002</v>
      </c>
    </row>
    <row r="268" spans="1:6" ht="18" customHeight="1">
      <c r="A268" t="s">
        <v>248</v>
      </c>
      <c r="B268" t="s">
        <v>389</v>
      </c>
      <c r="C268">
        <f>'Tran Phu'!D51</f>
        <v>4.8949999999999996</v>
      </c>
      <c r="D268">
        <f>'Tran Phu'!AV67</f>
        <v>0</v>
      </c>
      <c r="E268">
        <f>'Tran Phu'!BL51</f>
        <v>0.01</v>
      </c>
      <c r="F268">
        <f t="shared" si="10"/>
        <v>4.8849999999999998</v>
      </c>
    </row>
    <row r="269" spans="1:6" ht="18" customHeight="1">
      <c r="A269" t="s">
        <v>249</v>
      </c>
      <c r="B269" t="s">
        <v>390</v>
      </c>
      <c r="C269">
        <f>'Hai Hoa'!D51</f>
        <v>12.3</v>
      </c>
      <c r="D269">
        <f>'Hai Hoa'!AV67</f>
        <v>19.39</v>
      </c>
      <c r="E269">
        <f>'Hai Hoa'!BL51</f>
        <v>0</v>
      </c>
      <c r="F269">
        <f t="shared" si="10"/>
        <v>31.69</v>
      </c>
    </row>
    <row r="270" spans="1:6" ht="18" customHeight="1">
      <c r="A270" t="s">
        <v>250</v>
      </c>
      <c r="B270" t="s">
        <v>391</v>
      </c>
      <c r="C270">
        <f>'Tra Co'!D51</f>
        <v>0.3</v>
      </c>
      <c r="D270">
        <f>'Tra Co'!AV67</f>
        <v>0</v>
      </c>
      <c r="E270">
        <f>'Tra Co'!BL51</f>
        <v>0</v>
      </c>
      <c r="F270">
        <f t="shared" si="10"/>
        <v>0.3</v>
      </c>
    </row>
    <row r="271" spans="1:6" ht="18" customHeight="1">
      <c r="A271" t="s">
        <v>251</v>
      </c>
      <c r="B271" t="s">
        <v>392</v>
      </c>
      <c r="C271">
        <f>'Binh Ngoc'!D51</f>
        <v>0.81</v>
      </c>
      <c r="D271">
        <f>'Binh Ngoc'!AV67</f>
        <v>0</v>
      </c>
      <c r="E271">
        <f>'Binh Ngoc'!BL51</f>
        <v>0</v>
      </c>
      <c r="F271">
        <f t="shared" si="10"/>
        <v>0.81</v>
      </c>
    </row>
    <row r="272" spans="1:6" ht="18" customHeight="1">
      <c r="A272" t="s">
        <v>252</v>
      </c>
      <c r="B272" t="s">
        <v>393</v>
      </c>
      <c r="C272">
        <f>'Lien vị'!D51</f>
        <v>0</v>
      </c>
      <c r="D272">
        <f>'Lien vị'!AV67</f>
        <v>0</v>
      </c>
      <c r="E272">
        <f>'Lien vị'!BL51</f>
        <v>0</v>
      </c>
      <c r="F272">
        <f t="shared" si="10"/>
        <v>0</v>
      </c>
    </row>
    <row r="273" spans="1:6" ht="18" customHeight="1">
      <c r="A273" t="s">
        <v>253</v>
      </c>
      <c r="B273" t="s">
        <v>394</v>
      </c>
      <c r="C273">
        <f>'Tien Phong'!D51</f>
        <v>0</v>
      </c>
      <c r="D273">
        <f>'Tien Phong'!AV67</f>
        <v>0</v>
      </c>
      <c r="E273">
        <f>'Tien Phong'!BL51</f>
        <v>0</v>
      </c>
      <c r="F273">
        <f t="shared" si="10"/>
        <v>0</v>
      </c>
    </row>
    <row r="274" spans="1:6" ht="24" customHeight="1">
      <c r="B274" t="s">
        <v>370</v>
      </c>
      <c r="C274">
        <f>SUM(C255:C273)</f>
        <v>36.990279999999998</v>
      </c>
      <c r="D274">
        <f>SUM(D255:D273)</f>
        <v>19.39</v>
      </c>
      <c r="E274">
        <f>SUM(E255:E273)</f>
        <v>0.53</v>
      </c>
      <c r="F274">
        <f>SUM(F255:F273)</f>
        <v>55.850279999999998</v>
      </c>
    </row>
    <row r="276" spans="1:6">
      <c r="A276" s="1300" t="s">
        <v>431</v>
      </c>
      <c r="B276" s="1300"/>
    </row>
    <row r="277" spans="1:6" ht="39.75" customHeight="1">
      <c r="A277" s="1300" t="s">
        <v>436</v>
      </c>
      <c r="B277" s="1300"/>
      <c r="C277" s="1300"/>
      <c r="D277" s="1300"/>
      <c r="E277" s="1300"/>
      <c r="F277" s="1300"/>
    </row>
    <row r="278" spans="1:6" ht="21" customHeight="1">
      <c r="A278" s="1300" t="s">
        <v>138</v>
      </c>
      <c r="B278" s="1300"/>
      <c r="C278" s="1300"/>
      <c r="D278" s="1300"/>
      <c r="E278" s="1300"/>
      <c r="F278" s="1300"/>
    </row>
    <row r="279" spans="1:6" ht="51" customHeight="1">
      <c r="A279" t="s">
        <v>368</v>
      </c>
      <c r="B279" t="s">
        <v>369</v>
      </c>
      <c r="C279" t="s">
        <v>373</v>
      </c>
      <c r="D279" t="s">
        <v>371</v>
      </c>
      <c r="E279" t="s">
        <v>372</v>
      </c>
      <c r="F279" t="s">
        <v>366</v>
      </c>
    </row>
    <row r="280" spans="1:6" ht="18" customHeight="1">
      <c r="A280" t="s">
        <v>235</v>
      </c>
      <c r="B280" t="s">
        <v>376</v>
      </c>
      <c r="C280">
        <f>'Bac Son'!D52</f>
        <v>0</v>
      </c>
      <c r="D280">
        <f>'Bac Son'!AW67</f>
        <v>0</v>
      </c>
      <c r="E280">
        <f>'Bac Son'!BL52</f>
        <v>0</v>
      </c>
      <c r="F280">
        <f>C280+D280-E280</f>
        <v>0</v>
      </c>
    </row>
    <row r="281" spans="1:6" ht="18" customHeight="1">
      <c r="A281" t="s">
        <v>236</v>
      </c>
      <c r="B281" t="s">
        <v>377</v>
      </c>
      <c r="C281">
        <f>'Hai Son'!D52</f>
        <v>0</v>
      </c>
      <c r="D281">
        <f>'Hai Son'!AW67</f>
        <v>0</v>
      </c>
      <c r="E281">
        <f>'Hai Son'!BL52</f>
        <v>0</v>
      </c>
      <c r="F281">
        <f t="shared" ref="F281:F298" si="11">C281+D281-E281</f>
        <v>0</v>
      </c>
    </row>
    <row r="282" spans="1:6" ht="18" customHeight="1">
      <c r="A282" t="s">
        <v>237</v>
      </c>
      <c r="B282" t="s">
        <v>378</v>
      </c>
      <c r="C282">
        <f>'Quang Nghia'!D52</f>
        <v>0</v>
      </c>
      <c r="D282">
        <f>'Quang Nghia'!AW67</f>
        <v>0</v>
      </c>
      <c r="E282">
        <f>'Quang Nghia'!BL52</f>
        <v>0</v>
      </c>
      <c r="F282">
        <f t="shared" si="11"/>
        <v>0</v>
      </c>
    </row>
    <row r="283" spans="1:6" ht="18" customHeight="1">
      <c r="A283" t="s">
        <v>238</v>
      </c>
      <c r="B283" t="s">
        <v>379</v>
      </c>
      <c r="C283">
        <f>'Hai Dong'!D52</f>
        <v>0</v>
      </c>
      <c r="D283">
        <f>'Hai Dong'!AW67</f>
        <v>0</v>
      </c>
      <c r="E283">
        <f>'Hai Dong'!BL52</f>
        <v>0</v>
      </c>
      <c r="F283">
        <f t="shared" si="11"/>
        <v>0</v>
      </c>
    </row>
    <row r="284" spans="1:6" ht="18" customHeight="1">
      <c r="A284" t="s">
        <v>239</v>
      </c>
      <c r="B284" t="s">
        <v>380</v>
      </c>
      <c r="C284">
        <f>'Hai Tien'!D52</f>
        <v>0</v>
      </c>
      <c r="D284">
        <f>'Hai Tien'!AW67</f>
        <v>0</v>
      </c>
      <c r="E284">
        <f>'Hai Tien'!BL52</f>
        <v>0</v>
      </c>
      <c r="F284">
        <f t="shared" si="11"/>
        <v>0</v>
      </c>
    </row>
    <row r="285" spans="1:6" ht="18" customHeight="1">
      <c r="A285" t="s">
        <v>240</v>
      </c>
      <c r="B285" t="s">
        <v>381</v>
      </c>
      <c r="C285">
        <f>'Hai Xuan'!D52</f>
        <v>0</v>
      </c>
      <c r="D285">
        <f>'Hai Xuan'!AW67</f>
        <v>0</v>
      </c>
      <c r="E285">
        <f>'Hai Xuan'!BL52</f>
        <v>0</v>
      </c>
      <c r="F285">
        <f t="shared" si="11"/>
        <v>0</v>
      </c>
    </row>
    <row r="286" spans="1:6" ht="18" customHeight="1">
      <c r="A286" t="s">
        <v>241</v>
      </c>
      <c r="B286" t="s">
        <v>382</v>
      </c>
      <c r="C286">
        <f>'Van Ninh'!D52</f>
        <v>0</v>
      </c>
      <c r="D286">
        <f>'Van Ninh'!AW68</f>
        <v>0</v>
      </c>
      <c r="E286">
        <f>'Van Ninh'!BL52</f>
        <v>0</v>
      </c>
      <c r="F286">
        <f t="shared" si="11"/>
        <v>0</v>
      </c>
    </row>
    <row r="287" spans="1:6" ht="18" customHeight="1">
      <c r="A287" t="s">
        <v>242</v>
      </c>
      <c r="B287" t="s">
        <v>383</v>
      </c>
      <c r="C287">
        <f>'Vinh Trung'!D52</f>
        <v>0</v>
      </c>
      <c r="D287">
        <f>'Vinh Trung'!AW68</f>
        <v>0</v>
      </c>
      <c r="E287">
        <f>'Vinh Trung'!BL52</f>
        <v>0</v>
      </c>
      <c r="F287">
        <f t="shared" si="11"/>
        <v>0</v>
      </c>
    </row>
    <row r="288" spans="1:6" ht="18" customHeight="1">
      <c r="A288" t="s">
        <v>243</v>
      </c>
      <c r="B288" t="s">
        <v>384</v>
      </c>
      <c r="C288">
        <f>'Vinh Thuc'!D52</f>
        <v>0</v>
      </c>
      <c r="D288">
        <f>'Vinh Thuc'!AW67</f>
        <v>0</v>
      </c>
      <c r="E288">
        <f>'Vinh Thuc'!BL52</f>
        <v>0</v>
      </c>
      <c r="F288">
        <f t="shared" si="11"/>
        <v>0</v>
      </c>
    </row>
    <row r="289" spans="1:6" ht="18" customHeight="1">
      <c r="A289" t="s">
        <v>244</v>
      </c>
      <c r="B289" t="s">
        <v>385</v>
      </c>
      <c r="C289">
        <f>'Hai Yen'!D52</f>
        <v>0</v>
      </c>
      <c r="D289">
        <f>'Hai Yen'!AW68</f>
        <v>0</v>
      </c>
      <c r="E289">
        <f>'Hai Yen'!BL52</f>
        <v>0</v>
      </c>
      <c r="F289">
        <f t="shared" si="11"/>
        <v>0</v>
      </c>
    </row>
    <row r="290" spans="1:6" ht="18" customHeight="1">
      <c r="A290" t="s">
        <v>245</v>
      </c>
      <c r="B290" t="s">
        <v>386</v>
      </c>
      <c r="C290">
        <f>'Ka Long'!D52</f>
        <v>0</v>
      </c>
      <c r="D290">
        <f>'Ka Long'!AW67</f>
        <v>0</v>
      </c>
      <c r="E290">
        <f>'Ka Long'!BL52</f>
        <v>0</v>
      </c>
      <c r="F290">
        <f t="shared" si="11"/>
        <v>0</v>
      </c>
    </row>
    <row r="291" spans="1:6" ht="18" customHeight="1">
      <c r="A291" t="s">
        <v>246</v>
      </c>
      <c r="B291" t="s">
        <v>387</v>
      </c>
      <c r="C291">
        <f>'Ninh Duong'!D52</f>
        <v>0.67</v>
      </c>
      <c r="D291">
        <f>'Ninh Duong'!AW67</f>
        <v>0</v>
      </c>
      <c r="E291">
        <f>'Ninh Duong'!BL52</f>
        <v>0</v>
      </c>
      <c r="F291">
        <f t="shared" si="11"/>
        <v>0.67</v>
      </c>
    </row>
    <row r="292" spans="1:6" ht="18" customHeight="1">
      <c r="A292" t="s">
        <v>247</v>
      </c>
      <c r="B292" t="s">
        <v>388</v>
      </c>
      <c r="C292">
        <f>'Hoa Lac'!D52</f>
        <v>0</v>
      </c>
      <c r="D292">
        <f>'Hoa Lac'!AW67</f>
        <v>0</v>
      </c>
      <c r="E292">
        <f>'Hoa Lac'!BL52</f>
        <v>0</v>
      </c>
      <c r="F292">
        <f t="shared" si="11"/>
        <v>0</v>
      </c>
    </row>
    <row r="293" spans="1:6" ht="18" customHeight="1">
      <c r="A293" t="s">
        <v>248</v>
      </c>
      <c r="B293" t="s">
        <v>389</v>
      </c>
      <c r="C293">
        <f>'Tran Phu'!D52</f>
        <v>0</v>
      </c>
      <c r="D293">
        <f>'Tran Phu'!AW67</f>
        <v>0</v>
      </c>
      <c r="E293">
        <f>'Tran Phu'!BL52</f>
        <v>0</v>
      </c>
      <c r="F293">
        <f t="shared" si="11"/>
        <v>0</v>
      </c>
    </row>
    <row r="294" spans="1:6" ht="18" customHeight="1">
      <c r="A294" t="s">
        <v>249</v>
      </c>
      <c r="B294" t="s">
        <v>390</v>
      </c>
      <c r="C294">
        <f>'Hai Hoa'!D52</f>
        <v>0</v>
      </c>
      <c r="D294">
        <f>'Hai Hoa'!AW67</f>
        <v>0</v>
      </c>
      <c r="E294">
        <f>'Hai Hoa'!BL52</f>
        <v>0</v>
      </c>
      <c r="F294">
        <f t="shared" si="11"/>
        <v>0</v>
      </c>
    </row>
    <row r="295" spans="1:6" ht="18" customHeight="1">
      <c r="A295" t="s">
        <v>250</v>
      </c>
      <c r="B295" t="s">
        <v>391</v>
      </c>
      <c r="C295">
        <f>'Tra Co'!D52</f>
        <v>0</v>
      </c>
      <c r="D295">
        <f>'Tra Co'!AW67</f>
        <v>0</v>
      </c>
      <c r="E295">
        <f>'Tra Co'!BL52</f>
        <v>0</v>
      </c>
      <c r="F295">
        <f t="shared" si="11"/>
        <v>0</v>
      </c>
    </row>
    <row r="296" spans="1:6" ht="18" customHeight="1">
      <c r="A296" t="s">
        <v>251</v>
      </c>
      <c r="B296" t="s">
        <v>392</v>
      </c>
      <c r="C296">
        <f>'Binh Ngoc'!D52</f>
        <v>0</v>
      </c>
      <c r="D296">
        <f>'Binh Ngoc'!AW67</f>
        <v>0</v>
      </c>
      <c r="E296">
        <f>'Binh Ngoc'!BL52</f>
        <v>0</v>
      </c>
      <c r="F296">
        <f t="shared" si="11"/>
        <v>0</v>
      </c>
    </row>
    <row r="297" spans="1:6" ht="18" customHeight="1">
      <c r="A297" t="s">
        <v>252</v>
      </c>
      <c r="B297" t="s">
        <v>393</v>
      </c>
      <c r="C297">
        <f>'Lien vị'!D52</f>
        <v>0</v>
      </c>
      <c r="D297">
        <f>'Lien vị'!AW67</f>
        <v>0</v>
      </c>
      <c r="E297">
        <f>'Lien vị'!BL52</f>
        <v>0</v>
      </c>
      <c r="F297">
        <f t="shared" si="11"/>
        <v>0</v>
      </c>
    </row>
    <row r="298" spans="1:6" ht="18" customHeight="1">
      <c r="A298" t="s">
        <v>253</v>
      </c>
      <c r="B298" t="s">
        <v>394</v>
      </c>
      <c r="C298">
        <f>'Tien Phong'!D52</f>
        <v>0</v>
      </c>
      <c r="D298">
        <f>'Tien Phong'!AW67</f>
        <v>0</v>
      </c>
      <c r="E298">
        <f>'Tien Phong'!BL52</f>
        <v>0</v>
      </c>
      <c r="F298">
        <f t="shared" si="11"/>
        <v>0</v>
      </c>
    </row>
    <row r="299" spans="1:6" ht="24" customHeight="1">
      <c r="B299" t="s">
        <v>370</v>
      </c>
      <c r="C299">
        <f>SUM(C280:C298)</f>
        <v>0.67</v>
      </c>
      <c r="D299">
        <f>SUM(D280:D298)</f>
        <v>0</v>
      </c>
      <c r="E299">
        <f>SUM(E280:E298)</f>
        <v>0</v>
      </c>
      <c r="F299">
        <f>SUM(F280:F298)</f>
        <v>0.67</v>
      </c>
    </row>
    <row r="301" spans="1:6">
      <c r="A301" s="1300" t="s">
        <v>431</v>
      </c>
      <c r="B301" s="1300"/>
    </row>
    <row r="302" spans="1:6" ht="28.5" customHeight="1">
      <c r="A302" s="1300" t="s">
        <v>437</v>
      </c>
      <c r="B302" s="1300"/>
      <c r="C302" s="1300"/>
      <c r="D302" s="1300"/>
      <c r="E302" s="1300"/>
      <c r="F302" s="1300"/>
    </row>
    <row r="303" spans="1:6" ht="21" customHeight="1">
      <c r="A303" s="1300" t="s">
        <v>138</v>
      </c>
      <c r="B303" s="1300"/>
      <c r="C303" s="1300"/>
      <c r="D303" s="1300"/>
      <c r="E303" s="1300"/>
      <c r="F303" s="1300"/>
    </row>
    <row r="304" spans="1:6" ht="51" customHeight="1">
      <c r="A304" t="s">
        <v>368</v>
      </c>
      <c r="B304" t="s">
        <v>369</v>
      </c>
      <c r="C304" t="s">
        <v>373</v>
      </c>
      <c r="D304" t="s">
        <v>371</v>
      </c>
      <c r="E304" t="s">
        <v>372</v>
      </c>
      <c r="F304" t="s">
        <v>366</v>
      </c>
    </row>
    <row r="305" spans="1:6" ht="18" customHeight="1">
      <c r="A305" t="s">
        <v>235</v>
      </c>
      <c r="B305" t="s">
        <v>376</v>
      </c>
      <c r="C305">
        <f>'Bac Son'!D54</f>
        <v>0</v>
      </c>
      <c r="D305">
        <f>'Bac Son'!AY67</f>
        <v>0</v>
      </c>
      <c r="E305">
        <f>'Bac Son'!BL54</f>
        <v>0</v>
      </c>
      <c r="F305">
        <f>C305+D305-E305</f>
        <v>0</v>
      </c>
    </row>
    <row r="306" spans="1:6" ht="18" customHeight="1">
      <c r="A306" t="s">
        <v>236</v>
      </c>
      <c r="B306" t="s">
        <v>377</v>
      </c>
      <c r="C306">
        <f>'Hai Son'!D54</f>
        <v>0</v>
      </c>
      <c r="D306">
        <f>'Hai Son'!AY67</f>
        <v>0</v>
      </c>
      <c r="E306">
        <f>'Hai Son'!BL54</f>
        <v>0</v>
      </c>
      <c r="F306">
        <f t="shared" ref="F306:F323" si="12">C306+D306-E306</f>
        <v>0</v>
      </c>
    </row>
    <row r="307" spans="1:6" ht="18" customHeight="1">
      <c r="A307" t="s">
        <v>237</v>
      </c>
      <c r="B307" t="s">
        <v>378</v>
      </c>
      <c r="C307">
        <f>'Quang Nghia'!D54</f>
        <v>0</v>
      </c>
      <c r="D307">
        <f>'Quang Nghia'!AY67</f>
        <v>0</v>
      </c>
      <c r="E307">
        <f>'Quang Nghia'!BL54</f>
        <v>0</v>
      </c>
      <c r="F307">
        <f t="shared" si="12"/>
        <v>0</v>
      </c>
    </row>
    <row r="308" spans="1:6" ht="18" customHeight="1">
      <c r="A308" t="s">
        <v>238</v>
      </c>
      <c r="B308" t="s">
        <v>379</v>
      </c>
      <c r="C308">
        <f>'Hai Dong'!D54</f>
        <v>0</v>
      </c>
      <c r="D308">
        <f>'Hai Dong'!AY67</f>
        <v>0</v>
      </c>
      <c r="E308">
        <f>'Hai Dong'!BL54</f>
        <v>0</v>
      </c>
      <c r="F308">
        <f t="shared" si="12"/>
        <v>0</v>
      </c>
    </row>
    <row r="309" spans="1:6" ht="18" customHeight="1">
      <c r="A309" t="s">
        <v>239</v>
      </c>
      <c r="B309" t="s">
        <v>380</v>
      </c>
      <c r="C309">
        <f>'Hai Tien'!D54</f>
        <v>0</v>
      </c>
      <c r="D309">
        <f>'Hai Tien'!AY67</f>
        <v>0</v>
      </c>
      <c r="E309">
        <f>'Hai Tien'!BL54</f>
        <v>0</v>
      </c>
      <c r="F309">
        <f t="shared" si="12"/>
        <v>0</v>
      </c>
    </row>
    <row r="310" spans="1:6" ht="18" customHeight="1">
      <c r="A310" t="s">
        <v>240</v>
      </c>
      <c r="B310" t="s">
        <v>381</v>
      </c>
      <c r="C310">
        <f>'Hai Xuan'!D54</f>
        <v>2.3199999999999998</v>
      </c>
      <c r="D310">
        <f>'Hai Xuan'!AY67</f>
        <v>0</v>
      </c>
      <c r="E310">
        <f>'Hai Xuan'!BL54</f>
        <v>0</v>
      </c>
      <c r="F310">
        <f t="shared" si="12"/>
        <v>2.3199999999999998</v>
      </c>
    </row>
    <row r="311" spans="1:6" ht="18" customHeight="1">
      <c r="A311" t="s">
        <v>241</v>
      </c>
      <c r="B311" t="s">
        <v>382</v>
      </c>
      <c r="C311">
        <f>'Van Ninh'!D54</f>
        <v>0.71</v>
      </c>
      <c r="D311">
        <f>'Van Ninh'!AY68</f>
        <v>0</v>
      </c>
      <c r="E311">
        <f>'Van Ninh'!BL54</f>
        <v>0</v>
      </c>
      <c r="F311">
        <f t="shared" si="12"/>
        <v>0.71</v>
      </c>
    </row>
    <row r="312" spans="1:6" ht="18" customHeight="1">
      <c r="A312" t="s">
        <v>242</v>
      </c>
      <c r="B312" t="s">
        <v>383</v>
      </c>
      <c r="C312">
        <f>'Vinh Trung'!D54</f>
        <v>0</v>
      </c>
      <c r="D312">
        <f>'Vinh Trung'!AY68</f>
        <v>0</v>
      </c>
      <c r="E312">
        <f>'Vinh Trung'!BL54</f>
        <v>0</v>
      </c>
      <c r="F312">
        <f t="shared" si="12"/>
        <v>0</v>
      </c>
    </row>
    <row r="313" spans="1:6" ht="18" customHeight="1">
      <c r="A313" t="s">
        <v>243</v>
      </c>
      <c r="B313" t="s">
        <v>384</v>
      </c>
      <c r="C313">
        <f>'Vinh Thuc'!D54</f>
        <v>0</v>
      </c>
      <c r="D313">
        <f>'Vinh Thuc'!AY67</f>
        <v>0</v>
      </c>
      <c r="E313">
        <f>'Vinh Thuc'!BL54</f>
        <v>0</v>
      </c>
      <c r="F313">
        <f t="shared" si="12"/>
        <v>0</v>
      </c>
    </row>
    <row r="314" spans="1:6" ht="18" customHeight="1">
      <c r="A314" t="s">
        <v>244</v>
      </c>
      <c r="B314" t="s">
        <v>385</v>
      </c>
      <c r="C314">
        <f>'Hai Yen'!D54</f>
        <v>4.66</v>
      </c>
      <c r="D314">
        <f>'Hai Yen'!AY68</f>
        <v>1.35</v>
      </c>
      <c r="E314">
        <f>'Hai Yen'!BL54</f>
        <v>0</v>
      </c>
      <c r="F314">
        <f t="shared" si="12"/>
        <v>6.01</v>
      </c>
    </row>
    <row r="315" spans="1:6" ht="18" customHeight="1">
      <c r="A315" t="s">
        <v>245</v>
      </c>
      <c r="B315" t="s">
        <v>386</v>
      </c>
      <c r="C315">
        <f>'Ka Long'!D54</f>
        <v>0.4</v>
      </c>
      <c r="D315">
        <f>'Ka Long'!AY67</f>
        <v>0</v>
      </c>
      <c r="E315">
        <f>'Ka Long'!BL54</f>
        <v>0</v>
      </c>
      <c r="F315">
        <f t="shared" si="12"/>
        <v>0.4</v>
      </c>
    </row>
    <row r="316" spans="1:6" ht="18" customHeight="1">
      <c r="A316" t="s">
        <v>246</v>
      </c>
      <c r="B316" t="s">
        <v>387</v>
      </c>
      <c r="C316">
        <f>'Ninh Duong'!D54</f>
        <v>0.54</v>
      </c>
      <c r="D316">
        <f>'Ninh Duong'!AY67</f>
        <v>0</v>
      </c>
      <c r="E316">
        <f>'Ninh Duong'!BL54</f>
        <v>0</v>
      </c>
      <c r="F316">
        <f t="shared" si="12"/>
        <v>0.54</v>
      </c>
    </row>
    <row r="317" spans="1:6" ht="18" customHeight="1">
      <c r="A317" t="s">
        <v>247</v>
      </c>
      <c r="B317" t="s">
        <v>388</v>
      </c>
      <c r="C317">
        <f>'Hoa Lac'!D54</f>
        <v>0</v>
      </c>
      <c r="D317">
        <f>'Hoa Lac'!AY67</f>
        <v>0</v>
      </c>
      <c r="E317">
        <f>'Hoa Lac'!BL54</f>
        <v>0</v>
      </c>
      <c r="F317">
        <f t="shared" si="12"/>
        <v>0</v>
      </c>
    </row>
    <row r="318" spans="1:6" ht="18" customHeight="1">
      <c r="A318" t="s">
        <v>248</v>
      </c>
      <c r="B318" t="s">
        <v>389</v>
      </c>
      <c r="C318">
        <f>'Tran Phu'!D54</f>
        <v>0</v>
      </c>
      <c r="D318">
        <f>'Tran Phu'!AY67</f>
        <v>0</v>
      </c>
      <c r="E318">
        <f>'Tran Phu'!BL54</f>
        <v>0</v>
      </c>
      <c r="F318">
        <f t="shared" si="12"/>
        <v>0</v>
      </c>
    </row>
    <row r="319" spans="1:6" ht="18" customHeight="1">
      <c r="A319" t="s">
        <v>249</v>
      </c>
      <c r="B319" t="s">
        <v>390</v>
      </c>
      <c r="C319">
        <f>'Hai Hoa'!D54</f>
        <v>0</v>
      </c>
      <c r="D319">
        <f>'Hai Hoa'!AY67</f>
        <v>0</v>
      </c>
      <c r="E319">
        <f>'Hai Hoa'!BL54</f>
        <v>0</v>
      </c>
      <c r="F319">
        <f t="shared" si="12"/>
        <v>0</v>
      </c>
    </row>
    <row r="320" spans="1:6" ht="18" customHeight="1">
      <c r="A320" t="s">
        <v>250</v>
      </c>
      <c r="B320" t="s">
        <v>391</v>
      </c>
      <c r="C320">
        <f>'Tra Co'!D54</f>
        <v>2</v>
      </c>
      <c r="D320">
        <f>'Tra Co'!AY67</f>
        <v>0</v>
      </c>
      <c r="E320">
        <f>'Tra Co'!BL54</f>
        <v>0</v>
      </c>
      <c r="F320">
        <f t="shared" si="12"/>
        <v>2</v>
      </c>
    </row>
    <row r="321" spans="1:6" ht="18" customHeight="1">
      <c r="A321" t="s">
        <v>251</v>
      </c>
      <c r="B321" t="s">
        <v>392</v>
      </c>
      <c r="C321">
        <f>'Binh Ngoc'!D54</f>
        <v>0.14000000000000001</v>
      </c>
      <c r="D321">
        <f>'Binh Ngoc'!AY67</f>
        <v>0</v>
      </c>
      <c r="E321">
        <f>'Binh Ngoc'!BL54</f>
        <v>0</v>
      </c>
      <c r="F321">
        <f t="shared" si="12"/>
        <v>0.14000000000000001</v>
      </c>
    </row>
    <row r="322" spans="1:6" ht="18" customHeight="1">
      <c r="A322" t="s">
        <v>252</v>
      </c>
      <c r="B322" t="s">
        <v>393</v>
      </c>
      <c r="C322">
        <f>'Lien vị'!D54</f>
        <v>0</v>
      </c>
      <c r="D322">
        <f>'Lien vị'!AY67</f>
        <v>0</v>
      </c>
      <c r="E322">
        <f>'Lien vị'!BL54</f>
        <v>0</v>
      </c>
      <c r="F322">
        <f t="shared" si="12"/>
        <v>0</v>
      </c>
    </row>
    <row r="323" spans="1:6" ht="18" customHeight="1">
      <c r="A323" t="s">
        <v>253</v>
      </c>
      <c r="B323" t="s">
        <v>394</v>
      </c>
      <c r="C323">
        <f>'Tien Phong'!D54</f>
        <v>0</v>
      </c>
      <c r="D323">
        <f>'Tien Phong'!AY67</f>
        <v>0</v>
      </c>
      <c r="E323">
        <f>'Tien Phong'!BL54</f>
        <v>0</v>
      </c>
      <c r="F323">
        <f t="shared" si="12"/>
        <v>0</v>
      </c>
    </row>
    <row r="324" spans="1:6" ht="24" customHeight="1">
      <c r="B324" t="s">
        <v>370</v>
      </c>
      <c r="C324">
        <f>SUM(C305:C323)</f>
        <v>10.77</v>
      </c>
      <c r="D324">
        <f>SUM(D305:D323)</f>
        <v>1.35</v>
      </c>
      <c r="E324">
        <f>SUM(E305:E323)</f>
        <v>0</v>
      </c>
      <c r="F324">
        <f>SUM(F305:F323)</f>
        <v>12.120000000000001</v>
      </c>
    </row>
    <row r="326" spans="1:6">
      <c r="A326" s="1300" t="s">
        <v>431</v>
      </c>
      <c r="B326" s="1300"/>
    </row>
    <row r="327" spans="1:6" ht="28.5" customHeight="1">
      <c r="A327" s="1300" t="s">
        <v>438</v>
      </c>
      <c r="B327" s="1300"/>
      <c r="C327" s="1300"/>
      <c r="D327" s="1300"/>
      <c r="E327" s="1300"/>
      <c r="F327" s="1300"/>
    </row>
    <row r="328" spans="1:6" ht="21" customHeight="1">
      <c r="A328" s="1300" t="s">
        <v>138</v>
      </c>
      <c r="B328" s="1300"/>
      <c r="C328" s="1300"/>
      <c r="D328" s="1300"/>
      <c r="E328" s="1300"/>
      <c r="F328" s="1300"/>
    </row>
    <row r="329" spans="1:6" ht="51" customHeight="1">
      <c r="A329" t="s">
        <v>368</v>
      </c>
      <c r="B329" t="s">
        <v>369</v>
      </c>
      <c r="C329" t="s">
        <v>373</v>
      </c>
      <c r="D329" t="s">
        <v>371</v>
      </c>
      <c r="E329" t="s">
        <v>372</v>
      </c>
      <c r="F329" t="s">
        <v>366</v>
      </c>
    </row>
    <row r="330" spans="1:6" ht="18" customHeight="1">
      <c r="A330" t="s">
        <v>235</v>
      </c>
      <c r="B330" t="s">
        <v>376</v>
      </c>
      <c r="C330">
        <f>'Bac Son'!D55</f>
        <v>3.54</v>
      </c>
      <c r="D330">
        <f>'Bac Son'!AZ67</f>
        <v>0</v>
      </c>
      <c r="E330">
        <f>'Bac Son'!BL55</f>
        <v>0</v>
      </c>
      <c r="F330">
        <f>C330+D330-E330</f>
        <v>3.54</v>
      </c>
    </row>
    <row r="331" spans="1:6" ht="18" customHeight="1">
      <c r="A331" t="s">
        <v>236</v>
      </c>
      <c r="B331" t="s">
        <v>377</v>
      </c>
      <c r="C331">
        <f>'Hai Son'!D55</f>
        <v>0</v>
      </c>
      <c r="D331">
        <f>'Hai Son'!AZ67</f>
        <v>0</v>
      </c>
      <c r="E331">
        <f>'Hai Son'!BL55</f>
        <v>0</v>
      </c>
      <c r="F331">
        <f t="shared" ref="F331:F348" si="13">C331+D331-E331</f>
        <v>0</v>
      </c>
    </row>
    <row r="332" spans="1:6" ht="18" customHeight="1">
      <c r="A332" t="s">
        <v>237</v>
      </c>
      <c r="B332" t="s">
        <v>378</v>
      </c>
      <c r="C332">
        <f>'Quang Nghia'!D55</f>
        <v>16.78</v>
      </c>
      <c r="D332">
        <f>'Quang Nghia'!AZ67</f>
        <v>0</v>
      </c>
      <c r="E332">
        <f>'Quang Nghia'!BL55</f>
        <v>0.21</v>
      </c>
      <c r="F332">
        <f t="shared" si="13"/>
        <v>16.57</v>
      </c>
    </row>
    <row r="333" spans="1:6" ht="18" customHeight="1">
      <c r="A333" t="s">
        <v>238</v>
      </c>
      <c r="B333" t="s">
        <v>379</v>
      </c>
      <c r="C333">
        <f>'Hai Dong'!D55</f>
        <v>27.25</v>
      </c>
      <c r="D333">
        <f>'Hai Dong'!AZ67</f>
        <v>0</v>
      </c>
      <c r="E333">
        <f>'Hai Dong'!BL55</f>
        <v>0</v>
      </c>
      <c r="F333">
        <f t="shared" si="13"/>
        <v>27.25</v>
      </c>
    </row>
    <row r="334" spans="1:6" ht="18" customHeight="1">
      <c r="A334" t="s">
        <v>239</v>
      </c>
      <c r="B334" t="s">
        <v>380</v>
      </c>
      <c r="C334">
        <f>'Hai Tien'!D55</f>
        <v>10.59</v>
      </c>
      <c r="D334">
        <f>'Hai Tien'!AZ67</f>
        <v>0</v>
      </c>
      <c r="E334">
        <f>'Hai Tien'!BL55</f>
        <v>0</v>
      </c>
      <c r="F334">
        <f t="shared" si="13"/>
        <v>10.59</v>
      </c>
    </row>
    <row r="335" spans="1:6" ht="18" customHeight="1">
      <c r="A335" t="s">
        <v>240</v>
      </c>
      <c r="B335" t="s">
        <v>381</v>
      </c>
      <c r="C335">
        <f>'Hai Xuan'!D55</f>
        <v>31</v>
      </c>
      <c r="D335">
        <f>'Hai Xuan'!AZ67</f>
        <v>0</v>
      </c>
      <c r="E335">
        <f>'Hai Xuan'!BL55</f>
        <v>0.49</v>
      </c>
      <c r="F335">
        <f t="shared" si="13"/>
        <v>30.51</v>
      </c>
    </row>
    <row r="336" spans="1:6" ht="18" customHeight="1">
      <c r="A336" t="s">
        <v>241</v>
      </c>
      <c r="B336" t="s">
        <v>382</v>
      </c>
      <c r="C336">
        <f>'Van Ninh'!D55</f>
        <v>19</v>
      </c>
      <c r="D336">
        <f>'Van Ninh'!AZ68</f>
        <v>0</v>
      </c>
      <c r="E336">
        <f>'Van Ninh'!BL55</f>
        <v>0</v>
      </c>
      <c r="F336">
        <f t="shared" si="13"/>
        <v>19</v>
      </c>
    </row>
    <row r="337" spans="1:6" ht="18" customHeight="1">
      <c r="A337" t="s">
        <v>242</v>
      </c>
      <c r="B337" t="s">
        <v>383</v>
      </c>
      <c r="C337">
        <f>'Vinh Trung'!D55</f>
        <v>0.52</v>
      </c>
      <c r="D337">
        <f>'Vinh Trung'!AZ68</f>
        <v>0</v>
      </c>
      <c r="E337">
        <f>'Vinh Trung'!BL55</f>
        <v>0</v>
      </c>
      <c r="F337">
        <f t="shared" si="13"/>
        <v>0.52</v>
      </c>
    </row>
    <row r="338" spans="1:6" ht="18" customHeight="1">
      <c r="A338" t="s">
        <v>243</v>
      </c>
      <c r="B338" t="s">
        <v>384</v>
      </c>
      <c r="C338">
        <f>'Vinh Thuc'!D55</f>
        <v>16.600000000000001</v>
      </c>
      <c r="D338">
        <f>'Vinh Thuc'!AZ67</f>
        <v>0</v>
      </c>
      <c r="E338">
        <f>'Vinh Thuc'!BL55</f>
        <v>0.01</v>
      </c>
      <c r="F338">
        <f t="shared" si="13"/>
        <v>16.59</v>
      </c>
    </row>
    <row r="339" spans="1:6" ht="18" customHeight="1">
      <c r="A339" t="s">
        <v>244</v>
      </c>
      <c r="B339" t="s">
        <v>385</v>
      </c>
      <c r="C339">
        <f>'Hai Yen'!D55</f>
        <v>27.41</v>
      </c>
      <c r="D339">
        <f>'Hai Yen'!AZ68</f>
        <v>0</v>
      </c>
      <c r="E339">
        <f>'Hai Yen'!BL55</f>
        <v>0</v>
      </c>
      <c r="F339">
        <f t="shared" si="13"/>
        <v>27.41</v>
      </c>
    </row>
    <row r="340" spans="1:6" ht="18" customHeight="1">
      <c r="A340" t="s">
        <v>245</v>
      </c>
      <c r="B340" t="s">
        <v>386</v>
      </c>
      <c r="C340">
        <f>'Ka Long'!D55</f>
        <v>0</v>
      </c>
      <c r="D340">
        <f>'Ka Long'!AZ67</f>
        <v>0</v>
      </c>
      <c r="E340">
        <f>'Ka Long'!BL55</f>
        <v>0</v>
      </c>
      <c r="F340">
        <f t="shared" si="13"/>
        <v>0</v>
      </c>
    </row>
    <row r="341" spans="1:6" ht="18" customHeight="1">
      <c r="A341" t="s">
        <v>246</v>
      </c>
      <c r="B341" t="s">
        <v>387</v>
      </c>
      <c r="C341">
        <f>'Ninh Duong'!D55</f>
        <v>8.11</v>
      </c>
      <c r="D341">
        <f>'Ninh Duong'!AZ67</f>
        <v>0</v>
      </c>
      <c r="E341">
        <f>'Ninh Duong'!BL55</f>
        <v>0.85</v>
      </c>
      <c r="F341">
        <f t="shared" si="13"/>
        <v>7.26</v>
      </c>
    </row>
    <row r="342" spans="1:6" ht="18" customHeight="1">
      <c r="A342" t="s">
        <v>247</v>
      </c>
      <c r="B342" t="s">
        <v>388</v>
      </c>
      <c r="C342">
        <f>'Hoa Lac'!D55</f>
        <v>0</v>
      </c>
      <c r="D342">
        <f>'Hoa Lac'!AZ67</f>
        <v>0</v>
      </c>
      <c r="E342">
        <f>'Hoa Lac'!BL55</f>
        <v>0</v>
      </c>
      <c r="F342">
        <f t="shared" si="13"/>
        <v>0</v>
      </c>
    </row>
    <row r="343" spans="1:6" ht="18" customHeight="1">
      <c r="A343" t="s">
        <v>248</v>
      </c>
      <c r="B343" t="s">
        <v>389</v>
      </c>
      <c r="C343">
        <f>'Tran Phu'!D55</f>
        <v>0</v>
      </c>
      <c r="D343">
        <f>'Tran Phu'!AZ67</f>
        <v>0</v>
      </c>
      <c r="E343">
        <f>'Tran Phu'!BL55</f>
        <v>0</v>
      </c>
      <c r="F343">
        <f t="shared" si="13"/>
        <v>0</v>
      </c>
    </row>
    <row r="344" spans="1:6" ht="18" customHeight="1">
      <c r="A344" t="s">
        <v>249</v>
      </c>
      <c r="B344" t="s">
        <v>390</v>
      </c>
      <c r="C344">
        <f>'Hai Hoa'!D55</f>
        <v>8.58</v>
      </c>
      <c r="D344">
        <f>'Hai Hoa'!AZ67</f>
        <v>0</v>
      </c>
      <c r="E344">
        <f>'Hai Hoa'!BL55</f>
        <v>0.14000000000000001</v>
      </c>
      <c r="F344">
        <f t="shared" si="13"/>
        <v>8.44</v>
      </c>
    </row>
    <row r="345" spans="1:6" ht="18" customHeight="1">
      <c r="A345" t="s">
        <v>250</v>
      </c>
      <c r="B345" t="s">
        <v>391</v>
      </c>
      <c r="C345">
        <f>'Tra Co'!D55</f>
        <v>34.43</v>
      </c>
      <c r="D345">
        <f>'Tra Co'!AZ67</f>
        <v>0</v>
      </c>
      <c r="E345">
        <f>'Tra Co'!BL55</f>
        <v>0</v>
      </c>
      <c r="F345">
        <f t="shared" si="13"/>
        <v>34.43</v>
      </c>
    </row>
    <row r="346" spans="1:6" ht="18" customHeight="1">
      <c r="A346" t="s">
        <v>251</v>
      </c>
      <c r="B346" t="s">
        <v>392</v>
      </c>
      <c r="C346">
        <f>'Binh Ngoc'!D55</f>
        <v>35.35</v>
      </c>
      <c r="D346">
        <f>'Binh Ngoc'!AZ67</f>
        <v>0</v>
      </c>
      <c r="E346">
        <f>'Binh Ngoc'!BL55</f>
        <v>0</v>
      </c>
      <c r="F346">
        <f t="shared" si="13"/>
        <v>35.35</v>
      </c>
    </row>
    <row r="347" spans="1:6" ht="18" customHeight="1">
      <c r="A347" t="s">
        <v>252</v>
      </c>
      <c r="B347" t="s">
        <v>393</v>
      </c>
      <c r="C347">
        <f>'Lien vị'!D55</f>
        <v>0</v>
      </c>
      <c r="D347">
        <f>'Lien vị'!AZ67</f>
        <v>0</v>
      </c>
      <c r="E347">
        <f>'Lien vị'!BL55</f>
        <v>0</v>
      </c>
      <c r="F347">
        <f t="shared" si="13"/>
        <v>0</v>
      </c>
    </row>
    <row r="348" spans="1:6" ht="18" customHeight="1">
      <c r="A348" t="s">
        <v>253</v>
      </c>
      <c r="B348" t="s">
        <v>394</v>
      </c>
      <c r="C348">
        <f>'Tien Phong'!D55</f>
        <v>0</v>
      </c>
      <c r="D348">
        <f>'Tien Phong'!AZ67</f>
        <v>0</v>
      </c>
      <c r="E348">
        <f>'Tien Phong'!BL55</f>
        <v>0</v>
      </c>
      <c r="F348">
        <f t="shared" si="13"/>
        <v>0</v>
      </c>
    </row>
    <row r="349" spans="1:6" ht="24" customHeight="1">
      <c r="B349" t="s">
        <v>370</v>
      </c>
      <c r="C349">
        <f>SUM(C330:C348)</f>
        <v>239.16000000000003</v>
      </c>
      <c r="D349">
        <f>SUM(D330:D348)</f>
        <v>0</v>
      </c>
      <c r="E349">
        <f>SUM(E330:E348)</f>
        <v>1.7000000000000002</v>
      </c>
      <c r="F349">
        <f>SUM(F330:F348)</f>
        <v>237.46</v>
      </c>
    </row>
    <row r="351" spans="1:6">
      <c r="A351" s="1300" t="s">
        <v>431</v>
      </c>
      <c r="B351" s="1300"/>
    </row>
    <row r="352" spans="1:6" ht="38.25" customHeight="1">
      <c r="A352" s="1300" t="s">
        <v>439</v>
      </c>
      <c r="B352" s="1300"/>
      <c r="C352" s="1300"/>
      <c r="D352" s="1300"/>
      <c r="E352" s="1300"/>
      <c r="F352" s="1300"/>
    </row>
    <row r="353" spans="1:6" ht="21" customHeight="1">
      <c r="A353" s="1300" t="s">
        <v>138</v>
      </c>
      <c r="B353" s="1300"/>
      <c r="C353" s="1300"/>
      <c r="D353" s="1300"/>
      <c r="E353" s="1300"/>
      <c r="F353" s="1300"/>
    </row>
    <row r="354" spans="1:6" ht="51" customHeight="1">
      <c r="A354" t="s">
        <v>368</v>
      </c>
      <c r="B354" t="s">
        <v>369</v>
      </c>
      <c r="C354" t="s">
        <v>373</v>
      </c>
      <c r="D354" t="s">
        <v>371</v>
      </c>
      <c r="E354" t="s">
        <v>372</v>
      </c>
      <c r="F354" t="s">
        <v>366</v>
      </c>
    </row>
    <row r="355" spans="1:6" ht="18" customHeight="1">
      <c r="A355" t="s">
        <v>235</v>
      </c>
      <c r="B355" t="s">
        <v>376</v>
      </c>
      <c r="C355">
        <f>'Bac Son'!D56</f>
        <v>0</v>
      </c>
      <c r="D355">
        <f>'Bac Son'!BA67</f>
        <v>0</v>
      </c>
      <c r="E355">
        <f>'Bac Son'!BL56</f>
        <v>0</v>
      </c>
      <c r="F355">
        <f>C355+D355-E355</f>
        <v>0</v>
      </c>
    </row>
    <row r="356" spans="1:6" ht="18" customHeight="1">
      <c r="A356" t="s">
        <v>236</v>
      </c>
      <c r="B356" t="s">
        <v>377</v>
      </c>
      <c r="C356">
        <f>'Hai Son'!D56</f>
        <v>0</v>
      </c>
      <c r="D356">
        <f>'Hai Son'!BA67</f>
        <v>6.4999999999999991</v>
      </c>
      <c r="E356">
        <f>'Hai Son'!BL56</f>
        <v>0</v>
      </c>
      <c r="F356">
        <f t="shared" ref="F356:F373" si="14">C356+D356-E356</f>
        <v>6.4999999999999991</v>
      </c>
    </row>
    <row r="357" spans="1:6" ht="18" customHeight="1">
      <c r="A357" t="s">
        <v>237</v>
      </c>
      <c r="B357" t="s">
        <v>378</v>
      </c>
      <c r="C357">
        <f>'Quang Nghia'!D56</f>
        <v>0.36</v>
      </c>
      <c r="D357">
        <f>'Quang Nghia'!BA67</f>
        <v>271.49</v>
      </c>
      <c r="E357">
        <f>'Quang Nghia'!BL56</f>
        <v>0.01</v>
      </c>
      <c r="F357">
        <f t="shared" si="14"/>
        <v>271.84000000000003</v>
      </c>
    </row>
    <row r="358" spans="1:6" ht="18" customHeight="1">
      <c r="A358" t="s">
        <v>238</v>
      </c>
      <c r="B358" t="s">
        <v>379</v>
      </c>
      <c r="C358">
        <f>'Hai Dong'!D56</f>
        <v>0</v>
      </c>
      <c r="D358">
        <f>'Hai Dong'!BA67</f>
        <v>0</v>
      </c>
      <c r="E358">
        <f>'Hai Dong'!BL56</f>
        <v>0</v>
      </c>
      <c r="F358">
        <f t="shared" si="14"/>
        <v>0</v>
      </c>
    </row>
    <row r="359" spans="1:6" ht="18" customHeight="1">
      <c r="A359" t="s">
        <v>239</v>
      </c>
      <c r="B359" t="s">
        <v>380</v>
      </c>
      <c r="C359">
        <f>'Hai Tien'!D56</f>
        <v>5.8895</v>
      </c>
      <c r="D359">
        <f>'Hai Tien'!BA67</f>
        <v>0.06</v>
      </c>
      <c r="E359">
        <f>'Hai Tien'!BL56</f>
        <v>0</v>
      </c>
      <c r="F359">
        <f t="shared" si="14"/>
        <v>5.9494999999999996</v>
      </c>
    </row>
    <row r="360" spans="1:6" ht="18" customHeight="1">
      <c r="A360" t="s">
        <v>240</v>
      </c>
      <c r="B360" t="s">
        <v>381</v>
      </c>
      <c r="C360">
        <f>'Hai Xuan'!D56</f>
        <v>2.3199999999999998</v>
      </c>
      <c r="D360">
        <f>'Hai Xuan'!BA67</f>
        <v>0</v>
      </c>
      <c r="E360">
        <f>'Hai Xuan'!BL56</f>
        <v>0</v>
      </c>
      <c r="F360">
        <f t="shared" si="14"/>
        <v>2.3199999999999998</v>
      </c>
    </row>
    <row r="361" spans="1:6" ht="18" customHeight="1">
      <c r="A361" t="s">
        <v>241</v>
      </c>
      <c r="B361" t="s">
        <v>382</v>
      </c>
      <c r="C361">
        <f>'Van Ninh'!D56</f>
        <v>0</v>
      </c>
      <c r="D361">
        <f>'Van Ninh'!BA68</f>
        <v>0</v>
      </c>
      <c r="E361">
        <f>'Van Ninh'!BL56</f>
        <v>0</v>
      </c>
      <c r="F361">
        <f t="shared" si="14"/>
        <v>0</v>
      </c>
    </row>
    <row r="362" spans="1:6" ht="18" customHeight="1">
      <c r="A362" t="s">
        <v>242</v>
      </c>
      <c r="B362" t="s">
        <v>383</v>
      </c>
      <c r="C362">
        <f>'Vinh Trung'!D56</f>
        <v>0</v>
      </c>
      <c r="D362">
        <f>'Vinh Trung'!BA68</f>
        <v>0</v>
      </c>
      <c r="E362">
        <f>'Vinh Trung'!BL56</f>
        <v>0</v>
      </c>
      <c r="F362">
        <f t="shared" si="14"/>
        <v>0</v>
      </c>
    </row>
    <row r="363" spans="1:6" ht="18" customHeight="1">
      <c r="A363" t="s">
        <v>243</v>
      </c>
      <c r="B363" t="s">
        <v>384</v>
      </c>
      <c r="C363">
        <f>'Vinh Thuc'!D56</f>
        <v>0</v>
      </c>
      <c r="D363">
        <f>'Vinh Thuc'!BA67</f>
        <v>0</v>
      </c>
      <c r="E363">
        <f>'Vinh Thuc'!BL56</f>
        <v>0</v>
      </c>
      <c r="F363">
        <f t="shared" si="14"/>
        <v>0</v>
      </c>
    </row>
    <row r="364" spans="1:6" ht="18" customHeight="1">
      <c r="A364" t="s">
        <v>244</v>
      </c>
      <c r="B364" t="s">
        <v>385</v>
      </c>
      <c r="C364">
        <f>'Hai Yen'!D56</f>
        <v>8.2899999999999991</v>
      </c>
      <c r="D364">
        <f>'Hai Yen'!BA68</f>
        <v>14.360000000000001</v>
      </c>
      <c r="E364">
        <f>'Hai Yen'!BL56</f>
        <v>0</v>
      </c>
      <c r="F364">
        <f t="shared" si="14"/>
        <v>22.65</v>
      </c>
    </row>
    <row r="365" spans="1:6" ht="18" customHeight="1">
      <c r="A365" t="s">
        <v>245</v>
      </c>
      <c r="B365" t="s">
        <v>386</v>
      </c>
      <c r="C365">
        <f>'Ka Long'!D56</f>
        <v>0</v>
      </c>
      <c r="D365">
        <f>'Ka Long'!BA67</f>
        <v>0</v>
      </c>
      <c r="E365">
        <f>'Ka Long'!BL56</f>
        <v>0</v>
      </c>
      <c r="F365">
        <f t="shared" si="14"/>
        <v>0</v>
      </c>
    </row>
    <row r="366" spans="1:6" ht="18" customHeight="1">
      <c r="A366" t="s">
        <v>246</v>
      </c>
      <c r="B366" t="s">
        <v>387</v>
      </c>
      <c r="C366">
        <f>'Ninh Duong'!D56</f>
        <v>1.0208999999999999</v>
      </c>
      <c r="D366">
        <f>'Ninh Duong'!BA67</f>
        <v>2.7199999999999998</v>
      </c>
      <c r="E366">
        <f>'Ninh Duong'!BL56</f>
        <v>0</v>
      </c>
      <c r="F366">
        <f t="shared" si="14"/>
        <v>3.7408999999999999</v>
      </c>
    </row>
    <row r="367" spans="1:6" ht="18" customHeight="1">
      <c r="A367" t="s">
        <v>247</v>
      </c>
      <c r="B367" t="s">
        <v>388</v>
      </c>
      <c r="C367">
        <f>'Hoa Lac'!D56</f>
        <v>0</v>
      </c>
      <c r="D367">
        <f>'Hoa Lac'!BA67</f>
        <v>0</v>
      </c>
      <c r="E367">
        <f>'Hoa Lac'!BL56</f>
        <v>0</v>
      </c>
      <c r="F367">
        <f t="shared" si="14"/>
        <v>0</v>
      </c>
    </row>
    <row r="368" spans="1:6" ht="18" customHeight="1">
      <c r="A368" t="s">
        <v>248</v>
      </c>
      <c r="B368" t="s">
        <v>389</v>
      </c>
      <c r="C368">
        <f>'Tran Phu'!D56</f>
        <v>0</v>
      </c>
      <c r="D368">
        <f>'Tran Phu'!BA67</f>
        <v>0</v>
      </c>
      <c r="E368">
        <f>'Tran Phu'!BL56</f>
        <v>0</v>
      </c>
      <c r="F368">
        <f t="shared" si="14"/>
        <v>0</v>
      </c>
    </row>
    <row r="369" spans="1:6" ht="18" customHeight="1">
      <c r="A369" t="s">
        <v>249</v>
      </c>
      <c r="B369" t="s">
        <v>390</v>
      </c>
      <c r="C369">
        <f>'Hai Hoa'!D56</f>
        <v>0</v>
      </c>
      <c r="D369">
        <f>'Hai Hoa'!BA67</f>
        <v>0</v>
      </c>
      <c r="E369">
        <f>'Hai Hoa'!BL56</f>
        <v>0</v>
      </c>
      <c r="F369">
        <f t="shared" si="14"/>
        <v>0</v>
      </c>
    </row>
    <row r="370" spans="1:6" ht="18" customHeight="1">
      <c r="A370" t="s">
        <v>250</v>
      </c>
      <c r="B370" t="s">
        <v>391</v>
      </c>
      <c r="C370">
        <f>'Tra Co'!D56</f>
        <v>0.04</v>
      </c>
      <c r="D370">
        <f>'Tra Co'!BA67</f>
        <v>0</v>
      </c>
      <c r="E370">
        <f>'Tra Co'!BL56</f>
        <v>0</v>
      </c>
      <c r="F370">
        <f t="shared" si="14"/>
        <v>0.04</v>
      </c>
    </row>
    <row r="371" spans="1:6" ht="18" customHeight="1">
      <c r="A371" t="s">
        <v>251</v>
      </c>
      <c r="B371" t="s">
        <v>392</v>
      </c>
      <c r="C371">
        <f>'Binh Ngoc'!D56</f>
        <v>0.09</v>
      </c>
      <c r="D371">
        <f>'Binh Ngoc'!BA67</f>
        <v>0</v>
      </c>
      <c r="E371">
        <f>'Binh Ngoc'!BL56</f>
        <v>0</v>
      </c>
      <c r="F371">
        <f t="shared" si="14"/>
        <v>0.09</v>
      </c>
    </row>
    <row r="372" spans="1:6" ht="18" customHeight="1">
      <c r="A372" t="s">
        <v>252</v>
      </c>
      <c r="B372" t="s">
        <v>393</v>
      </c>
      <c r="C372">
        <f>'Lien vị'!D56</f>
        <v>0</v>
      </c>
      <c r="D372">
        <f>'Lien vị'!BA67</f>
        <v>0</v>
      </c>
      <c r="E372">
        <f>'Lien vị'!BL56</f>
        <v>0</v>
      </c>
      <c r="F372">
        <f t="shared" si="14"/>
        <v>0</v>
      </c>
    </row>
    <row r="373" spans="1:6" ht="18" customHeight="1">
      <c r="A373" t="s">
        <v>253</v>
      </c>
      <c r="B373" t="s">
        <v>394</v>
      </c>
      <c r="C373">
        <f>'Tien Phong'!D56</f>
        <v>0</v>
      </c>
      <c r="D373">
        <f>'Tien Phong'!BA67</f>
        <v>0</v>
      </c>
      <c r="E373">
        <f>'Tien Phong'!BL56</f>
        <v>0</v>
      </c>
      <c r="F373">
        <f t="shared" si="14"/>
        <v>0</v>
      </c>
    </row>
    <row r="374" spans="1:6" ht="24" customHeight="1">
      <c r="B374" t="s">
        <v>370</v>
      </c>
      <c r="C374">
        <f>SUM(C355:C373)</f>
        <v>18.010399999999997</v>
      </c>
      <c r="D374">
        <f>SUM(D355:D373)</f>
        <v>295.13000000000005</v>
      </c>
      <c r="E374">
        <f>SUM(E355:E373)</f>
        <v>0.01</v>
      </c>
      <c r="F374">
        <f>SUM(F355:F373)</f>
        <v>313.13040000000001</v>
      </c>
    </row>
    <row r="376" spans="1:6">
      <c r="A376" s="1300" t="s">
        <v>431</v>
      </c>
      <c r="B376" s="1300"/>
    </row>
    <row r="377" spans="1:6" ht="25.5" customHeight="1">
      <c r="A377" s="1300" t="s">
        <v>440</v>
      </c>
      <c r="B377" s="1300"/>
      <c r="C377" s="1300"/>
      <c r="D377" s="1300"/>
      <c r="E377" s="1300"/>
      <c r="F377" s="1300"/>
    </row>
    <row r="378" spans="1:6" ht="21" customHeight="1">
      <c r="A378" s="1300" t="s">
        <v>138</v>
      </c>
      <c r="B378" s="1300"/>
      <c r="C378" s="1300"/>
      <c r="D378" s="1300"/>
      <c r="E378" s="1300"/>
      <c r="F378" s="1300"/>
    </row>
    <row r="379" spans="1:6" ht="51" customHeight="1">
      <c r="A379" t="s">
        <v>368</v>
      </c>
      <c r="B379" t="s">
        <v>369</v>
      </c>
      <c r="C379" t="s">
        <v>373</v>
      </c>
      <c r="D379" t="s">
        <v>371</v>
      </c>
      <c r="E379" t="s">
        <v>372</v>
      </c>
      <c r="F379" t="s">
        <v>366</v>
      </c>
    </row>
    <row r="380" spans="1:6" ht="18" customHeight="1">
      <c r="A380" t="s">
        <v>235</v>
      </c>
      <c r="B380" t="s">
        <v>376</v>
      </c>
      <c r="C380">
        <f>'Bac Son'!D57</f>
        <v>0.47</v>
      </c>
      <c r="D380">
        <f>'Bac Son'!BB67</f>
        <v>0</v>
      </c>
      <c r="E380">
        <f>'Bac Son'!BL57</f>
        <v>0</v>
      </c>
      <c r="F380">
        <f>C380+D380-E380</f>
        <v>0.47</v>
      </c>
    </row>
    <row r="381" spans="1:6" ht="18" customHeight="1">
      <c r="A381" t="s">
        <v>236</v>
      </c>
      <c r="B381" t="s">
        <v>377</v>
      </c>
      <c r="C381">
        <f>'Hai Son'!D57</f>
        <v>0.62</v>
      </c>
      <c r="D381">
        <f>'Hai Son'!BB67</f>
        <v>0</v>
      </c>
      <c r="E381">
        <f>'Hai Son'!BL57</f>
        <v>0</v>
      </c>
      <c r="F381">
        <f t="shared" ref="F381:F398" si="15">C381+D381-E381</f>
        <v>0.62</v>
      </c>
    </row>
    <row r="382" spans="1:6" ht="18" customHeight="1">
      <c r="A382" t="s">
        <v>237</v>
      </c>
      <c r="B382" t="s">
        <v>378</v>
      </c>
      <c r="C382">
        <f>'Quang Nghia'!D57</f>
        <v>0.37</v>
      </c>
      <c r="D382">
        <f>'Quang Nghia'!BB67</f>
        <v>0</v>
      </c>
      <c r="E382">
        <f>'Quang Nghia'!BL57</f>
        <v>0</v>
      </c>
      <c r="F382">
        <f t="shared" si="15"/>
        <v>0.37</v>
      </c>
    </row>
    <row r="383" spans="1:6" ht="18" customHeight="1">
      <c r="A383" t="s">
        <v>238</v>
      </c>
      <c r="B383" t="s">
        <v>379</v>
      </c>
      <c r="C383">
        <f>'Hai Dong'!D57</f>
        <v>0.5</v>
      </c>
      <c r="D383">
        <f>'Hai Dong'!BB67</f>
        <v>0</v>
      </c>
      <c r="E383">
        <f>'Hai Dong'!BL57</f>
        <v>0</v>
      </c>
      <c r="F383">
        <f t="shared" si="15"/>
        <v>0.5</v>
      </c>
    </row>
    <row r="384" spans="1:6" ht="18" customHeight="1">
      <c r="A384" t="s">
        <v>239</v>
      </c>
      <c r="B384" t="s">
        <v>380</v>
      </c>
      <c r="C384">
        <f>'Hai Tien'!D57</f>
        <v>1.6</v>
      </c>
      <c r="D384">
        <f>'Hai Tien'!BB67</f>
        <v>0</v>
      </c>
      <c r="E384">
        <f>'Hai Tien'!BL57</f>
        <v>0</v>
      </c>
      <c r="F384">
        <f t="shared" si="15"/>
        <v>1.6</v>
      </c>
    </row>
    <row r="385" spans="1:6" ht="18" customHeight="1">
      <c r="A385" t="s">
        <v>240</v>
      </c>
      <c r="B385" t="s">
        <v>381</v>
      </c>
      <c r="C385">
        <f>'Hai Xuan'!D57</f>
        <v>1.1499999999999999</v>
      </c>
      <c r="D385">
        <f>'Hai Xuan'!BB67</f>
        <v>0</v>
      </c>
      <c r="E385">
        <f>'Hai Xuan'!BL57</f>
        <v>0</v>
      </c>
      <c r="F385">
        <f t="shared" si="15"/>
        <v>1.1499999999999999</v>
      </c>
    </row>
    <row r="386" spans="1:6" ht="18" customHeight="1">
      <c r="A386" t="s">
        <v>241</v>
      </c>
      <c r="B386" t="s">
        <v>382</v>
      </c>
      <c r="C386">
        <f>'Van Ninh'!D57</f>
        <v>0.57999999999999996</v>
      </c>
      <c r="D386">
        <f>'Van Ninh'!BB68</f>
        <v>0</v>
      </c>
      <c r="E386">
        <f>'Van Ninh'!BL57</f>
        <v>0.01</v>
      </c>
      <c r="F386">
        <f t="shared" si="15"/>
        <v>0.56999999999999995</v>
      </c>
    </row>
    <row r="387" spans="1:6" ht="18" customHeight="1">
      <c r="A387" t="s">
        <v>242</v>
      </c>
      <c r="B387" t="s">
        <v>383</v>
      </c>
      <c r="C387">
        <f>'Vinh Trung'!D57</f>
        <v>0.34</v>
      </c>
      <c r="D387">
        <f>'Vinh Trung'!BB68</f>
        <v>0</v>
      </c>
      <c r="E387">
        <f>'Vinh Trung'!BL57</f>
        <v>0</v>
      </c>
      <c r="F387">
        <f t="shared" si="15"/>
        <v>0.34</v>
      </c>
    </row>
    <row r="388" spans="1:6" ht="18" customHeight="1">
      <c r="A388" t="s">
        <v>243</v>
      </c>
      <c r="B388" t="s">
        <v>384</v>
      </c>
      <c r="C388">
        <f>'Vinh Thuc'!D57</f>
        <v>0.62</v>
      </c>
      <c r="D388">
        <f>'Vinh Thuc'!BB67</f>
        <v>0</v>
      </c>
      <c r="E388">
        <f>'Vinh Thuc'!BL57</f>
        <v>0</v>
      </c>
      <c r="F388">
        <f t="shared" si="15"/>
        <v>0.62</v>
      </c>
    </row>
    <row r="389" spans="1:6" ht="18" customHeight="1">
      <c r="A389" t="s">
        <v>244</v>
      </c>
      <c r="B389" t="s">
        <v>385</v>
      </c>
      <c r="C389">
        <f>'Hai Yen'!D57</f>
        <v>1.5196000000000001</v>
      </c>
      <c r="D389">
        <f>'Hai Yen'!BB68</f>
        <v>0</v>
      </c>
      <c r="E389">
        <f>'Hai Yen'!BL57</f>
        <v>0.06</v>
      </c>
      <c r="F389">
        <f t="shared" si="15"/>
        <v>1.4596</v>
      </c>
    </row>
    <row r="390" spans="1:6" ht="18" customHeight="1">
      <c r="A390" t="s">
        <v>245</v>
      </c>
      <c r="B390" t="s">
        <v>386</v>
      </c>
      <c r="C390">
        <f>'Ka Long'!D57</f>
        <v>0.62</v>
      </c>
      <c r="D390">
        <f>'Ka Long'!BB67</f>
        <v>0</v>
      </c>
      <c r="E390">
        <f>'Ka Long'!BL57</f>
        <v>0</v>
      </c>
      <c r="F390">
        <f t="shared" si="15"/>
        <v>0.62</v>
      </c>
    </row>
    <row r="391" spans="1:6" ht="18" customHeight="1">
      <c r="A391" t="s">
        <v>246</v>
      </c>
      <c r="B391" t="s">
        <v>387</v>
      </c>
      <c r="C391">
        <f>'Ninh Duong'!D57</f>
        <v>1.0900000000000001</v>
      </c>
      <c r="D391">
        <f>'Ninh Duong'!BB67</f>
        <v>0</v>
      </c>
      <c r="E391">
        <f>'Ninh Duong'!BL57</f>
        <v>0</v>
      </c>
      <c r="F391">
        <f t="shared" si="15"/>
        <v>1.0900000000000001</v>
      </c>
    </row>
    <row r="392" spans="1:6" ht="18" customHeight="1">
      <c r="A392" t="s">
        <v>247</v>
      </c>
      <c r="B392" t="s">
        <v>388</v>
      </c>
      <c r="C392">
        <f>'Hoa Lac'!D57</f>
        <v>0.28000000000000003</v>
      </c>
      <c r="D392">
        <f>'Hoa Lac'!BB67</f>
        <v>0</v>
      </c>
      <c r="E392">
        <f>'Hoa Lac'!BL57</f>
        <v>0</v>
      </c>
      <c r="F392">
        <f t="shared" si="15"/>
        <v>0.28000000000000003</v>
      </c>
    </row>
    <row r="393" spans="1:6" ht="18" customHeight="1">
      <c r="A393" t="s">
        <v>248</v>
      </c>
      <c r="B393" t="s">
        <v>389</v>
      </c>
      <c r="C393">
        <f>'Tran Phu'!D57</f>
        <v>0.45</v>
      </c>
      <c r="D393">
        <f>'Tran Phu'!BB67</f>
        <v>0</v>
      </c>
      <c r="E393">
        <f>'Tran Phu'!BL57</f>
        <v>0</v>
      </c>
      <c r="F393">
        <f t="shared" si="15"/>
        <v>0.45</v>
      </c>
    </row>
    <row r="394" spans="1:6" ht="18" customHeight="1">
      <c r="A394" t="s">
        <v>249</v>
      </c>
      <c r="B394" t="s">
        <v>390</v>
      </c>
      <c r="C394">
        <f>'Hai Hoa'!D57</f>
        <v>2.2999999999999998</v>
      </c>
      <c r="D394">
        <f>'Hai Hoa'!BB67</f>
        <v>0</v>
      </c>
      <c r="E394">
        <f>'Hai Hoa'!BL57</f>
        <v>0.54</v>
      </c>
      <c r="F394">
        <f t="shared" si="15"/>
        <v>1.7599999999999998</v>
      </c>
    </row>
    <row r="395" spans="1:6" ht="18" customHeight="1">
      <c r="A395" t="s">
        <v>250</v>
      </c>
      <c r="B395" t="s">
        <v>391</v>
      </c>
      <c r="C395">
        <f>'Tra Co'!D57</f>
        <v>0.44</v>
      </c>
      <c r="D395">
        <f>'Tra Co'!BB67</f>
        <v>0</v>
      </c>
      <c r="E395">
        <f>'Tra Co'!BL57</f>
        <v>0</v>
      </c>
      <c r="F395">
        <f t="shared" si="15"/>
        <v>0.44</v>
      </c>
    </row>
    <row r="396" spans="1:6" ht="18" customHeight="1">
      <c r="A396" t="s">
        <v>251</v>
      </c>
      <c r="B396" t="s">
        <v>392</v>
      </c>
      <c r="C396">
        <f>'Binh Ngoc'!D57</f>
        <v>0</v>
      </c>
      <c r="D396">
        <f>'Binh Ngoc'!BB67</f>
        <v>0</v>
      </c>
      <c r="E396">
        <f>'Binh Ngoc'!BL57</f>
        <v>0</v>
      </c>
      <c r="F396">
        <f t="shared" si="15"/>
        <v>0</v>
      </c>
    </row>
    <row r="397" spans="1:6" ht="18" customHeight="1">
      <c r="A397" t="s">
        <v>252</v>
      </c>
      <c r="B397" t="s">
        <v>393</v>
      </c>
      <c r="C397">
        <f>'Lien vị'!D57</f>
        <v>0</v>
      </c>
      <c r="D397">
        <f>'Lien vị'!BB67</f>
        <v>0</v>
      </c>
      <c r="E397">
        <f>'Lien vị'!BL57</f>
        <v>0</v>
      </c>
      <c r="F397">
        <f t="shared" si="15"/>
        <v>0</v>
      </c>
    </row>
    <row r="398" spans="1:6" ht="18" customHeight="1">
      <c r="A398" t="s">
        <v>253</v>
      </c>
      <c r="B398" t="s">
        <v>394</v>
      </c>
      <c r="C398">
        <f>'Tien Phong'!D57</f>
        <v>0</v>
      </c>
      <c r="D398">
        <f>'Tien Phong'!BB67</f>
        <v>0</v>
      </c>
      <c r="E398">
        <f>'Tien Phong'!BL57</f>
        <v>0</v>
      </c>
      <c r="F398">
        <f t="shared" si="15"/>
        <v>0</v>
      </c>
    </row>
    <row r="399" spans="1:6" ht="24" customHeight="1">
      <c r="B399" t="s">
        <v>370</v>
      </c>
      <c r="C399">
        <f>SUM(C380:C398)</f>
        <v>12.949599999999998</v>
      </c>
      <c r="D399">
        <f>SUM(D380:D398)</f>
        <v>0</v>
      </c>
      <c r="E399">
        <f>SUM(E380:E398)</f>
        <v>0.61</v>
      </c>
      <c r="F399">
        <f>SUM(F380:F398)</f>
        <v>12.339599999999997</v>
      </c>
    </row>
    <row r="401" spans="1:6">
      <c r="A401" s="1300" t="s">
        <v>431</v>
      </c>
      <c r="B401" s="1300"/>
    </row>
    <row r="402" spans="1:6" ht="37.5" customHeight="1">
      <c r="A402" s="1300" t="s">
        <v>441</v>
      </c>
      <c r="B402" s="1300"/>
      <c r="C402" s="1300"/>
      <c r="D402" s="1300"/>
      <c r="E402" s="1300"/>
      <c r="F402" s="1300"/>
    </row>
    <row r="403" spans="1:6" ht="21" customHeight="1">
      <c r="A403" s="1300" t="s">
        <v>138</v>
      </c>
      <c r="B403" s="1300"/>
      <c r="C403" s="1300"/>
      <c r="D403" s="1300"/>
      <c r="E403" s="1300"/>
      <c r="F403" s="1300"/>
    </row>
    <row r="404" spans="1:6" ht="51" customHeight="1">
      <c r="A404" t="s">
        <v>368</v>
      </c>
      <c r="B404" t="s">
        <v>369</v>
      </c>
      <c r="C404" t="s">
        <v>373</v>
      </c>
      <c r="D404" t="s">
        <v>371</v>
      </c>
      <c r="E404" t="s">
        <v>372</v>
      </c>
      <c r="F404" t="s">
        <v>366</v>
      </c>
    </row>
    <row r="405" spans="1:6" ht="18" customHeight="1">
      <c r="A405" t="s">
        <v>235</v>
      </c>
      <c r="B405" t="s">
        <v>376</v>
      </c>
      <c r="C405">
        <f>'Bac Son'!D58</f>
        <v>0</v>
      </c>
      <c r="D405">
        <f>'Bac Son'!BC67</f>
        <v>0</v>
      </c>
      <c r="E405">
        <f>'Bac Son'!BL58</f>
        <v>0</v>
      </c>
      <c r="F405">
        <f>C405+D405-E405</f>
        <v>0</v>
      </c>
    </row>
    <row r="406" spans="1:6" ht="18" customHeight="1">
      <c r="A406" t="s">
        <v>236</v>
      </c>
      <c r="B406" t="s">
        <v>377</v>
      </c>
      <c r="C406">
        <f>'Hai Son'!D58</f>
        <v>0.08</v>
      </c>
      <c r="D406">
        <f>'Hai Son'!BC67</f>
        <v>0</v>
      </c>
      <c r="E406">
        <f>'Hai Son'!BL58</f>
        <v>0</v>
      </c>
      <c r="F406">
        <f t="shared" ref="F406:F423" si="16">C406+D406-E406</f>
        <v>0.08</v>
      </c>
    </row>
    <row r="407" spans="1:6" ht="18" customHeight="1">
      <c r="A407" t="s">
        <v>237</v>
      </c>
      <c r="B407" t="s">
        <v>378</v>
      </c>
      <c r="C407">
        <f>'Quang Nghia'!D58</f>
        <v>0.34</v>
      </c>
      <c r="D407">
        <f>'Quang Nghia'!BC67</f>
        <v>0</v>
      </c>
      <c r="E407">
        <f>'Quang Nghia'!BL58</f>
        <v>0</v>
      </c>
      <c r="F407">
        <f t="shared" si="16"/>
        <v>0.34</v>
      </c>
    </row>
    <row r="408" spans="1:6" ht="18" customHeight="1">
      <c r="A408" t="s">
        <v>238</v>
      </c>
      <c r="B408" t="s">
        <v>379</v>
      </c>
      <c r="C408">
        <f>'Hai Dong'!D58</f>
        <v>0</v>
      </c>
      <c r="D408">
        <f>'Hai Dong'!BC67</f>
        <v>0</v>
      </c>
      <c r="E408">
        <f>'Hai Dong'!BL58</f>
        <v>0</v>
      </c>
      <c r="F408">
        <f t="shared" si="16"/>
        <v>0</v>
      </c>
    </row>
    <row r="409" spans="1:6" ht="18" customHeight="1">
      <c r="A409" t="s">
        <v>239</v>
      </c>
      <c r="B409" t="s">
        <v>380</v>
      </c>
      <c r="C409">
        <f>'Hai Tien'!D58</f>
        <v>0</v>
      </c>
      <c r="D409">
        <f>'Hai Tien'!BC67</f>
        <v>0</v>
      </c>
      <c r="E409">
        <f>'Hai Tien'!BL58</f>
        <v>0</v>
      </c>
      <c r="F409">
        <f t="shared" si="16"/>
        <v>0</v>
      </c>
    </row>
    <row r="410" spans="1:6" ht="18" customHeight="1">
      <c r="A410" t="s">
        <v>240</v>
      </c>
      <c r="B410" t="s">
        <v>381</v>
      </c>
      <c r="C410">
        <f>'Hai Xuan'!D58</f>
        <v>1.71</v>
      </c>
      <c r="D410">
        <f>'Hai Xuan'!BC67</f>
        <v>0</v>
      </c>
      <c r="E410">
        <f>'Hai Xuan'!BL58</f>
        <v>0</v>
      </c>
      <c r="F410">
        <f t="shared" si="16"/>
        <v>1.71</v>
      </c>
    </row>
    <row r="411" spans="1:6" ht="18" customHeight="1">
      <c r="A411" t="s">
        <v>241</v>
      </c>
      <c r="B411" t="s">
        <v>382</v>
      </c>
      <c r="C411">
        <f>'Van Ninh'!D58</f>
        <v>0</v>
      </c>
      <c r="D411">
        <f>'Van Ninh'!BC68</f>
        <v>0</v>
      </c>
      <c r="E411">
        <f>'Van Ninh'!BL58</f>
        <v>0</v>
      </c>
      <c r="F411">
        <f t="shared" si="16"/>
        <v>0</v>
      </c>
    </row>
    <row r="412" spans="1:6" ht="18" customHeight="1">
      <c r="A412" t="s">
        <v>242</v>
      </c>
      <c r="B412" t="s">
        <v>383</v>
      </c>
      <c r="C412">
        <f>'Vinh Trung'!D58</f>
        <v>0.19</v>
      </c>
      <c r="D412">
        <f>'Vinh Trung'!BC68</f>
        <v>0</v>
      </c>
      <c r="E412">
        <f>'Vinh Trung'!BL58</f>
        <v>0</v>
      </c>
      <c r="F412">
        <f t="shared" si="16"/>
        <v>0.19</v>
      </c>
    </row>
    <row r="413" spans="1:6" ht="18" customHeight="1">
      <c r="A413" t="s">
        <v>243</v>
      </c>
      <c r="B413" t="s">
        <v>384</v>
      </c>
      <c r="C413">
        <f>'Vinh Thuc'!D58</f>
        <v>0</v>
      </c>
      <c r="D413">
        <f>'Vinh Thuc'!BC67</f>
        <v>0</v>
      </c>
      <c r="E413">
        <f>'Vinh Thuc'!BL58</f>
        <v>0</v>
      </c>
      <c r="F413">
        <f t="shared" si="16"/>
        <v>0</v>
      </c>
    </row>
    <row r="414" spans="1:6" ht="18" customHeight="1">
      <c r="A414" t="s">
        <v>244</v>
      </c>
      <c r="B414" t="s">
        <v>385</v>
      </c>
      <c r="C414">
        <f>'Hai Yen'!D58</f>
        <v>1.27</v>
      </c>
      <c r="D414">
        <f>'Hai Yen'!BC68</f>
        <v>5.17</v>
      </c>
      <c r="E414">
        <f>'Hai Yen'!BL58</f>
        <v>0</v>
      </c>
      <c r="F414">
        <f t="shared" si="16"/>
        <v>6.4399999999999995</v>
      </c>
    </row>
    <row r="415" spans="1:6" ht="18" customHeight="1">
      <c r="A415" t="s">
        <v>245</v>
      </c>
      <c r="B415" t="s">
        <v>386</v>
      </c>
      <c r="C415">
        <f>'Ka Long'!D58</f>
        <v>0.47</v>
      </c>
      <c r="D415">
        <f>'Ka Long'!BC67</f>
        <v>0</v>
      </c>
      <c r="E415">
        <f>'Ka Long'!BL58</f>
        <v>0</v>
      </c>
      <c r="F415">
        <f t="shared" si="16"/>
        <v>0.47</v>
      </c>
    </row>
    <row r="416" spans="1:6" ht="18" customHeight="1">
      <c r="A416" t="s">
        <v>246</v>
      </c>
      <c r="B416" t="s">
        <v>387</v>
      </c>
      <c r="C416">
        <f>'Ninh Duong'!D58</f>
        <v>2.02</v>
      </c>
      <c r="D416">
        <f>'Ninh Duong'!BC67</f>
        <v>0.8</v>
      </c>
      <c r="E416">
        <f>'Ninh Duong'!BL58</f>
        <v>0</v>
      </c>
      <c r="F416">
        <f t="shared" si="16"/>
        <v>2.8200000000000003</v>
      </c>
    </row>
    <row r="417" spans="1:6" ht="18" customHeight="1">
      <c r="A417" t="s">
        <v>247</v>
      </c>
      <c r="B417" t="s">
        <v>388</v>
      </c>
      <c r="C417">
        <f>'Hoa Lac'!D58</f>
        <v>5.46</v>
      </c>
      <c r="D417">
        <f>'Hoa Lac'!BC67</f>
        <v>0</v>
      </c>
      <c r="E417">
        <f>'Hoa Lac'!BL58</f>
        <v>0</v>
      </c>
      <c r="F417">
        <f t="shared" si="16"/>
        <v>5.46</v>
      </c>
    </row>
    <row r="418" spans="1:6" ht="18" customHeight="1">
      <c r="A418" t="s">
        <v>248</v>
      </c>
      <c r="B418" t="s">
        <v>389</v>
      </c>
      <c r="C418">
        <f>'Tran Phu'!D58</f>
        <v>0.53</v>
      </c>
      <c r="D418">
        <f>'Tran Phu'!BC67</f>
        <v>0</v>
      </c>
      <c r="E418">
        <f>'Tran Phu'!BL58</f>
        <v>0</v>
      </c>
      <c r="F418">
        <f t="shared" si="16"/>
        <v>0.53</v>
      </c>
    </row>
    <row r="419" spans="1:6" ht="18" customHeight="1">
      <c r="A419" t="s">
        <v>249</v>
      </c>
      <c r="B419" t="s">
        <v>390</v>
      </c>
      <c r="C419">
        <f>'Hai Hoa'!D58</f>
        <v>0</v>
      </c>
      <c r="D419">
        <f>'Hai Hoa'!BC67</f>
        <v>9.02</v>
      </c>
      <c r="E419">
        <f>'Hai Hoa'!BL58</f>
        <v>0</v>
      </c>
      <c r="F419">
        <f t="shared" si="16"/>
        <v>9.02</v>
      </c>
    </row>
    <row r="420" spans="1:6" ht="18" customHeight="1">
      <c r="A420" t="s">
        <v>250</v>
      </c>
      <c r="B420" t="s">
        <v>391</v>
      </c>
      <c r="C420">
        <f>'Tra Co'!D58</f>
        <v>0</v>
      </c>
      <c r="D420">
        <f>'Tra Co'!BC67</f>
        <v>0</v>
      </c>
      <c r="E420">
        <f>'Tra Co'!BL58</f>
        <v>0</v>
      </c>
      <c r="F420">
        <f t="shared" si="16"/>
        <v>0</v>
      </c>
    </row>
    <row r="421" spans="1:6" ht="18" customHeight="1">
      <c r="A421" t="s">
        <v>251</v>
      </c>
      <c r="B421" t="s">
        <v>392</v>
      </c>
      <c r="C421">
        <f>'Binh Ngoc'!D58</f>
        <v>0.22</v>
      </c>
      <c r="D421">
        <f>'Binh Ngoc'!BC67</f>
        <v>0</v>
      </c>
      <c r="E421">
        <f>'Binh Ngoc'!BL58</f>
        <v>0</v>
      </c>
      <c r="F421">
        <f t="shared" si="16"/>
        <v>0.22</v>
      </c>
    </row>
    <row r="422" spans="1:6" ht="18" customHeight="1">
      <c r="A422" t="s">
        <v>252</v>
      </c>
      <c r="B422" t="s">
        <v>393</v>
      </c>
      <c r="C422">
        <f>'Lien vị'!D58</f>
        <v>0</v>
      </c>
      <c r="D422">
        <f>'Lien vị'!BC67</f>
        <v>0</v>
      </c>
      <c r="E422">
        <f>'Lien vị'!BL58</f>
        <v>0</v>
      </c>
      <c r="F422">
        <f t="shared" si="16"/>
        <v>0</v>
      </c>
    </row>
    <row r="423" spans="1:6" ht="18" customHeight="1">
      <c r="A423" t="s">
        <v>253</v>
      </c>
      <c r="B423" t="s">
        <v>394</v>
      </c>
      <c r="C423">
        <f>'Tien Phong'!D58</f>
        <v>0</v>
      </c>
      <c r="D423">
        <f>'Tien Phong'!BC67</f>
        <v>0</v>
      </c>
      <c r="E423">
        <f>'Tien Phong'!BL58</f>
        <v>0</v>
      </c>
      <c r="F423">
        <f t="shared" si="16"/>
        <v>0</v>
      </c>
    </row>
    <row r="424" spans="1:6" ht="24" customHeight="1">
      <c r="B424" t="s">
        <v>370</v>
      </c>
      <c r="C424">
        <f>SUM(C405:C423)</f>
        <v>12.29</v>
      </c>
      <c r="D424">
        <f>SUM(D405:D423)</f>
        <v>14.989999999999998</v>
      </c>
      <c r="E424">
        <f>SUM(E405:E423)</f>
        <v>0</v>
      </c>
      <c r="F424">
        <f>SUM(F405:F423)</f>
        <v>27.28</v>
      </c>
    </row>
    <row r="426" spans="1:6">
      <c r="A426" s="1300" t="s">
        <v>431</v>
      </c>
      <c r="B426" s="1300"/>
    </row>
    <row r="427" spans="1:6" ht="23.25" customHeight="1">
      <c r="A427" s="1300" t="s">
        <v>442</v>
      </c>
      <c r="B427" s="1300"/>
      <c r="C427" s="1300"/>
      <c r="D427" s="1300"/>
      <c r="E427" s="1300"/>
      <c r="F427" s="1300"/>
    </row>
    <row r="428" spans="1:6" ht="21" customHeight="1">
      <c r="A428" s="1300" t="s">
        <v>138</v>
      </c>
      <c r="B428" s="1300"/>
      <c r="C428" s="1300"/>
      <c r="D428" s="1300"/>
      <c r="E428" s="1300"/>
      <c r="F428" s="1300"/>
    </row>
    <row r="429" spans="1:6" ht="51" customHeight="1">
      <c r="A429" t="s">
        <v>368</v>
      </c>
      <c r="B429" t="s">
        <v>369</v>
      </c>
      <c r="C429" t="s">
        <v>373</v>
      </c>
      <c r="D429" t="s">
        <v>371</v>
      </c>
      <c r="E429" t="s">
        <v>372</v>
      </c>
      <c r="F429" t="s">
        <v>366</v>
      </c>
    </row>
    <row r="430" spans="1:6" ht="18" customHeight="1">
      <c r="A430" t="s">
        <v>235</v>
      </c>
      <c r="B430" t="s">
        <v>376</v>
      </c>
      <c r="C430">
        <f>'Bac Son'!D59</f>
        <v>0</v>
      </c>
      <c r="D430">
        <f>'Bac Son'!BD67</f>
        <v>0</v>
      </c>
      <c r="E430">
        <f>'Bac Son'!BL59</f>
        <v>0</v>
      </c>
      <c r="F430">
        <f>C430+D430-E430</f>
        <v>0</v>
      </c>
    </row>
    <row r="431" spans="1:6" ht="18" customHeight="1">
      <c r="A431" t="s">
        <v>236</v>
      </c>
      <c r="B431" t="s">
        <v>377</v>
      </c>
      <c r="C431">
        <f>'Hai Son'!D59</f>
        <v>0</v>
      </c>
      <c r="D431">
        <f>'Hai Son'!BD67</f>
        <v>0</v>
      </c>
      <c r="E431">
        <f>'Hai Son'!BL59</f>
        <v>0</v>
      </c>
      <c r="F431">
        <f t="shared" ref="F431:F448" si="17">C431+D431-E431</f>
        <v>0</v>
      </c>
    </row>
    <row r="432" spans="1:6" ht="18" customHeight="1">
      <c r="A432" t="s">
        <v>237</v>
      </c>
      <c r="B432" t="s">
        <v>378</v>
      </c>
      <c r="C432">
        <f>'Quang Nghia'!D59</f>
        <v>0.56999999999999995</v>
      </c>
      <c r="D432">
        <f>'Quang Nghia'!BD67</f>
        <v>0</v>
      </c>
      <c r="E432">
        <f>'Quang Nghia'!BL59</f>
        <v>0</v>
      </c>
      <c r="F432">
        <f t="shared" si="17"/>
        <v>0.56999999999999995</v>
      </c>
    </row>
    <row r="433" spans="1:6" ht="18" customHeight="1">
      <c r="A433" t="s">
        <v>238</v>
      </c>
      <c r="B433" t="s">
        <v>379</v>
      </c>
      <c r="C433">
        <f>'Hai Dong'!D59</f>
        <v>0.7</v>
      </c>
      <c r="D433">
        <f>'Hai Dong'!BD67</f>
        <v>0</v>
      </c>
      <c r="E433">
        <f>'Hai Dong'!BL59</f>
        <v>0</v>
      </c>
      <c r="F433">
        <f t="shared" si="17"/>
        <v>0.7</v>
      </c>
    </row>
    <row r="434" spans="1:6" ht="18" customHeight="1">
      <c r="A434" t="s">
        <v>239</v>
      </c>
      <c r="B434" t="s">
        <v>380</v>
      </c>
      <c r="C434">
        <f>'Hai Tien'!D59</f>
        <v>0.66</v>
      </c>
      <c r="D434">
        <f>'Hai Tien'!BD67</f>
        <v>0</v>
      </c>
      <c r="E434">
        <f>'Hai Tien'!BL59</f>
        <v>0</v>
      </c>
      <c r="F434">
        <f t="shared" si="17"/>
        <v>0.66</v>
      </c>
    </row>
    <row r="435" spans="1:6" ht="18" customHeight="1">
      <c r="A435" t="s">
        <v>240</v>
      </c>
      <c r="B435" t="s">
        <v>381</v>
      </c>
      <c r="C435">
        <f>'Hai Xuan'!D59</f>
        <v>1.77</v>
      </c>
      <c r="D435">
        <f>'Hai Xuan'!BD67</f>
        <v>0</v>
      </c>
      <c r="E435">
        <f>'Hai Xuan'!BL59</f>
        <v>0</v>
      </c>
      <c r="F435">
        <f t="shared" si="17"/>
        <v>1.77</v>
      </c>
    </row>
    <row r="436" spans="1:6" ht="18" customHeight="1">
      <c r="A436" t="s">
        <v>241</v>
      </c>
      <c r="B436" t="s">
        <v>382</v>
      </c>
      <c r="C436">
        <f>'Van Ninh'!D59</f>
        <v>1.53</v>
      </c>
      <c r="D436">
        <f>'Van Ninh'!BD68</f>
        <v>0</v>
      </c>
      <c r="E436">
        <f>'Van Ninh'!BL59</f>
        <v>0</v>
      </c>
      <c r="F436">
        <f t="shared" si="17"/>
        <v>1.53</v>
      </c>
    </row>
    <row r="437" spans="1:6" ht="18" customHeight="1">
      <c r="A437" t="s">
        <v>242</v>
      </c>
      <c r="B437" t="s">
        <v>383</v>
      </c>
      <c r="C437">
        <f>'Vinh Trung'!D59</f>
        <v>0.08</v>
      </c>
      <c r="D437">
        <f>'Vinh Trung'!BD68</f>
        <v>0</v>
      </c>
      <c r="E437">
        <f>'Vinh Trung'!BL59</f>
        <v>0</v>
      </c>
      <c r="F437">
        <f t="shared" si="17"/>
        <v>0.08</v>
      </c>
    </row>
    <row r="438" spans="1:6" ht="18" customHeight="1">
      <c r="A438" t="s">
        <v>243</v>
      </c>
      <c r="B438" t="s">
        <v>384</v>
      </c>
      <c r="C438">
        <f>'Vinh Thuc'!D59</f>
        <v>0.57999999999999996</v>
      </c>
      <c r="D438">
        <f>'Vinh Thuc'!BD67</f>
        <v>0</v>
      </c>
      <c r="E438">
        <f>'Vinh Thuc'!BL59</f>
        <v>0</v>
      </c>
      <c r="F438">
        <f t="shared" si="17"/>
        <v>0.57999999999999996</v>
      </c>
    </row>
    <row r="439" spans="1:6" ht="18" customHeight="1">
      <c r="A439" t="s">
        <v>244</v>
      </c>
      <c r="B439" t="s">
        <v>385</v>
      </c>
      <c r="C439">
        <f>'Hai Yen'!D59</f>
        <v>0.41</v>
      </c>
      <c r="D439">
        <f>'Hai Yen'!BD68</f>
        <v>0</v>
      </c>
      <c r="E439">
        <f>'Hai Yen'!BL59</f>
        <v>0</v>
      </c>
      <c r="F439">
        <f t="shared" si="17"/>
        <v>0.41</v>
      </c>
    </row>
    <row r="440" spans="1:6" ht="18" customHeight="1">
      <c r="A440" t="s">
        <v>245</v>
      </c>
      <c r="B440" t="s">
        <v>386</v>
      </c>
      <c r="C440">
        <f>'Ka Long'!D59</f>
        <v>1.23</v>
      </c>
      <c r="D440">
        <f>'Ka Long'!BD67</f>
        <v>0</v>
      </c>
      <c r="E440">
        <f>'Ka Long'!BL59</f>
        <v>0</v>
      </c>
      <c r="F440">
        <f t="shared" si="17"/>
        <v>1.23</v>
      </c>
    </row>
    <row r="441" spans="1:6" ht="18" customHeight="1">
      <c r="A441" t="s">
        <v>246</v>
      </c>
      <c r="B441" t="s">
        <v>387</v>
      </c>
      <c r="C441">
        <f>'Ninh Duong'!D59</f>
        <v>0.16</v>
      </c>
      <c r="D441">
        <f>'Ninh Duong'!BD67</f>
        <v>0</v>
      </c>
      <c r="E441">
        <f>'Ninh Duong'!BL59</f>
        <v>0</v>
      </c>
      <c r="F441">
        <f t="shared" si="17"/>
        <v>0.16</v>
      </c>
    </row>
    <row r="442" spans="1:6" ht="18" customHeight="1">
      <c r="A442" t="s">
        <v>247</v>
      </c>
      <c r="B442" t="s">
        <v>388</v>
      </c>
      <c r="C442">
        <f>'Hoa Lac'!D59</f>
        <v>0.01</v>
      </c>
      <c r="D442">
        <f>'Hoa Lac'!BD67</f>
        <v>0</v>
      </c>
      <c r="E442">
        <f>'Hoa Lac'!BL59</f>
        <v>0</v>
      </c>
      <c r="F442">
        <f t="shared" si="17"/>
        <v>0.01</v>
      </c>
    </row>
    <row r="443" spans="1:6" ht="18" customHeight="1">
      <c r="A443" t="s">
        <v>248</v>
      </c>
      <c r="B443" t="s">
        <v>389</v>
      </c>
      <c r="C443">
        <f>'Tran Phu'!D59</f>
        <v>0</v>
      </c>
      <c r="D443">
        <f>'Tran Phu'!BD67</f>
        <v>0</v>
      </c>
      <c r="E443">
        <f>'Tran Phu'!BL59</f>
        <v>0</v>
      </c>
      <c r="F443">
        <f t="shared" si="17"/>
        <v>0</v>
      </c>
    </row>
    <row r="444" spans="1:6" ht="18" customHeight="1">
      <c r="A444" t="s">
        <v>249</v>
      </c>
      <c r="B444" t="s">
        <v>390</v>
      </c>
      <c r="C444">
        <f>'Hai Hoa'!D59</f>
        <v>0.54</v>
      </c>
      <c r="D444">
        <f>'Hai Hoa'!BD67</f>
        <v>0</v>
      </c>
      <c r="E444">
        <f>'Hai Hoa'!BL59</f>
        <v>0.09</v>
      </c>
      <c r="F444">
        <f t="shared" si="17"/>
        <v>0.45000000000000007</v>
      </c>
    </row>
    <row r="445" spans="1:6" ht="18" customHeight="1">
      <c r="A445" t="s">
        <v>250</v>
      </c>
      <c r="B445" t="s">
        <v>391</v>
      </c>
      <c r="C445">
        <f>'Tra Co'!D59</f>
        <v>1.65</v>
      </c>
      <c r="D445">
        <f>'Tra Co'!BD67</f>
        <v>0</v>
      </c>
      <c r="E445">
        <f>'Tra Co'!BL59</f>
        <v>0</v>
      </c>
      <c r="F445">
        <f t="shared" si="17"/>
        <v>1.65</v>
      </c>
    </row>
    <row r="446" spans="1:6" ht="18" customHeight="1">
      <c r="A446" t="s">
        <v>251</v>
      </c>
      <c r="B446" t="s">
        <v>392</v>
      </c>
      <c r="C446">
        <f>'Binh Ngoc'!D59</f>
        <v>0.64</v>
      </c>
      <c r="D446">
        <f>'Binh Ngoc'!BD67</f>
        <v>0</v>
      </c>
      <c r="E446">
        <f>'Binh Ngoc'!BL59</f>
        <v>0</v>
      </c>
      <c r="F446">
        <f t="shared" si="17"/>
        <v>0.64</v>
      </c>
    </row>
    <row r="447" spans="1:6" ht="18" customHeight="1">
      <c r="A447" t="s">
        <v>252</v>
      </c>
      <c r="B447" t="s">
        <v>393</v>
      </c>
      <c r="C447">
        <f>'Lien vị'!D59</f>
        <v>0</v>
      </c>
      <c r="D447">
        <f>'Lien vị'!BD67</f>
        <v>0</v>
      </c>
      <c r="E447">
        <f>'Lien vị'!BL59</f>
        <v>0</v>
      </c>
      <c r="F447">
        <f t="shared" si="17"/>
        <v>0</v>
      </c>
    </row>
    <row r="448" spans="1:6" ht="18" customHeight="1">
      <c r="A448" t="s">
        <v>253</v>
      </c>
      <c r="B448" t="s">
        <v>394</v>
      </c>
      <c r="C448">
        <f>'Tien Phong'!D59</f>
        <v>0</v>
      </c>
      <c r="D448">
        <f>'Tien Phong'!BD67</f>
        <v>0</v>
      </c>
      <c r="E448">
        <f>'Tien Phong'!BL59</f>
        <v>0</v>
      </c>
      <c r="F448">
        <f t="shared" si="17"/>
        <v>0</v>
      </c>
    </row>
    <row r="449" spans="1:6" ht="24" customHeight="1">
      <c r="B449" t="s">
        <v>370</v>
      </c>
      <c r="C449">
        <f>SUM(C430:C448)</f>
        <v>10.530000000000003</v>
      </c>
      <c r="D449">
        <f>SUM(D430:D448)</f>
        <v>0</v>
      </c>
      <c r="E449">
        <f>SUM(E430:E448)</f>
        <v>0.09</v>
      </c>
      <c r="F449">
        <f>SUM(F430:F448)</f>
        <v>10.440000000000001</v>
      </c>
    </row>
    <row r="451" spans="1:6">
      <c r="A451" s="1300" t="s">
        <v>431</v>
      </c>
      <c r="B451" s="1300"/>
    </row>
    <row r="452" spans="1:6" ht="23.25" customHeight="1">
      <c r="A452" s="1300" t="s">
        <v>443</v>
      </c>
      <c r="B452" s="1300"/>
      <c r="C452" s="1300"/>
      <c r="D452" s="1300"/>
      <c r="E452" s="1300"/>
      <c r="F452" s="1300"/>
    </row>
    <row r="453" spans="1:6" ht="21" customHeight="1">
      <c r="A453" s="1300" t="s">
        <v>138</v>
      </c>
      <c r="B453" s="1300"/>
      <c r="C453" s="1300"/>
      <c r="D453" s="1300"/>
      <c r="E453" s="1300"/>
      <c r="F453" s="1300"/>
    </row>
    <row r="454" spans="1:6" ht="51" customHeight="1">
      <c r="A454" t="s">
        <v>368</v>
      </c>
      <c r="B454" t="s">
        <v>369</v>
      </c>
      <c r="C454" t="s">
        <v>373</v>
      </c>
      <c r="D454" t="s">
        <v>371</v>
      </c>
      <c r="E454" t="s">
        <v>372</v>
      </c>
      <c r="F454" t="s">
        <v>366</v>
      </c>
    </row>
    <row r="455" spans="1:6" ht="18" customHeight="1">
      <c r="A455" t="s">
        <v>235</v>
      </c>
      <c r="B455" t="s">
        <v>376</v>
      </c>
      <c r="C455">
        <f>'Bac Son'!D60</f>
        <v>106</v>
      </c>
      <c r="D455">
        <f>'Bac Son'!BD92</f>
        <v>0</v>
      </c>
      <c r="E455">
        <f>'Bac Son'!BL60</f>
        <v>0</v>
      </c>
      <c r="F455">
        <f>C455+D455-E455</f>
        <v>106</v>
      </c>
    </row>
    <row r="456" spans="1:6" ht="18" customHeight="1">
      <c r="A456" t="s">
        <v>236</v>
      </c>
      <c r="B456" t="s">
        <v>377</v>
      </c>
      <c r="C456">
        <f>'Hai Son'!D60</f>
        <v>66.81</v>
      </c>
      <c r="D456">
        <f>'Hai Son'!BD92</f>
        <v>0</v>
      </c>
      <c r="E456">
        <f>'Hai Son'!BL60</f>
        <v>0.02</v>
      </c>
      <c r="F456">
        <f t="shared" ref="F456:F473" si="18">C456+D456-E456</f>
        <v>66.790000000000006</v>
      </c>
    </row>
    <row r="457" spans="1:6" ht="18" customHeight="1">
      <c r="A457" t="s">
        <v>237</v>
      </c>
      <c r="B457" t="s">
        <v>378</v>
      </c>
      <c r="C457">
        <f>'Quang Nghia'!D60</f>
        <v>614.94000000000005</v>
      </c>
      <c r="D457">
        <f>'Quang Nghia'!BD92</f>
        <v>0</v>
      </c>
      <c r="E457">
        <f>'Quang Nghia'!BL60</f>
        <v>13.7</v>
      </c>
      <c r="F457">
        <f t="shared" si="18"/>
        <v>601.24</v>
      </c>
    </row>
    <row r="458" spans="1:6" ht="18" customHeight="1">
      <c r="A458" t="s">
        <v>238</v>
      </c>
      <c r="B458" t="s">
        <v>379</v>
      </c>
      <c r="C458">
        <f>'Hai Dong'!D60</f>
        <v>70.38</v>
      </c>
      <c r="D458">
        <f>'Hai Dong'!BD92</f>
        <v>0</v>
      </c>
      <c r="E458">
        <f>'Hai Dong'!BL60</f>
        <v>4.34</v>
      </c>
      <c r="F458">
        <f t="shared" si="18"/>
        <v>66.039999999999992</v>
      </c>
    </row>
    <row r="459" spans="1:6" ht="18" customHeight="1">
      <c r="A459" t="s">
        <v>239</v>
      </c>
      <c r="B459" t="s">
        <v>380</v>
      </c>
      <c r="C459">
        <f>'Hai Tien'!D60</f>
        <v>253.2</v>
      </c>
      <c r="D459">
        <f>'Hai Tien'!BD92</f>
        <v>0</v>
      </c>
      <c r="E459">
        <f>'Hai Tien'!BL60</f>
        <v>5.4999999999999991</v>
      </c>
      <c r="F459">
        <f t="shared" si="18"/>
        <v>247.7</v>
      </c>
    </row>
    <row r="460" spans="1:6" ht="18" customHeight="1">
      <c r="A460" t="s">
        <v>240</v>
      </c>
      <c r="B460" t="s">
        <v>381</v>
      </c>
      <c r="C460">
        <f>'Hai Xuan'!D60</f>
        <v>161.99</v>
      </c>
      <c r="D460">
        <f>'Hai Xuan'!BD92</f>
        <v>0</v>
      </c>
      <c r="E460">
        <f>'Hai Xuan'!BL60</f>
        <v>5.15</v>
      </c>
      <c r="F460">
        <f t="shared" si="18"/>
        <v>156.84</v>
      </c>
    </row>
    <row r="461" spans="1:6" ht="18" customHeight="1">
      <c r="A461" t="s">
        <v>241</v>
      </c>
      <c r="B461" t="s">
        <v>382</v>
      </c>
      <c r="C461">
        <f>'Van Ninh'!D60</f>
        <v>97.99</v>
      </c>
      <c r="D461">
        <f>'Van Ninh'!BD93</f>
        <v>0</v>
      </c>
      <c r="E461">
        <f>'Van Ninh'!BL60</f>
        <v>1.8900000000000001</v>
      </c>
      <c r="F461">
        <f t="shared" si="18"/>
        <v>96.1</v>
      </c>
    </row>
    <row r="462" spans="1:6" ht="18" customHeight="1">
      <c r="A462" t="s">
        <v>242</v>
      </c>
      <c r="B462" t="s">
        <v>383</v>
      </c>
      <c r="C462">
        <f>'Vinh Trung'!D60</f>
        <v>82.93</v>
      </c>
      <c r="D462">
        <f>'Vinh Trung'!BD93</f>
        <v>0</v>
      </c>
      <c r="E462">
        <f>'Vinh Trung'!BL60</f>
        <v>0</v>
      </c>
      <c r="F462">
        <f t="shared" si="18"/>
        <v>82.93</v>
      </c>
    </row>
    <row r="463" spans="1:6" ht="18" customHeight="1">
      <c r="A463" t="s">
        <v>243</v>
      </c>
      <c r="B463" t="s">
        <v>384</v>
      </c>
      <c r="C463">
        <f>'Vinh Thuc'!D60</f>
        <v>0</v>
      </c>
      <c r="D463">
        <f>'Vinh Thuc'!BD92</f>
        <v>0</v>
      </c>
      <c r="E463">
        <f>'Vinh Thuc'!BL60</f>
        <v>0</v>
      </c>
      <c r="F463">
        <f t="shared" si="18"/>
        <v>0</v>
      </c>
    </row>
    <row r="464" spans="1:6" ht="18" customHeight="1">
      <c r="A464" t="s">
        <v>244</v>
      </c>
      <c r="B464" t="s">
        <v>385</v>
      </c>
      <c r="C464">
        <f>'Hai Yen'!D60</f>
        <v>37.96</v>
      </c>
      <c r="D464">
        <f>'Hai Yen'!BD93</f>
        <v>0</v>
      </c>
      <c r="E464">
        <f>'Hai Yen'!BL60</f>
        <v>0.44</v>
      </c>
      <c r="F464">
        <f t="shared" si="18"/>
        <v>37.520000000000003</v>
      </c>
    </row>
    <row r="465" spans="1:6" ht="18" customHeight="1">
      <c r="A465" t="s">
        <v>245</v>
      </c>
      <c r="B465" t="s">
        <v>386</v>
      </c>
      <c r="C465">
        <f>'Ka Long'!D60</f>
        <v>23.46</v>
      </c>
      <c r="D465">
        <f>'Ka Long'!BD92</f>
        <v>0</v>
      </c>
      <c r="E465">
        <f>'Ka Long'!BL60</f>
        <v>0</v>
      </c>
      <c r="F465">
        <f t="shared" si="18"/>
        <v>23.46</v>
      </c>
    </row>
    <row r="466" spans="1:6" ht="18" customHeight="1">
      <c r="A466" t="s">
        <v>246</v>
      </c>
      <c r="B466" t="s">
        <v>387</v>
      </c>
      <c r="C466">
        <f>'Ninh Duong'!D60</f>
        <v>92</v>
      </c>
      <c r="D466">
        <f>'Ninh Duong'!BD92</f>
        <v>0</v>
      </c>
      <c r="E466">
        <f>'Ninh Duong'!BL60</f>
        <v>3.38</v>
      </c>
      <c r="F466">
        <f t="shared" si="18"/>
        <v>88.62</v>
      </c>
    </row>
    <row r="467" spans="1:6" ht="18" customHeight="1">
      <c r="A467" t="s">
        <v>247</v>
      </c>
      <c r="B467" t="s">
        <v>388</v>
      </c>
      <c r="C467">
        <f>'Hoa Lac'!D60</f>
        <v>9.67</v>
      </c>
      <c r="D467">
        <f>'Hoa Lac'!BD92</f>
        <v>0</v>
      </c>
      <c r="E467">
        <f>'Hoa Lac'!BL60</f>
        <v>0</v>
      </c>
      <c r="F467">
        <f t="shared" si="18"/>
        <v>9.67</v>
      </c>
    </row>
    <row r="468" spans="1:6" ht="18" customHeight="1">
      <c r="A468" t="s">
        <v>248</v>
      </c>
      <c r="B468" t="s">
        <v>389</v>
      </c>
      <c r="C468">
        <f>'Tran Phu'!D60</f>
        <v>8.2200000000000006</v>
      </c>
      <c r="D468">
        <f>'Tran Phu'!BD92</f>
        <v>0</v>
      </c>
      <c r="E468">
        <f>'Tran Phu'!BL60</f>
        <v>0</v>
      </c>
      <c r="F468">
        <f t="shared" si="18"/>
        <v>8.2200000000000006</v>
      </c>
    </row>
    <row r="469" spans="1:6" ht="18" customHeight="1">
      <c r="A469" t="s">
        <v>249</v>
      </c>
      <c r="B469" t="s">
        <v>390</v>
      </c>
      <c r="C469">
        <f>'Hai Hoa'!D60</f>
        <v>689.36</v>
      </c>
      <c r="D469">
        <f>'Hai Hoa'!BD92</f>
        <v>0</v>
      </c>
      <c r="E469">
        <f>'Hai Hoa'!BL60</f>
        <v>1.21</v>
      </c>
      <c r="F469">
        <f t="shared" si="18"/>
        <v>688.15</v>
      </c>
    </row>
    <row r="470" spans="1:6" ht="18" customHeight="1">
      <c r="A470" t="s">
        <v>250</v>
      </c>
      <c r="B470" t="s">
        <v>391</v>
      </c>
      <c r="C470">
        <f>'Tra Co'!D60</f>
        <v>129.85</v>
      </c>
      <c r="D470">
        <f>'Tra Co'!BD92</f>
        <v>0</v>
      </c>
      <c r="E470">
        <f>'Tra Co'!BL60</f>
        <v>25.23</v>
      </c>
      <c r="F470">
        <f t="shared" si="18"/>
        <v>104.61999999999999</v>
      </c>
    </row>
    <row r="471" spans="1:6" ht="18" customHeight="1">
      <c r="A471" t="s">
        <v>251</v>
      </c>
      <c r="B471" t="s">
        <v>392</v>
      </c>
      <c r="C471">
        <f>'Binh Ngoc'!D60</f>
        <v>95.82</v>
      </c>
      <c r="D471">
        <f>'Binh Ngoc'!BD92</f>
        <v>0</v>
      </c>
      <c r="E471">
        <f>'Binh Ngoc'!BL60</f>
        <v>0</v>
      </c>
      <c r="F471">
        <f t="shared" si="18"/>
        <v>95.82</v>
      </c>
    </row>
    <row r="472" spans="1:6" ht="18" customHeight="1">
      <c r="A472" t="s">
        <v>252</v>
      </c>
      <c r="B472" t="s">
        <v>393</v>
      </c>
      <c r="C472">
        <f>'Lien vị'!D60</f>
        <v>0</v>
      </c>
      <c r="D472">
        <f>'Lien vị'!BD92</f>
        <v>0</v>
      </c>
      <c r="E472">
        <f>'Lien vị'!BL60</f>
        <v>0</v>
      </c>
      <c r="F472">
        <f t="shared" si="18"/>
        <v>0</v>
      </c>
    </row>
    <row r="473" spans="1:6" ht="18" customHeight="1">
      <c r="A473" t="s">
        <v>253</v>
      </c>
      <c r="B473" t="s">
        <v>394</v>
      </c>
      <c r="C473">
        <f>'Tien Phong'!D60</f>
        <v>0</v>
      </c>
      <c r="D473">
        <f>'Tien Phong'!BD92</f>
        <v>0</v>
      </c>
      <c r="E473">
        <f>'Tien Phong'!BL60</f>
        <v>0</v>
      </c>
      <c r="F473">
        <f t="shared" si="18"/>
        <v>0</v>
      </c>
    </row>
    <row r="474" spans="1:6" ht="24" customHeight="1">
      <c r="B474" t="s">
        <v>370</v>
      </c>
      <c r="C474">
        <f>SUM(C455:C473)</f>
        <v>2540.5800000000004</v>
      </c>
      <c r="D474">
        <f>SUM(D455:D473)</f>
        <v>0</v>
      </c>
      <c r="E474">
        <f>SUM(E455:E473)</f>
        <v>60.86</v>
      </c>
      <c r="F474">
        <f>SUM(F455:F473)</f>
        <v>2479.7199999999998</v>
      </c>
    </row>
    <row r="476" spans="1:6">
      <c r="A476" s="1300" t="s">
        <v>431</v>
      </c>
      <c r="B476" s="1300"/>
    </row>
    <row r="477" spans="1:6" ht="23.25" customHeight="1">
      <c r="A477" s="1300" t="s">
        <v>444</v>
      </c>
      <c r="B477" s="1300"/>
      <c r="C477" s="1300"/>
      <c r="D477" s="1300"/>
      <c r="E477" s="1300"/>
      <c r="F477" s="1300"/>
    </row>
    <row r="478" spans="1:6" ht="18.75" customHeight="1">
      <c r="A478" s="1300" t="s">
        <v>138</v>
      </c>
      <c r="B478" s="1300"/>
      <c r="C478" s="1300"/>
      <c r="D478" s="1300"/>
      <c r="E478" s="1300"/>
      <c r="F478" s="1300"/>
    </row>
    <row r="479" spans="1:6" ht="51" customHeight="1">
      <c r="A479" t="s">
        <v>368</v>
      </c>
      <c r="B479" t="s">
        <v>369</v>
      </c>
      <c r="C479" t="s">
        <v>373</v>
      </c>
      <c r="D479" t="s">
        <v>371</v>
      </c>
      <c r="E479" t="s">
        <v>372</v>
      </c>
      <c r="F479" t="s">
        <v>366</v>
      </c>
    </row>
    <row r="480" spans="1:6" ht="18" customHeight="1">
      <c r="A480" t="s">
        <v>235</v>
      </c>
      <c r="B480" t="s">
        <v>376</v>
      </c>
      <c r="C480">
        <f>'Bac Son'!D61</f>
        <v>355.57</v>
      </c>
      <c r="D480">
        <f>'Bac Son'!BF67</f>
        <v>0</v>
      </c>
      <c r="E480">
        <f>'Bac Son'!BL61</f>
        <v>0</v>
      </c>
      <c r="F480">
        <f>C480+D480-E480</f>
        <v>355.57</v>
      </c>
    </row>
    <row r="481" spans="1:6" ht="18" customHeight="1">
      <c r="A481" t="s">
        <v>236</v>
      </c>
      <c r="B481" t="s">
        <v>377</v>
      </c>
      <c r="C481">
        <f>'Hai Son'!D61</f>
        <v>358.67</v>
      </c>
      <c r="D481">
        <f>'Hai Son'!BF67</f>
        <v>0</v>
      </c>
      <c r="E481">
        <f>'Hai Son'!BL61</f>
        <v>0</v>
      </c>
      <c r="F481">
        <f t="shared" ref="F481:F498" si="19">C481+D481-E481</f>
        <v>358.67</v>
      </c>
    </row>
    <row r="482" spans="1:6" ht="18" customHeight="1">
      <c r="A482" t="s">
        <v>237</v>
      </c>
      <c r="B482" t="s">
        <v>378</v>
      </c>
      <c r="C482">
        <f>'Quang Nghia'!D61</f>
        <v>0</v>
      </c>
      <c r="D482">
        <f>'Quang Nghia'!BF67</f>
        <v>0</v>
      </c>
      <c r="E482">
        <f>'Quang Nghia'!BL61</f>
        <v>0</v>
      </c>
      <c r="F482">
        <f t="shared" si="19"/>
        <v>0</v>
      </c>
    </row>
    <row r="483" spans="1:6" ht="18" customHeight="1">
      <c r="A483" t="s">
        <v>238</v>
      </c>
      <c r="B483" t="s">
        <v>379</v>
      </c>
      <c r="C483">
        <f>'Hai Dong'!D61</f>
        <v>153.84</v>
      </c>
      <c r="D483">
        <f>'Hai Dong'!BF67</f>
        <v>0</v>
      </c>
      <c r="E483">
        <f>'Hai Dong'!BL61</f>
        <v>0</v>
      </c>
      <c r="F483">
        <f t="shared" si="19"/>
        <v>153.84</v>
      </c>
    </row>
    <row r="484" spans="1:6" ht="18" customHeight="1">
      <c r="A484" t="s">
        <v>239</v>
      </c>
      <c r="B484" t="s">
        <v>380</v>
      </c>
      <c r="C484">
        <f>'Hai Tien'!D61</f>
        <v>33.799999999999997</v>
      </c>
      <c r="D484">
        <f>'Hai Tien'!BF67</f>
        <v>0</v>
      </c>
      <c r="E484">
        <f>'Hai Tien'!BL61</f>
        <v>0</v>
      </c>
      <c r="F484">
        <f t="shared" si="19"/>
        <v>33.799999999999997</v>
      </c>
    </row>
    <row r="485" spans="1:6" ht="18" customHeight="1">
      <c r="A485" t="s">
        <v>240</v>
      </c>
      <c r="B485" t="s">
        <v>381</v>
      </c>
      <c r="C485">
        <f>'Hai Xuan'!D61</f>
        <v>0</v>
      </c>
      <c r="D485">
        <f>'Hai Xuan'!BF67</f>
        <v>0</v>
      </c>
      <c r="E485">
        <f>'Hai Xuan'!BL61</f>
        <v>0</v>
      </c>
      <c r="F485">
        <f t="shared" si="19"/>
        <v>0</v>
      </c>
    </row>
    <row r="486" spans="1:6" ht="18" customHeight="1">
      <c r="A486" t="s">
        <v>241</v>
      </c>
      <c r="B486" t="s">
        <v>382</v>
      </c>
      <c r="C486">
        <f>'Van Ninh'!D61</f>
        <v>59.43</v>
      </c>
      <c r="D486">
        <f>'Van Ninh'!BF68</f>
        <v>0</v>
      </c>
      <c r="E486">
        <f>'Van Ninh'!BL61</f>
        <v>33.67</v>
      </c>
      <c r="F486">
        <f t="shared" si="19"/>
        <v>25.759999999999998</v>
      </c>
    </row>
    <row r="487" spans="1:6" ht="18" customHeight="1">
      <c r="A487" t="s">
        <v>242</v>
      </c>
      <c r="B487" t="s">
        <v>383</v>
      </c>
      <c r="C487">
        <f>'Vinh Trung'!D61</f>
        <v>27.11</v>
      </c>
      <c r="D487">
        <f>'Vinh Trung'!BF68</f>
        <v>0</v>
      </c>
      <c r="E487">
        <f>'Vinh Trung'!BL61</f>
        <v>0</v>
      </c>
      <c r="F487">
        <f t="shared" si="19"/>
        <v>27.11</v>
      </c>
    </row>
    <row r="488" spans="1:6" ht="18" customHeight="1">
      <c r="A488" t="s">
        <v>243</v>
      </c>
      <c r="B488" t="s">
        <v>384</v>
      </c>
      <c r="C488">
        <f>'Vinh Thuc'!D61</f>
        <v>50.14</v>
      </c>
      <c r="D488">
        <f>'Vinh Thuc'!BF67</f>
        <v>2.73</v>
      </c>
      <c r="E488">
        <f>'Vinh Thuc'!BL61</f>
        <v>0</v>
      </c>
      <c r="F488">
        <f t="shared" si="19"/>
        <v>52.87</v>
      </c>
    </row>
    <row r="489" spans="1:6" ht="18" customHeight="1">
      <c r="A489" t="s">
        <v>244</v>
      </c>
      <c r="B489" t="s">
        <v>385</v>
      </c>
      <c r="C489">
        <f>'Hai Yen'!D61</f>
        <v>63.07</v>
      </c>
      <c r="D489">
        <f>'Hai Yen'!BF68</f>
        <v>2.76</v>
      </c>
      <c r="E489">
        <f>'Hai Yen'!BL61</f>
        <v>0.02</v>
      </c>
      <c r="F489">
        <f t="shared" si="19"/>
        <v>65.81</v>
      </c>
    </row>
    <row r="490" spans="1:6" ht="18" customHeight="1">
      <c r="A490" t="s">
        <v>245</v>
      </c>
      <c r="B490" t="s">
        <v>386</v>
      </c>
      <c r="C490">
        <f>'Ka Long'!D61</f>
        <v>0</v>
      </c>
      <c r="D490">
        <f>'Ka Long'!BF67</f>
        <v>0</v>
      </c>
      <c r="E490">
        <f>'Ka Long'!BL61</f>
        <v>0</v>
      </c>
      <c r="F490">
        <f t="shared" si="19"/>
        <v>0</v>
      </c>
    </row>
    <row r="491" spans="1:6" ht="18" customHeight="1">
      <c r="A491" t="s">
        <v>246</v>
      </c>
      <c r="B491" t="s">
        <v>387</v>
      </c>
      <c r="C491">
        <f>'Ninh Duong'!D61</f>
        <v>14.21</v>
      </c>
      <c r="D491">
        <f>'Ninh Duong'!BF67</f>
        <v>0.02</v>
      </c>
      <c r="E491">
        <f>'Ninh Duong'!BL61</f>
        <v>2.4899999999999998</v>
      </c>
      <c r="F491">
        <f t="shared" si="19"/>
        <v>11.74</v>
      </c>
    </row>
    <row r="492" spans="1:6" ht="18" customHeight="1">
      <c r="A492" t="s">
        <v>247</v>
      </c>
      <c r="B492" t="s">
        <v>388</v>
      </c>
      <c r="C492">
        <f>'Hoa Lac'!D61</f>
        <v>0</v>
      </c>
      <c r="D492">
        <f>'Hoa Lac'!BF67</f>
        <v>0</v>
      </c>
      <c r="E492">
        <f>'Hoa Lac'!BL61</f>
        <v>0</v>
      </c>
      <c r="F492">
        <f t="shared" si="19"/>
        <v>0</v>
      </c>
    </row>
    <row r="493" spans="1:6" ht="18" customHeight="1">
      <c r="A493" t="s">
        <v>248</v>
      </c>
      <c r="B493" t="s">
        <v>389</v>
      </c>
      <c r="C493">
        <f>'Tran Phu'!D61</f>
        <v>0</v>
      </c>
      <c r="D493">
        <f>'Tran Phu'!BF67</f>
        <v>0</v>
      </c>
      <c r="E493">
        <f>'Tran Phu'!BL61</f>
        <v>0</v>
      </c>
      <c r="F493">
        <f t="shared" si="19"/>
        <v>0</v>
      </c>
    </row>
    <row r="494" spans="1:6" ht="18" customHeight="1">
      <c r="A494" t="s">
        <v>249</v>
      </c>
      <c r="B494" t="s">
        <v>390</v>
      </c>
      <c r="C494">
        <f>'Hai Hoa'!D61</f>
        <v>0</v>
      </c>
      <c r="D494">
        <f>'Hai Hoa'!BF67</f>
        <v>0</v>
      </c>
      <c r="E494">
        <f>'Hai Hoa'!BL61</f>
        <v>0</v>
      </c>
      <c r="F494">
        <f t="shared" si="19"/>
        <v>0</v>
      </c>
    </row>
    <row r="495" spans="1:6" ht="18" customHeight="1">
      <c r="A495" t="s">
        <v>250</v>
      </c>
      <c r="B495" t="s">
        <v>391</v>
      </c>
      <c r="C495">
        <f>'Tra Co'!D61</f>
        <v>0</v>
      </c>
      <c r="D495">
        <f>'Tra Co'!BF67</f>
        <v>0</v>
      </c>
      <c r="E495">
        <f>'Tra Co'!BL61</f>
        <v>0</v>
      </c>
      <c r="F495">
        <f t="shared" si="19"/>
        <v>0</v>
      </c>
    </row>
    <row r="496" spans="1:6" ht="18" customHeight="1">
      <c r="A496" t="s">
        <v>251</v>
      </c>
      <c r="B496" t="s">
        <v>392</v>
      </c>
      <c r="C496">
        <f>'Binh Ngoc'!D61</f>
        <v>0</v>
      </c>
      <c r="D496">
        <f>'Binh Ngoc'!BF67</f>
        <v>0</v>
      </c>
      <c r="E496">
        <f>'Binh Ngoc'!BL61</f>
        <v>0</v>
      </c>
      <c r="F496">
        <f t="shared" si="19"/>
        <v>0</v>
      </c>
    </row>
    <row r="497" spans="1:6" ht="18" customHeight="1">
      <c r="A497" t="s">
        <v>252</v>
      </c>
      <c r="B497" t="s">
        <v>393</v>
      </c>
      <c r="C497">
        <f>'Lien vị'!D61</f>
        <v>0</v>
      </c>
      <c r="D497">
        <f>'Lien vị'!BF67</f>
        <v>0</v>
      </c>
      <c r="E497">
        <f>'Lien vị'!BL61</f>
        <v>0</v>
      </c>
      <c r="F497">
        <f t="shared" si="19"/>
        <v>0</v>
      </c>
    </row>
    <row r="498" spans="1:6" ht="18" customHeight="1">
      <c r="A498" t="s">
        <v>253</v>
      </c>
      <c r="B498" t="s">
        <v>394</v>
      </c>
      <c r="C498">
        <f>'Tien Phong'!D61</f>
        <v>0</v>
      </c>
      <c r="D498">
        <f>'Tien Phong'!BF67</f>
        <v>0</v>
      </c>
      <c r="E498">
        <f>'Tien Phong'!BL61</f>
        <v>0</v>
      </c>
      <c r="F498">
        <f t="shared" si="19"/>
        <v>0</v>
      </c>
    </row>
    <row r="499" spans="1:6" ht="24" customHeight="1">
      <c r="B499" t="s">
        <v>370</v>
      </c>
      <c r="C499">
        <f>SUM(C480:C498)</f>
        <v>1115.8399999999999</v>
      </c>
      <c r="D499">
        <f>SUM(D480:D498)</f>
        <v>5.51</v>
      </c>
      <c r="E499">
        <f>SUM(E480:E498)</f>
        <v>36.180000000000007</v>
      </c>
      <c r="F499">
        <f>SUM(F480:F498)</f>
        <v>1085.17</v>
      </c>
    </row>
  </sheetData>
  <mergeCells count="60">
    <mergeCell ref="A477:F477"/>
    <mergeCell ref="A478:F478"/>
    <mergeCell ref="A451:B451"/>
    <mergeCell ref="A452:F452"/>
    <mergeCell ref="A453:F453"/>
    <mergeCell ref="A476:B476"/>
    <mergeCell ref="A176:B176"/>
    <mergeCell ref="A177:F177"/>
    <mergeCell ref="A178:F178"/>
    <mergeCell ref="A151:B151"/>
    <mergeCell ref="A152:F152"/>
    <mergeCell ref="A153:F153"/>
    <mergeCell ref="A128:F128"/>
    <mergeCell ref="A77:F77"/>
    <mergeCell ref="A78:F78"/>
    <mergeCell ref="A101:B101"/>
    <mergeCell ref="A102:F102"/>
    <mergeCell ref="A252:F252"/>
    <mergeCell ref="A1:B1"/>
    <mergeCell ref="A2:F2"/>
    <mergeCell ref="A3:F3"/>
    <mergeCell ref="A26:B26"/>
    <mergeCell ref="A201:B201"/>
    <mergeCell ref="A202:F202"/>
    <mergeCell ref="A51:B51"/>
    <mergeCell ref="A52:F52"/>
    <mergeCell ref="A53:F53"/>
    <mergeCell ref="A76:B76"/>
    <mergeCell ref="A27:F27"/>
    <mergeCell ref="A28:F28"/>
    <mergeCell ref="A103:F103"/>
    <mergeCell ref="A126:B126"/>
    <mergeCell ref="A127:F127"/>
    <mergeCell ref="A203:F203"/>
    <mergeCell ref="A226:B226"/>
    <mergeCell ref="A227:F227"/>
    <mergeCell ref="A228:F228"/>
    <mergeCell ref="A251:B251"/>
    <mergeCell ref="A352:F352"/>
    <mergeCell ref="A253:F253"/>
    <mergeCell ref="A276:B276"/>
    <mergeCell ref="A277:F277"/>
    <mergeCell ref="A278:F278"/>
    <mergeCell ref="A301:B301"/>
    <mergeCell ref="A302:F302"/>
    <mergeCell ref="A303:F303"/>
    <mergeCell ref="A326:B326"/>
    <mergeCell ref="A327:F327"/>
    <mergeCell ref="A328:F328"/>
    <mergeCell ref="A351:B351"/>
    <mergeCell ref="A428:F428"/>
    <mergeCell ref="A401:B401"/>
    <mergeCell ref="A402:F402"/>
    <mergeCell ref="A403:F403"/>
    <mergeCell ref="A426:B426"/>
    <mergeCell ref="A353:F353"/>
    <mergeCell ref="A376:B376"/>
    <mergeCell ref="A377:F377"/>
    <mergeCell ref="A378:F378"/>
    <mergeCell ref="A427:F427"/>
  </mergeCells>
  <phoneticPr fontId="4" type="noConversion"/>
  <pageMargins left="0.75" right="0.75" top="1" bottom="1" header="0.5" footer="0.5"/>
  <pageSetup orientation="portrait" r:id="rId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BO73"/>
  <sheetViews>
    <sheetView showZeros="0" zoomScale="75" zoomScaleNormal="75" workbookViewId="0">
      <pane xSplit="3" ySplit="6" topLeftCell="D7" activePane="bottomRight" state="frozen"/>
      <selection pane="topRight" activeCell="D1" sqref="D1"/>
      <selection pane="bottomLeft" activeCell="A7" sqref="A7"/>
      <selection pane="bottomRight" activeCell="I10" sqref="I10"/>
    </sheetView>
  </sheetViews>
  <sheetFormatPr defaultColWidth="9.140625" defaultRowHeight="12.75"/>
  <cols>
    <col min="1" max="1" width="8.140625" style="211" customWidth="1"/>
    <col min="2" max="2" width="42.28515625" style="211" customWidth="1"/>
    <col min="3" max="3" width="8.7109375" style="211" customWidth="1"/>
    <col min="4" max="4" width="14.28515625" style="211" customWidth="1"/>
    <col min="5" max="5" width="13.5703125" style="211" customWidth="1"/>
    <col min="6" max="8" width="11.140625" style="211" customWidth="1"/>
    <col min="9" max="9" width="8.140625" style="211" customWidth="1"/>
    <col min="10" max="10" width="9.28515625" style="211" customWidth="1"/>
    <col min="11" max="11" width="9" style="211" customWidth="1"/>
    <col min="12" max="12" width="9.28515625" style="211" customWidth="1"/>
    <col min="13" max="13" width="10.28515625" style="211" customWidth="1"/>
    <col min="14" max="14" width="11" style="211" customWidth="1"/>
    <col min="15" max="16" width="9.7109375" style="211" customWidth="1"/>
    <col min="17" max="17" width="11.140625" style="211" customWidth="1"/>
    <col min="18" max="18" width="9.42578125" style="211" customWidth="1"/>
    <col min="19" max="19" width="8.85546875" style="211" customWidth="1"/>
    <col min="20" max="20" width="9.28515625" style="211" customWidth="1"/>
    <col min="21" max="21" width="8" style="211" customWidth="1"/>
    <col min="22" max="22" width="9.42578125" style="211" customWidth="1"/>
    <col min="23" max="23" width="8.140625" style="211" customWidth="1"/>
    <col min="24" max="24" width="10" style="211" customWidth="1"/>
    <col min="25" max="25" width="8.28515625" style="211" customWidth="1"/>
    <col min="26" max="26" width="10" style="211" customWidth="1"/>
    <col min="27" max="32" width="8.7109375" style="211" hidden="1" customWidth="1"/>
    <col min="33" max="33" width="10.85546875" style="211" hidden="1" customWidth="1"/>
    <col min="34" max="37" width="8.7109375" style="211" hidden="1" customWidth="1"/>
    <col min="38" max="38" width="7.7109375" style="211" customWidth="1"/>
    <col min="39" max="39" width="7.140625" style="211" customWidth="1"/>
    <col min="40" max="40" width="8.28515625" style="211" customWidth="1"/>
    <col min="41" max="41" width="8.7109375" style="211" customWidth="1"/>
    <col min="42" max="42" width="8.5703125" style="211" customWidth="1"/>
    <col min="43" max="43" width="9.5703125" style="211" customWidth="1"/>
    <col min="44" max="44" width="8.5703125" style="211" customWidth="1"/>
    <col min="45" max="45" width="8" style="211" customWidth="1"/>
    <col min="46" max="46" width="8.85546875" style="211" customWidth="1"/>
    <col min="47" max="48" width="9.85546875" style="211" customWidth="1"/>
    <col min="49" max="49" width="9.140625" style="211" customWidth="1"/>
    <col min="50" max="50" width="9.85546875" style="211" customWidth="1"/>
    <col min="51" max="51" width="8.7109375" style="211" customWidth="1"/>
    <col min="52" max="53" width="9.85546875" style="211" customWidth="1"/>
    <col min="54" max="54" width="8.5703125" style="211" customWidth="1"/>
    <col min="55" max="55" width="9.85546875" style="211" customWidth="1"/>
    <col min="56" max="56" width="10.42578125" style="211" customWidth="1"/>
    <col min="57" max="57" width="11.42578125" style="211" customWidth="1"/>
    <col min="58" max="58" width="13" style="211" customWidth="1"/>
    <col min="59" max="59" width="13.42578125" style="211" customWidth="1"/>
    <col min="60" max="60" width="11.85546875" style="59" hidden="1" customWidth="1"/>
    <col min="61" max="61" width="10.7109375" style="59" hidden="1" customWidth="1"/>
    <col min="62" max="62" width="9.5703125" style="59" hidden="1" customWidth="1"/>
    <col min="63" max="63" width="9.140625" style="211" hidden="1" customWidth="1"/>
    <col min="64" max="64" width="13" style="211" hidden="1" customWidth="1"/>
    <col min="65" max="65" width="9.140625" style="211" customWidth="1"/>
    <col min="66" max="66" width="12.5703125" style="211" customWidth="1"/>
    <col min="67" max="16384" width="9.140625" style="211"/>
  </cols>
  <sheetData>
    <row r="1" spans="1:67" ht="22.5" customHeight="1">
      <c r="A1" s="1276" t="s">
        <v>10</v>
      </c>
      <c r="B1" s="1276"/>
    </row>
    <row r="2" spans="1:67" ht="31.5" customHeight="1">
      <c r="A2" s="1277" t="s">
        <v>655</v>
      </c>
      <c r="B2" s="1277"/>
      <c r="C2" s="1277"/>
      <c r="D2" s="1277"/>
      <c r="E2" s="1277"/>
      <c r="F2" s="1277"/>
      <c r="G2" s="1277"/>
      <c r="H2" s="1277"/>
      <c r="I2" s="1277"/>
      <c r="J2" s="1277"/>
      <c r="K2" s="1277"/>
      <c r="L2" s="1277"/>
      <c r="M2" s="1277"/>
      <c r="N2" s="1277"/>
      <c r="O2" s="1277"/>
      <c r="P2" s="1277"/>
      <c r="Q2" s="1277"/>
      <c r="R2" s="1277"/>
      <c r="S2" s="1277"/>
      <c r="T2" s="1277"/>
      <c r="U2" s="1277"/>
      <c r="V2" s="1277"/>
      <c r="W2" s="1277"/>
      <c r="X2" s="1277"/>
      <c r="Y2" s="1277"/>
      <c r="Z2" s="1277"/>
      <c r="AA2" s="1277"/>
      <c r="AB2" s="1277"/>
      <c r="AC2" s="1277"/>
      <c r="AD2" s="1277"/>
      <c r="AE2" s="1277"/>
      <c r="AF2" s="1277"/>
      <c r="AG2" s="1277"/>
      <c r="AH2" s="1277"/>
      <c r="AI2" s="1277"/>
      <c r="AJ2" s="1277"/>
      <c r="AK2" s="1277"/>
      <c r="AL2" s="1277"/>
      <c r="AM2" s="1277"/>
      <c r="AN2" s="1277"/>
      <c r="AO2" s="1277"/>
      <c r="AP2" s="1277"/>
      <c r="AQ2" s="1277"/>
      <c r="AR2" s="1277"/>
      <c r="AS2" s="1277"/>
      <c r="AT2" s="1277"/>
      <c r="AU2" s="1277"/>
      <c r="AV2" s="1277"/>
      <c r="AW2" s="1277"/>
      <c r="AX2" s="1277"/>
      <c r="AY2" s="1277"/>
      <c r="AZ2" s="1277"/>
      <c r="BA2" s="1277"/>
      <c r="BB2" s="1277"/>
      <c r="BC2" s="1277"/>
      <c r="BD2" s="1277"/>
      <c r="BE2" s="1277"/>
      <c r="BF2" s="1277"/>
      <c r="BG2" s="1277"/>
    </row>
    <row r="3" spans="1:67" ht="21.75" customHeight="1">
      <c r="F3" s="177"/>
      <c r="Q3" s="177">
        <f>BG20-Q7</f>
        <v>0</v>
      </c>
      <c r="Y3" s="177"/>
      <c r="BF3" s="1278" t="s">
        <v>507</v>
      </c>
      <c r="BG3" s="1278"/>
      <c r="BI3" s="248"/>
    </row>
    <row r="4" spans="1:67" ht="31.5" customHeight="1">
      <c r="A4" s="1275" t="s">
        <v>136</v>
      </c>
      <c r="B4" s="1275" t="s">
        <v>469</v>
      </c>
      <c r="C4" s="1275" t="s">
        <v>13</v>
      </c>
      <c r="D4" s="1275" t="s">
        <v>503</v>
      </c>
      <c r="E4" s="1279" t="s">
        <v>654</v>
      </c>
      <c r="F4" s="1279"/>
      <c r="G4" s="1279"/>
      <c r="H4" s="1279"/>
      <c r="I4" s="1279"/>
      <c r="J4" s="1279"/>
      <c r="K4" s="1279"/>
      <c r="L4" s="1279"/>
      <c r="M4" s="1279"/>
      <c r="N4" s="1279"/>
      <c r="O4" s="1279"/>
      <c r="P4" s="1279"/>
      <c r="Q4" s="1279"/>
      <c r="R4" s="1279"/>
      <c r="S4" s="1279"/>
      <c r="T4" s="1279"/>
      <c r="U4" s="1279"/>
      <c r="V4" s="1279"/>
      <c r="W4" s="1279"/>
      <c r="X4" s="1279"/>
      <c r="Y4" s="1279"/>
      <c r="Z4" s="1279"/>
      <c r="AA4" s="1279"/>
      <c r="AB4" s="1279"/>
      <c r="AC4" s="1279"/>
      <c r="AD4" s="1279"/>
      <c r="AE4" s="1279"/>
      <c r="AF4" s="1279"/>
      <c r="AG4" s="1279"/>
      <c r="AH4" s="1279"/>
      <c r="AI4" s="1279"/>
      <c r="AJ4" s="1279"/>
      <c r="AK4" s="1279"/>
      <c r="AL4" s="1279"/>
      <c r="AM4" s="1279"/>
      <c r="AN4" s="1279"/>
      <c r="AO4" s="1279"/>
      <c r="AP4" s="1279"/>
      <c r="AQ4" s="1279"/>
      <c r="AR4" s="1279"/>
      <c r="AS4" s="1279"/>
      <c r="AT4" s="1279"/>
      <c r="AU4" s="1279"/>
      <c r="AV4" s="1279"/>
      <c r="AW4" s="1279"/>
      <c r="AX4" s="1279"/>
      <c r="AY4" s="1279"/>
      <c r="AZ4" s="1279"/>
      <c r="BA4" s="1279"/>
      <c r="BB4" s="1279"/>
      <c r="BC4" s="1279"/>
      <c r="BD4" s="1275" t="s">
        <v>504</v>
      </c>
      <c r="BE4" s="1275" t="s">
        <v>191</v>
      </c>
      <c r="BF4" s="1275" t="s">
        <v>505</v>
      </c>
      <c r="BG4" s="1275" t="s">
        <v>366</v>
      </c>
      <c r="BH4" s="59">
        <f>33.5-BG15</f>
        <v>-0.67999999999999972</v>
      </c>
      <c r="BI4" s="59">
        <f>2083-BG16</f>
        <v>554.48</v>
      </c>
    </row>
    <row r="5" spans="1:67" ht="26.25" customHeight="1">
      <c r="A5" s="1275"/>
      <c r="B5" s="1275"/>
      <c r="C5" s="1275"/>
      <c r="D5" s="1275"/>
      <c r="E5" s="212" t="s">
        <v>15</v>
      </c>
      <c r="F5" s="212" t="s">
        <v>18</v>
      </c>
      <c r="G5" s="212" t="s">
        <v>20</v>
      </c>
      <c r="H5" s="212" t="s">
        <v>195</v>
      </c>
      <c r="I5" s="212" t="s">
        <v>23</v>
      </c>
      <c r="J5" s="212" t="s">
        <v>26</v>
      </c>
      <c r="K5" s="212" t="s">
        <v>29</v>
      </c>
      <c r="L5" s="212" t="s">
        <v>32</v>
      </c>
      <c r="M5" s="212" t="s">
        <v>35</v>
      </c>
      <c r="N5" s="212" t="s">
        <v>38</v>
      </c>
      <c r="O5" s="212" t="s">
        <v>41</v>
      </c>
      <c r="P5" s="212" t="s">
        <v>44</v>
      </c>
      <c r="Q5" s="212" t="s">
        <v>46</v>
      </c>
      <c r="R5" s="212" t="s">
        <v>49</v>
      </c>
      <c r="S5" s="212" t="s">
        <v>52</v>
      </c>
      <c r="T5" s="212" t="s">
        <v>55</v>
      </c>
      <c r="U5" s="212" t="s">
        <v>58</v>
      </c>
      <c r="V5" s="212" t="s">
        <v>61</v>
      </c>
      <c r="W5" s="212" t="s">
        <v>64</v>
      </c>
      <c r="X5" s="212" t="s">
        <v>67</v>
      </c>
      <c r="Y5" s="212" t="s">
        <v>70</v>
      </c>
      <c r="Z5" s="212" t="s">
        <v>72</v>
      </c>
      <c r="AA5" s="212" t="s">
        <v>202</v>
      </c>
      <c r="AB5" s="212" t="s">
        <v>203</v>
      </c>
      <c r="AC5" s="212" t="s">
        <v>204</v>
      </c>
      <c r="AD5" s="212" t="s">
        <v>205</v>
      </c>
      <c r="AE5" s="212" t="s">
        <v>206</v>
      </c>
      <c r="AF5" s="212" t="s">
        <v>207</v>
      </c>
      <c r="AG5" s="212" t="s">
        <v>199</v>
      </c>
      <c r="AH5" s="212" t="s">
        <v>200</v>
      </c>
      <c r="AI5" s="212" t="s">
        <v>223</v>
      </c>
      <c r="AJ5" s="212" t="s">
        <v>201</v>
      </c>
      <c r="AK5" s="212" t="s">
        <v>208</v>
      </c>
      <c r="AL5" s="212" t="s">
        <v>75</v>
      </c>
      <c r="AM5" s="212" t="s">
        <v>78</v>
      </c>
      <c r="AN5" s="212" t="s">
        <v>81</v>
      </c>
      <c r="AO5" s="212" t="s">
        <v>84</v>
      </c>
      <c r="AP5" s="212" t="s">
        <v>87</v>
      </c>
      <c r="AQ5" s="212" t="s">
        <v>90</v>
      </c>
      <c r="AR5" s="212" t="s">
        <v>93</v>
      </c>
      <c r="AS5" s="212" t="s">
        <v>96</v>
      </c>
      <c r="AT5" s="212" t="s">
        <v>99</v>
      </c>
      <c r="AU5" s="212" t="s">
        <v>101</v>
      </c>
      <c r="AV5" s="212" t="s">
        <v>104</v>
      </c>
      <c r="AW5" s="212" t="s">
        <v>107</v>
      </c>
      <c r="AX5" s="212" t="s">
        <v>110</v>
      </c>
      <c r="AY5" s="212" t="s">
        <v>113</v>
      </c>
      <c r="AZ5" s="212" t="s">
        <v>116</v>
      </c>
      <c r="BA5" s="212" t="s">
        <v>119</v>
      </c>
      <c r="BB5" s="212" t="s">
        <v>122</v>
      </c>
      <c r="BC5" s="212" t="s">
        <v>124</v>
      </c>
      <c r="BD5" s="1275"/>
      <c r="BE5" s="1275"/>
      <c r="BF5" s="1275"/>
      <c r="BG5" s="1275"/>
      <c r="BH5" s="59">
        <f>D7+BF7</f>
        <v>30184.85</v>
      </c>
      <c r="BI5" s="59">
        <f>BG7-BH5</f>
        <v>33.31000000000131</v>
      </c>
      <c r="BO5" s="177"/>
    </row>
    <row r="6" spans="1:67" s="2" customFormat="1" ht="24" customHeight="1">
      <c r="A6" s="376">
        <v>1</v>
      </c>
      <c r="B6" s="376">
        <v>2</v>
      </c>
      <c r="C6" s="376">
        <v>3</v>
      </c>
      <c r="D6" s="376">
        <v>4</v>
      </c>
      <c r="E6" s="376">
        <v>5</v>
      </c>
      <c r="F6" s="376">
        <v>6</v>
      </c>
      <c r="G6" s="376">
        <v>7</v>
      </c>
      <c r="H6" s="376">
        <v>8</v>
      </c>
      <c r="I6" s="376">
        <v>9</v>
      </c>
      <c r="J6" s="376">
        <v>10</v>
      </c>
      <c r="K6" s="376">
        <v>11</v>
      </c>
      <c r="L6" s="376">
        <v>12</v>
      </c>
      <c r="M6" s="376">
        <v>13</v>
      </c>
      <c r="N6" s="376">
        <v>14</v>
      </c>
      <c r="O6" s="376">
        <v>15</v>
      </c>
      <c r="P6" s="376">
        <v>16</v>
      </c>
      <c r="Q6" s="376">
        <v>17</v>
      </c>
      <c r="R6" s="376">
        <v>18</v>
      </c>
      <c r="S6" s="376">
        <v>19</v>
      </c>
      <c r="T6" s="376">
        <v>20</v>
      </c>
      <c r="U6" s="376">
        <v>21</v>
      </c>
      <c r="V6" s="376">
        <v>22</v>
      </c>
      <c r="W6" s="376">
        <v>23</v>
      </c>
      <c r="X6" s="376">
        <v>24</v>
      </c>
      <c r="Y6" s="376">
        <v>25</v>
      </c>
      <c r="Z6" s="376">
        <v>26</v>
      </c>
      <c r="AA6" s="376">
        <v>27</v>
      </c>
      <c r="AB6" s="376">
        <v>28</v>
      </c>
      <c r="AC6" s="376">
        <v>29</v>
      </c>
      <c r="AD6" s="376">
        <v>30</v>
      </c>
      <c r="AE6" s="376">
        <v>31</v>
      </c>
      <c r="AF6" s="376">
        <v>32</v>
      </c>
      <c r="AG6" s="376">
        <v>33</v>
      </c>
      <c r="AH6" s="376">
        <v>34</v>
      </c>
      <c r="AI6" s="376">
        <v>35</v>
      </c>
      <c r="AJ6" s="376">
        <v>36</v>
      </c>
      <c r="AK6" s="376">
        <v>37</v>
      </c>
      <c r="AL6" s="376">
        <v>27</v>
      </c>
      <c r="AM6" s="376">
        <v>28</v>
      </c>
      <c r="AN6" s="376">
        <v>29</v>
      </c>
      <c r="AO6" s="376">
        <v>30</v>
      </c>
      <c r="AP6" s="376">
        <v>31</v>
      </c>
      <c r="AQ6" s="376">
        <v>32</v>
      </c>
      <c r="AR6" s="376">
        <v>33</v>
      </c>
      <c r="AS6" s="376">
        <v>34</v>
      </c>
      <c r="AT6" s="376">
        <v>35</v>
      </c>
      <c r="AU6" s="376">
        <v>36</v>
      </c>
      <c r="AV6" s="376">
        <v>37</v>
      </c>
      <c r="AW6" s="376">
        <v>38</v>
      </c>
      <c r="AX6" s="376">
        <v>39</v>
      </c>
      <c r="AY6" s="376">
        <v>40</v>
      </c>
      <c r="AZ6" s="376">
        <v>41</v>
      </c>
      <c r="BA6" s="376">
        <v>42</v>
      </c>
      <c r="BB6" s="376">
        <v>43</v>
      </c>
      <c r="BC6" s="376">
        <v>44</v>
      </c>
      <c r="BD6" s="376">
        <v>45</v>
      </c>
      <c r="BE6" s="376">
        <v>46</v>
      </c>
      <c r="BF6" s="376">
        <v>47</v>
      </c>
      <c r="BG6" s="376">
        <v>48</v>
      </c>
      <c r="BH6" s="252">
        <v>2015</v>
      </c>
      <c r="BI6" s="253">
        <v>2020</v>
      </c>
      <c r="BJ6" s="254"/>
      <c r="BK6" s="254" t="s">
        <v>513</v>
      </c>
      <c r="BL6" s="254" t="s">
        <v>514</v>
      </c>
    </row>
    <row r="7" spans="1:67" s="67" customFormat="1" ht="30" customHeight="1">
      <c r="A7" s="85"/>
      <c r="B7" s="85" t="s">
        <v>502</v>
      </c>
      <c r="C7" s="85"/>
      <c r="D7" s="235">
        <f>D8+D20+D58</f>
        <v>31419.989999999998</v>
      </c>
      <c r="E7" s="234">
        <v>14202.07</v>
      </c>
      <c r="F7" s="234">
        <f t="shared" ref="F7:P7" si="0">F8+F20+F58+F59</f>
        <v>5148.01</v>
      </c>
      <c r="G7" s="234">
        <f t="shared" si="0"/>
        <v>4898.0099999999993</v>
      </c>
      <c r="H7" s="234">
        <f t="shared" si="0"/>
        <v>250</v>
      </c>
      <c r="I7" s="234">
        <f t="shared" si="0"/>
        <v>352.81</v>
      </c>
      <c r="J7" s="234">
        <f t="shared" si="0"/>
        <v>1426.9900000000002</v>
      </c>
      <c r="K7" s="234">
        <f t="shared" si="0"/>
        <v>1116.3700000000001</v>
      </c>
      <c r="L7" s="234">
        <f t="shared" si="0"/>
        <v>34.18</v>
      </c>
      <c r="M7" s="234">
        <f t="shared" si="0"/>
        <v>1528.52</v>
      </c>
      <c r="N7" s="234">
        <f t="shared" si="0"/>
        <v>9336.66</v>
      </c>
      <c r="O7" s="234">
        <f t="shared" si="0"/>
        <v>0</v>
      </c>
      <c r="P7" s="234">
        <f t="shared" si="0"/>
        <v>34.089999999999996</v>
      </c>
      <c r="Q7" s="234">
        <f>Q8+Q20+Q58+Q59</f>
        <v>8773.5500000000011</v>
      </c>
      <c r="R7" s="234">
        <f t="shared" ref="R7:BC7" si="1">R8+R20+R58+R59</f>
        <v>128.92999999999998</v>
      </c>
      <c r="S7" s="234">
        <f t="shared" si="1"/>
        <v>4.84</v>
      </c>
      <c r="T7" s="234">
        <f t="shared" si="1"/>
        <v>48.590000000000025</v>
      </c>
      <c r="U7" s="234">
        <f t="shared" si="1"/>
        <v>0</v>
      </c>
      <c r="V7" s="234">
        <f t="shared" si="1"/>
        <v>199.79</v>
      </c>
      <c r="W7" s="234">
        <f t="shared" si="1"/>
        <v>101.28000000000002</v>
      </c>
      <c r="X7" s="234">
        <f t="shared" si="1"/>
        <v>461.01000000000005</v>
      </c>
      <c r="Y7" s="234">
        <f t="shared" si="1"/>
        <v>0</v>
      </c>
      <c r="Z7" s="234">
        <f t="shared" si="1"/>
        <v>1845.6100000000001</v>
      </c>
      <c r="AA7" s="234">
        <f t="shared" si="1"/>
        <v>2.8100000000000014</v>
      </c>
      <c r="AB7" s="234">
        <f t="shared" si="1"/>
        <v>13.19</v>
      </c>
      <c r="AC7" s="234">
        <f t="shared" si="1"/>
        <v>138.47999999999999</v>
      </c>
      <c r="AD7" s="234">
        <f t="shared" si="1"/>
        <v>10.87</v>
      </c>
      <c r="AE7" s="234">
        <f t="shared" si="1"/>
        <v>0</v>
      </c>
      <c r="AF7" s="234">
        <f t="shared" si="1"/>
        <v>0</v>
      </c>
      <c r="AG7" s="234">
        <f t="shared" si="1"/>
        <v>1145.8899999999999</v>
      </c>
      <c r="AH7" s="234">
        <f t="shared" si="1"/>
        <v>535.97</v>
      </c>
      <c r="AI7" s="234">
        <f t="shared" si="1"/>
        <v>1.67</v>
      </c>
      <c r="AJ7" s="234">
        <f t="shared" si="1"/>
        <v>0.48000000000000004</v>
      </c>
      <c r="AK7" s="234">
        <f t="shared" si="1"/>
        <v>11.46</v>
      </c>
      <c r="AL7" s="234">
        <f t="shared" si="1"/>
        <v>7.59</v>
      </c>
      <c r="AM7" s="234">
        <f t="shared" si="1"/>
        <v>0</v>
      </c>
      <c r="AN7" s="234">
        <f t="shared" si="1"/>
        <v>16.04</v>
      </c>
      <c r="AO7" s="234">
        <f t="shared" si="1"/>
        <v>518.42999999999995</v>
      </c>
      <c r="AP7" s="234">
        <f t="shared" si="1"/>
        <v>621.99</v>
      </c>
      <c r="AQ7" s="234">
        <f t="shared" si="1"/>
        <v>28.210000000000004</v>
      </c>
      <c r="AR7" s="234">
        <f t="shared" si="1"/>
        <v>6.0600000000000005</v>
      </c>
      <c r="AS7" s="234">
        <f t="shared" si="1"/>
        <v>0</v>
      </c>
      <c r="AT7" s="234">
        <f t="shared" si="1"/>
        <v>19.86</v>
      </c>
      <c r="AU7" s="234">
        <f t="shared" si="1"/>
        <v>154.04000000000002</v>
      </c>
      <c r="AV7" s="234">
        <f>AV8+AV20+AV58+AV59</f>
        <v>424.50999999999993</v>
      </c>
      <c r="AW7" s="234">
        <f t="shared" si="1"/>
        <v>9.91</v>
      </c>
      <c r="AX7" s="234">
        <f t="shared" si="1"/>
        <v>17.95</v>
      </c>
      <c r="AY7" s="234">
        <f t="shared" si="1"/>
        <v>22.71</v>
      </c>
      <c r="AZ7" s="234">
        <f t="shared" si="1"/>
        <v>4014.3700000000003</v>
      </c>
      <c r="BA7" s="234">
        <f t="shared" si="1"/>
        <v>122.35000000000002</v>
      </c>
      <c r="BB7" s="234">
        <f t="shared" si="1"/>
        <v>0.09</v>
      </c>
      <c r="BC7" s="234">
        <f t="shared" si="1"/>
        <v>2466.98</v>
      </c>
      <c r="BD7" s="234">
        <f>'cc2011-2015'!BD7</f>
        <v>5498.2099999999991</v>
      </c>
      <c r="BE7" s="234"/>
      <c r="BF7" s="234">
        <v>-1235.1400000000001</v>
      </c>
      <c r="BG7" s="234">
        <f>BG8+BG20+BG58</f>
        <v>30218.16</v>
      </c>
      <c r="BH7" s="67">
        <f>'BIEN DONG'!AT7</f>
        <v>30184.850000000002</v>
      </c>
      <c r="BI7" s="67">
        <f>'TONG TP'!BN7</f>
        <v>51988.946900000003</v>
      </c>
      <c r="BJ7" s="67">
        <f>BG7-BI7</f>
        <v>-21770.786900000003</v>
      </c>
      <c r="BK7" s="247">
        <f>100*BG7/30184.85</f>
        <v>100.11035337263561</v>
      </c>
      <c r="BL7" s="67">
        <f>31419.99-BG7</f>
        <v>1201.8300000000017</v>
      </c>
      <c r="BN7" s="247"/>
      <c r="BO7" s="247"/>
    </row>
    <row r="8" spans="1:67" s="67" customFormat="1" ht="23.25" customHeight="1">
      <c r="A8" s="86">
        <v>1</v>
      </c>
      <c r="B8" s="87" t="s">
        <v>14</v>
      </c>
      <c r="C8" s="86" t="s">
        <v>15</v>
      </c>
      <c r="D8" s="219">
        <f>D9+D12+D13+D14+D15+D16+D17+D18+D19</f>
        <v>19116.87</v>
      </c>
      <c r="E8" s="236">
        <f>D8-BE8</f>
        <v>16441.61</v>
      </c>
      <c r="F8" s="219">
        <f>F9+F12+F13+F14+F15+F16+F17+F18+F19</f>
        <v>4919.84</v>
      </c>
      <c r="G8" s="219">
        <f t="shared" ref="G8:P8" si="2">G9+G12+G13+G14+G15+G16+G17+G18+G19</f>
        <v>4777.88</v>
      </c>
      <c r="H8" s="219">
        <f t="shared" si="2"/>
        <v>141.96</v>
      </c>
      <c r="I8" s="219">
        <f t="shared" si="2"/>
        <v>255.29</v>
      </c>
      <c r="J8" s="219">
        <f t="shared" si="2"/>
        <v>764.83</v>
      </c>
      <c r="K8" s="219">
        <f t="shared" si="2"/>
        <v>1116.3700000000001</v>
      </c>
      <c r="L8" s="219">
        <f t="shared" si="2"/>
        <v>23</v>
      </c>
      <c r="M8" s="219">
        <f t="shared" si="2"/>
        <v>1500.69</v>
      </c>
      <c r="N8" s="219">
        <f t="shared" si="2"/>
        <v>7874.12</v>
      </c>
      <c r="O8" s="219">
        <f t="shared" si="2"/>
        <v>0</v>
      </c>
      <c r="P8" s="219">
        <f t="shared" si="2"/>
        <v>27.740000000000002</v>
      </c>
      <c r="Q8" s="219">
        <f>Q9+Q12+Q13+Q14+Q15+Q16+Q17+Q18+Q19</f>
        <v>1114.81</v>
      </c>
      <c r="R8" s="219">
        <f t="shared" ref="R8:BB8" si="3">R9+R12+R13+R14+R15+R16+R17+R18+R19</f>
        <v>5.76</v>
      </c>
      <c r="S8" s="219">
        <f t="shared" si="3"/>
        <v>0</v>
      </c>
      <c r="T8" s="219">
        <f t="shared" si="3"/>
        <v>34.629999999999995</v>
      </c>
      <c r="U8" s="219">
        <f t="shared" si="3"/>
        <v>0</v>
      </c>
      <c r="V8" s="219">
        <f t="shared" si="3"/>
        <v>172.52</v>
      </c>
      <c r="W8" s="219">
        <f t="shared" si="3"/>
        <v>78.25</v>
      </c>
      <c r="X8" s="219">
        <f t="shared" si="3"/>
        <v>120.49</v>
      </c>
      <c r="Y8" s="219">
        <f t="shared" si="3"/>
        <v>0</v>
      </c>
      <c r="Z8" s="219">
        <f t="shared" si="3"/>
        <v>293.14</v>
      </c>
      <c r="AA8" s="219">
        <f t="shared" si="3"/>
        <v>1.4900000000000002</v>
      </c>
      <c r="AB8" s="219">
        <f t="shared" si="3"/>
        <v>1.91</v>
      </c>
      <c r="AC8" s="219">
        <f t="shared" si="3"/>
        <v>20.009999999999998</v>
      </c>
      <c r="AD8" s="219">
        <f t="shared" si="3"/>
        <v>0.95000000000000007</v>
      </c>
      <c r="AE8" s="219">
        <f t="shared" si="3"/>
        <v>0</v>
      </c>
      <c r="AF8" s="219">
        <f t="shared" si="3"/>
        <v>0</v>
      </c>
      <c r="AG8" s="219">
        <f t="shared" si="3"/>
        <v>245.93</v>
      </c>
      <c r="AH8" s="219">
        <f>AH9+AH12+AH13+AH14+AH15+AH16+AH17+AH18+AH19</f>
        <v>21.799999999999997</v>
      </c>
      <c r="AI8" s="219">
        <f t="shared" si="3"/>
        <v>0.02</v>
      </c>
      <c r="AJ8" s="219">
        <f t="shared" si="3"/>
        <v>0.02</v>
      </c>
      <c r="AK8" s="219">
        <f t="shared" si="3"/>
        <v>1.01</v>
      </c>
      <c r="AL8" s="219">
        <f t="shared" si="3"/>
        <v>0</v>
      </c>
      <c r="AM8" s="219">
        <f t="shared" si="3"/>
        <v>0</v>
      </c>
      <c r="AN8" s="219">
        <f t="shared" si="3"/>
        <v>8.57</v>
      </c>
      <c r="AO8" s="219">
        <f t="shared" si="3"/>
        <v>23.37</v>
      </c>
      <c r="AP8" s="219">
        <f t="shared" si="3"/>
        <v>51.14</v>
      </c>
      <c r="AQ8" s="219">
        <f t="shared" si="3"/>
        <v>10.81</v>
      </c>
      <c r="AR8" s="219">
        <f t="shared" si="3"/>
        <v>0</v>
      </c>
      <c r="AS8" s="219">
        <f t="shared" si="3"/>
        <v>0</v>
      </c>
      <c r="AT8" s="219">
        <f t="shared" si="3"/>
        <v>2.6199999999999997</v>
      </c>
      <c r="AU8" s="219">
        <f t="shared" si="3"/>
        <v>3.6199999999999997</v>
      </c>
      <c r="AV8" s="219">
        <f t="shared" si="3"/>
        <v>294.53999999999996</v>
      </c>
      <c r="AW8" s="219">
        <f t="shared" si="3"/>
        <v>2.9999999999999996</v>
      </c>
      <c r="AX8" s="219">
        <f t="shared" si="3"/>
        <v>12.04</v>
      </c>
      <c r="AY8" s="219">
        <f t="shared" si="3"/>
        <v>0</v>
      </c>
      <c r="AZ8" s="219">
        <f t="shared" si="3"/>
        <v>0</v>
      </c>
      <c r="BA8" s="219">
        <f t="shared" si="3"/>
        <v>0.31</v>
      </c>
      <c r="BB8" s="219">
        <f t="shared" si="3"/>
        <v>0</v>
      </c>
      <c r="BC8" s="219">
        <f>'cc2011-2015'!BC8</f>
        <v>122.47999999999999</v>
      </c>
      <c r="BD8" s="234">
        <f>'cc2011-2015'!BD8</f>
        <v>1437.9699999999998</v>
      </c>
      <c r="BE8" s="219">
        <f>Q8+BC8+BD8</f>
        <v>2675.2599999999998</v>
      </c>
      <c r="BF8" s="219">
        <f>E60-BE8</f>
        <v>-179.50999999999931</v>
      </c>
      <c r="BG8" s="219">
        <f>BG9+BG12+BG13+BG14+BG15+BG16+BG17+BG18+BG19</f>
        <v>18977.63</v>
      </c>
      <c r="BH8" s="67">
        <f>'BIEN DONG'!AT8</f>
        <v>19752.140000000003</v>
      </c>
      <c r="BI8" s="67">
        <f>'TONG TP'!BN8</f>
        <v>37673.372589999999</v>
      </c>
      <c r="BJ8" s="67">
        <f t="shared" ref="BJ8:BJ58" si="4">BG8-BI8</f>
        <v>-18695.742589999998</v>
      </c>
      <c r="BK8" s="429">
        <f t="shared" ref="BK8:BK58" si="5">100*BG8/30184.85</f>
        <v>62.871374215873196</v>
      </c>
      <c r="BL8" s="67">
        <f>14833-BG8</f>
        <v>-4144.630000000001</v>
      </c>
    </row>
    <row r="9" spans="1:67" s="2" customFormat="1" ht="23.25" customHeight="1">
      <c r="A9" s="5" t="s">
        <v>16</v>
      </c>
      <c r="B9" s="72" t="s">
        <v>17</v>
      </c>
      <c r="C9" s="5" t="s">
        <v>18</v>
      </c>
      <c r="D9" s="100">
        <v>5239.24</v>
      </c>
      <c r="E9" s="100">
        <f>E10+E11</f>
        <v>4942.5300000000007</v>
      </c>
      <c r="F9" s="237">
        <f>D9-BE9</f>
        <v>4913.49</v>
      </c>
      <c r="G9" s="100">
        <f>G10+G11</f>
        <v>4777.88</v>
      </c>
      <c r="H9" s="100">
        <f t="shared" ref="H9:P9" si="6">H10+H11</f>
        <v>135.61000000000001</v>
      </c>
      <c r="I9" s="100">
        <f t="shared" si="6"/>
        <v>7.52</v>
      </c>
      <c r="J9" s="100">
        <f t="shared" si="6"/>
        <v>0</v>
      </c>
      <c r="K9" s="100">
        <f t="shared" si="6"/>
        <v>0</v>
      </c>
      <c r="L9" s="100">
        <f t="shared" si="6"/>
        <v>0</v>
      </c>
      <c r="M9" s="100">
        <f t="shared" si="6"/>
        <v>0</v>
      </c>
      <c r="N9" s="100">
        <f t="shared" si="6"/>
        <v>21.389999999999997</v>
      </c>
      <c r="O9" s="100">
        <f t="shared" si="6"/>
        <v>0</v>
      </c>
      <c r="P9" s="100">
        <f t="shared" si="6"/>
        <v>0.13</v>
      </c>
      <c r="Q9" s="100">
        <f>Q10+Q11</f>
        <v>240.62</v>
      </c>
      <c r="R9" s="100">
        <f t="shared" ref="R9:BB9" si="7">R10+R11</f>
        <v>0.23</v>
      </c>
      <c r="S9" s="100">
        <f t="shared" si="7"/>
        <v>0</v>
      </c>
      <c r="T9" s="100">
        <f t="shared" si="7"/>
        <v>11.71</v>
      </c>
      <c r="U9" s="100">
        <f t="shared" si="7"/>
        <v>0</v>
      </c>
      <c r="V9" s="100">
        <f t="shared" si="7"/>
        <v>15.57</v>
      </c>
      <c r="W9" s="100">
        <f t="shared" si="7"/>
        <v>15.67</v>
      </c>
      <c r="X9" s="100">
        <f t="shared" si="7"/>
        <v>8.0500000000000007</v>
      </c>
      <c r="Y9" s="100">
        <f t="shared" si="7"/>
        <v>0</v>
      </c>
      <c r="Z9" s="100">
        <f t="shared" si="7"/>
        <v>116.10999999999999</v>
      </c>
      <c r="AA9" s="100">
        <f t="shared" si="7"/>
        <v>0.75</v>
      </c>
      <c r="AB9" s="100">
        <f t="shared" si="7"/>
        <v>1.2</v>
      </c>
      <c r="AC9" s="100">
        <f t="shared" si="7"/>
        <v>13.1</v>
      </c>
      <c r="AD9" s="100">
        <f t="shared" si="7"/>
        <v>0.88</v>
      </c>
      <c r="AE9" s="100">
        <f t="shared" si="7"/>
        <v>0</v>
      </c>
      <c r="AF9" s="100">
        <f t="shared" si="7"/>
        <v>0</v>
      </c>
      <c r="AG9" s="100">
        <f t="shared" si="7"/>
        <v>87.77</v>
      </c>
      <c r="AH9" s="100">
        <f t="shared" si="7"/>
        <v>12.36</v>
      </c>
      <c r="AI9" s="100">
        <f t="shared" si="7"/>
        <v>0.02</v>
      </c>
      <c r="AJ9" s="100">
        <f t="shared" si="7"/>
        <v>0.02</v>
      </c>
      <c r="AK9" s="100">
        <f t="shared" si="7"/>
        <v>0.01</v>
      </c>
      <c r="AL9" s="100">
        <f t="shared" si="7"/>
        <v>0</v>
      </c>
      <c r="AM9" s="100">
        <f t="shared" si="7"/>
        <v>0</v>
      </c>
      <c r="AN9" s="100">
        <f t="shared" si="7"/>
        <v>0.74</v>
      </c>
      <c r="AO9" s="100">
        <f t="shared" si="7"/>
        <v>11.66</v>
      </c>
      <c r="AP9" s="100">
        <f t="shared" si="7"/>
        <v>39.69</v>
      </c>
      <c r="AQ9" s="100">
        <f t="shared" si="7"/>
        <v>6.75</v>
      </c>
      <c r="AR9" s="100">
        <f t="shared" si="7"/>
        <v>0</v>
      </c>
      <c r="AS9" s="100">
        <f t="shared" si="7"/>
        <v>0</v>
      </c>
      <c r="AT9" s="100">
        <f t="shared" si="7"/>
        <v>1.28</v>
      </c>
      <c r="AU9" s="100">
        <f t="shared" si="7"/>
        <v>0.34</v>
      </c>
      <c r="AV9" s="100">
        <f t="shared" si="7"/>
        <v>2.65</v>
      </c>
      <c r="AW9" s="100">
        <f t="shared" si="7"/>
        <v>2.9299999999999997</v>
      </c>
      <c r="AX9" s="100">
        <f t="shared" si="7"/>
        <v>7.23</v>
      </c>
      <c r="AY9" s="100">
        <f t="shared" si="7"/>
        <v>0</v>
      </c>
      <c r="AZ9" s="100">
        <f t="shared" si="7"/>
        <v>0</v>
      </c>
      <c r="BA9" s="100">
        <f t="shared" si="7"/>
        <v>0.01</v>
      </c>
      <c r="BB9" s="100">
        <f t="shared" si="7"/>
        <v>0</v>
      </c>
      <c r="BC9" s="100">
        <f>'cc2011-2015'!BC9</f>
        <v>56.09</v>
      </c>
      <c r="BD9" s="99">
        <f>'cc2011-2015'!BD9</f>
        <v>0</v>
      </c>
      <c r="BE9" s="100">
        <f>I9+J9+K9+L9+M9+P9+Q9+BC9+BD9+N9</f>
        <v>325.75</v>
      </c>
      <c r="BF9" s="100">
        <f>F60-BE9</f>
        <v>-91.22999999999999</v>
      </c>
      <c r="BG9" s="100">
        <f>D9+BF9</f>
        <v>5148.01</v>
      </c>
      <c r="BH9" s="67">
        <f>'BIEN DONG'!AT9</f>
        <v>5315.53</v>
      </c>
      <c r="BI9" s="191">
        <f>'TONG TP'!BN11</f>
        <v>3079.4102499999999</v>
      </c>
      <c r="BJ9" s="67">
        <f t="shared" si="4"/>
        <v>2068.5997500000003</v>
      </c>
      <c r="BK9" s="247">
        <f t="shared" si="5"/>
        <v>17.054946438362293</v>
      </c>
      <c r="BL9" s="190">
        <f>4450-BG9</f>
        <v>-698.01000000000022</v>
      </c>
      <c r="BO9" s="190"/>
    </row>
    <row r="10" spans="1:67" s="2" customFormat="1" ht="23.25" customHeight="1">
      <c r="A10" s="5" t="s">
        <v>212</v>
      </c>
      <c r="B10" s="72" t="s">
        <v>473</v>
      </c>
      <c r="C10" s="5" t="s">
        <v>20</v>
      </c>
      <c r="D10" s="100">
        <v>5061.42</v>
      </c>
      <c r="E10" s="100">
        <f>F10+I10+J10+K10+L10+M10+N10+O10+P10</f>
        <v>4791.26</v>
      </c>
      <c r="F10" s="100">
        <f>G10+H10</f>
        <v>4777.88</v>
      </c>
      <c r="G10" s="237">
        <f>D10-BE10</f>
        <v>4777.88</v>
      </c>
      <c r="H10" s="379"/>
      <c r="I10" s="100">
        <f>'cc2011-2015'!I10+'TONG TP'!M12</f>
        <v>7.52</v>
      </c>
      <c r="J10" s="100">
        <f>'cc2011-2015'!J10+'TONG TP'!N12</f>
        <v>0</v>
      </c>
      <c r="K10" s="100">
        <f>'cc2011-2015'!K10+'TONG TP'!P12</f>
        <v>0</v>
      </c>
      <c r="L10" s="100">
        <f>'cc2011-2015'!L10+'TONG TP'!Q12</f>
        <v>0</v>
      </c>
      <c r="M10" s="100">
        <f>'cc2011-2015'!M10+'TONG TP'!R12</f>
        <v>0</v>
      </c>
      <c r="N10" s="100">
        <f>'cc2011-2015'!N10+'TONG TP'!S12</f>
        <v>5.7299999999999995</v>
      </c>
      <c r="O10" s="100">
        <f>'cc2011-2015'!O10+'TONG TP'!T12</f>
        <v>0</v>
      </c>
      <c r="P10" s="100">
        <f>'cc2011-2015'!P10+'TONG TP'!U12</f>
        <v>0.13</v>
      </c>
      <c r="Q10" s="100">
        <f>R10+S10+T10+U10+V10+W10+X10+Y10+Z10+AL10+AM10+AN10+AO10+AP10+AQ10+AR10+AS10+AT10+AU10+AV10+AW10+AX10+AY10+AZ10+BA10+BB10</f>
        <v>214.07</v>
      </c>
      <c r="R10" s="100">
        <f>'cc2011-2015'!R10+'TONG TP'!W12</f>
        <v>0.23</v>
      </c>
      <c r="S10" s="100">
        <f>'cc2011-2015'!S10+'TONG TP'!X12</f>
        <v>0</v>
      </c>
      <c r="T10" s="100">
        <f>'cc2011-2015'!T10+'TONG TP'!Y12</f>
        <v>1.37</v>
      </c>
      <c r="U10" s="100">
        <f>'cc2011-2015'!U10+'TONG TP'!Z12</f>
        <v>0</v>
      </c>
      <c r="V10" s="100">
        <f>'cc2011-2015'!V10+'TONG TP'!AA12</f>
        <v>15.57</v>
      </c>
      <c r="W10" s="100">
        <f>'cc2011-2015'!W10+'TONG TP'!AB12</f>
        <v>14.19</v>
      </c>
      <c r="X10" s="100">
        <f>'cc2011-2015'!X10+'TONG TP'!AC12</f>
        <v>8.0500000000000007</v>
      </c>
      <c r="Y10" s="100">
        <f>'cc2011-2015'!Y10+'TONG TP'!AD12</f>
        <v>0</v>
      </c>
      <c r="Z10" s="100">
        <f>'cc2011-2015'!Z10+'TONG TP'!AE12</f>
        <v>109.28999999999999</v>
      </c>
      <c r="AA10" s="100">
        <f>'cc2011-2015'!AA10+'TONG TP'!AF12</f>
        <v>0.4</v>
      </c>
      <c r="AB10" s="100">
        <f>'cc2011-2015'!AB10+'TONG TP'!AG12</f>
        <v>1.2</v>
      </c>
      <c r="AC10" s="100">
        <f>'cc2011-2015'!AC10+'TONG TP'!AH12</f>
        <v>12.82</v>
      </c>
      <c r="AD10" s="100">
        <f>'cc2011-2015'!AD10+'TONG TP'!AI12</f>
        <v>0.83</v>
      </c>
      <c r="AE10" s="100">
        <f>'cc2011-2015'!AE10+'TONG TP'!AJ12</f>
        <v>0</v>
      </c>
      <c r="AF10" s="100">
        <f>'cc2011-2015'!AF10+'TONG TP'!AK12</f>
        <v>0</v>
      </c>
      <c r="AG10" s="100">
        <f>'cc2011-2015'!AG10+'TONG TP'!AL12</f>
        <v>81.86</v>
      </c>
      <c r="AH10" s="100">
        <f>'cc2011-2015'!AH10+'TONG TP'!AM12</f>
        <v>12.129999999999999</v>
      </c>
      <c r="AI10" s="100">
        <f>'cc2011-2015'!AI10+'TONG TP'!AN12</f>
        <v>0.02</v>
      </c>
      <c r="AJ10" s="100">
        <f>'cc2011-2015'!AJ10+'TONG TP'!AO12</f>
        <v>0.02</v>
      </c>
      <c r="AK10" s="100">
        <f>'cc2011-2015'!AK10+'TONG TP'!AP12</f>
        <v>0.01</v>
      </c>
      <c r="AL10" s="100">
        <f>'cc2011-2015'!AL10+'TONG TP'!AQ12</f>
        <v>0</v>
      </c>
      <c r="AM10" s="100">
        <f>'cc2011-2015'!AM10+'TONG TP'!AR12</f>
        <v>0</v>
      </c>
      <c r="AN10" s="100">
        <f>'cc2011-2015'!AN10+'TONG TP'!AS12</f>
        <v>0</v>
      </c>
      <c r="AO10" s="100">
        <f>'cc2011-2015'!AO10+'TONG TP'!AT12</f>
        <v>10.87</v>
      </c>
      <c r="AP10" s="100">
        <f>'cc2011-2015'!AP10+'TONG TP'!AU12</f>
        <v>36.28</v>
      </c>
      <c r="AQ10" s="100">
        <f>'cc2011-2015'!AQ10+'TONG TP'!AV12</f>
        <v>6.75</v>
      </c>
      <c r="AR10" s="100">
        <f>'cc2011-2015'!AR10+'TONG TP'!AW12</f>
        <v>0</v>
      </c>
      <c r="AS10" s="100">
        <f>'cc2011-2015'!AS10+'TONG TP'!AX12</f>
        <v>0</v>
      </c>
      <c r="AT10" s="100">
        <f>'cc2011-2015'!AT10+'TONG TP'!AY12</f>
        <v>1.28</v>
      </c>
      <c r="AU10" s="100">
        <f>'cc2011-2015'!AU10+'TONG TP'!AZ12</f>
        <v>0.34</v>
      </c>
      <c r="AV10" s="100">
        <f>'cc2011-2015'!AV10+'TONG TP'!BA12</f>
        <v>0</v>
      </c>
      <c r="AW10" s="100">
        <f>'cc2011-2015'!AW10+'TONG TP'!BB12</f>
        <v>2.9299999999999997</v>
      </c>
      <c r="AX10" s="100">
        <f>'cc2011-2015'!AX10+'TONG TP'!BC12</f>
        <v>6.91</v>
      </c>
      <c r="AY10" s="100">
        <f>'cc2011-2015'!AY10+'TONG TP'!BD12</f>
        <v>0</v>
      </c>
      <c r="AZ10" s="100">
        <f>'cc2011-2015'!AZ10+'TONG TP'!BE12</f>
        <v>0</v>
      </c>
      <c r="BA10" s="100">
        <f>'cc2011-2015'!BA10+'TONG TP'!BF12</f>
        <v>0.01</v>
      </c>
      <c r="BB10" s="100">
        <f>'cc2011-2015'!BB10+'TONG TP'!BG12</f>
        <v>0</v>
      </c>
      <c r="BC10" s="100">
        <f>'cc2011-2015'!BC10</f>
        <v>56.09</v>
      </c>
      <c r="BD10" s="99">
        <f>'cc2011-2015'!BD10</f>
        <v>0</v>
      </c>
      <c r="BE10" s="100">
        <f>H10+I10+J10+K10+L10+M10+N10+O10+P10+Q10+BC10+BD10</f>
        <v>283.53999999999996</v>
      </c>
      <c r="BF10" s="100">
        <f>G60-BE10</f>
        <v>-163.40999999999997</v>
      </c>
      <c r="BG10" s="100">
        <f>D10+BF10</f>
        <v>4898.01</v>
      </c>
      <c r="BH10" s="191">
        <v>5030.24</v>
      </c>
      <c r="BI10" s="191">
        <f>'TONG TP'!BN12</f>
        <v>1715.058</v>
      </c>
      <c r="BJ10" s="67">
        <f t="shared" si="4"/>
        <v>3182.9520000000002</v>
      </c>
      <c r="BK10" s="247">
        <f t="shared" si="5"/>
        <v>16.226716382556152</v>
      </c>
      <c r="BL10" s="190">
        <f>4350-BG10</f>
        <v>-548.01000000000022</v>
      </c>
    </row>
    <row r="11" spans="1:67" s="2" customFormat="1" ht="23.25" customHeight="1">
      <c r="A11" s="5" t="s">
        <v>219</v>
      </c>
      <c r="B11" s="72" t="s">
        <v>512</v>
      </c>
      <c r="C11" s="5" t="s">
        <v>195</v>
      </c>
      <c r="D11" s="100">
        <v>177.82</v>
      </c>
      <c r="E11" s="100">
        <f>F11+I11+J11+K11+L11+M11+N11+O11+P11</f>
        <v>151.27000000000001</v>
      </c>
      <c r="F11" s="100">
        <f>G11+H11</f>
        <v>135.61000000000001</v>
      </c>
      <c r="G11" s="379">
        <f>'cc2011-2015'!G11+'TONG TP'!I13</f>
        <v>0</v>
      </c>
      <c r="H11" s="237">
        <f>D11-BE11</f>
        <v>135.61000000000001</v>
      </c>
      <c r="I11" s="100">
        <f>'cc2011-2015'!I11+'TONG TP'!M13</f>
        <v>0</v>
      </c>
      <c r="J11" s="100">
        <f>'cc2011-2015'!J11+'TONG TP'!N13</f>
        <v>0</v>
      </c>
      <c r="K11" s="100">
        <f>'cc2011-2015'!K11+'TONG TP'!P13</f>
        <v>0</v>
      </c>
      <c r="L11" s="100">
        <f>'cc2011-2015'!L11+'TONG TP'!Q13</f>
        <v>0</v>
      </c>
      <c r="M11" s="100">
        <f>'cc2011-2015'!M11+'TONG TP'!R13</f>
        <v>0</v>
      </c>
      <c r="N11" s="100">
        <f>'cc2011-2015'!N11+'TONG TP'!S13</f>
        <v>15.659999999999998</v>
      </c>
      <c r="O11" s="100">
        <f>'cc2011-2015'!O11+'TONG TP'!T13</f>
        <v>0</v>
      </c>
      <c r="P11" s="100">
        <f>'cc2011-2015'!P11+'TONG TP'!U13</f>
        <v>0</v>
      </c>
      <c r="Q11" s="100">
        <f>R11+S11+T11+U11+V11+W11+X11+Y11+Z11+AL11+AM11+AN11+AO11+AP11+AQ11+AR11+AS11+AT11+AU11+AV11+AW11+AX11+AY11+AZ11+BA11+BB11</f>
        <v>26.549999999999997</v>
      </c>
      <c r="R11" s="100">
        <f>'cc2011-2015'!R11+'TONG TP'!W13</f>
        <v>0</v>
      </c>
      <c r="S11" s="100">
        <f>'cc2011-2015'!S11+'TONG TP'!X13</f>
        <v>0</v>
      </c>
      <c r="T11" s="100">
        <f>'cc2011-2015'!T11+'TONG TP'!Y13</f>
        <v>10.34</v>
      </c>
      <c r="U11" s="100">
        <f>'cc2011-2015'!U11+'TONG TP'!Z13</f>
        <v>0</v>
      </c>
      <c r="V11" s="100">
        <f>'cc2011-2015'!V11+'TONG TP'!AA13</f>
        <v>0</v>
      </c>
      <c r="W11" s="100">
        <f>'cc2011-2015'!W11+'TONG TP'!AB13</f>
        <v>1.48</v>
      </c>
      <c r="X11" s="100">
        <f>'cc2011-2015'!X11+'TONG TP'!AC13</f>
        <v>0</v>
      </c>
      <c r="Y11" s="100">
        <f>'cc2011-2015'!Y11+'TONG TP'!AD13</f>
        <v>0</v>
      </c>
      <c r="Z11" s="100">
        <f>'cc2011-2015'!Z11+'TONG TP'!AE13</f>
        <v>6.82</v>
      </c>
      <c r="AA11" s="100">
        <f>'cc2011-2015'!AA11+'TONG TP'!AF13</f>
        <v>0.35</v>
      </c>
      <c r="AB11" s="100">
        <f>'cc2011-2015'!AB11+'TONG TP'!AG13</f>
        <v>0</v>
      </c>
      <c r="AC11" s="100">
        <f>'cc2011-2015'!AC11+'TONG TP'!AH13</f>
        <v>0.28000000000000003</v>
      </c>
      <c r="AD11" s="100">
        <f>'cc2011-2015'!AD11+'TONG TP'!AI13</f>
        <v>0.05</v>
      </c>
      <c r="AE11" s="100">
        <f>'cc2011-2015'!AE11+'TONG TP'!AJ13</f>
        <v>0</v>
      </c>
      <c r="AF11" s="100">
        <f>'cc2011-2015'!AF11+'TONG TP'!AK13</f>
        <v>0</v>
      </c>
      <c r="AG11" s="100">
        <f>'cc2011-2015'!AG11+'TONG TP'!AL13</f>
        <v>5.91</v>
      </c>
      <c r="AH11" s="100">
        <f>'cc2011-2015'!AH11+'TONG TP'!AM13</f>
        <v>0.23</v>
      </c>
      <c r="AI11" s="100">
        <f>'cc2011-2015'!AI11+'TONG TP'!AN13</f>
        <v>0</v>
      </c>
      <c r="AJ11" s="100">
        <f>'cc2011-2015'!AJ11+'TONG TP'!AO13</f>
        <v>0</v>
      </c>
      <c r="AK11" s="100">
        <f>'cc2011-2015'!AK11+'TONG TP'!AP13</f>
        <v>0</v>
      </c>
      <c r="AL11" s="100">
        <f>'cc2011-2015'!AL11+'TONG TP'!AQ13</f>
        <v>0</v>
      </c>
      <c r="AM11" s="100">
        <f>'cc2011-2015'!AM11+'TONG TP'!AR13</f>
        <v>0</v>
      </c>
      <c r="AN11" s="100">
        <f>'cc2011-2015'!AN11+'TONG TP'!AS13</f>
        <v>0.74</v>
      </c>
      <c r="AO11" s="100">
        <f>'cc2011-2015'!AO11+'TONG TP'!AT13</f>
        <v>0.79</v>
      </c>
      <c r="AP11" s="100">
        <f>'cc2011-2015'!AP11+'TONG TP'!AU13</f>
        <v>3.41</v>
      </c>
      <c r="AQ11" s="100">
        <f>'cc2011-2015'!AQ11+'TONG TP'!AV13</f>
        <v>0</v>
      </c>
      <c r="AR11" s="100">
        <f>'cc2011-2015'!AR11+'TONG TP'!AW13</f>
        <v>0</v>
      </c>
      <c r="AS11" s="100">
        <f>'cc2011-2015'!AS11+'TONG TP'!AX13</f>
        <v>0</v>
      </c>
      <c r="AT11" s="100">
        <f>'cc2011-2015'!AT11+'TONG TP'!AY13</f>
        <v>0</v>
      </c>
      <c r="AU11" s="100">
        <f>'cc2011-2015'!AU11+'TONG TP'!AZ13</f>
        <v>0</v>
      </c>
      <c r="AV11" s="100">
        <f>'cc2011-2015'!AV11+'TONG TP'!BA13</f>
        <v>2.65</v>
      </c>
      <c r="AW11" s="100">
        <f>'cc2011-2015'!AW11+'TONG TP'!BB13</f>
        <v>0</v>
      </c>
      <c r="AX11" s="100">
        <f>'cc2011-2015'!AX11+'TONG TP'!BC13</f>
        <v>0.32</v>
      </c>
      <c r="AY11" s="100">
        <f>'cc2011-2015'!AY11+'TONG TP'!BD13</f>
        <v>0</v>
      </c>
      <c r="AZ11" s="100">
        <f>'cc2011-2015'!AZ11+'TONG TP'!BE13</f>
        <v>0</v>
      </c>
      <c r="BA11" s="100">
        <f>'cc2011-2015'!BA11+'TONG TP'!BF13</f>
        <v>0</v>
      </c>
      <c r="BB11" s="100">
        <f>'cc2011-2015'!BB11+'TONG TP'!BG13</f>
        <v>0</v>
      </c>
      <c r="BC11" s="100">
        <f>'cc2011-2015'!BC11</f>
        <v>0</v>
      </c>
      <c r="BD11" s="99">
        <f>'cc2011-2015'!BD11</f>
        <v>0</v>
      </c>
      <c r="BE11" s="100">
        <f>G11+I11+J11+K11+L11+M11+N11+O11+P11+BC11+BD11+Q11</f>
        <v>42.209999999999994</v>
      </c>
      <c r="BF11" s="100">
        <f>H60-BE11</f>
        <v>72.180000000000007</v>
      </c>
      <c r="BG11" s="100">
        <f>D11+BF11</f>
        <v>250</v>
      </c>
      <c r="BH11" s="191">
        <v>292.2</v>
      </c>
      <c r="BI11" s="191">
        <f>'TONG TP'!BN13</f>
        <v>1364.3522499999999</v>
      </c>
      <c r="BJ11" s="67">
        <f t="shared" si="4"/>
        <v>-1114.3522499999999</v>
      </c>
      <c r="BK11" s="247">
        <f t="shared" si="5"/>
        <v>0.82823005580614117</v>
      </c>
      <c r="BL11" s="190">
        <f>100-BG11</f>
        <v>-150</v>
      </c>
    </row>
    <row r="12" spans="1:67" s="2" customFormat="1" ht="23.25" customHeight="1">
      <c r="A12" s="5" t="s">
        <v>21</v>
      </c>
      <c r="B12" s="72" t="s">
        <v>22</v>
      </c>
      <c r="C12" s="5" t="s">
        <v>23</v>
      </c>
      <c r="D12" s="100">
        <v>291.89999999999998</v>
      </c>
      <c r="E12" s="100">
        <f>F12+I12+J12+K12+L12+M12+N12+O12+P12</f>
        <v>261.13</v>
      </c>
      <c r="F12" s="100">
        <f t="shared" ref="F12:F19" si="8">G12+H12</f>
        <v>0</v>
      </c>
      <c r="G12" s="379">
        <f>'cc2011-2015'!G12+'TONG TP'!I16</f>
        <v>0</v>
      </c>
      <c r="H12" s="379">
        <f>'cc2011-2015'!H12+'TONG TP'!J16</f>
        <v>0</v>
      </c>
      <c r="I12" s="237">
        <f>D12-BE12</f>
        <v>247.76999999999998</v>
      </c>
      <c r="J12" s="100"/>
      <c r="K12" s="100">
        <f>'cc2011-2015'!K12+'TONG TP'!P14</f>
        <v>0</v>
      </c>
      <c r="L12" s="100">
        <f>'cc2011-2015'!L12+'TONG TP'!Q14</f>
        <v>0</v>
      </c>
      <c r="M12" s="100">
        <f>'cc2011-2015'!M12+'TONG TP'!R14</f>
        <v>0</v>
      </c>
      <c r="N12" s="100">
        <f>'cc2011-2015'!N12+'TONG TP'!S14</f>
        <v>1</v>
      </c>
      <c r="O12" s="100">
        <f>'cc2011-2015'!O12+'TONG TP'!T14</f>
        <v>0</v>
      </c>
      <c r="P12" s="100">
        <f>'cc2011-2015'!P12+'TONG TP'!U16</f>
        <v>12.36</v>
      </c>
      <c r="Q12" s="100">
        <f t="shared" ref="Q12:Q19" si="9">R12+S12+T12+U12+V12+W12+X12+Y12+Z12+AL12+AM12+AN12+AO12+AP12+AQ12+AR12+AS12+AT12+AU12+AV12+AW12+AX12+AY12+AZ12+BA12+BB12</f>
        <v>31.77</v>
      </c>
      <c r="R12" s="100">
        <f>'cc2011-2015'!R12+'TONG TP'!W16</f>
        <v>0</v>
      </c>
      <c r="S12" s="100">
        <f>'cc2011-2015'!S12+'TONG TP'!X16</f>
        <v>0</v>
      </c>
      <c r="T12" s="100">
        <f>'cc2011-2015'!T12+'TONG TP'!Y16</f>
        <v>10.54</v>
      </c>
      <c r="U12" s="100">
        <f>'cc2011-2015'!U12+'TONG TP'!Z16</f>
        <v>0</v>
      </c>
      <c r="V12" s="100">
        <f>'cc2011-2015'!V12+'TONG TP'!AA16</f>
        <v>0.35</v>
      </c>
      <c r="W12" s="100">
        <f>'cc2011-2015'!W12+'TONG TP'!AB16</f>
        <v>0.87000000000000011</v>
      </c>
      <c r="X12" s="100">
        <f>'cc2011-2015'!X12+'TONG TP'!AC16</f>
        <v>1.24</v>
      </c>
      <c r="Y12" s="100">
        <f>'cc2011-2015'!Y12+'TONG TP'!AD16</f>
        <v>0</v>
      </c>
      <c r="Z12" s="100">
        <f>'cc2011-2015'!Z12+'TONG TP'!AE16</f>
        <v>10.8</v>
      </c>
      <c r="AA12" s="100">
        <f>'cc2011-2015'!AA12+'TONG TP'!AF16</f>
        <v>7.0000000000000007E-2</v>
      </c>
      <c r="AB12" s="100">
        <f>'cc2011-2015'!AB12+'TONG TP'!AG16</f>
        <v>0.2</v>
      </c>
      <c r="AC12" s="100">
        <f>'cc2011-2015'!AC12+'TONG TP'!AH16</f>
        <v>0.37</v>
      </c>
      <c r="AD12" s="100">
        <f>'cc2011-2015'!AD12+'TONG TP'!AI16</f>
        <v>0.02</v>
      </c>
      <c r="AE12" s="100">
        <f>'cc2011-2015'!AE12+'TONG TP'!AJ16</f>
        <v>0</v>
      </c>
      <c r="AF12" s="100">
        <f>'cc2011-2015'!AF12+'TONG TP'!AK16</f>
        <v>0</v>
      </c>
      <c r="AG12" s="100">
        <f>'cc2011-2015'!AG12+'TONG TP'!AL16</f>
        <v>10.06</v>
      </c>
      <c r="AH12" s="100">
        <f>'cc2011-2015'!AH12+'TONG TP'!AM16</f>
        <v>0.08</v>
      </c>
      <c r="AI12" s="100">
        <f>'cc2011-2015'!AI12+'TONG TP'!AN16</f>
        <v>0</v>
      </c>
      <c r="AJ12" s="100">
        <f>'cc2011-2015'!AJ12+'TONG TP'!AO16</f>
        <v>0</v>
      </c>
      <c r="AK12" s="100">
        <f>'cc2011-2015'!AK12+'TONG TP'!AP16</f>
        <v>0</v>
      </c>
      <c r="AL12" s="100">
        <f>'cc2011-2015'!AL12+'TONG TP'!AQ16</f>
        <v>0</v>
      </c>
      <c r="AM12" s="100">
        <f>'cc2011-2015'!AM12+'TONG TP'!AR16</f>
        <v>0</v>
      </c>
      <c r="AN12" s="100">
        <f>'cc2011-2015'!AN12+'TONG TP'!AS16</f>
        <v>0.53</v>
      </c>
      <c r="AO12" s="100">
        <f>'cc2011-2015'!AO12+'TONG TP'!AT16</f>
        <v>3.14</v>
      </c>
      <c r="AP12" s="100">
        <f>'cc2011-2015'!AP12+'TONG TP'!AU16</f>
        <v>3.1700000000000004</v>
      </c>
      <c r="AQ12" s="100">
        <f>'cc2011-2015'!AQ12+'TONG TP'!AV16</f>
        <v>0.04</v>
      </c>
      <c r="AR12" s="100">
        <f>'cc2011-2015'!AR12+'TONG TP'!AW16</f>
        <v>0</v>
      </c>
      <c r="AS12" s="100">
        <f>'cc2011-2015'!AS12+'TONG TP'!AX16</f>
        <v>0</v>
      </c>
      <c r="AT12" s="100">
        <f>'cc2011-2015'!AT12+'TONG TP'!AY16</f>
        <v>0</v>
      </c>
      <c r="AU12" s="100">
        <f>'cc2011-2015'!AU12+'TONG TP'!AZ16</f>
        <v>0</v>
      </c>
      <c r="AV12" s="100">
        <f>'cc2011-2015'!AV12+'TONG TP'!BA16</f>
        <v>0</v>
      </c>
      <c r="AW12" s="100">
        <f>'cc2011-2015'!AW12+'TONG TP'!BB16</f>
        <v>7.0000000000000007E-2</v>
      </c>
      <c r="AX12" s="100">
        <f>'cc2011-2015'!AX12+'TONG TP'!BC16</f>
        <v>1.02</v>
      </c>
      <c r="AY12" s="100">
        <f>'cc2011-2015'!AY12+'TONG TP'!BD16</f>
        <v>0</v>
      </c>
      <c r="AZ12" s="100">
        <f>'cc2011-2015'!AZ12+'TONG TP'!BE16</f>
        <v>0</v>
      </c>
      <c r="BA12" s="100">
        <f>'cc2011-2015'!BA12+'TONG TP'!BF16</f>
        <v>0</v>
      </c>
      <c r="BB12" s="100">
        <f>'cc2011-2015'!BB12+'TONG TP'!BG16</f>
        <v>0</v>
      </c>
      <c r="BC12" s="100">
        <f>'cc2011-2015'!BC12</f>
        <v>5.96</v>
      </c>
      <c r="BD12" s="99">
        <f>'cc2011-2015'!BD12</f>
        <v>0</v>
      </c>
      <c r="BE12" s="100">
        <f>F12+J12+K12+L12+M12+P12+Q12+BD12</f>
        <v>44.129999999999995</v>
      </c>
      <c r="BF12" s="100">
        <f>I60-BE12</f>
        <v>60.910000000000011</v>
      </c>
      <c r="BG12" s="100">
        <f t="shared" ref="BG12:BG19" si="10">D12+BF12</f>
        <v>352.81</v>
      </c>
      <c r="BH12" s="191">
        <f>'BIEN DONG'!AT10</f>
        <v>378.03999999999996</v>
      </c>
      <c r="BI12" s="191">
        <f>'TONG TP'!BN16</f>
        <v>977.34429999999986</v>
      </c>
      <c r="BJ12" s="67">
        <f t="shared" si="4"/>
        <v>-624.5342999999998</v>
      </c>
      <c r="BK12" s="247">
        <f t="shared" si="5"/>
        <v>1.1688313839558586</v>
      </c>
      <c r="BL12" s="2">
        <f>207.18-BG12</f>
        <v>-145.63</v>
      </c>
    </row>
    <row r="13" spans="1:67" s="2" customFormat="1" ht="23.25" customHeight="1">
      <c r="A13" s="5" t="s">
        <v>24</v>
      </c>
      <c r="B13" s="72" t="s">
        <v>25</v>
      </c>
      <c r="C13" s="5" t="s">
        <v>26</v>
      </c>
      <c r="D13" s="100">
        <v>860.47</v>
      </c>
      <c r="E13" s="100">
        <f t="shared" ref="E13:E57" si="11">F13+I13+J13+K13+L13+M13+N13+O13+P13</f>
        <v>764.83</v>
      </c>
      <c r="F13" s="100">
        <f t="shared" si="8"/>
        <v>0</v>
      </c>
      <c r="G13" s="379">
        <f>'cc2011-2015'!G13+'TONG TP'!I17</f>
        <v>0</v>
      </c>
      <c r="H13" s="379">
        <f>'cc2011-2015'!H13+'TONG TP'!J17</f>
        <v>0</v>
      </c>
      <c r="I13" s="379">
        <f>'cc2011-2015'!I13+'TONG TP'!K17</f>
        <v>0</v>
      </c>
      <c r="J13" s="237">
        <f>D13-BE13</f>
        <v>764.83</v>
      </c>
      <c r="K13" s="100">
        <f>'cc2011-2015'!K13+'TONG TP'!P15</f>
        <v>0</v>
      </c>
      <c r="L13" s="100">
        <f>'cc2011-2015'!L13+'TONG TP'!Q15</f>
        <v>0</v>
      </c>
      <c r="M13" s="100">
        <f>'cc2011-2015'!M13+'TONG TP'!R15</f>
        <v>0</v>
      </c>
      <c r="N13" s="100">
        <f>'cc2011-2015'!N13+'TONG TP'!S15</f>
        <v>0</v>
      </c>
      <c r="O13" s="100">
        <f>'cc2011-2015'!O13+'TONG TP'!T15</f>
        <v>0</v>
      </c>
      <c r="P13" s="100">
        <f>'cc2011-2015'!P13+'TONG TP'!U17</f>
        <v>0</v>
      </c>
      <c r="Q13" s="100">
        <f t="shared" si="9"/>
        <v>95.52000000000001</v>
      </c>
      <c r="R13" s="100">
        <f>'cc2011-2015'!R13+'TONG TP'!W17</f>
        <v>0.27</v>
      </c>
      <c r="S13" s="100">
        <f>'cc2011-2015'!S13+'TONG TP'!X17</f>
        <v>0</v>
      </c>
      <c r="T13" s="100">
        <f>'cc2011-2015'!T13+'TONG TP'!Y17</f>
        <v>3.5</v>
      </c>
      <c r="U13" s="100">
        <f>'cc2011-2015'!U13+'TONG TP'!Z17</f>
        <v>0</v>
      </c>
      <c r="V13" s="100">
        <f>'cc2011-2015'!V13+'TONG TP'!AA17</f>
        <v>23.1</v>
      </c>
      <c r="W13" s="100">
        <f>'cc2011-2015'!W13+'TONG TP'!AB17</f>
        <v>10.01</v>
      </c>
      <c r="X13" s="100">
        <f>'cc2011-2015'!X13+'TONG TP'!AC17</f>
        <v>14.94</v>
      </c>
      <c r="Y13" s="100">
        <f>'cc2011-2015'!Y13+'TONG TP'!AD17</f>
        <v>0</v>
      </c>
      <c r="Z13" s="100">
        <f>'cc2011-2015'!Z13+'TONG TP'!AE17</f>
        <v>24.069999999999997</v>
      </c>
      <c r="AA13" s="100">
        <f>'cc2011-2015'!AA13+'TONG TP'!AF17</f>
        <v>0.67</v>
      </c>
      <c r="AB13" s="100">
        <f>'cc2011-2015'!AB13+'TONG TP'!AG17</f>
        <v>0.51</v>
      </c>
      <c r="AC13" s="100">
        <f>'cc2011-2015'!AC13+'TONG TP'!AH17</f>
        <v>1.62</v>
      </c>
      <c r="AD13" s="100">
        <f>'cc2011-2015'!AD13+'TONG TP'!AI17</f>
        <v>0</v>
      </c>
      <c r="AE13" s="100">
        <f>'cc2011-2015'!AE13+'TONG TP'!AJ17</f>
        <v>0</v>
      </c>
      <c r="AF13" s="100">
        <f>'cc2011-2015'!AF13+'TONG TP'!AK17</f>
        <v>0</v>
      </c>
      <c r="AG13" s="100">
        <f>'cc2011-2015'!AG13+'TONG TP'!AL17</f>
        <v>20.309999999999999</v>
      </c>
      <c r="AH13" s="100">
        <f>'cc2011-2015'!AH13+'TONG TP'!AM17</f>
        <v>0.96</v>
      </c>
      <c r="AI13" s="100">
        <f>'cc2011-2015'!AI13+'TONG TP'!AN17</f>
        <v>0</v>
      </c>
      <c r="AJ13" s="100">
        <f>'cc2011-2015'!AJ13+'TONG TP'!AO17</f>
        <v>0</v>
      </c>
      <c r="AK13" s="100">
        <f>'cc2011-2015'!AK13+'TONG TP'!AP17</f>
        <v>0</v>
      </c>
      <c r="AL13" s="100">
        <f>'cc2011-2015'!AL13+'TONG TP'!AQ17</f>
        <v>0</v>
      </c>
      <c r="AM13" s="100">
        <f>'cc2011-2015'!AM13+'TONG TP'!AR17</f>
        <v>0</v>
      </c>
      <c r="AN13" s="100">
        <f>'cc2011-2015'!AN13+'TONG TP'!AS17</f>
        <v>0.54</v>
      </c>
      <c r="AO13" s="100">
        <f>'cc2011-2015'!AO13+'TONG TP'!AT17</f>
        <v>5.6199999999999992</v>
      </c>
      <c r="AP13" s="100">
        <f>'cc2011-2015'!AP13+'TONG TP'!AU17</f>
        <v>5.83</v>
      </c>
      <c r="AQ13" s="100">
        <f>'cc2011-2015'!AQ13+'TONG TP'!AV17</f>
        <v>3.78</v>
      </c>
      <c r="AR13" s="100">
        <f>'cc2011-2015'!AR13+'TONG TP'!AW17</f>
        <v>0</v>
      </c>
      <c r="AS13" s="100">
        <f>'cc2011-2015'!AS13+'TONG TP'!AX17</f>
        <v>0</v>
      </c>
      <c r="AT13" s="100">
        <f>'cc2011-2015'!AT13+'TONG TP'!AY17</f>
        <v>0.36</v>
      </c>
      <c r="AU13" s="100">
        <f>'cc2011-2015'!AU13+'TONG TP'!AZ17</f>
        <v>0</v>
      </c>
      <c r="AV13" s="100">
        <f>'cc2011-2015'!AV13+'TONG TP'!BA17</f>
        <v>0.13</v>
      </c>
      <c r="AW13" s="100">
        <f>'cc2011-2015'!AW13+'TONG TP'!BB17</f>
        <v>0</v>
      </c>
      <c r="AX13" s="100">
        <f>'cc2011-2015'!AX13+'TONG TP'!BC17</f>
        <v>3.2500000000000004</v>
      </c>
      <c r="AY13" s="100">
        <f>'cc2011-2015'!AY13+'TONG TP'!BD17</f>
        <v>0</v>
      </c>
      <c r="AZ13" s="100">
        <f>'cc2011-2015'!AZ13+'TONG TP'!BE17</f>
        <v>0</v>
      </c>
      <c r="BA13" s="100">
        <f>'cc2011-2015'!BA13+'TONG TP'!BF17</f>
        <v>0.12</v>
      </c>
      <c r="BB13" s="100">
        <f>'cc2011-2015'!BB13+'TONG TP'!BG17</f>
        <v>0</v>
      </c>
      <c r="BC13" s="100">
        <f>'cc2011-2015'!BC13</f>
        <v>0.12</v>
      </c>
      <c r="BD13" s="99">
        <f>'cc2011-2015'!BD13</f>
        <v>0</v>
      </c>
      <c r="BE13" s="100">
        <f>F13+I13+K13+L13+M13+P13+Q13+BC13+BD13</f>
        <v>95.640000000000015</v>
      </c>
      <c r="BF13" s="100">
        <f>J60-BE13</f>
        <v>566.5200000000001</v>
      </c>
      <c r="BG13" s="100">
        <f t="shared" si="10"/>
        <v>1426.9900000000002</v>
      </c>
      <c r="BH13" s="191">
        <f>'BIEN DONG'!AT11</f>
        <v>1520.2000000000003</v>
      </c>
      <c r="BI13" s="191">
        <f>'TONG TP'!BN17</f>
        <v>1737.3819399999998</v>
      </c>
      <c r="BJ13" s="67">
        <f t="shared" si="4"/>
        <v>-310.39193999999952</v>
      </c>
      <c r="BK13" s="247">
        <f t="shared" si="5"/>
        <v>4.7275040293392223</v>
      </c>
      <c r="BL13" s="2">
        <f>730-BG13</f>
        <v>-696.99000000000024</v>
      </c>
    </row>
    <row r="14" spans="1:67" s="2" customFormat="1" ht="24.75" customHeight="1">
      <c r="A14" s="5" t="s">
        <v>27</v>
      </c>
      <c r="B14" s="72" t="s">
        <v>28</v>
      </c>
      <c r="C14" s="5" t="s">
        <v>29</v>
      </c>
      <c r="D14" s="100">
        <v>2020.25</v>
      </c>
      <c r="E14" s="100">
        <f t="shared" si="11"/>
        <v>806.66000000000008</v>
      </c>
      <c r="F14" s="100">
        <f t="shared" si="8"/>
        <v>0</v>
      </c>
      <c r="G14" s="100">
        <f>'cc2011-2015'!G14+'TONG TP'!I19</f>
        <v>0</v>
      </c>
      <c r="H14" s="379">
        <f>'cc2011-2015'!H14+'TONG TP'!J18</f>
        <v>0</v>
      </c>
      <c r="I14" s="379">
        <f>'cc2011-2015'!I14+'TONG TP'!K18</f>
        <v>0</v>
      </c>
      <c r="J14" s="379">
        <f>'cc2011-2015'!J14+'TONG TP'!L18</f>
        <v>0</v>
      </c>
      <c r="K14" s="237">
        <f>D14-BE14</f>
        <v>793.92000000000007</v>
      </c>
      <c r="L14" s="100">
        <f>'cc2011-2015'!L14+'TONG TP'!Q16</f>
        <v>0</v>
      </c>
      <c r="M14" s="100">
        <f>'cc2011-2015'!M14+'TONG TP'!R16</f>
        <v>0</v>
      </c>
      <c r="N14" s="100">
        <f>'cc2011-2015'!N14+'TONG TP'!S16</f>
        <v>12.739999999999998</v>
      </c>
      <c r="O14" s="100">
        <f>'cc2011-2015'!O14+'TONG TP'!T19</f>
        <v>0</v>
      </c>
      <c r="P14" s="100">
        <f>'cc2011-2015'!P14+'TONG TP'!U19</f>
        <v>0</v>
      </c>
      <c r="Q14" s="100">
        <f t="shared" si="9"/>
        <v>71.22</v>
      </c>
      <c r="R14" s="100">
        <f>'cc2011-2015'!R14+'TONG TP'!W19</f>
        <v>0.95</v>
      </c>
      <c r="S14" s="100">
        <f>'cc2011-2015'!S14+'TONG TP'!X19</f>
        <v>0</v>
      </c>
      <c r="T14" s="100">
        <f>'cc2011-2015'!T14+'TONG TP'!Y19</f>
        <v>0</v>
      </c>
      <c r="U14" s="100">
        <f>'cc2011-2015'!U14+'TONG TP'!Z19</f>
        <v>0</v>
      </c>
      <c r="V14" s="100">
        <f>'cc2011-2015'!V14+'TONG TP'!AA19</f>
        <v>6.39</v>
      </c>
      <c r="W14" s="100">
        <f>'cc2011-2015'!W14+'TONG TP'!AB19</f>
        <v>0</v>
      </c>
      <c r="X14" s="100">
        <f>'cc2011-2015'!X14+'TONG TP'!AC19</f>
        <v>15.209999999999999</v>
      </c>
      <c r="Y14" s="100">
        <f>'cc2011-2015'!Y14+'TONG TP'!AD19</f>
        <v>0</v>
      </c>
      <c r="Z14" s="100">
        <f>'cc2011-2015'!Z14+'TONG TP'!AE19</f>
        <v>44.180000000000007</v>
      </c>
      <c r="AA14" s="100">
        <f>'cc2011-2015'!AA14+'TONG TP'!AF19</f>
        <v>0</v>
      </c>
      <c r="AB14" s="100">
        <f>'cc2011-2015'!AB14+'TONG TP'!AG19</f>
        <v>0</v>
      </c>
      <c r="AC14" s="100">
        <f>'cc2011-2015'!AC14+'TONG TP'!AH19</f>
        <v>0</v>
      </c>
      <c r="AD14" s="100">
        <f>'cc2011-2015'!AD14+'TONG TP'!AI19</f>
        <v>0</v>
      </c>
      <c r="AE14" s="100">
        <f>'cc2011-2015'!AE14+'TONG TP'!AJ19</f>
        <v>0</v>
      </c>
      <c r="AF14" s="100">
        <f>'cc2011-2015'!AF14+'TONG TP'!AK19</f>
        <v>0</v>
      </c>
      <c r="AG14" s="100">
        <f>'cc2011-2015'!AG14+'TONG TP'!AL19</f>
        <v>44.180000000000007</v>
      </c>
      <c r="AH14" s="100">
        <f>'cc2011-2015'!AH14+'TONG TP'!AM19</f>
        <v>0</v>
      </c>
      <c r="AI14" s="100">
        <f>'cc2011-2015'!AI14+'TONG TP'!AN19</f>
        <v>0</v>
      </c>
      <c r="AJ14" s="100">
        <f>'cc2011-2015'!AJ14+'TONG TP'!AO19</f>
        <v>0</v>
      </c>
      <c r="AK14" s="100">
        <f>'cc2011-2015'!AK14+'TONG TP'!AP19</f>
        <v>0</v>
      </c>
      <c r="AL14" s="100">
        <f>'cc2011-2015'!AL14+'TONG TP'!AQ19</f>
        <v>0</v>
      </c>
      <c r="AM14" s="100">
        <f>'cc2011-2015'!AM14+'TONG TP'!AR19</f>
        <v>0</v>
      </c>
      <c r="AN14" s="100">
        <f>'cc2011-2015'!AN14+'TONG TP'!AS19</f>
        <v>4.49</v>
      </c>
      <c r="AO14" s="100">
        <f>'cc2011-2015'!AO14+'TONG TP'!AT19</f>
        <v>0</v>
      </c>
      <c r="AP14" s="100">
        <f>'cc2011-2015'!AP14+'TONG TP'!AU19</f>
        <v>0</v>
      </c>
      <c r="AQ14" s="100">
        <f>'cc2011-2015'!AQ14+'TONG TP'!AV19</f>
        <v>0</v>
      </c>
      <c r="AR14" s="100">
        <f>'cc2011-2015'!AR14+'TONG TP'!AW19</f>
        <v>0</v>
      </c>
      <c r="AS14" s="100">
        <f>'cc2011-2015'!AS14+'TONG TP'!AX19</f>
        <v>0</v>
      </c>
      <c r="AT14" s="100">
        <f>'cc2011-2015'!AT14+'TONG TP'!AY19</f>
        <v>0</v>
      </c>
      <c r="AU14" s="100">
        <f>'cc2011-2015'!AU14+'TONG TP'!AZ19</f>
        <v>0</v>
      </c>
      <c r="AV14" s="100">
        <f>'cc2011-2015'!AV14+'TONG TP'!BA19</f>
        <v>0</v>
      </c>
      <c r="AW14" s="100">
        <f>'cc2011-2015'!AW14+'TONG TP'!BB19</f>
        <v>0</v>
      </c>
      <c r="AX14" s="100">
        <f>'cc2011-2015'!AX14+'TONG TP'!BC19</f>
        <v>0</v>
      </c>
      <c r="AY14" s="100">
        <f>'cc2011-2015'!AY14+'TONG TP'!BD19</f>
        <v>0</v>
      </c>
      <c r="AZ14" s="100">
        <f>'cc2011-2015'!AZ14+'TONG TP'!BE19</f>
        <v>0</v>
      </c>
      <c r="BA14" s="100">
        <f>'cc2011-2015'!BA14+'TONG TP'!BF19</f>
        <v>0</v>
      </c>
      <c r="BB14" s="100">
        <f>'cc2011-2015'!BB14+'TONG TP'!BG19</f>
        <v>0</v>
      </c>
      <c r="BC14" s="100">
        <f>'cc2011-2015'!BC14</f>
        <v>0</v>
      </c>
      <c r="BD14" s="99">
        <f>'cc2011-2015'!BD14</f>
        <v>1155.1099999999999</v>
      </c>
      <c r="BE14" s="100">
        <f>F14+I14+J14+L14+M14+P14+Q14+BC14+BD14</f>
        <v>1226.33</v>
      </c>
      <c r="BF14" s="100">
        <f>K60-BE14</f>
        <v>-903.87999999999988</v>
      </c>
      <c r="BG14" s="100">
        <f t="shared" si="10"/>
        <v>1116.3700000000001</v>
      </c>
      <c r="BH14" s="191">
        <f>'BIEN DONG'!AT12</f>
        <v>1187.3100000000002</v>
      </c>
      <c r="BI14" s="191">
        <f>'TONG TP'!BN19</f>
        <v>15105.260000000002</v>
      </c>
      <c r="BJ14" s="67">
        <f t="shared" si="4"/>
        <v>-13988.890000000001</v>
      </c>
      <c r="BK14" s="247">
        <f t="shared" si="5"/>
        <v>3.6984447496012081</v>
      </c>
      <c r="BL14" s="2">
        <f>1805-BG14</f>
        <v>688.62999999999988</v>
      </c>
    </row>
    <row r="15" spans="1:67" s="2" customFormat="1" ht="24.75" customHeight="1">
      <c r="A15" s="5" t="s">
        <v>30</v>
      </c>
      <c r="B15" s="72" t="s">
        <v>31</v>
      </c>
      <c r="C15" s="5" t="s">
        <v>32</v>
      </c>
      <c r="D15" s="100">
        <v>23</v>
      </c>
      <c r="E15" s="100">
        <f t="shared" si="11"/>
        <v>32.450000000000003</v>
      </c>
      <c r="F15" s="100">
        <f t="shared" si="8"/>
        <v>0</v>
      </c>
      <c r="G15" s="100">
        <f>'cc2011-2015'!G15+'TONG TP'!I20</f>
        <v>0</v>
      </c>
      <c r="H15" s="379">
        <f>'cc2011-2015'!H15+'TONG TP'!J19</f>
        <v>0</v>
      </c>
      <c r="I15" s="379">
        <f>'cc2011-2015'!I15+'TONG TP'!K19</f>
        <v>0</v>
      </c>
      <c r="J15" s="379">
        <f>'cc2011-2015'!J15+'TONG TP'!L19</f>
        <v>0</v>
      </c>
      <c r="K15" s="379">
        <f>'cc2011-2015'!K15+'TONG TP'!P20</f>
        <v>0</v>
      </c>
      <c r="L15" s="237">
        <f>D15-BE15</f>
        <v>23</v>
      </c>
      <c r="M15" s="100">
        <f>'cc2011-2015'!M15+'TONG TP'!R17</f>
        <v>0</v>
      </c>
      <c r="N15" s="100">
        <f>'cc2011-2015'!N15+'TONG TP'!S17</f>
        <v>9.4499999999999993</v>
      </c>
      <c r="O15" s="100">
        <f>'cc2011-2015'!O15+'TONG TP'!T20</f>
        <v>0</v>
      </c>
      <c r="P15" s="100">
        <f>'cc2011-2015'!P15+'TONG TP'!U20</f>
        <v>0</v>
      </c>
      <c r="Q15" s="100">
        <f t="shared" si="9"/>
        <v>0</v>
      </c>
      <c r="R15" s="100">
        <f>'cc2011-2015'!R15+'TONG TP'!W20</f>
        <v>0</v>
      </c>
      <c r="S15" s="100">
        <f>'cc2011-2015'!S15+'TONG TP'!X20</f>
        <v>0</v>
      </c>
      <c r="T15" s="100">
        <f>'cc2011-2015'!T15+'TONG TP'!Y20</f>
        <v>0</v>
      </c>
      <c r="U15" s="100">
        <f>'cc2011-2015'!U15+'TONG TP'!Z20</f>
        <v>0</v>
      </c>
      <c r="V15" s="100">
        <f>'cc2011-2015'!V15+'TONG TP'!AA20</f>
        <v>0</v>
      </c>
      <c r="W15" s="100">
        <f>'cc2011-2015'!W15+'TONG TP'!AB20</f>
        <v>0</v>
      </c>
      <c r="X15" s="100">
        <f>'cc2011-2015'!X15+'TONG TP'!AC20</f>
        <v>0</v>
      </c>
      <c r="Y15" s="100">
        <f>'cc2011-2015'!Y15+'TONG TP'!AD20</f>
        <v>0</v>
      </c>
      <c r="Z15" s="100">
        <f>'cc2011-2015'!Z15+'TONG TP'!AE20</f>
        <v>0</v>
      </c>
      <c r="AA15" s="100">
        <f>'cc2011-2015'!AA15+'TONG TP'!AF20</f>
        <v>0</v>
      </c>
      <c r="AB15" s="100">
        <f>'cc2011-2015'!AB15+'TONG TP'!AG20</f>
        <v>0</v>
      </c>
      <c r="AC15" s="100">
        <f>'cc2011-2015'!AC15+'TONG TP'!AH20</f>
        <v>0</v>
      </c>
      <c r="AD15" s="100">
        <f>'cc2011-2015'!AD15+'TONG TP'!AI20</f>
        <v>0</v>
      </c>
      <c r="AE15" s="100">
        <f>'cc2011-2015'!AE15+'TONG TP'!AJ20</f>
        <v>0</v>
      </c>
      <c r="AF15" s="100">
        <f>'cc2011-2015'!AF15+'TONG TP'!AK20</f>
        <v>0</v>
      </c>
      <c r="AG15" s="100">
        <f>'cc2011-2015'!AG15+'TONG TP'!AL20</f>
        <v>0</v>
      </c>
      <c r="AH15" s="100">
        <f>'cc2011-2015'!AH15+'TONG TP'!AM20</f>
        <v>0</v>
      </c>
      <c r="AI15" s="100">
        <f>'cc2011-2015'!AI15+'TONG TP'!AN20</f>
        <v>0</v>
      </c>
      <c r="AJ15" s="100">
        <f>'cc2011-2015'!AJ15+'TONG TP'!AO20</f>
        <v>0</v>
      </c>
      <c r="AK15" s="100">
        <f>'cc2011-2015'!AK15+'TONG TP'!AP20</f>
        <v>0</v>
      </c>
      <c r="AL15" s="100">
        <f>'cc2011-2015'!AL15+'TONG TP'!AQ20</f>
        <v>0</v>
      </c>
      <c r="AM15" s="100">
        <f>'cc2011-2015'!AM15+'TONG TP'!AR20</f>
        <v>0</v>
      </c>
      <c r="AN15" s="100">
        <f>'cc2011-2015'!AN15+'TONG TP'!AS20</f>
        <v>0</v>
      </c>
      <c r="AO15" s="100">
        <f>'cc2011-2015'!AO15+'TONG TP'!AT20</f>
        <v>0</v>
      </c>
      <c r="AP15" s="100">
        <f>'cc2011-2015'!AP15+'TONG TP'!AU20</f>
        <v>0</v>
      </c>
      <c r="AQ15" s="100">
        <f>'cc2011-2015'!AQ15+'TONG TP'!AV20</f>
        <v>0</v>
      </c>
      <c r="AR15" s="100">
        <f>'cc2011-2015'!AR15+'TONG TP'!AW20</f>
        <v>0</v>
      </c>
      <c r="AS15" s="100">
        <f>'cc2011-2015'!AS15+'TONG TP'!AX20</f>
        <v>0</v>
      </c>
      <c r="AT15" s="100">
        <f>'cc2011-2015'!AT15+'TONG TP'!AY20</f>
        <v>0</v>
      </c>
      <c r="AU15" s="100">
        <f>'cc2011-2015'!AU15+'TONG TP'!AZ20</f>
        <v>0</v>
      </c>
      <c r="AV15" s="100">
        <f>'cc2011-2015'!AV15+'TONG TP'!BA20</f>
        <v>0</v>
      </c>
      <c r="AW15" s="100">
        <f>'cc2011-2015'!AW15+'TONG TP'!BB20</f>
        <v>0</v>
      </c>
      <c r="AX15" s="100">
        <f>'cc2011-2015'!AX15+'TONG TP'!BC20</f>
        <v>0</v>
      </c>
      <c r="AY15" s="100">
        <f>'cc2011-2015'!AY15+'TONG TP'!BD20</f>
        <v>0</v>
      </c>
      <c r="AZ15" s="100">
        <f>'cc2011-2015'!AZ15+'TONG TP'!BE20</f>
        <v>0</v>
      </c>
      <c r="BA15" s="100">
        <f>'cc2011-2015'!BA15+'TONG TP'!BF20</f>
        <v>0</v>
      </c>
      <c r="BB15" s="100">
        <f>'cc2011-2015'!BB15+'TONG TP'!BG20</f>
        <v>0</v>
      </c>
      <c r="BC15" s="100">
        <f>'cc2011-2015'!BC15</f>
        <v>0</v>
      </c>
      <c r="BD15" s="99">
        <f>'cc2011-2015'!BD15</f>
        <v>0</v>
      </c>
      <c r="BE15" s="100">
        <f>F15+I15+J15+K15+M15+P15+Q15+BD15</f>
        <v>0</v>
      </c>
      <c r="BF15" s="100">
        <f>L60-BE15</f>
        <v>11.18</v>
      </c>
      <c r="BG15" s="100">
        <f t="shared" si="10"/>
        <v>34.18</v>
      </c>
      <c r="BH15" s="191">
        <f>'BIEN DONG'!AT13</f>
        <v>34.18</v>
      </c>
      <c r="BI15" s="191">
        <f>'TONG TP'!BN20</f>
        <v>0</v>
      </c>
      <c r="BJ15" s="67">
        <f t="shared" si="4"/>
        <v>34.18</v>
      </c>
      <c r="BK15" s="247">
        <f t="shared" si="5"/>
        <v>0.11323561322981562</v>
      </c>
      <c r="BL15" s="190">
        <f>33.5-BG15</f>
        <v>-0.67999999999999972</v>
      </c>
    </row>
    <row r="16" spans="1:67" s="2" customFormat="1" ht="24.75" customHeight="1">
      <c r="A16" s="5" t="s">
        <v>33</v>
      </c>
      <c r="B16" s="72" t="s">
        <v>34</v>
      </c>
      <c r="C16" s="5" t="s">
        <v>35</v>
      </c>
      <c r="D16" s="100">
        <v>2533.96</v>
      </c>
      <c r="E16" s="100">
        <f t="shared" si="11"/>
        <v>1834.26</v>
      </c>
      <c r="F16" s="100">
        <f t="shared" si="8"/>
        <v>0</v>
      </c>
      <c r="G16" s="100">
        <f>'cc2011-2015'!G16+'TONG TP'!I21</f>
        <v>0</v>
      </c>
      <c r="H16" s="379">
        <f>'cc2011-2015'!H16+'TONG TP'!J20</f>
        <v>0</v>
      </c>
      <c r="I16" s="379">
        <f>'cc2011-2015'!I16+'TONG TP'!K20</f>
        <v>0</v>
      </c>
      <c r="J16" s="379">
        <f>'cc2011-2015'!J16+'TONG TP'!L20</f>
        <v>0</v>
      </c>
      <c r="K16" s="379">
        <f>'cc2011-2015'!K16+'TONG TP'!P21</f>
        <v>322.45</v>
      </c>
      <c r="L16" s="379">
        <f>'cc2011-2015'!L16+'TONG TP'!Q21</f>
        <v>0</v>
      </c>
      <c r="M16" s="237">
        <f>D16-BE16</f>
        <v>1500.69</v>
      </c>
      <c r="N16" s="100">
        <f>'cc2011-2015'!N16+'TONG TP'!S18</f>
        <v>11.120000000000001</v>
      </c>
      <c r="O16" s="100">
        <f>'cc2011-2015'!O16+'TONG TP'!T21</f>
        <v>0</v>
      </c>
      <c r="P16" s="100">
        <f>'cc2011-2015'!P16+'TONG TP'!U21</f>
        <v>0</v>
      </c>
      <c r="Q16" s="100">
        <f t="shared" si="9"/>
        <v>394.53000000000003</v>
      </c>
      <c r="R16" s="100">
        <f>'cc2011-2015'!R16+'TONG TP'!W21</f>
        <v>4.3099999999999996</v>
      </c>
      <c r="S16" s="100">
        <f>'cc2011-2015'!S16+'TONG TP'!X21</f>
        <v>0</v>
      </c>
      <c r="T16" s="100">
        <f>'cc2011-2015'!T16+'TONG TP'!Y21</f>
        <v>5.33</v>
      </c>
      <c r="U16" s="100">
        <f>'cc2011-2015'!U16+'TONG TP'!Z21</f>
        <v>0</v>
      </c>
      <c r="V16" s="100">
        <f>'cc2011-2015'!V16+'TONG TP'!AA21</f>
        <v>0</v>
      </c>
      <c r="W16" s="100">
        <f>'cc2011-2015'!W16+'TONG TP'!AB21</f>
        <v>51.07</v>
      </c>
      <c r="X16" s="100">
        <f>'cc2011-2015'!X16+'TONG TP'!AC21</f>
        <v>18.869999999999997</v>
      </c>
      <c r="Y16" s="100">
        <f>'cc2011-2015'!Y16+'TONG TP'!AD21</f>
        <v>0</v>
      </c>
      <c r="Z16" s="100">
        <f>'cc2011-2015'!Z16+'TONG TP'!AE21</f>
        <v>20.93</v>
      </c>
      <c r="AA16" s="100">
        <f>'cc2011-2015'!AA16+'TONG TP'!AF21</f>
        <v>0</v>
      </c>
      <c r="AB16" s="100">
        <f>'cc2011-2015'!AB16+'TONG TP'!AG21</f>
        <v>0</v>
      </c>
      <c r="AC16" s="100">
        <f>'cc2011-2015'!AC16+'TONG TP'!AH21</f>
        <v>0</v>
      </c>
      <c r="AD16" s="100">
        <f>'cc2011-2015'!AD16+'TONG TP'!AI21</f>
        <v>0.05</v>
      </c>
      <c r="AE16" s="100">
        <f>'cc2011-2015'!AE16+'TONG TP'!AJ21</f>
        <v>0</v>
      </c>
      <c r="AF16" s="100">
        <f>'cc2011-2015'!AF16+'TONG TP'!AK21</f>
        <v>0</v>
      </c>
      <c r="AG16" s="100">
        <f>'cc2011-2015'!AG16+'TONG TP'!AL21</f>
        <v>19.84</v>
      </c>
      <c r="AH16" s="100">
        <f>'cc2011-2015'!AH16+'TONG TP'!AM21</f>
        <v>0.04</v>
      </c>
      <c r="AI16" s="100">
        <f>'cc2011-2015'!AI16+'TONG TP'!AN21</f>
        <v>0</v>
      </c>
      <c r="AJ16" s="100">
        <f>'cc2011-2015'!AJ16+'TONG TP'!AO21</f>
        <v>0</v>
      </c>
      <c r="AK16" s="100">
        <f>'cc2011-2015'!AK16+'TONG TP'!AP21</f>
        <v>1</v>
      </c>
      <c r="AL16" s="100">
        <f>'cc2011-2015'!AL16+'TONG TP'!AQ21</f>
        <v>0</v>
      </c>
      <c r="AM16" s="100">
        <f>'cc2011-2015'!AM16+'TONG TP'!AR21</f>
        <v>0</v>
      </c>
      <c r="AN16" s="100">
        <f>'cc2011-2015'!AN16+'TONG TP'!AS21</f>
        <v>0.78</v>
      </c>
      <c r="AO16" s="100">
        <f>'cc2011-2015'!AO16+'TONG TP'!AT21</f>
        <v>0</v>
      </c>
      <c r="AP16" s="100">
        <f>'cc2011-2015'!AP16+'TONG TP'!AU21</f>
        <v>0.1</v>
      </c>
      <c r="AQ16" s="100">
        <f>'cc2011-2015'!AQ16+'TONG TP'!AV21</f>
        <v>0</v>
      </c>
      <c r="AR16" s="100">
        <f>'cc2011-2015'!AR16+'TONG TP'!AW21</f>
        <v>0</v>
      </c>
      <c r="AS16" s="100">
        <f>'cc2011-2015'!AS16+'TONG TP'!AX21</f>
        <v>0</v>
      </c>
      <c r="AT16" s="100">
        <f>'cc2011-2015'!AT16+'TONG TP'!AY21</f>
        <v>0.95</v>
      </c>
      <c r="AU16" s="100">
        <f>'cc2011-2015'!AU16+'TONG TP'!AZ21</f>
        <v>3.28</v>
      </c>
      <c r="AV16" s="100">
        <f>'cc2011-2015'!AV16+'TONG TP'!BA21</f>
        <v>288.73</v>
      </c>
      <c r="AW16" s="100">
        <f>'cc2011-2015'!AW16+'TONG TP'!BB21</f>
        <v>0</v>
      </c>
      <c r="AX16" s="100">
        <f>'cc2011-2015'!AX16+'TONG TP'!BC21</f>
        <v>0.18</v>
      </c>
      <c r="AY16" s="100">
        <f>'cc2011-2015'!AY16+'TONG TP'!BD21</f>
        <v>0</v>
      </c>
      <c r="AZ16" s="100">
        <f>'cc2011-2015'!AZ16+'TONG TP'!BE21</f>
        <v>0</v>
      </c>
      <c r="BA16" s="100">
        <f>'cc2011-2015'!BA16+'TONG TP'!BF21</f>
        <v>0</v>
      </c>
      <c r="BB16" s="100">
        <f>'cc2011-2015'!BB16+'TONG TP'!BG21</f>
        <v>0</v>
      </c>
      <c r="BC16" s="100">
        <f>'cc2011-2015'!BC16</f>
        <v>33.43</v>
      </c>
      <c r="BD16" s="99">
        <f>'cc2011-2015'!BD16</f>
        <v>282.85999999999996</v>
      </c>
      <c r="BE16" s="100">
        <f>F16+I16+J16+K16+L16+P16+Q16+BD16+BC16</f>
        <v>1033.27</v>
      </c>
      <c r="BF16" s="100">
        <f>M60-BE16</f>
        <v>-1005.4399999999999</v>
      </c>
      <c r="BG16" s="100">
        <f t="shared" si="10"/>
        <v>1528.52</v>
      </c>
      <c r="BH16" s="191">
        <f>'BIEN DONG'!AT14</f>
        <v>1901.2300000000002</v>
      </c>
      <c r="BI16" s="191">
        <f>'TONG TP'!BN21</f>
        <v>13158.796099999998</v>
      </c>
      <c r="BJ16" s="67">
        <f t="shared" si="4"/>
        <v>-11630.276099999997</v>
      </c>
      <c r="BK16" s="247">
        <f t="shared" si="5"/>
        <v>5.0638648196032117</v>
      </c>
      <c r="BL16" s="2">
        <f>2083-BG16</f>
        <v>554.48</v>
      </c>
    </row>
    <row r="17" spans="1:64" s="2" customFormat="1" ht="23.25" customHeight="1">
      <c r="A17" s="5" t="s">
        <v>36</v>
      </c>
      <c r="B17" s="72" t="s">
        <v>37</v>
      </c>
      <c r="C17" s="5" t="s">
        <v>38</v>
      </c>
      <c r="D17" s="100">
        <v>8132.8</v>
      </c>
      <c r="E17" s="100">
        <f>F17+I17+J17+K17+L17+M17+N17+O17+P17</f>
        <v>7824.77</v>
      </c>
      <c r="F17" s="100">
        <f t="shared" si="8"/>
        <v>6.35</v>
      </c>
      <c r="G17" s="100">
        <f>'cc2011-2015'!G17+'TONG TP'!I22</f>
        <v>0</v>
      </c>
      <c r="H17" s="379">
        <f>'cc2011-2015'!H17+'TONG TP'!J21</f>
        <v>6.35</v>
      </c>
      <c r="I17" s="100"/>
      <c r="J17" s="100"/>
      <c r="K17" s="379">
        <f>'cc2011-2015'!K17+'TONG TP'!P22</f>
        <v>0</v>
      </c>
      <c r="L17" s="379">
        <f>'cc2011-2015'!L17+'TONG TP'!Q22</f>
        <v>0</v>
      </c>
      <c r="M17" s="379">
        <f>'cc2011-2015'!M17+'TONG TP'!R22</f>
        <v>0</v>
      </c>
      <c r="N17" s="237">
        <f>D17-BE17</f>
        <v>7818.42</v>
      </c>
      <c r="O17" s="100"/>
      <c r="P17" s="100">
        <f>'cc2011-2015'!P17+'TONG TP'!U22</f>
        <v>0</v>
      </c>
      <c r="Q17" s="100">
        <f t="shared" si="9"/>
        <v>281.14999999999998</v>
      </c>
      <c r="R17" s="100">
        <f>'cc2011-2015'!R17+'TONG TP'!W22</f>
        <v>0</v>
      </c>
      <c r="S17" s="100">
        <f>'cc2011-2015'!S17+'TONG TP'!X22</f>
        <v>0</v>
      </c>
      <c r="T17" s="100">
        <f>'cc2011-2015'!T17+'TONG TP'!Y22</f>
        <v>3.55</v>
      </c>
      <c r="U17" s="100">
        <f>'cc2011-2015'!U17+'TONG TP'!Z22</f>
        <v>0</v>
      </c>
      <c r="V17" s="100">
        <f>'cc2011-2015'!V17+'TONG TP'!AA22</f>
        <v>127.11</v>
      </c>
      <c r="W17" s="100">
        <f>'cc2011-2015'!W17+'TONG TP'!AB22</f>
        <v>0.63</v>
      </c>
      <c r="X17" s="100">
        <f>'cc2011-2015'!X17+'TONG TP'!AC22</f>
        <v>62.18</v>
      </c>
      <c r="Y17" s="100">
        <f>'cc2011-2015'!Y17+'TONG TP'!AD22</f>
        <v>0</v>
      </c>
      <c r="Z17" s="100">
        <f>'cc2011-2015'!Z17+'TONG TP'!AE22</f>
        <v>77.050000000000011</v>
      </c>
      <c r="AA17" s="100">
        <f>'cc2011-2015'!AA17+'TONG TP'!AF22</f>
        <v>0</v>
      </c>
      <c r="AB17" s="100">
        <f>'cc2011-2015'!AB17+'TONG TP'!AG22</f>
        <v>0</v>
      </c>
      <c r="AC17" s="100">
        <f>'cc2011-2015'!AC17+'TONG TP'!AH22</f>
        <v>4.92</v>
      </c>
      <c r="AD17" s="100">
        <f>'cc2011-2015'!AD17+'TONG TP'!AI22</f>
        <v>0</v>
      </c>
      <c r="AE17" s="100">
        <f>'cc2011-2015'!AE17+'TONG TP'!AJ22</f>
        <v>0</v>
      </c>
      <c r="AF17" s="100">
        <f>'cc2011-2015'!AF17+'TONG TP'!AK22</f>
        <v>0</v>
      </c>
      <c r="AG17" s="100">
        <f>'cc2011-2015'!AG17+'TONG TP'!AL22</f>
        <v>63.77</v>
      </c>
      <c r="AH17" s="100">
        <f>'cc2011-2015'!AH17+'TONG TP'!AM22</f>
        <v>8.36</v>
      </c>
      <c r="AI17" s="100">
        <f>'cc2011-2015'!AI17+'TONG TP'!AN22</f>
        <v>0</v>
      </c>
      <c r="AJ17" s="100">
        <f>'cc2011-2015'!AJ17+'TONG TP'!AO22</f>
        <v>0</v>
      </c>
      <c r="AK17" s="100">
        <f>'cc2011-2015'!AK17+'TONG TP'!AP22</f>
        <v>0</v>
      </c>
      <c r="AL17" s="100">
        <f>'cc2011-2015'!AL17+'TONG TP'!AQ22</f>
        <v>0</v>
      </c>
      <c r="AM17" s="100">
        <f>'cc2011-2015'!AM17+'TONG TP'!AR22</f>
        <v>0</v>
      </c>
      <c r="AN17" s="100">
        <f>'cc2011-2015'!AN17+'TONG TP'!AS22</f>
        <v>1.49</v>
      </c>
      <c r="AO17" s="100">
        <f>'cc2011-2015'!AO17+'TONG TP'!AT22</f>
        <v>2.9499999999999997</v>
      </c>
      <c r="AP17" s="100">
        <f>'cc2011-2015'!AP17+'TONG TP'!AU22</f>
        <v>2.35</v>
      </c>
      <c r="AQ17" s="100">
        <f>'cc2011-2015'!AQ17+'TONG TP'!AV22</f>
        <v>0.24</v>
      </c>
      <c r="AR17" s="100">
        <f>'cc2011-2015'!AR17+'TONG TP'!AW22</f>
        <v>0</v>
      </c>
      <c r="AS17" s="100">
        <f>'cc2011-2015'!AS17+'TONG TP'!AX22</f>
        <v>0</v>
      </c>
      <c r="AT17" s="100">
        <f>'cc2011-2015'!AT17+'TONG TP'!AY22</f>
        <v>0.03</v>
      </c>
      <c r="AU17" s="100">
        <f>'cc2011-2015'!AU17+'TONG TP'!AZ22</f>
        <v>0</v>
      </c>
      <c r="AV17" s="100">
        <f>'cc2011-2015'!AV17+'TONG TP'!BA22</f>
        <v>3.0300000000000002</v>
      </c>
      <c r="AW17" s="100">
        <f>'cc2011-2015'!AW17+'TONG TP'!BB22</f>
        <v>0</v>
      </c>
      <c r="AX17" s="100">
        <f>'cc2011-2015'!AX17+'TONG TP'!BC22</f>
        <v>0.36</v>
      </c>
      <c r="AY17" s="100">
        <f>'cc2011-2015'!AY17+'TONG TP'!BD22</f>
        <v>0</v>
      </c>
      <c r="AZ17" s="100">
        <f>'cc2011-2015'!AZ17+'TONG TP'!BE22</f>
        <v>0</v>
      </c>
      <c r="BA17" s="100">
        <f>'cc2011-2015'!BA17+'TONG TP'!BF22</f>
        <v>0.18</v>
      </c>
      <c r="BB17" s="100">
        <f>'cc2011-2015'!BB17+'TONG TP'!BG22</f>
        <v>0</v>
      </c>
      <c r="BC17" s="100">
        <f>'cc2011-2015'!BC17</f>
        <v>26.88</v>
      </c>
      <c r="BD17" s="99">
        <f>'cc2011-2015'!BD17</f>
        <v>0</v>
      </c>
      <c r="BE17" s="100">
        <f>Q17+P17+M17+L17+K17+J17+I17+F17+BC17+BD17</f>
        <v>314.38</v>
      </c>
      <c r="BF17" s="100">
        <f>N60-BE17</f>
        <v>1203.8600000000001</v>
      </c>
      <c r="BG17" s="100">
        <f t="shared" si="10"/>
        <v>9336.66</v>
      </c>
      <c r="BH17" s="191">
        <f>'BIEN DONG'!AT15</f>
        <v>9381.5600000000013</v>
      </c>
      <c r="BI17" s="191">
        <f>'TONG TP'!BN22</f>
        <v>3575.1000000000004</v>
      </c>
      <c r="BJ17" s="67">
        <f t="shared" si="4"/>
        <v>5761.5599999999995</v>
      </c>
      <c r="BK17" s="247">
        <f>100*BG17/30184.85</f>
        <v>30.931609731371864</v>
      </c>
      <c r="BL17" s="190">
        <f>5589-BG17</f>
        <v>-3747.66</v>
      </c>
    </row>
    <row r="18" spans="1:64" s="2" customFormat="1" ht="23.25" customHeight="1">
      <c r="A18" s="5" t="s">
        <v>39</v>
      </c>
      <c r="B18" s="72" t="s">
        <v>40</v>
      </c>
      <c r="C18" s="5" t="s">
        <v>41</v>
      </c>
      <c r="D18" s="100"/>
      <c r="E18" s="100">
        <f t="shared" si="11"/>
        <v>0</v>
      </c>
      <c r="F18" s="100">
        <f t="shared" si="8"/>
        <v>0</v>
      </c>
      <c r="G18" s="100">
        <f>'cc2011-2015'!G18+'TONG TP'!I23</f>
        <v>0</v>
      </c>
      <c r="H18" s="379">
        <f>'cc2011-2015'!H18+'TONG TP'!J22</f>
        <v>0</v>
      </c>
      <c r="I18" s="100"/>
      <c r="J18" s="100"/>
      <c r="K18" s="379">
        <f>'cc2011-2015'!K18+'TONG TP'!P23</f>
        <v>0</v>
      </c>
      <c r="L18" s="379">
        <f>'cc2011-2015'!L18+'TONG TP'!Q23</f>
        <v>0</v>
      </c>
      <c r="M18" s="379">
        <f>'cc2011-2015'!M18+'TONG TP'!R23</f>
        <v>0</v>
      </c>
      <c r="N18" s="379">
        <f>'cc2011-2015'!N18+'TONG TP'!S23</f>
        <v>0</v>
      </c>
      <c r="O18" s="237">
        <f>D18-BE18</f>
        <v>0</v>
      </c>
      <c r="P18" s="100">
        <f>'cc2011-2015'!P18+'TONG TP'!U23</f>
        <v>0</v>
      </c>
      <c r="Q18" s="100">
        <f t="shared" si="9"/>
        <v>0</v>
      </c>
      <c r="R18" s="100">
        <f>'cc2011-2015'!R18+'TONG TP'!W23</f>
        <v>0</v>
      </c>
      <c r="S18" s="100">
        <f>'cc2011-2015'!S18+'TONG TP'!X23</f>
        <v>0</v>
      </c>
      <c r="T18" s="100">
        <f>'cc2011-2015'!T18+'TONG TP'!Y23</f>
        <v>0</v>
      </c>
      <c r="U18" s="100">
        <f>'cc2011-2015'!U18+'TONG TP'!Z23</f>
        <v>0</v>
      </c>
      <c r="V18" s="100">
        <f>'cc2011-2015'!V18+'TONG TP'!AA23</f>
        <v>0</v>
      </c>
      <c r="W18" s="100">
        <f>'cc2011-2015'!W18+'TONG TP'!AB23</f>
        <v>0</v>
      </c>
      <c r="X18" s="100">
        <f>'cc2011-2015'!X18+'TONG TP'!AC23</f>
        <v>0</v>
      </c>
      <c r="Y18" s="100">
        <f>'cc2011-2015'!Y18+'TONG TP'!AD23</f>
        <v>0</v>
      </c>
      <c r="Z18" s="100">
        <f t="shared" ref="Z18:Z28" si="12">SUM(AA18:AK18)</f>
        <v>0</v>
      </c>
      <c r="AA18" s="100">
        <f>'cc2011-2015'!AA18+'TONG TP'!AF23</f>
        <v>0</v>
      </c>
      <c r="AB18" s="100">
        <f>'cc2011-2015'!AB18+'TONG TP'!AG23</f>
        <v>0</v>
      </c>
      <c r="AC18" s="100">
        <f>'cc2011-2015'!AC18+'TONG TP'!AH23</f>
        <v>0</v>
      </c>
      <c r="AD18" s="100">
        <f>'cc2011-2015'!AD18+'TONG TP'!AI23</f>
        <v>0</v>
      </c>
      <c r="AE18" s="100">
        <f>'cc2011-2015'!AE18+'TONG TP'!AJ23</f>
        <v>0</v>
      </c>
      <c r="AF18" s="100">
        <f>'cc2011-2015'!AF18+'TONG TP'!AK23</f>
        <v>0</v>
      </c>
      <c r="AG18" s="100">
        <f>'cc2011-2015'!AG18+'TONG TP'!AL23</f>
        <v>0</v>
      </c>
      <c r="AH18" s="100">
        <f>'cc2011-2015'!AH18+'TONG TP'!AM23</f>
        <v>0</v>
      </c>
      <c r="AI18" s="100">
        <f>'cc2011-2015'!AI18+'TONG TP'!AN23</f>
        <v>0</v>
      </c>
      <c r="AJ18" s="100">
        <f>'cc2011-2015'!AJ18+'TONG TP'!AO23</f>
        <v>0</v>
      </c>
      <c r="AK18" s="100">
        <f>'cc2011-2015'!AK18+'TONG TP'!AP23</f>
        <v>0</v>
      </c>
      <c r="AL18" s="100">
        <f>'cc2011-2015'!AL18+'TONG TP'!AQ23</f>
        <v>0</v>
      </c>
      <c r="AM18" s="100">
        <f>'cc2011-2015'!AM18+'TONG TP'!AR23</f>
        <v>0</v>
      </c>
      <c r="AN18" s="100">
        <f>'cc2011-2015'!AN18+'TONG TP'!AS23</f>
        <v>0</v>
      </c>
      <c r="AO18" s="100">
        <f>'cc2011-2015'!AO18+'TONG TP'!AT23</f>
        <v>0</v>
      </c>
      <c r="AP18" s="100">
        <f>'cc2011-2015'!AP18+'TONG TP'!AU23</f>
        <v>0</v>
      </c>
      <c r="AQ18" s="100">
        <f>'cc2011-2015'!AQ18+'TONG TP'!AV23</f>
        <v>0</v>
      </c>
      <c r="AR18" s="100">
        <f>'cc2011-2015'!AR18+'TONG TP'!AW23</f>
        <v>0</v>
      </c>
      <c r="AS18" s="100">
        <f>'cc2011-2015'!AS18+'TONG TP'!AX23</f>
        <v>0</v>
      </c>
      <c r="AT18" s="100">
        <f>'cc2011-2015'!AT18+'TONG TP'!AY23</f>
        <v>0</v>
      </c>
      <c r="AU18" s="100">
        <f>'cc2011-2015'!AU18+'TONG TP'!AZ23</f>
        <v>0</v>
      </c>
      <c r="AV18" s="100">
        <f>'cc2011-2015'!AV18+'TONG TP'!BA23</f>
        <v>0</v>
      </c>
      <c r="AW18" s="100">
        <f>'cc2011-2015'!AW18+'TONG TP'!BB23</f>
        <v>0</v>
      </c>
      <c r="AX18" s="100">
        <f>'cc2011-2015'!AX18+'TONG TP'!BC23</f>
        <v>0</v>
      </c>
      <c r="AY18" s="100">
        <f>'cc2011-2015'!AY18+'TONG TP'!BD23</f>
        <v>0</v>
      </c>
      <c r="AZ18" s="100">
        <f>'cc2011-2015'!AZ18+'TONG TP'!BE23</f>
        <v>0</v>
      </c>
      <c r="BA18" s="100">
        <f>'cc2011-2015'!BA18+'TONG TP'!BF23</f>
        <v>0</v>
      </c>
      <c r="BB18" s="100">
        <f>'cc2011-2015'!BB18+'TONG TP'!BG23</f>
        <v>0</v>
      </c>
      <c r="BC18" s="100">
        <f>'cc2011-2015'!BC18</f>
        <v>0</v>
      </c>
      <c r="BD18" s="99">
        <f>'cc2011-2015'!BD18</f>
        <v>0</v>
      </c>
      <c r="BE18" s="100">
        <f>F18+I18+J18+K18+L18+M18+Q18+N18+BD18</f>
        <v>0</v>
      </c>
      <c r="BF18" s="100">
        <f>O59-BE18</f>
        <v>0</v>
      </c>
      <c r="BG18" s="100">
        <f t="shared" si="10"/>
        <v>0</v>
      </c>
      <c r="BH18" s="191"/>
      <c r="BI18" s="191">
        <f>'TONG TP'!BN23</f>
        <v>0</v>
      </c>
      <c r="BJ18" s="67">
        <f t="shared" si="4"/>
        <v>0</v>
      </c>
      <c r="BK18" s="247">
        <f t="shared" si="5"/>
        <v>0</v>
      </c>
    </row>
    <row r="19" spans="1:64" s="2" customFormat="1" ht="23.25" customHeight="1">
      <c r="A19" s="5">
        <v>2</v>
      </c>
      <c r="B19" s="72" t="s">
        <v>43</v>
      </c>
      <c r="C19" s="5" t="s">
        <v>44</v>
      </c>
      <c r="D19" s="100">
        <v>15.25</v>
      </c>
      <c r="E19" s="100">
        <f>F19+I19+J19+K19+L19+M19+N19+O19+P19</f>
        <v>15.25</v>
      </c>
      <c r="F19" s="100">
        <f t="shared" si="8"/>
        <v>0</v>
      </c>
      <c r="G19" s="100">
        <f>'cc2011-2015'!G19+'TONG TP'!I24</f>
        <v>0</v>
      </c>
      <c r="H19" s="379">
        <f>'cc2011-2015'!H19+'TONG TP'!J23</f>
        <v>0</v>
      </c>
      <c r="I19" s="100"/>
      <c r="J19" s="100"/>
      <c r="K19" s="379">
        <f>'cc2011-2015'!K19+'TONG TP'!P24</f>
        <v>0</v>
      </c>
      <c r="L19" s="379">
        <f>'cc2011-2015'!L19+'TONG TP'!Q24</f>
        <v>0</v>
      </c>
      <c r="M19" s="379">
        <f>'cc2011-2015'!M19+'TONG TP'!R24</f>
        <v>0</v>
      </c>
      <c r="N19" s="379">
        <f>'cc2011-2015'!N19+'TONG TP'!S24</f>
        <v>0</v>
      </c>
      <c r="O19" s="379">
        <f>'cc2011-2015'!O19+'TONG TP'!T24</f>
        <v>0</v>
      </c>
      <c r="P19" s="237">
        <f>D19-BE19</f>
        <v>15.25</v>
      </c>
      <c r="Q19" s="100">
        <f t="shared" si="9"/>
        <v>0</v>
      </c>
      <c r="R19" s="100">
        <f>'cc2011-2015'!R19+'TONG TP'!W24</f>
        <v>0</v>
      </c>
      <c r="S19" s="100">
        <f>'cc2011-2015'!S19+'TONG TP'!X24</f>
        <v>0</v>
      </c>
      <c r="T19" s="100">
        <f>'cc2011-2015'!T19+'TONG TP'!Y24</f>
        <v>0</v>
      </c>
      <c r="U19" s="100">
        <f>'cc2011-2015'!U19+'TONG TP'!Z24</f>
        <v>0</v>
      </c>
      <c r="V19" s="100">
        <f>'cc2011-2015'!V19+'TONG TP'!AA24</f>
        <v>0</v>
      </c>
      <c r="W19" s="100">
        <f>'cc2011-2015'!W19+'TONG TP'!AB24</f>
        <v>0</v>
      </c>
      <c r="X19" s="100">
        <f>'cc2011-2015'!X19+'TONG TP'!AC24</f>
        <v>0</v>
      </c>
      <c r="Y19" s="100">
        <f>'cc2011-2015'!Y19+'TONG TP'!AD24</f>
        <v>0</v>
      </c>
      <c r="Z19" s="100">
        <f t="shared" si="12"/>
        <v>0</v>
      </c>
      <c r="AA19" s="100">
        <f>'cc2011-2015'!AA19+'TONG TP'!AF24</f>
        <v>0</v>
      </c>
      <c r="AB19" s="100">
        <f>'cc2011-2015'!AB19+'TONG TP'!AG24</f>
        <v>0</v>
      </c>
      <c r="AC19" s="100">
        <f>'cc2011-2015'!AC19+'TONG TP'!AH24</f>
        <v>0</v>
      </c>
      <c r="AD19" s="100">
        <f>'cc2011-2015'!AD19+'TONG TP'!AI24</f>
        <v>0</v>
      </c>
      <c r="AE19" s="100">
        <f>'cc2011-2015'!AE19+'TONG TP'!AJ24</f>
        <v>0</v>
      </c>
      <c r="AF19" s="100">
        <f>'cc2011-2015'!AF19+'TONG TP'!AK24</f>
        <v>0</v>
      </c>
      <c r="AG19" s="100">
        <f>'cc2011-2015'!AG19+'TONG TP'!AL24</f>
        <v>0</v>
      </c>
      <c r="AH19" s="100">
        <f>'cc2011-2015'!AH19+'TONG TP'!AM24</f>
        <v>0</v>
      </c>
      <c r="AI19" s="100">
        <f>'cc2011-2015'!AI19+'TONG TP'!AN24</f>
        <v>0</v>
      </c>
      <c r="AJ19" s="100">
        <f>'cc2011-2015'!AJ19+'TONG TP'!AO24</f>
        <v>0</v>
      </c>
      <c r="AK19" s="100">
        <f>'cc2011-2015'!AK19+'TONG TP'!AP24</f>
        <v>0</v>
      </c>
      <c r="AL19" s="100">
        <f>'cc2011-2015'!AL19+'TONG TP'!AQ24</f>
        <v>0</v>
      </c>
      <c r="AM19" s="100">
        <f>'cc2011-2015'!AM19+'TONG TP'!AR24</f>
        <v>0</v>
      </c>
      <c r="AN19" s="100">
        <f>'cc2011-2015'!AN19+'TONG TP'!AS24</f>
        <v>0</v>
      </c>
      <c r="AO19" s="100">
        <f>'cc2011-2015'!AO19+'TONG TP'!AT24</f>
        <v>0</v>
      </c>
      <c r="AP19" s="100">
        <f>'cc2011-2015'!AP19+'TONG TP'!AU24</f>
        <v>0</v>
      </c>
      <c r="AQ19" s="100">
        <f>'cc2011-2015'!AQ19+'TONG TP'!AV24</f>
        <v>0</v>
      </c>
      <c r="AR19" s="100">
        <f>'cc2011-2015'!AR19+'TONG TP'!AW24</f>
        <v>0</v>
      </c>
      <c r="AS19" s="100">
        <f>'cc2011-2015'!AS19+'TONG TP'!AX24</f>
        <v>0</v>
      </c>
      <c r="AT19" s="100">
        <f>'cc2011-2015'!AT19+'TONG TP'!AY24</f>
        <v>0</v>
      </c>
      <c r="AU19" s="100">
        <f>'cc2011-2015'!AU19+'TONG TP'!AZ24</f>
        <v>0</v>
      </c>
      <c r="AV19" s="100">
        <f>'cc2011-2015'!AV19+'TONG TP'!BA24</f>
        <v>0</v>
      </c>
      <c r="AW19" s="100">
        <f>'cc2011-2015'!AW19+'TONG TP'!BB24</f>
        <v>0</v>
      </c>
      <c r="AX19" s="100">
        <f>'cc2011-2015'!AX19+'TONG TP'!BC24</f>
        <v>0</v>
      </c>
      <c r="AY19" s="100">
        <f>'cc2011-2015'!AY19+'TONG TP'!BD24</f>
        <v>0</v>
      </c>
      <c r="AZ19" s="100">
        <f>'cc2011-2015'!AZ19+'TONG TP'!BE24</f>
        <v>0</v>
      </c>
      <c r="BA19" s="100">
        <f>'cc2011-2015'!BA19+'TONG TP'!BF24</f>
        <v>0</v>
      </c>
      <c r="BB19" s="100">
        <f>'cc2011-2015'!BB19+'TONG TP'!BG24</f>
        <v>0</v>
      </c>
      <c r="BC19" s="100">
        <f>'cc2011-2015'!BC19</f>
        <v>0</v>
      </c>
      <c r="BD19" s="99">
        <f>'cc2011-2015'!BD19</f>
        <v>0</v>
      </c>
      <c r="BE19" s="100">
        <f>F19+I19+J19+K19+L19+M19+N19+O19+Q19+BC19+BD19</f>
        <v>0</v>
      </c>
      <c r="BF19" s="100">
        <f>P60-BE19</f>
        <v>18.839999999999996</v>
      </c>
      <c r="BG19" s="100">
        <f t="shared" si="10"/>
        <v>34.089999999999996</v>
      </c>
      <c r="BH19" s="191">
        <f>'BIEN DONG'!AT17</f>
        <v>34.089999999999996</v>
      </c>
      <c r="BI19" s="191">
        <f>'TONG TP'!BN24</f>
        <v>40.08</v>
      </c>
      <c r="BJ19" s="67">
        <f t="shared" si="4"/>
        <v>-5.990000000000002</v>
      </c>
      <c r="BK19" s="247">
        <f t="shared" si="5"/>
        <v>0.1129374504097254</v>
      </c>
      <c r="BL19" s="2">
        <f>85.32-BG19</f>
        <v>51.23</v>
      </c>
    </row>
    <row r="20" spans="1:64" s="67" customFormat="1" ht="24" customHeight="1">
      <c r="A20" s="86">
        <v>2</v>
      </c>
      <c r="B20" s="87" t="s">
        <v>45</v>
      </c>
      <c r="C20" s="86" t="s">
        <v>46</v>
      </c>
      <c r="D20" s="219">
        <f>D21+D22+D23+D24+D25+D26+D27+D28+D29+D41+D43+D44+D45+D46+D47+D49+D50+D51+D52+D53+D54+D55+D56+D57</f>
        <v>11555.41</v>
      </c>
      <c r="E20" s="219">
        <f>E21+E22+E23+E24+E25+E26+E27+E28+E29+E41+E43+E44+E45+E46+E47+E49+E50+E51+E52+E53+E54+E55+E56+E57</f>
        <v>300.96000000000004</v>
      </c>
      <c r="F20" s="219">
        <f t="shared" ref="F20:Z20" si="13">F21+F22+F23+F24+F25+F26+F27+F28+F29+F41+F43+F44+F45+F46+F47+F49+F50+F51+F52+F53+F54+F55+F56+F57</f>
        <v>7.0000000000000007E-2</v>
      </c>
      <c r="G20" s="219">
        <f t="shared" si="13"/>
        <v>7.0000000000000007E-2</v>
      </c>
      <c r="H20" s="219">
        <f t="shared" si="13"/>
        <v>0</v>
      </c>
      <c r="I20" s="219">
        <f t="shared" si="13"/>
        <v>0</v>
      </c>
      <c r="J20" s="219">
        <f t="shared" si="13"/>
        <v>0</v>
      </c>
      <c r="K20" s="219">
        <f t="shared" si="13"/>
        <v>0</v>
      </c>
      <c r="L20" s="219">
        <f t="shared" si="13"/>
        <v>0</v>
      </c>
      <c r="M20" s="219">
        <f t="shared" si="13"/>
        <v>2.84</v>
      </c>
      <c r="N20" s="219">
        <f t="shared" si="13"/>
        <v>293.20999999999998</v>
      </c>
      <c r="O20" s="219">
        <f t="shared" si="13"/>
        <v>0</v>
      </c>
      <c r="P20" s="219">
        <f t="shared" si="13"/>
        <v>4.84</v>
      </c>
      <c r="Q20" s="236">
        <f>Q21+Q22+Q23+Q24+Q25+Q26+Q27+Q28+Q29+Q41+Q43+Q44+Q45+Q46+Q47+Q49+Q50+Q51+Q52+Q53+Q54+Q55+Q56+Q57</f>
        <v>7190.4800000000014</v>
      </c>
      <c r="R20" s="219">
        <f t="shared" si="13"/>
        <v>123.15999999999998</v>
      </c>
      <c r="S20" s="219">
        <f t="shared" si="13"/>
        <v>1.03</v>
      </c>
      <c r="T20" s="219">
        <f t="shared" si="13"/>
        <v>13.480000000000032</v>
      </c>
      <c r="U20" s="219">
        <f t="shared" si="13"/>
        <v>0</v>
      </c>
      <c r="V20" s="219">
        <f t="shared" si="13"/>
        <v>21.76</v>
      </c>
      <c r="W20" s="219">
        <f t="shared" si="13"/>
        <v>17.510000000000002</v>
      </c>
      <c r="X20" s="219">
        <f t="shared" si="13"/>
        <v>302.31000000000006</v>
      </c>
      <c r="Y20" s="219">
        <f t="shared" si="13"/>
        <v>0</v>
      </c>
      <c r="Z20" s="219">
        <f t="shared" si="13"/>
        <v>1256.6400000000003</v>
      </c>
      <c r="AA20" s="219">
        <f>AA21+AA22+AA23+AA24+AA25+AA26+AA27+AA28+AA29+AA41+AA43+AA44+AA45+AA46+AA47+AA49+AA50+AA51+AA52+AA53+AA54+AA55+AA56+AA57</f>
        <v>1.1500000000000015</v>
      </c>
      <c r="AB20" s="219">
        <f t="shared" ref="AB20:BB20" si="14">AB21+AB22+AB23+AB24+AB25+AB26+AB27+AB28+AB29+AB41+AB43+AB44+AB45+AB46+AB47+AB49+AB50+AB51+AB52+AB53+AB54+AB55+AB56+AB57</f>
        <v>11.28</v>
      </c>
      <c r="AC20" s="219">
        <f t="shared" si="14"/>
        <v>113.5</v>
      </c>
      <c r="AD20" s="219">
        <f t="shared" si="14"/>
        <v>9.92</v>
      </c>
      <c r="AE20" s="219">
        <f t="shared" si="14"/>
        <v>0</v>
      </c>
      <c r="AF20" s="219">
        <f t="shared" si="14"/>
        <v>0</v>
      </c>
      <c r="AG20" s="219">
        <f t="shared" si="14"/>
        <v>628.91</v>
      </c>
      <c r="AH20" s="219">
        <f t="shared" si="14"/>
        <v>497.43</v>
      </c>
      <c r="AI20" s="219">
        <f t="shared" si="14"/>
        <v>1.65</v>
      </c>
      <c r="AJ20" s="219">
        <f t="shared" si="14"/>
        <v>0.46</v>
      </c>
      <c r="AK20" s="219">
        <f t="shared" si="14"/>
        <v>7.55</v>
      </c>
      <c r="AL20" s="219">
        <f t="shared" si="14"/>
        <v>7.59</v>
      </c>
      <c r="AM20" s="219">
        <f t="shared" si="14"/>
        <v>0</v>
      </c>
      <c r="AN20" s="219">
        <f t="shared" si="14"/>
        <v>4.8299999999999992</v>
      </c>
      <c r="AO20" s="219">
        <f t="shared" si="14"/>
        <v>494.06</v>
      </c>
      <c r="AP20" s="219">
        <f t="shared" si="14"/>
        <v>542.37</v>
      </c>
      <c r="AQ20" s="219">
        <f t="shared" si="14"/>
        <v>17.340000000000003</v>
      </c>
      <c r="AR20" s="219">
        <f t="shared" si="14"/>
        <v>3.5</v>
      </c>
      <c r="AS20" s="219">
        <f t="shared" si="14"/>
        <v>0</v>
      </c>
      <c r="AT20" s="219">
        <f t="shared" si="14"/>
        <v>11.06</v>
      </c>
      <c r="AU20" s="219">
        <f t="shared" si="14"/>
        <v>119.36</v>
      </c>
      <c r="AV20" s="219">
        <f t="shared" si="14"/>
        <v>104.45999999999998</v>
      </c>
      <c r="AW20" s="219">
        <f t="shared" si="14"/>
        <v>6.91</v>
      </c>
      <c r="AX20" s="219">
        <f t="shared" si="14"/>
        <v>2.9599999999999995</v>
      </c>
      <c r="AY20" s="219">
        <f t="shared" si="14"/>
        <v>6.81</v>
      </c>
      <c r="AZ20" s="219">
        <f t="shared" si="14"/>
        <v>4014.3700000000003</v>
      </c>
      <c r="BA20" s="219">
        <f t="shared" si="14"/>
        <v>119.58000000000003</v>
      </c>
      <c r="BB20" s="219">
        <f t="shared" si="14"/>
        <v>0</v>
      </c>
      <c r="BC20" s="219">
        <f>'cc2011-2015'!BC20</f>
        <v>3.73</v>
      </c>
      <c r="BD20" s="219">
        <f>'cc2011-2015'!BD20</f>
        <v>4060.24</v>
      </c>
      <c r="BE20" s="219">
        <f>E20+BD20+BC20</f>
        <v>4364.9299999999994</v>
      </c>
      <c r="BF20" s="219">
        <f>Q60-BE20</f>
        <v>-2781.8599999999997</v>
      </c>
      <c r="BG20" s="219">
        <f>BG21+BG22+BG23+BG25+BG26+BG27+BG28+BG29+BG41+BG42+BG43+BG44+BG45+BG46+BG47+BG48+BG49+BG50+BG51+BG52+BG53+BG54+BG55+BG56+BG57</f>
        <v>8773.5500000000011</v>
      </c>
      <c r="BH20" s="67">
        <f>'BIEN DONG'!AT18</f>
        <v>7888.1100000000006</v>
      </c>
      <c r="BI20" s="67">
        <f>'TONG TP'!BN25</f>
        <v>8600.8026700000009</v>
      </c>
      <c r="BJ20" s="67">
        <f t="shared" si="4"/>
        <v>172.74733000000015</v>
      </c>
      <c r="BK20" s="429">
        <f t="shared" si="5"/>
        <v>29.066071224471884</v>
      </c>
      <c r="BL20" s="247">
        <f>16315-BG20</f>
        <v>7541.4499999999989</v>
      </c>
    </row>
    <row r="21" spans="1:64" s="2" customFormat="1" ht="25.5" customHeight="1">
      <c r="A21" s="5" t="s">
        <v>47</v>
      </c>
      <c r="B21" s="72" t="s">
        <v>48</v>
      </c>
      <c r="C21" s="5" t="s">
        <v>49</v>
      </c>
      <c r="D21" s="100">
        <v>231.17</v>
      </c>
      <c r="E21" s="100">
        <f t="shared" si="11"/>
        <v>0</v>
      </c>
      <c r="F21" s="100">
        <f>G21+H21</f>
        <v>0</v>
      </c>
      <c r="G21" s="100">
        <f>'cc2011-2015'!G21+'TONG TP'!I26</f>
        <v>0</v>
      </c>
      <c r="H21" s="100">
        <f>'cc2011-2015'!H21+'TONG TP'!J26</f>
        <v>0</v>
      </c>
      <c r="I21" s="100"/>
      <c r="J21" s="100"/>
      <c r="K21" s="100">
        <f>'cc2011-2015'!K21+'TONG TP'!P26</f>
        <v>0</v>
      </c>
      <c r="L21" s="100">
        <f>'cc2011-2015'!L21+'TONG TP'!Q26</f>
        <v>0</v>
      </c>
      <c r="M21" s="100">
        <f>'cc2011-2015'!M21+'TONG TP'!R26</f>
        <v>0</v>
      </c>
      <c r="N21" s="100">
        <f>'cc2011-2015'!N21+'TONG TP'!S26</f>
        <v>0</v>
      </c>
      <c r="O21" s="100">
        <f>'cc2011-2015'!O21+'TONG TP'!T26</f>
        <v>0</v>
      </c>
      <c r="P21" s="100">
        <f>'cc2011-2015'!P21+'TONG TP'!U26</f>
        <v>0</v>
      </c>
      <c r="Q21" s="100">
        <f>R21+S21+T21+U21+V21+W21+X21+Y21+Z21+AL21+AM21+AN21+AO21+AP21+AQ21+AR21+AS21+AT21+AU21+AV21+AW21+AX21+AY21+AZ21+BA21+BB21</f>
        <v>127.50999999999999</v>
      </c>
      <c r="R21" s="237">
        <f>D21-BE21</f>
        <v>121.64999999999999</v>
      </c>
      <c r="S21" s="100">
        <f>'cc2011-2015'!S21+'TONG TP'!X26</f>
        <v>0</v>
      </c>
      <c r="T21" s="100">
        <f>'cc2011-2015'!T21+'TONG TP'!Y26</f>
        <v>0</v>
      </c>
      <c r="U21" s="100">
        <f>'cc2011-2015'!U21+'TONG TP'!Z26</f>
        <v>0</v>
      </c>
      <c r="V21" s="100">
        <f>'cc2011-2015'!V21+'TONG TP'!AA26</f>
        <v>0</v>
      </c>
      <c r="W21" s="100">
        <f>'cc2011-2015'!W21+'TONG TP'!AB26</f>
        <v>1.01</v>
      </c>
      <c r="X21" s="100">
        <f>'cc2011-2015'!X21+'TONG TP'!AC26</f>
        <v>0</v>
      </c>
      <c r="Y21" s="100">
        <f>'cc2011-2015'!Y21+'TONG TP'!AD26</f>
        <v>0</v>
      </c>
      <c r="Z21" s="100">
        <f t="shared" si="12"/>
        <v>1.58</v>
      </c>
      <c r="AA21" s="100">
        <f>'cc2011-2015'!AA21+'TONG TP'!AF26</f>
        <v>0</v>
      </c>
      <c r="AB21" s="100">
        <f>'cc2011-2015'!AB21+'TONG TP'!AG26</f>
        <v>0</v>
      </c>
      <c r="AC21" s="100">
        <f>'cc2011-2015'!AC21+'TONG TP'!AH26</f>
        <v>0</v>
      </c>
      <c r="AD21" s="100">
        <f>'cc2011-2015'!AD21+'TONG TP'!AI26</f>
        <v>0</v>
      </c>
      <c r="AE21" s="100">
        <f>'cc2011-2015'!AE21+'TONG TP'!AJ26</f>
        <v>0</v>
      </c>
      <c r="AF21" s="100">
        <f>'cc2011-2015'!AF21+'TONG TP'!AK26</f>
        <v>0</v>
      </c>
      <c r="AG21" s="100">
        <f>'cc2011-2015'!AG21+'TONG TP'!AL26</f>
        <v>1.58</v>
      </c>
      <c r="AH21" s="100">
        <f>'cc2011-2015'!AH21+'TONG TP'!AM26</f>
        <v>0</v>
      </c>
      <c r="AI21" s="100">
        <f>'cc2011-2015'!AI21+'TONG TP'!AN26</f>
        <v>0</v>
      </c>
      <c r="AJ21" s="100">
        <f>'cc2011-2015'!AJ21+'TONG TP'!AO26</f>
        <v>0</v>
      </c>
      <c r="AK21" s="100">
        <f>'cc2011-2015'!AK21+'TONG TP'!AP26</f>
        <v>0</v>
      </c>
      <c r="AL21" s="100">
        <f>'cc2011-2015'!AL21+'TONG TP'!AQ26</f>
        <v>0</v>
      </c>
      <c r="AM21" s="100">
        <f>'cc2011-2015'!AM21+'TONG TP'!AR26</f>
        <v>0</v>
      </c>
      <c r="AN21" s="100">
        <f>'cc2011-2015'!AN21+'TONG TP'!AS26</f>
        <v>0</v>
      </c>
      <c r="AO21" s="100">
        <f>'cc2011-2015'!AO21+'TONG TP'!AT26</f>
        <v>0</v>
      </c>
      <c r="AP21" s="100">
        <f>'cc2011-2015'!AP21+'TONG TP'!AU26</f>
        <v>0</v>
      </c>
      <c r="AQ21" s="100">
        <f>'cc2011-2015'!AQ21+'TONG TP'!AV26</f>
        <v>3.2</v>
      </c>
      <c r="AR21" s="100">
        <f>'cc2011-2015'!AR21+'TONG TP'!AW26</f>
        <v>0</v>
      </c>
      <c r="AS21" s="100">
        <f>'cc2011-2015'!AS21+'TONG TP'!AX26</f>
        <v>0</v>
      </c>
      <c r="AT21" s="100">
        <f>'cc2011-2015'!AT21+'TONG TP'!AY26</f>
        <v>0</v>
      </c>
      <c r="AU21" s="100">
        <f>'cc2011-2015'!AU21+'TONG TP'!AZ26</f>
        <v>0</v>
      </c>
      <c r="AV21" s="100">
        <f>'cc2011-2015'!AV21+'TONG TP'!BA26</f>
        <v>0</v>
      </c>
      <c r="AW21" s="100">
        <f>'cc2011-2015'!AW21+'TONG TP'!BB26</f>
        <v>0</v>
      </c>
      <c r="AX21" s="100">
        <f>'cc2011-2015'!AX21+'TONG TP'!BC26</f>
        <v>7.0000000000000007E-2</v>
      </c>
      <c r="AY21" s="100">
        <f>'cc2011-2015'!AY21+'TONG TP'!BD26</f>
        <v>0</v>
      </c>
      <c r="AZ21" s="100">
        <f>'cc2011-2015'!AZ21+'TONG TP'!BE26</f>
        <v>0</v>
      </c>
      <c r="BA21" s="100">
        <f>'cc2011-2015'!BA21+'TONG TP'!BF26</f>
        <v>0</v>
      </c>
      <c r="BB21" s="100">
        <f>'cc2011-2015'!BB21+'TONG TP'!BG26</f>
        <v>0</v>
      </c>
      <c r="BC21" s="100">
        <f>'cc2011-2015'!BC21</f>
        <v>0</v>
      </c>
      <c r="BD21" s="100">
        <f>'cc2011-2015'!BD21</f>
        <v>103.66</v>
      </c>
      <c r="BE21" s="100">
        <f>BC21+AS21+AP21+AO21+AN21+AM21+AL21+Z21+Y21+X21+W21+V21+T21+S21+E21+AR21+AQ21+AT21+AU21+AV21+AW21+AX21+AY21+AZ21+BA21+BB21+BD21</f>
        <v>109.52</v>
      </c>
      <c r="BF21" s="100">
        <f>R60-BE21</f>
        <v>-102.24</v>
      </c>
      <c r="BG21" s="100">
        <f t="shared" ref="BG21:BG58" si="15">D21+BF21</f>
        <v>128.93</v>
      </c>
      <c r="BH21" s="191">
        <f>'BIEN DONG'!AT19</f>
        <v>127.64999999999999</v>
      </c>
      <c r="BI21" s="191">
        <f>'TONG TP'!BN26</f>
        <v>287.20866999999998</v>
      </c>
      <c r="BJ21" s="67">
        <f t="shared" si="4"/>
        <v>-158.27866999999998</v>
      </c>
      <c r="BK21" s="247">
        <f t="shared" si="5"/>
        <v>0.42713480438034312</v>
      </c>
      <c r="BL21" s="2">
        <f>338-BG21</f>
        <v>209.07</v>
      </c>
    </row>
    <row r="22" spans="1:64" s="2" customFormat="1" ht="25.5" customHeight="1">
      <c r="A22" s="5" t="s">
        <v>50</v>
      </c>
      <c r="B22" s="72" t="s">
        <v>51</v>
      </c>
      <c r="C22" s="5" t="s">
        <v>52</v>
      </c>
      <c r="D22" s="100">
        <v>0.37</v>
      </c>
      <c r="E22" s="100">
        <f t="shared" si="11"/>
        <v>0</v>
      </c>
      <c r="F22" s="100">
        <f t="shared" ref="F22:F57" si="16">G22+H22</f>
        <v>0</v>
      </c>
      <c r="G22" s="100">
        <f>'cc2011-2015'!G22+'TONG TP'!I27</f>
        <v>0</v>
      </c>
      <c r="H22" s="100">
        <f>'cc2011-2015'!H22+'TONG TP'!J27</f>
        <v>0</v>
      </c>
      <c r="I22" s="100"/>
      <c r="J22" s="100"/>
      <c r="K22" s="100">
        <f>'cc2011-2015'!K22+'TONG TP'!P27</f>
        <v>0</v>
      </c>
      <c r="L22" s="100"/>
      <c r="M22" s="100">
        <f>'cc2011-2015'!M22+'TONG TP'!R27</f>
        <v>0</v>
      </c>
      <c r="N22" s="100">
        <f>'cc2011-2015'!N22+'TONG TP'!S27</f>
        <v>0</v>
      </c>
      <c r="O22" s="100">
        <f>'cc2011-2015'!O22+'TONG TP'!T27</f>
        <v>0</v>
      </c>
      <c r="P22" s="100">
        <f>'cc2011-2015'!P22+'TONG TP'!U27</f>
        <v>0</v>
      </c>
      <c r="Q22" s="100">
        <f t="shared" ref="Q22:Q58" si="17">R22+S22+T22+U22+V22+W22+X22+Y22+Z22+AL22+AM22+AN22+AO22+AP22+AQ22+AR22+AS22+AT22+AU22+AV22+AW22+AX22+AY22+AZ22+BA22+BB22</f>
        <v>0.37</v>
      </c>
      <c r="R22" s="100">
        <f>'cc2011-2015'!R22+'TONG TP'!W27</f>
        <v>0</v>
      </c>
      <c r="S22" s="237">
        <f>D22-BE22</f>
        <v>0.37</v>
      </c>
      <c r="T22" s="100">
        <f>'cc2011-2015'!T22+'TONG TP'!Y27</f>
        <v>0</v>
      </c>
      <c r="U22" s="100">
        <f>'cc2011-2015'!U22+'TONG TP'!Z27</f>
        <v>0</v>
      </c>
      <c r="V22" s="100">
        <f>'cc2011-2015'!V22+'TONG TP'!AA27</f>
        <v>0</v>
      </c>
      <c r="W22" s="100">
        <f>'cc2011-2015'!W22+'TONG TP'!AB27</f>
        <v>0</v>
      </c>
      <c r="X22" s="100">
        <f>'cc2011-2015'!X22+'TONG TP'!AC27</f>
        <v>0</v>
      </c>
      <c r="Y22" s="100">
        <f>'cc2011-2015'!Y22+'TONG TP'!AD27</f>
        <v>0</v>
      </c>
      <c r="Z22" s="100">
        <f t="shared" si="12"/>
        <v>0</v>
      </c>
      <c r="AA22" s="100">
        <f>'cc2011-2015'!AA22+'TONG TP'!AF27</f>
        <v>0</v>
      </c>
      <c r="AB22" s="100">
        <f>'cc2011-2015'!AB22+'TONG TP'!AG27</f>
        <v>0</v>
      </c>
      <c r="AC22" s="100">
        <f>'cc2011-2015'!AC22+'TONG TP'!AH27</f>
        <v>0</v>
      </c>
      <c r="AD22" s="100">
        <f>'cc2011-2015'!AD22+'TONG TP'!AI27</f>
        <v>0</v>
      </c>
      <c r="AE22" s="100">
        <f>'cc2011-2015'!AE22+'TONG TP'!AJ27</f>
        <v>0</v>
      </c>
      <c r="AF22" s="100">
        <f>'cc2011-2015'!AF22+'TONG TP'!AK27</f>
        <v>0</v>
      </c>
      <c r="AG22" s="100">
        <f>'cc2011-2015'!AG22+'TONG TP'!AL27</f>
        <v>0</v>
      </c>
      <c r="AH22" s="100">
        <f>'cc2011-2015'!AH22+'TONG TP'!AM27</f>
        <v>0</v>
      </c>
      <c r="AI22" s="100">
        <f>'cc2011-2015'!AI22+'TONG TP'!AN27</f>
        <v>0</v>
      </c>
      <c r="AJ22" s="100">
        <f>'cc2011-2015'!AJ22+'TONG TP'!AO27</f>
        <v>0</v>
      </c>
      <c r="AK22" s="100">
        <f>'cc2011-2015'!AK22+'TONG TP'!AP27</f>
        <v>0</v>
      </c>
      <c r="AL22" s="100">
        <f>'cc2011-2015'!AL22+'TONG TP'!AQ27</f>
        <v>0</v>
      </c>
      <c r="AM22" s="100">
        <f>'cc2011-2015'!AM22+'TONG TP'!AR27</f>
        <v>0</v>
      </c>
      <c r="AN22" s="100">
        <f>'cc2011-2015'!AN22+'TONG TP'!AS27</f>
        <v>0</v>
      </c>
      <c r="AO22" s="100">
        <f>'cc2011-2015'!AO22+'TONG TP'!AT27</f>
        <v>0</v>
      </c>
      <c r="AP22" s="100">
        <f>'cc2011-2015'!AP22+'TONG TP'!AU27</f>
        <v>0</v>
      </c>
      <c r="AQ22" s="100">
        <f>'cc2011-2015'!AQ22+'TONG TP'!AV27</f>
        <v>0</v>
      </c>
      <c r="AR22" s="100">
        <f>'cc2011-2015'!AR22+'TONG TP'!AW27</f>
        <v>0</v>
      </c>
      <c r="AS22" s="100">
        <f>'cc2011-2015'!AS22+'TONG TP'!AX27</f>
        <v>0</v>
      </c>
      <c r="AT22" s="100">
        <f>'cc2011-2015'!AT22+'TONG TP'!AY27</f>
        <v>0</v>
      </c>
      <c r="AU22" s="100">
        <f>'cc2011-2015'!AU22+'TONG TP'!AZ27</f>
        <v>0</v>
      </c>
      <c r="AV22" s="100">
        <f>'cc2011-2015'!AV22+'TONG TP'!BA27</f>
        <v>0</v>
      </c>
      <c r="AW22" s="100">
        <f>'cc2011-2015'!AW22+'TONG TP'!BB27</f>
        <v>0</v>
      </c>
      <c r="AX22" s="100">
        <f>'cc2011-2015'!AX22+'TONG TP'!BC27</f>
        <v>0</v>
      </c>
      <c r="AY22" s="100">
        <f>'cc2011-2015'!AY22+'TONG TP'!BD27</f>
        <v>0</v>
      </c>
      <c r="AZ22" s="100">
        <f>'cc2011-2015'!AZ22+'TONG TP'!BE27</f>
        <v>0</v>
      </c>
      <c r="BA22" s="100">
        <f>'cc2011-2015'!BA22+'TONG TP'!BF27</f>
        <v>0</v>
      </c>
      <c r="BB22" s="100">
        <f>'cc2011-2015'!BB22+'TONG TP'!BG27</f>
        <v>0</v>
      </c>
      <c r="BC22" s="100">
        <f>'cc2011-2015'!BC22</f>
        <v>0</v>
      </c>
      <c r="BD22" s="100">
        <f>'cc2011-2015'!BD22</f>
        <v>0</v>
      </c>
      <c r="BE22" s="100">
        <f>BC22+AS22+AP22+AO22+AN22+AM22+AL22+Z22+Y22+X22+W22+V22+T22+R22+E22+AR22+AQ22+AT22+AU22+AV22+AW22+AX22+AY22+AZ22+BA22+BB22+BD22</f>
        <v>0</v>
      </c>
      <c r="BF22" s="100">
        <f>S60-BE22</f>
        <v>4.47</v>
      </c>
      <c r="BG22" s="100">
        <f t="shared" si="15"/>
        <v>4.84</v>
      </c>
      <c r="BH22" s="191">
        <f>'BIEN DONG'!AT20</f>
        <v>4.84</v>
      </c>
      <c r="BI22" s="191">
        <f>'TONG TP'!BN27</f>
        <v>9.83</v>
      </c>
      <c r="BJ22" s="67">
        <f t="shared" si="4"/>
        <v>-4.99</v>
      </c>
      <c r="BK22" s="247">
        <f t="shared" si="5"/>
        <v>1.6034533880406893E-2</v>
      </c>
      <c r="BL22" s="2">
        <f>456.83-BG22</f>
        <v>451.99</v>
      </c>
    </row>
    <row r="23" spans="1:64" s="2" customFormat="1" ht="25.5" customHeight="1">
      <c r="A23" s="5" t="s">
        <v>53</v>
      </c>
      <c r="B23" s="72" t="s">
        <v>54</v>
      </c>
      <c r="C23" s="5" t="s">
        <v>55</v>
      </c>
      <c r="D23" s="100">
        <f>308.17-D25</f>
        <v>147.28000000000003</v>
      </c>
      <c r="E23" s="100">
        <f t="shared" si="11"/>
        <v>0</v>
      </c>
      <c r="F23" s="100">
        <f t="shared" si="16"/>
        <v>0</v>
      </c>
      <c r="G23" s="100">
        <f>'cc2011-2015'!G23+'TONG TP'!I28</f>
        <v>0</v>
      </c>
      <c r="H23" s="100">
        <f>'cc2011-2015'!H23+'TONG TP'!J28</f>
        <v>0</v>
      </c>
      <c r="I23" s="100"/>
      <c r="J23" s="100"/>
      <c r="K23" s="100">
        <f>'cc2011-2015'!K23+'TONG TP'!P28</f>
        <v>0</v>
      </c>
      <c r="L23" s="100"/>
      <c r="M23" s="100">
        <f>'cc2011-2015'!M23+'TONG TP'!R28</f>
        <v>0</v>
      </c>
      <c r="N23" s="100">
        <f>'cc2011-2015'!N23+'TONG TP'!S28</f>
        <v>0</v>
      </c>
      <c r="O23" s="100">
        <f>'cc2011-2015'!O23+'TONG TP'!T28</f>
        <v>0</v>
      </c>
      <c r="P23" s="100">
        <f>'cc2011-2015'!P23+'TONG TP'!U28</f>
        <v>0</v>
      </c>
      <c r="Q23" s="100">
        <f t="shared" si="17"/>
        <v>10.370000000000033</v>
      </c>
      <c r="R23" s="100">
        <f>'cc2011-2015'!R23+'TONG TP'!W28</f>
        <v>0</v>
      </c>
      <c r="S23" s="100">
        <f>'cc2011-2015'!S23+'TONG TP'!X28</f>
        <v>0</v>
      </c>
      <c r="T23" s="237">
        <f>D23-BE23</f>
        <v>10.370000000000033</v>
      </c>
      <c r="U23" s="100">
        <f>'cc2011-2015'!U23+'TONG TP'!Z28</f>
        <v>0</v>
      </c>
      <c r="V23" s="100">
        <f>'cc2011-2015'!V23+'TONG TP'!AA28</f>
        <v>0</v>
      </c>
      <c r="W23" s="100">
        <f>'cc2011-2015'!W23+'TONG TP'!AB28</f>
        <v>0</v>
      </c>
      <c r="X23" s="100">
        <f>'cc2011-2015'!X23+'TONG TP'!AC28</f>
        <v>0</v>
      </c>
      <c r="Y23" s="100">
        <f>'cc2011-2015'!Y23+'TONG TP'!AD28</f>
        <v>0</v>
      </c>
      <c r="Z23" s="100">
        <f t="shared" si="12"/>
        <v>0</v>
      </c>
      <c r="AA23" s="100">
        <f>'cc2011-2015'!AA23+'TONG TP'!AF28</f>
        <v>0</v>
      </c>
      <c r="AB23" s="100">
        <f>'cc2011-2015'!AB23+'TONG TP'!AG28</f>
        <v>0</v>
      </c>
      <c r="AC23" s="100">
        <f>'cc2011-2015'!AC23+'TONG TP'!AH28</f>
        <v>0</v>
      </c>
      <c r="AD23" s="100">
        <f>'cc2011-2015'!AD23+'TONG TP'!AI28</f>
        <v>0</v>
      </c>
      <c r="AE23" s="100">
        <f>'cc2011-2015'!AE23+'TONG TP'!AJ28</f>
        <v>0</v>
      </c>
      <c r="AF23" s="100">
        <f>'cc2011-2015'!AF23+'TONG TP'!AK28</f>
        <v>0</v>
      </c>
      <c r="AG23" s="100">
        <f>'cc2011-2015'!AG23+'TONG TP'!AL28</f>
        <v>0</v>
      </c>
      <c r="AH23" s="100">
        <f>'cc2011-2015'!AH23+'TONG TP'!AM28</f>
        <v>0</v>
      </c>
      <c r="AI23" s="100">
        <f>'cc2011-2015'!AI23+'TONG TP'!AN28</f>
        <v>0</v>
      </c>
      <c r="AJ23" s="100">
        <f>'cc2011-2015'!AJ23+'TONG TP'!AO28</f>
        <v>0</v>
      </c>
      <c r="AK23" s="100">
        <f>'cc2011-2015'!AK23+'TONG TP'!AP28</f>
        <v>0</v>
      </c>
      <c r="AL23" s="100">
        <f>'cc2011-2015'!AL23+'TONG TP'!AQ28</f>
        <v>0</v>
      </c>
      <c r="AM23" s="100">
        <f>'cc2011-2015'!AM23+'TONG TP'!AR28</f>
        <v>0</v>
      </c>
      <c r="AN23" s="100">
        <f>'cc2011-2015'!AN23+'TONG TP'!AS28</f>
        <v>0</v>
      </c>
      <c r="AO23" s="100">
        <f>'cc2011-2015'!AO23+'TONG TP'!AT28</f>
        <v>0</v>
      </c>
      <c r="AP23" s="100">
        <f>'cc2011-2015'!AP23+'TONG TP'!AU28</f>
        <v>0</v>
      </c>
      <c r="AQ23" s="100">
        <f>'cc2011-2015'!AQ23+'TONG TP'!AV28</f>
        <v>0</v>
      </c>
      <c r="AR23" s="100">
        <f>'cc2011-2015'!AR23+'TONG TP'!AW28</f>
        <v>0</v>
      </c>
      <c r="AS23" s="100">
        <f>'cc2011-2015'!AS23+'TONG TP'!AX28</f>
        <v>0</v>
      </c>
      <c r="AT23" s="100">
        <f>'cc2011-2015'!AT23+'TONG TP'!AY28</f>
        <v>0</v>
      </c>
      <c r="AU23" s="100">
        <f>'cc2011-2015'!AU23+'TONG TP'!AZ28</f>
        <v>0</v>
      </c>
      <c r="AV23" s="100">
        <f>'cc2011-2015'!AV23+'TONG TP'!BA28</f>
        <v>0</v>
      </c>
      <c r="AW23" s="100">
        <f>'cc2011-2015'!AW23+'TONG TP'!BB28</f>
        <v>0</v>
      </c>
      <c r="AX23" s="100">
        <f>'cc2011-2015'!AX23+'TONG TP'!BC28</f>
        <v>0</v>
      </c>
      <c r="AY23" s="100">
        <f>'cc2011-2015'!AY23+'TONG TP'!BD28</f>
        <v>0</v>
      </c>
      <c r="AZ23" s="100">
        <f>'cc2011-2015'!AZ23+'TONG TP'!BE28</f>
        <v>0</v>
      </c>
      <c r="BA23" s="100">
        <f>'cc2011-2015'!BA23+'TONG TP'!BF28</f>
        <v>0</v>
      </c>
      <c r="BB23" s="100">
        <f>'cc2011-2015'!BB23+'TONG TP'!BG28</f>
        <v>0</v>
      </c>
      <c r="BC23" s="100">
        <f>'cc2011-2015'!BC23</f>
        <v>0</v>
      </c>
      <c r="BD23" s="100">
        <f>'cc2011-2015'!BD23</f>
        <v>136.91</v>
      </c>
      <c r="BE23" s="100">
        <f>BC23+AS23+AP23+AO23+AN23+AM23+AL23+Z23+Y23+X23+W23+V23+S23+R23+E23+AR23+AQ23+AT23+AU23+AV23+AW23+AX23+AY23+AZ23+BA23+BB23+BD23</f>
        <v>136.91</v>
      </c>
      <c r="BF23" s="100">
        <f>T60-BE23</f>
        <v>-98.69</v>
      </c>
      <c r="BG23" s="100">
        <f t="shared" si="15"/>
        <v>48.590000000000032</v>
      </c>
      <c r="BH23" s="191">
        <f>'BIEN DONG'!AT21</f>
        <v>10.370000000000033</v>
      </c>
      <c r="BI23" s="191">
        <f>'TONG TP'!BN28</f>
        <v>117.81</v>
      </c>
      <c r="BJ23" s="67">
        <f t="shared" si="4"/>
        <v>-69.21999999999997</v>
      </c>
      <c r="BK23" s="247">
        <f t="shared" si="5"/>
        <v>0.16097479364648173</v>
      </c>
      <c r="BL23" s="190">
        <f>1687.1-BG23</f>
        <v>1638.5099999999998</v>
      </c>
    </row>
    <row r="24" spans="1:64" s="2" customFormat="1" ht="25.5" customHeight="1">
      <c r="A24" s="5" t="s">
        <v>56</v>
      </c>
      <c r="B24" s="72" t="s">
        <v>57</v>
      </c>
      <c r="C24" s="5" t="s">
        <v>58</v>
      </c>
      <c r="D24" s="100"/>
      <c r="E24" s="100">
        <f t="shared" si="11"/>
        <v>0</v>
      </c>
      <c r="F24" s="100">
        <f t="shared" si="16"/>
        <v>0</v>
      </c>
      <c r="G24" s="100">
        <f>'cc2011-2015'!G24+'TONG TP'!I29</f>
        <v>0</v>
      </c>
      <c r="H24" s="100">
        <f>'cc2011-2015'!H24+'TONG TP'!J29</f>
        <v>0</v>
      </c>
      <c r="I24" s="100"/>
      <c r="J24" s="100"/>
      <c r="K24" s="100">
        <f>'cc2011-2015'!K24+'TONG TP'!P29</f>
        <v>0</v>
      </c>
      <c r="L24" s="100"/>
      <c r="M24" s="100">
        <f>'cc2011-2015'!M24+'TONG TP'!R29</f>
        <v>0</v>
      </c>
      <c r="N24" s="100">
        <f>'cc2011-2015'!N24+'TONG TP'!S29</f>
        <v>0</v>
      </c>
      <c r="O24" s="100">
        <f>'cc2011-2015'!O24+'TONG TP'!T29</f>
        <v>0</v>
      </c>
      <c r="P24" s="100">
        <f>'cc2011-2015'!P24+'TONG TP'!U29</f>
        <v>0</v>
      </c>
      <c r="Q24" s="100">
        <f t="shared" si="17"/>
        <v>0</v>
      </c>
      <c r="R24" s="100">
        <f>'cc2011-2015'!R24+'TONG TP'!W29</f>
        <v>0</v>
      </c>
      <c r="S24" s="100">
        <f>'cc2011-2015'!S24+'TONG TP'!X29</f>
        <v>0</v>
      </c>
      <c r="T24" s="100">
        <f>'cc2011-2015'!T24+'TONG TP'!Y29</f>
        <v>0</v>
      </c>
      <c r="U24" s="237">
        <f>D24-BE24</f>
        <v>0</v>
      </c>
      <c r="V24" s="100">
        <f>'cc2011-2015'!V24+'TONG TP'!AA29</f>
        <v>0</v>
      </c>
      <c r="W24" s="100">
        <f>'cc2011-2015'!W24+'TONG TP'!AB29</f>
        <v>0</v>
      </c>
      <c r="X24" s="100">
        <f>'cc2011-2015'!X24+'TONG TP'!AC29</f>
        <v>0</v>
      </c>
      <c r="Y24" s="100">
        <f>'cc2011-2015'!Y24+'TONG TP'!AD29</f>
        <v>0</v>
      </c>
      <c r="Z24" s="100">
        <f t="shared" si="12"/>
        <v>0</v>
      </c>
      <c r="AA24" s="100">
        <f>'cc2011-2015'!AA24+'TONG TP'!AF29</f>
        <v>0</v>
      </c>
      <c r="AB24" s="100">
        <f>'cc2011-2015'!AB24+'TONG TP'!AG29</f>
        <v>0</v>
      </c>
      <c r="AC24" s="100">
        <f>'cc2011-2015'!AC24+'TONG TP'!AH29</f>
        <v>0</v>
      </c>
      <c r="AD24" s="100">
        <f>'cc2011-2015'!AD24+'TONG TP'!AI29</f>
        <v>0</v>
      </c>
      <c r="AE24" s="100">
        <f>'cc2011-2015'!AE24+'TONG TP'!AJ29</f>
        <v>0</v>
      </c>
      <c r="AF24" s="100">
        <f>'cc2011-2015'!AF24+'TONG TP'!AK29</f>
        <v>0</v>
      </c>
      <c r="AG24" s="100">
        <f>'cc2011-2015'!AG24+'TONG TP'!AL29</f>
        <v>0</v>
      </c>
      <c r="AH24" s="100">
        <f>'cc2011-2015'!AH24+'TONG TP'!AM29</f>
        <v>0</v>
      </c>
      <c r="AI24" s="100">
        <f>'cc2011-2015'!AI24+'TONG TP'!AN29</f>
        <v>0</v>
      </c>
      <c r="AJ24" s="100">
        <f>'cc2011-2015'!AJ24+'TONG TP'!AO29</f>
        <v>0</v>
      </c>
      <c r="AK24" s="100">
        <f>'cc2011-2015'!AK24+'TONG TP'!AP29</f>
        <v>0</v>
      </c>
      <c r="AL24" s="100">
        <f>'cc2011-2015'!AL24+'TONG TP'!AQ29</f>
        <v>0</v>
      </c>
      <c r="AM24" s="100">
        <f>'cc2011-2015'!AM24+'TONG TP'!AR29</f>
        <v>0</v>
      </c>
      <c r="AN24" s="100">
        <f>'cc2011-2015'!AN24+'TONG TP'!AS29</f>
        <v>0</v>
      </c>
      <c r="AO24" s="100">
        <f>'cc2011-2015'!AO24+'TONG TP'!AT29</f>
        <v>0</v>
      </c>
      <c r="AP24" s="100">
        <f>'cc2011-2015'!AP24+'TONG TP'!AU29</f>
        <v>0</v>
      </c>
      <c r="AQ24" s="100">
        <f>'cc2011-2015'!AQ24+'TONG TP'!AV29</f>
        <v>0</v>
      </c>
      <c r="AR24" s="100">
        <f>'cc2011-2015'!AR24+'TONG TP'!AW29</f>
        <v>0</v>
      </c>
      <c r="AS24" s="100">
        <f>'cc2011-2015'!AS24+'TONG TP'!AX29</f>
        <v>0</v>
      </c>
      <c r="AT24" s="100">
        <f>'cc2011-2015'!AT24+'TONG TP'!AY29</f>
        <v>0</v>
      </c>
      <c r="AU24" s="100">
        <f>'cc2011-2015'!AU24+'TONG TP'!AZ29</f>
        <v>0</v>
      </c>
      <c r="AV24" s="100">
        <f>'cc2011-2015'!AV24+'TONG TP'!BA29</f>
        <v>0</v>
      </c>
      <c r="AW24" s="100">
        <f>'cc2011-2015'!AW24+'TONG TP'!BB29</f>
        <v>0</v>
      </c>
      <c r="AX24" s="100">
        <f>'cc2011-2015'!AX24+'TONG TP'!BC29</f>
        <v>0</v>
      </c>
      <c r="AY24" s="100">
        <f>'cc2011-2015'!AY24+'TONG TP'!BD29</f>
        <v>0</v>
      </c>
      <c r="AZ24" s="100">
        <f>'cc2011-2015'!AZ24+'TONG TP'!BE29</f>
        <v>0</v>
      </c>
      <c r="BA24" s="100">
        <f>'cc2011-2015'!BA24+'TONG TP'!BF29</f>
        <v>0</v>
      </c>
      <c r="BB24" s="100">
        <f>'cc2011-2015'!BB24+'TONG TP'!BG29</f>
        <v>0</v>
      </c>
      <c r="BC24" s="100">
        <f>'cc2011-2015'!BC24</f>
        <v>0</v>
      </c>
      <c r="BD24" s="100">
        <f>'cc2011-2015'!BD24</f>
        <v>0</v>
      </c>
      <c r="BE24" s="100">
        <f>BC24+AS24+AP24+AO24+AN24+AM24+AL24+Z24+Y24+X24+W24+V24+S24+R24+T24+E24+AR24+AQ24+AT24+AU24+AV24+AW24+AX24+AY24+AZ24+BA24+BB24+BD24</f>
        <v>0</v>
      </c>
      <c r="BF24" s="100">
        <f>U60-BE24</f>
        <v>0</v>
      </c>
      <c r="BG24" s="100">
        <f t="shared" si="15"/>
        <v>0</v>
      </c>
      <c r="BH24" s="191"/>
      <c r="BI24" s="191">
        <f>'TONG TP'!BN29</f>
        <v>0</v>
      </c>
      <c r="BJ24" s="67">
        <f t="shared" si="4"/>
        <v>0</v>
      </c>
      <c r="BK24" s="247">
        <f t="shared" si="5"/>
        <v>0</v>
      </c>
    </row>
    <row r="25" spans="1:64" s="2" customFormat="1" ht="25.5" customHeight="1">
      <c r="A25" s="5" t="s">
        <v>59</v>
      </c>
      <c r="B25" s="72" t="s">
        <v>60</v>
      </c>
      <c r="C25" s="5" t="s">
        <v>61</v>
      </c>
      <c r="D25" s="100">
        <v>160.88999999999999</v>
      </c>
      <c r="E25" s="100">
        <f t="shared" si="11"/>
        <v>40.43</v>
      </c>
      <c r="F25" s="100">
        <f t="shared" si="16"/>
        <v>0</v>
      </c>
      <c r="G25" s="100">
        <f>'cc2011-2015'!G25+'TONG TP'!I30</f>
        <v>0</v>
      </c>
      <c r="H25" s="100">
        <f>'cc2011-2015'!H25+'TONG TP'!J30</f>
        <v>0</v>
      </c>
      <c r="I25" s="100"/>
      <c r="J25" s="100"/>
      <c r="K25" s="100">
        <f>'cc2011-2015'!K25+'TONG TP'!P30</f>
        <v>0</v>
      </c>
      <c r="L25" s="100"/>
      <c r="M25" s="100">
        <f>'cc2011-2015'!M25+'TONG TP'!R30</f>
        <v>0</v>
      </c>
      <c r="N25" s="100">
        <f>'cc2011-2015'!N25+'TONG TP'!S30</f>
        <v>40.43</v>
      </c>
      <c r="O25" s="100">
        <f>'cc2011-2015'!O25+'TONG TP'!T30</f>
        <v>0</v>
      </c>
      <c r="P25" s="100">
        <f>'cc2011-2015'!P25+'TONG TP'!U30</f>
        <v>0</v>
      </c>
      <c r="Q25" s="100">
        <f t="shared" si="17"/>
        <v>109.61</v>
      </c>
      <c r="R25" s="100">
        <f>'cc2011-2015'!R25+'TONG TP'!W30</f>
        <v>0</v>
      </c>
      <c r="S25" s="100">
        <f>'cc2011-2015'!S25+'TONG TP'!X30</f>
        <v>0</v>
      </c>
      <c r="T25" s="100">
        <f>'cc2011-2015'!T25+'TONG TP'!Y30</f>
        <v>0</v>
      </c>
      <c r="U25" s="100">
        <f>'cc2011-2015'!U25+'TONG TP'!Z30</f>
        <v>0</v>
      </c>
      <c r="V25" s="237">
        <f>D25-BE25</f>
        <v>0</v>
      </c>
      <c r="W25" s="100">
        <f>'cc2011-2015'!W25+'TONG TP'!AB30</f>
        <v>0</v>
      </c>
      <c r="X25" s="100">
        <f>'cc2011-2015'!X25+'TONG TP'!AC30</f>
        <v>109.61</v>
      </c>
      <c r="Y25" s="100">
        <f>'cc2011-2015'!Y25+'TONG TP'!AD30</f>
        <v>0</v>
      </c>
      <c r="Z25" s="100">
        <f t="shared" si="12"/>
        <v>0</v>
      </c>
      <c r="AA25" s="100">
        <f>'cc2011-2015'!AA25+'TONG TP'!AF30</f>
        <v>0</v>
      </c>
      <c r="AB25" s="100">
        <f>'cc2011-2015'!AB25+'TONG TP'!AG30</f>
        <v>0</v>
      </c>
      <c r="AC25" s="100">
        <f>'cc2011-2015'!AC25+'TONG TP'!AH30</f>
        <v>0</v>
      </c>
      <c r="AD25" s="100">
        <f>'cc2011-2015'!AD25+'TONG TP'!AI30</f>
        <v>0</v>
      </c>
      <c r="AE25" s="100">
        <f>'cc2011-2015'!AE25+'TONG TP'!AJ30</f>
        <v>0</v>
      </c>
      <c r="AF25" s="100">
        <f>'cc2011-2015'!AF25+'TONG TP'!AK30</f>
        <v>0</v>
      </c>
      <c r="AG25" s="100">
        <f>'cc2011-2015'!AG25+'TONG TP'!AL30</f>
        <v>0</v>
      </c>
      <c r="AH25" s="100">
        <f>'cc2011-2015'!AH25+'TONG TP'!AM30</f>
        <v>0</v>
      </c>
      <c r="AI25" s="100">
        <f>'cc2011-2015'!AI25+'TONG TP'!AN30</f>
        <v>0</v>
      </c>
      <c r="AJ25" s="100">
        <f>'cc2011-2015'!AJ25+'TONG TP'!AO30</f>
        <v>0</v>
      </c>
      <c r="AK25" s="100">
        <f>'cc2011-2015'!AK25+'TONG TP'!AP30</f>
        <v>0</v>
      </c>
      <c r="AL25" s="100">
        <f>'cc2011-2015'!AL25+'TONG TP'!AQ30</f>
        <v>0</v>
      </c>
      <c r="AM25" s="100">
        <f>'cc2011-2015'!AM25+'TONG TP'!AR30</f>
        <v>0</v>
      </c>
      <c r="AN25" s="100">
        <f>'cc2011-2015'!AN25+'TONG TP'!AS30</f>
        <v>0</v>
      </c>
      <c r="AO25" s="100">
        <f>'cc2011-2015'!AO25+'TONG TP'!AT30</f>
        <v>0</v>
      </c>
      <c r="AP25" s="100">
        <f>'cc2011-2015'!AP25+'TONG TP'!AU30</f>
        <v>0</v>
      </c>
      <c r="AQ25" s="100">
        <f>'cc2011-2015'!AQ25+'TONG TP'!AV30</f>
        <v>0</v>
      </c>
      <c r="AR25" s="100">
        <f>'cc2011-2015'!AR25+'TONG TP'!AW30</f>
        <v>0</v>
      </c>
      <c r="AS25" s="100">
        <f>'cc2011-2015'!AS25+'TONG TP'!AX30</f>
        <v>0</v>
      </c>
      <c r="AT25" s="100">
        <f>'cc2011-2015'!AT25+'TONG TP'!AY30</f>
        <v>0</v>
      </c>
      <c r="AU25" s="100">
        <f>'cc2011-2015'!AU25+'TONG TP'!AZ30</f>
        <v>0</v>
      </c>
      <c r="AV25" s="100">
        <f>'cc2011-2015'!AV25+'TONG TP'!BA30</f>
        <v>0</v>
      </c>
      <c r="AW25" s="100">
        <f>'cc2011-2015'!AW25+'TONG TP'!BB30</f>
        <v>0</v>
      </c>
      <c r="AX25" s="100">
        <f>'cc2011-2015'!AX25+'TONG TP'!BC30</f>
        <v>0</v>
      </c>
      <c r="AY25" s="100">
        <f>'cc2011-2015'!AY25+'TONG TP'!BD30</f>
        <v>0</v>
      </c>
      <c r="AZ25" s="100">
        <f>'cc2011-2015'!AZ25+'TONG TP'!BE30</f>
        <v>0</v>
      </c>
      <c r="BA25" s="100">
        <f>'cc2011-2015'!BA25+'TONG TP'!BF30</f>
        <v>0</v>
      </c>
      <c r="BB25" s="100">
        <f>'cc2011-2015'!BB25+'TONG TP'!BG30</f>
        <v>0</v>
      </c>
      <c r="BC25" s="100">
        <f>'cc2011-2015'!BC25</f>
        <v>0</v>
      </c>
      <c r="BD25" s="100">
        <f>'cc2011-2015'!BD25</f>
        <v>10.85</v>
      </c>
      <c r="BE25" s="100">
        <f>BC25+AS25+AP25+AO25+AN25+AM25+AL25+Z25+Y25+X25+W25+U25+S25+R25+T25+E25+AR25+AQ25+AT25+AU25+AV25+AW25+AX25+AY25+AZ25+BA25+BB25+BD25</f>
        <v>160.88999999999999</v>
      </c>
      <c r="BF25" s="100">
        <f>V60-BE25</f>
        <v>38.900000000000006</v>
      </c>
      <c r="BG25" s="100">
        <f t="shared" si="15"/>
        <v>199.79</v>
      </c>
      <c r="BH25" s="191">
        <f>'BIEN DONG'!AT23</f>
        <v>0</v>
      </c>
      <c r="BI25" s="191">
        <f>'TONG TP'!BN30</f>
        <v>199.79</v>
      </c>
      <c r="BJ25" s="67">
        <f t="shared" si="4"/>
        <v>0</v>
      </c>
      <c r="BK25" s="247">
        <f t="shared" si="5"/>
        <v>0.66188833139803582</v>
      </c>
    </row>
    <row r="26" spans="1:64" s="2" customFormat="1" ht="25.5" customHeight="1">
      <c r="A26" s="5" t="s">
        <v>62</v>
      </c>
      <c r="B26" s="72" t="s">
        <v>63</v>
      </c>
      <c r="C26" s="5" t="s">
        <v>64</v>
      </c>
      <c r="D26" s="100"/>
      <c r="E26" s="100">
        <f t="shared" si="11"/>
        <v>0</v>
      </c>
      <c r="F26" s="100">
        <f t="shared" si="16"/>
        <v>0</v>
      </c>
      <c r="G26" s="100">
        <f>'cc2011-2015'!G26+'TONG TP'!I31</f>
        <v>0</v>
      </c>
      <c r="H26" s="100">
        <f>'cc2011-2015'!H26+'TONG TP'!J31</f>
        <v>0</v>
      </c>
      <c r="I26" s="100"/>
      <c r="J26" s="100"/>
      <c r="K26" s="100">
        <f>'cc2011-2015'!K26+'TONG TP'!P31</f>
        <v>0</v>
      </c>
      <c r="L26" s="100"/>
      <c r="M26" s="100">
        <f>'cc2011-2015'!M26+'TONG TP'!R31</f>
        <v>0</v>
      </c>
      <c r="N26" s="100">
        <f>'cc2011-2015'!N26+'TONG TP'!S31</f>
        <v>0</v>
      </c>
      <c r="O26" s="100">
        <f>'cc2011-2015'!O26+'TONG TP'!T31</f>
        <v>0</v>
      </c>
      <c r="P26" s="100">
        <f>'cc2011-2015'!P26+'TONG TP'!U31</f>
        <v>0</v>
      </c>
      <c r="Q26" s="100">
        <f t="shared" si="17"/>
        <v>4.4408920985006262E-16</v>
      </c>
      <c r="R26" s="100">
        <f>'cc2011-2015'!R26+'TONG TP'!W31</f>
        <v>1.07</v>
      </c>
      <c r="S26" s="100">
        <f>'cc2011-2015'!S26+'TONG TP'!X31</f>
        <v>0</v>
      </c>
      <c r="T26" s="100">
        <f>'cc2011-2015'!T26+'TONG TP'!Y31</f>
        <v>0</v>
      </c>
      <c r="U26" s="100">
        <f>'cc2011-2015'!U26+'TONG TP'!Z31</f>
        <v>0</v>
      </c>
      <c r="V26" s="100">
        <f>'cc2011-2015'!V26+'TONG TP'!AA31</f>
        <v>7.0000000000000007E-2</v>
      </c>
      <c r="W26" s="237">
        <f>D26-BE26</f>
        <v>-3.4699999999999998</v>
      </c>
      <c r="X26" s="100">
        <f>'cc2011-2015'!X26+'TONG TP'!AC31</f>
        <v>0</v>
      </c>
      <c r="Y26" s="100">
        <f>'cc2011-2015'!Y26+'TONG TP'!AD31</f>
        <v>0</v>
      </c>
      <c r="Z26" s="100">
        <f t="shared" si="12"/>
        <v>2.33</v>
      </c>
      <c r="AA26" s="100">
        <f>'cc2011-2015'!AA26+'TONG TP'!AF31</f>
        <v>0</v>
      </c>
      <c r="AB26" s="100">
        <f>'cc2011-2015'!AB26+'TONG TP'!AG31</f>
        <v>0</v>
      </c>
      <c r="AC26" s="100">
        <f>'cc2011-2015'!AC26+'TONG TP'!AH31</f>
        <v>0</v>
      </c>
      <c r="AD26" s="100">
        <f>'cc2011-2015'!AD26+'TONG TP'!AI31</f>
        <v>0</v>
      </c>
      <c r="AE26" s="100">
        <f>'cc2011-2015'!AE26+'TONG TP'!AJ31</f>
        <v>0</v>
      </c>
      <c r="AF26" s="100">
        <f>'cc2011-2015'!AF26+'TONG TP'!AK31</f>
        <v>0</v>
      </c>
      <c r="AG26" s="100">
        <f>'cc2011-2015'!AG26+'TONG TP'!AL31</f>
        <v>2.33</v>
      </c>
      <c r="AH26" s="100">
        <f>'cc2011-2015'!AH26+'TONG TP'!AM31</f>
        <v>0</v>
      </c>
      <c r="AI26" s="100">
        <f>'cc2011-2015'!AI26+'TONG TP'!AN31</f>
        <v>0</v>
      </c>
      <c r="AJ26" s="100">
        <f>'cc2011-2015'!AJ26+'TONG TP'!AO31</f>
        <v>0</v>
      </c>
      <c r="AK26" s="100">
        <f>'cc2011-2015'!AK26+'TONG TP'!AP31</f>
        <v>0</v>
      </c>
      <c r="AL26" s="100">
        <f>'cc2011-2015'!AL26+'TONG TP'!AQ31</f>
        <v>0</v>
      </c>
      <c r="AM26" s="100">
        <f>'cc2011-2015'!AM26+'TONG TP'!AR31</f>
        <v>0</v>
      </c>
      <c r="AN26" s="100">
        <f>'cc2011-2015'!AN26+'TONG TP'!AS31</f>
        <v>0</v>
      </c>
      <c r="AO26" s="100">
        <f>'cc2011-2015'!AO26+'TONG TP'!AT31</f>
        <v>0</v>
      </c>
      <c r="AP26" s="100">
        <f>'cc2011-2015'!AP26+'TONG TP'!AU31</f>
        <v>0</v>
      </c>
      <c r="AQ26" s="100">
        <f>'cc2011-2015'!AQ26+'TONG TP'!AV31</f>
        <v>0</v>
      </c>
      <c r="AR26" s="100">
        <f>'cc2011-2015'!AR26+'TONG TP'!AW31</f>
        <v>0</v>
      </c>
      <c r="AS26" s="100">
        <f>'cc2011-2015'!AS26+'TONG TP'!AX31</f>
        <v>0</v>
      </c>
      <c r="AT26" s="100">
        <f>'cc2011-2015'!AT26+'TONG TP'!AY31</f>
        <v>0</v>
      </c>
      <c r="AU26" s="100">
        <f>'cc2011-2015'!AU26+'TONG TP'!AZ31</f>
        <v>0</v>
      </c>
      <c r="AV26" s="100">
        <f>'cc2011-2015'!AV26+'TONG TP'!BA31</f>
        <v>0</v>
      </c>
      <c r="AW26" s="100">
        <f>'cc2011-2015'!AW26+'TONG TP'!BB31</f>
        <v>0</v>
      </c>
      <c r="AX26" s="100">
        <f>'cc2011-2015'!AX26+'TONG TP'!BC31</f>
        <v>0</v>
      </c>
      <c r="AY26" s="100">
        <f>'cc2011-2015'!AY26+'TONG TP'!BD31</f>
        <v>0</v>
      </c>
      <c r="AZ26" s="100">
        <f>'cc2011-2015'!AZ26+'TONG TP'!BE31</f>
        <v>0</v>
      </c>
      <c r="BA26" s="100">
        <f>'cc2011-2015'!BA26+'TONG TP'!BF31</f>
        <v>0</v>
      </c>
      <c r="BB26" s="100">
        <f>'cc2011-2015'!BB26+'TONG TP'!BG31</f>
        <v>0</v>
      </c>
      <c r="BC26" s="100">
        <f>'cc2011-2015'!BC26</f>
        <v>0</v>
      </c>
      <c r="BD26" s="100">
        <f>'cc2011-2015'!BD26</f>
        <v>0</v>
      </c>
      <c r="BE26" s="100">
        <f>BC26+AS26+AP26+AO26+AN26+AM26+AL26+Z26+Y26+X26+V26+U26+S26+R26+T26+E26+AR26+AQ26+AT26+AU26+AV26+AW26+AX26+AY26+AZ26+BA26+BB26+BD26</f>
        <v>3.4699999999999998</v>
      </c>
      <c r="BF26" s="100">
        <f>W60-BE26</f>
        <v>101.28000000000002</v>
      </c>
      <c r="BG26" s="100">
        <f>D26+BF26</f>
        <v>101.28000000000002</v>
      </c>
      <c r="BH26" s="191">
        <f>'BIEN DONG'!AT24</f>
        <v>11.53</v>
      </c>
      <c r="BI26" s="191">
        <f>'TONG TP'!BN31</f>
        <v>439.70717000000002</v>
      </c>
      <c r="BJ26" s="67">
        <f t="shared" si="4"/>
        <v>-338.42716999999999</v>
      </c>
      <c r="BK26" s="247">
        <f t="shared" si="5"/>
        <v>0.33553256020818401</v>
      </c>
    </row>
    <row r="27" spans="1:64" s="2" customFormat="1" ht="25.5" customHeight="1">
      <c r="A27" s="5" t="s">
        <v>65</v>
      </c>
      <c r="B27" s="72" t="s">
        <v>66</v>
      </c>
      <c r="C27" s="5" t="s">
        <v>67</v>
      </c>
      <c r="D27" s="100">
        <f>206.83+8.52</f>
        <v>215.35000000000002</v>
      </c>
      <c r="E27" s="100">
        <f t="shared" si="11"/>
        <v>0</v>
      </c>
      <c r="F27" s="100">
        <f t="shared" si="16"/>
        <v>0</v>
      </c>
      <c r="G27" s="100">
        <f>'cc2011-2015'!G27+'TONG TP'!I32</f>
        <v>0</v>
      </c>
      <c r="H27" s="100">
        <f>'cc2011-2015'!H27+'TONG TP'!J32</f>
        <v>0</v>
      </c>
      <c r="I27" s="100"/>
      <c r="J27" s="100"/>
      <c r="K27" s="100">
        <f>'cc2011-2015'!K27+'TONG TP'!P32</f>
        <v>0</v>
      </c>
      <c r="L27" s="100"/>
      <c r="M27" s="100">
        <f>'cc2011-2015'!M27+'TONG TP'!R32</f>
        <v>0</v>
      </c>
      <c r="N27" s="100">
        <f>'cc2011-2015'!N27+'TONG TP'!S32</f>
        <v>0</v>
      </c>
      <c r="O27" s="100">
        <f>'cc2011-2015'!O27+'TONG TP'!T32</f>
        <v>0</v>
      </c>
      <c r="P27" s="100">
        <f>'cc2011-2015'!P27+'TONG TP'!U32</f>
        <v>0</v>
      </c>
      <c r="Q27" s="100">
        <f t="shared" si="17"/>
        <v>192.35000000000002</v>
      </c>
      <c r="R27" s="100">
        <f>'cc2011-2015'!R27+'TONG TP'!W32</f>
        <v>0</v>
      </c>
      <c r="S27" s="100">
        <f>'cc2011-2015'!S27+'TONG TP'!X32</f>
        <v>0</v>
      </c>
      <c r="T27" s="100">
        <f>'cc2011-2015'!T27+'TONG TP'!Y32</f>
        <v>0.95</v>
      </c>
      <c r="U27" s="100">
        <f>'cc2011-2015'!U27+'TONG TP'!Z32</f>
        <v>0</v>
      </c>
      <c r="V27" s="100">
        <f>'cc2011-2015'!V27+'TONG TP'!AA32</f>
        <v>0</v>
      </c>
      <c r="W27" s="100">
        <f>'cc2011-2015'!W27+'TONG TP'!AB32</f>
        <v>13.46</v>
      </c>
      <c r="X27" s="237">
        <f>D27-BE27</f>
        <v>175.09000000000003</v>
      </c>
      <c r="Y27" s="100">
        <f>'cc2011-2015'!Y27+'TONG TP'!AD32</f>
        <v>0</v>
      </c>
      <c r="Z27" s="100">
        <f t="shared" si="12"/>
        <v>2.75</v>
      </c>
      <c r="AA27" s="100">
        <f>'cc2011-2015'!AA27+'TONG TP'!AF32</f>
        <v>0</v>
      </c>
      <c r="AB27" s="100">
        <f>'cc2011-2015'!AB27+'TONG TP'!AG32</f>
        <v>0</v>
      </c>
      <c r="AC27" s="100">
        <f>'cc2011-2015'!AC27+'TONG TP'!AH32</f>
        <v>0</v>
      </c>
      <c r="AD27" s="100">
        <f>'cc2011-2015'!AD27+'TONG TP'!AI32</f>
        <v>0</v>
      </c>
      <c r="AE27" s="100">
        <f>'cc2011-2015'!AE27+'TONG TP'!AJ32</f>
        <v>0</v>
      </c>
      <c r="AF27" s="100">
        <f>'cc2011-2015'!AF27+'TONG TP'!AK32</f>
        <v>0</v>
      </c>
      <c r="AG27" s="100">
        <f>'cc2011-2015'!AG27+'TONG TP'!AL32</f>
        <v>2.75</v>
      </c>
      <c r="AH27" s="100">
        <f>'cc2011-2015'!AH27+'TONG TP'!AM32</f>
        <v>0</v>
      </c>
      <c r="AI27" s="100">
        <f>'cc2011-2015'!AI27+'TONG TP'!AN32</f>
        <v>0</v>
      </c>
      <c r="AJ27" s="100">
        <f>'cc2011-2015'!AJ27+'TONG TP'!AO32</f>
        <v>0</v>
      </c>
      <c r="AK27" s="100">
        <f>'cc2011-2015'!AK27+'TONG TP'!AP32</f>
        <v>0</v>
      </c>
      <c r="AL27" s="100">
        <f>'cc2011-2015'!AL27+'TONG TP'!AQ32</f>
        <v>0</v>
      </c>
      <c r="AM27" s="100">
        <f>'cc2011-2015'!AM27+'TONG TP'!AR32</f>
        <v>0</v>
      </c>
      <c r="AN27" s="100">
        <f>'cc2011-2015'!AN27+'TONG TP'!AS32</f>
        <v>0</v>
      </c>
      <c r="AO27" s="100">
        <f>'cc2011-2015'!AO27+'TONG TP'!AT32</f>
        <v>0</v>
      </c>
      <c r="AP27" s="100">
        <f>'cc2011-2015'!AP27+'TONG TP'!AU32</f>
        <v>0.1</v>
      </c>
      <c r="AQ27" s="100">
        <f>'cc2011-2015'!AQ27+'TONG TP'!AV32</f>
        <v>0</v>
      </c>
      <c r="AR27" s="100">
        <f>'cc2011-2015'!AR27+'TONG TP'!AW32</f>
        <v>0</v>
      </c>
      <c r="AS27" s="100">
        <f>'cc2011-2015'!AS27+'TONG TP'!AX32</f>
        <v>0</v>
      </c>
      <c r="AT27" s="100">
        <f>'cc2011-2015'!AT27+'TONG TP'!AY32</f>
        <v>0</v>
      </c>
      <c r="AU27" s="100">
        <f>'cc2011-2015'!AU27+'TONG TP'!AZ32</f>
        <v>0</v>
      </c>
      <c r="AV27" s="100">
        <f>'cc2011-2015'!AV27+'TONG TP'!BA32</f>
        <v>0</v>
      </c>
      <c r="AW27" s="100">
        <f>'cc2011-2015'!AW27+'TONG TP'!BB32</f>
        <v>0</v>
      </c>
      <c r="AX27" s="100">
        <f>'cc2011-2015'!AX27+'TONG TP'!BC32</f>
        <v>0</v>
      </c>
      <c r="AY27" s="100">
        <f>'cc2011-2015'!AY27+'TONG TP'!BD32</f>
        <v>0</v>
      </c>
      <c r="AZ27" s="100">
        <f>'cc2011-2015'!AZ27+'TONG TP'!BE32</f>
        <v>0</v>
      </c>
      <c r="BA27" s="100">
        <f>'cc2011-2015'!BA27+'TONG TP'!BF32</f>
        <v>0</v>
      </c>
      <c r="BB27" s="100">
        <f>'cc2011-2015'!BB27+'TONG TP'!BG32</f>
        <v>0</v>
      </c>
      <c r="BC27" s="100">
        <f>'cc2011-2015'!BC27</f>
        <v>1.06</v>
      </c>
      <c r="BD27" s="100">
        <f>'cc2011-2015'!BD27</f>
        <v>21.939999999999998</v>
      </c>
      <c r="BE27" s="100">
        <f>BC27+AS27+AP27+AO27+AN27+AM27+AL27+Z27+Y27+W27+V27+U27+S27+R27+T27+E27+AR27+AQ27+AT27+AU27+AV27+AW27+AX27+AY27+AZ27+BA27+BB27+BD27</f>
        <v>40.26</v>
      </c>
      <c r="BF27" s="100">
        <f>X60-BE27</f>
        <v>245.66000000000003</v>
      </c>
      <c r="BG27" s="100">
        <f t="shared" si="15"/>
        <v>461.01000000000005</v>
      </c>
      <c r="BH27" s="191">
        <f>'BIEN DONG'!AT25</f>
        <v>357.04000000000008</v>
      </c>
      <c r="BI27" s="191">
        <f>'TONG TP'!BN32</f>
        <v>230.09</v>
      </c>
      <c r="BJ27" s="67">
        <f t="shared" si="4"/>
        <v>230.92000000000004</v>
      </c>
      <c r="BK27" s="247">
        <f t="shared" si="5"/>
        <v>1.5272893521087569</v>
      </c>
      <c r="BL27" s="2">
        <f>1766.8-BG27</f>
        <v>1305.79</v>
      </c>
    </row>
    <row r="28" spans="1:64" s="2" customFormat="1" ht="25.5" customHeight="1">
      <c r="A28" s="5" t="s">
        <v>68</v>
      </c>
      <c r="B28" s="72" t="s">
        <v>69</v>
      </c>
      <c r="C28" s="5" t="s">
        <v>70</v>
      </c>
      <c r="D28" s="100">
        <v>2.84</v>
      </c>
      <c r="E28" s="100">
        <f t="shared" si="11"/>
        <v>2.84</v>
      </c>
      <c r="F28" s="100">
        <f t="shared" si="16"/>
        <v>0</v>
      </c>
      <c r="G28" s="100">
        <f>'cc2011-2015'!G28+'TONG TP'!I33</f>
        <v>0</v>
      </c>
      <c r="H28" s="100">
        <f>'cc2011-2015'!H28+'TONG TP'!J33</f>
        <v>0</v>
      </c>
      <c r="I28" s="100"/>
      <c r="J28" s="100"/>
      <c r="K28" s="100">
        <f>'cc2011-2015'!K28+'TONG TP'!P33</f>
        <v>0</v>
      </c>
      <c r="L28" s="100"/>
      <c r="M28" s="100">
        <f>'cc2011-2015'!M28+'TONG TP'!R33</f>
        <v>2.84</v>
      </c>
      <c r="N28" s="100">
        <f>'cc2011-2015'!N28+'TONG TP'!S33</f>
        <v>0</v>
      </c>
      <c r="O28" s="100">
        <f>'cc2011-2015'!O28+'TONG TP'!T33</f>
        <v>0</v>
      </c>
      <c r="P28" s="100">
        <f>'cc2011-2015'!P28+'TONG TP'!U33</f>
        <v>0</v>
      </c>
      <c r="Q28" s="100">
        <f t="shared" si="17"/>
        <v>0</v>
      </c>
      <c r="R28" s="100">
        <f>'cc2011-2015'!R28+'TONG TP'!W33</f>
        <v>0</v>
      </c>
      <c r="S28" s="100">
        <f>'cc2011-2015'!S28+'TONG TP'!X33</f>
        <v>0</v>
      </c>
      <c r="T28" s="100">
        <f>'cc2011-2015'!T28+'TONG TP'!Y33</f>
        <v>0</v>
      </c>
      <c r="U28" s="100">
        <f>'cc2011-2015'!U28+'TONG TP'!Z33</f>
        <v>0</v>
      </c>
      <c r="V28" s="100">
        <f>'cc2011-2015'!V28+'TONG TP'!AA33</f>
        <v>0</v>
      </c>
      <c r="W28" s="100">
        <f>'cc2011-2015'!W28+'TONG TP'!AB33</f>
        <v>0</v>
      </c>
      <c r="X28" s="100">
        <f>'cc2011-2015'!X28+'TONG TP'!AC33</f>
        <v>0</v>
      </c>
      <c r="Y28" s="237">
        <f>D28-BE28</f>
        <v>0</v>
      </c>
      <c r="Z28" s="100">
        <f t="shared" si="12"/>
        <v>0</v>
      </c>
      <c r="AA28" s="100">
        <f>'cc2011-2015'!AA28+'TONG TP'!AF33</f>
        <v>0</v>
      </c>
      <c r="AB28" s="100">
        <f>'cc2011-2015'!AB28+'TONG TP'!AG33</f>
        <v>0</v>
      </c>
      <c r="AC28" s="100">
        <f>'cc2011-2015'!AC28+'TONG TP'!AH33</f>
        <v>0</v>
      </c>
      <c r="AD28" s="100">
        <f>'cc2011-2015'!AD28+'TONG TP'!AI33</f>
        <v>0</v>
      </c>
      <c r="AE28" s="100">
        <f>'cc2011-2015'!AE28+'TONG TP'!AJ33</f>
        <v>0</v>
      </c>
      <c r="AF28" s="100">
        <f>'cc2011-2015'!AF28+'TONG TP'!AK33</f>
        <v>0</v>
      </c>
      <c r="AG28" s="100">
        <f>'cc2011-2015'!AG28+'TONG TP'!AL33</f>
        <v>0</v>
      </c>
      <c r="AH28" s="100">
        <f>'cc2011-2015'!AH28+'TONG TP'!AM33</f>
        <v>0</v>
      </c>
      <c r="AI28" s="100">
        <f>'cc2011-2015'!AI28+'TONG TP'!AN33</f>
        <v>0</v>
      </c>
      <c r="AJ28" s="100">
        <f>'cc2011-2015'!AJ28+'TONG TP'!AO33</f>
        <v>0</v>
      </c>
      <c r="AK28" s="100">
        <f>'cc2011-2015'!AK28+'TONG TP'!AP33</f>
        <v>0</v>
      </c>
      <c r="AL28" s="100">
        <f>'cc2011-2015'!AL28+'TONG TP'!AQ33</f>
        <v>0</v>
      </c>
      <c r="AM28" s="100">
        <f>'cc2011-2015'!AM28+'TONG TP'!AR33</f>
        <v>0</v>
      </c>
      <c r="AN28" s="100">
        <f>'cc2011-2015'!AN28+'TONG TP'!AS33</f>
        <v>0</v>
      </c>
      <c r="AO28" s="100">
        <f>'cc2011-2015'!AO28+'TONG TP'!AT33</f>
        <v>0</v>
      </c>
      <c r="AP28" s="100">
        <f>'cc2011-2015'!AP28+'TONG TP'!AU33</f>
        <v>0</v>
      </c>
      <c r="AQ28" s="100">
        <f>'cc2011-2015'!AQ28+'TONG TP'!AV33</f>
        <v>0</v>
      </c>
      <c r="AR28" s="100">
        <f>'cc2011-2015'!AR28+'TONG TP'!AW33</f>
        <v>0</v>
      </c>
      <c r="AS28" s="100">
        <f>'cc2011-2015'!AS28+'TONG TP'!AX33</f>
        <v>0</v>
      </c>
      <c r="AT28" s="100">
        <f>'cc2011-2015'!AT28+'TONG TP'!AY33</f>
        <v>0</v>
      </c>
      <c r="AU28" s="100">
        <f>'cc2011-2015'!AU28+'TONG TP'!AZ33</f>
        <v>0</v>
      </c>
      <c r="AV28" s="100">
        <f>'cc2011-2015'!AV28+'TONG TP'!BA33</f>
        <v>0</v>
      </c>
      <c r="AW28" s="100">
        <f>'cc2011-2015'!AW28+'TONG TP'!BB33</f>
        <v>0</v>
      </c>
      <c r="AX28" s="100">
        <f>'cc2011-2015'!AX28+'TONG TP'!BC33</f>
        <v>0</v>
      </c>
      <c r="AY28" s="100">
        <f>'cc2011-2015'!AY28+'TONG TP'!BD33</f>
        <v>0</v>
      </c>
      <c r="AZ28" s="100">
        <f>'cc2011-2015'!AZ28+'TONG TP'!BE33</f>
        <v>0</v>
      </c>
      <c r="BA28" s="100">
        <f>'cc2011-2015'!BA28+'TONG TP'!BF33</f>
        <v>0</v>
      </c>
      <c r="BB28" s="100">
        <f>'cc2011-2015'!BB28+'TONG TP'!BG33</f>
        <v>0</v>
      </c>
      <c r="BC28" s="100">
        <f>'cc2011-2015'!BC28</f>
        <v>0</v>
      </c>
      <c r="BD28" s="100">
        <f>'cc2011-2015'!BD28</f>
        <v>0</v>
      </c>
      <c r="BE28" s="100">
        <f>BC28+AS28+AP28+AO28+AN28+AM28+AL28+Z28+X28+W28+V28+U28+S28+R28+T28+E28+AR28+AQ28+AT28+AU28+AV28+AW28+AX28+AY28+AZ28+BA28+BB28+BD28</f>
        <v>2.84</v>
      </c>
      <c r="BF28" s="100">
        <f>Y60-BE28</f>
        <v>-2.84</v>
      </c>
      <c r="BG28" s="100">
        <f t="shared" si="15"/>
        <v>0</v>
      </c>
      <c r="BH28" s="191"/>
      <c r="BI28" s="191">
        <f>'TONG TP'!BN33</f>
        <v>0</v>
      </c>
      <c r="BJ28" s="67">
        <f t="shared" si="4"/>
        <v>0</v>
      </c>
      <c r="BK28" s="247">
        <f t="shared" si="5"/>
        <v>0</v>
      </c>
    </row>
    <row r="29" spans="1:64" s="2" customFormat="1" ht="36.75" customHeight="1">
      <c r="A29" s="5" t="s">
        <v>71</v>
      </c>
      <c r="B29" s="72" t="s">
        <v>135</v>
      </c>
      <c r="C29" s="5" t="s">
        <v>72</v>
      </c>
      <c r="D29" s="100">
        <f>1264.2</f>
        <v>1264.2</v>
      </c>
      <c r="E29" s="100">
        <f>SUM(E30:E40)</f>
        <v>18.98</v>
      </c>
      <c r="F29" s="100">
        <f t="shared" ref="F29:P29" si="18">SUM(F30:F40)</f>
        <v>0</v>
      </c>
      <c r="G29" s="100">
        <f t="shared" si="18"/>
        <v>0</v>
      </c>
      <c r="H29" s="100">
        <f t="shared" si="18"/>
        <v>0</v>
      </c>
      <c r="I29" s="100">
        <f t="shared" si="18"/>
        <v>0</v>
      </c>
      <c r="J29" s="100">
        <f t="shared" si="18"/>
        <v>0</v>
      </c>
      <c r="K29" s="100">
        <f t="shared" si="18"/>
        <v>0</v>
      </c>
      <c r="L29" s="100">
        <f t="shared" si="18"/>
        <v>0</v>
      </c>
      <c r="M29" s="100">
        <f t="shared" si="18"/>
        <v>0</v>
      </c>
      <c r="N29" s="100">
        <f t="shared" si="18"/>
        <v>18.98</v>
      </c>
      <c r="O29" s="100">
        <f t="shared" si="18"/>
        <v>0</v>
      </c>
      <c r="P29" s="100">
        <f t="shared" si="18"/>
        <v>0</v>
      </c>
      <c r="Q29" s="100">
        <f t="shared" si="17"/>
        <v>1245.2200000000003</v>
      </c>
      <c r="R29" s="379">
        <f>SUM(R30:R40)</f>
        <v>0.2</v>
      </c>
      <c r="S29" s="379">
        <f t="shared" ref="S29:Y29" si="19">SUM(S30:S40)</f>
        <v>0.66</v>
      </c>
      <c r="T29" s="379">
        <f t="shared" si="19"/>
        <v>1.1600000000000001</v>
      </c>
      <c r="U29" s="379">
        <f t="shared" si="19"/>
        <v>0</v>
      </c>
      <c r="V29" s="379">
        <f t="shared" si="19"/>
        <v>11.440000000000001</v>
      </c>
      <c r="W29" s="379">
        <f t="shared" si="19"/>
        <v>2.12</v>
      </c>
      <c r="X29" s="379">
        <f t="shared" si="19"/>
        <v>7.37</v>
      </c>
      <c r="Y29" s="379">
        <f t="shared" si="19"/>
        <v>0</v>
      </c>
      <c r="Z29" s="237">
        <f>D29-BE29</f>
        <v>1200.93</v>
      </c>
      <c r="AA29" s="379">
        <f>SUM(AA30:AA40)</f>
        <v>1.1400000000000015</v>
      </c>
      <c r="AB29" s="379">
        <f t="shared" ref="AB29:BB29" si="20">SUM(AB30:AB40)</f>
        <v>11.28</v>
      </c>
      <c r="AC29" s="379">
        <f t="shared" si="20"/>
        <v>112.53</v>
      </c>
      <c r="AD29" s="379">
        <f t="shared" si="20"/>
        <v>9.92</v>
      </c>
      <c r="AE29" s="379">
        <f t="shared" si="20"/>
        <v>0</v>
      </c>
      <c r="AF29" s="379">
        <f t="shared" si="20"/>
        <v>0</v>
      </c>
      <c r="AG29" s="379">
        <f t="shared" si="20"/>
        <v>575.49</v>
      </c>
      <c r="AH29" s="379">
        <f t="shared" si="20"/>
        <v>496.12</v>
      </c>
      <c r="AI29" s="379">
        <f t="shared" si="20"/>
        <v>1.65</v>
      </c>
      <c r="AJ29" s="379">
        <f t="shared" si="20"/>
        <v>0.46</v>
      </c>
      <c r="AK29" s="379">
        <f t="shared" si="20"/>
        <v>7.55</v>
      </c>
      <c r="AL29" s="379">
        <f t="shared" si="20"/>
        <v>0</v>
      </c>
      <c r="AM29" s="379">
        <f t="shared" si="20"/>
        <v>0</v>
      </c>
      <c r="AN29" s="379">
        <f t="shared" si="20"/>
        <v>0.43</v>
      </c>
      <c r="AO29" s="379">
        <f t="shared" si="20"/>
        <v>2.09</v>
      </c>
      <c r="AP29" s="379">
        <f t="shared" si="20"/>
        <v>3.0600000000000005</v>
      </c>
      <c r="AQ29" s="379">
        <f t="shared" si="20"/>
        <v>1.3900000000000001</v>
      </c>
      <c r="AR29" s="379">
        <f t="shared" si="20"/>
        <v>0</v>
      </c>
      <c r="AS29" s="379">
        <f t="shared" si="20"/>
        <v>0</v>
      </c>
      <c r="AT29" s="379">
        <f t="shared" si="20"/>
        <v>0.01</v>
      </c>
      <c r="AU29" s="379">
        <f t="shared" si="20"/>
        <v>0</v>
      </c>
      <c r="AV29" s="379">
        <f t="shared" si="20"/>
        <v>2.27</v>
      </c>
      <c r="AW29" s="379">
        <f t="shared" si="20"/>
        <v>6.91</v>
      </c>
      <c r="AX29" s="379">
        <f t="shared" si="20"/>
        <v>2.38</v>
      </c>
      <c r="AY29" s="379">
        <f t="shared" si="20"/>
        <v>0.06</v>
      </c>
      <c r="AZ29" s="379">
        <f t="shared" si="20"/>
        <v>0</v>
      </c>
      <c r="BA29" s="379">
        <f t="shared" si="20"/>
        <v>2.7399999999999998</v>
      </c>
      <c r="BB29" s="379">
        <f t="shared" si="20"/>
        <v>0</v>
      </c>
      <c r="BC29" s="100">
        <f>'cc2011-2015'!BC29</f>
        <v>0</v>
      </c>
      <c r="BD29" s="100">
        <f>'cc2011-2015'!BD29</f>
        <v>0</v>
      </c>
      <c r="BE29" s="100">
        <f>BC29+AS29+AP29+AO29+AN29+AM29+AL29+Y29+X29+W29+V29+U29+S29+R29+T29+E29+AR29+AQ29+AT29+AU29+AV29+AW29+AX29+AY29+AZ29+BA29+BB29+BD29</f>
        <v>63.27000000000001</v>
      </c>
      <c r="BF29" s="100">
        <f>Z60-BE29</f>
        <v>581.40999999999985</v>
      </c>
      <c r="BG29" s="100">
        <f>D29+BF29</f>
        <v>1845.61</v>
      </c>
      <c r="BH29" s="191">
        <f>'BIEN DONG'!AT27</f>
        <v>1665.54</v>
      </c>
      <c r="BI29" s="191">
        <f>'TONG TP'!BN34</f>
        <v>2326.9724999999994</v>
      </c>
      <c r="BJ29" s="67">
        <f t="shared" si="4"/>
        <v>-481.3624999999995</v>
      </c>
      <c r="BK29" s="247">
        <f t="shared" si="5"/>
        <v>6.1143586931854887</v>
      </c>
      <c r="BL29" s="190">
        <f>2256.71-BG29</f>
        <v>411.10000000000014</v>
      </c>
    </row>
    <row r="30" spans="1:64" s="21" customFormat="1" ht="24.75" hidden="1" customHeight="1">
      <c r="A30" s="213" t="s">
        <v>224</v>
      </c>
      <c r="B30" s="19" t="s">
        <v>478</v>
      </c>
      <c r="C30" s="20" t="s">
        <v>202</v>
      </c>
      <c r="D30" s="100">
        <v>9.42</v>
      </c>
      <c r="E30" s="100">
        <f t="shared" si="11"/>
        <v>0</v>
      </c>
      <c r="F30" s="100">
        <f t="shared" si="16"/>
        <v>0</v>
      </c>
      <c r="G30" s="100">
        <f>'cc2011-2015'!G30+'TONG TP'!I35</f>
        <v>0</v>
      </c>
      <c r="H30" s="100">
        <f>'cc2011-2015'!H30+'TONG TP'!J35</f>
        <v>0</v>
      </c>
      <c r="I30" s="100">
        <f>'cc2011-2015'!I30+'TONG TP'!M35</f>
        <v>0</v>
      </c>
      <c r="J30" s="100">
        <f>'cc2011-2015'!J30+'TONG TP'!N35</f>
        <v>0</v>
      </c>
      <c r="K30" s="100">
        <f>'cc2011-2015'!K30+'TONG TP'!P35</f>
        <v>0</v>
      </c>
      <c r="L30" s="100"/>
      <c r="M30" s="100">
        <f>'cc2011-2015'!M30+'TONG TP'!R35</f>
        <v>0</v>
      </c>
      <c r="N30" s="100">
        <f>'cc2011-2015'!N30+'TONG TP'!S35</f>
        <v>0</v>
      </c>
      <c r="O30" s="100">
        <f>'cc2011-2015'!O30+'TONG TP'!T35</f>
        <v>0</v>
      </c>
      <c r="P30" s="100">
        <f>'cc2011-2015'!P30+'TONG TP'!U35</f>
        <v>0</v>
      </c>
      <c r="Q30" s="100">
        <f t="shared" si="17"/>
        <v>9.4200000000000017</v>
      </c>
      <c r="R30" s="100">
        <f>'cc2011-2015'!R30+'TONG TP'!W35</f>
        <v>0.16</v>
      </c>
      <c r="S30" s="100">
        <f>'cc2011-2015'!S30+'TONG TP'!X35</f>
        <v>0</v>
      </c>
      <c r="T30" s="100">
        <f>'cc2011-2015'!T30+'TONG TP'!Y35</f>
        <v>0</v>
      </c>
      <c r="U30" s="100">
        <f>'cc2011-2015'!U30+'TONG TP'!Z35</f>
        <v>0</v>
      </c>
      <c r="V30" s="100">
        <f>'cc2011-2015'!V30+'TONG TP'!AA35</f>
        <v>0</v>
      </c>
      <c r="W30" s="100">
        <f>'cc2011-2015'!W30+'TONG TP'!AB35</f>
        <v>0</v>
      </c>
      <c r="X30" s="100">
        <f>'cc2011-2015'!X30+'TONG TP'!AC35</f>
        <v>0</v>
      </c>
      <c r="Y30" s="100">
        <f>'cc2011-2015'!Y30+'TONG TP'!AD35</f>
        <v>0</v>
      </c>
      <c r="Z30" s="100">
        <f>SUM(AA30:AK30)</f>
        <v>1.1500000000000015</v>
      </c>
      <c r="AA30" s="237">
        <f>D30-BE30</f>
        <v>1.1000000000000014</v>
      </c>
      <c r="AB30" s="100">
        <f>'cc2011-2015'!AB30+'TONG TP'!AG35</f>
        <v>0</v>
      </c>
      <c r="AC30" s="100">
        <f>'cc2011-2015'!AC30+'TONG TP'!AH35</f>
        <v>0.04</v>
      </c>
      <c r="AD30" s="100">
        <f>'cc2011-2015'!AD30+'TONG TP'!AI35</f>
        <v>0</v>
      </c>
      <c r="AE30" s="100">
        <f>'cc2011-2015'!AE30+'TONG TP'!AJ35</f>
        <v>0</v>
      </c>
      <c r="AF30" s="100">
        <f>'cc2011-2015'!AF30+'TONG TP'!AK35</f>
        <v>0</v>
      </c>
      <c r="AG30" s="100">
        <f>'cc2011-2015'!AG30+'TONG TP'!AL35</f>
        <v>0.01</v>
      </c>
      <c r="AH30" s="100">
        <f>'cc2011-2015'!AH30+'TONG TP'!AM35</f>
        <v>0</v>
      </c>
      <c r="AI30" s="100">
        <f>'cc2011-2015'!AI30+'TONG TP'!AN35</f>
        <v>0</v>
      </c>
      <c r="AJ30" s="100">
        <f>'cc2011-2015'!AJ30+'TONG TP'!AO35</f>
        <v>0</v>
      </c>
      <c r="AK30" s="100">
        <f>'cc2011-2015'!AK30+'TONG TP'!AP35</f>
        <v>0</v>
      </c>
      <c r="AL30" s="100">
        <f>'cc2011-2015'!AL30+'TONG TP'!AQ35</f>
        <v>0</v>
      </c>
      <c r="AM30" s="100">
        <f>'cc2011-2015'!AM30+'TONG TP'!AR35</f>
        <v>0</v>
      </c>
      <c r="AN30" s="100">
        <f>'cc2011-2015'!AN30+'TONG TP'!AS35</f>
        <v>0</v>
      </c>
      <c r="AO30" s="100">
        <f>'cc2011-2015'!AO30+'TONG TP'!AT35</f>
        <v>0</v>
      </c>
      <c r="AP30" s="100">
        <f>'cc2011-2015'!AP30+'TONG TP'!AU35</f>
        <v>0</v>
      </c>
      <c r="AQ30" s="100">
        <f>'cc2011-2015'!AQ30+'TONG TP'!AV35</f>
        <v>0</v>
      </c>
      <c r="AR30" s="100">
        <f>'cc2011-2015'!AR30+'TONG TP'!AW35</f>
        <v>0</v>
      </c>
      <c r="AS30" s="100">
        <f>'cc2011-2015'!AS30+'TONG TP'!AX35</f>
        <v>0</v>
      </c>
      <c r="AT30" s="100">
        <f>'cc2011-2015'!AT30+'TONG TP'!AY35</f>
        <v>0</v>
      </c>
      <c r="AU30" s="100">
        <f>'cc2011-2015'!AU30+'TONG TP'!AZ35</f>
        <v>0</v>
      </c>
      <c r="AV30" s="100">
        <f>'cc2011-2015'!AV30+'TONG TP'!BA35</f>
        <v>0</v>
      </c>
      <c r="AW30" s="100">
        <f>'cc2011-2015'!AW30+'TONG TP'!BB35</f>
        <v>6.91</v>
      </c>
      <c r="AX30" s="100">
        <f>'cc2011-2015'!AX30+'TONG TP'!BC35</f>
        <v>1.2</v>
      </c>
      <c r="AY30" s="100">
        <f>'cc2011-2015'!AY30+'TONG TP'!BD35</f>
        <v>0</v>
      </c>
      <c r="AZ30" s="100">
        <f>'cc2011-2015'!AZ30+'TONG TP'!BE35</f>
        <v>0</v>
      </c>
      <c r="BA30" s="100">
        <f>'cc2011-2015'!BA30+'TONG TP'!BF35</f>
        <v>0</v>
      </c>
      <c r="BB30" s="100">
        <f>'cc2011-2015'!BB30+'TONG TP'!BG35</f>
        <v>0</v>
      </c>
      <c r="BC30" s="100">
        <f>'cc2011-2015'!BC30</f>
        <v>0</v>
      </c>
      <c r="BD30" s="100">
        <f>'cc2011-2015'!BD30</f>
        <v>0</v>
      </c>
      <c r="BE30" s="100">
        <f>BC30+AS30+AP30+AO30+AN30+AM30+AL30+Y30+X30+W30+V30+U30+S30+R30+T30+E30+AR30+AQ30+AT30+AU30+AV30+AW30+AX30+AY30+AZ30+BA30+BB30+BD30+AB30+AC30+AD30+AE30+AF30+AG30+AH30+AI30+AJ30+AK30</f>
        <v>8.3199999999999985</v>
      </c>
      <c r="BF30" s="100">
        <f>AA60-BE30</f>
        <v>-6.6099999999999985</v>
      </c>
      <c r="BG30" s="100">
        <f t="shared" ref="BG30:BG40" si="21">D30+BF30</f>
        <v>2.8100000000000014</v>
      </c>
      <c r="BH30" s="214">
        <v>1.31</v>
      </c>
      <c r="BI30" s="191">
        <f>'TONG TP'!BN35</f>
        <v>17.930000000000003</v>
      </c>
      <c r="BJ30" s="67">
        <f t="shared" si="4"/>
        <v>-15.120000000000001</v>
      </c>
      <c r="BK30" s="247">
        <f t="shared" si="5"/>
        <v>9.3093058272610309E-3</v>
      </c>
      <c r="BL30" s="214">
        <f>196.62-BG30</f>
        <v>193.81</v>
      </c>
    </row>
    <row r="31" spans="1:64" s="21" customFormat="1" ht="24.75" hidden="1" customHeight="1">
      <c r="A31" s="213" t="s">
        <v>225</v>
      </c>
      <c r="B31" s="19" t="s">
        <v>479</v>
      </c>
      <c r="C31" s="20" t="s">
        <v>203</v>
      </c>
      <c r="D31" s="100">
        <v>9.5299999999999994</v>
      </c>
      <c r="E31" s="100">
        <f t="shared" si="11"/>
        <v>0</v>
      </c>
      <c r="F31" s="100">
        <f t="shared" si="16"/>
        <v>0</v>
      </c>
      <c r="G31" s="100">
        <f>'cc2011-2015'!G31+'TONG TP'!I36</f>
        <v>0</v>
      </c>
      <c r="H31" s="100">
        <f>'cc2011-2015'!H31+'TONG TP'!J36</f>
        <v>0</v>
      </c>
      <c r="I31" s="100">
        <f>'cc2011-2015'!I31+'TONG TP'!M36</f>
        <v>0</v>
      </c>
      <c r="J31" s="100">
        <f>'cc2011-2015'!J31+'TONG TP'!N36</f>
        <v>0</v>
      </c>
      <c r="K31" s="100">
        <f>'cc2011-2015'!K31+'TONG TP'!P36</f>
        <v>0</v>
      </c>
      <c r="L31" s="100"/>
      <c r="M31" s="100">
        <f>'cc2011-2015'!M31+'TONG TP'!R36</f>
        <v>0</v>
      </c>
      <c r="N31" s="100">
        <f>'cc2011-2015'!N31+'TONG TP'!S36</f>
        <v>0</v>
      </c>
      <c r="O31" s="100"/>
      <c r="P31" s="100">
        <f>'cc2011-2015'!P31+'TONG TP'!U36</f>
        <v>0</v>
      </c>
      <c r="Q31" s="100">
        <f t="shared" si="17"/>
        <v>9.5299999999999994</v>
      </c>
      <c r="R31" s="100">
        <f>'cc2011-2015'!R31+'TONG TP'!W36</f>
        <v>0</v>
      </c>
      <c r="S31" s="100">
        <f>'cc2011-2015'!S31+'TONG TP'!X36</f>
        <v>0</v>
      </c>
      <c r="T31" s="100">
        <f>'cc2011-2015'!T31+'TONG TP'!Y36</f>
        <v>0</v>
      </c>
      <c r="U31" s="100">
        <f>'cc2011-2015'!U31+'TONG TP'!Z36</f>
        <v>0</v>
      </c>
      <c r="V31" s="100">
        <f>'cc2011-2015'!V31+'TONG TP'!AA36</f>
        <v>0</v>
      </c>
      <c r="W31" s="100">
        <f>'cc2011-2015'!W31+'TONG TP'!AB36</f>
        <v>0</v>
      </c>
      <c r="X31" s="100">
        <f>'cc2011-2015'!X31+'TONG TP'!AC36</f>
        <v>0</v>
      </c>
      <c r="Y31" s="100">
        <f>'cc2011-2015'!Y31+'TONG TP'!AD36</f>
        <v>0</v>
      </c>
      <c r="Z31" s="100">
        <f t="shared" ref="Z31:Z58" si="22">SUM(AA31:AK31)</f>
        <v>9.5299999999999994</v>
      </c>
      <c r="AA31" s="100">
        <f>'cc2011-2015'!AA31+'TONG TP'!AF36</f>
        <v>0</v>
      </c>
      <c r="AB31" s="237">
        <f>D31-BE31</f>
        <v>9.5299999999999994</v>
      </c>
      <c r="AC31" s="100">
        <f>'cc2011-2015'!AC31+'TONG TP'!AH36</f>
        <v>0</v>
      </c>
      <c r="AD31" s="100">
        <f>'cc2011-2015'!AD31+'TONG TP'!AI36</f>
        <v>0</v>
      </c>
      <c r="AE31" s="100">
        <f>'cc2011-2015'!AE31+'TONG TP'!AJ36</f>
        <v>0</v>
      </c>
      <c r="AF31" s="100">
        <f>'cc2011-2015'!AF31+'TONG TP'!AK36</f>
        <v>0</v>
      </c>
      <c r="AG31" s="100">
        <f>'cc2011-2015'!AG31+'TONG TP'!AL36</f>
        <v>0</v>
      </c>
      <c r="AH31" s="100">
        <f>'cc2011-2015'!AH31+'TONG TP'!AM36</f>
        <v>0</v>
      </c>
      <c r="AI31" s="100">
        <f>'cc2011-2015'!AI31+'TONG TP'!AN36</f>
        <v>0</v>
      </c>
      <c r="AJ31" s="100">
        <f>'cc2011-2015'!AJ31+'TONG TP'!AO36</f>
        <v>0</v>
      </c>
      <c r="AK31" s="100">
        <f>'cc2011-2015'!AK31+'TONG TP'!AP36</f>
        <v>0</v>
      </c>
      <c r="AL31" s="100">
        <f>'cc2011-2015'!AL31+'TONG TP'!AQ36</f>
        <v>0</v>
      </c>
      <c r="AM31" s="100">
        <f>'cc2011-2015'!AM31+'TONG TP'!AR36</f>
        <v>0</v>
      </c>
      <c r="AN31" s="100">
        <f>'cc2011-2015'!AN31+'TONG TP'!AS36</f>
        <v>0</v>
      </c>
      <c r="AO31" s="100">
        <f>'cc2011-2015'!AO31+'TONG TP'!AT36</f>
        <v>0</v>
      </c>
      <c r="AP31" s="100">
        <f>'cc2011-2015'!AP31+'TONG TP'!AU36</f>
        <v>0</v>
      </c>
      <c r="AQ31" s="100">
        <f>'cc2011-2015'!AQ31+'TONG TP'!AV36</f>
        <v>0</v>
      </c>
      <c r="AR31" s="100">
        <f>'cc2011-2015'!AR31+'TONG TP'!AW36</f>
        <v>0</v>
      </c>
      <c r="AS31" s="100">
        <f>'cc2011-2015'!AS31+'TONG TP'!AX36</f>
        <v>0</v>
      </c>
      <c r="AT31" s="100">
        <f>'cc2011-2015'!AT31+'TONG TP'!AY36</f>
        <v>0</v>
      </c>
      <c r="AU31" s="100">
        <f>'cc2011-2015'!AU31+'TONG TP'!AZ36</f>
        <v>0</v>
      </c>
      <c r="AV31" s="100">
        <f>'cc2011-2015'!AV31+'TONG TP'!BA36</f>
        <v>0</v>
      </c>
      <c r="AW31" s="100">
        <f>'cc2011-2015'!AW31+'TONG TP'!BB36</f>
        <v>0</v>
      </c>
      <c r="AX31" s="100">
        <f>'cc2011-2015'!AX31+'TONG TP'!BC36</f>
        <v>0</v>
      </c>
      <c r="AY31" s="100">
        <f>'cc2011-2015'!AY31+'TONG TP'!BD36</f>
        <v>0</v>
      </c>
      <c r="AZ31" s="100">
        <f>'cc2011-2015'!AZ31+'TONG TP'!BE36</f>
        <v>0</v>
      </c>
      <c r="BA31" s="100">
        <f>'cc2011-2015'!BA31+'TONG TP'!BF36</f>
        <v>0</v>
      </c>
      <c r="BB31" s="100">
        <f>'cc2011-2015'!BB31+'TONG TP'!BG36</f>
        <v>0</v>
      </c>
      <c r="BC31" s="100">
        <f>'cc2011-2015'!BC31</f>
        <v>0</v>
      </c>
      <c r="BD31" s="100">
        <f>'cc2011-2015'!BD31</f>
        <v>0</v>
      </c>
      <c r="BE31" s="100">
        <f>BC31+AS31+AP31+AO31+AN31+AM31+AL31+Y31+X31+W31+V31+U31+S31+R31+T31+E31+AR31+AQ31+AT31+AU31+AV31+AW31+AX31+AY31+AZ31+BA31+BB31+BD31+AA31+AC31+AD31+AE31+AF31+AG31+AH31+AI31+AJ31+AK31</f>
        <v>0</v>
      </c>
      <c r="BF31" s="100">
        <f>AB60-BE31</f>
        <v>3.66</v>
      </c>
      <c r="BG31" s="100">
        <f t="shared" si="21"/>
        <v>13.19</v>
      </c>
      <c r="BH31" s="214">
        <v>11.44</v>
      </c>
      <c r="BI31" s="191">
        <f>'TONG TP'!BN36</f>
        <v>7.9336999999999991</v>
      </c>
      <c r="BJ31" s="67">
        <f t="shared" si="4"/>
        <v>5.2563000000000004</v>
      </c>
      <c r="BK31" s="247">
        <f t="shared" si="5"/>
        <v>4.3697417744332008E-2</v>
      </c>
      <c r="BL31" s="21">
        <f>16.24-BG31</f>
        <v>3.0499999999999989</v>
      </c>
    </row>
    <row r="32" spans="1:64" s="21" customFormat="1" ht="24.75" hidden="1" customHeight="1">
      <c r="A32" s="213" t="s">
        <v>226</v>
      </c>
      <c r="B32" s="19" t="s">
        <v>480</v>
      </c>
      <c r="C32" s="20" t="s">
        <v>204</v>
      </c>
      <c r="D32" s="100">
        <v>114.47</v>
      </c>
      <c r="E32" s="100">
        <f t="shared" si="11"/>
        <v>0</v>
      </c>
      <c r="F32" s="100">
        <f t="shared" si="16"/>
        <v>0</v>
      </c>
      <c r="G32" s="100">
        <f>'cc2011-2015'!G32+'TONG TP'!I37</f>
        <v>0</v>
      </c>
      <c r="H32" s="100">
        <f>'cc2011-2015'!H32+'TONG TP'!J37</f>
        <v>0</v>
      </c>
      <c r="I32" s="100">
        <f>'cc2011-2015'!I32+'TONG TP'!M37</f>
        <v>0</v>
      </c>
      <c r="J32" s="100">
        <f>'cc2011-2015'!J32+'TONG TP'!N37</f>
        <v>0</v>
      </c>
      <c r="K32" s="100">
        <f>'cc2011-2015'!K32+'TONG TP'!P37</f>
        <v>0</v>
      </c>
      <c r="L32" s="100"/>
      <c r="M32" s="100">
        <f>'cc2011-2015'!M32+'TONG TP'!R37</f>
        <v>0</v>
      </c>
      <c r="N32" s="100">
        <f>'cc2011-2015'!N32+'TONG TP'!S37</f>
        <v>0</v>
      </c>
      <c r="O32" s="100"/>
      <c r="P32" s="100">
        <f>'cc2011-2015'!P32+'TONG TP'!U37</f>
        <v>0</v>
      </c>
      <c r="Q32" s="100">
        <f>R32+S32+T32+U32+V32+W32+X32+Y32+Z32+AL32+AM32+AN32+AO32+AP32+AQ32+AR32+AS32+AT32+AU32+AV32+AW32+AX32+AY32+AZ32+BA32+BB32</f>
        <v>114.47000000000001</v>
      </c>
      <c r="R32" s="100">
        <f>'cc2011-2015'!R32+'TONG TP'!W37</f>
        <v>0</v>
      </c>
      <c r="S32" s="100">
        <f>'cc2011-2015'!S32+'TONG TP'!X37</f>
        <v>0</v>
      </c>
      <c r="T32" s="100">
        <f>'cc2011-2015'!T32+'TONG TP'!Y37</f>
        <v>0</v>
      </c>
      <c r="U32" s="100">
        <f>'cc2011-2015'!U32+'TONG TP'!Z37</f>
        <v>0</v>
      </c>
      <c r="V32" s="100">
        <f>'cc2011-2015'!V32+'TONG TP'!AA37</f>
        <v>0</v>
      </c>
      <c r="W32" s="100">
        <f>'cc2011-2015'!W32+'TONG TP'!AB37</f>
        <v>0</v>
      </c>
      <c r="X32" s="100">
        <f>'cc2011-2015'!X32+'TONG TP'!AC37</f>
        <v>0</v>
      </c>
      <c r="Y32" s="100">
        <f>'cc2011-2015'!Y32+'TONG TP'!AD37</f>
        <v>0</v>
      </c>
      <c r="Z32" s="100">
        <f t="shared" si="22"/>
        <v>112.29</v>
      </c>
      <c r="AA32" s="100">
        <f>'cc2011-2015'!AA32+'TONG TP'!AF37</f>
        <v>0</v>
      </c>
      <c r="AB32" s="100">
        <f>'cc2011-2015'!AB32+'TONG TP'!AG37</f>
        <v>0</v>
      </c>
      <c r="AC32" s="237">
        <f>D32-BE32</f>
        <v>112.28</v>
      </c>
      <c r="AD32" s="100">
        <f>'cc2011-2015'!AD32+'TONG TP'!AI37</f>
        <v>0</v>
      </c>
      <c r="AE32" s="100">
        <f>'cc2011-2015'!AE32+'TONG TP'!AJ37</f>
        <v>0</v>
      </c>
      <c r="AF32" s="100">
        <f>'cc2011-2015'!AF32+'TONG TP'!AK37</f>
        <v>0</v>
      </c>
      <c r="AG32" s="100">
        <f>'cc2011-2015'!AG32+'TONG TP'!AL37</f>
        <v>0.01</v>
      </c>
      <c r="AH32" s="100">
        <f>'cc2011-2015'!AH32+'TONG TP'!AM37</f>
        <v>0</v>
      </c>
      <c r="AI32" s="100">
        <f>'cc2011-2015'!AI32+'TONG TP'!AN37</f>
        <v>0</v>
      </c>
      <c r="AJ32" s="100">
        <f>'cc2011-2015'!AJ32+'TONG TP'!AO37</f>
        <v>0</v>
      </c>
      <c r="AK32" s="100">
        <f>'cc2011-2015'!AK32+'TONG TP'!AP37</f>
        <v>0</v>
      </c>
      <c r="AL32" s="100">
        <f>'cc2011-2015'!AL32+'TONG TP'!AQ37</f>
        <v>0</v>
      </c>
      <c r="AM32" s="100">
        <f>'cc2011-2015'!AM32+'TONG TP'!AR37</f>
        <v>0</v>
      </c>
      <c r="AN32" s="100">
        <f>'cc2011-2015'!AN32+'TONG TP'!AS37</f>
        <v>0</v>
      </c>
      <c r="AO32" s="100">
        <f>'cc2011-2015'!AO32+'TONG TP'!AT37</f>
        <v>1.3900000000000001</v>
      </c>
      <c r="AP32" s="100">
        <f>'cc2011-2015'!AP32+'TONG TP'!AU37</f>
        <v>0.79</v>
      </c>
      <c r="AQ32" s="100">
        <f>'cc2011-2015'!AQ32+'TONG TP'!AV37</f>
        <v>0</v>
      </c>
      <c r="AR32" s="100">
        <f>'cc2011-2015'!AR32+'TONG TP'!AW37</f>
        <v>0</v>
      </c>
      <c r="AS32" s="100">
        <f>'cc2011-2015'!AS32+'TONG TP'!AX37</f>
        <v>0</v>
      </c>
      <c r="AT32" s="100">
        <f>'cc2011-2015'!AT32+'TONG TP'!AY37</f>
        <v>0</v>
      </c>
      <c r="AU32" s="100">
        <f>'cc2011-2015'!AU32+'TONG TP'!AZ37</f>
        <v>0</v>
      </c>
      <c r="AV32" s="100">
        <f>'cc2011-2015'!AV32+'TONG TP'!BA37</f>
        <v>0</v>
      </c>
      <c r="AW32" s="100">
        <f>'cc2011-2015'!AW32+'TONG TP'!BB37</f>
        <v>0</v>
      </c>
      <c r="AX32" s="100">
        <f>'cc2011-2015'!AX32+'TONG TP'!BC37</f>
        <v>0</v>
      </c>
      <c r="AY32" s="100">
        <f>'cc2011-2015'!AY32+'TONG TP'!BD37</f>
        <v>0</v>
      </c>
      <c r="AZ32" s="100">
        <f>'cc2011-2015'!AZ32+'TONG TP'!BE37</f>
        <v>0</v>
      </c>
      <c r="BA32" s="100">
        <f>'cc2011-2015'!BA32+'TONG TP'!BF37</f>
        <v>0</v>
      </c>
      <c r="BB32" s="100">
        <f>'cc2011-2015'!BB32+'TONG TP'!BG37</f>
        <v>0</v>
      </c>
      <c r="BC32" s="100">
        <f>'cc2011-2015'!BC32</f>
        <v>0</v>
      </c>
      <c r="BD32" s="100">
        <f>'cc2011-2015'!BD32</f>
        <v>0</v>
      </c>
      <c r="BE32" s="100">
        <f>BC32+AS32+AP32+AO32+AN32+AM32+AL32+Y32+X32+W32+V32+U32+S32+R32+T32+E32+AR32+AQ32+AT32+AU32+AV32+AW32+AX32+AY32+AZ32+BA32+BB32+BD32+AA32+AB32+AD32+AE32+AF32+AG32+AH32+AI32+AJ32+AK32</f>
        <v>2.19</v>
      </c>
      <c r="BF32" s="100">
        <f>AC60-BE32</f>
        <v>24.01</v>
      </c>
      <c r="BG32" s="100">
        <f t="shared" si="21"/>
        <v>138.47999999999999</v>
      </c>
      <c r="BH32" s="214">
        <v>134.01</v>
      </c>
      <c r="BI32" s="191">
        <f>'TONG TP'!BN37</f>
        <v>76.456210000000013</v>
      </c>
      <c r="BJ32" s="67">
        <f t="shared" si="4"/>
        <v>62.023789999999977</v>
      </c>
      <c r="BK32" s="247">
        <f t="shared" si="5"/>
        <v>0.45877319251213766</v>
      </c>
      <c r="BL32" s="21">
        <f>175.14-BG32</f>
        <v>36.659999999999997</v>
      </c>
    </row>
    <row r="33" spans="1:64" s="21" customFormat="1" ht="16.5" hidden="1">
      <c r="A33" s="213" t="s">
        <v>227</v>
      </c>
      <c r="B33" s="19" t="s">
        <v>481</v>
      </c>
      <c r="C33" s="20" t="s">
        <v>205</v>
      </c>
      <c r="D33" s="100">
        <v>9.8800000000000008</v>
      </c>
      <c r="E33" s="100">
        <f t="shared" si="11"/>
        <v>0</v>
      </c>
      <c r="F33" s="100">
        <f t="shared" si="16"/>
        <v>0</v>
      </c>
      <c r="G33" s="100">
        <f>'cc2011-2015'!G33+'TONG TP'!I38</f>
        <v>0</v>
      </c>
      <c r="H33" s="100">
        <f>'cc2011-2015'!H33+'TONG TP'!J38</f>
        <v>0</v>
      </c>
      <c r="I33" s="100">
        <f>'cc2011-2015'!I33+'TONG TP'!M38</f>
        <v>0</v>
      </c>
      <c r="J33" s="100">
        <f>'cc2011-2015'!J33+'TONG TP'!N38</f>
        <v>0</v>
      </c>
      <c r="K33" s="100">
        <f>'cc2011-2015'!K33+'TONG TP'!P38</f>
        <v>0</v>
      </c>
      <c r="L33" s="100"/>
      <c r="M33" s="100">
        <f>'cc2011-2015'!M33+'TONG TP'!R38</f>
        <v>0</v>
      </c>
      <c r="N33" s="100">
        <f>'cc2011-2015'!N33+'TONG TP'!S38</f>
        <v>0</v>
      </c>
      <c r="O33" s="100"/>
      <c r="P33" s="100">
        <f>'cc2011-2015'!P33+'TONG TP'!U38</f>
        <v>0</v>
      </c>
      <c r="Q33" s="100">
        <f t="shared" si="17"/>
        <v>9.8800000000000008</v>
      </c>
      <c r="R33" s="100">
        <f>'cc2011-2015'!R33+'TONG TP'!W38</f>
        <v>0</v>
      </c>
      <c r="S33" s="100">
        <f>'cc2011-2015'!S33+'TONG TP'!X38</f>
        <v>0</v>
      </c>
      <c r="T33" s="100">
        <f>'cc2011-2015'!T33+'TONG TP'!Y38</f>
        <v>0</v>
      </c>
      <c r="U33" s="100">
        <f>'cc2011-2015'!U33+'TONG TP'!Z38</f>
        <v>0</v>
      </c>
      <c r="V33" s="100">
        <f>'cc2011-2015'!V33+'TONG TP'!AA38</f>
        <v>0</v>
      </c>
      <c r="W33" s="100">
        <f>'cc2011-2015'!W33+'TONG TP'!AB38</f>
        <v>0</v>
      </c>
      <c r="X33" s="100">
        <f>'cc2011-2015'!X33+'TONG TP'!AC38</f>
        <v>0</v>
      </c>
      <c r="Y33" s="100">
        <f>'cc2011-2015'!Y33+'TONG TP'!AD38</f>
        <v>0</v>
      </c>
      <c r="Z33" s="100">
        <f t="shared" si="22"/>
        <v>9.8800000000000008</v>
      </c>
      <c r="AA33" s="100">
        <f>'cc2011-2015'!AA33+'TONG TP'!AF38</f>
        <v>0</v>
      </c>
      <c r="AB33" s="100">
        <f>'cc2011-2015'!AB33+'TONG TP'!AG38</f>
        <v>0</v>
      </c>
      <c r="AC33" s="100">
        <f>'cc2011-2015'!AC33+'TONG TP'!AH38</f>
        <v>0</v>
      </c>
      <c r="AD33" s="237">
        <f>D33-BE33</f>
        <v>9.81</v>
      </c>
      <c r="AE33" s="100">
        <f>'cc2011-2015'!AE33+'TONG TP'!AJ38</f>
        <v>0</v>
      </c>
      <c r="AF33" s="100">
        <f>'cc2011-2015'!AF33+'TONG TP'!AK38</f>
        <v>0</v>
      </c>
      <c r="AG33" s="100">
        <f>'cc2011-2015'!AG33+'TONG TP'!AL38</f>
        <v>7.0000000000000007E-2</v>
      </c>
      <c r="AH33" s="100">
        <f>'cc2011-2015'!AH33+'TONG TP'!AM38</f>
        <v>0</v>
      </c>
      <c r="AI33" s="100">
        <f>'cc2011-2015'!AI33+'TONG TP'!AN38</f>
        <v>0</v>
      </c>
      <c r="AJ33" s="100">
        <f>'cc2011-2015'!AJ33+'TONG TP'!AO38</f>
        <v>0</v>
      </c>
      <c r="AK33" s="100">
        <f>'cc2011-2015'!AK33+'TONG TP'!AP38</f>
        <v>0</v>
      </c>
      <c r="AL33" s="100">
        <f>'cc2011-2015'!AL33+'TONG TP'!AQ38</f>
        <v>0</v>
      </c>
      <c r="AM33" s="100">
        <f>'cc2011-2015'!AM33+'TONG TP'!AR38</f>
        <v>0</v>
      </c>
      <c r="AN33" s="100">
        <f>'cc2011-2015'!AN33+'TONG TP'!AS38</f>
        <v>0</v>
      </c>
      <c r="AO33" s="100">
        <f>'cc2011-2015'!AO33+'TONG TP'!AT38</f>
        <v>0</v>
      </c>
      <c r="AP33" s="100">
        <f>'cc2011-2015'!AP33+'TONG TP'!AU38</f>
        <v>0</v>
      </c>
      <c r="AQ33" s="100">
        <f>'cc2011-2015'!AQ33+'TONG TP'!AV38</f>
        <v>0</v>
      </c>
      <c r="AR33" s="100">
        <f>'cc2011-2015'!AR33+'TONG TP'!AW38</f>
        <v>0</v>
      </c>
      <c r="AS33" s="100">
        <f>'cc2011-2015'!AS33+'TONG TP'!AX38</f>
        <v>0</v>
      </c>
      <c r="AT33" s="100">
        <f>'cc2011-2015'!AT33+'TONG TP'!AY38</f>
        <v>0</v>
      </c>
      <c r="AU33" s="100">
        <f>'cc2011-2015'!AU33+'TONG TP'!AZ38</f>
        <v>0</v>
      </c>
      <c r="AV33" s="100">
        <f>'cc2011-2015'!AV33+'TONG TP'!BA38</f>
        <v>0</v>
      </c>
      <c r="AW33" s="100">
        <f>'cc2011-2015'!AW33+'TONG TP'!BB38</f>
        <v>0</v>
      </c>
      <c r="AX33" s="100">
        <f>'cc2011-2015'!AX33+'TONG TP'!BC38</f>
        <v>0</v>
      </c>
      <c r="AY33" s="100">
        <f>'cc2011-2015'!AY33+'TONG TP'!BD38</f>
        <v>0</v>
      </c>
      <c r="AZ33" s="100">
        <f>'cc2011-2015'!AZ33+'TONG TP'!BE38</f>
        <v>0</v>
      </c>
      <c r="BA33" s="100">
        <f>'cc2011-2015'!BA33+'TONG TP'!BF38</f>
        <v>0</v>
      </c>
      <c r="BB33" s="100">
        <f>'cc2011-2015'!BB33+'TONG TP'!BG38</f>
        <v>0</v>
      </c>
      <c r="BC33" s="100">
        <f>'cc2011-2015'!BC33</f>
        <v>0</v>
      </c>
      <c r="BD33" s="100">
        <f>'cc2011-2015'!BD33</f>
        <v>0</v>
      </c>
      <c r="BE33" s="100">
        <f>BC33+AS33+AP33+AO33+AN33+AM33+AL33+Y33+X33+W33+V33+U33+S33+R33+T33+E33+AR33+AQ33+AT33+AU33+AV33+AW33+AX33+AY33+AZ33+BA33+BB33+BD33+AA33+AB33+AC33+AE33+AF33+AG33+AH33+AI33+AJ33+AK33</f>
        <v>7.0000000000000007E-2</v>
      </c>
      <c r="BF33" s="100">
        <f>AD60-BE33</f>
        <v>0.99</v>
      </c>
      <c r="BG33" s="100">
        <f t="shared" si="21"/>
        <v>10.870000000000001</v>
      </c>
      <c r="BH33" s="214">
        <v>10.71</v>
      </c>
      <c r="BI33" s="191">
        <f>'TONG TP'!BN38</f>
        <v>113.898</v>
      </c>
      <c r="BJ33" s="67">
        <f t="shared" si="4"/>
        <v>-103.02799999999999</v>
      </c>
      <c r="BK33" s="247">
        <f t="shared" si="5"/>
        <v>3.6011442826451016E-2</v>
      </c>
      <c r="BL33" s="21">
        <f>244.85-BG33</f>
        <v>233.98</v>
      </c>
    </row>
    <row r="34" spans="1:64" s="21" customFormat="1" ht="33" hidden="1">
      <c r="A34" s="213" t="s">
        <v>228</v>
      </c>
      <c r="B34" s="19" t="s">
        <v>482</v>
      </c>
      <c r="C34" s="20" t="s">
        <v>206</v>
      </c>
      <c r="D34" s="100"/>
      <c r="E34" s="100">
        <f t="shared" si="11"/>
        <v>0</v>
      </c>
      <c r="F34" s="100">
        <f t="shared" si="16"/>
        <v>0</v>
      </c>
      <c r="G34" s="100">
        <f>'cc2011-2015'!G34+'TONG TP'!I39</f>
        <v>0</v>
      </c>
      <c r="H34" s="100">
        <f>'cc2011-2015'!H34+'TONG TP'!J39</f>
        <v>0</v>
      </c>
      <c r="I34" s="100">
        <f>'cc2011-2015'!I34+'TONG TP'!M39</f>
        <v>0</v>
      </c>
      <c r="J34" s="100">
        <f>'cc2011-2015'!J34+'TONG TP'!N39</f>
        <v>0</v>
      </c>
      <c r="K34" s="100">
        <f>'cc2011-2015'!K34+'TONG TP'!P39</f>
        <v>0</v>
      </c>
      <c r="L34" s="100"/>
      <c r="M34" s="100">
        <f>'cc2011-2015'!M34+'TONG TP'!R39</f>
        <v>0</v>
      </c>
      <c r="N34" s="100">
        <f>'cc2011-2015'!N34+'TONG TP'!S39</f>
        <v>0</v>
      </c>
      <c r="O34" s="100"/>
      <c r="P34" s="100">
        <f>'cc2011-2015'!P34+'TONG TP'!U39</f>
        <v>0</v>
      </c>
      <c r="Q34" s="100">
        <f t="shared" si="17"/>
        <v>0</v>
      </c>
      <c r="R34" s="100">
        <f>'cc2011-2015'!R34+'TONG TP'!W39</f>
        <v>0</v>
      </c>
      <c r="S34" s="100">
        <f>'cc2011-2015'!S34+'TONG TP'!X39</f>
        <v>0</v>
      </c>
      <c r="T34" s="100">
        <f>'cc2011-2015'!T34+'TONG TP'!Y39</f>
        <v>0</v>
      </c>
      <c r="U34" s="100">
        <f>'cc2011-2015'!U34+'TONG TP'!Z39</f>
        <v>0</v>
      </c>
      <c r="V34" s="100">
        <f>'cc2011-2015'!V34+'TONG TP'!AA39</f>
        <v>0</v>
      </c>
      <c r="W34" s="100">
        <f>'cc2011-2015'!W34+'TONG TP'!AB39</f>
        <v>0</v>
      </c>
      <c r="X34" s="100">
        <f>'cc2011-2015'!X34+'TONG TP'!AC39</f>
        <v>0</v>
      </c>
      <c r="Y34" s="100">
        <f>'cc2011-2015'!Y34+'TONG TP'!AD39</f>
        <v>0</v>
      </c>
      <c r="Z34" s="100">
        <f t="shared" si="22"/>
        <v>0</v>
      </c>
      <c r="AA34" s="100">
        <f>'cc2011-2015'!AA34+'TONG TP'!AF39</f>
        <v>0</v>
      </c>
      <c r="AB34" s="100">
        <f>'cc2011-2015'!AB34+'TONG TP'!AG39</f>
        <v>0</v>
      </c>
      <c r="AC34" s="100">
        <f>'cc2011-2015'!AC34+'TONG TP'!AH39</f>
        <v>0</v>
      </c>
      <c r="AD34" s="100">
        <f>'cc2011-2015'!AD34+'TONG TP'!AI39</f>
        <v>0</v>
      </c>
      <c r="AE34" s="237"/>
      <c r="AF34" s="100">
        <f>'cc2011-2015'!AF34+'TONG TP'!AK39</f>
        <v>0</v>
      </c>
      <c r="AG34" s="100">
        <f>'cc2011-2015'!AG34+'TONG TP'!AL39</f>
        <v>0</v>
      </c>
      <c r="AH34" s="100">
        <f>'cc2011-2015'!AH34+'TONG TP'!AM39</f>
        <v>0</v>
      </c>
      <c r="AI34" s="100">
        <f>'cc2011-2015'!AI34+'TONG TP'!AN39</f>
        <v>0</v>
      </c>
      <c r="AJ34" s="100">
        <f>'cc2011-2015'!AJ34+'TONG TP'!AO39</f>
        <v>0</v>
      </c>
      <c r="AK34" s="100">
        <f>'cc2011-2015'!AK34+'TONG TP'!AP39</f>
        <v>0</v>
      </c>
      <c r="AL34" s="100">
        <f>'cc2011-2015'!AL34+'TONG TP'!AQ39</f>
        <v>0</v>
      </c>
      <c r="AM34" s="100">
        <f>'cc2011-2015'!AM34+'TONG TP'!AR39</f>
        <v>0</v>
      </c>
      <c r="AN34" s="100">
        <f>'cc2011-2015'!AN34+'TONG TP'!AS39</f>
        <v>0</v>
      </c>
      <c r="AO34" s="100">
        <f>'cc2011-2015'!AO34+'TONG TP'!AT39</f>
        <v>0</v>
      </c>
      <c r="AP34" s="100">
        <f>'cc2011-2015'!AP34+'TONG TP'!AU39</f>
        <v>0</v>
      </c>
      <c r="AQ34" s="100">
        <f>'cc2011-2015'!AQ34+'TONG TP'!AV39</f>
        <v>0</v>
      </c>
      <c r="AR34" s="100">
        <f>'cc2011-2015'!AR34+'TONG TP'!AW39</f>
        <v>0</v>
      </c>
      <c r="AS34" s="100">
        <f>'cc2011-2015'!AS34+'TONG TP'!AX39</f>
        <v>0</v>
      </c>
      <c r="AT34" s="100">
        <f>'cc2011-2015'!AT34+'TONG TP'!AY39</f>
        <v>0</v>
      </c>
      <c r="AU34" s="100">
        <f>'cc2011-2015'!AU34+'TONG TP'!AZ39</f>
        <v>0</v>
      </c>
      <c r="AV34" s="100">
        <f>'cc2011-2015'!AV34+'TONG TP'!BA39</f>
        <v>0</v>
      </c>
      <c r="AW34" s="100">
        <f>'cc2011-2015'!AW34+'TONG TP'!BB39</f>
        <v>0</v>
      </c>
      <c r="AX34" s="100">
        <f>'cc2011-2015'!AX34+'TONG TP'!BC39</f>
        <v>0</v>
      </c>
      <c r="AY34" s="100">
        <f>'cc2011-2015'!AY34+'TONG TP'!BD39</f>
        <v>0</v>
      </c>
      <c r="AZ34" s="100">
        <f>'cc2011-2015'!AZ34+'TONG TP'!BE39</f>
        <v>0</v>
      </c>
      <c r="BA34" s="100">
        <f>'cc2011-2015'!BA34+'TONG TP'!BF39</f>
        <v>0</v>
      </c>
      <c r="BB34" s="100">
        <f>'cc2011-2015'!BB34+'TONG TP'!BG39</f>
        <v>0</v>
      </c>
      <c r="BC34" s="100">
        <f>'cc2011-2015'!BC34</f>
        <v>0</v>
      </c>
      <c r="BD34" s="100">
        <f>'cc2011-2015'!BD34</f>
        <v>0</v>
      </c>
      <c r="BE34" s="100">
        <f>BC34+AS34+AP34+AO34+AN34+AM34+AL34+Y34+X34+W34+V34+U34+S34+R34+T34+E34+AR34+AQ34+AT34+AU34+AV34+AW34+AX34+AY34+AZ34+BA34+BB34+BD34+AB34+AC34+AD34+AA34+AF34+AG34+AH34+AI34+AJ34+AK34</f>
        <v>0</v>
      </c>
      <c r="BF34" s="100">
        <f>AE60-BE34</f>
        <v>0</v>
      </c>
      <c r="BG34" s="100">
        <f t="shared" si="21"/>
        <v>0</v>
      </c>
      <c r="BH34" s="214"/>
      <c r="BI34" s="191">
        <f>'TONG TP'!BN39</f>
        <v>0</v>
      </c>
      <c r="BJ34" s="67">
        <f t="shared" si="4"/>
        <v>0</v>
      </c>
      <c r="BK34" s="247">
        <f t="shared" si="5"/>
        <v>0</v>
      </c>
    </row>
    <row r="35" spans="1:64" s="21" customFormat="1" ht="24" hidden="1" customHeight="1">
      <c r="A35" s="213" t="s">
        <v>229</v>
      </c>
      <c r="B35" s="19" t="s">
        <v>483</v>
      </c>
      <c r="C35" s="20" t="s">
        <v>207</v>
      </c>
      <c r="D35" s="100"/>
      <c r="E35" s="100">
        <f t="shared" si="11"/>
        <v>0</v>
      </c>
      <c r="F35" s="100">
        <f t="shared" si="16"/>
        <v>0</v>
      </c>
      <c r="G35" s="100">
        <f>'cc2011-2015'!G35+'TONG TP'!I40</f>
        <v>0</v>
      </c>
      <c r="H35" s="100">
        <f>'cc2011-2015'!H35+'TONG TP'!J40</f>
        <v>0</v>
      </c>
      <c r="I35" s="100">
        <f>'cc2011-2015'!I35+'TONG TP'!M40</f>
        <v>0</v>
      </c>
      <c r="J35" s="100">
        <f>'cc2011-2015'!J35+'TONG TP'!N40</f>
        <v>0</v>
      </c>
      <c r="K35" s="100">
        <f>'cc2011-2015'!K35+'TONG TP'!P40</f>
        <v>0</v>
      </c>
      <c r="L35" s="100"/>
      <c r="M35" s="100">
        <f>'cc2011-2015'!M35+'TONG TP'!R40</f>
        <v>0</v>
      </c>
      <c r="N35" s="100">
        <f>'cc2011-2015'!N35+'TONG TP'!S40</f>
        <v>0</v>
      </c>
      <c r="O35" s="100"/>
      <c r="P35" s="100">
        <f>'cc2011-2015'!P35+'TONG TP'!U40</f>
        <v>0</v>
      </c>
      <c r="Q35" s="100">
        <f t="shared" si="17"/>
        <v>0</v>
      </c>
      <c r="R35" s="100">
        <f>'cc2011-2015'!R35+'TONG TP'!W40</f>
        <v>0</v>
      </c>
      <c r="S35" s="100">
        <f>'cc2011-2015'!S35+'TONG TP'!X40</f>
        <v>0</v>
      </c>
      <c r="T35" s="100">
        <f>'cc2011-2015'!T35+'TONG TP'!Y40</f>
        <v>0</v>
      </c>
      <c r="U35" s="100">
        <f>'cc2011-2015'!U35+'TONG TP'!Z40</f>
        <v>0</v>
      </c>
      <c r="V35" s="100">
        <f>'cc2011-2015'!V35+'TONG TP'!AA40</f>
        <v>0</v>
      </c>
      <c r="W35" s="100">
        <f>'cc2011-2015'!W35+'TONG TP'!AB40</f>
        <v>0</v>
      </c>
      <c r="X35" s="100">
        <f>'cc2011-2015'!X35+'TONG TP'!AC40</f>
        <v>0</v>
      </c>
      <c r="Y35" s="100">
        <f>'cc2011-2015'!Y35+'TONG TP'!AD40</f>
        <v>0</v>
      </c>
      <c r="Z35" s="100">
        <f t="shared" si="22"/>
        <v>0</v>
      </c>
      <c r="AA35" s="100">
        <f>'cc2011-2015'!AA35+'TONG TP'!AF40</f>
        <v>0</v>
      </c>
      <c r="AB35" s="100">
        <f>'cc2011-2015'!AB35+'TONG TP'!AG40</f>
        <v>0</v>
      </c>
      <c r="AC35" s="100">
        <f>'cc2011-2015'!AC35+'TONG TP'!AH40</f>
        <v>0</v>
      </c>
      <c r="AD35" s="100">
        <f>'cc2011-2015'!AD35+'TONG TP'!AI40</f>
        <v>0</v>
      </c>
      <c r="AE35" s="100">
        <f>'cc2011-2015'!AE35+'TONG TP'!AJ40</f>
        <v>0</v>
      </c>
      <c r="AF35" s="237"/>
      <c r="AG35" s="100">
        <f>'cc2011-2015'!AG35+'TONG TP'!AL40</f>
        <v>0</v>
      </c>
      <c r="AH35" s="100">
        <f>'cc2011-2015'!AH35+'TONG TP'!AM40</f>
        <v>0</v>
      </c>
      <c r="AI35" s="100">
        <f>'cc2011-2015'!AI35+'TONG TP'!AN40</f>
        <v>0</v>
      </c>
      <c r="AJ35" s="100">
        <f>'cc2011-2015'!AJ35+'TONG TP'!AO40</f>
        <v>0</v>
      </c>
      <c r="AK35" s="100">
        <f>'cc2011-2015'!AK35+'TONG TP'!AP40</f>
        <v>0</v>
      </c>
      <c r="AL35" s="100">
        <f>'cc2011-2015'!AL35+'TONG TP'!AQ40</f>
        <v>0</v>
      </c>
      <c r="AM35" s="100">
        <f>'cc2011-2015'!AM35+'TONG TP'!AR40</f>
        <v>0</v>
      </c>
      <c r="AN35" s="100">
        <f>'cc2011-2015'!AN35+'TONG TP'!AS40</f>
        <v>0</v>
      </c>
      <c r="AO35" s="100">
        <f>'cc2011-2015'!AO35+'TONG TP'!AT40</f>
        <v>0</v>
      </c>
      <c r="AP35" s="100">
        <f>'cc2011-2015'!AP35+'TONG TP'!AU40</f>
        <v>0</v>
      </c>
      <c r="AQ35" s="100">
        <f>'cc2011-2015'!AQ35+'TONG TP'!AV40</f>
        <v>0</v>
      </c>
      <c r="AR35" s="100">
        <f>'cc2011-2015'!AR35+'TONG TP'!AW40</f>
        <v>0</v>
      </c>
      <c r="AS35" s="100">
        <f>'cc2011-2015'!AS35+'TONG TP'!AX40</f>
        <v>0</v>
      </c>
      <c r="AT35" s="100">
        <f>'cc2011-2015'!AT35+'TONG TP'!AY40</f>
        <v>0</v>
      </c>
      <c r="AU35" s="100">
        <f>'cc2011-2015'!AU35+'TONG TP'!AZ40</f>
        <v>0</v>
      </c>
      <c r="AV35" s="100">
        <f>'cc2011-2015'!AV35+'TONG TP'!BA40</f>
        <v>0</v>
      </c>
      <c r="AW35" s="100">
        <f>'cc2011-2015'!AW35+'TONG TP'!BB40</f>
        <v>0</v>
      </c>
      <c r="AX35" s="100">
        <f>'cc2011-2015'!AX35+'TONG TP'!BC40</f>
        <v>0</v>
      </c>
      <c r="AY35" s="100">
        <f>'cc2011-2015'!AY35+'TONG TP'!BD40</f>
        <v>0</v>
      </c>
      <c r="AZ35" s="100">
        <f>'cc2011-2015'!AZ35+'TONG TP'!BE40</f>
        <v>0</v>
      </c>
      <c r="BA35" s="100">
        <f>'cc2011-2015'!BA35+'TONG TP'!BF40</f>
        <v>0</v>
      </c>
      <c r="BB35" s="100">
        <f>'cc2011-2015'!BB35+'TONG TP'!BG40</f>
        <v>0</v>
      </c>
      <c r="BC35" s="100">
        <f>'cc2011-2015'!BC35</f>
        <v>0</v>
      </c>
      <c r="BD35" s="100">
        <f>'cc2011-2015'!BD35</f>
        <v>0</v>
      </c>
      <c r="BE35" s="100">
        <f>BC35+AS35+AP35+AO35+AN35+AM35+AL35+Y35+X35+W35+V35+U35+S35+R35+T35+E35+AR35+AQ35+AT35+AU35+AV35+AW35+AX35+AY35+AZ35+BA35+BB35+BD35+AB35+AC35+AD35+AE35+AA35+AG35+AH35+AI35+AJ35+AK35</f>
        <v>0</v>
      </c>
      <c r="BF35" s="100">
        <f>AF60-BE35</f>
        <v>0</v>
      </c>
      <c r="BG35" s="100">
        <f t="shared" si="21"/>
        <v>0</v>
      </c>
      <c r="BH35" s="214"/>
      <c r="BI35" s="191">
        <f>'TONG TP'!BN40</f>
        <v>0.04</v>
      </c>
      <c r="BJ35" s="67">
        <f t="shared" si="4"/>
        <v>-0.04</v>
      </c>
      <c r="BK35" s="247">
        <f t="shared" si="5"/>
        <v>0</v>
      </c>
      <c r="BL35" s="21">
        <f>20.6-BG35</f>
        <v>20.6</v>
      </c>
    </row>
    <row r="36" spans="1:64" s="21" customFormat="1" ht="24" hidden="1" customHeight="1">
      <c r="A36" s="213" t="s">
        <v>230</v>
      </c>
      <c r="B36" s="19" t="s">
        <v>484</v>
      </c>
      <c r="C36" s="20" t="s">
        <v>199</v>
      </c>
      <c r="D36" s="100">
        <v>593.59</v>
      </c>
      <c r="E36" s="100">
        <f t="shared" si="11"/>
        <v>0.75</v>
      </c>
      <c r="F36" s="100">
        <f t="shared" si="16"/>
        <v>0</v>
      </c>
      <c r="G36" s="100">
        <f>'cc2011-2015'!G36+'TONG TP'!I41</f>
        <v>0</v>
      </c>
      <c r="H36" s="100">
        <f>'cc2011-2015'!H36+'TONG TP'!J41</f>
        <v>0</v>
      </c>
      <c r="I36" s="100">
        <f>'cc2011-2015'!I36+'TONG TP'!M41</f>
        <v>0</v>
      </c>
      <c r="J36" s="100">
        <f>'cc2011-2015'!J36+'TONG TP'!N41</f>
        <v>0</v>
      </c>
      <c r="K36" s="100">
        <f>'cc2011-2015'!K36+'TONG TP'!P41</f>
        <v>0</v>
      </c>
      <c r="L36" s="100"/>
      <c r="M36" s="100">
        <f>'cc2011-2015'!M36+'TONG TP'!R41</f>
        <v>0</v>
      </c>
      <c r="N36" s="100">
        <f>'cc2011-2015'!N36+'TONG TP'!S41</f>
        <v>0.75</v>
      </c>
      <c r="O36" s="100"/>
      <c r="P36" s="100">
        <f>'cc2011-2015'!P36+'TONG TP'!U41</f>
        <v>0</v>
      </c>
      <c r="Q36" s="100">
        <f t="shared" si="17"/>
        <v>592.84</v>
      </c>
      <c r="R36" s="100">
        <f>'cc2011-2015'!R36+'TONG TP'!W41</f>
        <v>0</v>
      </c>
      <c r="S36" s="100">
        <f>'cc2011-2015'!S36+'TONG TP'!X41</f>
        <v>0.5</v>
      </c>
      <c r="T36" s="100">
        <f>'cc2011-2015'!T36+'TONG TP'!Y41</f>
        <v>0.27</v>
      </c>
      <c r="U36" s="100">
        <f>'cc2011-2015'!U36+'TONG TP'!Z41</f>
        <v>0</v>
      </c>
      <c r="V36" s="100">
        <f>'cc2011-2015'!V36+'TONG TP'!AA41</f>
        <v>2.46</v>
      </c>
      <c r="W36" s="100">
        <f>'cc2011-2015'!W36+'TONG TP'!AB41</f>
        <v>1.9</v>
      </c>
      <c r="X36" s="100">
        <f>'cc2011-2015'!X36+'TONG TP'!AC41</f>
        <v>3.74</v>
      </c>
      <c r="Y36" s="100">
        <f>'cc2011-2015'!Y36+'TONG TP'!AD41</f>
        <v>0</v>
      </c>
      <c r="Z36" s="100">
        <f t="shared" si="22"/>
        <v>574.17000000000007</v>
      </c>
      <c r="AA36" s="100">
        <f>'cc2011-2015'!AA36+'TONG TP'!AF41</f>
        <v>0.03</v>
      </c>
      <c r="AB36" s="100">
        <f>'cc2011-2015'!AB36+'TONG TP'!AG41</f>
        <v>1.75</v>
      </c>
      <c r="AC36" s="100">
        <f>'cc2011-2015'!AC36+'TONG TP'!AH41</f>
        <v>0.21</v>
      </c>
      <c r="AD36" s="100">
        <f>'cc2011-2015'!AD36+'TONG TP'!AI41</f>
        <v>0.11</v>
      </c>
      <c r="AE36" s="100">
        <f>'cc2011-2015'!AE36+'TONG TP'!AJ41</f>
        <v>0</v>
      </c>
      <c r="AF36" s="100">
        <f>'cc2011-2015'!AF36+'TONG TP'!AK41</f>
        <v>0</v>
      </c>
      <c r="AG36" s="237">
        <f>D36-BE36</f>
        <v>571.96</v>
      </c>
      <c r="AH36" s="100">
        <f>'cc2011-2015'!AH36+'TONG TP'!AM41</f>
        <v>0.11</v>
      </c>
      <c r="AI36" s="100">
        <f>'cc2011-2015'!AI36+'TONG TP'!AN41</f>
        <v>0</v>
      </c>
      <c r="AJ36" s="100">
        <f>'cc2011-2015'!AJ36+'TONG TP'!AO41</f>
        <v>0</v>
      </c>
      <c r="AK36" s="100">
        <f>'cc2011-2015'!AK36+'TONG TP'!AP41</f>
        <v>0</v>
      </c>
      <c r="AL36" s="100">
        <f>'cc2011-2015'!AL36+'TONG TP'!AQ41</f>
        <v>0</v>
      </c>
      <c r="AM36" s="100">
        <f>'cc2011-2015'!AM36+'TONG TP'!AR41</f>
        <v>0</v>
      </c>
      <c r="AN36" s="100">
        <f>'cc2011-2015'!AN36+'TONG TP'!AS41</f>
        <v>0</v>
      </c>
      <c r="AO36" s="100">
        <f>'cc2011-2015'!AO36+'TONG TP'!AT41</f>
        <v>0.69</v>
      </c>
      <c r="AP36" s="100">
        <f>'cc2011-2015'!AP36+'TONG TP'!AU41</f>
        <v>1.9000000000000001</v>
      </c>
      <c r="AQ36" s="100">
        <f>'cc2011-2015'!AQ36+'TONG TP'!AV41</f>
        <v>1.26</v>
      </c>
      <c r="AR36" s="100">
        <f>'cc2011-2015'!AR36+'TONG TP'!AW41</f>
        <v>0</v>
      </c>
      <c r="AS36" s="100">
        <f>'cc2011-2015'!AS36+'TONG TP'!AX41</f>
        <v>0</v>
      </c>
      <c r="AT36" s="100">
        <f>'cc2011-2015'!AT36+'TONG TP'!AY41</f>
        <v>0.01</v>
      </c>
      <c r="AU36" s="100">
        <f>'cc2011-2015'!AU36+'TONG TP'!AZ41</f>
        <v>0</v>
      </c>
      <c r="AV36" s="100">
        <f>'cc2011-2015'!AV36+'TONG TP'!BA41</f>
        <v>2.12</v>
      </c>
      <c r="AW36" s="100">
        <f>'cc2011-2015'!AW36+'TONG TP'!BB41</f>
        <v>0</v>
      </c>
      <c r="AX36" s="100">
        <f>'cc2011-2015'!AX36+'TONG TP'!BC41</f>
        <v>1.03</v>
      </c>
      <c r="AY36" s="100">
        <f>'cc2011-2015'!AY36+'TONG TP'!BD41</f>
        <v>0.06</v>
      </c>
      <c r="AZ36" s="100">
        <f>'cc2011-2015'!AZ36+'TONG TP'!BE41</f>
        <v>0</v>
      </c>
      <c r="BA36" s="100">
        <f>'cc2011-2015'!BA36+'TONG TP'!BF41</f>
        <v>2.73</v>
      </c>
      <c r="BB36" s="100">
        <f>'cc2011-2015'!BB36+'TONG TP'!BG41</f>
        <v>0</v>
      </c>
      <c r="BC36" s="100">
        <f>'cc2011-2015'!BC36</f>
        <v>0</v>
      </c>
      <c r="BD36" s="100">
        <f>'cc2011-2015'!BD36</f>
        <v>0</v>
      </c>
      <c r="BE36" s="100">
        <f>BC36+AS36+AP36+AO36+AN36+AM36+AL36+Y36+X36+W36+V36+U36+S36+R36+T36+E36+AR36+AQ36+AT36+AU36+AV36+AW36+AX36+AY36+AZ36+BA36+BB36+BD36+AA36+AB36+AC36+AD36+AE36+AF36+AH36+AI36+AJ36+AK36</f>
        <v>21.630000000000003</v>
      </c>
      <c r="BF36" s="100">
        <f>AG60-BE36</f>
        <v>552.29999999999995</v>
      </c>
      <c r="BG36" s="100">
        <f t="shared" si="21"/>
        <v>1145.8899999999999</v>
      </c>
      <c r="BH36" s="214">
        <f>943.63+2.05</f>
        <v>945.68</v>
      </c>
      <c r="BI36" s="191">
        <f>'TONG TP'!BN41</f>
        <v>1608.1725899999994</v>
      </c>
      <c r="BJ36" s="67">
        <f t="shared" si="4"/>
        <v>-462.28258999999957</v>
      </c>
      <c r="BK36" s="247">
        <f t="shared" si="5"/>
        <v>3.7962421545907961</v>
      </c>
      <c r="BL36" s="21">
        <f>1013.96-BG36</f>
        <v>-131.92999999999984</v>
      </c>
    </row>
    <row r="37" spans="1:64" s="21" customFormat="1" ht="24" hidden="1" customHeight="1">
      <c r="A37" s="213" t="s">
        <v>231</v>
      </c>
      <c r="B37" s="19" t="s">
        <v>485</v>
      </c>
      <c r="C37" s="20" t="s">
        <v>200</v>
      </c>
      <c r="D37" s="100">
        <v>517.64</v>
      </c>
      <c r="E37" s="100">
        <f t="shared" si="11"/>
        <v>18.23</v>
      </c>
      <c r="F37" s="100">
        <f t="shared" si="16"/>
        <v>0</v>
      </c>
      <c r="G37" s="100">
        <f>'cc2011-2015'!G37+'TONG TP'!I42</f>
        <v>0</v>
      </c>
      <c r="H37" s="100">
        <f>'cc2011-2015'!H37+'TONG TP'!J42</f>
        <v>0</v>
      </c>
      <c r="I37" s="100">
        <f>'cc2011-2015'!I37+'TONG TP'!M42</f>
        <v>0</v>
      </c>
      <c r="J37" s="100">
        <f>'cc2011-2015'!J37+'TONG TP'!N42</f>
        <v>0</v>
      </c>
      <c r="K37" s="100">
        <f>'cc2011-2015'!K37+'TONG TP'!P42</f>
        <v>0</v>
      </c>
      <c r="L37" s="100"/>
      <c r="M37" s="100">
        <f>'cc2011-2015'!M37+'TONG TP'!R42</f>
        <v>0</v>
      </c>
      <c r="N37" s="100">
        <f>'cc2011-2015'!N37+'TONG TP'!S42</f>
        <v>18.23</v>
      </c>
      <c r="O37" s="100"/>
      <c r="P37" s="100">
        <f>'cc2011-2015'!P37+'TONG TP'!U42</f>
        <v>0</v>
      </c>
      <c r="Q37" s="100">
        <f t="shared" si="17"/>
        <v>514.61999999999989</v>
      </c>
      <c r="R37" s="100">
        <f>'cc2011-2015'!R37+'TONG TP'!W42</f>
        <v>0.04</v>
      </c>
      <c r="S37" s="100">
        <f>'cc2011-2015'!S37+'TONG TP'!X42</f>
        <v>0.16</v>
      </c>
      <c r="T37" s="100">
        <f>'cc2011-2015'!T37+'TONG TP'!Y42</f>
        <v>0.89</v>
      </c>
      <c r="U37" s="100">
        <f>'cc2011-2015'!U37+'TONG TP'!Z42</f>
        <v>0</v>
      </c>
      <c r="V37" s="100">
        <f>'cc2011-2015'!V37+'TONG TP'!AA42</f>
        <v>8.98</v>
      </c>
      <c r="W37" s="100">
        <f>'cc2011-2015'!W37+'TONG TP'!AB42</f>
        <v>0.22</v>
      </c>
      <c r="X37" s="100">
        <f>'cc2011-2015'!X37+'TONG TP'!AC42</f>
        <v>3.63</v>
      </c>
      <c r="Y37" s="100">
        <f>'cc2011-2015'!Y37+'TONG TP'!AD42</f>
        <v>0</v>
      </c>
      <c r="Z37" s="100">
        <f t="shared" si="22"/>
        <v>499.45</v>
      </c>
      <c r="AA37" s="100">
        <f>'cc2011-2015'!AA37+'TONG TP'!AF42</f>
        <v>0.01</v>
      </c>
      <c r="AB37" s="100">
        <f>'cc2011-2015'!AB37+'TONG TP'!AG42</f>
        <v>0</v>
      </c>
      <c r="AC37" s="100">
        <f>'cc2011-2015'!AC37+'TONG TP'!AH42</f>
        <v>0</v>
      </c>
      <c r="AD37" s="100">
        <f>'cc2011-2015'!AD37+'TONG TP'!AI42</f>
        <v>0</v>
      </c>
      <c r="AE37" s="100">
        <f>'cc2011-2015'!AE37+'TONG TP'!AJ42</f>
        <v>0</v>
      </c>
      <c r="AF37" s="100">
        <f>'cc2011-2015'!AF37+'TONG TP'!AK42</f>
        <v>0</v>
      </c>
      <c r="AG37" s="100">
        <f>'cc2011-2015'!AG37+'TONG TP'!AL42</f>
        <v>3.43</v>
      </c>
      <c r="AH37" s="237">
        <f>D37-BE36</f>
        <v>496.01</v>
      </c>
      <c r="AI37" s="100">
        <f>'cc2011-2015'!AI37+'TONG TP'!AN42</f>
        <v>0</v>
      </c>
      <c r="AJ37" s="100">
        <f>'cc2011-2015'!AJ37+'TONG TP'!AO42</f>
        <v>0</v>
      </c>
      <c r="AK37" s="100">
        <f>'cc2011-2015'!AK37+'TONG TP'!AP42</f>
        <v>0</v>
      </c>
      <c r="AL37" s="100">
        <f>'cc2011-2015'!AL37+'TONG TP'!AQ42</f>
        <v>0</v>
      </c>
      <c r="AM37" s="100">
        <f>'cc2011-2015'!AM37+'TONG TP'!AR42</f>
        <v>0</v>
      </c>
      <c r="AN37" s="100">
        <f>'cc2011-2015'!AN37+'TONG TP'!AS42</f>
        <v>0.43</v>
      </c>
      <c r="AO37" s="100">
        <f>'cc2011-2015'!AO37+'TONG TP'!AT42</f>
        <v>0.01</v>
      </c>
      <c r="AP37" s="100">
        <f>'cc2011-2015'!AP37+'TONG TP'!AU42</f>
        <v>0.37</v>
      </c>
      <c r="AQ37" s="100">
        <f>'cc2011-2015'!AQ37+'TONG TP'!AV42</f>
        <v>0.13</v>
      </c>
      <c r="AR37" s="100">
        <f>'cc2011-2015'!AR37+'TONG TP'!AW42</f>
        <v>0</v>
      </c>
      <c r="AS37" s="100">
        <f>'cc2011-2015'!AS37+'TONG TP'!AX42</f>
        <v>0</v>
      </c>
      <c r="AT37" s="100">
        <f>'cc2011-2015'!AT37+'TONG TP'!AY42</f>
        <v>0</v>
      </c>
      <c r="AU37" s="100">
        <f>'cc2011-2015'!AU37+'TONG TP'!AZ42</f>
        <v>0</v>
      </c>
      <c r="AV37" s="100">
        <f>'cc2011-2015'!AV37+'TONG TP'!BA42</f>
        <v>0.15</v>
      </c>
      <c r="AW37" s="100">
        <f>'cc2011-2015'!AW37+'TONG TP'!BB42</f>
        <v>0</v>
      </c>
      <c r="AX37" s="100">
        <f>'cc2011-2015'!AX37+'TONG TP'!BC42</f>
        <v>0.15</v>
      </c>
      <c r="AY37" s="100">
        <f>'cc2011-2015'!AY37+'TONG TP'!BD42</f>
        <v>0</v>
      </c>
      <c r="AZ37" s="100">
        <f>'cc2011-2015'!AZ37+'TONG TP'!BE42</f>
        <v>0</v>
      </c>
      <c r="BA37" s="100">
        <f>'cc2011-2015'!BA37+'TONG TP'!BF42</f>
        <v>0.01</v>
      </c>
      <c r="BB37" s="100">
        <f>'cc2011-2015'!BB37+'TONG TP'!BG42</f>
        <v>0</v>
      </c>
      <c r="BC37" s="100">
        <f>'cc2011-2015'!BC37</f>
        <v>0</v>
      </c>
      <c r="BD37" s="100">
        <f>'cc2011-2015'!BD37</f>
        <v>0</v>
      </c>
      <c r="BE37" s="100">
        <f>BC37+AS37+AP37+AO37+AN37+AM37+AL37+Y37+X37+W37+V37+U37+S37+R37+T37+E37+AR37+AQ37+AT37+AU37+AV37+AW37+AX37+AY37+AZ37+BA37+BB37+BD37+AB37+AC37+AD37+AE37+AF37+AA37+AG37+AI37+AJ37+AK37</f>
        <v>36.839999999999996</v>
      </c>
      <c r="BF37" s="100">
        <f>AH60-BE37</f>
        <v>3.1200000000000045</v>
      </c>
      <c r="BG37" s="100">
        <f t="shared" si="21"/>
        <v>520.76</v>
      </c>
      <c r="BH37" s="214">
        <v>552.66999999999996</v>
      </c>
      <c r="BI37" s="191">
        <f>'TONG TP'!BN42</f>
        <v>482.66782999999998</v>
      </c>
      <c r="BJ37" s="67">
        <f t="shared" si="4"/>
        <v>38.09217000000001</v>
      </c>
      <c r="BK37" s="247">
        <f t="shared" si="5"/>
        <v>1.7252363354464244</v>
      </c>
      <c r="BL37" s="21">
        <f>524.72-BG37</f>
        <v>3.9600000000000364</v>
      </c>
    </row>
    <row r="38" spans="1:64" s="21" customFormat="1" ht="24" hidden="1" customHeight="1">
      <c r="A38" s="213" t="s">
        <v>232</v>
      </c>
      <c r="B38" s="19" t="s">
        <v>486</v>
      </c>
      <c r="C38" s="20" t="s">
        <v>223</v>
      </c>
      <c r="D38" s="100">
        <v>1.66</v>
      </c>
      <c r="E38" s="100">
        <f t="shared" si="11"/>
        <v>0</v>
      </c>
      <c r="F38" s="100">
        <f t="shared" si="16"/>
        <v>0</v>
      </c>
      <c r="G38" s="100">
        <f>'cc2011-2015'!G38+'TONG TP'!I43</f>
        <v>0</v>
      </c>
      <c r="H38" s="100">
        <f>'cc2011-2015'!H38+'TONG TP'!J43</f>
        <v>0</v>
      </c>
      <c r="I38" s="100">
        <f>'cc2011-2015'!I38+'TONG TP'!M43</f>
        <v>0</v>
      </c>
      <c r="J38" s="100">
        <f>'cc2011-2015'!J38+'TONG TP'!N43</f>
        <v>0</v>
      </c>
      <c r="K38" s="100">
        <f>'cc2011-2015'!K38+'TONG TP'!P43</f>
        <v>0</v>
      </c>
      <c r="L38" s="100"/>
      <c r="M38" s="100">
        <f>'cc2011-2015'!M38+'TONG TP'!R43</f>
        <v>0</v>
      </c>
      <c r="N38" s="100">
        <f>'cc2011-2015'!N38+'TONG TP'!S43</f>
        <v>0</v>
      </c>
      <c r="O38" s="100"/>
      <c r="P38" s="100">
        <f>'cc2011-2015'!P38+'TONG TP'!U43</f>
        <v>0</v>
      </c>
      <c r="Q38" s="100">
        <f t="shared" si="17"/>
        <v>1.66</v>
      </c>
      <c r="R38" s="100">
        <f>'cc2011-2015'!R38+'TONG TP'!W43</f>
        <v>0</v>
      </c>
      <c r="S38" s="100">
        <f>'cc2011-2015'!S38+'TONG TP'!X43</f>
        <v>0</v>
      </c>
      <c r="T38" s="100">
        <f>'cc2011-2015'!T38+'TONG TP'!Y43</f>
        <v>0</v>
      </c>
      <c r="U38" s="100">
        <f>'cc2011-2015'!U38+'TONG TP'!Z43</f>
        <v>0</v>
      </c>
      <c r="V38" s="100">
        <f>'cc2011-2015'!V38+'TONG TP'!AA43</f>
        <v>0</v>
      </c>
      <c r="W38" s="100">
        <f>'cc2011-2015'!W38+'TONG TP'!AB43</f>
        <v>0</v>
      </c>
      <c r="X38" s="100">
        <f>'cc2011-2015'!X38+'TONG TP'!AC43</f>
        <v>0</v>
      </c>
      <c r="Y38" s="100">
        <f>'cc2011-2015'!Y38+'TONG TP'!AD43</f>
        <v>0</v>
      </c>
      <c r="Z38" s="100">
        <f t="shared" si="22"/>
        <v>1.66</v>
      </c>
      <c r="AA38" s="100">
        <f>'cc2011-2015'!AA38+'TONG TP'!AF43</f>
        <v>0</v>
      </c>
      <c r="AB38" s="100">
        <f>'cc2011-2015'!AB38+'TONG TP'!AG43</f>
        <v>0</v>
      </c>
      <c r="AC38" s="100">
        <f>'cc2011-2015'!AC38+'TONG TP'!AH43</f>
        <v>0</v>
      </c>
      <c r="AD38" s="100">
        <f>'cc2011-2015'!AD38+'TONG TP'!AI43</f>
        <v>0</v>
      </c>
      <c r="AE38" s="100">
        <f>'cc2011-2015'!AE38+'TONG TP'!AJ43</f>
        <v>0</v>
      </c>
      <c r="AF38" s="100">
        <f>'cc2011-2015'!AF38+'TONG TP'!AK43</f>
        <v>0</v>
      </c>
      <c r="AG38" s="100">
        <f>'cc2011-2015'!AG38+'TONG TP'!AL43</f>
        <v>0.01</v>
      </c>
      <c r="AH38" s="100">
        <f>'cc2011-2015'!AH38+'TONG TP'!AM43</f>
        <v>0</v>
      </c>
      <c r="AI38" s="237">
        <f>D38-BE38</f>
        <v>1.65</v>
      </c>
      <c r="AJ38" s="100">
        <f>'cc2011-2015'!AJ38+'TONG TP'!AO43</f>
        <v>0</v>
      </c>
      <c r="AK38" s="100">
        <f>'cc2011-2015'!AK38+'TONG TP'!AP43</f>
        <v>0</v>
      </c>
      <c r="AL38" s="100">
        <f>'cc2011-2015'!AL38+'TONG TP'!AQ43</f>
        <v>0</v>
      </c>
      <c r="AM38" s="100">
        <f>'cc2011-2015'!AM38+'TONG TP'!AR43</f>
        <v>0</v>
      </c>
      <c r="AN38" s="100">
        <f>'cc2011-2015'!AN38+'TONG TP'!AS43</f>
        <v>0</v>
      </c>
      <c r="AO38" s="100">
        <f>'cc2011-2015'!AO38+'TONG TP'!AT43</f>
        <v>0</v>
      </c>
      <c r="AP38" s="100">
        <f>'cc2011-2015'!AP38+'TONG TP'!AU43</f>
        <v>0</v>
      </c>
      <c r="AQ38" s="100">
        <f>'cc2011-2015'!AQ38+'TONG TP'!AV43</f>
        <v>0</v>
      </c>
      <c r="AR38" s="100">
        <f>'cc2011-2015'!AR38+'TONG TP'!AW43</f>
        <v>0</v>
      </c>
      <c r="AS38" s="100">
        <f>'cc2011-2015'!AS38+'TONG TP'!AX43</f>
        <v>0</v>
      </c>
      <c r="AT38" s="100">
        <f>'cc2011-2015'!AT38+'TONG TP'!AY43</f>
        <v>0</v>
      </c>
      <c r="AU38" s="100">
        <f>'cc2011-2015'!AU38+'TONG TP'!AZ43</f>
        <v>0</v>
      </c>
      <c r="AV38" s="100">
        <f>'cc2011-2015'!AV38+'TONG TP'!BA43</f>
        <v>0</v>
      </c>
      <c r="AW38" s="100">
        <f>'cc2011-2015'!AW38+'TONG TP'!BB43</f>
        <v>0</v>
      </c>
      <c r="AX38" s="100">
        <f>'cc2011-2015'!AX38+'TONG TP'!BC43</f>
        <v>0</v>
      </c>
      <c r="AY38" s="100">
        <f>'cc2011-2015'!AY38+'TONG TP'!BD43</f>
        <v>0</v>
      </c>
      <c r="AZ38" s="100">
        <f>'cc2011-2015'!AZ38+'TONG TP'!BE43</f>
        <v>0</v>
      </c>
      <c r="BA38" s="100">
        <f>'cc2011-2015'!BA38+'TONG TP'!BF43</f>
        <v>0</v>
      </c>
      <c r="BB38" s="100">
        <f>'cc2011-2015'!BB38+'TONG TP'!BG43</f>
        <v>0</v>
      </c>
      <c r="BC38" s="100">
        <f>'cc2011-2015'!BC38</f>
        <v>0</v>
      </c>
      <c r="BD38" s="100">
        <f>'cc2011-2015'!BD38</f>
        <v>0</v>
      </c>
      <c r="BE38" s="100">
        <f>BC38+AS38+AP38+AO38+AN38+AM38+AL38+Y38+X38+W38+V38+U38+S38+R38+T38+E38+AR38+AQ38+AT38+AU38+AV38+AW38+AX38+AY38+AZ38+BA38+BB38+BD38+AA38+AB38+AC38+AD38+AE38+AF38+AG38+AH38+AJ38+AK38</f>
        <v>0.01</v>
      </c>
      <c r="BF38" s="100">
        <f>AI60-BE38</f>
        <v>0.01</v>
      </c>
      <c r="BG38" s="100">
        <f t="shared" si="21"/>
        <v>1.67</v>
      </c>
      <c r="BH38" s="214">
        <v>1.68</v>
      </c>
      <c r="BI38" s="191">
        <f>'TONG TP'!BN43</f>
        <v>2.4999999999999996</v>
      </c>
      <c r="BJ38" s="67">
        <f t="shared" si="4"/>
        <v>-0.82999999999999963</v>
      </c>
      <c r="BK38" s="247">
        <f t="shared" si="5"/>
        <v>5.5325767727850235E-3</v>
      </c>
      <c r="BL38" s="21">
        <f>55.07-BG38</f>
        <v>53.4</v>
      </c>
    </row>
    <row r="39" spans="1:64" s="21" customFormat="1" ht="24" hidden="1" customHeight="1">
      <c r="A39" s="213" t="s">
        <v>233</v>
      </c>
      <c r="B39" s="19" t="s">
        <v>487</v>
      </c>
      <c r="C39" s="20" t="s">
        <v>201</v>
      </c>
      <c r="D39" s="100">
        <v>0.46</v>
      </c>
      <c r="E39" s="100">
        <f t="shared" si="11"/>
        <v>0</v>
      </c>
      <c r="F39" s="100">
        <f t="shared" si="16"/>
        <v>0</v>
      </c>
      <c r="G39" s="100">
        <f>'cc2011-2015'!G39+'TONG TP'!I44</f>
        <v>0</v>
      </c>
      <c r="H39" s="100">
        <f>'cc2011-2015'!H39+'TONG TP'!J44</f>
        <v>0</v>
      </c>
      <c r="I39" s="100">
        <f>'cc2011-2015'!I39+'TONG TP'!M44</f>
        <v>0</v>
      </c>
      <c r="J39" s="100">
        <f>'cc2011-2015'!J39+'TONG TP'!N44</f>
        <v>0</v>
      </c>
      <c r="K39" s="100">
        <f>'cc2011-2015'!K39+'TONG TP'!P44</f>
        <v>0</v>
      </c>
      <c r="L39" s="100"/>
      <c r="M39" s="100">
        <f>'cc2011-2015'!M39+'TONG TP'!R44</f>
        <v>0</v>
      </c>
      <c r="N39" s="100">
        <f>'cc2011-2015'!N39+'TONG TP'!S44</f>
        <v>0</v>
      </c>
      <c r="O39" s="100"/>
      <c r="P39" s="100">
        <f>'cc2011-2015'!P39+'TONG TP'!U44</f>
        <v>0</v>
      </c>
      <c r="Q39" s="100">
        <f t="shared" si="17"/>
        <v>0.46</v>
      </c>
      <c r="R39" s="100">
        <f>'cc2011-2015'!R39+'TONG TP'!W44</f>
        <v>0</v>
      </c>
      <c r="S39" s="100">
        <f>'cc2011-2015'!S39+'TONG TP'!X44</f>
        <v>0</v>
      </c>
      <c r="T39" s="100">
        <f>'cc2011-2015'!T39+'TONG TP'!Y44</f>
        <v>0</v>
      </c>
      <c r="U39" s="100">
        <f>'cc2011-2015'!U39+'TONG TP'!Z44</f>
        <v>0</v>
      </c>
      <c r="V39" s="100">
        <f>'cc2011-2015'!V39+'TONG TP'!AA44</f>
        <v>0</v>
      </c>
      <c r="W39" s="100">
        <f>'cc2011-2015'!W39+'TONG TP'!AB44</f>
        <v>0</v>
      </c>
      <c r="X39" s="100">
        <f>'cc2011-2015'!X39+'TONG TP'!AC44</f>
        <v>0</v>
      </c>
      <c r="Y39" s="100">
        <f>'cc2011-2015'!Y39+'TONG TP'!AD44</f>
        <v>0</v>
      </c>
      <c r="Z39" s="100">
        <f t="shared" si="22"/>
        <v>0.46</v>
      </c>
      <c r="AA39" s="100">
        <f>'cc2011-2015'!AA39+'TONG TP'!AF44</f>
        <v>0</v>
      </c>
      <c r="AB39" s="100">
        <f>'cc2011-2015'!AB39+'TONG TP'!AG44</f>
        <v>0</v>
      </c>
      <c r="AC39" s="100">
        <f>'cc2011-2015'!AC39+'TONG TP'!AH44</f>
        <v>0</v>
      </c>
      <c r="AD39" s="100">
        <f>'cc2011-2015'!AD39+'TONG TP'!AI44</f>
        <v>0</v>
      </c>
      <c r="AE39" s="100">
        <f>'cc2011-2015'!AE39+'TONG TP'!AJ44</f>
        <v>0</v>
      </c>
      <c r="AF39" s="100">
        <f>'cc2011-2015'!AF39+'TONG TP'!AK44</f>
        <v>0</v>
      </c>
      <c r="AG39" s="100">
        <f>'cc2011-2015'!AG39+'TONG TP'!AL44</f>
        <v>0</v>
      </c>
      <c r="AH39" s="100">
        <f>'cc2011-2015'!AH39+'TONG TP'!AM44</f>
        <v>0</v>
      </c>
      <c r="AI39" s="100">
        <f>'cc2011-2015'!AI39+'TONG TP'!AN44</f>
        <v>0</v>
      </c>
      <c r="AJ39" s="237">
        <f>D39-BE39</f>
        <v>0.46</v>
      </c>
      <c r="AK39" s="100">
        <f>'cc2011-2015'!AK39+'TONG TP'!AP44</f>
        <v>0</v>
      </c>
      <c r="AL39" s="100">
        <f>'cc2011-2015'!AL39+'TONG TP'!AQ44</f>
        <v>0</v>
      </c>
      <c r="AM39" s="100">
        <f>'cc2011-2015'!AM39+'TONG TP'!AR44</f>
        <v>0</v>
      </c>
      <c r="AN39" s="100">
        <f>'cc2011-2015'!AN39+'TONG TP'!AS44</f>
        <v>0</v>
      </c>
      <c r="AO39" s="100">
        <f>'cc2011-2015'!AO39+'TONG TP'!AT44</f>
        <v>0</v>
      </c>
      <c r="AP39" s="100">
        <f>'cc2011-2015'!AP39+'TONG TP'!AU44</f>
        <v>0</v>
      </c>
      <c r="AQ39" s="100">
        <f>'cc2011-2015'!AQ39+'TONG TP'!AV44</f>
        <v>0</v>
      </c>
      <c r="AR39" s="100">
        <f>'cc2011-2015'!AR39+'TONG TP'!AW44</f>
        <v>0</v>
      </c>
      <c r="AS39" s="100">
        <f>'cc2011-2015'!AS39+'TONG TP'!AX44</f>
        <v>0</v>
      </c>
      <c r="AT39" s="100">
        <f>'cc2011-2015'!AT39+'TONG TP'!AY44</f>
        <v>0</v>
      </c>
      <c r="AU39" s="100">
        <f>'cc2011-2015'!AU39+'TONG TP'!AZ44</f>
        <v>0</v>
      </c>
      <c r="AV39" s="100">
        <f>'cc2011-2015'!AV39+'TONG TP'!BA44</f>
        <v>0</v>
      </c>
      <c r="AW39" s="100">
        <f>'cc2011-2015'!AW39+'TONG TP'!BB44</f>
        <v>0</v>
      </c>
      <c r="AX39" s="100">
        <f>'cc2011-2015'!AX39+'TONG TP'!BC44</f>
        <v>0</v>
      </c>
      <c r="AY39" s="100">
        <f>'cc2011-2015'!AY39+'TONG TP'!BD44</f>
        <v>0</v>
      </c>
      <c r="AZ39" s="100">
        <f>'cc2011-2015'!AZ39+'TONG TP'!BE44</f>
        <v>0</v>
      </c>
      <c r="BA39" s="100">
        <f>'cc2011-2015'!BA39+'TONG TP'!BF44</f>
        <v>0</v>
      </c>
      <c r="BB39" s="100">
        <f>'cc2011-2015'!BB39+'TONG TP'!BG44</f>
        <v>0</v>
      </c>
      <c r="BC39" s="100">
        <f>'cc2011-2015'!BC39</f>
        <v>0</v>
      </c>
      <c r="BD39" s="100">
        <f>'cc2011-2015'!BD39</f>
        <v>0</v>
      </c>
      <c r="BE39" s="100">
        <f>BC39+AS39+AP39+AO39+AN39+AM39+AL39+Y39+X39+W39+V39+U39+S39+R39+T39+E39+AR39+AQ39+AT39+AU39+AV39+AW39+AX39+AY39+AZ39+BA39+BB39+BD39+AA39+AB39+AC39+AD39+AE39+AF39+AG39+AH39+AI39+AK39</f>
        <v>0</v>
      </c>
      <c r="BF39" s="100">
        <f>AJ60-BE39</f>
        <v>0.02</v>
      </c>
      <c r="BG39" s="100">
        <f t="shared" si="21"/>
        <v>0.48000000000000004</v>
      </c>
      <c r="BH39" s="214">
        <v>0.48</v>
      </c>
      <c r="BI39" s="191">
        <f>'TONG TP'!BN44</f>
        <v>1.49255</v>
      </c>
      <c r="BJ39" s="67">
        <f t="shared" si="4"/>
        <v>-1.0125500000000001</v>
      </c>
      <c r="BK39" s="247">
        <f t="shared" si="5"/>
        <v>1.5902017071477913E-3</v>
      </c>
      <c r="BL39" s="21">
        <f>2.15-BG39</f>
        <v>1.67</v>
      </c>
    </row>
    <row r="40" spans="1:64" s="21" customFormat="1" ht="24" hidden="1" customHeight="1">
      <c r="A40" s="213" t="s">
        <v>234</v>
      </c>
      <c r="B40" s="19" t="s">
        <v>488</v>
      </c>
      <c r="C40" s="20" t="s">
        <v>208</v>
      </c>
      <c r="D40" s="100">
        <v>7.55</v>
      </c>
      <c r="E40" s="100">
        <f t="shared" si="11"/>
        <v>0</v>
      </c>
      <c r="F40" s="100">
        <f t="shared" si="16"/>
        <v>0</v>
      </c>
      <c r="G40" s="100">
        <f>'cc2011-2015'!G40+'TONG TP'!I45</f>
        <v>0</v>
      </c>
      <c r="H40" s="100">
        <f>'cc2011-2015'!H40+'TONG TP'!J45</f>
        <v>0</v>
      </c>
      <c r="I40" s="100">
        <f>'cc2011-2015'!I40+'TONG TP'!M45</f>
        <v>0</v>
      </c>
      <c r="J40" s="100">
        <f>'cc2011-2015'!J40+'TONG TP'!N45</f>
        <v>0</v>
      </c>
      <c r="K40" s="100">
        <f>'cc2011-2015'!K40+'TONG TP'!P45</f>
        <v>0</v>
      </c>
      <c r="L40" s="100"/>
      <c r="M40" s="100">
        <f>'cc2011-2015'!M40+'TONG TP'!R45</f>
        <v>0</v>
      </c>
      <c r="N40" s="100">
        <f>'cc2011-2015'!N40+'TONG TP'!S45</f>
        <v>0</v>
      </c>
      <c r="O40" s="100"/>
      <c r="P40" s="100">
        <f>'cc2011-2015'!P40+'TONG TP'!U45</f>
        <v>0</v>
      </c>
      <c r="Q40" s="100">
        <f t="shared" si="17"/>
        <v>7.55</v>
      </c>
      <c r="R40" s="100">
        <f>'cc2011-2015'!R40+'TONG TP'!W45</f>
        <v>0</v>
      </c>
      <c r="S40" s="100">
        <f>'cc2011-2015'!S40+'TONG TP'!X45</f>
        <v>0</v>
      </c>
      <c r="T40" s="100">
        <f>'cc2011-2015'!T40+'TONG TP'!Y45</f>
        <v>0</v>
      </c>
      <c r="U40" s="100">
        <f>'cc2011-2015'!U40+'TONG TP'!Z45</f>
        <v>0</v>
      </c>
      <c r="V40" s="100">
        <f>'cc2011-2015'!V40+'TONG TP'!AA45</f>
        <v>0</v>
      </c>
      <c r="W40" s="100">
        <f>'cc2011-2015'!W40+'TONG TP'!AB45</f>
        <v>0</v>
      </c>
      <c r="X40" s="100">
        <f>'cc2011-2015'!X40+'TONG TP'!AC45</f>
        <v>0</v>
      </c>
      <c r="Y40" s="100">
        <f>'cc2011-2015'!Y40+'TONG TP'!AD45</f>
        <v>0</v>
      </c>
      <c r="Z40" s="100">
        <f t="shared" si="22"/>
        <v>7.55</v>
      </c>
      <c r="AA40" s="100">
        <f>'cc2011-2015'!AA40+'TONG TP'!AF45</f>
        <v>0</v>
      </c>
      <c r="AB40" s="100">
        <f>'cc2011-2015'!AB40+'TONG TP'!AG45</f>
        <v>0</v>
      </c>
      <c r="AC40" s="100">
        <f>'cc2011-2015'!AC40+'TONG TP'!AH45</f>
        <v>0</v>
      </c>
      <c r="AD40" s="100">
        <f>'cc2011-2015'!AD40+'TONG TP'!AI45</f>
        <v>0</v>
      </c>
      <c r="AE40" s="100">
        <f>'cc2011-2015'!AE40+'TONG TP'!AJ45</f>
        <v>0</v>
      </c>
      <c r="AF40" s="100">
        <f>'cc2011-2015'!AF40+'TONG TP'!AK45</f>
        <v>0</v>
      </c>
      <c r="AG40" s="100">
        <f>'cc2011-2015'!AG40+'TONG TP'!AL45</f>
        <v>0</v>
      </c>
      <c r="AH40" s="100">
        <f>'cc2011-2015'!AH40+'TONG TP'!AM45</f>
        <v>0</v>
      </c>
      <c r="AI40" s="100">
        <f>'cc2011-2015'!AI40+'TONG TP'!AN45</f>
        <v>0</v>
      </c>
      <c r="AJ40" s="100">
        <f>'cc2011-2015'!AJ40+'TONG TP'!AO45</f>
        <v>0</v>
      </c>
      <c r="AK40" s="237">
        <f>D40-BE40</f>
        <v>7.55</v>
      </c>
      <c r="AL40" s="100">
        <f>'cc2011-2015'!AL40+'TONG TP'!AQ45</f>
        <v>0</v>
      </c>
      <c r="AM40" s="100">
        <f>'cc2011-2015'!AM40+'TONG TP'!AR45</f>
        <v>0</v>
      </c>
      <c r="AN40" s="100">
        <f>'cc2011-2015'!AN40+'TONG TP'!AS45</f>
        <v>0</v>
      </c>
      <c r="AO40" s="100">
        <f>'cc2011-2015'!AO40+'TONG TP'!AT45</f>
        <v>0</v>
      </c>
      <c r="AP40" s="100">
        <f>'cc2011-2015'!AP40+'TONG TP'!AU45</f>
        <v>0</v>
      </c>
      <c r="AQ40" s="100">
        <f>'cc2011-2015'!AQ40+'TONG TP'!AV45</f>
        <v>0</v>
      </c>
      <c r="AR40" s="100">
        <f>'cc2011-2015'!AR40+'TONG TP'!AW45</f>
        <v>0</v>
      </c>
      <c r="AS40" s="100">
        <f>'cc2011-2015'!AS40+'TONG TP'!AX45</f>
        <v>0</v>
      </c>
      <c r="AT40" s="100">
        <f>'cc2011-2015'!AT40+'TONG TP'!AY45</f>
        <v>0</v>
      </c>
      <c r="AU40" s="100">
        <f>'cc2011-2015'!AU40+'TONG TP'!AZ45</f>
        <v>0</v>
      </c>
      <c r="AV40" s="100">
        <f>'cc2011-2015'!AV40+'TONG TP'!BA45</f>
        <v>0</v>
      </c>
      <c r="AW40" s="100">
        <f>'cc2011-2015'!AW40+'TONG TP'!BB45</f>
        <v>0</v>
      </c>
      <c r="AX40" s="100">
        <f>'cc2011-2015'!AX40+'TONG TP'!BC45</f>
        <v>0</v>
      </c>
      <c r="AY40" s="100">
        <f>'cc2011-2015'!AY40+'TONG TP'!BD45</f>
        <v>0</v>
      </c>
      <c r="AZ40" s="100">
        <f>'cc2011-2015'!AZ40+'TONG TP'!BE45</f>
        <v>0</v>
      </c>
      <c r="BA40" s="100">
        <f>'cc2011-2015'!BA40+'TONG TP'!BF45</f>
        <v>0</v>
      </c>
      <c r="BB40" s="100">
        <f>'cc2011-2015'!BB40+'TONG TP'!BG45</f>
        <v>0</v>
      </c>
      <c r="BC40" s="100">
        <f>'cc2011-2015'!BC40</f>
        <v>0</v>
      </c>
      <c r="BD40" s="100">
        <f>'cc2011-2015'!BD40</f>
        <v>0</v>
      </c>
      <c r="BE40" s="100">
        <f>BC40+AS40+AP40+AO40+AN40+AM40+AL40+Y40+X40+W40+V40+U40+S40+R40+T40+E40+AR40+AQ40+AT40+AU40+AV40+AW40+AX40+AY40+AZ40+BA40+BB40+BD40+AA40+AB40+AC40+AD40+AE40+AF40+AG40+AH40+AI40+AJ40</f>
        <v>0</v>
      </c>
      <c r="BF40" s="100">
        <f>AK60-BE40</f>
        <v>3.91</v>
      </c>
      <c r="BG40" s="100">
        <f t="shared" si="21"/>
        <v>11.46</v>
      </c>
      <c r="BH40" s="214">
        <v>7.56</v>
      </c>
      <c r="BI40" s="191">
        <f>'TONG TP'!BN45</f>
        <v>15.88162</v>
      </c>
      <c r="BJ40" s="67">
        <f t="shared" si="4"/>
        <v>-4.421619999999999</v>
      </c>
      <c r="BK40" s="247">
        <f t="shared" si="5"/>
        <v>3.7966065758153512E-2</v>
      </c>
      <c r="BL40" s="21">
        <f>7.36-BG40</f>
        <v>-4.1000000000000005</v>
      </c>
    </row>
    <row r="41" spans="1:64" s="230" customFormat="1" ht="21.75" customHeight="1">
      <c r="A41" s="228" t="s">
        <v>73</v>
      </c>
      <c r="B41" s="229" t="s">
        <v>74</v>
      </c>
      <c r="C41" s="228" t="s">
        <v>75</v>
      </c>
      <c r="D41" s="100">
        <v>16.32</v>
      </c>
      <c r="E41" s="100">
        <f t="shared" si="11"/>
        <v>0</v>
      </c>
      <c r="F41" s="100">
        <f t="shared" si="16"/>
        <v>0</v>
      </c>
      <c r="G41" s="100">
        <f>'cc2011-2015'!G41+'TONG TP'!I46</f>
        <v>0</v>
      </c>
      <c r="H41" s="100">
        <f>'cc2011-2015'!H41+'TONG TP'!J46</f>
        <v>0</v>
      </c>
      <c r="I41" s="100">
        <f>'cc2011-2015'!I41+'TONG TP'!M46</f>
        <v>0</v>
      </c>
      <c r="J41" s="100">
        <f>'cc2011-2015'!J41+'TONG TP'!N46</f>
        <v>0</v>
      </c>
      <c r="K41" s="100">
        <f>'cc2011-2015'!K41+'TONG TP'!P46</f>
        <v>0</v>
      </c>
      <c r="L41" s="100"/>
      <c r="M41" s="100">
        <f>'cc2011-2015'!M41+'TONG TP'!R46</f>
        <v>0</v>
      </c>
      <c r="N41" s="100">
        <f>'cc2011-2015'!N41+'TONG TP'!S46</f>
        <v>0</v>
      </c>
      <c r="O41" s="100"/>
      <c r="P41" s="100">
        <f>'cc2011-2015'!P41+'TONG TP'!U46</f>
        <v>0</v>
      </c>
      <c r="Q41" s="100">
        <f t="shared" si="17"/>
        <v>7.59</v>
      </c>
      <c r="R41" s="100">
        <f>'cc2011-2015'!R41+'TONG TP'!W46</f>
        <v>0</v>
      </c>
      <c r="S41" s="100">
        <f>'cc2011-2015'!S41+'TONG TP'!X46</f>
        <v>0</v>
      </c>
      <c r="T41" s="100">
        <f>'cc2011-2015'!T41+'TONG TP'!Y46</f>
        <v>0</v>
      </c>
      <c r="U41" s="100">
        <f>'cc2011-2015'!U41+'TONG TP'!Z46</f>
        <v>0</v>
      </c>
      <c r="V41" s="100">
        <f>'cc2011-2015'!V41+'TONG TP'!AA46</f>
        <v>0</v>
      </c>
      <c r="W41" s="100">
        <f>'cc2011-2015'!W41+'TONG TP'!AB46</f>
        <v>0</v>
      </c>
      <c r="X41" s="100">
        <f>'cc2011-2015'!X41+'TONG TP'!AC46</f>
        <v>0</v>
      </c>
      <c r="Y41" s="100">
        <f>'cc2011-2015'!Y41+'TONG TP'!AD46</f>
        <v>0</v>
      </c>
      <c r="Z41" s="100">
        <f t="shared" si="22"/>
        <v>0</v>
      </c>
      <c r="AA41" s="100">
        <f>'cc2011-2015'!AA41+'TONG TP'!AF46</f>
        <v>0</v>
      </c>
      <c r="AB41" s="100">
        <f>'cc2011-2015'!AB41+'TONG TP'!AG46</f>
        <v>0</v>
      </c>
      <c r="AC41" s="100">
        <f>'cc2011-2015'!AC41+'TONG TP'!AH46</f>
        <v>0</v>
      </c>
      <c r="AD41" s="100">
        <f>'cc2011-2015'!AD41+'TONG TP'!AI46</f>
        <v>0</v>
      </c>
      <c r="AE41" s="100">
        <f>'cc2011-2015'!AE41+'TONG TP'!AJ46</f>
        <v>0</v>
      </c>
      <c r="AF41" s="100">
        <f>'cc2011-2015'!AF41+'TONG TP'!AK46</f>
        <v>0</v>
      </c>
      <c r="AG41" s="100">
        <f>'cc2011-2015'!AG41+'TONG TP'!AL46</f>
        <v>0</v>
      </c>
      <c r="AH41" s="100">
        <f>'cc2011-2015'!AH41+'TONG TP'!AM46</f>
        <v>0</v>
      </c>
      <c r="AI41" s="100">
        <f>'cc2011-2015'!AI41+'TONG TP'!AN46</f>
        <v>0</v>
      </c>
      <c r="AJ41" s="100">
        <f>'cc2011-2015'!AJ41+'TONG TP'!AO46</f>
        <v>0</v>
      </c>
      <c r="AK41" s="100">
        <f>'cc2011-2015'!AK41+'TONG TP'!AP46</f>
        <v>0</v>
      </c>
      <c r="AL41" s="237">
        <f>D41-BE41</f>
        <v>7.59</v>
      </c>
      <c r="AM41" s="100">
        <f>'cc2011-2015'!AM41+'TONG TP'!AR46</f>
        <v>0</v>
      </c>
      <c r="AN41" s="100">
        <f>'cc2011-2015'!AN41+'TONG TP'!AS46</f>
        <v>0</v>
      </c>
      <c r="AO41" s="100">
        <f>'cc2011-2015'!AO41+'TONG TP'!AT46</f>
        <v>0</v>
      </c>
      <c r="AP41" s="100">
        <f>'cc2011-2015'!AP41+'TONG TP'!AU46</f>
        <v>0</v>
      </c>
      <c r="AQ41" s="100">
        <f>'cc2011-2015'!AQ41+'TONG TP'!AV46</f>
        <v>0</v>
      </c>
      <c r="AR41" s="100">
        <f>'cc2011-2015'!AR41+'TONG TP'!AW46</f>
        <v>0</v>
      </c>
      <c r="AS41" s="100">
        <f>'cc2011-2015'!AS41+'TONG TP'!AX46</f>
        <v>0</v>
      </c>
      <c r="AT41" s="100">
        <f>'cc2011-2015'!AT41+'TONG TP'!AY46</f>
        <v>0</v>
      </c>
      <c r="AU41" s="100">
        <f>'cc2011-2015'!AU41+'TONG TP'!AZ46</f>
        <v>0</v>
      </c>
      <c r="AV41" s="100">
        <f>'cc2011-2015'!AV41+'TONG TP'!BA46</f>
        <v>0</v>
      </c>
      <c r="AW41" s="100">
        <f>'cc2011-2015'!AW41+'TONG TP'!BB46</f>
        <v>0</v>
      </c>
      <c r="AX41" s="100">
        <f>'cc2011-2015'!AX41+'TONG TP'!BC46</f>
        <v>0</v>
      </c>
      <c r="AY41" s="100">
        <f>'cc2011-2015'!AY41+'TONG TP'!BD46</f>
        <v>0</v>
      </c>
      <c r="AZ41" s="100">
        <f>'cc2011-2015'!AZ41+'TONG TP'!BE46</f>
        <v>0</v>
      </c>
      <c r="BA41" s="100">
        <f>'cc2011-2015'!BA41+'TONG TP'!BF46</f>
        <v>0</v>
      </c>
      <c r="BB41" s="100">
        <f>'cc2011-2015'!BB41+'TONG TP'!BG46</f>
        <v>0</v>
      </c>
      <c r="BC41" s="100">
        <f>'cc2011-2015'!BC41</f>
        <v>0</v>
      </c>
      <c r="BD41" s="100">
        <f>'cc2011-2015'!BD41</f>
        <v>8.73</v>
      </c>
      <c r="BE41" s="100">
        <f>BC41+AS41+AP41+AO41+AN41+AM41+Z41+Y41+X41+W41+V41+U41+S41+R41+T41+E41+AR41+AQ41+AT41+AU41+AV41+AW41+AX41+AY41+AZ41+BA41+BB41+BD41</f>
        <v>8.73</v>
      </c>
      <c r="BF41" s="100">
        <f>AL60-BE41</f>
        <v>-8.73</v>
      </c>
      <c r="BG41" s="100">
        <f t="shared" si="15"/>
        <v>7.59</v>
      </c>
      <c r="BH41" s="246">
        <f>'BIEN DONG'!AT28</f>
        <v>7.59</v>
      </c>
      <c r="BI41" s="191">
        <f>'TONG TP'!BN46</f>
        <v>0.24000000000000002</v>
      </c>
      <c r="BJ41" s="191">
        <f t="shared" si="4"/>
        <v>7.35</v>
      </c>
      <c r="BK41" s="247">
        <f t="shared" si="5"/>
        <v>2.5145064494274446E-2</v>
      </c>
      <c r="BL41" s="230">
        <f>69-BG41</f>
        <v>61.41</v>
      </c>
    </row>
    <row r="42" spans="1:64" s="230" customFormat="1" ht="21.75" customHeight="1">
      <c r="A42" s="228" t="s">
        <v>76</v>
      </c>
      <c r="B42" s="229" t="s">
        <v>77</v>
      </c>
      <c r="C42" s="228" t="s">
        <v>78</v>
      </c>
      <c r="D42" s="100"/>
      <c r="E42" s="100">
        <f t="shared" si="11"/>
        <v>0</v>
      </c>
      <c r="F42" s="100">
        <f t="shared" si="16"/>
        <v>0</v>
      </c>
      <c r="G42" s="100">
        <f>'cc2011-2015'!G42+'TONG TP'!I47</f>
        <v>0</v>
      </c>
      <c r="H42" s="100">
        <f>'cc2011-2015'!H42+'TONG TP'!J47</f>
        <v>0</v>
      </c>
      <c r="I42" s="100">
        <f>'cc2011-2015'!I42+'TONG TP'!M47</f>
        <v>0</v>
      </c>
      <c r="J42" s="100">
        <f>'cc2011-2015'!J42+'TONG TP'!N47</f>
        <v>0</v>
      </c>
      <c r="K42" s="100">
        <f>'cc2011-2015'!K42+'TONG TP'!P47</f>
        <v>0</v>
      </c>
      <c r="L42" s="100"/>
      <c r="M42" s="100">
        <f>'cc2011-2015'!M42+'TONG TP'!R47</f>
        <v>0</v>
      </c>
      <c r="N42" s="100">
        <f>'cc2011-2015'!N42+'TONG TP'!S47</f>
        <v>0</v>
      </c>
      <c r="O42" s="100"/>
      <c r="P42" s="100">
        <f>'cc2011-2015'!P42+'TONG TP'!U47</f>
        <v>0</v>
      </c>
      <c r="Q42" s="100">
        <f t="shared" si="17"/>
        <v>0</v>
      </c>
      <c r="R42" s="100">
        <f>'cc2011-2015'!R42+'TONG TP'!W47</f>
        <v>0</v>
      </c>
      <c r="S42" s="100">
        <f>'cc2011-2015'!S42+'TONG TP'!X47</f>
        <v>0</v>
      </c>
      <c r="T42" s="100">
        <f>'cc2011-2015'!T42+'TONG TP'!Y47</f>
        <v>0</v>
      </c>
      <c r="U42" s="100">
        <f>'cc2011-2015'!U42+'TONG TP'!Z47</f>
        <v>0</v>
      </c>
      <c r="V42" s="100">
        <f>'cc2011-2015'!V42+'TONG TP'!AA47</f>
        <v>0</v>
      </c>
      <c r="W42" s="100">
        <f>'cc2011-2015'!W42+'TONG TP'!AB47</f>
        <v>0</v>
      </c>
      <c r="X42" s="100">
        <f>'cc2011-2015'!X42+'TONG TP'!AC47</f>
        <v>0</v>
      </c>
      <c r="Y42" s="100">
        <f>'cc2011-2015'!Y42+'TONG TP'!AD47</f>
        <v>0</v>
      </c>
      <c r="Z42" s="100">
        <f t="shared" si="22"/>
        <v>0</v>
      </c>
      <c r="AA42" s="100">
        <f>'cc2011-2015'!AA42+'TONG TP'!AF47</f>
        <v>0</v>
      </c>
      <c r="AB42" s="100">
        <f>'cc2011-2015'!AB42+'TONG TP'!AG47</f>
        <v>0</v>
      </c>
      <c r="AC42" s="100">
        <f>'cc2011-2015'!AC42+'TONG TP'!AH47</f>
        <v>0</v>
      </c>
      <c r="AD42" s="100">
        <f>'cc2011-2015'!AD42+'TONG TP'!AI47</f>
        <v>0</v>
      </c>
      <c r="AE42" s="100">
        <f>'cc2011-2015'!AE42+'TONG TP'!AJ47</f>
        <v>0</v>
      </c>
      <c r="AF42" s="100">
        <f>'cc2011-2015'!AF42+'TONG TP'!AK47</f>
        <v>0</v>
      </c>
      <c r="AG42" s="100">
        <f>'cc2011-2015'!AG42+'TONG TP'!AL47</f>
        <v>0</v>
      </c>
      <c r="AH42" s="100">
        <f>'cc2011-2015'!AH42+'TONG TP'!AM47</f>
        <v>0</v>
      </c>
      <c r="AI42" s="100">
        <f>'cc2011-2015'!AI42+'TONG TP'!AN47</f>
        <v>0</v>
      </c>
      <c r="AJ42" s="100">
        <f>'cc2011-2015'!AJ42+'TONG TP'!AO47</f>
        <v>0</v>
      </c>
      <c r="AK42" s="100">
        <f>'cc2011-2015'!AK42+'TONG TP'!AP47</f>
        <v>0</v>
      </c>
      <c r="AL42" s="100">
        <f>'cc2011-2015'!AL42+'TONG TP'!AQ47</f>
        <v>0</v>
      </c>
      <c r="AM42" s="237">
        <f>D42-BE42</f>
        <v>0</v>
      </c>
      <c r="AN42" s="100">
        <f>'cc2011-2015'!AN42+'TONG TP'!AS47</f>
        <v>0</v>
      </c>
      <c r="AO42" s="100">
        <f>'cc2011-2015'!AO42+'TONG TP'!AT47</f>
        <v>0</v>
      </c>
      <c r="AP42" s="100">
        <f>'cc2011-2015'!AP42+'TONG TP'!AU47</f>
        <v>0</v>
      </c>
      <c r="AQ42" s="100">
        <f>'cc2011-2015'!AQ42+'TONG TP'!AV47</f>
        <v>0</v>
      </c>
      <c r="AR42" s="100">
        <f>'cc2011-2015'!AR42+'TONG TP'!AW47</f>
        <v>0</v>
      </c>
      <c r="AS42" s="100">
        <f>'cc2011-2015'!AS42+'TONG TP'!AX47</f>
        <v>0</v>
      </c>
      <c r="AT42" s="100">
        <f>'cc2011-2015'!AT42+'TONG TP'!AY47</f>
        <v>0</v>
      </c>
      <c r="AU42" s="100">
        <f>'cc2011-2015'!AU42+'TONG TP'!AZ47</f>
        <v>0</v>
      </c>
      <c r="AV42" s="100">
        <f>'cc2011-2015'!AV42+'TONG TP'!BA47</f>
        <v>0</v>
      </c>
      <c r="AW42" s="100">
        <f>'cc2011-2015'!AW42+'TONG TP'!BB47</f>
        <v>0</v>
      </c>
      <c r="AX42" s="100">
        <f>'cc2011-2015'!AX42+'TONG TP'!BC47</f>
        <v>0</v>
      </c>
      <c r="AY42" s="100">
        <f>'cc2011-2015'!AY42+'TONG TP'!BD47</f>
        <v>0</v>
      </c>
      <c r="AZ42" s="100">
        <f>'cc2011-2015'!AZ42+'TONG TP'!BE47</f>
        <v>0</v>
      </c>
      <c r="BA42" s="100">
        <f>'cc2011-2015'!BA42+'TONG TP'!BF47</f>
        <v>0</v>
      </c>
      <c r="BB42" s="100">
        <f>'cc2011-2015'!BB42+'TONG TP'!BG47</f>
        <v>0</v>
      </c>
      <c r="BC42" s="100">
        <f>'cc2011-2015'!BC42</f>
        <v>0</v>
      </c>
      <c r="BD42" s="100">
        <f>'cc2011-2015'!BD42</f>
        <v>0</v>
      </c>
      <c r="BE42" s="100">
        <f>BC42+AS42+AP42+AO42+AN42+AL42+Z42+Y42+X42+W42+V42+U42+S42+R42+T42+E42+AR42+AQ42+AT42+AU42+AV42+AW42+AX42+AY42+AZ42+BA42+BB42+BD42</f>
        <v>0</v>
      </c>
      <c r="BF42" s="100">
        <f>AM60-BD42</f>
        <v>0</v>
      </c>
      <c r="BG42" s="100">
        <f t="shared" si="15"/>
        <v>0</v>
      </c>
      <c r="BH42" s="246">
        <f>'BIEN DONG'!AT29</f>
        <v>0</v>
      </c>
      <c r="BI42" s="191">
        <f>'TONG TP'!BN47</f>
        <v>0</v>
      </c>
      <c r="BJ42" s="67">
        <f t="shared" si="4"/>
        <v>0</v>
      </c>
      <c r="BK42" s="247">
        <f t="shared" si="5"/>
        <v>0</v>
      </c>
    </row>
    <row r="43" spans="1:64" s="230" customFormat="1" ht="21.75" customHeight="1">
      <c r="A43" s="228" t="s">
        <v>79</v>
      </c>
      <c r="B43" s="229" t="s">
        <v>80</v>
      </c>
      <c r="C43" s="228" t="s">
        <v>81</v>
      </c>
      <c r="D43" s="100">
        <v>5.77</v>
      </c>
      <c r="E43" s="100">
        <f t="shared" si="11"/>
        <v>0</v>
      </c>
      <c r="F43" s="100">
        <f t="shared" si="16"/>
        <v>0</v>
      </c>
      <c r="G43" s="100">
        <f>'cc2011-2015'!G43+'TONG TP'!I48</f>
        <v>0</v>
      </c>
      <c r="H43" s="100">
        <f>'cc2011-2015'!H43+'TONG TP'!J48</f>
        <v>0</v>
      </c>
      <c r="I43" s="100">
        <f>'cc2011-2015'!I43+'TONG TP'!M48</f>
        <v>0</v>
      </c>
      <c r="J43" s="100">
        <f>'cc2011-2015'!J43+'TONG TP'!N48</f>
        <v>0</v>
      </c>
      <c r="K43" s="100">
        <f>'cc2011-2015'!K43+'TONG TP'!P48</f>
        <v>0</v>
      </c>
      <c r="L43" s="100"/>
      <c r="M43" s="100">
        <f>'cc2011-2015'!M43+'TONG TP'!R48</f>
        <v>0</v>
      </c>
      <c r="N43" s="100">
        <f>'cc2011-2015'!N43+'TONG TP'!S48</f>
        <v>0</v>
      </c>
      <c r="O43" s="100"/>
      <c r="P43" s="100">
        <f>'cc2011-2015'!P43+'TONG TP'!U48</f>
        <v>0</v>
      </c>
      <c r="Q43" s="100">
        <f t="shared" si="17"/>
        <v>4.4999999999999991</v>
      </c>
      <c r="R43" s="100">
        <f>'cc2011-2015'!R43+'TONG TP'!W48</f>
        <v>0.1</v>
      </c>
      <c r="S43" s="100">
        <f>'cc2011-2015'!S43+'TONG TP'!X48</f>
        <v>0</v>
      </c>
      <c r="T43" s="100">
        <f>'cc2011-2015'!T43+'TONG TP'!Y48</f>
        <v>0</v>
      </c>
      <c r="U43" s="100">
        <f>'cc2011-2015'!U43+'TONG TP'!Z48</f>
        <v>0</v>
      </c>
      <c r="V43" s="100">
        <f>'cc2011-2015'!V43+'TONG TP'!AA48</f>
        <v>0</v>
      </c>
      <c r="W43" s="100">
        <f>'cc2011-2015'!W43+'TONG TP'!AB48</f>
        <v>0</v>
      </c>
      <c r="X43" s="100">
        <f>'cc2011-2015'!X43+'TONG TP'!AC48</f>
        <v>0</v>
      </c>
      <c r="Y43" s="100">
        <f>'cc2011-2015'!Y43+'TONG TP'!AD48</f>
        <v>0</v>
      </c>
      <c r="Z43" s="100">
        <f t="shared" si="22"/>
        <v>0</v>
      </c>
      <c r="AA43" s="100">
        <f>'cc2011-2015'!AA43+'TONG TP'!AF48</f>
        <v>0</v>
      </c>
      <c r="AB43" s="100">
        <f>'cc2011-2015'!AB43+'TONG TP'!AG48</f>
        <v>0</v>
      </c>
      <c r="AC43" s="100">
        <f>'cc2011-2015'!AC43+'TONG TP'!AH48</f>
        <v>0</v>
      </c>
      <c r="AD43" s="100">
        <f>'cc2011-2015'!AD43+'TONG TP'!AI48</f>
        <v>0</v>
      </c>
      <c r="AE43" s="100">
        <f>'cc2011-2015'!AE43+'TONG TP'!AJ48</f>
        <v>0</v>
      </c>
      <c r="AF43" s="100">
        <f>'cc2011-2015'!AF43+'TONG TP'!AK48</f>
        <v>0</v>
      </c>
      <c r="AG43" s="100">
        <f>'cc2011-2015'!AG43+'TONG TP'!AL48</f>
        <v>0</v>
      </c>
      <c r="AH43" s="100">
        <f>'cc2011-2015'!AH43+'TONG TP'!AM48</f>
        <v>0</v>
      </c>
      <c r="AI43" s="100">
        <f>'cc2011-2015'!AI43+'TONG TP'!AN48</f>
        <v>0</v>
      </c>
      <c r="AJ43" s="100">
        <f>'cc2011-2015'!AJ43+'TONG TP'!AO48</f>
        <v>0</v>
      </c>
      <c r="AK43" s="100">
        <f>'cc2011-2015'!AK43+'TONG TP'!AP48</f>
        <v>0</v>
      </c>
      <c r="AL43" s="100">
        <f>'cc2011-2015'!AL43+'TONG TP'!AQ48</f>
        <v>0</v>
      </c>
      <c r="AM43" s="100">
        <f>'cc2011-2015'!AM43+'TONG TP'!AR48</f>
        <v>0</v>
      </c>
      <c r="AN43" s="237">
        <f>D43-BE43</f>
        <v>4.3999999999999995</v>
      </c>
      <c r="AO43" s="100">
        <f>'cc2011-2015'!AO43+'TONG TP'!AT48</f>
        <v>0</v>
      </c>
      <c r="AP43" s="100">
        <f>'cc2011-2015'!AP43+'TONG TP'!AU48</f>
        <v>0</v>
      </c>
      <c r="AQ43" s="100">
        <f>'cc2011-2015'!AQ43+'TONG TP'!AV48</f>
        <v>0</v>
      </c>
      <c r="AR43" s="100">
        <f>'cc2011-2015'!AR43+'TONG TP'!AW48</f>
        <v>0</v>
      </c>
      <c r="AS43" s="100">
        <f>'cc2011-2015'!AS43+'TONG TP'!AX48</f>
        <v>0</v>
      </c>
      <c r="AT43" s="100">
        <f>'cc2011-2015'!AT43+'TONG TP'!AY48</f>
        <v>0</v>
      </c>
      <c r="AU43" s="100">
        <f>'cc2011-2015'!AU43+'TONG TP'!AZ48</f>
        <v>0</v>
      </c>
      <c r="AV43" s="100">
        <f>'cc2011-2015'!AV43+'TONG TP'!BA48</f>
        <v>0</v>
      </c>
      <c r="AW43" s="100">
        <f>'cc2011-2015'!AW43+'TONG TP'!BB48</f>
        <v>0</v>
      </c>
      <c r="AX43" s="100">
        <f>'cc2011-2015'!AX43+'TONG TP'!BC48</f>
        <v>0</v>
      </c>
      <c r="AY43" s="100">
        <f>'cc2011-2015'!AY43+'TONG TP'!BD48</f>
        <v>0</v>
      </c>
      <c r="AZ43" s="100">
        <f>'cc2011-2015'!AZ43+'TONG TP'!BE48</f>
        <v>0</v>
      </c>
      <c r="BA43" s="100">
        <f>'cc2011-2015'!BA43+'TONG TP'!BF48</f>
        <v>0</v>
      </c>
      <c r="BB43" s="100">
        <f>'cc2011-2015'!BB43+'TONG TP'!BG48</f>
        <v>0</v>
      </c>
      <c r="BC43" s="100">
        <f>'cc2011-2015'!BC43</f>
        <v>0</v>
      </c>
      <c r="BD43" s="100">
        <f>'cc2011-2015'!BD43</f>
        <v>1.27</v>
      </c>
      <c r="BE43" s="100">
        <f>BC43+AS43+AP43+AO43+AM43+AM43+Z43+Y43+X43+W43+V43+AL43+U43+S43+R43+T43+E43+AR43+AQ43+AT43+AU43+AV43+AW43+AX43+AY43+AZ43+BA43+BB43+BD43</f>
        <v>1.37</v>
      </c>
      <c r="BF43" s="100">
        <f>AN60-BE43</f>
        <v>10.27</v>
      </c>
      <c r="BG43" s="100">
        <f t="shared" si="15"/>
        <v>16.04</v>
      </c>
      <c r="BH43" s="246">
        <f>'BIEN DONG'!AT30</f>
        <v>4.5199999999999996</v>
      </c>
      <c r="BI43" s="191">
        <f>'TONG TP'!BN48</f>
        <v>55.85</v>
      </c>
      <c r="BJ43" s="67">
        <f t="shared" si="4"/>
        <v>-39.81</v>
      </c>
      <c r="BK43" s="247">
        <f t="shared" si="5"/>
        <v>5.3139240380522021E-2</v>
      </c>
      <c r="BL43" s="230">
        <f>7.27-BG43</f>
        <v>-8.77</v>
      </c>
    </row>
    <row r="44" spans="1:64" s="230" customFormat="1" ht="21.75" customHeight="1">
      <c r="A44" s="228" t="s">
        <v>82</v>
      </c>
      <c r="B44" s="229" t="s">
        <v>83</v>
      </c>
      <c r="C44" s="228" t="s">
        <v>84</v>
      </c>
      <c r="D44" s="100">
        <v>963.83</v>
      </c>
      <c r="E44" s="100">
        <f t="shared" si="11"/>
        <v>0.04</v>
      </c>
      <c r="F44" s="100">
        <f t="shared" si="16"/>
        <v>0.04</v>
      </c>
      <c r="G44" s="100">
        <f>'cc2011-2015'!G44+'TONG TP'!I49</f>
        <v>0.04</v>
      </c>
      <c r="H44" s="100">
        <f>'cc2011-2015'!H44+'TONG TP'!J49</f>
        <v>0</v>
      </c>
      <c r="I44" s="100">
        <f>'cc2011-2015'!I44+'TONG TP'!M49</f>
        <v>0</v>
      </c>
      <c r="J44" s="100">
        <f>'cc2011-2015'!J44+'TONG TP'!N49</f>
        <v>0</v>
      </c>
      <c r="K44" s="100">
        <f>'cc2011-2015'!K44+'TONG TP'!P49</f>
        <v>0</v>
      </c>
      <c r="L44" s="100"/>
      <c r="M44" s="100">
        <f>'cc2011-2015'!M44+'TONG TP'!R49</f>
        <v>0</v>
      </c>
      <c r="N44" s="100">
        <f>'cc2011-2015'!N44+'TONG TP'!S49</f>
        <v>0</v>
      </c>
      <c r="O44" s="100"/>
      <c r="P44" s="100">
        <f>'cc2011-2015'!P44+'TONG TP'!U49</f>
        <v>0</v>
      </c>
      <c r="Q44" s="100">
        <f t="shared" si="17"/>
        <v>947.04000000000008</v>
      </c>
      <c r="R44" s="100">
        <f>'cc2011-2015'!R44+'TONG TP'!W49</f>
        <v>0</v>
      </c>
      <c r="S44" s="100">
        <f>'cc2011-2015'!S44+'TONG TP'!X49</f>
        <v>0</v>
      </c>
      <c r="T44" s="100">
        <f>'cc2011-2015'!T44+'TONG TP'!Y49</f>
        <v>0</v>
      </c>
      <c r="U44" s="100">
        <f>'cc2011-2015'!U44+'TONG TP'!Z49</f>
        <v>0</v>
      </c>
      <c r="V44" s="100">
        <f>'cc2011-2015'!V44+'TONG TP'!AA49</f>
        <v>0</v>
      </c>
      <c r="W44" s="100">
        <f>'cc2011-2015'!W44+'TONG TP'!AB49</f>
        <v>0</v>
      </c>
      <c r="X44" s="100">
        <f>'cc2011-2015'!X44+'TONG TP'!AC49</f>
        <v>0.09</v>
      </c>
      <c r="Y44" s="100">
        <f>'cc2011-2015'!Y44+'TONG TP'!AD49</f>
        <v>0</v>
      </c>
      <c r="Z44" s="100">
        <f t="shared" si="22"/>
        <v>4.38</v>
      </c>
      <c r="AA44" s="100">
        <f>'cc2011-2015'!AA44+'TONG TP'!AF49</f>
        <v>0</v>
      </c>
      <c r="AB44" s="100">
        <f>'cc2011-2015'!AB44+'TONG TP'!AG49</f>
        <v>0</v>
      </c>
      <c r="AC44" s="100">
        <f>'cc2011-2015'!AC44+'TONG TP'!AH49</f>
        <v>0.79</v>
      </c>
      <c r="AD44" s="100">
        <f>'cc2011-2015'!AD44+'TONG TP'!AI49</f>
        <v>0</v>
      </c>
      <c r="AE44" s="100">
        <f>'cc2011-2015'!AE44+'TONG TP'!AJ49</f>
        <v>0</v>
      </c>
      <c r="AF44" s="100">
        <f>'cc2011-2015'!AF44+'TONG TP'!AK49</f>
        <v>0</v>
      </c>
      <c r="AG44" s="100">
        <f>'cc2011-2015'!AG44+'TONG TP'!AL49</f>
        <v>3.54</v>
      </c>
      <c r="AH44" s="100">
        <f>'cc2011-2015'!AH44+'TONG TP'!AM49</f>
        <v>0.05</v>
      </c>
      <c r="AI44" s="100">
        <f>'cc2011-2015'!AI44+'TONG TP'!AN49</f>
        <v>0</v>
      </c>
      <c r="AJ44" s="100">
        <f>'cc2011-2015'!AJ44+'TONG TP'!AO49</f>
        <v>0</v>
      </c>
      <c r="AK44" s="100">
        <f>'cc2011-2015'!AK44+'TONG TP'!AP49</f>
        <v>0</v>
      </c>
      <c r="AL44" s="100">
        <f>'cc2011-2015'!AL44+'TONG TP'!AQ49</f>
        <v>0</v>
      </c>
      <c r="AM44" s="100">
        <f>'cc2011-2015'!AM44+'TONG TP'!AR49</f>
        <v>0</v>
      </c>
      <c r="AN44" s="100">
        <f>'cc2011-2015'!AN44+'TONG TP'!AS49</f>
        <v>0</v>
      </c>
      <c r="AO44" s="237">
        <f>D44-BE44</f>
        <v>491.97</v>
      </c>
      <c r="AP44" s="100">
        <f>'cc2011-2015'!AP44+'TONG TP'!AU49</f>
        <v>450.6</v>
      </c>
      <c r="AQ44" s="100">
        <f>'cc2011-2015'!AQ44+'TONG TP'!AV49</f>
        <v>0</v>
      </c>
      <c r="AR44" s="100">
        <f>'cc2011-2015'!AR44+'TONG TP'!AW49</f>
        <v>0</v>
      </c>
      <c r="AS44" s="100">
        <f>'cc2011-2015'!AS44+'TONG TP'!AX49</f>
        <v>0</v>
      </c>
      <c r="AT44" s="100">
        <f>'cc2011-2015'!AT44+'TONG TP'!AY49</f>
        <v>0</v>
      </c>
      <c r="AU44" s="100">
        <f>'cc2011-2015'!AU44+'TONG TP'!AZ49</f>
        <v>0</v>
      </c>
      <c r="AV44" s="100">
        <f>'cc2011-2015'!AV44+'TONG TP'!BA49</f>
        <v>0</v>
      </c>
      <c r="AW44" s="100">
        <f>'cc2011-2015'!AW44+'TONG TP'!BB49</f>
        <v>0</v>
      </c>
      <c r="AX44" s="100">
        <f>'cc2011-2015'!AX44+'TONG TP'!BC49</f>
        <v>0</v>
      </c>
      <c r="AY44" s="100">
        <f>'cc2011-2015'!AY44+'TONG TP'!BD49</f>
        <v>0</v>
      </c>
      <c r="AZ44" s="100">
        <f>'cc2011-2015'!AZ44+'TONG TP'!BE49</f>
        <v>0</v>
      </c>
      <c r="BA44" s="100">
        <f>'cc2011-2015'!BA44+'TONG TP'!BF49</f>
        <v>0</v>
      </c>
      <c r="BB44" s="100">
        <f>'cc2011-2015'!BB44+'TONG TP'!BG49</f>
        <v>0</v>
      </c>
      <c r="BC44" s="100">
        <f>'cc2011-2015'!BC44</f>
        <v>0</v>
      </c>
      <c r="BD44" s="100">
        <f>'cc2011-2015'!BD44</f>
        <v>16.749999999999986</v>
      </c>
      <c r="BE44" s="100">
        <f>BC44+AS44+AP44+AN44+AM44+AM44+Z44+Y44+X44+W44+V44+AL44+U44+S44+R44+T44+E44+AR44+AQ44+AT44+AU44+AV44+AW44+AX44+AY44+AZ44+BA44+BB44+BD44</f>
        <v>471.86</v>
      </c>
      <c r="BF44" s="100">
        <f>AO60-BE44</f>
        <v>-445.40000000000003</v>
      </c>
      <c r="BG44" s="100">
        <f t="shared" si="15"/>
        <v>518.43000000000006</v>
      </c>
      <c r="BH44" s="246">
        <f>'BIEN DONG'!AT31</f>
        <v>505.85</v>
      </c>
      <c r="BI44" s="191">
        <f>'TONG TP'!BN49</f>
        <v>324.78955000000002</v>
      </c>
      <c r="BJ44" s="67">
        <f t="shared" si="4"/>
        <v>193.64045000000004</v>
      </c>
      <c r="BK44" s="247">
        <f t="shared" si="5"/>
        <v>1.7175172313263114</v>
      </c>
      <c r="BL44" s="230">
        <f>710.32-BG44</f>
        <v>191.89</v>
      </c>
    </row>
    <row r="45" spans="1:64" s="230" customFormat="1" ht="21.75" customHeight="1">
      <c r="A45" s="228" t="s">
        <v>85</v>
      </c>
      <c r="B45" s="229" t="s">
        <v>86</v>
      </c>
      <c r="C45" s="228" t="s">
        <v>87</v>
      </c>
      <c r="D45" s="100">
        <v>120.22</v>
      </c>
      <c r="E45" s="100">
        <f t="shared" si="11"/>
        <v>0.03</v>
      </c>
      <c r="F45" s="100">
        <f t="shared" si="16"/>
        <v>0.03</v>
      </c>
      <c r="G45" s="100">
        <f>'cc2011-2015'!G45+'TONG TP'!I50</f>
        <v>0.03</v>
      </c>
      <c r="H45" s="100">
        <f>'cc2011-2015'!H45+'TONG TP'!J50</f>
        <v>0</v>
      </c>
      <c r="I45" s="100">
        <f>'cc2011-2015'!I45+'TONG TP'!M50</f>
        <v>0</v>
      </c>
      <c r="J45" s="100">
        <f>'cc2011-2015'!J45+'TONG TP'!N50</f>
        <v>0</v>
      </c>
      <c r="K45" s="100">
        <f>'cc2011-2015'!K45+'TONG TP'!P50</f>
        <v>0</v>
      </c>
      <c r="L45" s="100"/>
      <c r="M45" s="100">
        <f>'cc2011-2015'!M45+'TONG TP'!R50</f>
        <v>0</v>
      </c>
      <c r="N45" s="100">
        <f>'cc2011-2015'!N45+'TONG TP'!S50</f>
        <v>0</v>
      </c>
      <c r="O45" s="100"/>
      <c r="P45" s="100">
        <f>'cc2011-2015'!P45+'TONG TP'!U50</f>
        <v>0</v>
      </c>
      <c r="Q45" s="100">
        <f t="shared" si="17"/>
        <v>120.19</v>
      </c>
      <c r="R45" s="100">
        <f>'cc2011-2015'!R45+'TONG TP'!W50</f>
        <v>0</v>
      </c>
      <c r="S45" s="100">
        <f>'cc2011-2015'!S45+'TONG TP'!X50</f>
        <v>0</v>
      </c>
      <c r="T45" s="100">
        <f>'cc2011-2015'!T45+'TONG TP'!Y50</f>
        <v>1</v>
      </c>
      <c r="U45" s="100">
        <f>'cc2011-2015'!U45+'TONG TP'!Z50</f>
        <v>0</v>
      </c>
      <c r="V45" s="100">
        <f>'cc2011-2015'!V45+'TONG TP'!AA50</f>
        <v>8.6</v>
      </c>
      <c r="W45" s="100">
        <f>'cc2011-2015'!W45+'TONG TP'!AB50</f>
        <v>4.12</v>
      </c>
      <c r="X45" s="100">
        <f>'cc2011-2015'!X45+'TONG TP'!AC50</f>
        <v>5.41</v>
      </c>
      <c r="Y45" s="100">
        <f>'cc2011-2015'!Y45+'TONG TP'!AD50</f>
        <v>0</v>
      </c>
      <c r="Z45" s="100">
        <f t="shared" si="22"/>
        <v>10.129999999999999</v>
      </c>
      <c r="AA45" s="100">
        <f>'cc2011-2015'!AA45+'TONG TP'!AF50</f>
        <v>0</v>
      </c>
      <c r="AB45" s="100">
        <f>'cc2011-2015'!AB45+'TONG TP'!AG50</f>
        <v>0</v>
      </c>
      <c r="AC45" s="100">
        <f>'cc2011-2015'!AC45+'TONG TP'!AH50</f>
        <v>0.1</v>
      </c>
      <c r="AD45" s="100">
        <f>'cc2011-2015'!AD45+'TONG TP'!AI50</f>
        <v>0</v>
      </c>
      <c r="AE45" s="100">
        <f>'cc2011-2015'!AE45+'TONG TP'!AJ50</f>
        <v>0</v>
      </c>
      <c r="AF45" s="100">
        <f>'cc2011-2015'!AF45+'TONG TP'!AK50</f>
        <v>0</v>
      </c>
      <c r="AG45" s="100">
        <f>'cc2011-2015'!AG45+'TONG TP'!AL50</f>
        <v>10.029999999999999</v>
      </c>
      <c r="AH45" s="100">
        <f>'cc2011-2015'!AH45+'TONG TP'!AM50</f>
        <v>0</v>
      </c>
      <c r="AI45" s="100">
        <f>'cc2011-2015'!AI45+'TONG TP'!AN50</f>
        <v>0</v>
      </c>
      <c r="AJ45" s="100">
        <f>'cc2011-2015'!AJ45+'TONG TP'!AO50</f>
        <v>0</v>
      </c>
      <c r="AK45" s="100">
        <f>'cc2011-2015'!AK45+'TONG TP'!AP50</f>
        <v>0</v>
      </c>
      <c r="AL45" s="100">
        <f>'cc2011-2015'!AL45+'TONG TP'!AQ50</f>
        <v>0</v>
      </c>
      <c r="AM45" s="100">
        <f>'cc2011-2015'!AM45+'TONG TP'!AR50</f>
        <v>0</v>
      </c>
      <c r="AN45" s="100">
        <f>'cc2011-2015'!AN45+'TONG TP'!AS50</f>
        <v>0</v>
      </c>
      <c r="AO45" s="100">
        <f>'cc2011-2015'!AO45+'TONG TP'!AT50</f>
        <v>0</v>
      </c>
      <c r="AP45" s="237">
        <f>D45-BE45</f>
        <v>86.18</v>
      </c>
      <c r="AQ45" s="100">
        <f>'cc2011-2015'!AQ45+'TONG TP'!AV50</f>
        <v>4.2</v>
      </c>
      <c r="AR45" s="100">
        <f>'cc2011-2015'!AR45+'TONG TP'!AW50</f>
        <v>0</v>
      </c>
      <c r="AS45" s="100">
        <f>'cc2011-2015'!AS45+'TONG TP'!AX50</f>
        <v>0</v>
      </c>
      <c r="AT45" s="100">
        <f>'cc2011-2015'!AT45+'TONG TP'!AY50</f>
        <v>0</v>
      </c>
      <c r="AU45" s="100">
        <f>'cc2011-2015'!AU45+'TONG TP'!AZ50</f>
        <v>0</v>
      </c>
      <c r="AV45" s="100">
        <f>'cc2011-2015'!AV45+'TONG TP'!BA50</f>
        <v>7.0000000000000007E-2</v>
      </c>
      <c r="AW45" s="100">
        <f>'cc2011-2015'!AW45+'TONG TP'!BB50</f>
        <v>0</v>
      </c>
      <c r="AX45" s="100">
        <f>'cc2011-2015'!AX45+'TONG TP'!BC50</f>
        <v>0.48000000000000004</v>
      </c>
      <c r="AY45" s="100">
        <f>'cc2011-2015'!AY45+'TONG TP'!BD50</f>
        <v>0</v>
      </c>
      <c r="AZ45" s="100">
        <f>'cc2011-2015'!AZ45+'TONG TP'!BE50</f>
        <v>0</v>
      </c>
      <c r="BA45" s="100">
        <f>'cc2011-2015'!BA45+'TONG TP'!BF50</f>
        <v>0</v>
      </c>
      <c r="BB45" s="100">
        <f>'cc2011-2015'!BB45+'TONG TP'!BG50</f>
        <v>0</v>
      </c>
      <c r="BC45" s="100">
        <f>'cc2011-2015'!BC45</f>
        <v>0</v>
      </c>
      <c r="BD45" s="100">
        <f>'cc2011-2015'!BD45</f>
        <v>0</v>
      </c>
      <c r="BE45" s="100">
        <f>BC45+AS45+AO45+AN45+AM45+AM45+Z45+Y45+X45+W45+V45+AL45+U45+S45+R45+T45+E45+AR45+AQ45+AT45+AU45+AV45+AW45+AX45+AY45+AZ45+BA45+BB45+BD45</f>
        <v>34.04</v>
      </c>
      <c r="BF45" s="100">
        <f>AP60-BE45</f>
        <v>501.77000000000004</v>
      </c>
      <c r="BG45" s="100">
        <f t="shared" si="15"/>
        <v>621.99</v>
      </c>
      <c r="BH45" s="246">
        <f>'BIEN DONG'!AT32</f>
        <v>610.12</v>
      </c>
      <c r="BI45" s="191">
        <f>'TONG TP'!BN50</f>
        <v>372.24450000000002</v>
      </c>
      <c r="BJ45" s="67">
        <f t="shared" si="4"/>
        <v>249.74549999999999</v>
      </c>
      <c r="BK45" s="247">
        <f t="shared" si="5"/>
        <v>2.0606032496434472</v>
      </c>
      <c r="BL45" s="230">
        <f>800-BG45</f>
        <v>178.01</v>
      </c>
    </row>
    <row r="46" spans="1:64" s="230" customFormat="1" ht="21.75" customHeight="1">
      <c r="A46" s="228" t="s">
        <v>88</v>
      </c>
      <c r="B46" s="229" t="s">
        <v>89</v>
      </c>
      <c r="C46" s="228" t="s">
        <v>90</v>
      </c>
      <c r="D46" s="100">
        <f>19.85-3.5</f>
        <v>16.350000000000001</v>
      </c>
      <c r="E46" s="100">
        <f t="shared" si="11"/>
        <v>0</v>
      </c>
      <c r="F46" s="100">
        <f t="shared" si="16"/>
        <v>0</v>
      </c>
      <c r="G46" s="100">
        <f>'cc2011-2015'!G46+'TONG TP'!I51</f>
        <v>0</v>
      </c>
      <c r="H46" s="100">
        <f>'cc2011-2015'!H46+'TONG TP'!J51</f>
        <v>0</v>
      </c>
      <c r="I46" s="100">
        <f>'cc2011-2015'!I46+'TONG TP'!M51</f>
        <v>0</v>
      </c>
      <c r="J46" s="100">
        <f>'cc2011-2015'!J46+'TONG TP'!N51</f>
        <v>0</v>
      </c>
      <c r="K46" s="100">
        <f>'cc2011-2015'!K46+'TONG TP'!P51</f>
        <v>0</v>
      </c>
      <c r="L46" s="100"/>
      <c r="M46" s="100">
        <f>'cc2011-2015'!M46+'TONG TP'!R51</f>
        <v>0</v>
      </c>
      <c r="N46" s="100">
        <f>'cc2011-2015'!N46+'TONG TP'!S51</f>
        <v>0</v>
      </c>
      <c r="O46" s="100"/>
      <c r="P46" s="100">
        <f>'cc2011-2015'!P46+'TONG TP'!U51</f>
        <v>0</v>
      </c>
      <c r="Q46" s="100">
        <f t="shared" si="17"/>
        <v>8.8800000000000008</v>
      </c>
      <c r="R46" s="100">
        <f>'cc2011-2015'!R46+'TONG TP'!W51</f>
        <v>0</v>
      </c>
      <c r="S46" s="100">
        <f>'cc2011-2015'!S46+'TONG TP'!X51</f>
        <v>0</v>
      </c>
      <c r="T46" s="100">
        <f>'cc2011-2015'!T46+'TONG TP'!Y51</f>
        <v>0</v>
      </c>
      <c r="U46" s="100">
        <f>'cc2011-2015'!U46+'TONG TP'!Z51</f>
        <v>0</v>
      </c>
      <c r="V46" s="100">
        <f>'cc2011-2015'!V46+'TONG TP'!AA51</f>
        <v>0</v>
      </c>
      <c r="W46" s="100">
        <f>'cc2011-2015'!W46+'TONG TP'!AB51</f>
        <v>0</v>
      </c>
      <c r="X46" s="100">
        <f>'cc2011-2015'!X46+'TONG TP'!AC51</f>
        <v>0</v>
      </c>
      <c r="Y46" s="100">
        <f>'cc2011-2015'!Y46+'TONG TP'!AD51</f>
        <v>0</v>
      </c>
      <c r="Z46" s="100">
        <f t="shared" si="22"/>
        <v>6.0000000000000005E-2</v>
      </c>
      <c r="AA46" s="100">
        <f>'cc2011-2015'!AA46+'TONG TP'!AF51</f>
        <v>0</v>
      </c>
      <c r="AB46" s="100">
        <f>'cc2011-2015'!AB46+'TONG TP'!AG51</f>
        <v>0</v>
      </c>
      <c r="AC46" s="100">
        <f>'cc2011-2015'!AC46+'TONG TP'!AH51</f>
        <v>0.05</v>
      </c>
      <c r="AD46" s="100">
        <f>'cc2011-2015'!AD46+'TONG TP'!AI51</f>
        <v>0</v>
      </c>
      <c r="AE46" s="100">
        <f>'cc2011-2015'!AE46+'TONG TP'!AJ51</f>
        <v>0</v>
      </c>
      <c r="AF46" s="100">
        <f>'cc2011-2015'!AF46+'TONG TP'!AK51</f>
        <v>0</v>
      </c>
      <c r="AG46" s="100">
        <f>'cc2011-2015'!AG46+'TONG TP'!AL51</f>
        <v>0.01</v>
      </c>
      <c r="AH46" s="100">
        <f>'cc2011-2015'!AH46+'TONG TP'!AM51</f>
        <v>0</v>
      </c>
      <c r="AI46" s="100">
        <f>'cc2011-2015'!AI46+'TONG TP'!AN51</f>
        <v>0</v>
      </c>
      <c r="AJ46" s="100">
        <f>'cc2011-2015'!AJ46+'TONG TP'!AO51</f>
        <v>0</v>
      </c>
      <c r="AK46" s="100">
        <f>'cc2011-2015'!AK46+'TONG TP'!AP51</f>
        <v>0</v>
      </c>
      <c r="AL46" s="100">
        <f>'cc2011-2015'!AL46+'TONG TP'!AQ51</f>
        <v>0</v>
      </c>
      <c r="AM46" s="100">
        <f>'cc2011-2015'!AM46+'TONG TP'!AR51</f>
        <v>0</v>
      </c>
      <c r="AN46" s="100">
        <f>'cc2011-2015'!AN46+'TONG TP'!AS51</f>
        <v>0</v>
      </c>
      <c r="AO46" s="100">
        <f>'cc2011-2015'!AO46+'TONG TP'!AT51</f>
        <v>0</v>
      </c>
      <c r="AP46" s="100">
        <f>'cc2011-2015'!AP46+'TONG TP'!AU51</f>
        <v>0.47000000000000003</v>
      </c>
      <c r="AQ46" s="237">
        <f>D46-BE46</f>
        <v>8.3500000000000014</v>
      </c>
      <c r="AR46" s="100">
        <f>'cc2011-2015'!AR46+'TONG TP'!AW51</f>
        <v>0</v>
      </c>
      <c r="AS46" s="100">
        <f>'cc2011-2015'!AS46+'TONG TP'!AX51</f>
        <v>0</v>
      </c>
      <c r="AT46" s="100">
        <f>'cc2011-2015'!AT46+'TONG TP'!AY51</f>
        <v>0</v>
      </c>
      <c r="AU46" s="100">
        <f>'cc2011-2015'!AU46+'TONG TP'!AZ51</f>
        <v>0</v>
      </c>
      <c r="AV46" s="100">
        <f>'cc2011-2015'!AV46+'TONG TP'!BA51</f>
        <v>0</v>
      </c>
      <c r="AW46" s="100">
        <f>'cc2011-2015'!AW46+'TONG TP'!BB51</f>
        <v>0</v>
      </c>
      <c r="AX46" s="100">
        <f>'cc2011-2015'!AX46+'TONG TP'!BC51</f>
        <v>0</v>
      </c>
      <c r="AY46" s="100">
        <f>'cc2011-2015'!AY46+'TONG TP'!BD51</f>
        <v>0</v>
      </c>
      <c r="AZ46" s="100">
        <f>'cc2011-2015'!AZ46+'TONG TP'!BE51</f>
        <v>0</v>
      </c>
      <c r="BA46" s="100">
        <f>'cc2011-2015'!BA46+'TONG TP'!BF51</f>
        <v>0</v>
      </c>
      <c r="BB46" s="100">
        <f>'cc2011-2015'!BB46+'TONG TP'!BG51</f>
        <v>0</v>
      </c>
      <c r="BC46" s="100">
        <f>'cc2011-2015'!BC46</f>
        <v>0</v>
      </c>
      <c r="BD46" s="100">
        <f>'cc2011-2015'!BD46</f>
        <v>7.4700000000000006</v>
      </c>
      <c r="BE46" s="100">
        <f>BC46+AS46+AO46+AN46+AM46+AM46+Z46+Y46+X46+W46+V46+AL46+U46+S46+R46+T46+E46+AR46+AP46+AT46+AU46+AV46+AW46+AX46+AY46+AZ46+BA46+BB46+BD46</f>
        <v>8</v>
      </c>
      <c r="BF46" s="100">
        <f>AQ60-BE46</f>
        <v>11.860000000000003</v>
      </c>
      <c r="BG46" s="100">
        <f t="shared" si="15"/>
        <v>28.210000000000004</v>
      </c>
      <c r="BH46" s="246">
        <f>'BIEN DONG'!AT33</f>
        <v>9.3500000000000014</v>
      </c>
      <c r="BI46" s="191">
        <f>'TONG TP'!BN51</f>
        <v>55.850279999999998</v>
      </c>
      <c r="BJ46" s="67">
        <f t="shared" si="4"/>
        <v>-27.640279999999994</v>
      </c>
      <c r="BK46" s="247">
        <f t="shared" si="5"/>
        <v>9.3457479497164986E-2</v>
      </c>
      <c r="BL46" s="246">
        <f>33.66-BH46</f>
        <v>24.309999999999995</v>
      </c>
    </row>
    <row r="47" spans="1:64" s="230" customFormat="1" ht="21.75" customHeight="1">
      <c r="A47" s="228" t="s">
        <v>91</v>
      </c>
      <c r="B47" s="229" t="s">
        <v>92</v>
      </c>
      <c r="C47" s="228" t="s">
        <v>93</v>
      </c>
      <c r="D47" s="100">
        <v>3.5</v>
      </c>
      <c r="E47" s="100">
        <f t="shared" si="11"/>
        <v>0</v>
      </c>
      <c r="F47" s="100">
        <f t="shared" si="16"/>
        <v>0</v>
      </c>
      <c r="G47" s="100">
        <f>'cc2011-2015'!G47+'TONG TP'!I52</f>
        <v>0</v>
      </c>
      <c r="H47" s="100">
        <f>'cc2011-2015'!H47+'TONG TP'!J52</f>
        <v>0</v>
      </c>
      <c r="I47" s="100">
        <f>'cc2011-2015'!I47+'TONG TP'!M52</f>
        <v>0</v>
      </c>
      <c r="J47" s="100">
        <f>'cc2011-2015'!J47+'TONG TP'!N52</f>
        <v>0</v>
      </c>
      <c r="K47" s="100">
        <f>'cc2011-2015'!K47+'TONG TP'!P52</f>
        <v>0</v>
      </c>
      <c r="L47" s="100"/>
      <c r="M47" s="100">
        <f>'cc2011-2015'!M47+'TONG TP'!R52</f>
        <v>0</v>
      </c>
      <c r="N47" s="100">
        <f>'cc2011-2015'!N47+'TONG TP'!S52</f>
        <v>0</v>
      </c>
      <c r="O47" s="100"/>
      <c r="P47" s="100">
        <f>'cc2011-2015'!P47+'TONG TP'!U52</f>
        <v>0</v>
      </c>
      <c r="Q47" s="100">
        <f t="shared" si="17"/>
        <v>3.5</v>
      </c>
      <c r="R47" s="100">
        <f>'cc2011-2015'!R47+'TONG TP'!W52</f>
        <v>0</v>
      </c>
      <c r="S47" s="100">
        <f>'cc2011-2015'!S47+'TONG TP'!X52</f>
        <v>0</v>
      </c>
      <c r="T47" s="100">
        <f>'cc2011-2015'!T47+'TONG TP'!Y52</f>
        <v>0</v>
      </c>
      <c r="U47" s="100">
        <f>'cc2011-2015'!U47+'TONG TP'!Z52</f>
        <v>0</v>
      </c>
      <c r="V47" s="100">
        <f>'cc2011-2015'!V47+'TONG TP'!AA52</f>
        <v>0</v>
      </c>
      <c r="W47" s="100">
        <f>'cc2011-2015'!W47+'TONG TP'!AB52</f>
        <v>0</v>
      </c>
      <c r="X47" s="100">
        <f>'cc2011-2015'!X47+'TONG TP'!AC52</f>
        <v>0</v>
      </c>
      <c r="Y47" s="100">
        <f>'cc2011-2015'!Y47+'TONG TP'!AD52</f>
        <v>0</v>
      </c>
      <c r="Z47" s="100">
        <f t="shared" si="22"/>
        <v>0</v>
      </c>
      <c r="AA47" s="100">
        <f>'cc2011-2015'!AA47+'TONG TP'!AF52</f>
        <v>0</v>
      </c>
      <c r="AB47" s="100">
        <f>'cc2011-2015'!AB47+'TONG TP'!AG52</f>
        <v>0</v>
      </c>
      <c r="AC47" s="100">
        <f>'cc2011-2015'!AC47+'TONG TP'!AH52</f>
        <v>0</v>
      </c>
      <c r="AD47" s="100">
        <f>'cc2011-2015'!AD47+'TONG TP'!AI52</f>
        <v>0</v>
      </c>
      <c r="AE47" s="100">
        <f>'cc2011-2015'!AE47+'TONG TP'!AJ52</f>
        <v>0</v>
      </c>
      <c r="AF47" s="100">
        <f>'cc2011-2015'!AF47+'TONG TP'!AK52</f>
        <v>0</v>
      </c>
      <c r="AG47" s="100">
        <f>'cc2011-2015'!AG47+'TONG TP'!AL52</f>
        <v>0</v>
      </c>
      <c r="AH47" s="100">
        <f>'cc2011-2015'!AH47+'TONG TP'!AM52</f>
        <v>0</v>
      </c>
      <c r="AI47" s="100">
        <f>'cc2011-2015'!AI47+'TONG TP'!AN52</f>
        <v>0</v>
      </c>
      <c r="AJ47" s="100">
        <f>'cc2011-2015'!AJ47+'TONG TP'!AO52</f>
        <v>0</v>
      </c>
      <c r="AK47" s="100">
        <f>'cc2011-2015'!AK47+'TONG TP'!AP52</f>
        <v>0</v>
      </c>
      <c r="AL47" s="100">
        <f>'cc2011-2015'!AL47+'TONG TP'!AQ52</f>
        <v>0</v>
      </c>
      <c r="AM47" s="100">
        <f>'cc2011-2015'!AM47+'TONG TP'!AR52</f>
        <v>0</v>
      </c>
      <c r="AN47" s="100">
        <f>'cc2011-2015'!AN47+'TONG TP'!AS52</f>
        <v>0</v>
      </c>
      <c r="AO47" s="100">
        <f>'cc2011-2015'!AO47+'TONG TP'!AT52</f>
        <v>0</v>
      </c>
      <c r="AP47" s="100">
        <f>'cc2011-2015'!AP47+'TONG TP'!AU52</f>
        <v>0</v>
      </c>
      <c r="AQ47" s="100">
        <f>'cc2011-2015'!AQ47+'TONG TP'!AV52</f>
        <v>0</v>
      </c>
      <c r="AR47" s="237">
        <f>D47-BE47</f>
        <v>3.5</v>
      </c>
      <c r="AS47" s="100">
        <f>'cc2011-2015'!AS47+'TONG TP'!AX52</f>
        <v>0</v>
      </c>
      <c r="AT47" s="100">
        <f>'cc2011-2015'!AT47+'TONG TP'!AY52</f>
        <v>0</v>
      </c>
      <c r="AU47" s="100">
        <f>'cc2011-2015'!AU47+'TONG TP'!AZ52</f>
        <v>0</v>
      </c>
      <c r="AV47" s="100">
        <f>'cc2011-2015'!AV47+'TONG TP'!BA52</f>
        <v>0</v>
      </c>
      <c r="AW47" s="100">
        <f>'cc2011-2015'!AW47+'TONG TP'!BB52</f>
        <v>0</v>
      </c>
      <c r="AX47" s="100">
        <f>'cc2011-2015'!AX47+'TONG TP'!BC52</f>
        <v>0</v>
      </c>
      <c r="AY47" s="100">
        <f>'cc2011-2015'!AY47+'TONG TP'!BD52</f>
        <v>0</v>
      </c>
      <c r="AZ47" s="100">
        <f>'cc2011-2015'!AZ47+'TONG TP'!BE52</f>
        <v>0</v>
      </c>
      <c r="BA47" s="100">
        <f>'cc2011-2015'!BA47+'TONG TP'!BF52</f>
        <v>0</v>
      </c>
      <c r="BB47" s="100">
        <f>'cc2011-2015'!BB47+'TONG TP'!BG52</f>
        <v>0</v>
      </c>
      <c r="BC47" s="100">
        <f>'cc2011-2015'!BC47</f>
        <v>0</v>
      </c>
      <c r="BD47" s="100">
        <f>'cc2011-2015'!BD47</f>
        <v>0</v>
      </c>
      <c r="BE47" s="100">
        <f>BC47+AS47+AO47+AN47+AM47+AM47+Z47+Y47+X47+W47+V47+AL47+U47+S47+R47+T47+E47+AQ47+AP47+AT47+AU47+AV47+AW47+AX47+AY47+AZ47+BA47+BB47+BD47</f>
        <v>0</v>
      </c>
      <c r="BF47" s="100">
        <f>AR60-BE47</f>
        <v>2.56</v>
      </c>
      <c r="BG47" s="100">
        <f t="shared" si="15"/>
        <v>6.0600000000000005</v>
      </c>
      <c r="BH47" s="246">
        <f>'BIEN DONG'!AT34</f>
        <v>6.0600000000000005</v>
      </c>
      <c r="BI47" s="191">
        <f>'TONG TP'!BN52</f>
        <v>0.67</v>
      </c>
      <c r="BJ47" s="67">
        <f t="shared" si="4"/>
        <v>5.3900000000000006</v>
      </c>
      <c r="BK47" s="247">
        <f t="shared" si="5"/>
        <v>2.0076296552740864E-2</v>
      </c>
    </row>
    <row r="48" spans="1:64" s="230" customFormat="1" ht="21.75" customHeight="1">
      <c r="A48" s="228" t="s">
        <v>94</v>
      </c>
      <c r="B48" s="229" t="s">
        <v>95</v>
      </c>
      <c r="C48" s="228" t="s">
        <v>96</v>
      </c>
      <c r="D48" s="100"/>
      <c r="E48" s="100">
        <f t="shared" si="11"/>
        <v>0</v>
      </c>
      <c r="F48" s="100">
        <f t="shared" si="16"/>
        <v>0</v>
      </c>
      <c r="G48" s="100">
        <f>'cc2011-2015'!G48+'TONG TP'!I53</f>
        <v>0</v>
      </c>
      <c r="H48" s="100">
        <f>'cc2011-2015'!H48+'TONG TP'!J53</f>
        <v>0</v>
      </c>
      <c r="I48" s="100">
        <f>'cc2011-2015'!I48+'TONG TP'!M53</f>
        <v>0</v>
      </c>
      <c r="J48" s="100">
        <f>'cc2011-2015'!J48+'TONG TP'!N53</f>
        <v>0</v>
      </c>
      <c r="K48" s="100">
        <f>'cc2011-2015'!K48+'TONG TP'!P53</f>
        <v>0</v>
      </c>
      <c r="L48" s="100"/>
      <c r="M48" s="100">
        <f>'cc2011-2015'!M48+'TONG TP'!R53</f>
        <v>0</v>
      </c>
      <c r="N48" s="100">
        <f>'cc2011-2015'!N48+'TONG TP'!S53</f>
        <v>0</v>
      </c>
      <c r="O48" s="100"/>
      <c r="P48" s="100">
        <f>'cc2011-2015'!P48+'TONG TP'!U53</f>
        <v>0</v>
      </c>
      <c r="Q48" s="100">
        <f t="shared" si="17"/>
        <v>0</v>
      </c>
      <c r="R48" s="100">
        <f>'cc2011-2015'!R48+'TONG TP'!W53</f>
        <v>0</v>
      </c>
      <c r="S48" s="100">
        <f>'cc2011-2015'!S48+'TONG TP'!X53</f>
        <v>0</v>
      </c>
      <c r="T48" s="100">
        <f>'cc2011-2015'!T48+'TONG TP'!Y53</f>
        <v>0</v>
      </c>
      <c r="U48" s="100">
        <f>'cc2011-2015'!U48+'TONG TP'!Z53</f>
        <v>0</v>
      </c>
      <c r="V48" s="100">
        <f>'cc2011-2015'!V48+'TONG TP'!AA53</f>
        <v>0</v>
      </c>
      <c r="W48" s="100">
        <f>'cc2011-2015'!W48+'TONG TP'!AB53</f>
        <v>0</v>
      </c>
      <c r="X48" s="100">
        <f>'cc2011-2015'!X48+'TONG TP'!AC53</f>
        <v>0</v>
      </c>
      <c r="Y48" s="100">
        <f>'cc2011-2015'!Y48+'TONG TP'!AD53</f>
        <v>0</v>
      </c>
      <c r="Z48" s="100">
        <f t="shared" si="22"/>
        <v>0</v>
      </c>
      <c r="AA48" s="100">
        <f>'cc2011-2015'!AA48+'TONG TP'!AF53</f>
        <v>0</v>
      </c>
      <c r="AB48" s="100">
        <f>'cc2011-2015'!AB48+'TONG TP'!AG53</f>
        <v>0</v>
      </c>
      <c r="AC48" s="100">
        <f>'cc2011-2015'!AC48+'TONG TP'!AH53</f>
        <v>0</v>
      </c>
      <c r="AD48" s="100">
        <f>'cc2011-2015'!AD48+'TONG TP'!AI53</f>
        <v>0</v>
      </c>
      <c r="AE48" s="100">
        <f>'cc2011-2015'!AE48+'TONG TP'!AJ53</f>
        <v>0</v>
      </c>
      <c r="AF48" s="100">
        <f>'cc2011-2015'!AF48+'TONG TP'!AK53</f>
        <v>0</v>
      </c>
      <c r="AG48" s="100">
        <f>'cc2011-2015'!AG48+'TONG TP'!AL53</f>
        <v>0</v>
      </c>
      <c r="AH48" s="100">
        <f>'cc2011-2015'!AH48+'TONG TP'!AM53</f>
        <v>0</v>
      </c>
      <c r="AI48" s="100">
        <f>'cc2011-2015'!AI48+'TONG TP'!AN53</f>
        <v>0</v>
      </c>
      <c r="AJ48" s="100">
        <f>'cc2011-2015'!AJ48+'TONG TP'!AO53</f>
        <v>0</v>
      </c>
      <c r="AK48" s="100">
        <f>'cc2011-2015'!AK48+'TONG TP'!AP53</f>
        <v>0</v>
      </c>
      <c r="AL48" s="100">
        <f>'cc2011-2015'!AL48+'TONG TP'!AQ53</f>
        <v>0</v>
      </c>
      <c r="AM48" s="100">
        <f>'cc2011-2015'!AM48+'TONG TP'!AR53</f>
        <v>0</v>
      </c>
      <c r="AN48" s="100">
        <f>'cc2011-2015'!AN48+'TONG TP'!AS53</f>
        <v>0</v>
      </c>
      <c r="AO48" s="100">
        <f>'cc2011-2015'!AO48+'TONG TP'!AT53</f>
        <v>0</v>
      </c>
      <c r="AP48" s="100">
        <f>'cc2011-2015'!AP48+'TONG TP'!AU53</f>
        <v>0</v>
      </c>
      <c r="AQ48" s="100">
        <f>'cc2011-2015'!AQ48+'TONG TP'!AV53</f>
        <v>0</v>
      </c>
      <c r="AR48" s="100">
        <f>'cc2011-2015'!AR48+'TONG TP'!AW53</f>
        <v>0</v>
      </c>
      <c r="AS48" s="237">
        <f>D48-BE48</f>
        <v>0</v>
      </c>
      <c r="AT48" s="100">
        <f>'cc2011-2015'!AT48+'TONG TP'!AY53</f>
        <v>0</v>
      </c>
      <c r="AU48" s="100">
        <f>'cc2011-2015'!AU48+'TONG TP'!AZ53</f>
        <v>0</v>
      </c>
      <c r="AV48" s="100">
        <f>'cc2011-2015'!AV48+'TONG TP'!BA53</f>
        <v>0</v>
      </c>
      <c r="AW48" s="100">
        <f>'cc2011-2015'!AW48+'TONG TP'!BB53</f>
        <v>0</v>
      </c>
      <c r="AX48" s="100">
        <f>'cc2011-2015'!AX48+'TONG TP'!BC53</f>
        <v>0</v>
      </c>
      <c r="AY48" s="100">
        <f>'cc2011-2015'!AY48+'TONG TP'!BD53</f>
        <v>0</v>
      </c>
      <c r="AZ48" s="100">
        <f>'cc2011-2015'!AZ48+'TONG TP'!BE53</f>
        <v>0</v>
      </c>
      <c r="BA48" s="100">
        <f>'cc2011-2015'!BA48+'TONG TP'!BF53</f>
        <v>0</v>
      </c>
      <c r="BB48" s="100">
        <f>'cc2011-2015'!BB48+'TONG TP'!BG53</f>
        <v>0</v>
      </c>
      <c r="BC48" s="100">
        <f>'cc2011-2015'!BC48</f>
        <v>0</v>
      </c>
      <c r="BD48" s="100">
        <f>'cc2011-2015'!BD48</f>
        <v>0</v>
      </c>
      <c r="BE48" s="100">
        <f>BC48+AR48+AO48+AN48+AM48+AM48+Z48+Y48+X48+W48+V48+AL48+U48+S48+R48+T48+E48+AQ48+AP48+AT48+AU48+AV48+AW48+AX48+AY48+AZ48+BA48+BB48+BD48</f>
        <v>0</v>
      </c>
      <c r="BF48" s="100">
        <f>AS60-BE48</f>
        <v>0</v>
      </c>
      <c r="BG48" s="100">
        <f t="shared" si="15"/>
        <v>0</v>
      </c>
      <c r="BH48" s="246">
        <f>'BIEN DONG'!AT35</f>
        <v>0</v>
      </c>
      <c r="BI48" s="191">
        <f>'TONG TP'!BN53</f>
        <v>0</v>
      </c>
      <c r="BJ48" s="67">
        <f t="shared" si="4"/>
        <v>0</v>
      </c>
      <c r="BK48" s="247">
        <f t="shared" si="5"/>
        <v>0</v>
      </c>
    </row>
    <row r="49" spans="1:64" s="230" customFormat="1" ht="21.75" customHeight="1">
      <c r="A49" s="228" t="s">
        <v>97</v>
      </c>
      <c r="B49" s="229" t="s">
        <v>98</v>
      </c>
      <c r="C49" s="228" t="s">
        <v>99</v>
      </c>
      <c r="D49" s="100">
        <v>11.05</v>
      </c>
      <c r="E49" s="100">
        <f t="shared" si="11"/>
        <v>0</v>
      </c>
      <c r="F49" s="100">
        <f t="shared" si="16"/>
        <v>0</v>
      </c>
      <c r="G49" s="100">
        <f>'cc2011-2015'!G49+'TONG TP'!I54</f>
        <v>0</v>
      </c>
      <c r="H49" s="100">
        <f>'cc2011-2015'!H49+'TONG TP'!J54</f>
        <v>0</v>
      </c>
      <c r="I49" s="100">
        <f>'cc2011-2015'!I49+'TONG TP'!M54</f>
        <v>0</v>
      </c>
      <c r="J49" s="100">
        <f>'cc2011-2015'!J49+'TONG TP'!N54</f>
        <v>0</v>
      </c>
      <c r="K49" s="100">
        <f>'cc2011-2015'!K49+'TONG TP'!P54</f>
        <v>0</v>
      </c>
      <c r="L49" s="100"/>
      <c r="M49" s="100">
        <f>'cc2011-2015'!M49+'TONG TP'!R54</f>
        <v>0</v>
      </c>
      <c r="N49" s="100">
        <f>'cc2011-2015'!N49+'TONG TP'!S54</f>
        <v>0</v>
      </c>
      <c r="O49" s="100"/>
      <c r="P49" s="100">
        <f>'cc2011-2015'!P49+'TONG TP'!U54</f>
        <v>0</v>
      </c>
      <c r="Q49" s="100">
        <f t="shared" si="17"/>
        <v>11.05</v>
      </c>
      <c r="R49" s="100">
        <f>'cc2011-2015'!R49+'TONG TP'!W54</f>
        <v>0</v>
      </c>
      <c r="S49" s="100">
        <f>'cc2011-2015'!S49+'TONG TP'!X54</f>
        <v>0</v>
      </c>
      <c r="T49" s="100">
        <f>'cc2011-2015'!T49+'TONG TP'!Y54</f>
        <v>0</v>
      </c>
      <c r="U49" s="100">
        <f>'cc2011-2015'!U49+'TONG TP'!Z54</f>
        <v>0</v>
      </c>
      <c r="V49" s="100">
        <f>'cc2011-2015'!V49+'TONG TP'!AA54</f>
        <v>0</v>
      </c>
      <c r="W49" s="100">
        <f>'cc2011-2015'!W49+'TONG TP'!AB54</f>
        <v>0</v>
      </c>
      <c r="X49" s="100">
        <f>'cc2011-2015'!X49+'TONG TP'!AC54</f>
        <v>0</v>
      </c>
      <c r="Y49" s="100">
        <f>'cc2011-2015'!Y49+'TONG TP'!AD54</f>
        <v>0</v>
      </c>
      <c r="Z49" s="100">
        <f t="shared" si="22"/>
        <v>0</v>
      </c>
      <c r="AA49" s="100">
        <f>'cc2011-2015'!AA49+'TONG TP'!AF54</f>
        <v>0</v>
      </c>
      <c r="AB49" s="100">
        <f>'cc2011-2015'!AB49+'TONG TP'!AG54</f>
        <v>0</v>
      </c>
      <c r="AC49" s="100">
        <f>'cc2011-2015'!AC49+'TONG TP'!AH54</f>
        <v>0</v>
      </c>
      <c r="AD49" s="100">
        <f>'cc2011-2015'!AD49+'TONG TP'!AI54</f>
        <v>0</v>
      </c>
      <c r="AE49" s="100">
        <f>'cc2011-2015'!AE49+'TONG TP'!AJ54</f>
        <v>0</v>
      </c>
      <c r="AF49" s="100">
        <f>'cc2011-2015'!AF49+'TONG TP'!AK54</f>
        <v>0</v>
      </c>
      <c r="AG49" s="100">
        <f>'cc2011-2015'!AG49+'TONG TP'!AL54</f>
        <v>0</v>
      </c>
      <c r="AH49" s="100">
        <f>'cc2011-2015'!AH49+'TONG TP'!AM54</f>
        <v>0</v>
      </c>
      <c r="AI49" s="100">
        <f>'cc2011-2015'!AI49+'TONG TP'!AN54</f>
        <v>0</v>
      </c>
      <c r="AJ49" s="100">
        <f>'cc2011-2015'!AJ49+'TONG TP'!AO54</f>
        <v>0</v>
      </c>
      <c r="AK49" s="100">
        <f>'cc2011-2015'!AK49+'TONG TP'!AP54</f>
        <v>0</v>
      </c>
      <c r="AL49" s="100">
        <f>'cc2011-2015'!AL49+'TONG TP'!AQ54</f>
        <v>0</v>
      </c>
      <c r="AM49" s="100">
        <f>'cc2011-2015'!AM49+'TONG TP'!AR54</f>
        <v>0</v>
      </c>
      <c r="AN49" s="100">
        <f>'cc2011-2015'!AN49+'TONG TP'!AS54</f>
        <v>0</v>
      </c>
      <c r="AO49" s="100">
        <f>'cc2011-2015'!AO49+'TONG TP'!AT54</f>
        <v>0</v>
      </c>
      <c r="AP49" s="100">
        <f>'cc2011-2015'!AP49+'TONG TP'!AU54</f>
        <v>0</v>
      </c>
      <c r="AQ49" s="100">
        <f>'cc2011-2015'!AQ49+'TONG TP'!AV54</f>
        <v>0</v>
      </c>
      <c r="AR49" s="100">
        <f>'cc2011-2015'!AR49+'TONG TP'!AW54</f>
        <v>0</v>
      </c>
      <c r="AS49" s="100">
        <f>'cc2011-2015'!AS49+'TONG TP'!AX54</f>
        <v>0</v>
      </c>
      <c r="AT49" s="237">
        <f>D49-BE49</f>
        <v>11.05</v>
      </c>
      <c r="AU49" s="100">
        <f>'cc2011-2015'!AU49+'TONG TP'!AZ54</f>
        <v>0</v>
      </c>
      <c r="AV49" s="100">
        <f>'cc2011-2015'!AV49+'TONG TP'!BA54</f>
        <v>0</v>
      </c>
      <c r="AW49" s="100">
        <f>'cc2011-2015'!AW49+'TONG TP'!BB54</f>
        <v>0</v>
      </c>
      <c r="AX49" s="100">
        <f>'cc2011-2015'!AX49+'TONG TP'!BC54</f>
        <v>0</v>
      </c>
      <c r="AY49" s="100">
        <f>'cc2011-2015'!AY49+'TONG TP'!BD54</f>
        <v>0</v>
      </c>
      <c r="AZ49" s="100">
        <f>'cc2011-2015'!AZ49+'TONG TP'!BE54</f>
        <v>0</v>
      </c>
      <c r="BA49" s="100">
        <f>'cc2011-2015'!BA49+'TONG TP'!BF54</f>
        <v>0</v>
      </c>
      <c r="BB49" s="100">
        <f>'cc2011-2015'!BB49+'TONG TP'!BG54</f>
        <v>0</v>
      </c>
      <c r="BC49" s="100">
        <f>'cc2011-2015'!BC49</f>
        <v>0</v>
      </c>
      <c r="BD49" s="100">
        <f>'cc2011-2015'!BD49</f>
        <v>0</v>
      </c>
      <c r="BE49" s="100">
        <f>BC49+AR49+AO49+AN49+AM49+AM49+Z49+Y49+X49+W49+V49+AL49+U49+S49+R49+T49+E49+AQ49+AP49+AS49+AU49+AV49+AW49+AX49+AY49+AZ49+BA49+BB49+BD49</f>
        <v>0</v>
      </c>
      <c r="BF49" s="100">
        <f>AT60-BE49</f>
        <v>8.81</v>
      </c>
      <c r="BG49" s="100">
        <f t="shared" si="15"/>
        <v>19.86</v>
      </c>
      <c r="BH49" s="246">
        <f>'BIEN DONG'!AT36</f>
        <v>18.510000000000002</v>
      </c>
      <c r="BI49" s="191">
        <f>'TONG TP'!BN54</f>
        <v>12.12</v>
      </c>
      <c r="BJ49" s="67">
        <f t="shared" si="4"/>
        <v>7.74</v>
      </c>
      <c r="BK49" s="247">
        <f t="shared" si="5"/>
        <v>6.5794595633239861E-2</v>
      </c>
      <c r="BL49" s="230">
        <f>18-BG49</f>
        <v>-1.8599999999999994</v>
      </c>
    </row>
    <row r="50" spans="1:64" s="230" customFormat="1" ht="35.25" customHeight="1">
      <c r="A50" s="228" t="s">
        <v>100</v>
      </c>
      <c r="B50" s="229" t="s">
        <v>134</v>
      </c>
      <c r="C50" s="228" t="s">
        <v>101</v>
      </c>
      <c r="D50" s="100">
        <v>121.08</v>
      </c>
      <c r="E50" s="100">
        <f t="shared" si="11"/>
        <v>0</v>
      </c>
      <c r="F50" s="100">
        <f t="shared" si="16"/>
        <v>0</v>
      </c>
      <c r="G50" s="100">
        <f>'cc2011-2015'!G50+'TONG TP'!I55</f>
        <v>0</v>
      </c>
      <c r="H50" s="100">
        <f>'cc2011-2015'!H50+'TONG TP'!J55</f>
        <v>0</v>
      </c>
      <c r="I50" s="100">
        <f>'cc2011-2015'!I50+'TONG TP'!M55</f>
        <v>0</v>
      </c>
      <c r="J50" s="100">
        <f>'cc2011-2015'!J50+'TONG TP'!N55</f>
        <v>0</v>
      </c>
      <c r="K50" s="100">
        <f>'cc2011-2015'!K50+'TONG TP'!P55</f>
        <v>0</v>
      </c>
      <c r="L50" s="100"/>
      <c r="M50" s="100">
        <f>'cc2011-2015'!M50+'TONG TP'!R55</f>
        <v>0</v>
      </c>
      <c r="N50" s="100">
        <f>'cc2011-2015'!N50+'TONG TP'!S55</f>
        <v>0</v>
      </c>
      <c r="O50" s="100"/>
      <c r="P50" s="100">
        <f>'cc2011-2015'!P50+'TONG TP'!U55</f>
        <v>0</v>
      </c>
      <c r="Q50" s="100">
        <f t="shared" si="17"/>
        <v>121.08</v>
      </c>
      <c r="R50" s="100">
        <f>'cc2011-2015'!R50+'TONG TP'!W55</f>
        <v>0</v>
      </c>
      <c r="S50" s="100">
        <f>'cc2011-2015'!S50+'TONG TP'!X55</f>
        <v>0</v>
      </c>
      <c r="T50" s="100">
        <f>'cc2011-2015'!T50+'TONG TP'!Y55</f>
        <v>0</v>
      </c>
      <c r="U50" s="100">
        <f>'cc2011-2015'!U50+'TONG TP'!Z55</f>
        <v>0</v>
      </c>
      <c r="V50" s="100">
        <f>'cc2011-2015'!V50+'TONG TP'!AA55</f>
        <v>0</v>
      </c>
      <c r="W50" s="100">
        <f>'cc2011-2015'!W50+'TONG TP'!AB55</f>
        <v>0</v>
      </c>
      <c r="X50" s="100">
        <f>'cc2011-2015'!X50+'TONG TP'!AC55</f>
        <v>0.31</v>
      </c>
      <c r="Y50" s="100">
        <f>'cc2011-2015'!Y50+'TONG TP'!AD55</f>
        <v>0</v>
      </c>
      <c r="Z50" s="100">
        <f t="shared" si="22"/>
        <v>1</v>
      </c>
      <c r="AA50" s="100">
        <f>'cc2011-2015'!AA50+'TONG TP'!AF55</f>
        <v>0.01</v>
      </c>
      <c r="AB50" s="100">
        <f>'cc2011-2015'!AB50+'TONG TP'!AG55</f>
        <v>0</v>
      </c>
      <c r="AC50" s="100">
        <f>'cc2011-2015'!AC50+'TONG TP'!AH55</f>
        <v>0.03</v>
      </c>
      <c r="AD50" s="100">
        <f>'cc2011-2015'!AD50+'TONG TP'!AI55</f>
        <v>0</v>
      </c>
      <c r="AE50" s="100">
        <f>'cc2011-2015'!AE50+'TONG TP'!AJ55</f>
        <v>0</v>
      </c>
      <c r="AF50" s="100">
        <f>'cc2011-2015'!AF50+'TONG TP'!AK55</f>
        <v>0</v>
      </c>
      <c r="AG50" s="100">
        <f>'cc2011-2015'!AG50+'TONG TP'!AL55</f>
        <v>0.96</v>
      </c>
      <c r="AH50" s="100">
        <f>'cc2011-2015'!AH50+'TONG TP'!AM55</f>
        <v>0</v>
      </c>
      <c r="AI50" s="100">
        <f>'cc2011-2015'!AI50+'TONG TP'!AN55</f>
        <v>0</v>
      </c>
      <c r="AJ50" s="100">
        <f>'cc2011-2015'!AJ50+'TONG TP'!AO55</f>
        <v>0</v>
      </c>
      <c r="AK50" s="100">
        <f>'cc2011-2015'!AK50+'TONG TP'!AP55</f>
        <v>0</v>
      </c>
      <c r="AL50" s="100">
        <f>'cc2011-2015'!AL50+'TONG TP'!AQ55</f>
        <v>0</v>
      </c>
      <c r="AM50" s="100">
        <f>'cc2011-2015'!AM50+'TONG TP'!AR55</f>
        <v>0</v>
      </c>
      <c r="AN50" s="100">
        <f>'cc2011-2015'!AN50+'TONG TP'!AS55</f>
        <v>0</v>
      </c>
      <c r="AO50" s="100">
        <f>'cc2011-2015'!AO50+'TONG TP'!AT55</f>
        <v>0</v>
      </c>
      <c r="AP50" s="100">
        <f>'cc2011-2015'!AP50+'TONG TP'!AU55</f>
        <v>0.37</v>
      </c>
      <c r="AQ50" s="100">
        <f>'cc2011-2015'!AQ50+'TONG TP'!AV55</f>
        <v>0.01</v>
      </c>
      <c r="AR50" s="100">
        <f>'cc2011-2015'!AR50+'TONG TP'!AW55</f>
        <v>0</v>
      </c>
      <c r="AS50" s="100">
        <f>'cc2011-2015'!AS50+'TONG TP'!AX55</f>
        <v>0</v>
      </c>
      <c r="AT50" s="100">
        <f>'cc2011-2015'!AT50+'TONG TP'!AY55</f>
        <v>0</v>
      </c>
      <c r="AU50" s="237">
        <f>D50-BE50</f>
        <v>119.36</v>
      </c>
      <c r="AV50" s="100">
        <f>'cc2011-2015'!AV50+'TONG TP'!BA55</f>
        <v>0</v>
      </c>
      <c r="AW50" s="100">
        <f>'cc2011-2015'!AW50+'TONG TP'!BB55</f>
        <v>0</v>
      </c>
      <c r="AX50" s="100">
        <f>'cc2011-2015'!AX50+'TONG TP'!BC55</f>
        <v>0.03</v>
      </c>
      <c r="AY50" s="100">
        <f>'cc2011-2015'!AY50+'TONG TP'!BD55</f>
        <v>0</v>
      </c>
      <c r="AZ50" s="100">
        <f>'cc2011-2015'!AZ50+'TONG TP'!BE55</f>
        <v>0</v>
      </c>
      <c r="BA50" s="100">
        <f>'cc2011-2015'!BA50+'TONG TP'!BF55</f>
        <v>0</v>
      </c>
      <c r="BB50" s="100">
        <f>'cc2011-2015'!BB50+'TONG TP'!BG55</f>
        <v>0</v>
      </c>
      <c r="BC50" s="100">
        <f>'cc2011-2015'!BC50</f>
        <v>0</v>
      </c>
      <c r="BD50" s="100">
        <f>'cc2011-2015'!BD50</f>
        <v>0</v>
      </c>
      <c r="BE50" s="100">
        <f>BC50+AR50+AO50+AN50+AM50+AM50+Z50+Y50+X50+W50+V50+AL50+U50+S50+R50+T50+E50+AQ50+AP50+AS50+AT50+AV50+AW50+AX50+AY50+AZ50+BA50+BB50+BD50</f>
        <v>1.72</v>
      </c>
      <c r="BF50" s="100">
        <f>AU60-BE50</f>
        <v>32.96</v>
      </c>
      <c r="BG50" s="100">
        <f t="shared" si="15"/>
        <v>154.04</v>
      </c>
      <c r="BH50" s="246">
        <f>'BIEN DONG'!AT37</f>
        <v>155.74</v>
      </c>
      <c r="BI50" s="191">
        <f>'TONG TP'!BN55</f>
        <v>237.46000000000004</v>
      </c>
      <c r="BJ50" s="67">
        <f t="shared" si="4"/>
        <v>-83.420000000000044</v>
      </c>
      <c r="BK50" s="247">
        <f t="shared" si="5"/>
        <v>0.51032223118551201</v>
      </c>
      <c r="BL50" s="230">
        <f>121.37-BG50</f>
        <v>-32.669999999999987</v>
      </c>
    </row>
    <row r="51" spans="1:64" s="230" customFormat="1" ht="23.25" customHeight="1">
      <c r="A51" s="228" t="s">
        <v>102</v>
      </c>
      <c r="B51" s="229" t="s">
        <v>103</v>
      </c>
      <c r="C51" s="228" t="s">
        <v>104</v>
      </c>
      <c r="D51" s="100">
        <v>98.6</v>
      </c>
      <c r="E51" s="100">
        <f t="shared" si="11"/>
        <v>0</v>
      </c>
      <c r="F51" s="100">
        <f t="shared" si="16"/>
        <v>0</v>
      </c>
      <c r="G51" s="100">
        <f>'cc2011-2015'!G51+'TONG TP'!I56</f>
        <v>0</v>
      </c>
      <c r="H51" s="100">
        <f>'cc2011-2015'!H51+'TONG TP'!J56</f>
        <v>0</v>
      </c>
      <c r="I51" s="100">
        <f>'cc2011-2015'!I51+'TONG TP'!M56</f>
        <v>0</v>
      </c>
      <c r="J51" s="100">
        <f>'cc2011-2015'!J51+'TONG TP'!N56</f>
        <v>0</v>
      </c>
      <c r="K51" s="100">
        <f>'cc2011-2015'!K51+'TONG TP'!P56</f>
        <v>0</v>
      </c>
      <c r="L51" s="100"/>
      <c r="M51" s="100">
        <f>'cc2011-2015'!M51+'TONG TP'!R56</f>
        <v>0</v>
      </c>
      <c r="N51" s="100">
        <f>'cc2011-2015'!N51+'TONG TP'!S56</f>
        <v>0</v>
      </c>
      <c r="O51" s="100"/>
      <c r="P51" s="100">
        <f>'cc2011-2015'!P51+'TONG TP'!U56</f>
        <v>0</v>
      </c>
      <c r="Q51" s="100">
        <f t="shared" si="17"/>
        <v>98.6</v>
      </c>
      <c r="R51" s="100">
        <f>'cc2011-2015'!R51+'TONG TP'!W56</f>
        <v>0</v>
      </c>
      <c r="S51" s="100">
        <f>'cc2011-2015'!S51+'TONG TP'!X56</f>
        <v>0</v>
      </c>
      <c r="T51" s="100">
        <f>'cc2011-2015'!T51+'TONG TP'!Y56</f>
        <v>0</v>
      </c>
      <c r="U51" s="100">
        <f>'cc2011-2015'!U51+'TONG TP'!Z56</f>
        <v>0</v>
      </c>
      <c r="V51" s="100">
        <f>'cc2011-2015'!V51+'TONG TP'!AA56</f>
        <v>0</v>
      </c>
      <c r="W51" s="100">
        <f>'cc2011-2015'!W51+'TONG TP'!AB56</f>
        <v>0</v>
      </c>
      <c r="X51" s="100">
        <f>'cc2011-2015'!X51+'TONG TP'!AC56</f>
        <v>0</v>
      </c>
      <c r="Y51" s="100">
        <f>'cc2011-2015'!Y51+'TONG TP'!AD56</f>
        <v>0</v>
      </c>
      <c r="Z51" s="100">
        <f t="shared" si="22"/>
        <v>0.01</v>
      </c>
      <c r="AA51" s="100">
        <f>'cc2011-2015'!AA51+'TONG TP'!AF56</f>
        <v>0</v>
      </c>
      <c r="AB51" s="100">
        <f>'cc2011-2015'!AB51+'TONG TP'!AG56</f>
        <v>0</v>
      </c>
      <c r="AC51" s="100">
        <f>'cc2011-2015'!AC51+'TONG TP'!AH56</f>
        <v>0</v>
      </c>
      <c r="AD51" s="100">
        <f>'cc2011-2015'!AD51+'TONG TP'!AI56</f>
        <v>0</v>
      </c>
      <c r="AE51" s="100">
        <f>'cc2011-2015'!AE51+'TONG TP'!AJ56</f>
        <v>0</v>
      </c>
      <c r="AF51" s="100">
        <f>'cc2011-2015'!AF51+'TONG TP'!AK56</f>
        <v>0</v>
      </c>
      <c r="AG51" s="100">
        <f>'cc2011-2015'!AG51+'TONG TP'!AL56</f>
        <v>0.01</v>
      </c>
      <c r="AH51" s="100">
        <f>'cc2011-2015'!AH51+'TONG TP'!AM56</f>
        <v>0</v>
      </c>
      <c r="AI51" s="100">
        <f>'cc2011-2015'!AI51+'TONG TP'!AN56</f>
        <v>0</v>
      </c>
      <c r="AJ51" s="100">
        <f>'cc2011-2015'!AJ51+'TONG TP'!AO56</f>
        <v>0</v>
      </c>
      <c r="AK51" s="100">
        <f>'cc2011-2015'!AK51+'TONG TP'!AP56</f>
        <v>0</v>
      </c>
      <c r="AL51" s="100">
        <f>'cc2011-2015'!AL51+'TONG TP'!AQ56</f>
        <v>0</v>
      </c>
      <c r="AM51" s="100">
        <f>'cc2011-2015'!AM51+'TONG TP'!AR56</f>
        <v>0</v>
      </c>
      <c r="AN51" s="100">
        <f>'cc2011-2015'!AN51+'TONG TP'!AS56</f>
        <v>0</v>
      </c>
      <c r="AO51" s="100">
        <f>'cc2011-2015'!AO51+'TONG TP'!AT56</f>
        <v>0</v>
      </c>
      <c r="AP51" s="100">
        <f>'cc2011-2015'!AP51+'TONG TP'!AU56</f>
        <v>0</v>
      </c>
      <c r="AQ51" s="100">
        <f>'cc2011-2015'!AQ51+'TONG TP'!AV56</f>
        <v>0</v>
      </c>
      <c r="AR51" s="100">
        <f>'cc2011-2015'!AR51+'TONG TP'!AW56</f>
        <v>0</v>
      </c>
      <c r="AS51" s="100">
        <f>'cc2011-2015'!AS51+'TONG TP'!AX56</f>
        <v>0</v>
      </c>
      <c r="AT51" s="100">
        <f>'cc2011-2015'!AT51+'TONG TP'!AY56</f>
        <v>0</v>
      </c>
      <c r="AU51" s="100">
        <f>'cc2011-2015'!AU51+'TONG TP'!AZ56</f>
        <v>0</v>
      </c>
      <c r="AV51" s="237">
        <f>D51-BE51</f>
        <v>98.589999999999989</v>
      </c>
      <c r="AW51" s="100">
        <f>'cc2011-2015'!AW51+'TONG TP'!BB56</f>
        <v>0</v>
      </c>
      <c r="AX51" s="100">
        <f>'cc2011-2015'!AX51+'TONG TP'!BC56</f>
        <v>0</v>
      </c>
      <c r="AY51" s="100">
        <f>'cc2011-2015'!AY51+'TONG TP'!BD56</f>
        <v>0</v>
      </c>
      <c r="AZ51" s="100">
        <f>'cc2011-2015'!AZ51+'TONG TP'!BE56</f>
        <v>0</v>
      </c>
      <c r="BA51" s="100">
        <f>'cc2011-2015'!BA51+'TONG TP'!BF56</f>
        <v>0</v>
      </c>
      <c r="BB51" s="100">
        <f>'cc2011-2015'!BB51+'TONG TP'!BG56</f>
        <v>0</v>
      </c>
      <c r="BC51" s="100">
        <f>'cc2011-2015'!BC51</f>
        <v>0</v>
      </c>
      <c r="BD51" s="100">
        <f>'cc2011-2015'!BD51</f>
        <v>0</v>
      </c>
      <c r="BE51" s="100">
        <f>BC51+AR51+AO51+AN51+AM51+AM51+Z51+Y51+X51+W51+V51+AL51+U51+S51+R51+T51+E51+AQ51+AP51+AS51+AT51+AU51+AW51+AX51+AY51+AZ51+BA51+BB51+BD51</f>
        <v>0.01</v>
      </c>
      <c r="BF51" s="100">
        <f>AV60-BE51</f>
        <v>325.90999999999991</v>
      </c>
      <c r="BG51" s="100">
        <f t="shared" si="15"/>
        <v>424.50999999999988</v>
      </c>
      <c r="BH51" s="246">
        <f>'BIEN DONG'!AT38</f>
        <v>129.38999999999999</v>
      </c>
      <c r="BI51" s="191">
        <f>'TONG TP'!BN56</f>
        <v>313.13039999999995</v>
      </c>
      <c r="BJ51" s="67">
        <f t="shared" si="4"/>
        <v>111.37959999999993</v>
      </c>
      <c r="BK51" s="247">
        <f t="shared" si="5"/>
        <v>1.4063677639610594</v>
      </c>
      <c r="BL51" s="230">
        <f>119.53-BG51</f>
        <v>-304.9799999999999</v>
      </c>
    </row>
    <row r="52" spans="1:64" s="230" customFormat="1" ht="23.25" customHeight="1">
      <c r="A52" s="228" t="s">
        <v>105</v>
      </c>
      <c r="B52" s="229" t="s">
        <v>106</v>
      </c>
      <c r="C52" s="228" t="s">
        <v>107</v>
      </c>
      <c r="D52" s="100"/>
      <c r="E52" s="100">
        <f t="shared" si="11"/>
        <v>0</v>
      </c>
      <c r="F52" s="100">
        <f t="shared" si="16"/>
        <v>0</v>
      </c>
      <c r="G52" s="100">
        <f>'cc2011-2015'!G52+'TONG TP'!I57</f>
        <v>0</v>
      </c>
      <c r="H52" s="100">
        <f>'cc2011-2015'!H52+'TONG TP'!J57</f>
        <v>0</v>
      </c>
      <c r="I52" s="100">
        <f>'cc2011-2015'!I52+'TONG TP'!M57</f>
        <v>0</v>
      </c>
      <c r="J52" s="100">
        <f>'cc2011-2015'!J52+'TONG TP'!N57</f>
        <v>0</v>
      </c>
      <c r="K52" s="100">
        <f>'cc2011-2015'!K52+'TONG TP'!P57</f>
        <v>0</v>
      </c>
      <c r="L52" s="100"/>
      <c r="M52" s="100">
        <f>'cc2011-2015'!M52+'TONG TP'!R57</f>
        <v>0</v>
      </c>
      <c r="N52" s="100">
        <f>'cc2011-2015'!N52+'TONG TP'!S57</f>
        <v>0</v>
      </c>
      <c r="O52" s="100"/>
      <c r="P52" s="100">
        <f>'cc2011-2015'!P52+'TONG TP'!U57</f>
        <v>0</v>
      </c>
      <c r="Q52" s="100"/>
      <c r="R52" s="100">
        <f>'cc2011-2015'!R52+'TONG TP'!W57</f>
        <v>0</v>
      </c>
      <c r="S52" s="100">
        <f>'cc2011-2015'!S52+'TONG TP'!X57</f>
        <v>0</v>
      </c>
      <c r="T52" s="100">
        <f>'cc2011-2015'!T52+'TONG TP'!Y57</f>
        <v>0</v>
      </c>
      <c r="U52" s="100">
        <f>'cc2011-2015'!U52+'TONG TP'!Z57</f>
        <v>0</v>
      </c>
      <c r="V52" s="100">
        <f>'cc2011-2015'!V52+'TONG TP'!AA57</f>
        <v>0.35</v>
      </c>
      <c r="W52" s="100">
        <f>'cc2011-2015'!W52+'TONG TP'!AB57</f>
        <v>0</v>
      </c>
      <c r="X52" s="100">
        <f>'cc2011-2015'!X52+'TONG TP'!AC57</f>
        <v>0</v>
      </c>
      <c r="Y52" s="100">
        <f>'cc2011-2015'!Y52+'TONG TP'!AD57</f>
        <v>0</v>
      </c>
      <c r="Z52" s="100">
        <f t="shared" si="22"/>
        <v>0.01</v>
      </c>
      <c r="AA52" s="100">
        <f>'cc2011-2015'!AA52+'TONG TP'!AF57</f>
        <v>0</v>
      </c>
      <c r="AB52" s="100">
        <f>'cc2011-2015'!AB52+'TONG TP'!AG57</f>
        <v>0</v>
      </c>
      <c r="AC52" s="100">
        <f>'cc2011-2015'!AC52+'TONG TP'!AH57</f>
        <v>0</v>
      </c>
      <c r="AD52" s="100">
        <f>'cc2011-2015'!AD52+'TONG TP'!AI57</f>
        <v>0</v>
      </c>
      <c r="AE52" s="100">
        <f>'cc2011-2015'!AE52+'TONG TP'!AJ57</f>
        <v>0</v>
      </c>
      <c r="AF52" s="100">
        <f>'cc2011-2015'!AF52+'TONG TP'!AK57</f>
        <v>0</v>
      </c>
      <c r="AG52" s="100">
        <f>'cc2011-2015'!AG52+'TONG TP'!AL57</f>
        <v>0.01</v>
      </c>
      <c r="AH52" s="100">
        <f>'cc2011-2015'!AH52+'TONG TP'!AM57</f>
        <v>0</v>
      </c>
      <c r="AI52" s="100">
        <f>'cc2011-2015'!AI52+'TONG TP'!AN57</f>
        <v>0</v>
      </c>
      <c r="AJ52" s="100">
        <f>'cc2011-2015'!AJ52+'TONG TP'!AO57</f>
        <v>0</v>
      </c>
      <c r="AK52" s="100">
        <f>'cc2011-2015'!AK52+'TONG TP'!AP57</f>
        <v>0</v>
      </c>
      <c r="AL52" s="100">
        <f>'cc2011-2015'!AL52+'TONG TP'!AQ57</f>
        <v>0</v>
      </c>
      <c r="AM52" s="100">
        <f>'cc2011-2015'!AM52+'TONG TP'!AR57</f>
        <v>0</v>
      </c>
      <c r="AN52" s="100">
        <f>'cc2011-2015'!AN52+'TONG TP'!AS57</f>
        <v>0</v>
      </c>
      <c r="AO52" s="100">
        <f>'cc2011-2015'!AO52+'TONG TP'!AT57</f>
        <v>0</v>
      </c>
      <c r="AP52" s="100">
        <f>'cc2011-2015'!AP52+'TONG TP'!AU57</f>
        <v>0.06</v>
      </c>
      <c r="AQ52" s="100">
        <f>'cc2011-2015'!AQ52+'TONG TP'!AV57</f>
        <v>0.19</v>
      </c>
      <c r="AR52" s="100">
        <f>'cc2011-2015'!AR52+'TONG TP'!AW57</f>
        <v>0</v>
      </c>
      <c r="AS52" s="100">
        <f>'cc2011-2015'!AS52+'TONG TP'!AX57</f>
        <v>0</v>
      </c>
      <c r="AT52" s="100">
        <f>'cc2011-2015'!AT52+'TONG TP'!AY57</f>
        <v>0</v>
      </c>
      <c r="AU52" s="100">
        <f>'cc2011-2015'!AU52+'TONG TP'!AZ57</f>
        <v>0</v>
      </c>
      <c r="AV52" s="100">
        <f>'cc2011-2015'!AV52+'TONG TP'!BA57</f>
        <v>0</v>
      </c>
      <c r="AW52" s="237"/>
      <c r="AX52" s="100">
        <f>'cc2011-2015'!AX52+'TONG TP'!BC57</f>
        <v>0</v>
      </c>
      <c r="AY52" s="100">
        <f>'cc2011-2015'!AY52+'TONG TP'!BD57</f>
        <v>0</v>
      </c>
      <c r="AZ52" s="100">
        <f>'cc2011-2015'!AZ52+'TONG TP'!BE57</f>
        <v>0</v>
      </c>
      <c r="BA52" s="100">
        <f>'cc2011-2015'!BA52+'TONG TP'!BF57</f>
        <v>0</v>
      </c>
      <c r="BB52" s="100">
        <f>'cc2011-2015'!BB52+'TONG TP'!BG57</f>
        <v>0</v>
      </c>
      <c r="BC52" s="100">
        <f>'cc2011-2015'!BC52</f>
        <v>0</v>
      </c>
      <c r="BD52" s="100">
        <f>'cc2011-2015'!BD52</f>
        <v>0</v>
      </c>
      <c r="BE52" s="100">
        <f>BC52+AS52+AP52+AO52+AN52+AM52+Z52+Y52+X52+W52+V52+U52+S52+R52+T52+E52+AR52+AQ52+AT52+AU52+AV52+AY52+AX52+AY52+AZ52+BA52+BB52+BD52</f>
        <v>0.61</v>
      </c>
      <c r="BF52" s="100">
        <f>AW60-BE52</f>
        <v>9.3000000000000007</v>
      </c>
      <c r="BG52" s="100">
        <f t="shared" si="15"/>
        <v>9.3000000000000007</v>
      </c>
      <c r="BH52" s="246">
        <f>'BIEN DONG'!AT39</f>
        <v>9.91</v>
      </c>
      <c r="BI52" s="191">
        <f>'TONG TP'!BN57</f>
        <v>12.339599999999999</v>
      </c>
      <c r="BJ52" s="67">
        <f t="shared" si="4"/>
        <v>-3.0395999999999983</v>
      </c>
      <c r="BK52" s="247">
        <f t="shared" si="5"/>
        <v>3.0810158075988456E-2</v>
      </c>
    </row>
    <row r="53" spans="1:64" s="230" customFormat="1" ht="23.25" customHeight="1">
      <c r="A53" s="228" t="s">
        <v>108</v>
      </c>
      <c r="B53" s="229" t="s">
        <v>109</v>
      </c>
      <c r="C53" s="228" t="s">
        <v>110</v>
      </c>
      <c r="D53" s="100"/>
      <c r="E53" s="100">
        <f t="shared" si="11"/>
        <v>0</v>
      </c>
      <c r="F53" s="100">
        <f t="shared" si="16"/>
        <v>0</v>
      </c>
      <c r="G53" s="100">
        <f>'cc2011-2015'!G53+'TONG TP'!I58</f>
        <v>0</v>
      </c>
      <c r="H53" s="100">
        <f>'cc2011-2015'!H53+'TONG TP'!J58</f>
        <v>0</v>
      </c>
      <c r="I53" s="100">
        <f>'cc2011-2015'!I53+'TONG TP'!M58</f>
        <v>0</v>
      </c>
      <c r="J53" s="100">
        <f>'cc2011-2015'!J53+'TONG TP'!N58</f>
        <v>0</v>
      </c>
      <c r="K53" s="100">
        <f>'cc2011-2015'!K53+'TONG TP'!P58</f>
        <v>0</v>
      </c>
      <c r="L53" s="100"/>
      <c r="M53" s="100">
        <f>'cc2011-2015'!M53+'TONG TP'!R58</f>
        <v>0</v>
      </c>
      <c r="N53" s="100">
        <f>'cc2011-2015'!N53+'TONG TP'!S58</f>
        <v>0</v>
      </c>
      <c r="O53" s="100"/>
      <c r="P53" s="100">
        <f>'cc2011-2015'!P53+'TONG TP'!U58</f>
        <v>0</v>
      </c>
      <c r="Q53" s="100">
        <f t="shared" si="17"/>
        <v>0</v>
      </c>
      <c r="R53" s="100">
        <f>'cc2011-2015'!R53+'TONG TP'!W58</f>
        <v>0</v>
      </c>
      <c r="S53" s="100">
        <f>'cc2011-2015'!S53+'TONG TP'!X58</f>
        <v>0</v>
      </c>
      <c r="T53" s="100">
        <f>'cc2011-2015'!T53+'TONG TP'!Y58</f>
        <v>0</v>
      </c>
      <c r="U53" s="100">
        <f>'cc2011-2015'!U53+'TONG TP'!Z58</f>
        <v>0</v>
      </c>
      <c r="V53" s="100">
        <f>'cc2011-2015'!V53+'TONG TP'!AA58</f>
        <v>0</v>
      </c>
      <c r="W53" s="100">
        <f>'cc2011-2015'!W53+'TONG TP'!AB58</f>
        <v>0</v>
      </c>
      <c r="X53" s="100">
        <f>'cc2011-2015'!X53+'TONG TP'!AC58</f>
        <v>0</v>
      </c>
      <c r="Y53" s="100">
        <f>'cc2011-2015'!Y53+'TONG TP'!AD58</f>
        <v>0</v>
      </c>
      <c r="Z53" s="100">
        <f t="shared" si="22"/>
        <v>0</v>
      </c>
      <c r="AA53" s="100">
        <f>'cc2011-2015'!AA53+'TONG TP'!AF58</f>
        <v>0</v>
      </c>
      <c r="AB53" s="100">
        <f>'cc2011-2015'!AB53+'TONG TP'!AG58</f>
        <v>0</v>
      </c>
      <c r="AC53" s="100">
        <f>'cc2011-2015'!AC53+'TONG TP'!AH58</f>
        <v>0</v>
      </c>
      <c r="AD53" s="100">
        <f>'cc2011-2015'!AD53+'TONG TP'!AI58</f>
        <v>0</v>
      </c>
      <c r="AE53" s="100">
        <f>'cc2011-2015'!AE53+'TONG TP'!AJ58</f>
        <v>0</v>
      </c>
      <c r="AF53" s="100">
        <f>'cc2011-2015'!AF53+'TONG TP'!AK58</f>
        <v>0</v>
      </c>
      <c r="AG53" s="100">
        <f>'cc2011-2015'!AG53+'TONG TP'!AL58</f>
        <v>0</v>
      </c>
      <c r="AH53" s="100">
        <f>'cc2011-2015'!AH53+'TONG TP'!AM58</f>
        <v>0</v>
      </c>
      <c r="AI53" s="100">
        <f>'cc2011-2015'!AI53+'TONG TP'!AN58</f>
        <v>0</v>
      </c>
      <c r="AJ53" s="100">
        <f>'cc2011-2015'!AJ53+'TONG TP'!AO58</f>
        <v>0</v>
      </c>
      <c r="AK53" s="100">
        <f>'cc2011-2015'!AK53+'TONG TP'!AP58</f>
        <v>0</v>
      </c>
      <c r="AL53" s="100">
        <f>'cc2011-2015'!AL53+'TONG TP'!AQ58</f>
        <v>0</v>
      </c>
      <c r="AM53" s="100">
        <f>'cc2011-2015'!AM53+'TONG TP'!AR58</f>
        <v>0</v>
      </c>
      <c r="AN53" s="100">
        <f>'cc2011-2015'!AN53+'TONG TP'!AS58</f>
        <v>0</v>
      </c>
      <c r="AO53" s="100">
        <f>'cc2011-2015'!AO53+'TONG TP'!AT58</f>
        <v>0</v>
      </c>
      <c r="AP53" s="100">
        <f>'cc2011-2015'!AP53+'TONG TP'!AU58</f>
        <v>0</v>
      </c>
      <c r="AQ53" s="100">
        <f>'cc2011-2015'!AQ53+'TONG TP'!AV58</f>
        <v>0</v>
      </c>
      <c r="AR53" s="100">
        <f>'cc2011-2015'!AR53+'TONG TP'!AW58</f>
        <v>0</v>
      </c>
      <c r="AS53" s="100">
        <f>'cc2011-2015'!AS53+'TONG TP'!AX58</f>
        <v>0</v>
      </c>
      <c r="AT53" s="100">
        <f>'cc2011-2015'!AT53+'TONG TP'!AY58</f>
        <v>0</v>
      </c>
      <c r="AU53" s="100">
        <f>'cc2011-2015'!AU53+'TONG TP'!AZ58</f>
        <v>0</v>
      </c>
      <c r="AV53" s="100">
        <f>'cc2011-2015'!AV53+'TONG TP'!BA58</f>
        <v>0</v>
      </c>
      <c r="AW53" s="100">
        <f>'cc2011-2015'!AW53+'TONG TP'!BB58</f>
        <v>0</v>
      </c>
      <c r="AX53" s="237">
        <f>D53-BE53</f>
        <v>0</v>
      </c>
      <c r="AY53" s="100">
        <f>'cc2011-2015'!AY53+'TONG TP'!BD58</f>
        <v>0</v>
      </c>
      <c r="AZ53" s="100">
        <f>'cc2011-2015'!AZ53+'TONG TP'!BE58</f>
        <v>0</v>
      </c>
      <c r="BA53" s="100">
        <f>'cc2011-2015'!BA53+'TONG TP'!BF58</f>
        <v>0</v>
      </c>
      <c r="BB53" s="100">
        <f>'cc2011-2015'!BB53+'TONG TP'!BG58</f>
        <v>0</v>
      </c>
      <c r="BC53" s="100">
        <f>'cc2011-2015'!BC53</f>
        <v>0</v>
      </c>
      <c r="BD53" s="100">
        <f>'cc2011-2015'!BD53</f>
        <v>0</v>
      </c>
      <c r="BE53" s="100">
        <f>BC53+AS53+AP53+AO53+AN53+AM53+Z53+Y53+X53+W53+V53+U53+S53+R53+T53+E53+AR53+AQ53+AT53+AU53+AV53+AY53+AW53+AY53+AZ53+BA53+BB53+BD53</f>
        <v>0</v>
      </c>
      <c r="BF53" s="100">
        <f>AX60-BE53</f>
        <v>17.95</v>
      </c>
      <c r="BG53" s="100">
        <f t="shared" si="15"/>
        <v>17.95</v>
      </c>
      <c r="BH53" s="246">
        <f>'BIEN DONG'!AT40</f>
        <v>2.96</v>
      </c>
      <c r="BI53" s="191">
        <f>'TONG TP'!BN58</f>
        <v>27.279999999999998</v>
      </c>
      <c r="BJ53" s="67">
        <f t="shared" si="4"/>
        <v>-9.3299999999999983</v>
      </c>
      <c r="BK53" s="247">
        <f t="shared" si="5"/>
        <v>5.9466918006880941E-2</v>
      </c>
    </row>
    <row r="54" spans="1:64" s="230" customFormat="1" ht="23.25" customHeight="1">
      <c r="A54" s="228" t="s">
        <v>111</v>
      </c>
      <c r="B54" s="229" t="s">
        <v>112</v>
      </c>
      <c r="C54" s="228" t="s">
        <v>113</v>
      </c>
      <c r="D54" s="100">
        <v>6.84</v>
      </c>
      <c r="E54" s="100">
        <f t="shared" si="11"/>
        <v>0</v>
      </c>
      <c r="F54" s="100">
        <f t="shared" si="16"/>
        <v>0</v>
      </c>
      <c r="G54" s="100">
        <f>'cc2011-2015'!G54+'TONG TP'!I59</f>
        <v>0</v>
      </c>
      <c r="H54" s="100">
        <f>'cc2011-2015'!H54+'TONG TP'!J59</f>
        <v>0</v>
      </c>
      <c r="I54" s="100">
        <f>'cc2011-2015'!I54+'TONG TP'!M59</f>
        <v>0</v>
      </c>
      <c r="J54" s="100">
        <f>'cc2011-2015'!J54+'TONG TP'!N59</f>
        <v>0</v>
      </c>
      <c r="K54" s="100">
        <f>'cc2011-2015'!K54+'TONG TP'!P59</f>
        <v>0</v>
      </c>
      <c r="L54" s="100"/>
      <c r="M54" s="100">
        <f>'cc2011-2015'!M54+'TONG TP'!R59</f>
        <v>0</v>
      </c>
      <c r="N54" s="100">
        <f>'cc2011-2015'!N54+'TONG TP'!S59</f>
        <v>0</v>
      </c>
      <c r="O54" s="100"/>
      <c r="P54" s="100">
        <f>'cc2011-2015'!P54+'TONG TP'!U59</f>
        <v>0</v>
      </c>
      <c r="Q54" s="100">
        <f t="shared" si="17"/>
        <v>6.84</v>
      </c>
      <c r="R54" s="100">
        <f>'cc2011-2015'!R54+'TONG TP'!W59</f>
        <v>0</v>
      </c>
      <c r="S54" s="100">
        <f>'cc2011-2015'!S54+'TONG TP'!X59</f>
        <v>0</v>
      </c>
      <c r="T54" s="100">
        <f>'cc2011-2015'!T54+'TONG TP'!Y59</f>
        <v>0</v>
      </c>
      <c r="U54" s="100">
        <f>'cc2011-2015'!U54+'TONG TP'!Z59</f>
        <v>0</v>
      </c>
      <c r="V54" s="100">
        <f>'cc2011-2015'!V54+'TONG TP'!AA59</f>
        <v>0.09</v>
      </c>
      <c r="W54" s="100">
        <f>'cc2011-2015'!W54+'TONG TP'!AB59</f>
        <v>0</v>
      </c>
      <c r="X54" s="100">
        <f>'cc2011-2015'!X54+'TONG TP'!AC59</f>
        <v>0</v>
      </c>
      <c r="Y54" s="100">
        <f>'cc2011-2015'!Y54+'TONG TP'!AD59</f>
        <v>0</v>
      </c>
      <c r="Z54" s="100">
        <f t="shared" si="22"/>
        <v>0</v>
      </c>
      <c r="AA54" s="100">
        <f>'cc2011-2015'!AA54+'TONG TP'!AF59</f>
        <v>0</v>
      </c>
      <c r="AB54" s="100">
        <f>'cc2011-2015'!AB54+'TONG TP'!AG59</f>
        <v>0</v>
      </c>
      <c r="AC54" s="100">
        <f>'cc2011-2015'!AC54+'TONG TP'!AH59</f>
        <v>0</v>
      </c>
      <c r="AD54" s="100">
        <f>'cc2011-2015'!AD54+'TONG TP'!AI59</f>
        <v>0</v>
      </c>
      <c r="AE54" s="100">
        <f>'cc2011-2015'!AE54+'TONG TP'!AJ59</f>
        <v>0</v>
      </c>
      <c r="AF54" s="100">
        <f>'cc2011-2015'!AF54+'TONG TP'!AK59</f>
        <v>0</v>
      </c>
      <c r="AG54" s="100">
        <f>'cc2011-2015'!AG54+'TONG TP'!AL59</f>
        <v>0</v>
      </c>
      <c r="AH54" s="100">
        <f>'cc2011-2015'!AH54+'TONG TP'!AM59</f>
        <v>0</v>
      </c>
      <c r="AI54" s="100">
        <f>'cc2011-2015'!AI54+'TONG TP'!AN59</f>
        <v>0</v>
      </c>
      <c r="AJ54" s="100">
        <f>'cc2011-2015'!AJ54+'TONG TP'!AO59</f>
        <v>0</v>
      </c>
      <c r="AK54" s="100">
        <f>'cc2011-2015'!AK54+'TONG TP'!AP59</f>
        <v>0</v>
      </c>
      <c r="AL54" s="100">
        <f>'cc2011-2015'!AL54+'TONG TP'!AQ59</f>
        <v>0</v>
      </c>
      <c r="AM54" s="100">
        <f>'cc2011-2015'!AM54+'TONG TP'!AR59</f>
        <v>0</v>
      </c>
      <c r="AN54" s="100">
        <f>'cc2011-2015'!AN54+'TONG TP'!AS59</f>
        <v>0</v>
      </c>
      <c r="AO54" s="100">
        <f>'cc2011-2015'!AO54+'TONG TP'!AT59</f>
        <v>0</v>
      </c>
      <c r="AP54" s="100">
        <f>'cc2011-2015'!AP54+'TONG TP'!AU59</f>
        <v>0</v>
      </c>
      <c r="AQ54" s="100">
        <f>'cc2011-2015'!AQ54+'TONG TP'!AV59</f>
        <v>0</v>
      </c>
      <c r="AR54" s="100">
        <f>'cc2011-2015'!AR54+'TONG TP'!AW59</f>
        <v>0</v>
      </c>
      <c r="AS54" s="100">
        <f>'cc2011-2015'!AS54+'TONG TP'!AX59</f>
        <v>0</v>
      </c>
      <c r="AT54" s="100">
        <f>'cc2011-2015'!AT54+'TONG TP'!AY59</f>
        <v>0</v>
      </c>
      <c r="AU54" s="100">
        <f>'cc2011-2015'!AU54+'TONG TP'!AZ59</f>
        <v>0</v>
      </c>
      <c r="AV54" s="100">
        <f>'cc2011-2015'!AV54+'TONG TP'!BA59</f>
        <v>0</v>
      </c>
      <c r="AW54" s="100">
        <f>'cc2011-2015'!AW54+'TONG TP'!BB59</f>
        <v>0</v>
      </c>
      <c r="AX54" s="100">
        <f>'cc2011-2015'!AX54+'TONG TP'!BC59</f>
        <v>0</v>
      </c>
      <c r="AY54" s="237">
        <f>D54-BE54</f>
        <v>6.75</v>
      </c>
      <c r="AZ54" s="100">
        <f>'cc2011-2015'!AZ54+'TONG TP'!BE59</f>
        <v>0</v>
      </c>
      <c r="BA54" s="100">
        <f>'cc2011-2015'!BA54+'TONG TP'!BF59</f>
        <v>0</v>
      </c>
      <c r="BB54" s="100">
        <f>'cc2011-2015'!BB54+'TONG TP'!BG59</f>
        <v>0</v>
      </c>
      <c r="BC54" s="100">
        <f>'cc2011-2015'!BC54</f>
        <v>0</v>
      </c>
      <c r="BD54" s="100">
        <f>'cc2011-2015'!BD54</f>
        <v>0</v>
      </c>
      <c r="BE54" s="100">
        <f>BC54+AS54+AP54+AO54+AN54+AM54+Z54+Y54+X54+W54+V54+U54+S54+R54+T54+E54+AR54+AQ54+AT54+AU54+AV54+AX54+AW54+AZ54+BA54+BB54+BD54+AL54</f>
        <v>0.09</v>
      </c>
      <c r="BF54" s="100">
        <f>AY60-BE54</f>
        <v>15.870000000000003</v>
      </c>
      <c r="BG54" s="100">
        <f t="shared" si="15"/>
        <v>22.71</v>
      </c>
      <c r="BH54" s="246">
        <f>'BIEN DONG'!AT41</f>
        <v>22.800000000000004</v>
      </c>
      <c r="BI54" s="191">
        <f>'TONG TP'!BN59</f>
        <v>10.440000000000003</v>
      </c>
      <c r="BJ54" s="67">
        <f t="shared" si="4"/>
        <v>12.269999999999998</v>
      </c>
      <c r="BK54" s="247">
        <f t="shared" si="5"/>
        <v>7.5236418269429867E-2</v>
      </c>
    </row>
    <row r="55" spans="1:64" s="230" customFormat="1" ht="23.25" customHeight="1">
      <c r="A55" s="228" t="s">
        <v>114</v>
      </c>
      <c r="B55" s="229" t="s">
        <v>115</v>
      </c>
      <c r="C55" s="228" t="s">
        <v>116</v>
      </c>
      <c r="D55" s="100">
        <v>7245.02</v>
      </c>
      <c r="E55" s="100">
        <f t="shared" si="11"/>
        <v>204.97</v>
      </c>
      <c r="F55" s="100">
        <f t="shared" si="16"/>
        <v>0</v>
      </c>
      <c r="G55" s="100">
        <f>'cc2011-2015'!G55+'TONG TP'!I60</f>
        <v>0</v>
      </c>
      <c r="H55" s="100">
        <f>'cc2011-2015'!H55+'TONG TP'!J60</f>
        <v>0</v>
      </c>
      <c r="I55" s="100">
        <f>'cc2011-2015'!I55+'TONG TP'!M60</f>
        <v>0</v>
      </c>
      <c r="J55" s="100">
        <f>'cc2011-2015'!J55+'TONG TP'!N60</f>
        <v>0</v>
      </c>
      <c r="K55" s="100">
        <f>'cc2011-2015'!K55+'TONG TP'!P60</f>
        <v>0</v>
      </c>
      <c r="L55" s="100"/>
      <c r="M55" s="100">
        <f>'cc2011-2015'!M55+'TONG TP'!R60</f>
        <v>0</v>
      </c>
      <c r="N55" s="100">
        <f>'cc2011-2015'!N55+'TONG TP'!S60</f>
        <v>200.13</v>
      </c>
      <c r="O55" s="100"/>
      <c r="P55" s="100">
        <f>'cc2011-2015'!P55+'TONG TP'!U60</f>
        <v>4.84</v>
      </c>
      <c r="Q55" s="100">
        <f>R55+S55+T55+U55+V55+W55+X55+Y55+Z55+AL55+AM55+AN55+AO55+AP55+AQ55+AR55+AS55+AT55+AU55+AV55+AW55+AX55+AY55+AZ55+BA55+BB55</f>
        <v>4054.03</v>
      </c>
      <c r="R55" s="100">
        <f>'cc2011-2015'!R55+'TONG TP'!W60</f>
        <v>0.14000000000000001</v>
      </c>
      <c r="S55" s="100">
        <f>'cc2011-2015'!S55+'TONG TP'!X60</f>
        <v>0</v>
      </c>
      <c r="T55" s="100">
        <f>'cc2011-2015'!T55+'TONG TP'!Y60</f>
        <v>0</v>
      </c>
      <c r="U55" s="100">
        <f>'cc2011-2015'!U55+'TONG TP'!Z60</f>
        <v>0</v>
      </c>
      <c r="V55" s="100">
        <f>'cc2011-2015'!V55+'TONG TP'!AA60</f>
        <v>1.21</v>
      </c>
      <c r="W55" s="100">
        <f>'cc2011-2015'!W55+'TONG TP'!AB60</f>
        <v>0.27</v>
      </c>
      <c r="X55" s="100">
        <f>'cc2011-2015'!X55+'TONG TP'!AC60</f>
        <v>4.41</v>
      </c>
      <c r="Y55" s="100">
        <f>'cc2011-2015'!Y55+'TONG TP'!AD60</f>
        <v>0</v>
      </c>
      <c r="Z55" s="100">
        <f t="shared" si="22"/>
        <v>30.89</v>
      </c>
      <c r="AA55" s="100">
        <f>'cc2011-2015'!AA55+'TONG TP'!AF60</f>
        <v>0</v>
      </c>
      <c r="AB55" s="100">
        <f>'cc2011-2015'!AB55+'TONG TP'!AG60</f>
        <v>0</v>
      </c>
      <c r="AC55" s="100">
        <f>'cc2011-2015'!AC55+'TONG TP'!AH60</f>
        <v>0</v>
      </c>
      <c r="AD55" s="100">
        <f>'cc2011-2015'!AD55+'TONG TP'!AI60</f>
        <v>0</v>
      </c>
      <c r="AE55" s="100">
        <f>'cc2011-2015'!AE55+'TONG TP'!AJ60</f>
        <v>0</v>
      </c>
      <c r="AF55" s="100">
        <f>'cc2011-2015'!AF55+'TONG TP'!AK60</f>
        <v>0</v>
      </c>
      <c r="AG55" s="100">
        <f>'cc2011-2015'!AG55+'TONG TP'!AL60</f>
        <v>29.63</v>
      </c>
      <c r="AH55" s="100">
        <f>'cc2011-2015'!AH55+'TONG TP'!AM60</f>
        <v>1.26</v>
      </c>
      <c r="AI55" s="100">
        <f>'cc2011-2015'!AI55+'TONG TP'!AN60</f>
        <v>0</v>
      </c>
      <c r="AJ55" s="100">
        <f>'cc2011-2015'!AJ55+'TONG TP'!AO60</f>
        <v>0</v>
      </c>
      <c r="AK55" s="100">
        <f>'cc2011-2015'!AK55+'TONG TP'!AP60</f>
        <v>0</v>
      </c>
      <c r="AL55" s="100">
        <f>'cc2011-2015'!AL55+'TONG TP'!AQ60</f>
        <v>0</v>
      </c>
      <c r="AM55" s="100">
        <f>'cc2011-2015'!AM55+'TONG TP'!AR60</f>
        <v>0</v>
      </c>
      <c r="AN55" s="100">
        <f>'cc2011-2015'!AN55+'TONG TP'!AS60</f>
        <v>0</v>
      </c>
      <c r="AO55" s="100">
        <f>'cc2011-2015'!AO55+'TONG TP'!AT60</f>
        <v>0</v>
      </c>
      <c r="AP55" s="100">
        <f>'cc2011-2015'!AP55+'TONG TP'!AU60</f>
        <v>1.5299999999999998</v>
      </c>
      <c r="AQ55" s="100">
        <f>'cc2011-2015'!AQ55+'TONG TP'!AV60</f>
        <v>0</v>
      </c>
      <c r="AR55" s="100">
        <f>'cc2011-2015'!AR55+'TONG TP'!AW60</f>
        <v>0</v>
      </c>
      <c r="AS55" s="100">
        <f>'cc2011-2015'!AS55+'TONG TP'!AX60</f>
        <v>0</v>
      </c>
      <c r="AT55" s="100">
        <f>'cc2011-2015'!AT55+'TONG TP'!AY60</f>
        <v>0</v>
      </c>
      <c r="AU55" s="100">
        <f>'cc2011-2015'!AU55+'TONG TP'!AZ60</f>
        <v>0</v>
      </c>
      <c r="AV55" s="100">
        <f>'cc2011-2015'!AV55+'TONG TP'!BA60</f>
        <v>1.21</v>
      </c>
      <c r="AW55" s="100">
        <f>'cc2011-2015'!AW55+'TONG TP'!BB60</f>
        <v>0</v>
      </c>
      <c r="AX55" s="100">
        <f>'cc2011-2015'!AX55+'TONG TP'!BC60</f>
        <v>0</v>
      </c>
      <c r="AY55" s="100">
        <f>'cc2011-2015'!AY55+'TONG TP'!BD60</f>
        <v>0</v>
      </c>
      <c r="AZ55" s="237">
        <f>D55-BE55</f>
        <v>4014.3700000000003</v>
      </c>
      <c r="BA55" s="100">
        <f>'cc2011-2015'!BA55+'TONG TP'!BF60</f>
        <v>0</v>
      </c>
      <c r="BB55" s="100">
        <f>'cc2011-2015'!BB55+'TONG TP'!BG60</f>
        <v>0</v>
      </c>
      <c r="BC55" s="100">
        <f>'cc2011-2015'!BC55</f>
        <v>2.67</v>
      </c>
      <c r="BD55" s="100">
        <f>'cc2011-2015'!BD55</f>
        <v>2983.35</v>
      </c>
      <c r="BE55" s="100">
        <f>BC55+AS55+AP55+AO55+AN55+AM55+Z55+Y55+X55+W55+V55+U55+S55+R55+T55+E55+AR55+AQ55+AT55+AU55+AV55+AX55+AW55+AY55+BA55+BB55+BD55+AL55</f>
        <v>3230.65</v>
      </c>
      <c r="BF55" s="100">
        <f>AZ60-BE55</f>
        <v>-3230.65</v>
      </c>
      <c r="BG55" s="100">
        <f t="shared" si="15"/>
        <v>4014.3700000000003</v>
      </c>
      <c r="BH55" s="246">
        <f>'BIEN DONG'!AT42</f>
        <v>4075.2300000000005</v>
      </c>
      <c r="BI55" s="191">
        <f>'TONG TP'!BN60</f>
        <v>2479.7200000000003</v>
      </c>
      <c r="BJ55" s="67">
        <f t="shared" si="4"/>
        <v>1534.65</v>
      </c>
      <c r="BK55" s="247">
        <f t="shared" si="5"/>
        <v>13.299287556505998</v>
      </c>
      <c r="BL55" s="230">
        <f>6930.22-BG55</f>
        <v>2915.85</v>
      </c>
    </row>
    <row r="56" spans="1:64" s="230" customFormat="1" ht="23.25" customHeight="1">
      <c r="A56" s="228" t="s">
        <v>117</v>
      </c>
      <c r="B56" s="229" t="s">
        <v>118</v>
      </c>
      <c r="C56" s="228" t="s">
        <v>119</v>
      </c>
      <c r="D56" s="100">
        <v>924.73</v>
      </c>
      <c r="E56" s="100">
        <f t="shared" si="11"/>
        <v>33.67</v>
      </c>
      <c r="F56" s="100">
        <f t="shared" si="16"/>
        <v>0</v>
      </c>
      <c r="G56" s="100">
        <f>'cc2011-2015'!G56+'TONG TP'!I61</f>
        <v>0</v>
      </c>
      <c r="H56" s="100">
        <f>'cc2011-2015'!H56+'TONG TP'!J61</f>
        <v>0</v>
      </c>
      <c r="I56" s="100">
        <f>'cc2011-2015'!I56+'TONG TP'!M61</f>
        <v>0</v>
      </c>
      <c r="J56" s="100">
        <f>'cc2011-2015'!J56+'TONG TP'!N61</f>
        <v>0</v>
      </c>
      <c r="K56" s="100">
        <f>'cc2011-2015'!K56+'TONG TP'!P61</f>
        <v>0</v>
      </c>
      <c r="L56" s="100"/>
      <c r="M56" s="100">
        <f>'cc2011-2015'!M56+'TONG TP'!R61</f>
        <v>0</v>
      </c>
      <c r="N56" s="100">
        <f>'cc2011-2015'!N56+'TONG TP'!S61</f>
        <v>33.67</v>
      </c>
      <c r="O56" s="100"/>
      <c r="P56" s="100">
        <f>'cc2011-2015'!P56+'TONG TP'!U61</f>
        <v>0</v>
      </c>
      <c r="Q56" s="100">
        <f t="shared" si="17"/>
        <v>121.75000000000003</v>
      </c>
      <c r="R56" s="100">
        <f>'cc2011-2015'!R56+'TONG TP'!W61</f>
        <v>0</v>
      </c>
      <c r="S56" s="100">
        <f>'cc2011-2015'!S56+'TONG TP'!X61</f>
        <v>0</v>
      </c>
      <c r="T56" s="100">
        <f>'cc2011-2015'!T56+'TONG TP'!Y61</f>
        <v>0</v>
      </c>
      <c r="U56" s="100">
        <f>'cc2011-2015'!U56+'TONG TP'!Z61</f>
        <v>0</v>
      </c>
      <c r="V56" s="100">
        <f>'cc2011-2015'!V56+'TONG TP'!AA61</f>
        <v>0</v>
      </c>
      <c r="W56" s="100">
        <f>'cc2011-2015'!W56+'TONG TP'!AB61</f>
        <v>0</v>
      </c>
      <c r="X56" s="100">
        <f>'cc2011-2015'!X56+'TONG TP'!AC61</f>
        <v>0.02</v>
      </c>
      <c r="Y56" s="100">
        <f>'cc2011-2015'!Y56+'TONG TP'!AD61</f>
        <v>0</v>
      </c>
      <c r="Z56" s="100">
        <f t="shared" si="22"/>
        <v>2.57</v>
      </c>
      <c r="AA56" s="100">
        <f>'cc2011-2015'!AA56+'TONG TP'!AF61</f>
        <v>0</v>
      </c>
      <c r="AB56" s="100">
        <f>'cc2011-2015'!AB56+'TONG TP'!AG61</f>
        <v>0</v>
      </c>
      <c r="AC56" s="100">
        <f>'cc2011-2015'!AC56+'TONG TP'!AH61</f>
        <v>0</v>
      </c>
      <c r="AD56" s="100">
        <f>'cc2011-2015'!AD56+'TONG TP'!AI61</f>
        <v>0</v>
      </c>
      <c r="AE56" s="100">
        <f>'cc2011-2015'!AE56+'TONG TP'!AJ61</f>
        <v>0</v>
      </c>
      <c r="AF56" s="100">
        <f>'cc2011-2015'!AF56+'TONG TP'!AK61</f>
        <v>0</v>
      </c>
      <c r="AG56" s="100">
        <f>'cc2011-2015'!AG56+'TONG TP'!AL61</f>
        <v>2.57</v>
      </c>
      <c r="AH56" s="100">
        <f>'cc2011-2015'!AH56+'TONG TP'!AM61</f>
        <v>0</v>
      </c>
      <c r="AI56" s="100">
        <f>'cc2011-2015'!AI56+'TONG TP'!AN61</f>
        <v>0</v>
      </c>
      <c r="AJ56" s="100">
        <f>'cc2011-2015'!AJ56+'TONG TP'!AO61</f>
        <v>0</v>
      </c>
      <c r="AK56" s="100">
        <f>'cc2011-2015'!AK56+'TONG TP'!AP61</f>
        <v>0</v>
      </c>
      <c r="AL56" s="100">
        <f>'cc2011-2015'!AL56+'TONG TP'!AQ61</f>
        <v>0</v>
      </c>
      <c r="AM56" s="100">
        <f>'cc2011-2015'!AM56+'TONG TP'!AR61</f>
        <v>0</v>
      </c>
      <c r="AN56" s="100">
        <f>'cc2011-2015'!AN56+'TONG TP'!AS61</f>
        <v>0</v>
      </c>
      <c r="AO56" s="100">
        <f>'cc2011-2015'!AO56+'TONG TP'!AT61</f>
        <v>0</v>
      </c>
      <c r="AP56" s="100">
        <f>'cc2011-2015'!AP56+'TONG TP'!AU61</f>
        <v>0</v>
      </c>
      <c r="AQ56" s="100">
        <f>'cc2011-2015'!AQ56+'TONG TP'!AV61</f>
        <v>0</v>
      </c>
      <c r="AR56" s="100">
        <f>'cc2011-2015'!AR56+'TONG TP'!AW61</f>
        <v>0</v>
      </c>
      <c r="AS56" s="100">
        <f>'cc2011-2015'!AS56+'TONG TP'!AX61</f>
        <v>0</v>
      </c>
      <c r="AT56" s="100">
        <f>'cc2011-2015'!AT56+'TONG TP'!AY61</f>
        <v>0</v>
      </c>
      <c r="AU56" s="100">
        <f>'cc2011-2015'!AU56+'TONG TP'!AZ61</f>
        <v>0</v>
      </c>
      <c r="AV56" s="100">
        <f>'cc2011-2015'!AV56+'TONG TP'!BA61</f>
        <v>2.3199999999999998</v>
      </c>
      <c r="AW56" s="100">
        <f>'cc2011-2015'!AW56+'TONG TP'!BB61</f>
        <v>0</v>
      </c>
      <c r="AX56" s="100">
        <f>'cc2011-2015'!AX56+'TONG TP'!BC61</f>
        <v>0</v>
      </c>
      <c r="AY56" s="100">
        <f>'cc2011-2015'!AY56+'TONG TP'!BD61</f>
        <v>0</v>
      </c>
      <c r="AZ56" s="100">
        <f>'cc2011-2015'!AZ56+'TONG TP'!BE61</f>
        <v>0</v>
      </c>
      <c r="BA56" s="237">
        <f>D56-BE56</f>
        <v>116.84000000000003</v>
      </c>
      <c r="BB56" s="100">
        <f>'cc2011-2015'!BB56+'TONG TP'!BG61</f>
        <v>0</v>
      </c>
      <c r="BC56" s="100">
        <f>'cc2011-2015'!BC56</f>
        <v>0</v>
      </c>
      <c r="BD56" s="100">
        <f>'cc2011-2015'!BD56</f>
        <v>769.31</v>
      </c>
      <c r="BE56" s="100">
        <f>BC56+AS56+AP56+AO56+AN56+AM56+Z56+Y56+X56+W56+V56+U56+S56+R56+T56+E56+AR56+AQ56+AT56+AU56+AV56+AX56+AW56+AY56+AZ56+BB56+BD56</f>
        <v>807.89</v>
      </c>
      <c r="BF56" s="100">
        <f>BA60-BE56</f>
        <v>-802.38</v>
      </c>
      <c r="BG56" s="100">
        <f t="shared" si="15"/>
        <v>122.35000000000002</v>
      </c>
      <c r="BH56" s="246">
        <f>'BIEN DONG'!AT43</f>
        <v>153.0200000000001</v>
      </c>
      <c r="BI56" s="191">
        <f>'TONG TP'!BN61</f>
        <v>1085.1699999999998</v>
      </c>
      <c r="BJ56" s="67">
        <f t="shared" si="4"/>
        <v>-962.81999999999982</v>
      </c>
      <c r="BK56" s="247">
        <f t="shared" si="5"/>
        <v>0.40533578931152558</v>
      </c>
      <c r="BL56" s="230">
        <f>577.4-BG56</f>
        <v>455.04999999999995</v>
      </c>
    </row>
    <row r="57" spans="1:64" s="230" customFormat="1" ht="23.25" customHeight="1">
      <c r="A57" s="228" t="s">
        <v>120</v>
      </c>
      <c r="B57" s="229" t="s">
        <v>121</v>
      </c>
      <c r="C57" s="228" t="s">
        <v>122</v>
      </c>
      <c r="D57" s="100"/>
      <c r="E57" s="100">
        <f t="shared" si="11"/>
        <v>0</v>
      </c>
      <c r="F57" s="100">
        <f t="shared" si="16"/>
        <v>0</v>
      </c>
      <c r="G57" s="100">
        <f>'cc2011-2015'!G57+'TONG TP'!I62</f>
        <v>0</v>
      </c>
      <c r="H57" s="100">
        <f>'cc2011-2015'!H57+'TONG TP'!J62</f>
        <v>0</v>
      </c>
      <c r="I57" s="100">
        <f>'cc2011-2015'!I57+'TONG TP'!M62</f>
        <v>0</v>
      </c>
      <c r="J57" s="100">
        <f>'cc2011-2015'!J57+'TONG TP'!N62</f>
        <v>0</v>
      </c>
      <c r="K57" s="100">
        <f>'cc2011-2015'!K57+'TONG TP'!P62</f>
        <v>0</v>
      </c>
      <c r="L57" s="100"/>
      <c r="M57" s="100">
        <f>'cc2011-2015'!M57+'TONG TP'!R62</f>
        <v>0</v>
      </c>
      <c r="N57" s="100">
        <f>'cc2011-2015'!N57+'TONG TP'!S62</f>
        <v>0</v>
      </c>
      <c r="O57" s="100"/>
      <c r="P57" s="100">
        <f>'cc2011-2015'!P57+'TONG TP'!U62</f>
        <v>0</v>
      </c>
      <c r="Q57" s="100">
        <f t="shared" si="17"/>
        <v>0</v>
      </c>
      <c r="R57" s="100">
        <f>'cc2011-2015'!R57+'TONG TP'!W62</f>
        <v>0</v>
      </c>
      <c r="S57" s="100">
        <f>'cc2011-2015'!S57+'TONG TP'!X62</f>
        <v>0</v>
      </c>
      <c r="T57" s="100">
        <f>'cc2011-2015'!T57+'TONG TP'!Y62</f>
        <v>0</v>
      </c>
      <c r="U57" s="100">
        <f>'cc2011-2015'!U57+'TONG TP'!Z62</f>
        <v>0</v>
      </c>
      <c r="V57" s="100">
        <f>'cc2011-2015'!V57+'TONG TP'!AA62</f>
        <v>0</v>
      </c>
      <c r="W57" s="100">
        <f>'cc2011-2015'!W57+'TONG TP'!AB62</f>
        <v>0</v>
      </c>
      <c r="X57" s="100">
        <f>'cc2011-2015'!X57+'TONG TP'!AC62</f>
        <v>0</v>
      </c>
      <c r="Y57" s="100">
        <f>'cc2011-2015'!Y57+'TONG TP'!AD62</f>
        <v>0</v>
      </c>
      <c r="Z57" s="100">
        <f t="shared" si="22"/>
        <v>0</v>
      </c>
      <c r="AA57" s="100">
        <f>'cc2011-2015'!AA57+'TONG TP'!AF62</f>
        <v>0</v>
      </c>
      <c r="AB57" s="100">
        <f>'cc2011-2015'!AB57+'TONG TP'!AG62</f>
        <v>0</v>
      </c>
      <c r="AC57" s="100">
        <f>'cc2011-2015'!AC57+'TONG TP'!AH62</f>
        <v>0</v>
      </c>
      <c r="AD57" s="100">
        <f>'cc2011-2015'!AD57+'TONG TP'!AI62</f>
        <v>0</v>
      </c>
      <c r="AE57" s="100">
        <f>'cc2011-2015'!AE57+'TONG TP'!AJ62</f>
        <v>0</v>
      </c>
      <c r="AF57" s="100">
        <f>'cc2011-2015'!AF57+'TONG TP'!AK62</f>
        <v>0</v>
      </c>
      <c r="AG57" s="100">
        <f>'cc2011-2015'!AG57+'TONG TP'!AL62</f>
        <v>0</v>
      </c>
      <c r="AH57" s="100">
        <f>'cc2011-2015'!AH57+'TONG TP'!AM62</f>
        <v>0</v>
      </c>
      <c r="AI57" s="100">
        <f>'cc2011-2015'!AI57+'TONG TP'!AN62</f>
        <v>0</v>
      </c>
      <c r="AJ57" s="100">
        <f>'cc2011-2015'!AJ57+'TONG TP'!AO62</f>
        <v>0</v>
      </c>
      <c r="AK57" s="100">
        <f>'cc2011-2015'!AK57+'TONG TP'!AP62</f>
        <v>0</v>
      </c>
      <c r="AL57" s="100">
        <f>'cc2011-2015'!AL57+'TONG TP'!AQ62</f>
        <v>0</v>
      </c>
      <c r="AM57" s="100">
        <f>'cc2011-2015'!AM57+'TONG TP'!AR62</f>
        <v>0</v>
      </c>
      <c r="AN57" s="100">
        <f>'cc2011-2015'!AN57+'TONG TP'!AS62</f>
        <v>0</v>
      </c>
      <c r="AO57" s="100">
        <f>'cc2011-2015'!AO57+'TONG TP'!AT62</f>
        <v>0</v>
      </c>
      <c r="AP57" s="100">
        <f>'cc2011-2015'!AP57+'TONG TP'!AU62</f>
        <v>0</v>
      </c>
      <c r="AQ57" s="100">
        <f>'cc2011-2015'!AQ57+'TONG TP'!AV62</f>
        <v>0</v>
      </c>
      <c r="AR57" s="100">
        <f>'cc2011-2015'!AR57+'TONG TP'!AW62</f>
        <v>0</v>
      </c>
      <c r="AS57" s="100">
        <f>'cc2011-2015'!AS57+'TONG TP'!AX62</f>
        <v>0</v>
      </c>
      <c r="AT57" s="100">
        <f>'cc2011-2015'!AT57+'TONG TP'!AY62</f>
        <v>0</v>
      </c>
      <c r="AU57" s="100">
        <f>'cc2011-2015'!AU57+'TONG TP'!AZ62</f>
        <v>0</v>
      </c>
      <c r="AV57" s="100">
        <f>'cc2011-2015'!AV57+'TONG TP'!BA62</f>
        <v>0</v>
      </c>
      <c r="AW57" s="100">
        <f>'cc2011-2015'!AW57+'TONG TP'!BB62</f>
        <v>0</v>
      </c>
      <c r="AX57" s="100">
        <f>'cc2011-2015'!AX57+'TONG TP'!BC62</f>
        <v>0</v>
      </c>
      <c r="AY57" s="100">
        <f>'cc2011-2015'!AY57+'TONG TP'!BD62</f>
        <v>0</v>
      </c>
      <c r="AZ57" s="100">
        <f>'cc2011-2015'!AZ57+'TONG TP'!BE62</f>
        <v>0</v>
      </c>
      <c r="BA57" s="100">
        <f>'cc2011-2015'!BA57+'TONG TP'!BF62</f>
        <v>0</v>
      </c>
      <c r="BB57" s="237">
        <f>D57-BE57</f>
        <v>0</v>
      </c>
      <c r="BC57" s="100">
        <f>'cc2011-2015'!BC57</f>
        <v>0</v>
      </c>
      <c r="BD57" s="100">
        <f>'cc2011-2015'!BD57</f>
        <v>0</v>
      </c>
      <c r="BE57" s="100">
        <f>BC57+AS57+AP57+AO57+AN57+AM57+Z57+Y57+X57+W57+V57+U57+AL57+S57+R57+T57+E57+AR57+AQ57+AT57+AU57+AV57+AW57+AX57+AY57+AZ57+BA57+BD57</f>
        <v>0</v>
      </c>
      <c r="BF57" s="100">
        <f>BB60-BE57</f>
        <v>0.09</v>
      </c>
      <c r="BG57" s="100">
        <f t="shared" si="15"/>
        <v>0.09</v>
      </c>
      <c r="BH57" s="246">
        <f>'BIEN DONG'!AT44</f>
        <v>0.09</v>
      </c>
      <c r="BI57" s="191">
        <f>'TONG TP'!BN62</f>
        <v>2.09</v>
      </c>
      <c r="BJ57" s="67">
        <f t="shared" si="4"/>
        <v>-1.9999999999999998</v>
      </c>
      <c r="BK57" s="247">
        <f t="shared" si="5"/>
        <v>2.9816282009021084E-4</v>
      </c>
    </row>
    <row r="58" spans="1:64" s="233" customFormat="1" ht="23.25" customHeight="1">
      <c r="A58" s="231">
        <v>3</v>
      </c>
      <c r="B58" s="232" t="s">
        <v>123</v>
      </c>
      <c r="C58" s="231" t="s">
        <v>124</v>
      </c>
      <c r="D58" s="238">
        <f>647.1+25.02+75.59</f>
        <v>747.71</v>
      </c>
      <c r="E58" s="219">
        <f>F58+I58+J58+K58+L58+M58+N58+O58+P58</f>
        <v>75.059999999999988</v>
      </c>
      <c r="F58" s="219">
        <f>'cc2011-2015'!F58</f>
        <v>23.389999999999997</v>
      </c>
      <c r="G58" s="238">
        <f>'cc2011-2015'!G58</f>
        <v>22.83</v>
      </c>
      <c r="H58" s="238">
        <f>'cc2011-2015'!H58</f>
        <v>0.56000000000000005</v>
      </c>
      <c r="I58" s="238">
        <f>'cc2011-2015'!I58</f>
        <v>7.2</v>
      </c>
      <c r="J58" s="238">
        <f>'cc2011-2015'!J58</f>
        <v>1.99</v>
      </c>
      <c r="K58" s="238">
        <f>'cc2011-2015'!K58+'TONG TP'!P63</f>
        <v>0</v>
      </c>
      <c r="L58" s="238">
        <f>'cc2011-2015'!L58+'TONG TP'!Q63</f>
        <v>0</v>
      </c>
      <c r="M58" s="238">
        <f>'cc2011-2015'!M58+'TONG TP'!R63</f>
        <v>24.99</v>
      </c>
      <c r="N58" s="238">
        <f>'cc2011-2015'!N58+'TONG TP'!S63</f>
        <v>17.489999999999998</v>
      </c>
      <c r="O58" s="238">
        <f>'cc2011-2015'!O58+'TONG TP'!T63</f>
        <v>0</v>
      </c>
      <c r="P58" s="238">
        <f>'cc2011-2015'!P58+'TONG TP'!U63</f>
        <v>0</v>
      </c>
      <c r="Q58" s="219">
        <f t="shared" si="17"/>
        <v>98.79</v>
      </c>
      <c r="R58" s="219">
        <f>'cc2011-2015'!R58+'TONG TP'!W63</f>
        <v>0.01</v>
      </c>
      <c r="S58" s="219">
        <f>'cc2011-2015'!S58+'TONG TP'!X63</f>
        <v>0</v>
      </c>
      <c r="T58" s="219">
        <f>'cc2011-2015'!T58+'TONG TP'!Y63</f>
        <v>0.48</v>
      </c>
      <c r="U58" s="219">
        <f>'cc2011-2015'!U58+'TONG TP'!Z63</f>
        <v>0</v>
      </c>
      <c r="V58" s="219">
        <f>'cc2011-2015'!V58+'TONG TP'!AA63</f>
        <v>5.51</v>
      </c>
      <c r="W58" s="219">
        <f>'cc2011-2015'!W58+'TONG TP'!AB63</f>
        <v>3.51</v>
      </c>
      <c r="X58" s="219">
        <f>'cc2011-2015'!X58+'TONG TP'!AC63</f>
        <v>38.21</v>
      </c>
      <c r="Y58" s="219">
        <f>'cc2011-2015'!Y58+'TONG TP'!AD63</f>
        <v>0</v>
      </c>
      <c r="Z58" s="219">
        <f t="shared" si="22"/>
        <v>29.93</v>
      </c>
      <c r="AA58" s="219">
        <f>'cc2011-2015'!AA58+'TONG TP'!AF63</f>
        <v>0.17</v>
      </c>
      <c r="AB58" s="219">
        <f>'cc2011-2015'!AB58+'TONG TP'!AG63</f>
        <v>0</v>
      </c>
      <c r="AC58" s="219">
        <f>'cc2011-2015'!AC58+'TONG TP'!AH63</f>
        <v>3.4000000000000004</v>
      </c>
      <c r="AD58" s="219">
        <f>'cc2011-2015'!AD58+'TONG TP'!AI63</f>
        <v>0</v>
      </c>
      <c r="AE58" s="219">
        <f>'cc2011-2015'!AE58+'TONG TP'!AJ63</f>
        <v>0</v>
      </c>
      <c r="AF58" s="219">
        <f>'cc2011-2015'!AF58+'TONG TP'!AK63</f>
        <v>0</v>
      </c>
      <c r="AG58" s="219">
        <f>'cc2011-2015'!AG58+'TONG TP'!AL63</f>
        <v>23.36</v>
      </c>
      <c r="AH58" s="219">
        <f>'cc2011-2015'!AH58+'TONG TP'!AM63</f>
        <v>0.1</v>
      </c>
      <c r="AI58" s="219">
        <f>'cc2011-2015'!AI58+'TONG TP'!AN63</f>
        <v>0</v>
      </c>
      <c r="AJ58" s="219">
        <f>'cc2011-2015'!AJ58+'TONG TP'!AO63</f>
        <v>0</v>
      </c>
      <c r="AK58" s="219">
        <f>'cc2011-2015'!AK58+'TONG TP'!AP63</f>
        <v>2.9</v>
      </c>
      <c r="AL58" s="219">
        <f>'cc2011-2015'!AL58+'TONG TP'!AQ63</f>
        <v>0</v>
      </c>
      <c r="AM58" s="219">
        <f>'cc2011-2015'!AM58+'TONG TP'!AR63</f>
        <v>0</v>
      </c>
      <c r="AN58" s="219">
        <f>'cc2011-2015'!AN58+'TONG TP'!AS63</f>
        <v>2.64</v>
      </c>
      <c r="AO58" s="219">
        <f>'cc2011-2015'!AO58+'TONG TP'!AT63</f>
        <v>1</v>
      </c>
      <c r="AP58" s="219">
        <f>'cc2011-2015'!AP58+'TONG TP'!AU63</f>
        <v>11.969999999999999</v>
      </c>
      <c r="AQ58" s="219">
        <f>'cc2011-2015'!AQ58+'TONG TP'!AV63</f>
        <v>0.06</v>
      </c>
      <c r="AR58" s="219">
        <f>'cc2011-2015'!AR58+'TONG TP'!AW63</f>
        <v>0</v>
      </c>
      <c r="AS58" s="219">
        <f>'cc2011-2015'!AS58+'TONG TP'!AX63</f>
        <v>0</v>
      </c>
      <c r="AT58" s="219">
        <f>'cc2011-2015'!AT58+'TONG TP'!AY63</f>
        <v>0</v>
      </c>
      <c r="AU58" s="219">
        <f>'cc2011-2015'!AU58+'TONG TP'!AZ63</f>
        <v>0</v>
      </c>
      <c r="AV58" s="219">
        <f>'cc2011-2015'!AV58+'TONG TP'!BA63</f>
        <v>0.06</v>
      </c>
      <c r="AW58" s="219">
        <f>'cc2011-2015'!AW58+'TONG TP'!BB63</f>
        <v>0</v>
      </c>
      <c r="AX58" s="219">
        <f>'cc2011-2015'!AX58+'TONG TP'!BC63</f>
        <v>2.95</v>
      </c>
      <c r="AY58" s="219">
        <f>'cc2011-2015'!AY58+'TONG TP'!BD63</f>
        <v>0</v>
      </c>
      <c r="AZ58" s="219">
        <f>'cc2011-2015'!AZ58+'TONG TP'!BE63</f>
        <v>0</v>
      </c>
      <c r="BA58" s="219">
        <f>'cc2011-2015'!BA58+'TONG TP'!BF63</f>
        <v>2.46</v>
      </c>
      <c r="BB58" s="219">
        <f>'cc2011-2015'!BB58+'TONG TP'!BG63</f>
        <v>0</v>
      </c>
      <c r="BC58" s="239">
        <f>D58-BE58</f>
        <v>573.86</v>
      </c>
      <c r="BD58" s="238">
        <f>'cc2011-2015'!BD58</f>
        <v>0</v>
      </c>
      <c r="BE58" s="238">
        <f>Q58+E58+BD58</f>
        <v>173.85</v>
      </c>
      <c r="BF58" s="238">
        <f>BC60-BE58</f>
        <v>1719.27</v>
      </c>
      <c r="BG58" s="238">
        <f t="shared" si="15"/>
        <v>2466.98</v>
      </c>
      <c r="BH58" s="383">
        <f>'BIEN DONG'!AT45</f>
        <v>2544.6</v>
      </c>
      <c r="BI58" s="67">
        <f>'TONG TP'!BN63</f>
        <v>5714.7716399999981</v>
      </c>
      <c r="BJ58" s="67">
        <f t="shared" si="4"/>
        <v>-3247.7916399999981</v>
      </c>
      <c r="BK58" s="429">
        <f t="shared" si="5"/>
        <v>8.1729079322905367</v>
      </c>
      <c r="BL58" s="233">
        <f>271.99-BG58</f>
        <v>-2194.9899999999998</v>
      </c>
    </row>
    <row r="59" spans="1:64" s="67" customFormat="1" ht="24" customHeight="1">
      <c r="A59" s="377"/>
      <c r="B59" s="377" t="s">
        <v>501</v>
      </c>
      <c r="C59" s="377"/>
      <c r="D59" s="75">
        <f>E59+Q59+BC59</f>
        <v>4256.1100000000006</v>
      </c>
      <c r="E59" s="75">
        <f>F59+I59+J59+K59+L59+M59+N59+O59+P59</f>
        <v>2119.7300000000005</v>
      </c>
      <c r="F59" s="75">
        <f>'cc2011-2015'!F59</f>
        <v>204.71</v>
      </c>
      <c r="G59" s="75">
        <f>'cc2011-2015'!G59</f>
        <v>97.23</v>
      </c>
      <c r="H59" s="75">
        <f>'cc2011-2015'!H59</f>
        <v>107.48</v>
      </c>
      <c r="I59" s="75">
        <f>'cc2011-2015'!I59</f>
        <v>90.320000000000007</v>
      </c>
      <c r="J59" s="75">
        <f>'cc2011-2015'!J59</f>
        <v>660.17000000000007</v>
      </c>
      <c r="K59" s="75">
        <f>'cc2011-2015'!K59</f>
        <v>0</v>
      </c>
      <c r="L59" s="75">
        <f>'cc2011-2015'!L59</f>
        <v>11.18</v>
      </c>
      <c r="M59" s="75">
        <f>'cc2011-2015'!M59</f>
        <v>0</v>
      </c>
      <c r="N59" s="75">
        <f>'cc2011-2015'!N59</f>
        <v>1151.8400000000001</v>
      </c>
      <c r="O59" s="75">
        <f>'cc2011-2015'!O59</f>
        <v>0</v>
      </c>
      <c r="P59" s="75">
        <f>'cc2011-2015'!P59</f>
        <v>1.5099999999999998</v>
      </c>
      <c r="Q59" s="75">
        <f>'cc2011-2015'!Q59</f>
        <v>369.46999999999991</v>
      </c>
      <c r="R59" s="75">
        <f>'cc2011-2015'!R59</f>
        <v>0</v>
      </c>
      <c r="S59" s="75">
        <f>'cc2011-2015'!S59</f>
        <v>3.81</v>
      </c>
      <c r="T59" s="75">
        <f>'cc2011-2015'!T59</f>
        <v>0</v>
      </c>
      <c r="U59" s="75">
        <f>'cc2011-2015'!U59</f>
        <v>0</v>
      </c>
      <c r="V59" s="75">
        <f>'cc2011-2015'!V59</f>
        <v>0</v>
      </c>
      <c r="W59" s="75">
        <f>'cc2011-2015'!W59</f>
        <v>2.0099999999999998</v>
      </c>
      <c r="X59" s="75">
        <f>'cc2011-2015'!X59</f>
        <v>0</v>
      </c>
      <c r="Y59" s="75">
        <f>'cc2011-2015'!Y59</f>
        <v>0</v>
      </c>
      <c r="Z59" s="75">
        <f>'cc2011-2015'!Z59</f>
        <v>265.89999999999998</v>
      </c>
      <c r="AA59" s="75">
        <f>'cc2011-2015'!AA59</f>
        <v>0</v>
      </c>
      <c r="AB59" s="75">
        <f>'cc2011-2015'!AB59</f>
        <v>0</v>
      </c>
      <c r="AC59" s="75">
        <f>'cc2011-2015'!AC59</f>
        <v>1.57</v>
      </c>
      <c r="AD59" s="75">
        <f>'cc2011-2015'!AD59</f>
        <v>0</v>
      </c>
      <c r="AE59" s="75">
        <f>'cc2011-2015'!AE59</f>
        <v>0</v>
      </c>
      <c r="AF59" s="75">
        <f>'cc2011-2015'!AF59</f>
        <v>0</v>
      </c>
      <c r="AG59" s="75">
        <f>'cc2011-2015'!AG59</f>
        <v>247.69</v>
      </c>
      <c r="AH59" s="75">
        <f>'cc2011-2015'!AH59</f>
        <v>16.64</v>
      </c>
      <c r="AI59" s="75">
        <f>'cc2011-2015'!AI59</f>
        <v>0</v>
      </c>
      <c r="AJ59" s="75">
        <f>'cc2011-2015'!AJ59</f>
        <v>0</v>
      </c>
      <c r="AK59" s="75">
        <f>'cc2011-2015'!AK59</f>
        <v>0</v>
      </c>
      <c r="AL59" s="75">
        <f>'cc2011-2015'!AL59</f>
        <v>0</v>
      </c>
      <c r="AM59" s="75">
        <f>'cc2011-2015'!AM59</f>
        <v>0</v>
      </c>
      <c r="AN59" s="75">
        <f>'cc2011-2015'!AN59</f>
        <v>0</v>
      </c>
      <c r="AO59" s="75">
        <f>'cc2011-2015'!AO59</f>
        <v>0</v>
      </c>
      <c r="AP59" s="75">
        <f>'cc2011-2015'!AP59</f>
        <v>16.510000000000005</v>
      </c>
      <c r="AQ59" s="75">
        <f>'cc2011-2015'!AQ59</f>
        <v>0</v>
      </c>
      <c r="AR59" s="75">
        <f>'cc2011-2015'!AR59</f>
        <v>2.56</v>
      </c>
      <c r="AS59" s="75">
        <f>'cc2011-2015'!AS59</f>
        <v>0</v>
      </c>
      <c r="AT59" s="75">
        <f>'cc2011-2015'!AT59</f>
        <v>6.1800000000000006</v>
      </c>
      <c r="AU59" s="75">
        <f>'cc2011-2015'!AU59</f>
        <v>31.060000000000002</v>
      </c>
      <c r="AV59" s="75">
        <f>'cc2011-2015'!AV59</f>
        <v>25.45</v>
      </c>
      <c r="AW59" s="75">
        <f>'cc2011-2015'!AW59</f>
        <v>0</v>
      </c>
      <c r="AX59" s="75">
        <f>'cc2011-2015'!AX59</f>
        <v>0</v>
      </c>
      <c r="AY59" s="75">
        <f>'cc2011-2015'!AY59</f>
        <v>15.900000000000002</v>
      </c>
      <c r="AZ59" s="75">
        <f>'cc2011-2015'!AZ59</f>
        <v>0</v>
      </c>
      <c r="BA59" s="75">
        <f>'cc2011-2015'!BA59</f>
        <v>0</v>
      </c>
      <c r="BB59" s="75">
        <f>'cc2011-2015'!BB59</f>
        <v>0.09</v>
      </c>
      <c r="BC59" s="75">
        <f>'cc2011-2015'!BC59</f>
        <v>1766.9099999999999</v>
      </c>
      <c r="BD59" s="75"/>
      <c r="BE59" s="75"/>
      <c r="BF59" s="75"/>
      <c r="BG59" s="75"/>
    </row>
    <row r="60" spans="1:64" s="67" customFormat="1" ht="24" customHeight="1">
      <c r="A60" s="377"/>
      <c r="B60" s="377" t="s">
        <v>190</v>
      </c>
      <c r="C60" s="377"/>
      <c r="D60" s="75"/>
      <c r="E60" s="75">
        <f>E20+E58+E59</f>
        <v>2495.7500000000005</v>
      </c>
      <c r="F60" s="75">
        <f>F12+F13+F14+F15+F16+F18+F20+F58+F59+F17</f>
        <v>234.52</v>
      </c>
      <c r="G60" s="75">
        <f>G11+G12+G13+G14+G15+G16+G17+G18+G19+G20+G58+G59</f>
        <v>120.13</v>
      </c>
      <c r="H60" s="75">
        <f>H10+H12+H13+H14+H15+H16+H17+H18+H19+H20+H58+H59</f>
        <v>114.39</v>
      </c>
      <c r="I60" s="75">
        <f>I9+I14+I15+I16+I18+I20+I58+I13+I59+I19</f>
        <v>105.04</v>
      </c>
      <c r="J60" s="75">
        <f>J9+J12+J14+J15+J16+J18+J20+J58+J59+J19+J17</f>
        <v>662.16000000000008</v>
      </c>
      <c r="K60" s="75">
        <f>K9+K12+K13+K15+K16+K18+K20+K58+K59+K19+K17</f>
        <v>322.45</v>
      </c>
      <c r="L60" s="75">
        <f>L9+L12+L13+L14+L16+L18+L20+L58+L19+L17+L59</f>
        <v>11.18</v>
      </c>
      <c r="M60" s="75">
        <f>M9+M12+M13+M14+M15+M18+M20+M58+M59+M19+M17</f>
        <v>27.83</v>
      </c>
      <c r="N60" s="75">
        <f>N20+N18+N16+N15+N14+N13+N12+N9+N58+N59+N19</f>
        <v>1518.2400000000002</v>
      </c>
      <c r="O60" s="75">
        <f>O9+O12+O13+O20+O59</f>
        <v>0</v>
      </c>
      <c r="P60" s="75">
        <f>P9+P12+P13+P14+P15+P16+P20+P58+P17+P18+P59</f>
        <v>18.839999999999996</v>
      </c>
      <c r="Q60" s="75">
        <f>Q8+Q58+Q59</f>
        <v>1583.0699999999997</v>
      </c>
      <c r="R60" s="75">
        <f>R8+R22+R23+R24+R25+R26+R27+R28+R29+R51+R52+R53+R54+R57+R58+R55+R56+R41+R42+R43+R44+R45+R46+R47+R48+R49+R50+R59</f>
        <v>7.2799999999999994</v>
      </c>
      <c r="S60" s="75">
        <f>S8+S21+S23+S24+S25+S26+S27+S28+S29+S51+S52+S53+S54+S57+S58+S55+S56+S41+S42+S43+S44+S45+S46+S47+S48+S49+S50+S59</f>
        <v>4.47</v>
      </c>
      <c r="T60" s="75">
        <f>T8+T21+T22+T24+T25+T26+T27+T28+T29+T51+T52+T53+T54+T57+T58+T55+T56+T41+T42+T43+T44+T45+T46+T47+T48+T49+T50+T59</f>
        <v>38.219999999999992</v>
      </c>
      <c r="U60" s="75">
        <f>U8+U21+U22+U23+U25+U26+U27+U28+U29+U51+U52+U53+U54+U57+U58+U55+U56+U41+U42+U43+U44+U45+U46+U47+U48+U49+U50+U59</f>
        <v>0</v>
      </c>
      <c r="V60" s="75">
        <f>V8+V21+V22+V23+V24+V26+V27+V28+V29+V51+V52+V53+V54+V57+V58+V55+V56+V41+V42+V43+V44+V45+V46+V47+V48+V49+V50+V59</f>
        <v>199.79</v>
      </c>
      <c r="W60" s="75">
        <f>W8+W21+W22+W23+W24+W25+W27+W28+W29+W51+W52+W53+W54+W57+W58+W55+W56+W41+W42+W43+W44+W45+W46+W47+W48+W49+W50+W59</f>
        <v>104.75000000000001</v>
      </c>
      <c r="X60" s="75">
        <f>X8+X21+X22+X23+X24+X25+X26+X28+X29+X51+X52+X53+X54+X57+X58+X55+X56+X41+X42+X43+X44+X45+X46+X47+X48+X49+X50+X59</f>
        <v>285.92</v>
      </c>
      <c r="Y60" s="75">
        <f>Y8+Y21+Y22+Y23+Y24+Y25+Y26+Y27+Y29+Y51+Y52+Y53+Y54+Y57+Y58+Y55+Y56+Y41+Y42+Y43+Y44+Y45+Y46+Y47+Y48+Y49+Y50+Y59</f>
        <v>0</v>
      </c>
      <c r="Z60" s="75">
        <f>Z8+Z21+Z22+Z23+Z24+Z25+Z26+Z27+Z28+Z51+Z52+Z53+Z54+Z57+Z58+Z55+Z56+Z41+Z42+Z43+Z44+Z45+Z46+Z47+Z48+Z49+Z50+Z59</f>
        <v>644.67999999999984</v>
      </c>
      <c r="AA60" s="75">
        <f>AA8+AA21+AA22+AA23+AA24+AA25+AA26+AA27+AA28+AA31+AA32+AA33+AA36+AA37+AA38+AA39+AA40+AA41+AA43+AA44+AA45+AA46+AA47+AA48+AA49+AA50+AA51+AA52+AA53+AA54+AA55+AA56+AA57+AA58+AA59</f>
        <v>1.7100000000000002</v>
      </c>
      <c r="AB60" s="75">
        <f>AB8+AB21+AB22+AB23+AB24+AB25+AB26+AB27+AB28+AB30+AB32+AB33+AB36+AB37+AB38+AB39+AB40+AB41+AB43+AB44+AB45+AB46+AB47+AB48+AB49+AB50+AB51+AB52+AB53+AB54+AB55+AB56+AB57+AB58+AB59</f>
        <v>3.66</v>
      </c>
      <c r="AC60" s="75">
        <f>AC8+AC21+AC22+AC23+AC24+AC25+AC26+AC27+AC28+AC31+AC30+AC33+AC36+AC37+AC38+AC39+AC40+AC41+AC43+AC44+AC45+AC46+AC47+AC48+AC49+AC50+AC51+AC52+AC53+AC54+AC55+AC56+AC57+AC58+AC59</f>
        <v>26.200000000000003</v>
      </c>
      <c r="AD60" s="75">
        <f>AD8+AD21+AD22+AD23+AD24+AD25+AD26+AD27+AD28+AD31+AD32+AD30+AD36+AD37+AD38+AD39+AD40+AD41+AD43+AD44+AD45+AD46+AD47+AD48+AD49+AD50+AD51+AD52+AD53+AD54+AD55+AD56+AD57+AD58+AD59</f>
        <v>1.06</v>
      </c>
      <c r="AE60" s="75">
        <f>AE8+AE21+AE22+AE23+AE24+AE25+AE26+AE27+AE28+AE31+AE32+AE30+AE36+AE37+AE38+AE39+AE40+AE41+AE43+AE44+AE45+AE46+AE47+AE48+AE49+AE50+AE51+AE52+AE53+AE54+AE55+AE56+AE57+AE58+AE59</f>
        <v>0</v>
      </c>
      <c r="AF60" s="75">
        <f t="shared" ref="AF60" si="23">AF8+AF21+AF22+AF23+AF24+AF25+AF26+AF27+AF28+AF31+AF32+AF33+AF36+AF37+AF38+AF39+AF40+AF41+AF43+AF44+AF45+AF46+AF47+AF48+AF49+AF50+AF51+AF52+AF53+AF54+AF55+AF56+AF57+AF58+AF59</f>
        <v>0</v>
      </c>
      <c r="AG60" s="75">
        <f>AG8+AG21+AG22+AG23+AG24+AG25+AG26+AG27+AG28+AG31+AG32+AG33+AG30+AG37+AG38+AG39+AG40+AG41+AG43+AG44+AG45+AG46+AG47+AG48+AG49+AG50+AG51+AG52+AG53+AG54+AG55+AG56+AG57+AG58+AG59</f>
        <v>573.92999999999995</v>
      </c>
      <c r="AH60" s="75">
        <f>AH8+AH21+AH22+AH23+AH24+AH25+AH26+AH27+AH28+AH31+AH32+AH33+AH36+AH30+AH38+AH39+AH40+AH41+AH43+AH44+AH45+AH46+AH47+AH48+AH49+AH50+AH51+AH52+AH53+AH54+AH55+AH56+AH57+AH58+AH59</f>
        <v>39.96</v>
      </c>
      <c r="AI60" s="75">
        <f>AI8+AI21+AI22+AI23+AI24+AI25+AI26+AI27+AI28+AI31+AI32+AI33+AI36+AI37+AI30+AI39+AI40+AI41+AI43+AI44+AI45+AI46+AI47+AI48+AI49+AI50+AI51+AI52+AI53+AI54+AI55+AI56+AI57+AI58+AI59</f>
        <v>0.02</v>
      </c>
      <c r="AJ60" s="75">
        <f>AJ8+AJ21+AJ22+AJ23+AJ24+AJ25+AJ26+AJ27+AJ28+AJ31+AJ32+AJ33+AJ36+AJ37+AJ38+AJ30+AJ40+AJ41+AJ43+AJ44+AJ45+AJ46+AJ47+AJ48+AJ49+AJ50+AJ51+AJ52+AJ53+AJ54+AJ55+AJ56+AJ57+AJ58+AJ59</f>
        <v>0.02</v>
      </c>
      <c r="AK60" s="75">
        <f>AK8+AK21+AK22+AK23+AK24+AK25+AK26+AK27+AK28+AK31+AK32+AK33+AK36+AK37+AK38+AK39+AK30+AK41+AK43+AK44+AK45+AK46+AK47+AK48+AK49+AK50+AK51+AK52+AK53+AK54+AK55+AK56+AK57+AK58+AK59</f>
        <v>3.91</v>
      </c>
      <c r="AL60" s="75">
        <f>AL8+AL21+AL22+AL23+AL24+AL25+AL26+AL27+AL28+AL51+AL52+AL53+AL54+AL57+AL58+AL55+AL56+AL29+AL42+AL43+AL44+AL45+AL46+AL47+AL48+AL49+AL50+AL59</f>
        <v>0</v>
      </c>
      <c r="AM60" s="75">
        <f>AM8+AM21+AM22+AM23+AM24+AM25+AM26+AM27+AM28+AM51+AM52+AM53+AM54+AM57+AM58+AM55+AM56+AM29+AM41+AM43+AM44+AM45+AM46+AM47+AM48+AM49+AM50+AM59</f>
        <v>0</v>
      </c>
      <c r="AN60" s="75">
        <f>AN8+AN21+AN22+AN23+AN24+AN25+AN26+AN27+AN28+AN51+AN52+AN53+AN54+AN57+AN58+AN55+AN56+AN29+AN41+AN42+AN44+AN45+AN46+AN47+AN48+AN49+AN50+AN59</f>
        <v>11.64</v>
      </c>
      <c r="AO60" s="75">
        <f>AO8+AO21+AO22+AO23+AO24+AO25+AO26+AO27+AO28+AO51+AO52+AO53+AO54+AO57+AO58+AO55+AO56+AO29+AO41+AO42+AO43+AO45+AO46+AO47+AO48+AO49+AO50+AO59</f>
        <v>26.46</v>
      </c>
      <c r="AP60" s="75">
        <f>AP8+AP21+AP22+AP23+AP24+AP25+AP26+AP27+AP28+AP51+AP52+AP53+AP54+AP57+AP58+AP55+AP56+AP29+AP41+AP42+AP43+AP44+AP46+AP47+AP48+AP49+AP50+AP59</f>
        <v>535.81000000000006</v>
      </c>
      <c r="AQ60" s="75">
        <f>AQ8+AQ21+AQ22+AQ23+AQ24+AQ25+AQ26+AQ27+AQ28+AQ51+AQ52+AQ53+AQ54+AQ57+AQ58+AQ55+AQ56+AQ29+AQ41+AQ42+AQ43+AQ44+AQ45+AQ47+AQ48+AQ49+AQ50+AQ59</f>
        <v>19.860000000000003</v>
      </c>
      <c r="AR60" s="75">
        <f>AR8+AR21+AR22+AR23+AR24+AR25+AR26+AR27+AR28+AR51+AR52+AR53+AR54+AR57+AR58+AR55+AR56+AR29+AR41+AR42+AR43+AR44+AR45+AR46+AR48+AR49+AR50+AR59</f>
        <v>2.56</v>
      </c>
      <c r="AS60" s="75">
        <f>AS8+AS21+AS22+AS23+AS24+AS25+AS26+AS27+AS28+AS51+AS52+AS53+AS54+AS57+AS58+AS55+AS56+AS29+AS41+AS42+AS43+AS44+AS45+AS46+AS47+AS49+AS50+AS59</f>
        <v>0</v>
      </c>
      <c r="AT60" s="75">
        <f>AT8+AT21+AT22+AT23+AT24+AT25+AT26+AT27+AT28+AT51+AT52+AT53+AT54+AT57+AT58+AT55+AT56+AT29+AT41+AT42+AT43+AT44+AT45+AT46+AT47+AT48+AT50+AT59</f>
        <v>8.81</v>
      </c>
      <c r="AU60" s="75">
        <f>AU8+AU21+AU22+AU23+AU24+AU25+AU26+AU27+AU28+AU51+AU52+AU53+AU54+AU57+AU58+AU55+AU56+AU29+AU41+AU42+AU43+AU44+AU45+AU46+AU47+AU48+AU49+AU59</f>
        <v>34.68</v>
      </c>
      <c r="AV60" s="75">
        <f>AV8+AV21+AV22+AV23+AV24+AV25+AV26+AV27+AV28+AV50+AV52+AV53+AV54+AV57+AV58+AV55+AV56+AV29+AV41+AV42+AV43+AV44+AV45+AV46+AV47+AV48+AV49+AV59</f>
        <v>325.9199999999999</v>
      </c>
      <c r="AW60" s="75">
        <f>AW8+AW21+AW22+AW23+AW24+AW25+AW26+AW27+AW28+AW29+AW41+AW42+AW43+AW44+AW45+AW46+AW47+AW48+AW49+AW50+AW51+AW53+AW54+AW55+AW56+AW57+AW58+AW59</f>
        <v>9.91</v>
      </c>
      <c r="AX60" s="75">
        <f>AX8+AX21+AX22+AX23+AX24+AX25+AX26+AX27+AX28+AX50+AX51+AX52+AX54+AX57+AX58+AX55+AX56+AX29+AX41+AX42+AX43+AX44+AX45+AX46+AX47+AX48+AX49+AX59</f>
        <v>17.95</v>
      </c>
      <c r="AY60" s="75">
        <f>AY8+AY21+AY22+AY23+AY24+AY25+AY26+AY27+AY28+AY50+AY51+AY52+AY53+AY57+AY58+AY55+AY56+AY29+AY41+AY42+AY43+AY44+AY45+AY46+AY47+AY48+AY49+AY59</f>
        <v>15.960000000000003</v>
      </c>
      <c r="AZ60" s="75">
        <f>AZ8+AZ21+AZ22+AZ23+AZ24+AZ25+AZ26+AZ27+AZ28+AZ50+AZ51+AZ52+AZ53+AZ57+AZ58+AZ54+AZ56+AZ29+AZ41+AZ42+AZ43+AZ44+AZ45+AZ46+AZ47+AZ48+AZ49+AZ59</f>
        <v>0</v>
      </c>
      <c r="BA60" s="75">
        <f>BA8+BA21+BA22+BA23+BA24+BA25+BA26+BA27+BA28+BA50+BA51+BA52+BA53+BA57+BA58+BA54+BA55+BA29+BA41+BA42+BA43+BA44+BA45+BA46+BA47+BA48+BA49+BA59</f>
        <v>5.51</v>
      </c>
      <c r="BB60" s="75">
        <f>BB8+BB21+BB22+BB23+BB24+BB25+BB26+BB27+BB28+BB50+BB51+BB52+BB53+BB56+BB58+BB54+BB55+BB29+BB41+BB42+BB43+BB44+BB45+BB46+BB47+BB48+BB49+BB59</f>
        <v>0.09</v>
      </c>
      <c r="BC60" s="75">
        <f>BC8+BC20+BC59</f>
        <v>1893.12</v>
      </c>
      <c r="BD60" s="75"/>
      <c r="BE60" s="75"/>
      <c r="BF60" s="75"/>
      <c r="BG60" s="75"/>
      <c r="BK60" s="247"/>
    </row>
    <row r="61" spans="1:64" s="67" customFormat="1" ht="27.75" customHeight="1">
      <c r="A61" s="377"/>
      <c r="B61" s="377" t="s">
        <v>366</v>
      </c>
      <c r="C61" s="377"/>
      <c r="D61" s="75">
        <f>BG7</f>
        <v>30218.16</v>
      </c>
      <c r="E61" s="75">
        <f>BG8</f>
        <v>18977.63</v>
      </c>
      <c r="F61" s="75">
        <f>BG9</f>
        <v>5148.01</v>
      </c>
      <c r="G61" s="75">
        <f>BG10</f>
        <v>4898.01</v>
      </c>
      <c r="H61" s="75">
        <f>BG11</f>
        <v>250</v>
      </c>
      <c r="I61" s="75">
        <f>BG12</f>
        <v>352.81</v>
      </c>
      <c r="J61" s="75">
        <f>BG13</f>
        <v>1426.9900000000002</v>
      </c>
      <c r="K61" s="75">
        <f>BG14</f>
        <v>1116.3700000000001</v>
      </c>
      <c r="L61" s="75">
        <f>BG15</f>
        <v>34.18</v>
      </c>
      <c r="M61" s="75">
        <f>BG16</f>
        <v>1528.52</v>
      </c>
      <c r="N61" s="75">
        <f>BG17</f>
        <v>9336.66</v>
      </c>
      <c r="O61" s="75">
        <f>BG18</f>
        <v>0</v>
      </c>
      <c r="P61" s="75">
        <f>BG19</f>
        <v>34.089999999999996</v>
      </c>
      <c r="Q61" s="75">
        <f>BG20</f>
        <v>8773.5500000000011</v>
      </c>
      <c r="R61" s="75">
        <f>BG21</f>
        <v>128.93</v>
      </c>
      <c r="S61" s="75">
        <f>BG22</f>
        <v>4.84</v>
      </c>
      <c r="T61" s="75">
        <f>BG23</f>
        <v>48.590000000000032</v>
      </c>
      <c r="U61" s="75">
        <f>BG24</f>
        <v>0</v>
      </c>
      <c r="V61" s="75">
        <f>BG25</f>
        <v>199.79</v>
      </c>
      <c r="W61" s="75">
        <f>BG26</f>
        <v>101.28000000000002</v>
      </c>
      <c r="X61" s="75">
        <f>BG27</f>
        <v>461.01000000000005</v>
      </c>
      <c r="Y61" s="75">
        <f>BG28</f>
        <v>0</v>
      </c>
      <c r="Z61" s="75">
        <f>BG29</f>
        <v>1845.61</v>
      </c>
      <c r="AA61" s="75">
        <f>BG30</f>
        <v>2.8100000000000014</v>
      </c>
      <c r="AB61" s="75">
        <f>BG31</f>
        <v>13.19</v>
      </c>
      <c r="AC61" s="75">
        <f>BG32</f>
        <v>138.47999999999999</v>
      </c>
      <c r="AD61" s="75">
        <f>BG33</f>
        <v>10.870000000000001</v>
      </c>
      <c r="AE61" s="75">
        <f>BG34</f>
        <v>0</v>
      </c>
      <c r="AF61" s="75">
        <f>BG35</f>
        <v>0</v>
      </c>
      <c r="AG61" s="75">
        <f>BG36</f>
        <v>1145.8899999999999</v>
      </c>
      <c r="AH61" s="75">
        <f>BG37</f>
        <v>520.76</v>
      </c>
      <c r="AI61" s="75">
        <f>BG38</f>
        <v>1.67</v>
      </c>
      <c r="AJ61" s="75">
        <f>BG39</f>
        <v>0.48000000000000004</v>
      </c>
      <c r="AK61" s="75">
        <f>BG40</f>
        <v>11.46</v>
      </c>
      <c r="AL61" s="75">
        <f>BG41</f>
        <v>7.59</v>
      </c>
      <c r="AM61" s="75">
        <f>BG42</f>
        <v>0</v>
      </c>
      <c r="AN61" s="75">
        <f>BG43</f>
        <v>16.04</v>
      </c>
      <c r="AO61" s="75">
        <f>BG44</f>
        <v>518.43000000000006</v>
      </c>
      <c r="AP61" s="75">
        <f>BG45</f>
        <v>621.99</v>
      </c>
      <c r="AQ61" s="75">
        <f>BG46</f>
        <v>28.210000000000004</v>
      </c>
      <c r="AR61" s="75">
        <f>BG47</f>
        <v>6.0600000000000005</v>
      </c>
      <c r="AS61" s="75">
        <f>BG48</f>
        <v>0</v>
      </c>
      <c r="AT61" s="75">
        <f>BG49</f>
        <v>19.86</v>
      </c>
      <c r="AU61" s="75">
        <f>BG50</f>
        <v>154.04</v>
      </c>
      <c r="AV61" s="75">
        <f>BG51</f>
        <v>424.50999999999988</v>
      </c>
      <c r="AW61" s="75">
        <f>BG52</f>
        <v>9.3000000000000007</v>
      </c>
      <c r="AX61" s="75">
        <f>BG53</f>
        <v>17.95</v>
      </c>
      <c r="AY61" s="75">
        <f>BG54</f>
        <v>22.71</v>
      </c>
      <c r="AZ61" s="75">
        <f>BG55</f>
        <v>4014.3700000000003</v>
      </c>
      <c r="BA61" s="75">
        <f>BG56</f>
        <v>122.35000000000002</v>
      </c>
      <c r="BB61" s="75">
        <f>BG57</f>
        <v>0.09</v>
      </c>
      <c r="BC61" s="75">
        <f>BG58</f>
        <v>2466.98</v>
      </c>
      <c r="BD61" s="75"/>
      <c r="BE61" s="75"/>
      <c r="BF61" s="75"/>
      <c r="BG61" s="75"/>
    </row>
    <row r="62" spans="1:64" hidden="1">
      <c r="AO62" s="211">
        <f>AO59+AO60</f>
        <v>26.46</v>
      </c>
    </row>
    <row r="63" spans="1:64" hidden="1">
      <c r="D63" s="177">
        <f>D58*100/D7</f>
        <v>2.3797270463803457</v>
      </c>
      <c r="Z63" s="211">
        <f>Z21+Z27+Z43+Z44+Z45+Z46+Z47+Z50+Z52+Z55+Z56</f>
        <v>53.37</v>
      </c>
      <c r="AC63" s="211">
        <f>AC36+AC37+AC44+AC45+AC47+AC52+AC55</f>
        <v>1.1000000000000001</v>
      </c>
      <c r="AD63" s="211">
        <f>AD36+AD37+AD44+AD55</f>
        <v>0.11</v>
      </c>
      <c r="AG63" s="211">
        <f>AG20-AG36</f>
        <v>56.949999999999932</v>
      </c>
      <c r="AL63" s="211">
        <f>AL29+AL45+AL50+AL54+AL55</f>
        <v>0</v>
      </c>
    </row>
    <row r="64" spans="1:64" hidden="1">
      <c r="E64" s="211">
        <f>F59+I59+J59+K59+L59+M59+N59+P59</f>
        <v>2119.7300000000005</v>
      </c>
      <c r="W64" s="211">
        <f>W21+W27+W29+W50+W55+W56</f>
        <v>16.86</v>
      </c>
      <c r="X64" s="211">
        <f>X25+X29+X44+X50+X54+X55</f>
        <v>121.79</v>
      </c>
      <c r="AO64" s="211">
        <f>AP21+AP27+AP29+AP47+AP52+AP55+AP58</f>
        <v>16.72</v>
      </c>
    </row>
    <row r="65" spans="2:60" hidden="1">
      <c r="BH65" s="248">
        <f>BK7-D63</f>
        <v>97.730626326255276</v>
      </c>
    </row>
    <row r="66" spans="2:60" hidden="1">
      <c r="X66" s="177">
        <f>X25+X29+X50+X54+X55</f>
        <v>121.7</v>
      </c>
      <c r="Z66" s="177">
        <f>Z21+Z27+Z43+Z44+Z45+Z46+Z47+Z50+Z52+Z55+Z56</f>
        <v>53.37</v>
      </c>
      <c r="AC66" s="177">
        <f>SUM(AC36:AC55)</f>
        <v>1.1800000000000002</v>
      </c>
      <c r="AL66" s="177">
        <f>AL36+AL37+AL45+AL50+AL54+AL55</f>
        <v>0</v>
      </c>
      <c r="AO66" s="177">
        <f>AO32+AO36+AO43+AO55</f>
        <v>2.08</v>
      </c>
      <c r="AU66" s="177">
        <f>AU29+AU44+AU56</f>
        <v>0</v>
      </c>
    </row>
    <row r="67" spans="2:60" hidden="1">
      <c r="AD67" s="177">
        <f>AD36+AD37+AD44+AD55</f>
        <v>0.11</v>
      </c>
      <c r="AG67" s="177">
        <f>AG27+AG30+AG32+AG37+AG38+AG44+AG45+AG46+AG50+AG52+AG55+AG56</f>
        <v>52.96</v>
      </c>
      <c r="AH67" s="177">
        <f>AH27+AH36+AH55</f>
        <v>1.37</v>
      </c>
      <c r="AP67" s="177">
        <f>AP21+AP27+AP29+AP44+AP47+AP52+AP55</f>
        <v>455.35</v>
      </c>
    </row>
    <row r="68" spans="2:60" hidden="1"/>
    <row r="70" spans="2:60">
      <c r="Q70" s="177"/>
    </row>
    <row r="71" spans="2:60">
      <c r="W71" s="177">
        <f>W27+W29+W50+W51+W55+W56</f>
        <v>15.850000000000001</v>
      </c>
      <c r="Z71" s="177">
        <f>Z21+Z27+Z43+Z44+Z45+Z46+Z47+Z50+Z52+Z55+Z56</f>
        <v>53.37</v>
      </c>
      <c r="AC71" s="177">
        <f>AC36+AC37+AC44+AC45+AC47+AC52+AC55</f>
        <v>1.1000000000000001</v>
      </c>
      <c r="AG71" s="177">
        <f>AG30+AG27+AG32+AG37+AG38+AG44+AG45+AG46+AG50+AG52+AG55+AG56</f>
        <v>52.96</v>
      </c>
      <c r="AH71" s="177">
        <f>AH27+AH36+AH55</f>
        <v>1.37</v>
      </c>
    </row>
    <row r="72" spans="2:60">
      <c r="X72" s="177">
        <f>X25+X29+X44+X50+X54+X55</f>
        <v>121.79</v>
      </c>
      <c r="AL72" s="177">
        <f>AL29+AL45+AL50+AL54+AL55</f>
        <v>0</v>
      </c>
      <c r="AO72" s="177">
        <f>AO32+AO43+AO36+AO55</f>
        <v>2.08</v>
      </c>
      <c r="AP72" s="177">
        <f>AP21+AP27+AP29+AP44+AP47+AP52+AP55</f>
        <v>455.35</v>
      </c>
    </row>
    <row r="73" spans="2:60">
      <c r="B73" s="177"/>
      <c r="BA73" s="177">
        <f>Q55-AZ55</f>
        <v>39.659999999999854</v>
      </c>
    </row>
  </sheetData>
  <mergeCells count="12">
    <mergeCell ref="BF4:BF5"/>
    <mergeCell ref="BG4:BG5"/>
    <mergeCell ref="A1:B1"/>
    <mergeCell ref="A2:BG2"/>
    <mergeCell ref="BF3:BG3"/>
    <mergeCell ref="A4:A5"/>
    <mergeCell ref="B4:B5"/>
    <mergeCell ref="C4:C5"/>
    <mergeCell ref="D4:D5"/>
    <mergeCell ref="E4:BC4"/>
    <mergeCell ref="BD4:BD5"/>
    <mergeCell ref="BE4:BE5"/>
  </mergeCells>
  <pageMargins left="1.02" right="0.45" top="0.4" bottom="0.4" header="0.3" footer="0.3"/>
  <pageSetup paperSize="286" scale="65" orientation="landscape" r:id="rId1"/>
  <legacy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1:F216"/>
  <sheetViews>
    <sheetView topLeftCell="B6" workbookViewId="0">
      <selection activeCell="E25" sqref="E25"/>
    </sheetView>
  </sheetViews>
  <sheetFormatPr defaultRowHeight="12.75"/>
  <cols>
    <col min="1" max="1" width="7" customWidth="1"/>
    <col min="2" max="2" width="25.140625" customWidth="1"/>
    <col min="3" max="3" width="11.85546875" customWidth="1"/>
    <col min="4" max="4" width="13.7109375" customWidth="1"/>
    <col min="5" max="5" width="14.42578125" customWidth="1"/>
    <col min="6" max="6" width="13.42578125" customWidth="1"/>
  </cols>
  <sheetData>
    <row r="1" spans="1:6">
      <c r="A1" s="1300" t="s">
        <v>431</v>
      </c>
      <c r="B1" s="1300"/>
    </row>
    <row r="2" spans="1:6" ht="23.25" customHeight="1">
      <c r="A2" s="1300" t="s">
        <v>446</v>
      </c>
      <c r="B2" s="1300"/>
      <c r="C2" s="1300"/>
      <c r="D2" s="1300"/>
      <c r="E2" s="1300"/>
      <c r="F2" s="1300"/>
    </row>
    <row r="3" spans="1:6" ht="18.75" customHeight="1">
      <c r="A3" s="1300" t="s">
        <v>138</v>
      </c>
      <c r="B3" s="1300"/>
      <c r="C3" s="1300"/>
      <c r="D3" s="1300"/>
      <c r="E3" s="1300"/>
      <c r="F3" s="1300"/>
    </row>
    <row r="4" spans="1:6" ht="51" customHeight="1">
      <c r="A4" t="s">
        <v>368</v>
      </c>
      <c r="B4" t="s">
        <v>369</v>
      </c>
      <c r="C4" t="s">
        <v>373</v>
      </c>
      <c r="D4" t="s">
        <v>371</v>
      </c>
      <c r="E4" t="s">
        <v>372</v>
      </c>
      <c r="F4" t="s">
        <v>366</v>
      </c>
    </row>
    <row r="5" spans="1:6" ht="18" customHeight="1">
      <c r="A5" t="s">
        <v>235</v>
      </c>
      <c r="B5" t="s">
        <v>376</v>
      </c>
      <c r="C5">
        <f>'Bac Son'!D35</f>
        <v>0</v>
      </c>
      <c r="D5">
        <f>'Bac Son'!AF67</f>
        <v>0</v>
      </c>
      <c r="E5">
        <f>'Bac Son'!BL35</f>
        <v>0</v>
      </c>
      <c r="F5">
        <f>C5+D5-E5</f>
        <v>0</v>
      </c>
    </row>
    <row r="6" spans="1:6" ht="18" customHeight="1">
      <c r="A6" t="s">
        <v>236</v>
      </c>
      <c r="B6" t="s">
        <v>377</v>
      </c>
      <c r="C6">
        <f>'Hai Son'!D35</f>
        <v>0</v>
      </c>
      <c r="D6">
        <f>'Hai Son'!AF67</f>
        <v>0</v>
      </c>
      <c r="E6">
        <f>'Hai Son'!BL35</f>
        <v>0</v>
      </c>
      <c r="F6">
        <f t="shared" ref="F6:F23" si="0">C6+D6-E6</f>
        <v>0</v>
      </c>
    </row>
    <row r="7" spans="1:6" ht="18" customHeight="1">
      <c r="A7" t="s">
        <v>237</v>
      </c>
      <c r="B7" t="s">
        <v>378</v>
      </c>
      <c r="C7">
        <f>'Quang Nghia'!D35</f>
        <v>0.22</v>
      </c>
      <c r="D7">
        <f>'Quang Nghia'!AF67</f>
        <v>0</v>
      </c>
      <c r="E7">
        <f>'Quang Nghia'!BL35</f>
        <v>0</v>
      </c>
      <c r="F7">
        <f t="shared" si="0"/>
        <v>0.22</v>
      </c>
    </row>
    <row r="8" spans="1:6" ht="18" customHeight="1">
      <c r="A8" t="s">
        <v>238</v>
      </c>
      <c r="B8" t="s">
        <v>379</v>
      </c>
      <c r="C8">
        <f>'Hai Dong'!D35</f>
        <v>0.23</v>
      </c>
      <c r="D8">
        <f>'Hai Dong'!AF67</f>
        <v>0</v>
      </c>
      <c r="E8">
        <f>'Hai Dong'!BL35</f>
        <v>0</v>
      </c>
      <c r="F8">
        <f t="shared" si="0"/>
        <v>0.23</v>
      </c>
    </row>
    <row r="9" spans="1:6" ht="18" customHeight="1">
      <c r="A9" t="s">
        <v>239</v>
      </c>
      <c r="B9" t="s">
        <v>380</v>
      </c>
      <c r="C9">
        <f>'Hai Tien'!D35</f>
        <v>0.6</v>
      </c>
      <c r="D9">
        <f>'Hai Tien'!AF67</f>
        <v>0</v>
      </c>
      <c r="E9">
        <f>'Hai Tien'!BL35</f>
        <v>0</v>
      </c>
      <c r="F9">
        <f t="shared" si="0"/>
        <v>0.6</v>
      </c>
    </row>
    <row r="10" spans="1:6" ht="18" customHeight="1">
      <c r="A10" t="s">
        <v>240</v>
      </c>
      <c r="B10" t="s">
        <v>381</v>
      </c>
      <c r="C10">
        <f>'Hai Xuan'!D35</f>
        <v>4.9850000000000003</v>
      </c>
      <c r="D10">
        <f>'Hai Xuan'!AF67</f>
        <v>0</v>
      </c>
      <c r="E10">
        <f>'Hai Xuan'!BL35</f>
        <v>0</v>
      </c>
      <c r="F10">
        <f t="shared" si="0"/>
        <v>4.9850000000000003</v>
      </c>
    </row>
    <row r="11" spans="1:6" ht="18" customHeight="1">
      <c r="A11" t="s">
        <v>241</v>
      </c>
      <c r="B11" t="s">
        <v>382</v>
      </c>
      <c r="C11">
        <f>'Van Ninh'!D35</f>
        <v>0</v>
      </c>
      <c r="D11">
        <f>'Van Ninh'!AF68</f>
        <v>0</v>
      </c>
      <c r="E11">
        <f>'Van Ninh'!BL35</f>
        <v>0</v>
      </c>
      <c r="F11">
        <f t="shared" si="0"/>
        <v>0</v>
      </c>
    </row>
    <row r="12" spans="1:6" ht="18" customHeight="1">
      <c r="A12" t="s">
        <v>242</v>
      </c>
      <c r="B12" t="s">
        <v>383</v>
      </c>
      <c r="C12">
        <f>'Vinh Trung'!D35</f>
        <v>0.08</v>
      </c>
      <c r="D12">
        <f>'Vinh Trung'!AF68</f>
        <v>0</v>
      </c>
      <c r="E12">
        <f>'Vinh Trung'!BL35</f>
        <v>0</v>
      </c>
      <c r="F12">
        <f t="shared" si="0"/>
        <v>0.08</v>
      </c>
    </row>
    <row r="13" spans="1:6" ht="18" customHeight="1">
      <c r="A13" t="s">
        <v>243</v>
      </c>
      <c r="B13" t="s">
        <v>384</v>
      </c>
      <c r="C13">
        <f>'Vinh Thuc'!D35</f>
        <v>0.08</v>
      </c>
      <c r="D13">
        <f>'Vinh Thuc'!AF67</f>
        <v>0</v>
      </c>
      <c r="E13">
        <f>'Vinh Thuc'!BL35</f>
        <v>0</v>
      </c>
      <c r="F13">
        <f t="shared" si="0"/>
        <v>0.08</v>
      </c>
    </row>
    <row r="14" spans="1:6" ht="18" customHeight="1">
      <c r="A14" t="s">
        <v>244</v>
      </c>
      <c r="B14" t="s">
        <v>385</v>
      </c>
      <c r="C14">
        <f>'Hai Yen'!D35</f>
        <v>1.1200000000000001</v>
      </c>
      <c r="D14">
        <f>'Hai Yen'!AF68</f>
        <v>0.31000000000000005</v>
      </c>
      <c r="E14">
        <f>'Hai Yen'!BL35</f>
        <v>0.04</v>
      </c>
      <c r="F14">
        <f t="shared" si="0"/>
        <v>1.3900000000000001</v>
      </c>
    </row>
    <row r="15" spans="1:6" ht="18" customHeight="1">
      <c r="A15" t="s">
        <v>245</v>
      </c>
      <c r="B15" t="s">
        <v>386</v>
      </c>
      <c r="C15">
        <f>'Ka Long'!D35</f>
        <v>0.39500000000000002</v>
      </c>
      <c r="D15">
        <f>'Ka Long'!AF67</f>
        <v>0</v>
      </c>
      <c r="E15">
        <f>'Ka Long'!BL35</f>
        <v>0</v>
      </c>
      <c r="F15">
        <f t="shared" si="0"/>
        <v>0.39500000000000002</v>
      </c>
    </row>
    <row r="16" spans="1:6" ht="18" customHeight="1">
      <c r="A16" t="s">
        <v>246</v>
      </c>
      <c r="B16" t="s">
        <v>387</v>
      </c>
      <c r="C16">
        <f>'Ninh Duong'!D35</f>
        <v>0</v>
      </c>
      <c r="D16">
        <f>'Ninh Duong'!AF67</f>
        <v>0.58000000000000007</v>
      </c>
      <c r="E16">
        <f>'Ninh Duong'!BL35</f>
        <v>0</v>
      </c>
      <c r="F16">
        <f t="shared" si="0"/>
        <v>0.58000000000000007</v>
      </c>
    </row>
    <row r="17" spans="1:6" ht="18" customHeight="1">
      <c r="A17" t="s">
        <v>247</v>
      </c>
      <c r="B17" t="s">
        <v>388</v>
      </c>
      <c r="C17">
        <f>'Hoa Lac'!D35</f>
        <v>2.35</v>
      </c>
      <c r="D17">
        <f>'Hoa Lac'!AF67</f>
        <v>0</v>
      </c>
      <c r="E17">
        <f>'Hoa Lac'!BL35</f>
        <v>0</v>
      </c>
      <c r="F17">
        <f t="shared" si="0"/>
        <v>2.35</v>
      </c>
    </row>
    <row r="18" spans="1:6" ht="18" customHeight="1">
      <c r="A18" t="s">
        <v>248</v>
      </c>
      <c r="B18" t="s">
        <v>389</v>
      </c>
      <c r="C18">
        <f>'Tran Phu'!D35</f>
        <v>0.05</v>
      </c>
      <c r="D18">
        <f>'Tran Phu'!AF67</f>
        <v>0</v>
      </c>
      <c r="E18">
        <f>'Tran Phu'!BL35</f>
        <v>0</v>
      </c>
      <c r="F18">
        <f t="shared" si="0"/>
        <v>0.05</v>
      </c>
    </row>
    <row r="19" spans="1:6" ht="18" customHeight="1">
      <c r="A19" t="s">
        <v>249</v>
      </c>
      <c r="B19" t="s">
        <v>390</v>
      </c>
      <c r="C19">
        <f>'Hai Hoa'!D35</f>
        <v>0.08</v>
      </c>
      <c r="D19">
        <f>'Hai Hoa'!AF67</f>
        <v>0.82000000000000006</v>
      </c>
      <c r="E19">
        <f>'Hai Hoa'!BL35</f>
        <v>0.01</v>
      </c>
      <c r="F19">
        <f t="shared" si="0"/>
        <v>0.89</v>
      </c>
    </row>
    <row r="20" spans="1:6" ht="18" customHeight="1">
      <c r="A20" t="s">
        <v>250</v>
      </c>
      <c r="B20" t="s">
        <v>391</v>
      </c>
      <c r="C20">
        <f>'Tra Co'!D35</f>
        <v>5.64</v>
      </c>
      <c r="D20">
        <f>'Tra Co'!AF67</f>
        <v>0</v>
      </c>
      <c r="E20">
        <f>'Tra Co'!BL35</f>
        <v>0.16</v>
      </c>
      <c r="F20">
        <f t="shared" si="0"/>
        <v>5.4799999999999995</v>
      </c>
    </row>
    <row r="21" spans="1:6" ht="18" customHeight="1">
      <c r="A21" t="s">
        <v>251</v>
      </c>
      <c r="B21" t="s">
        <v>392</v>
      </c>
      <c r="C21">
        <f>'Binh Ngoc'!D35</f>
        <v>0.6</v>
      </c>
      <c r="D21">
        <f>'Binh Ngoc'!AF67</f>
        <v>0</v>
      </c>
      <c r="E21">
        <f>'Binh Ngoc'!BL35</f>
        <v>0</v>
      </c>
      <c r="F21">
        <f t="shared" si="0"/>
        <v>0.6</v>
      </c>
    </row>
    <row r="22" spans="1:6" ht="18" customHeight="1">
      <c r="A22" t="s">
        <v>252</v>
      </c>
      <c r="B22" t="s">
        <v>393</v>
      </c>
      <c r="C22">
        <f>'Lien vị'!D35</f>
        <v>0</v>
      </c>
      <c r="D22">
        <f>'Lien vị'!AF67</f>
        <v>0</v>
      </c>
      <c r="E22">
        <f>'Lien vị'!BL35</f>
        <v>0</v>
      </c>
      <c r="F22">
        <f t="shared" si="0"/>
        <v>0</v>
      </c>
    </row>
    <row r="23" spans="1:6" ht="18" customHeight="1">
      <c r="A23" t="s">
        <v>253</v>
      </c>
      <c r="B23" t="s">
        <v>394</v>
      </c>
      <c r="C23">
        <f>'Tien Phong'!D35</f>
        <v>0</v>
      </c>
      <c r="D23">
        <f>'Tien Phong'!AF67</f>
        <v>0</v>
      </c>
      <c r="E23">
        <f>'Tien Phong'!BL35</f>
        <v>0</v>
      </c>
      <c r="F23">
        <f t="shared" si="0"/>
        <v>0</v>
      </c>
    </row>
    <row r="24" spans="1:6" ht="24" customHeight="1">
      <c r="B24" t="s">
        <v>370</v>
      </c>
      <c r="C24">
        <f>SUM(C5:C23)</f>
        <v>16.430000000000003</v>
      </c>
      <c r="D24">
        <f>SUM(D5:D23)</f>
        <v>1.7100000000000002</v>
      </c>
      <c r="E24">
        <f>SUM(E5:E23)</f>
        <v>0.21000000000000002</v>
      </c>
      <c r="F24">
        <f>SUM(F5:F23)</f>
        <v>17.930000000000003</v>
      </c>
    </row>
    <row r="25" spans="1:6">
      <c r="A25" s="1300" t="s">
        <v>431</v>
      </c>
      <c r="B25" s="1300"/>
    </row>
    <row r="26" spans="1:6" ht="23.25" customHeight="1">
      <c r="A26" s="1300" t="s">
        <v>447</v>
      </c>
      <c r="B26" s="1300"/>
      <c r="C26" s="1300"/>
      <c r="D26" s="1300"/>
      <c r="E26" s="1300"/>
      <c r="F26" s="1300"/>
    </row>
    <row r="27" spans="1:6" ht="18.75" customHeight="1">
      <c r="A27" s="1300" t="s">
        <v>138</v>
      </c>
      <c r="B27" s="1300"/>
      <c r="C27" s="1300"/>
      <c r="D27" s="1300"/>
      <c r="E27" s="1300"/>
      <c r="F27" s="1300"/>
    </row>
    <row r="28" spans="1:6" ht="51" customHeight="1">
      <c r="A28" t="s">
        <v>368</v>
      </c>
      <c r="B28" t="s">
        <v>369</v>
      </c>
      <c r="C28" t="s">
        <v>373</v>
      </c>
      <c r="D28" t="s">
        <v>371</v>
      </c>
      <c r="E28" t="s">
        <v>372</v>
      </c>
      <c r="F28" t="s">
        <v>366</v>
      </c>
    </row>
    <row r="29" spans="1:6" ht="18" customHeight="1">
      <c r="A29" t="s">
        <v>235</v>
      </c>
      <c r="B29" t="s">
        <v>376</v>
      </c>
      <c r="C29">
        <f>'Bac Son'!D36</f>
        <v>0.25</v>
      </c>
      <c r="D29">
        <f>'Bac Son'!AG67</f>
        <v>0</v>
      </c>
      <c r="E29">
        <f>'Bac Son'!BL36</f>
        <v>0</v>
      </c>
      <c r="F29">
        <f>C29+D29-E29</f>
        <v>0.25</v>
      </c>
    </row>
    <row r="30" spans="1:6" ht="18" customHeight="1">
      <c r="A30" t="s">
        <v>236</v>
      </c>
      <c r="B30" t="s">
        <v>377</v>
      </c>
      <c r="C30">
        <f>'Hai Son'!D36</f>
        <v>0.2</v>
      </c>
      <c r="D30">
        <f>'Hai Son'!AG67</f>
        <v>0</v>
      </c>
      <c r="E30">
        <f>'Hai Son'!BL36</f>
        <v>0</v>
      </c>
      <c r="F30">
        <f t="shared" ref="F30:F47" si="1">C30+D30-E30</f>
        <v>0.2</v>
      </c>
    </row>
    <row r="31" spans="1:6" ht="18" customHeight="1">
      <c r="A31" t="s">
        <v>237</v>
      </c>
      <c r="B31" t="s">
        <v>378</v>
      </c>
      <c r="C31">
        <f>'Quang Nghia'!D36</f>
        <v>0.12</v>
      </c>
      <c r="D31">
        <f>'Quang Nghia'!AG67</f>
        <v>0</v>
      </c>
      <c r="E31">
        <f>'Quang Nghia'!BL36</f>
        <v>0</v>
      </c>
      <c r="F31">
        <f t="shared" si="1"/>
        <v>0.12</v>
      </c>
    </row>
    <row r="32" spans="1:6" ht="18" customHeight="1">
      <c r="A32" t="s">
        <v>238</v>
      </c>
      <c r="B32" t="s">
        <v>379</v>
      </c>
      <c r="C32">
        <f>'Hai Dong'!D36</f>
        <v>0.16</v>
      </c>
      <c r="D32">
        <f>'Hai Dong'!AG67</f>
        <v>0</v>
      </c>
      <c r="E32">
        <f>'Hai Dong'!BL36</f>
        <v>0</v>
      </c>
      <c r="F32">
        <f t="shared" si="1"/>
        <v>0.16</v>
      </c>
    </row>
    <row r="33" spans="1:6" ht="18" customHeight="1">
      <c r="A33" t="s">
        <v>239</v>
      </c>
      <c r="B33" t="s">
        <v>380</v>
      </c>
      <c r="C33">
        <f>'Hai Tien'!D36</f>
        <v>0.08</v>
      </c>
      <c r="D33">
        <f>'Hai Tien'!AG67</f>
        <v>0</v>
      </c>
      <c r="E33">
        <f>'Hai Tien'!BL36</f>
        <v>0</v>
      </c>
      <c r="F33">
        <f t="shared" si="1"/>
        <v>0.08</v>
      </c>
    </row>
    <row r="34" spans="1:6" ht="18" customHeight="1">
      <c r="A34" t="s">
        <v>240</v>
      </c>
      <c r="B34" t="s">
        <v>381</v>
      </c>
      <c r="C34">
        <f>'Hai Xuan'!D36</f>
        <v>0.08</v>
      </c>
      <c r="D34">
        <f>'Hai Xuan'!AG67</f>
        <v>0</v>
      </c>
      <c r="E34">
        <f>'Hai Xuan'!BL36</f>
        <v>0</v>
      </c>
      <c r="F34">
        <f t="shared" si="1"/>
        <v>0.08</v>
      </c>
    </row>
    <row r="35" spans="1:6" ht="18" customHeight="1">
      <c r="A35" t="s">
        <v>241</v>
      </c>
      <c r="B35" t="s">
        <v>382</v>
      </c>
      <c r="C35">
        <f>'Van Ninh'!D36</f>
        <v>0.1</v>
      </c>
      <c r="D35">
        <f>'Van Ninh'!AG68</f>
        <v>0</v>
      </c>
      <c r="E35">
        <f>'Van Ninh'!BL36</f>
        <v>0</v>
      </c>
      <c r="F35">
        <f t="shared" si="1"/>
        <v>0.1</v>
      </c>
    </row>
    <row r="36" spans="1:6" ht="18" customHeight="1">
      <c r="A36" t="s">
        <v>242</v>
      </c>
      <c r="B36" t="s">
        <v>383</v>
      </c>
      <c r="C36">
        <f>'Vinh Trung'!D36</f>
        <v>0.13</v>
      </c>
      <c r="D36">
        <f>'Vinh Trung'!AG68</f>
        <v>0</v>
      </c>
      <c r="E36">
        <f>'Vinh Trung'!BL36</f>
        <v>0</v>
      </c>
      <c r="F36">
        <f t="shared" si="1"/>
        <v>0.13</v>
      </c>
    </row>
    <row r="37" spans="1:6" ht="18" customHeight="1">
      <c r="A37" t="s">
        <v>243</v>
      </c>
      <c r="B37" t="s">
        <v>384</v>
      </c>
      <c r="C37">
        <f>'Vinh Thuc'!D36</f>
        <v>0.2</v>
      </c>
      <c r="D37">
        <f>'Vinh Thuc'!AG67</f>
        <v>0</v>
      </c>
      <c r="E37">
        <f>'Vinh Thuc'!BL36</f>
        <v>0</v>
      </c>
      <c r="F37">
        <f t="shared" si="1"/>
        <v>0.2</v>
      </c>
    </row>
    <row r="38" spans="1:6" ht="18" customHeight="1">
      <c r="A38" t="s">
        <v>244</v>
      </c>
      <c r="B38" t="s">
        <v>385</v>
      </c>
      <c r="C38">
        <f>'Hai Yen'!D36</f>
        <v>0.18</v>
      </c>
      <c r="D38">
        <f>'Hai Yen'!AG68</f>
        <v>0</v>
      </c>
      <c r="E38">
        <f>'Hai Yen'!BL36</f>
        <v>0</v>
      </c>
      <c r="F38">
        <f t="shared" si="1"/>
        <v>0.18</v>
      </c>
    </row>
    <row r="39" spans="1:6" ht="18" customHeight="1">
      <c r="A39" t="s">
        <v>245</v>
      </c>
      <c r="B39" t="s">
        <v>386</v>
      </c>
      <c r="C39">
        <f>'Ka Long'!D36</f>
        <v>0.03</v>
      </c>
      <c r="D39">
        <f>'Ka Long'!AG67</f>
        <v>0</v>
      </c>
      <c r="E39">
        <f>'Ka Long'!BL36</f>
        <v>0</v>
      </c>
      <c r="F39">
        <f t="shared" si="1"/>
        <v>0.03</v>
      </c>
    </row>
    <row r="40" spans="1:6" ht="18" customHeight="1">
      <c r="A40" t="s">
        <v>246</v>
      </c>
      <c r="B40" t="s">
        <v>387</v>
      </c>
      <c r="C40">
        <f>'Ninh Duong'!D36</f>
        <v>5.7237</v>
      </c>
      <c r="D40">
        <f>'Ninh Duong'!AG67</f>
        <v>0</v>
      </c>
      <c r="E40">
        <f>'Ninh Duong'!BL36</f>
        <v>0</v>
      </c>
      <c r="F40">
        <f t="shared" si="1"/>
        <v>5.7237</v>
      </c>
    </row>
    <row r="41" spans="1:6" ht="18" customHeight="1">
      <c r="A41" t="s">
        <v>247</v>
      </c>
      <c r="B41" t="s">
        <v>388</v>
      </c>
      <c r="C41">
        <f>'Hoa Lac'!D36</f>
        <v>0.02</v>
      </c>
      <c r="D41">
        <f>'Hoa Lac'!AG67</f>
        <v>0</v>
      </c>
      <c r="E41">
        <f>'Hoa Lac'!BL36</f>
        <v>0</v>
      </c>
      <c r="F41">
        <f t="shared" si="1"/>
        <v>0.02</v>
      </c>
    </row>
    <row r="42" spans="1:6" ht="18" customHeight="1">
      <c r="A42" t="s">
        <v>248</v>
      </c>
      <c r="B42" t="s">
        <v>389</v>
      </c>
      <c r="C42">
        <f>'Tran Phu'!D36</f>
        <v>0.1</v>
      </c>
      <c r="D42">
        <f>'Tran Phu'!AG67</f>
        <v>0</v>
      </c>
      <c r="E42">
        <f>'Tran Phu'!BL36</f>
        <v>0</v>
      </c>
      <c r="F42">
        <f t="shared" si="1"/>
        <v>0.1</v>
      </c>
    </row>
    <row r="43" spans="1:6" ht="18" customHeight="1">
      <c r="A43" t="s">
        <v>249</v>
      </c>
      <c r="B43" t="s">
        <v>390</v>
      </c>
      <c r="C43">
        <f>'Hai Hoa'!D36</f>
        <v>0.25</v>
      </c>
      <c r="D43">
        <f>'Hai Hoa'!AG67</f>
        <v>0</v>
      </c>
      <c r="E43">
        <f>'Hai Hoa'!BL36</f>
        <v>0</v>
      </c>
      <c r="F43">
        <f t="shared" si="1"/>
        <v>0.25</v>
      </c>
    </row>
    <row r="44" spans="1:6" ht="18" customHeight="1">
      <c r="A44" t="s">
        <v>250</v>
      </c>
      <c r="B44" t="s">
        <v>391</v>
      </c>
      <c r="C44">
        <f>'Tra Co'!D36</f>
        <v>0.18</v>
      </c>
      <c r="D44">
        <f>'Tra Co'!AG67</f>
        <v>0</v>
      </c>
      <c r="E44">
        <f>'Tra Co'!BL36</f>
        <v>0</v>
      </c>
      <c r="F44">
        <f t="shared" si="1"/>
        <v>0.18</v>
      </c>
    </row>
    <row r="45" spans="1:6" ht="18" customHeight="1">
      <c r="A45" t="s">
        <v>251</v>
      </c>
      <c r="B45" t="s">
        <v>392</v>
      </c>
      <c r="C45">
        <f>'Binh Ngoc'!D36</f>
        <v>0.13</v>
      </c>
      <c r="D45">
        <f>'Binh Ngoc'!AG67</f>
        <v>0</v>
      </c>
      <c r="E45">
        <f>'Binh Ngoc'!BL36</f>
        <v>0</v>
      </c>
      <c r="F45">
        <f t="shared" si="1"/>
        <v>0.13</v>
      </c>
    </row>
    <row r="46" spans="1:6" ht="18" customHeight="1">
      <c r="A46" t="s">
        <v>252</v>
      </c>
      <c r="B46" t="s">
        <v>393</v>
      </c>
      <c r="C46">
        <f>'Lien vị'!D36</f>
        <v>0</v>
      </c>
      <c r="D46">
        <f>'Lien vị'!AG67</f>
        <v>0</v>
      </c>
      <c r="E46">
        <f>'Lien vị'!BL36</f>
        <v>0</v>
      </c>
      <c r="F46">
        <f t="shared" si="1"/>
        <v>0</v>
      </c>
    </row>
    <row r="47" spans="1:6" ht="18" customHeight="1">
      <c r="A47" t="s">
        <v>253</v>
      </c>
      <c r="B47" t="s">
        <v>394</v>
      </c>
      <c r="C47">
        <f>'Tien Phong'!D36</f>
        <v>0</v>
      </c>
      <c r="D47">
        <f>'Tien Phong'!AG67</f>
        <v>0</v>
      </c>
      <c r="E47">
        <f>'Tien Phong'!BL36</f>
        <v>0</v>
      </c>
      <c r="F47">
        <f t="shared" si="1"/>
        <v>0</v>
      </c>
    </row>
    <row r="48" spans="1:6" ht="24" customHeight="1">
      <c r="B48" t="s">
        <v>370</v>
      </c>
      <c r="C48">
        <f>SUM(C29:C47)</f>
        <v>7.9336999999999991</v>
      </c>
      <c r="D48">
        <f>SUM(D29:D47)</f>
        <v>0</v>
      </c>
      <c r="E48">
        <f>SUM(E29:E47)</f>
        <v>0</v>
      </c>
      <c r="F48">
        <f>SUM(F29:F47)</f>
        <v>7.9336999999999991</v>
      </c>
    </row>
    <row r="49" spans="1:6">
      <c r="A49" s="1300" t="s">
        <v>431</v>
      </c>
      <c r="B49" s="1300"/>
    </row>
    <row r="50" spans="1:6" ht="23.25" customHeight="1">
      <c r="A50" s="1300" t="s">
        <v>448</v>
      </c>
      <c r="B50" s="1300"/>
      <c r="C50" s="1300"/>
      <c r="D50" s="1300"/>
      <c r="E50" s="1300"/>
      <c r="F50" s="1300"/>
    </row>
    <row r="51" spans="1:6" ht="18.75" customHeight="1">
      <c r="A51" s="1300" t="s">
        <v>138</v>
      </c>
      <c r="B51" s="1300"/>
      <c r="C51" s="1300"/>
      <c r="D51" s="1300"/>
      <c r="E51" s="1300"/>
      <c r="F51" s="1300"/>
    </row>
    <row r="52" spans="1:6" ht="51" customHeight="1">
      <c r="A52" t="s">
        <v>368</v>
      </c>
      <c r="B52" t="s">
        <v>369</v>
      </c>
      <c r="C52" t="s">
        <v>373</v>
      </c>
      <c r="D52" t="s">
        <v>371</v>
      </c>
      <c r="E52" t="s">
        <v>372</v>
      </c>
      <c r="F52" t="s">
        <v>366</v>
      </c>
    </row>
    <row r="53" spans="1:6" ht="18" customHeight="1">
      <c r="A53" t="s">
        <v>235</v>
      </c>
      <c r="B53" t="s">
        <v>376</v>
      </c>
      <c r="C53">
        <f>'Bac Son'!D37</f>
        <v>2.1495000000000002</v>
      </c>
      <c r="D53">
        <f>'Bac Son'!AH67</f>
        <v>0</v>
      </c>
      <c r="E53">
        <f>'Bac Son'!BL37</f>
        <v>0.37</v>
      </c>
      <c r="F53">
        <f>C53+D53-E53</f>
        <v>1.7795000000000001</v>
      </c>
    </row>
    <row r="54" spans="1:6" ht="18" customHeight="1">
      <c r="A54" t="s">
        <v>236</v>
      </c>
      <c r="B54" t="s">
        <v>377</v>
      </c>
      <c r="C54">
        <f>'Hai Son'!D37</f>
        <v>2.2867100000000002</v>
      </c>
      <c r="D54">
        <f>'Hai Son'!AH67</f>
        <v>0</v>
      </c>
      <c r="E54">
        <f>'Hai Son'!BL37</f>
        <v>0.15</v>
      </c>
      <c r="F54">
        <f t="shared" ref="F54:F71" si="2">C54+D54-E54</f>
        <v>2.1367100000000003</v>
      </c>
    </row>
    <row r="55" spans="1:6" ht="18" customHeight="1">
      <c r="A55" t="s">
        <v>237</v>
      </c>
      <c r="B55" t="s">
        <v>378</v>
      </c>
      <c r="C55">
        <f>'Quang Nghia'!D37</f>
        <v>3.33</v>
      </c>
      <c r="D55">
        <f>'Quang Nghia'!AH67</f>
        <v>0</v>
      </c>
      <c r="E55">
        <f>'Quang Nghia'!BL37</f>
        <v>0</v>
      </c>
      <c r="F55">
        <f t="shared" si="2"/>
        <v>3.33</v>
      </c>
    </row>
    <row r="56" spans="1:6" ht="18" customHeight="1">
      <c r="A56" t="s">
        <v>238</v>
      </c>
      <c r="B56" t="s">
        <v>379</v>
      </c>
      <c r="C56">
        <f>'Hai Dong'!D37</f>
        <v>3.77</v>
      </c>
      <c r="D56">
        <f>'Hai Dong'!AH67</f>
        <v>0</v>
      </c>
      <c r="E56">
        <f>'Hai Dong'!BL37</f>
        <v>0.03</v>
      </c>
      <c r="F56">
        <f t="shared" si="2"/>
        <v>3.74</v>
      </c>
    </row>
    <row r="57" spans="1:6" ht="18" customHeight="1">
      <c r="A57" t="s">
        <v>239</v>
      </c>
      <c r="B57" t="s">
        <v>380</v>
      </c>
      <c r="C57">
        <f>'Hai Tien'!D37</f>
        <v>5.32</v>
      </c>
      <c r="D57">
        <f>'Hai Tien'!AH67</f>
        <v>0</v>
      </c>
      <c r="E57">
        <f>'Hai Tien'!BL37</f>
        <v>0.32</v>
      </c>
      <c r="F57">
        <f t="shared" si="2"/>
        <v>5</v>
      </c>
    </row>
    <row r="58" spans="1:6" ht="18" customHeight="1">
      <c r="A58" t="s">
        <v>240</v>
      </c>
      <c r="B58" t="s">
        <v>381</v>
      </c>
      <c r="C58">
        <f>'Hai Xuan'!D37</f>
        <v>3.56</v>
      </c>
      <c r="D58">
        <f>'Hai Xuan'!AH67</f>
        <v>0</v>
      </c>
      <c r="E58">
        <f>'Hai Xuan'!BL37</f>
        <v>0.37</v>
      </c>
      <c r="F58">
        <f t="shared" si="2"/>
        <v>3.19</v>
      </c>
    </row>
    <row r="59" spans="1:6" ht="18" customHeight="1">
      <c r="A59" t="s">
        <v>241</v>
      </c>
      <c r="B59" t="s">
        <v>382</v>
      </c>
      <c r="C59">
        <f>'Van Ninh'!D37</f>
        <v>3.81</v>
      </c>
      <c r="D59">
        <f>'Van Ninh'!AH68</f>
        <v>0</v>
      </c>
      <c r="E59">
        <f>'Van Ninh'!BL37</f>
        <v>0.15</v>
      </c>
      <c r="F59">
        <f t="shared" si="2"/>
        <v>3.66</v>
      </c>
    </row>
    <row r="60" spans="1:6" ht="18" customHeight="1">
      <c r="A60" t="s">
        <v>242</v>
      </c>
      <c r="B60" t="s">
        <v>383</v>
      </c>
      <c r="C60">
        <f>'Vinh Trung'!D37</f>
        <v>1.37</v>
      </c>
      <c r="D60">
        <f>'Vinh Trung'!AH68</f>
        <v>0</v>
      </c>
      <c r="E60">
        <f>'Vinh Trung'!BL37</f>
        <v>0</v>
      </c>
      <c r="F60">
        <f t="shared" si="2"/>
        <v>1.37</v>
      </c>
    </row>
    <row r="61" spans="1:6" ht="18" customHeight="1">
      <c r="A61" t="s">
        <v>243</v>
      </c>
      <c r="B61" t="s">
        <v>384</v>
      </c>
      <c r="C61">
        <f>'Vinh Thuc'!D37</f>
        <v>1.74</v>
      </c>
      <c r="D61">
        <f>'Vinh Thuc'!AH67</f>
        <v>0</v>
      </c>
      <c r="E61">
        <f>'Vinh Thuc'!BL37</f>
        <v>0</v>
      </c>
      <c r="F61">
        <f t="shared" si="2"/>
        <v>1.74</v>
      </c>
    </row>
    <row r="62" spans="1:6" ht="18" customHeight="1">
      <c r="A62" t="s">
        <v>244</v>
      </c>
      <c r="B62" t="s">
        <v>385</v>
      </c>
      <c r="C62">
        <f>'Hai Yen'!D37</f>
        <v>14.77</v>
      </c>
      <c r="D62">
        <f>'Hai Yen'!AH68</f>
        <v>4.6899999999999995</v>
      </c>
      <c r="E62">
        <f>'Hai Yen'!BL37</f>
        <v>0.05</v>
      </c>
      <c r="F62">
        <f t="shared" si="2"/>
        <v>19.41</v>
      </c>
    </row>
    <row r="63" spans="1:6" ht="18" customHeight="1">
      <c r="A63" t="s">
        <v>245</v>
      </c>
      <c r="B63" t="s">
        <v>386</v>
      </c>
      <c r="C63">
        <f>'Ka Long'!D37</f>
        <v>5.71</v>
      </c>
      <c r="D63">
        <f>'Ka Long'!AH67</f>
        <v>0</v>
      </c>
      <c r="E63">
        <f>'Ka Long'!BL37</f>
        <v>0</v>
      </c>
      <c r="F63">
        <f t="shared" si="2"/>
        <v>5.71</v>
      </c>
    </row>
    <row r="64" spans="1:6" ht="18" customHeight="1">
      <c r="A64" t="s">
        <v>246</v>
      </c>
      <c r="B64" t="s">
        <v>387</v>
      </c>
      <c r="C64">
        <f>'Ninh Duong'!D37</f>
        <v>7.7</v>
      </c>
      <c r="D64">
        <f>'Ninh Duong'!AH67</f>
        <v>0.63000000000000012</v>
      </c>
      <c r="E64">
        <f>'Ninh Duong'!BL37</f>
        <v>0.45</v>
      </c>
      <c r="F64">
        <f t="shared" si="2"/>
        <v>7.88</v>
      </c>
    </row>
    <row r="65" spans="1:6" ht="18" customHeight="1">
      <c r="A65" t="s">
        <v>247</v>
      </c>
      <c r="B65" t="s">
        <v>388</v>
      </c>
      <c r="C65">
        <f>'Hoa Lac'!D37</f>
        <v>1.95</v>
      </c>
      <c r="D65">
        <f>'Hoa Lac'!AH67</f>
        <v>0</v>
      </c>
      <c r="E65">
        <f>'Hoa Lac'!BL37</f>
        <v>0</v>
      </c>
      <c r="F65">
        <f t="shared" si="2"/>
        <v>1.95</v>
      </c>
    </row>
    <row r="66" spans="1:6" ht="18" customHeight="1">
      <c r="A66" t="s">
        <v>248</v>
      </c>
      <c r="B66" t="s">
        <v>389</v>
      </c>
      <c r="C66">
        <f>'Tran Phu'!D37</f>
        <v>3.36</v>
      </c>
      <c r="D66">
        <f>'Tran Phu'!AH67</f>
        <v>0</v>
      </c>
      <c r="E66">
        <f>'Tran Phu'!BL37</f>
        <v>0</v>
      </c>
      <c r="F66">
        <f t="shared" si="2"/>
        <v>3.36</v>
      </c>
    </row>
    <row r="67" spans="1:6" ht="18" customHeight="1">
      <c r="A67" t="s">
        <v>249</v>
      </c>
      <c r="B67" t="s">
        <v>390</v>
      </c>
      <c r="C67">
        <f>'Hai Hoa'!D37</f>
        <v>6.17</v>
      </c>
      <c r="D67">
        <f>'Hai Hoa'!AH67</f>
        <v>0</v>
      </c>
      <c r="E67">
        <f>'Hai Hoa'!BL37</f>
        <v>0</v>
      </c>
      <c r="F67">
        <f t="shared" si="2"/>
        <v>6.17</v>
      </c>
    </row>
    <row r="68" spans="1:6" ht="18" customHeight="1">
      <c r="A68" t="s">
        <v>250</v>
      </c>
      <c r="B68" t="s">
        <v>391</v>
      </c>
      <c r="C68">
        <f>'Tra Co'!D37</f>
        <v>2.5499999999999998</v>
      </c>
      <c r="D68">
        <f>'Tra Co'!AH67</f>
        <v>0</v>
      </c>
      <c r="E68">
        <f>'Tra Co'!BL37</f>
        <v>0.05</v>
      </c>
      <c r="F68">
        <f t="shared" si="2"/>
        <v>2.5</v>
      </c>
    </row>
    <row r="69" spans="1:6" ht="18" customHeight="1">
      <c r="A69" t="s">
        <v>251</v>
      </c>
      <c r="B69" t="s">
        <v>392</v>
      </c>
      <c r="C69">
        <f>'Binh Ngoc'!D37</f>
        <v>2.4300000000000002</v>
      </c>
      <c r="D69">
        <f>'Binh Ngoc'!AH67</f>
        <v>1.34</v>
      </c>
      <c r="E69">
        <f>'Binh Ngoc'!BL37</f>
        <v>0.24</v>
      </c>
      <c r="F69">
        <f t="shared" si="2"/>
        <v>3.5300000000000002</v>
      </c>
    </row>
    <row r="70" spans="1:6" ht="18" customHeight="1">
      <c r="A70" t="s">
        <v>252</v>
      </c>
      <c r="B70" t="s">
        <v>393</v>
      </c>
      <c r="C70">
        <f>'Lien vị'!D37</f>
        <v>0</v>
      </c>
      <c r="D70">
        <f>'Lien vị'!AH67</f>
        <v>0</v>
      </c>
      <c r="E70">
        <f>'Lien vị'!BL37</f>
        <v>0</v>
      </c>
      <c r="F70">
        <f t="shared" si="2"/>
        <v>0</v>
      </c>
    </row>
    <row r="71" spans="1:6" ht="18" customHeight="1">
      <c r="A71" t="s">
        <v>253</v>
      </c>
      <c r="B71" t="s">
        <v>394</v>
      </c>
      <c r="C71">
        <f>'Tien Phong'!D37</f>
        <v>0</v>
      </c>
      <c r="D71">
        <f>'Tien Phong'!AH67</f>
        <v>0</v>
      </c>
      <c r="E71">
        <f>'Tien Phong'!BL37</f>
        <v>0</v>
      </c>
      <c r="F71">
        <f t="shared" si="2"/>
        <v>0</v>
      </c>
    </row>
    <row r="72" spans="1:6" ht="24" customHeight="1">
      <c r="B72" t="s">
        <v>370</v>
      </c>
      <c r="C72">
        <f>SUM(C53:C71)</f>
        <v>71.976210000000009</v>
      </c>
      <c r="D72">
        <f>SUM(D53:D71)</f>
        <v>6.6599999999999993</v>
      </c>
      <c r="E72">
        <f>SUM(E53:E71)</f>
        <v>2.1800000000000002</v>
      </c>
      <c r="F72">
        <f>SUM(F53:F71)</f>
        <v>76.456210000000013</v>
      </c>
    </row>
    <row r="73" spans="1:6">
      <c r="A73" s="1300" t="s">
        <v>431</v>
      </c>
      <c r="B73" s="1300"/>
    </row>
    <row r="74" spans="1:6" ht="23.25" customHeight="1">
      <c r="A74" s="1300" t="s">
        <v>449</v>
      </c>
      <c r="B74" s="1300"/>
      <c r="C74" s="1300"/>
      <c r="D74" s="1300"/>
      <c r="E74" s="1300"/>
      <c r="F74" s="1300"/>
    </row>
    <row r="75" spans="1:6" ht="18.75" customHeight="1">
      <c r="A75" s="1300" t="s">
        <v>138</v>
      </c>
      <c r="B75" s="1300"/>
      <c r="C75" s="1300"/>
      <c r="D75" s="1300"/>
      <c r="E75" s="1300"/>
      <c r="F75" s="1300"/>
    </row>
    <row r="76" spans="1:6" ht="51" customHeight="1">
      <c r="A76" t="s">
        <v>368</v>
      </c>
      <c r="B76" t="s">
        <v>369</v>
      </c>
      <c r="C76" t="s">
        <v>373</v>
      </c>
      <c r="D76" t="s">
        <v>371</v>
      </c>
      <c r="E76" t="s">
        <v>372</v>
      </c>
      <c r="F76" t="s">
        <v>366</v>
      </c>
    </row>
    <row r="77" spans="1:6" ht="18" customHeight="1">
      <c r="A77" t="s">
        <v>235</v>
      </c>
      <c r="B77" t="s">
        <v>376</v>
      </c>
      <c r="C77">
        <f>'Bac Son'!D38</f>
        <v>0.55000000000000004</v>
      </c>
      <c r="D77">
        <f>'Bac Son'!AI67</f>
        <v>0.21000000000000002</v>
      </c>
      <c r="E77">
        <f>'Bac Son'!BL38</f>
        <v>0</v>
      </c>
      <c r="F77">
        <f>C77+D77-E77</f>
        <v>0.76</v>
      </c>
    </row>
    <row r="78" spans="1:6" ht="18" customHeight="1">
      <c r="A78" t="s">
        <v>236</v>
      </c>
      <c r="B78" t="s">
        <v>377</v>
      </c>
      <c r="C78">
        <f>'Hai Son'!D38</f>
        <v>0.49</v>
      </c>
      <c r="D78">
        <f>'Hai Son'!AI67</f>
        <v>0</v>
      </c>
      <c r="E78">
        <f>'Hai Son'!BL38</f>
        <v>0</v>
      </c>
      <c r="F78">
        <f t="shared" ref="F78:F95" si="3">C78+D78-E78</f>
        <v>0.49</v>
      </c>
    </row>
    <row r="79" spans="1:6" ht="18" customHeight="1">
      <c r="A79" t="s">
        <v>237</v>
      </c>
      <c r="B79" t="s">
        <v>378</v>
      </c>
      <c r="C79">
        <f>'Quang Nghia'!D38</f>
        <v>1.0794999999999999</v>
      </c>
      <c r="D79">
        <f>'Quang Nghia'!AI67</f>
        <v>0</v>
      </c>
      <c r="E79">
        <f>'Quang Nghia'!BL38</f>
        <v>0</v>
      </c>
      <c r="F79">
        <f t="shared" si="3"/>
        <v>1.0794999999999999</v>
      </c>
    </row>
    <row r="80" spans="1:6" ht="18" customHeight="1">
      <c r="A80" t="s">
        <v>238</v>
      </c>
      <c r="B80" t="s">
        <v>379</v>
      </c>
      <c r="C80">
        <f>'Hai Dong'!D38</f>
        <v>1.92</v>
      </c>
      <c r="D80">
        <f>'Hai Dong'!AI67</f>
        <v>0</v>
      </c>
      <c r="E80">
        <f>'Hai Dong'!BL38</f>
        <v>0</v>
      </c>
      <c r="F80">
        <f t="shared" si="3"/>
        <v>1.92</v>
      </c>
    </row>
    <row r="81" spans="1:6" ht="18" customHeight="1">
      <c r="A81" t="s">
        <v>239</v>
      </c>
      <c r="B81" t="s">
        <v>380</v>
      </c>
      <c r="C81">
        <f>'Hai Tien'!D38</f>
        <v>1.57</v>
      </c>
      <c r="D81">
        <f>'Hai Tien'!AI67</f>
        <v>0</v>
      </c>
      <c r="E81">
        <f>'Hai Tien'!BL38</f>
        <v>0</v>
      </c>
      <c r="F81">
        <f t="shared" si="3"/>
        <v>1.57</v>
      </c>
    </row>
    <row r="82" spans="1:6" ht="18" customHeight="1">
      <c r="A82" t="s">
        <v>240</v>
      </c>
      <c r="B82" t="s">
        <v>381</v>
      </c>
      <c r="C82">
        <f>'Hai Xuan'!D38</f>
        <v>0.01</v>
      </c>
      <c r="D82">
        <f>'Hai Xuan'!AI67</f>
        <v>0</v>
      </c>
      <c r="E82">
        <f>'Hai Xuan'!BL38</f>
        <v>0</v>
      </c>
      <c r="F82">
        <f t="shared" si="3"/>
        <v>0.01</v>
      </c>
    </row>
    <row r="83" spans="1:6" ht="18" customHeight="1">
      <c r="A83" t="s">
        <v>241</v>
      </c>
      <c r="B83" t="s">
        <v>382</v>
      </c>
      <c r="C83">
        <f>'Van Ninh'!D38</f>
        <v>2.0499999999999998</v>
      </c>
      <c r="D83">
        <f>'Van Ninh'!AI68</f>
        <v>0</v>
      </c>
      <c r="E83">
        <f>'Van Ninh'!BL38</f>
        <v>0</v>
      </c>
      <c r="F83">
        <f t="shared" si="3"/>
        <v>2.0499999999999998</v>
      </c>
    </row>
    <row r="84" spans="1:6" ht="18" customHeight="1">
      <c r="A84" t="s">
        <v>242</v>
      </c>
      <c r="B84" t="s">
        <v>383</v>
      </c>
      <c r="C84">
        <f>'Vinh Trung'!D38</f>
        <v>1.6194999999999999</v>
      </c>
      <c r="D84">
        <f>'Vinh Trung'!AI68</f>
        <v>0</v>
      </c>
      <c r="E84">
        <f>'Vinh Trung'!BL38</f>
        <v>0</v>
      </c>
      <c r="F84">
        <f t="shared" si="3"/>
        <v>1.6194999999999999</v>
      </c>
    </row>
    <row r="85" spans="1:6" ht="18" customHeight="1">
      <c r="A85" t="s">
        <v>243</v>
      </c>
      <c r="B85" t="s">
        <v>384</v>
      </c>
      <c r="C85">
        <f>'Vinh Thuc'!D38</f>
        <v>2.21</v>
      </c>
      <c r="D85">
        <f>'Vinh Thuc'!AI67</f>
        <v>0</v>
      </c>
      <c r="E85">
        <f>'Vinh Thuc'!BL38</f>
        <v>0</v>
      </c>
      <c r="F85">
        <f t="shared" si="3"/>
        <v>2.21</v>
      </c>
    </row>
    <row r="86" spans="1:6" ht="18" customHeight="1">
      <c r="A86" t="s">
        <v>244</v>
      </c>
      <c r="B86" t="s">
        <v>385</v>
      </c>
      <c r="C86">
        <f>'Hai Yen'!D38</f>
        <v>0.54</v>
      </c>
      <c r="D86">
        <f>'Hai Yen'!AI68</f>
        <v>0</v>
      </c>
      <c r="E86">
        <f>'Hai Yen'!BL38</f>
        <v>0</v>
      </c>
      <c r="F86">
        <f t="shared" si="3"/>
        <v>0.54</v>
      </c>
    </row>
    <row r="87" spans="1:6" ht="18" customHeight="1">
      <c r="A87" t="s">
        <v>245</v>
      </c>
      <c r="B87" t="s">
        <v>386</v>
      </c>
      <c r="C87">
        <f>'Ka Long'!D38</f>
        <v>0</v>
      </c>
      <c r="D87">
        <f>'Ka Long'!AI67</f>
        <v>0</v>
      </c>
      <c r="E87">
        <f>'Ka Long'!BL38</f>
        <v>0</v>
      </c>
      <c r="F87">
        <f t="shared" si="3"/>
        <v>0</v>
      </c>
    </row>
    <row r="88" spans="1:6" ht="18" customHeight="1">
      <c r="A88" t="s">
        <v>246</v>
      </c>
      <c r="B88" t="s">
        <v>387</v>
      </c>
      <c r="C88">
        <f>'Ninh Duong'!D38</f>
        <v>2.9895</v>
      </c>
      <c r="D88">
        <f>'Ninh Duong'!AI67</f>
        <v>0.02</v>
      </c>
      <c r="E88">
        <f>'Ninh Duong'!BL38</f>
        <v>7.0000000000000007E-2</v>
      </c>
      <c r="F88">
        <f t="shared" si="3"/>
        <v>2.9395000000000002</v>
      </c>
    </row>
    <row r="89" spans="1:6" ht="18" customHeight="1">
      <c r="A89" t="s">
        <v>247</v>
      </c>
      <c r="B89" t="s">
        <v>388</v>
      </c>
      <c r="C89">
        <f>'Hoa Lac'!D38</f>
        <v>0.37</v>
      </c>
      <c r="D89">
        <f>'Hoa Lac'!AI67</f>
        <v>0</v>
      </c>
      <c r="E89">
        <f>'Hoa Lac'!BL38</f>
        <v>0</v>
      </c>
      <c r="F89">
        <f t="shared" si="3"/>
        <v>0.37</v>
      </c>
    </row>
    <row r="90" spans="1:6" ht="18" customHeight="1">
      <c r="A90" t="s">
        <v>248</v>
      </c>
      <c r="B90" t="s">
        <v>389</v>
      </c>
      <c r="C90">
        <f>'Tran Phu'!D38</f>
        <v>0.41</v>
      </c>
      <c r="D90">
        <f>'Tran Phu'!AI67</f>
        <v>0</v>
      </c>
      <c r="E90">
        <f>'Tran Phu'!BL38</f>
        <v>0</v>
      </c>
      <c r="F90">
        <f t="shared" si="3"/>
        <v>0.41</v>
      </c>
    </row>
    <row r="91" spans="1:6" ht="18" customHeight="1">
      <c r="A91" t="s">
        <v>249</v>
      </c>
      <c r="B91" t="s">
        <v>390</v>
      </c>
      <c r="C91">
        <f>'Hai Hoa'!D38</f>
        <v>0.92</v>
      </c>
      <c r="D91">
        <f>'Hai Hoa'!AI67</f>
        <v>0</v>
      </c>
      <c r="E91">
        <f>'Hai Hoa'!BL38</f>
        <v>0</v>
      </c>
      <c r="F91">
        <f t="shared" si="3"/>
        <v>0.92</v>
      </c>
    </row>
    <row r="92" spans="1:6" ht="18" customHeight="1">
      <c r="A92" t="s">
        <v>250</v>
      </c>
      <c r="B92" t="s">
        <v>391</v>
      </c>
      <c r="C92">
        <f>'Tra Co'!D38</f>
        <v>96.149500000000003</v>
      </c>
      <c r="D92">
        <f>'Tra Co'!AI67</f>
        <v>0</v>
      </c>
      <c r="E92">
        <f>'Tra Co'!BL38</f>
        <v>0</v>
      </c>
      <c r="F92">
        <f t="shared" si="3"/>
        <v>96.149500000000003</v>
      </c>
    </row>
    <row r="93" spans="1:6" ht="18" customHeight="1">
      <c r="A93" t="s">
        <v>251</v>
      </c>
      <c r="B93" t="s">
        <v>392</v>
      </c>
      <c r="C93">
        <f>'Binh Ngoc'!D38</f>
        <v>0.86</v>
      </c>
      <c r="D93">
        <f>'Binh Ngoc'!AI67</f>
        <v>0</v>
      </c>
      <c r="E93">
        <f>'Binh Ngoc'!BL38</f>
        <v>0</v>
      </c>
      <c r="F93">
        <f t="shared" si="3"/>
        <v>0.86</v>
      </c>
    </row>
    <row r="94" spans="1:6" ht="18" customHeight="1">
      <c r="A94" t="s">
        <v>252</v>
      </c>
      <c r="B94" t="s">
        <v>393</v>
      </c>
      <c r="C94">
        <f>'Lien vị'!D38</f>
        <v>0</v>
      </c>
      <c r="D94">
        <f>'Lien vị'!AI67</f>
        <v>0</v>
      </c>
      <c r="E94">
        <f>'Lien vị'!BL38</f>
        <v>0</v>
      </c>
      <c r="F94">
        <f t="shared" si="3"/>
        <v>0</v>
      </c>
    </row>
    <row r="95" spans="1:6" ht="18" customHeight="1">
      <c r="A95" t="s">
        <v>253</v>
      </c>
      <c r="B95" t="s">
        <v>394</v>
      </c>
      <c r="C95">
        <f>'Tien Phong'!D38</f>
        <v>0</v>
      </c>
      <c r="D95">
        <f>'Tien Phong'!AI67</f>
        <v>0</v>
      </c>
      <c r="E95">
        <f>'Tien Phong'!BL38</f>
        <v>0</v>
      </c>
      <c r="F95">
        <f t="shared" si="3"/>
        <v>0</v>
      </c>
    </row>
    <row r="96" spans="1:6" ht="24" customHeight="1">
      <c r="B96" t="s">
        <v>370</v>
      </c>
      <c r="C96">
        <f>SUM(C77:C95)</f>
        <v>113.738</v>
      </c>
      <c r="D96">
        <f>SUM(D77:D95)</f>
        <v>0.23</v>
      </c>
      <c r="E96">
        <f>SUM(E77:E95)</f>
        <v>7.0000000000000007E-2</v>
      </c>
      <c r="F96">
        <f>SUM(F77:F95)</f>
        <v>113.89800000000001</v>
      </c>
    </row>
    <row r="97" spans="1:6">
      <c r="A97" s="1300" t="s">
        <v>431</v>
      </c>
      <c r="B97" s="1300"/>
    </row>
    <row r="98" spans="1:6" ht="23.25" customHeight="1">
      <c r="A98" s="1300" t="s">
        <v>450</v>
      </c>
      <c r="B98" s="1300"/>
      <c r="C98" s="1300"/>
      <c r="D98" s="1300"/>
      <c r="E98" s="1300"/>
      <c r="F98" s="1300"/>
    </row>
    <row r="99" spans="1:6" ht="18.75" customHeight="1">
      <c r="A99" s="1300" t="s">
        <v>138</v>
      </c>
      <c r="B99" s="1300"/>
      <c r="C99" s="1300"/>
      <c r="D99" s="1300"/>
      <c r="E99" s="1300"/>
      <c r="F99" s="1300"/>
    </row>
    <row r="100" spans="1:6" ht="51" customHeight="1">
      <c r="A100" t="s">
        <v>368</v>
      </c>
      <c r="B100" t="s">
        <v>369</v>
      </c>
      <c r="C100" t="s">
        <v>373</v>
      </c>
      <c r="D100" t="s">
        <v>371</v>
      </c>
      <c r="E100" t="s">
        <v>372</v>
      </c>
      <c r="F100" t="s">
        <v>366</v>
      </c>
    </row>
    <row r="101" spans="1:6" ht="18" customHeight="1">
      <c r="A101" t="s">
        <v>235</v>
      </c>
      <c r="B101" t="s">
        <v>376</v>
      </c>
      <c r="C101">
        <f>'Bac Son'!D41</f>
        <v>86.98</v>
      </c>
      <c r="D101">
        <f>'Bac Son'!AL67</f>
        <v>2.13</v>
      </c>
      <c r="E101">
        <f>'Bac Son'!BL41</f>
        <v>0.11</v>
      </c>
      <c r="F101">
        <f>C101+D101-E101</f>
        <v>89</v>
      </c>
    </row>
    <row r="102" spans="1:6" ht="18" customHeight="1">
      <c r="A102" t="s">
        <v>236</v>
      </c>
      <c r="B102" t="s">
        <v>377</v>
      </c>
      <c r="C102">
        <f>'Hai Son'!D41</f>
        <v>44.97099</v>
      </c>
      <c r="D102">
        <f>'Hai Son'!AL67</f>
        <v>0</v>
      </c>
      <c r="E102">
        <f>'Hai Son'!BL41</f>
        <v>0.01</v>
      </c>
      <c r="F102">
        <f t="shared" ref="F102:F119" si="4">C102+D102-E102</f>
        <v>44.960990000000002</v>
      </c>
    </row>
    <row r="103" spans="1:6" ht="18" customHeight="1">
      <c r="A103" t="s">
        <v>237</v>
      </c>
      <c r="B103" t="s">
        <v>378</v>
      </c>
      <c r="C103">
        <f>'Quang Nghia'!D41</f>
        <v>161.41</v>
      </c>
      <c r="D103">
        <f>'Quang Nghia'!AL67</f>
        <v>27.070000000000007</v>
      </c>
      <c r="E103">
        <f>'Quang Nghia'!BL41</f>
        <v>2.12</v>
      </c>
      <c r="F103">
        <f t="shared" si="4"/>
        <v>186.36</v>
      </c>
    </row>
    <row r="104" spans="1:6" ht="18" customHeight="1">
      <c r="A104" t="s">
        <v>238</v>
      </c>
      <c r="B104" t="s">
        <v>379</v>
      </c>
      <c r="C104">
        <f>'Hai Dong'!D41</f>
        <v>105.35</v>
      </c>
      <c r="D104">
        <f>'Hai Dong'!AL67</f>
        <v>7.73</v>
      </c>
      <c r="E104">
        <f>'Hai Dong'!BL41</f>
        <v>0.02</v>
      </c>
      <c r="F104">
        <f t="shared" si="4"/>
        <v>113.06</v>
      </c>
    </row>
    <row r="105" spans="1:6" ht="18" customHeight="1">
      <c r="A105" t="s">
        <v>239</v>
      </c>
      <c r="B105" t="s">
        <v>380</v>
      </c>
      <c r="C105">
        <f>'Hai Tien'!D41</f>
        <v>124.55</v>
      </c>
      <c r="D105">
        <f>'Hai Tien'!AL67</f>
        <v>14.100000000000001</v>
      </c>
      <c r="E105">
        <f>'Hai Tien'!BL41</f>
        <v>0.56999999999999995</v>
      </c>
      <c r="F105">
        <f t="shared" si="4"/>
        <v>138.08000000000001</v>
      </c>
    </row>
    <row r="106" spans="1:6" ht="18" customHeight="1">
      <c r="A106" t="s">
        <v>240</v>
      </c>
      <c r="B106" t="s">
        <v>381</v>
      </c>
      <c r="C106">
        <f>'Hai Xuan'!D41</f>
        <v>111.82</v>
      </c>
      <c r="D106">
        <f>'Hai Xuan'!AL67</f>
        <v>10.85</v>
      </c>
      <c r="E106">
        <f>'Hai Xuan'!BL41</f>
        <v>0.81</v>
      </c>
      <c r="F106">
        <f t="shared" si="4"/>
        <v>121.85999999999999</v>
      </c>
    </row>
    <row r="107" spans="1:6" ht="18" customHeight="1">
      <c r="A107" t="s">
        <v>241</v>
      </c>
      <c r="B107" t="s">
        <v>382</v>
      </c>
      <c r="C107">
        <f>'Van Ninh'!D41</f>
        <v>47.68</v>
      </c>
      <c r="D107">
        <f>'Van Ninh'!AL68</f>
        <v>18.29</v>
      </c>
      <c r="E107">
        <f>'Van Ninh'!BL41</f>
        <v>0.01</v>
      </c>
      <c r="F107">
        <f t="shared" si="4"/>
        <v>65.959999999999994</v>
      </c>
    </row>
    <row r="108" spans="1:6" ht="18" customHeight="1">
      <c r="A108" t="s">
        <v>242</v>
      </c>
      <c r="B108" t="s">
        <v>383</v>
      </c>
      <c r="C108">
        <f>'Vinh Trung'!D41</f>
        <v>63.69</v>
      </c>
      <c r="D108">
        <f>'Vinh Trung'!AL68</f>
        <v>0</v>
      </c>
      <c r="E108">
        <f>'Vinh Trung'!BL41</f>
        <v>0.04</v>
      </c>
      <c r="F108">
        <f t="shared" si="4"/>
        <v>63.65</v>
      </c>
    </row>
    <row r="109" spans="1:6" ht="18" customHeight="1">
      <c r="A109" t="s">
        <v>243</v>
      </c>
      <c r="B109" t="s">
        <v>384</v>
      </c>
      <c r="C109">
        <f>'Vinh Thuc'!D41</f>
        <v>47.15</v>
      </c>
      <c r="D109">
        <f>'Vinh Thuc'!AL67</f>
        <v>0.55000000000000004</v>
      </c>
      <c r="E109">
        <f>'Vinh Thuc'!BL41</f>
        <v>2.77</v>
      </c>
      <c r="F109">
        <f t="shared" si="4"/>
        <v>44.929999999999993</v>
      </c>
    </row>
    <row r="110" spans="1:6" ht="18" customHeight="1">
      <c r="A110" t="s">
        <v>244</v>
      </c>
      <c r="B110" t="s">
        <v>385</v>
      </c>
      <c r="C110">
        <f>'Hai Yen'!D41</f>
        <v>157.30519999999999</v>
      </c>
      <c r="D110">
        <f>'Hai Yen'!AL68</f>
        <v>44.31</v>
      </c>
      <c r="E110">
        <f>'Hai Yen'!BL41</f>
        <v>1.8199999999999998</v>
      </c>
      <c r="F110">
        <f t="shared" si="4"/>
        <v>199.79519999999999</v>
      </c>
    </row>
    <row r="111" spans="1:6" ht="18" customHeight="1">
      <c r="A111" t="s">
        <v>245</v>
      </c>
      <c r="B111" t="s">
        <v>386</v>
      </c>
      <c r="C111">
        <f>'Ka Long'!D41</f>
        <v>52.232900000000001</v>
      </c>
      <c r="D111">
        <f>'Ka Long'!AL67</f>
        <v>0</v>
      </c>
      <c r="E111">
        <f>'Ka Long'!BL41</f>
        <v>0</v>
      </c>
      <c r="F111">
        <f t="shared" si="4"/>
        <v>52.232900000000001</v>
      </c>
    </row>
    <row r="112" spans="1:6" ht="18" customHeight="1">
      <c r="A112" t="s">
        <v>246</v>
      </c>
      <c r="B112" t="s">
        <v>387</v>
      </c>
      <c r="C112">
        <f>'Ninh Duong'!D41</f>
        <v>89.673500000000004</v>
      </c>
      <c r="D112">
        <f>'Ninh Duong'!AL67</f>
        <v>14.099999999999998</v>
      </c>
      <c r="E112">
        <f>'Ninh Duong'!BL41</f>
        <v>0.22000000000000003</v>
      </c>
      <c r="F112">
        <f t="shared" si="4"/>
        <v>103.5535</v>
      </c>
    </row>
    <row r="113" spans="1:6" ht="18" customHeight="1">
      <c r="A113" t="s">
        <v>247</v>
      </c>
      <c r="B113" t="s">
        <v>388</v>
      </c>
      <c r="C113">
        <f>'Hoa Lac'!D41</f>
        <v>22.84</v>
      </c>
      <c r="D113">
        <f>'Hoa Lac'!AL67</f>
        <v>0</v>
      </c>
      <c r="E113">
        <f>'Hoa Lac'!BL41</f>
        <v>0</v>
      </c>
      <c r="F113">
        <f t="shared" si="4"/>
        <v>22.84</v>
      </c>
    </row>
    <row r="114" spans="1:6" ht="18" customHeight="1">
      <c r="A114" t="s">
        <v>248</v>
      </c>
      <c r="B114" t="s">
        <v>389</v>
      </c>
      <c r="C114">
        <f>'Tran Phu'!D41</f>
        <v>31.29</v>
      </c>
      <c r="D114">
        <f>'Tran Phu'!AL67</f>
        <v>0.04</v>
      </c>
      <c r="E114">
        <f>'Tran Phu'!BL41</f>
        <v>0.04</v>
      </c>
      <c r="F114">
        <f t="shared" si="4"/>
        <v>31.29</v>
      </c>
    </row>
    <row r="115" spans="1:6" ht="18" customHeight="1">
      <c r="A115" t="s">
        <v>249</v>
      </c>
      <c r="B115" t="s">
        <v>390</v>
      </c>
      <c r="C115">
        <f>'Hai Hoa'!D41</f>
        <v>145.22999999999999</v>
      </c>
      <c r="D115">
        <f>'Hai Hoa'!AL67</f>
        <v>79.580000000000013</v>
      </c>
      <c r="E115">
        <f>'Hai Hoa'!BL41</f>
        <v>9.379999999999999</v>
      </c>
      <c r="F115">
        <f t="shared" si="4"/>
        <v>215.43</v>
      </c>
    </row>
    <row r="116" spans="1:6" ht="18" customHeight="1">
      <c r="A116" t="s">
        <v>250</v>
      </c>
      <c r="B116" t="s">
        <v>391</v>
      </c>
      <c r="C116">
        <f>'Tra Co'!D41</f>
        <v>46.87</v>
      </c>
      <c r="D116">
        <f>'Tra Co'!AL67</f>
        <v>3.7</v>
      </c>
      <c r="E116">
        <f>'Tra Co'!BL41</f>
        <v>0</v>
      </c>
      <c r="F116">
        <f t="shared" si="4"/>
        <v>50.57</v>
      </c>
    </row>
    <row r="117" spans="1:6" ht="18" customHeight="1">
      <c r="A117" t="s">
        <v>251</v>
      </c>
      <c r="B117" t="s">
        <v>392</v>
      </c>
      <c r="C117">
        <f>'Binh Ngoc'!D41</f>
        <v>64.599999999999994</v>
      </c>
      <c r="D117">
        <f>'Binh Ngoc'!AL67</f>
        <v>0</v>
      </c>
      <c r="E117">
        <f>'Binh Ngoc'!BL41</f>
        <v>0</v>
      </c>
      <c r="F117">
        <f t="shared" si="4"/>
        <v>64.599999999999994</v>
      </c>
    </row>
    <row r="118" spans="1:6" ht="18" customHeight="1">
      <c r="A118" t="s">
        <v>252</v>
      </c>
      <c r="B118" t="s">
        <v>393</v>
      </c>
      <c r="C118">
        <f>'Lien vị'!D41</f>
        <v>0</v>
      </c>
      <c r="D118">
        <f>'Lien vị'!AL67</f>
        <v>0</v>
      </c>
      <c r="E118">
        <f>'Lien vị'!BL41</f>
        <v>0</v>
      </c>
      <c r="F118">
        <f t="shared" si="4"/>
        <v>0</v>
      </c>
    </row>
    <row r="119" spans="1:6" ht="18" customHeight="1">
      <c r="A119" t="s">
        <v>253</v>
      </c>
      <c r="B119" t="s">
        <v>394</v>
      </c>
      <c r="C119">
        <f>'Tien Phong'!D41</f>
        <v>0</v>
      </c>
      <c r="D119">
        <f>'Tien Phong'!AL67</f>
        <v>0</v>
      </c>
      <c r="E119">
        <f>'Tien Phong'!BL41</f>
        <v>0</v>
      </c>
      <c r="F119">
        <f t="shared" si="4"/>
        <v>0</v>
      </c>
    </row>
    <row r="120" spans="1:6" ht="24" customHeight="1">
      <c r="B120" t="s">
        <v>370</v>
      </c>
      <c r="C120">
        <f>SUM(C101:C119)</f>
        <v>1403.6425899999995</v>
      </c>
      <c r="D120">
        <f>SUM(D101:D119)</f>
        <v>222.45000000000002</v>
      </c>
      <c r="E120">
        <f>SUM(E101:E119)</f>
        <v>17.919999999999998</v>
      </c>
      <c r="F120">
        <f>SUM(F101:F119)</f>
        <v>1608.1725899999997</v>
      </c>
    </row>
    <row r="121" spans="1:6">
      <c r="A121" s="1300" t="s">
        <v>431</v>
      </c>
      <c r="B121" s="1300"/>
    </row>
    <row r="122" spans="1:6" ht="23.25" customHeight="1">
      <c r="A122" s="1300" t="s">
        <v>451</v>
      </c>
      <c r="B122" s="1300"/>
      <c r="C122" s="1300"/>
      <c r="D122" s="1300"/>
      <c r="E122" s="1300"/>
      <c r="F122" s="1300"/>
    </row>
    <row r="123" spans="1:6" ht="18.75" customHeight="1">
      <c r="A123" s="1300" t="s">
        <v>138</v>
      </c>
      <c r="B123" s="1300"/>
      <c r="C123" s="1300"/>
      <c r="D123" s="1300"/>
      <c r="E123" s="1300"/>
      <c r="F123" s="1300"/>
    </row>
    <row r="124" spans="1:6" ht="51" customHeight="1">
      <c r="A124" t="s">
        <v>368</v>
      </c>
      <c r="B124" t="s">
        <v>369</v>
      </c>
      <c r="C124" t="s">
        <v>373</v>
      </c>
      <c r="D124" t="s">
        <v>371</v>
      </c>
      <c r="E124" t="s">
        <v>372</v>
      </c>
      <c r="F124" t="s">
        <v>366</v>
      </c>
    </row>
    <row r="125" spans="1:6" ht="18" customHeight="1">
      <c r="A125" t="s">
        <v>235</v>
      </c>
      <c r="B125" t="s">
        <v>376</v>
      </c>
      <c r="C125">
        <f>'Bac Son'!D42</f>
        <v>2.96</v>
      </c>
      <c r="D125">
        <f>'Bac Son'!AM67</f>
        <v>0</v>
      </c>
      <c r="E125">
        <f>'Bac Son'!BL42</f>
        <v>0</v>
      </c>
      <c r="F125">
        <f>C125+D125-E125</f>
        <v>2.96</v>
      </c>
    </row>
    <row r="126" spans="1:6" ht="18" customHeight="1">
      <c r="A126" t="s">
        <v>236</v>
      </c>
      <c r="B126" t="s">
        <v>377</v>
      </c>
      <c r="C126">
        <f>'Hai Son'!D42</f>
        <v>10.05673</v>
      </c>
      <c r="D126">
        <f>'Hai Son'!AM67</f>
        <v>0.15000000000000002</v>
      </c>
      <c r="E126">
        <f>'Hai Son'!BL42</f>
        <v>0</v>
      </c>
      <c r="F126">
        <f t="shared" ref="F126:F143" si="5">C126+D126-E126</f>
        <v>10.20673</v>
      </c>
    </row>
    <row r="127" spans="1:6" ht="18" customHeight="1">
      <c r="A127" t="s">
        <v>237</v>
      </c>
      <c r="B127" t="s">
        <v>378</v>
      </c>
      <c r="C127">
        <f>'Quang Nghia'!D42</f>
        <v>27.83</v>
      </c>
      <c r="D127">
        <f>'Quang Nghia'!AM67</f>
        <v>0</v>
      </c>
      <c r="E127">
        <f>'Quang Nghia'!BL42</f>
        <v>0.43000000000000005</v>
      </c>
      <c r="F127">
        <f t="shared" si="5"/>
        <v>27.4</v>
      </c>
    </row>
    <row r="128" spans="1:6" ht="18" customHeight="1">
      <c r="A128" t="s">
        <v>238</v>
      </c>
      <c r="B128" t="s">
        <v>379</v>
      </c>
      <c r="C128">
        <f>'Hai Dong'!D42</f>
        <v>52.164999999999999</v>
      </c>
      <c r="D128">
        <f>'Hai Dong'!AM67</f>
        <v>0.48000000000000004</v>
      </c>
      <c r="E128">
        <f>'Hai Dong'!BL42</f>
        <v>0.53</v>
      </c>
      <c r="F128">
        <f t="shared" si="5"/>
        <v>52.114999999999995</v>
      </c>
    </row>
    <row r="129" spans="1:6" ht="18" customHeight="1">
      <c r="A129" t="s">
        <v>239</v>
      </c>
      <c r="B129" t="s">
        <v>380</v>
      </c>
      <c r="C129">
        <f>'Hai Tien'!D42</f>
        <v>17.32</v>
      </c>
      <c r="D129">
        <f>'Hai Tien'!AM67</f>
        <v>0</v>
      </c>
      <c r="E129">
        <f>'Hai Tien'!BL42</f>
        <v>0.03</v>
      </c>
      <c r="F129">
        <f t="shared" si="5"/>
        <v>17.29</v>
      </c>
    </row>
    <row r="130" spans="1:6" ht="18" customHeight="1">
      <c r="A130" t="s">
        <v>240</v>
      </c>
      <c r="B130" t="s">
        <v>381</v>
      </c>
      <c r="C130">
        <f>'Hai Xuan'!D42</f>
        <v>38.11</v>
      </c>
      <c r="D130">
        <f>'Hai Xuan'!AM67</f>
        <v>0</v>
      </c>
      <c r="E130">
        <f>'Hai Xuan'!BL42</f>
        <v>11.36</v>
      </c>
      <c r="F130">
        <f t="shared" si="5"/>
        <v>26.75</v>
      </c>
    </row>
    <row r="131" spans="1:6" ht="18" customHeight="1">
      <c r="A131" t="s">
        <v>241</v>
      </c>
      <c r="B131" t="s">
        <v>382</v>
      </c>
      <c r="C131">
        <f>'Van Ninh'!D42</f>
        <v>103.69</v>
      </c>
      <c r="D131">
        <f>'Van Ninh'!AM68</f>
        <v>0</v>
      </c>
      <c r="E131">
        <f>'Van Ninh'!BL42</f>
        <v>6.64</v>
      </c>
      <c r="F131">
        <f t="shared" si="5"/>
        <v>97.05</v>
      </c>
    </row>
    <row r="132" spans="1:6" ht="18" customHeight="1">
      <c r="A132" t="s">
        <v>242</v>
      </c>
      <c r="B132" t="s">
        <v>383</v>
      </c>
      <c r="C132">
        <f>'Vinh Trung'!D42</f>
        <v>7.85</v>
      </c>
      <c r="D132">
        <f>'Vinh Trung'!AM68</f>
        <v>0.45999999999999996</v>
      </c>
      <c r="E132">
        <f>'Vinh Trung'!BL42</f>
        <v>0</v>
      </c>
      <c r="F132">
        <f t="shared" si="5"/>
        <v>8.3099999999999987</v>
      </c>
    </row>
    <row r="133" spans="1:6" ht="18" customHeight="1">
      <c r="A133" t="s">
        <v>243</v>
      </c>
      <c r="B133" t="s">
        <v>384</v>
      </c>
      <c r="C133">
        <f>'Vinh Thuc'!D42</f>
        <v>35.22</v>
      </c>
      <c r="D133">
        <f>'Vinh Thuc'!AM67</f>
        <v>0</v>
      </c>
      <c r="E133">
        <f>'Vinh Thuc'!BL42</f>
        <v>0</v>
      </c>
      <c r="F133">
        <f t="shared" si="5"/>
        <v>35.22</v>
      </c>
    </row>
    <row r="134" spans="1:6" ht="18" customHeight="1">
      <c r="A134" t="s">
        <v>244</v>
      </c>
      <c r="B134" t="s">
        <v>385</v>
      </c>
      <c r="C134">
        <f>'Hai Yen'!D42</f>
        <v>71.5</v>
      </c>
      <c r="D134">
        <f>'Hai Yen'!AM68</f>
        <v>0</v>
      </c>
      <c r="E134">
        <f>'Hai Yen'!BL42</f>
        <v>2.4499999999999997</v>
      </c>
      <c r="F134">
        <f t="shared" si="5"/>
        <v>69.05</v>
      </c>
    </row>
    <row r="135" spans="1:6" ht="18" customHeight="1">
      <c r="A135" t="s">
        <v>245</v>
      </c>
      <c r="B135" t="s">
        <v>386</v>
      </c>
      <c r="C135">
        <f>'Ka Long'!D42</f>
        <v>1.52</v>
      </c>
      <c r="D135">
        <f>'Ka Long'!AM67</f>
        <v>0</v>
      </c>
      <c r="E135">
        <f>'Ka Long'!BL42</f>
        <v>0</v>
      </c>
      <c r="F135">
        <f t="shared" si="5"/>
        <v>1.52</v>
      </c>
    </row>
    <row r="136" spans="1:6" ht="18" customHeight="1">
      <c r="A136" t="s">
        <v>246</v>
      </c>
      <c r="B136" t="s">
        <v>387</v>
      </c>
      <c r="C136">
        <f>'Ninh Duong'!D42</f>
        <v>12.956100000000001</v>
      </c>
      <c r="D136">
        <f>'Ninh Duong'!AM67</f>
        <v>1.82</v>
      </c>
      <c r="E136">
        <f>'Ninh Duong'!BL42</f>
        <v>0.24000000000000002</v>
      </c>
      <c r="F136">
        <f t="shared" si="5"/>
        <v>14.536100000000001</v>
      </c>
    </row>
    <row r="137" spans="1:6" ht="18" customHeight="1">
      <c r="A137" t="s">
        <v>247</v>
      </c>
      <c r="B137" t="s">
        <v>388</v>
      </c>
      <c r="C137">
        <f>'Hoa Lac'!D42</f>
        <v>1.66</v>
      </c>
      <c r="D137">
        <f>'Hoa Lac'!AM67</f>
        <v>0</v>
      </c>
      <c r="E137">
        <f>'Hoa Lac'!BL42</f>
        <v>0</v>
      </c>
      <c r="F137">
        <f t="shared" si="5"/>
        <v>1.66</v>
      </c>
    </row>
    <row r="138" spans="1:6" ht="18" customHeight="1">
      <c r="A138" t="s">
        <v>248</v>
      </c>
      <c r="B138" t="s">
        <v>389</v>
      </c>
      <c r="C138">
        <f>'Tran Phu'!D42</f>
        <v>0</v>
      </c>
      <c r="D138">
        <f>'Tran Phu'!AM67</f>
        <v>0</v>
      </c>
      <c r="E138">
        <f>'Tran Phu'!BL42</f>
        <v>0</v>
      </c>
      <c r="F138">
        <f t="shared" si="5"/>
        <v>0</v>
      </c>
    </row>
    <row r="139" spans="1:6" ht="18" customHeight="1">
      <c r="A139" t="s">
        <v>249</v>
      </c>
      <c r="B139" t="s">
        <v>390</v>
      </c>
      <c r="C139">
        <f>'Hai Hoa'!D42</f>
        <v>69.819999999999993</v>
      </c>
      <c r="D139">
        <f>'Hai Hoa'!AM67</f>
        <v>0.55000000000000004</v>
      </c>
      <c r="E139">
        <f>'Hai Hoa'!BL42</f>
        <v>13.680000000000001</v>
      </c>
      <c r="F139">
        <f t="shared" si="5"/>
        <v>56.689999999999991</v>
      </c>
    </row>
    <row r="140" spans="1:6" ht="18" customHeight="1">
      <c r="A140" t="s">
        <v>250</v>
      </c>
      <c r="B140" t="s">
        <v>391</v>
      </c>
      <c r="C140">
        <f>'Tra Co'!D42</f>
        <v>12.96</v>
      </c>
      <c r="D140">
        <f>'Tra Co'!AM67</f>
        <v>0</v>
      </c>
      <c r="E140">
        <f>'Tra Co'!BL42</f>
        <v>0.01</v>
      </c>
      <c r="F140">
        <f t="shared" si="5"/>
        <v>12.950000000000001</v>
      </c>
    </row>
    <row r="141" spans="1:6" ht="18" customHeight="1">
      <c r="A141" t="s">
        <v>251</v>
      </c>
      <c r="B141" t="s">
        <v>392</v>
      </c>
      <c r="C141">
        <f>'Binh Ngoc'!D42</f>
        <v>48.96</v>
      </c>
      <c r="D141">
        <f>'Binh Ngoc'!AM67</f>
        <v>0</v>
      </c>
      <c r="E141">
        <f>'Binh Ngoc'!BL42</f>
        <v>0</v>
      </c>
      <c r="F141">
        <f t="shared" si="5"/>
        <v>48.96</v>
      </c>
    </row>
    <row r="142" spans="1:6" ht="18" customHeight="1">
      <c r="A142" t="s">
        <v>252</v>
      </c>
      <c r="B142" t="s">
        <v>393</v>
      </c>
      <c r="C142">
        <f>'Lien vị'!D42</f>
        <v>0</v>
      </c>
      <c r="D142">
        <f>'Lien vị'!AM67</f>
        <v>0</v>
      </c>
      <c r="E142">
        <f>'Lien vị'!BL42</f>
        <v>0</v>
      </c>
      <c r="F142">
        <f t="shared" si="5"/>
        <v>0</v>
      </c>
    </row>
    <row r="143" spans="1:6" ht="18" customHeight="1">
      <c r="A143" t="s">
        <v>253</v>
      </c>
      <c r="B143" t="s">
        <v>394</v>
      </c>
      <c r="C143">
        <f>'Tien Phong'!D42</f>
        <v>0</v>
      </c>
      <c r="D143">
        <f>'Tien Phong'!AM67</f>
        <v>0</v>
      </c>
      <c r="E143">
        <f>'Tien Phong'!BL42</f>
        <v>0</v>
      </c>
      <c r="F143">
        <f t="shared" si="5"/>
        <v>0</v>
      </c>
    </row>
    <row r="144" spans="1:6" ht="24" customHeight="1">
      <c r="B144" t="s">
        <v>370</v>
      </c>
      <c r="C144">
        <f>SUM(C125:C143)</f>
        <v>514.57782999999995</v>
      </c>
      <c r="D144">
        <f>SUM(D125:D143)</f>
        <v>3.46</v>
      </c>
      <c r="E144">
        <f>SUM(E125:E143)</f>
        <v>35.369999999999997</v>
      </c>
      <c r="F144">
        <f>SUM(F125:F143)</f>
        <v>482.66782999999998</v>
      </c>
    </row>
    <row r="145" spans="1:6">
      <c r="A145" s="1300" t="s">
        <v>431</v>
      </c>
      <c r="B145" s="1300"/>
    </row>
    <row r="146" spans="1:6" ht="23.25" customHeight="1">
      <c r="A146" s="1300" t="s">
        <v>452</v>
      </c>
      <c r="B146" s="1300"/>
      <c r="C146" s="1300"/>
      <c r="D146" s="1300"/>
      <c r="E146" s="1300"/>
      <c r="F146" s="1300"/>
    </row>
    <row r="147" spans="1:6" ht="18.75" customHeight="1">
      <c r="A147" s="1300" t="s">
        <v>138</v>
      </c>
      <c r="B147" s="1300"/>
      <c r="C147" s="1300"/>
      <c r="D147" s="1300"/>
      <c r="E147" s="1300"/>
      <c r="F147" s="1300"/>
    </row>
    <row r="148" spans="1:6" ht="51" customHeight="1">
      <c r="A148" t="s">
        <v>368</v>
      </c>
      <c r="B148" t="s">
        <v>369</v>
      </c>
      <c r="C148" t="s">
        <v>373</v>
      </c>
      <c r="D148" t="s">
        <v>371</v>
      </c>
      <c r="E148" t="s">
        <v>372</v>
      </c>
      <c r="F148" t="s">
        <v>366</v>
      </c>
    </row>
    <row r="149" spans="1:6" ht="18" customHeight="1">
      <c r="A149" t="s">
        <v>235</v>
      </c>
      <c r="B149" t="s">
        <v>376</v>
      </c>
      <c r="C149">
        <f>'Bac Son'!D43</f>
        <v>0.12</v>
      </c>
      <c r="D149">
        <f>'Bac Son'!AN67</f>
        <v>0</v>
      </c>
      <c r="E149">
        <f>'Bac Son'!BL43</f>
        <v>0</v>
      </c>
      <c r="F149">
        <f>C149+D149-E149</f>
        <v>0.12</v>
      </c>
    </row>
    <row r="150" spans="1:6" ht="18" customHeight="1">
      <c r="A150" t="s">
        <v>236</v>
      </c>
      <c r="B150" t="s">
        <v>377</v>
      </c>
      <c r="C150">
        <f>'Hai Son'!D43</f>
        <v>0.01</v>
      </c>
      <c r="D150">
        <f>'Hai Son'!AN67</f>
        <v>0</v>
      </c>
      <c r="E150">
        <f>'Hai Son'!BL43</f>
        <v>0</v>
      </c>
      <c r="F150">
        <f t="shared" ref="F150:F167" si="6">C150+D150-E150</f>
        <v>0.01</v>
      </c>
    </row>
    <row r="151" spans="1:6" ht="18" customHeight="1">
      <c r="A151" t="s">
        <v>237</v>
      </c>
      <c r="B151" t="s">
        <v>378</v>
      </c>
      <c r="C151">
        <f>'Quang Nghia'!D43</f>
        <v>0.03</v>
      </c>
      <c r="D151">
        <f>'Quang Nghia'!AN67</f>
        <v>0</v>
      </c>
      <c r="E151">
        <f>'Quang Nghia'!BL43</f>
        <v>0</v>
      </c>
      <c r="F151">
        <f t="shared" si="6"/>
        <v>0.03</v>
      </c>
    </row>
    <row r="152" spans="1:6" ht="18" customHeight="1">
      <c r="A152" t="s">
        <v>238</v>
      </c>
      <c r="B152" t="s">
        <v>379</v>
      </c>
      <c r="C152">
        <f>'Hai Dong'!D43</f>
        <v>0.62</v>
      </c>
      <c r="D152">
        <f>'Hai Dong'!AN67</f>
        <v>0</v>
      </c>
      <c r="E152">
        <f>'Hai Dong'!BL43</f>
        <v>0</v>
      </c>
      <c r="F152">
        <f t="shared" si="6"/>
        <v>0.62</v>
      </c>
    </row>
    <row r="153" spans="1:6" ht="18" customHeight="1">
      <c r="A153" t="s">
        <v>239</v>
      </c>
      <c r="B153" t="s">
        <v>380</v>
      </c>
      <c r="C153">
        <f>'Hai Tien'!D43</f>
        <v>0.03</v>
      </c>
      <c r="D153">
        <f>'Hai Tien'!AN67</f>
        <v>0</v>
      </c>
      <c r="E153">
        <f>'Hai Tien'!BL43</f>
        <v>0</v>
      </c>
      <c r="F153">
        <f t="shared" si="6"/>
        <v>0.03</v>
      </c>
    </row>
    <row r="154" spans="1:6" ht="18" customHeight="1">
      <c r="A154" t="s">
        <v>240</v>
      </c>
      <c r="B154" t="s">
        <v>381</v>
      </c>
      <c r="C154">
        <f>'Hai Xuan'!D43</f>
        <v>0.03</v>
      </c>
      <c r="D154">
        <f>'Hai Xuan'!AN67</f>
        <v>0</v>
      </c>
      <c r="E154">
        <f>'Hai Xuan'!BL43</f>
        <v>0</v>
      </c>
      <c r="F154">
        <f t="shared" si="6"/>
        <v>0.03</v>
      </c>
    </row>
    <row r="155" spans="1:6" ht="18" customHeight="1">
      <c r="A155" t="s">
        <v>241</v>
      </c>
      <c r="B155" t="s">
        <v>382</v>
      </c>
      <c r="C155">
        <f>'Van Ninh'!D43</f>
        <v>0.06</v>
      </c>
      <c r="D155">
        <f>'Van Ninh'!AN68</f>
        <v>0</v>
      </c>
      <c r="E155">
        <f>'Van Ninh'!BL43</f>
        <v>0</v>
      </c>
      <c r="F155">
        <f t="shared" si="6"/>
        <v>0.06</v>
      </c>
    </row>
    <row r="156" spans="1:6" ht="18" customHeight="1">
      <c r="A156" t="s">
        <v>242</v>
      </c>
      <c r="B156" t="s">
        <v>383</v>
      </c>
      <c r="C156">
        <f>'Vinh Trung'!D43</f>
        <v>0</v>
      </c>
      <c r="D156">
        <f>'Vinh Trung'!AN68</f>
        <v>0</v>
      </c>
      <c r="E156">
        <f>'Vinh Trung'!BL43</f>
        <v>0</v>
      </c>
      <c r="F156">
        <f t="shared" si="6"/>
        <v>0</v>
      </c>
    </row>
    <row r="157" spans="1:6" ht="18" customHeight="1">
      <c r="A157" t="s">
        <v>243</v>
      </c>
      <c r="B157" t="s">
        <v>384</v>
      </c>
      <c r="C157">
        <f>'Vinh Thuc'!D43</f>
        <v>0</v>
      </c>
      <c r="D157">
        <f>'Vinh Thuc'!AN67</f>
        <v>0</v>
      </c>
      <c r="E157">
        <f>'Vinh Thuc'!BL43</f>
        <v>0</v>
      </c>
      <c r="F157">
        <f t="shared" si="6"/>
        <v>0</v>
      </c>
    </row>
    <row r="158" spans="1:6" ht="18" customHeight="1">
      <c r="A158" t="s">
        <v>244</v>
      </c>
      <c r="B158" t="s">
        <v>385</v>
      </c>
      <c r="C158">
        <f>'Hai Yen'!D43</f>
        <v>0</v>
      </c>
      <c r="D158">
        <f>'Hai Yen'!AN68</f>
        <v>0</v>
      </c>
      <c r="E158">
        <f>'Hai Yen'!BL43</f>
        <v>0</v>
      </c>
      <c r="F158">
        <f t="shared" si="6"/>
        <v>0</v>
      </c>
    </row>
    <row r="159" spans="1:6" ht="18" customHeight="1">
      <c r="A159" t="s">
        <v>245</v>
      </c>
      <c r="B159" t="s">
        <v>386</v>
      </c>
      <c r="C159">
        <f>'Ka Long'!D43</f>
        <v>0.01</v>
      </c>
      <c r="D159">
        <f>'Ka Long'!AN67</f>
        <v>0</v>
      </c>
      <c r="E159">
        <f>'Ka Long'!BL43</f>
        <v>0</v>
      </c>
      <c r="F159">
        <f t="shared" si="6"/>
        <v>0.01</v>
      </c>
    </row>
    <row r="160" spans="1:6" ht="18" customHeight="1">
      <c r="A160" t="s">
        <v>246</v>
      </c>
      <c r="B160" t="s">
        <v>387</v>
      </c>
      <c r="C160">
        <f>'Ninh Duong'!D43</f>
        <v>1.4</v>
      </c>
      <c r="D160">
        <f>'Ninh Duong'!AN67</f>
        <v>0</v>
      </c>
      <c r="E160">
        <f>'Ninh Duong'!BL43</f>
        <v>0</v>
      </c>
      <c r="F160">
        <f t="shared" si="6"/>
        <v>1.4</v>
      </c>
    </row>
    <row r="161" spans="1:6" ht="18" customHeight="1">
      <c r="A161" t="s">
        <v>247</v>
      </c>
      <c r="B161" t="s">
        <v>388</v>
      </c>
      <c r="C161">
        <f>'Hoa Lac'!D43</f>
        <v>0</v>
      </c>
      <c r="D161">
        <f>'Hoa Lac'!AN67</f>
        <v>0</v>
      </c>
      <c r="E161">
        <f>'Hoa Lac'!BL43</f>
        <v>0</v>
      </c>
      <c r="F161">
        <f t="shared" si="6"/>
        <v>0</v>
      </c>
    </row>
    <row r="162" spans="1:6" ht="18" customHeight="1">
      <c r="A162" t="s">
        <v>248</v>
      </c>
      <c r="B162" t="s">
        <v>389</v>
      </c>
      <c r="C162">
        <f>'Tran Phu'!D43</f>
        <v>0.11</v>
      </c>
      <c r="D162">
        <f>'Tran Phu'!AN67</f>
        <v>0</v>
      </c>
      <c r="E162">
        <f>'Tran Phu'!BL43</f>
        <v>0</v>
      </c>
      <c r="F162">
        <f t="shared" si="6"/>
        <v>0.11</v>
      </c>
    </row>
    <row r="163" spans="1:6" ht="18" customHeight="1">
      <c r="A163" t="s">
        <v>249</v>
      </c>
      <c r="B163" t="s">
        <v>390</v>
      </c>
      <c r="C163">
        <f>'Hai Hoa'!D43</f>
        <v>0.06</v>
      </c>
      <c r="D163">
        <f>'Hai Hoa'!AN67</f>
        <v>0</v>
      </c>
      <c r="E163">
        <f>'Hai Hoa'!BL43</f>
        <v>0</v>
      </c>
      <c r="F163">
        <f t="shared" si="6"/>
        <v>0.06</v>
      </c>
    </row>
    <row r="164" spans="1:6" ht="18" customHeight="1">
      <c r="A164" t="s">
        <v>250</v>
      </c>
      <c r="B164" t="s">
        <v>391</v>
      </c>
      <c r="C164">
        <f>'Tra Co'!D43</f>
        <v>0.01</v>
      </c>
      <c r="D164">
        <f>'Tra Co'!AN67</f>
        <v>0</v>
      </c>
      <c r="E164">
        <f>'Tra Co'!BL43</f>
        <v>0</v>
      </c>
      <c r="F164">
        <f t="shared" si="6"/>
        <v>0.01</v>
      </c>
    </row>
    <row r="165" spans="1:6" ht="18" customHeight="1">
      <c r="A165" t="s">
        <v>251</v>
      </c>
      <c r="B165" t="s">
        <v>392</v>
      </c>
      <c r="C165">
        <f>'Binh Ngoc'!D43</f>
        <v>0.01</v>
      </c>
      <c r="D165">
        <f>'Binh Ngoc'!AN67</f>
        <v>0</v>
      </c>
      <c r="E165">
        <f>'Binh Ngoc'!BL43</f>
        <v>0</v>
      </c>
      <c r="F165">
        <f t="shared" si="6"/>
        <v>0.01</v>
      </c>
    </row>
    <row r="166" spans="1:6" ht="18" customHeight="1">
      <c r="A166" t="s">
        <v>252</v>
      </c>
      <c r="B166" t="s">
        <v>393</v>
      </c>
      <c r="C166">
        <f>'Lien vị'!D43</f>
        <v>0</v>
      </c>
      <c r="D166">
        <f>'Lien vị'!AN67</f>
        <v>0</v>
      </c>
      <c r="E166">
        <f>'Lien vị'!BL43</f>
        <v>0</v>
      </c>
      <c r="F166">
        <f t="shared" si="6"/>
        <v>0</v>
      </c>
    </row>
    <row r="167" spans="1:6" ht="18" customHeight="1">
      <c r="A167" t="s">
        <v>253</v>
      </c>
      <c r="B167" t="s">
        <v>394</v>
      </c>
      <c r="C167">
        <f>'Tien Phong'!D43</f>
        <v>0</v>
      </c>
      <c r="D167">
        <f>'Tien Phong'!AN67</f>
        <v>0</v>
      </c>
      <c r="E167">
        <f>'Tien Phong'!BL43</f>
        <v>0</v>
      </c>
      <c r="F167">
        <f t="shared" si="6"/>
        <v>0</v>
      </c>
    </row>
    <row r="168" spans="1:6" ht="24" customHeight="1">
      <c r="B168" t="s">
        <v>370</v>
      </c>
      <c r="C168">
        <f>SUM(C149:C167)</f>
        <v>2.4999999999999996</v>
      </c>
      <c r="D168">
        <f>SUM(D149:D167)</f>
        <v>0</v>
      </c>
      <c r="E168">
        <f>SUM(E149:E167)</f>
        <v>0</v>
      </c>
      <c r="F168">
        <f>SUM(F149:F167)</f>
        <v>2.4999999999999996</v>
      </c>
    </row>
    <row r="169" spans="1:6">
      <c r="A169" s="1300" t="s">
        <v>431</v>
      </c>
      <c r="B169" s="1300"/>
    </row>
    <row r="170" spans="1:6" ht="23.25" customHeight="1">
      <c r="A170" s="1300" t="s">
        <v>453</v>
      </c>
      <c r="B170" s="1300"/>
      <c r="C170" s="1300"/>
      <c r="D170" s="1300"/>
      <c r="E170" s="1300"/>
      <c r="F170" s="1300"/>
    </row>
    <row r="171" spans="1:6" ht="18.75" customHeight="1">
      <c r="A171" s="1300" t="s">
        <v>138</v>
      </c>
      <c r="B171" s="1300"/>
      <c r="C171" s="1300"/>
      <c r="D171" s="1300"/>
      <c r="E171" s="1300"/>
      <c r="F171" s="1300"/>
    </row>
    <row r="172" spans="1:6" ht="51" customHeight="1">
      <c r="A172" t="s">
        <v>368</v>
      </c>
      <c r="B172" t="s">
        <v>369</v>
      </c>
      <c r="C172" t="s">
        <v>373</v>
      </c>
      <c r="D172" t="s">
        <v>371</v>
      </c>
      <c r="E172" t="s">
        <v>372</v>
      </c>
      <c r="F172" t="s">
        <v>366</v>
      </c>
    </row>
    <row r="173" spans="1:6" ht="18" customHeight="1">
      <c r="A173" t="s">
        <v>235</v>
      </c>
      <c r="B173" t="s">
        <v>376</v>
      </c>
      <c r="C173">
        <f>'Bac Son'!D44</f>
        <v>0.09</v>
      </c>
      <c r="D173">
        <f>'Bac Son'!AO67</f>
        <v>0</v>
      </c>
      <c r="E173">
        <f>'Bac Son'!BL44</f>
        <v>0</v>
      </c>
      <c r="F173">
        <f>C173+D173-E173</f>
        <v>0.09</v>
      </c>
    </row>
    <row r="174" spans="1:6" ht="18" customHeight="1">
      <c r="A174" t="s">
        <v>236</v>
      </c>
      <c r="B174" t="s">
        <v>377</v>
      </c>
      <c r="C174">
        <f>'Hai Son'!D44</f>
        <v>1.255E-2</v>
      </c>
      <c r="D174">
        <f>'Hai Son'!AO67</f>
        <v>0</v>
      </c>
      <c r="E174">
        <f>'Hai Son'!BL44</f>
        <v>0</v>
      </c>
      <c r="F174">
        <f t="shared" ref="F174:F191" si="7">C174+D174-E174</f>
        <v>1.255E-2</v>
      </c>
    </row>
    <row r="175" spans="1:6" ht="18" customHeight="1">
      <c r="A175" t="s">
        <v>237</v>
      </c>
      <c r="B175" t="s">
        <v>378</v>
      </c>
      <c r="C175">
        <f>'Quang Nghia'!D44</f>
        <v>0.02</v>
      </c>
      <c r="D175">
        <f>'Quang Nghia'!AO67</f>
        <v>0</v>
      </c>
      <c r="E175">
        <f>'Quang Nghia'!BL44</f>
        <v>0</v>
      </c>
      <c r="F175">
        <f t="shared" si="7"/>
        <v>0.02</v>
      </c>
    </row>
    <row r="176" spans="1:6" ht="18" customHeight="1">
      <c r="A176" t="s">
        <v>238</v>
      </c>
      <c r="B176" t="s">
        <v>379</v>
      </c>
      <c r="C176">
        <f>'Hai Dong'!D44</f>
        <v>0.11</v>
      </c>
      <c r="D176">
        <f>'Hai Dong'!AO67</f>
        <v>0</v>
      </c>
      <c r="E176">
        <f>'Hai Dong'!BL44</f>
        <v>0</v>
      </c>
      <c r="F176">
        <f t="shared" si="7"/>
        <v>0.11</v>
      </c>
    </row>
    <row r="177" spans="1:6" ht="18" customHeight="1">
      <c r="A177" t="s">
        <v>239</v>
      </c>
      <c r="B177" t="s">
        <v>380</v>
      </c>
      <c r="C177">
        <f>'Hai Tien'!D44</f>
        <v>0.51</v>
      </c>
      <c r="D177">
        <f>'Hai Tien'!AO67</f>
        <v>0</v>
      </c>
      <c r="E177">
        <f>'Hai Tien'!BL44</f>
        <v>0</v>
      </c>
      <c r="F177">
        <f t="shared" si="7"/>
        <v>0.51</v>
      </c>
    </row>
    <row r="178" spans="1:6" ht="18" customHeight="1">
      <c r="A178" t="s">
        <v>240</v>
      </c>
      <c r="B178" t="s">
        <v>381</v>
      </c>
      <c r="C178">
        <f>'Hai Xuan'!D44</f>
        <v>0.04</v>
      </c>
      <c r="D178">
        <f>'Hai Xuan'!AO67</f>
        <v>0</v>
      </c>
      <c r="E178">
        <f>'Hai Xuan'!BL44</f>
        <v>0</v>
      </c>
      <c r="F178">
        <f t="shared" si="7"/>
        <v>0.04</v>
      </c>
    </row>
    <row r="179" spans="1:6" ht="18" customHeight="1">
      <c r="A179" t="s">
        <v>241</v>
      </c>
      <c r="B179" t="s">
        <v>382</v>
      </c>
      <c r="C179">
        <f>'Van Ninh'!D44</f>
        <v>0.04</v>
      </c>
      <c r="D179">
        <f>'Van Ninh'!AO68</f>
        <v>0</v>
      </c>
      <c r="E179">
        <f>'Van Ninh'!BL44</f>
        <v>0</v>
      </c>
      <c r="F179">
        <f t="shared" si="7"/>
        <v>0.04</v>
      </c>
    </row>
    <row r="180" spans="1:6" ht="18" customHeight="1">
      <c r="A180" t="s">
        <v>242</v>
      </c>
      <c r="B180" t="s">
        <v>383</v>
      </c>
      <c r="C180">
        <f>'Vinh Trung'!D44</f>
        <v>0.06</v>
      </c>
      <c r="D180">
        <f>'Vinh Trung'!AO68</f>
        <v>0</v>
      </c>
      <c r="E180">
        <f>'Vinh Trung'!BL44</f>
        <v>0</v>
      </c>
      <c r="F180">
        <f t="shared" si="7"/>
        <v>0.06</v>
      </c>
    </row>
    <row r="181" spans="1:6" ht="18" customHeight="1">
      <c r="A181" t="s">
        <v>243</v>
      </c>
      <c r="B181" t="s">
        <v>384</v>
      </c>
      <c r="C181">
        <f>'Vinh Thuc'!D44</f>
        <v>0.11</v>
      </c>
      <c r="D181">
        <f>'Vinh Thuc'!AO67</f>
        <v>0</v>
      </c>
      <c r="E181">
        <f>'Vinh Thuc'!BL44</f>
        <v>0</v>
      </c>
      <c r="F181">
        <f t="shared" si="7"/>
        <v>0.11</v>
      </c>
    </row>
    <row r="182" spans="1:6" ht="18" customHeight="1">
      <c r="A182" t="s">
        <v>244</v>
      </c>
      <c r="B182" t="s">
        <v>385</v>
      </c>
      <c r="C182">
        <f>'Hai Yen'!D44</f>
        <v>0.03</v>
      </c>
      <c r="D182">
        <f>'Hai Yen'!AO68</f>
        <v>0</v>
      </c>
      <c r="E182">
        <f>'Hai Yen'!BL44</f>
        <v>0</v>
      </c>
      <c r="F182">
        <f t="shared" si="7"/>
        <v>0.03</v>
      </c>
    </row>
    <row r="183" spans="1:6" ht="18" customHeight="1">
      <c r="A183" t="s">
        <v>245</v>
      </c>
      <c r="B183" t="s">
        <v>386</v>
      </c>
      <c r="C183">
        <f>'Ka Long'!D44</f>
        <v>0</v>
      </c>
      <c r="D183">
        <f>'Ka Long'!AO67</f>
        <v>0</v>
      </c>
      <c r="E183">
        <f>'Ka Long'!BL44</f>
        <v>0</v>
      </c>
      <c r="F183">
        <f t="shared" si="7"/>
        <v>0</v>
      </c>
    </row>
    <row r="184" spans="1:6" ht="18" customHeight="1">
      <c r="A184" t="s">
        <v>246</v>
      </c>
      <c r="B184" t="s">
        <v>387</v>
      </c>
      <c r="C184">
        <f>'Ninh Duong'!D44</f>
        <v>0.01</v>
      </c>
      <c r="D184">
        <f>'Ninh Duong'!AO67</f>
        <v>0</v>
      </c>
      <c r="E184">
        <f>'Ninh Duong'!BL44</f>
        <v>0</v>
      </c>
      <c r="F184">
        <f t="shared" si="7"/>
        <v>0.01</v>
      </c>
    </row>
    <row r="185" spans="1:6" ht="18" customHeight="1">
      <c r="A185" t="s">
        <v>247</v>
      </c>
      <c r="B185" t="s">
        <v>388</v>
      </c>
      <c r="C185">
        <f>'Hoa Lac'!D44</f>
        <v>0.17</v>
      </c>
      <c r="D185">
        <f>'Hoa Lac'!AO67</f>
        <v>0</v>
      </c>
      <c r="E185">
        <f>'Hoa Lac'!BL44</f>
        <v>0</v>
      </c>
      <c r="F185">
        <f t="shared" si="7"/>
        <v>0.17</v>
      </c>
    </row>
    <row r="186" spans="1:6" ht="18" customHeight="1">
      <c r="A186" t="s">
        <v>248</v>
      </c>
      <c r="B186" t="s">
        <v>389</v>
      </c>
      <c r="C186">
        <f>'Tran Phu'!D44</f>
        <v>0</v>
      </c>
      <c r="D186">
        <f>'Tran Phu'!AO67</f>
        <v>0</v>
      </c>
      <c r="E186">
        <f>'Tran Phu'!BL44</f>
        <v>0</v>
      </c>
      <c r="F186">
        <f t="shared" si="7"/>
        <v>0</v>
      </c>
    </row>
    <row r="187" spans="1:6" ht="18" customHeight="1">
      <c r="A187" t="s">
        <v>249</v>
      </c>
      <c r="B187" t="s">
        <v>390</v>
      </c>
      <c r="C187">
        <f>'Hai Hoa'!D44</f>
        <v>0.02</v>
      </c>
      <c r="D187">
        <f>'Hai Hoa'!AO67</f>
        <v>0</v>
      </c>
      <c r="E187">
        <f>'Hai Hoa'!BL44</f>
        <v>0</v>
      </c>
      <c r="F187">
        <f t="shared" si="7"/>
        <v>0.02</v>
      </c>
    </row>
    <row r="188" spans="1:6" ht="18" customHeight="1">
      <c r="A188" t="s">
        <v>250</v>
      </c>
      <c r="B188" t="s">
        <v>391</v>
      </c>
      <c r="C188">
        <f>'Tra Co'!D44</f>
        <v>0.25</v>
      </c>
      <c r="D188">
        <f>'Tra Co'!AO67</f>
        <v>0</v>
      </c>
      <c r="E188">
        <f>'Tra Co'!BL44</f>
        <v>0</v>
      </c>
      <c r="F188">
        <f t="shared" si="7"/>
        <v>0.25</v>
      </c>
    </row>
    <row r="189" spans="1:6" ht="18" customHeight="1">
      <c r="A189" t="s">
        <v>251</v>
      </c>
      <c r="B189" t="s">
        <v>392</v>
      </c>
      <c r="C189">
        <f>'Binh Ngoc'!D44</f>
        <v>0.02</v>
      </c>
      <c r="D189">
        <f>'Binh Ngoc'!AO67</f>
        <v>0</v>
      </c>
      <c r="E189">
        <f>'Binh Ngoc'!BL44</f>
        <v>0</v>
      </c>
      <c r="F189">
        <f t="shared" si="7"/>
        <v>0.02</v>
      </c>
    </row>
    <row r="190" spans="1:6" ht="18" customHeight="1">
      <c r="A190" t="s">
        <v>252</v>
      </c>
      <c r="B190" t="s">
        <v>393</v>
      </c>
      <c r="C190">
        <f>'Lien vị'!D44</f>
        <v>0</v>
      </c>
      <c r="D190">
        <f>'Lien vị'!AO67</f>
        <v>0</v>
      </c>
      <c r="E190">
        <f>'Lien vị'!BL44</f>
        <v>0</v>
      </c>
      <c r="F190">
        <f t="shared" si="7"/>
        <v>0</v>
      </c>
    </row>
    <row r="191" spans="1:6" ht="18" customHeight="1">
      <c r="A191" t="s">
        <v>253</v>
      </c>
      <c r="B191" t="s">
        <v>394</v>
      </c>
      <c r="C191">
        <f>'Tien Phong'!D44</f>
        <v>0</v>
      </c>
      <c r="D191">
        <f>'Tien Phong'!AO67</f>
        <v>0</v>
      </c>
      <c r="E191">
        <f>'Tien Phong'!BL44</f>
        <v>0</v>
      </c>
      <c r="F191">
        <f t="shared" si="7"/>
        <v>0</v>
      </c>
    </row>
    <row r="192" spans="1:6" ht="24" customHeight="1">
      <c r="B192" t="s">
        <v>370</v>
      </c>
      <c r="C192">
        <f>SUM(C173:C191)</f>
        <v>1.49255</v>
      </c>
      <c r="D192">
        <f>SUM(D173:D191)</f>
        <v>0</v>
      </c>
      <c r="E192">
        <f>SUM(E173:E191)</f>
        <v>0</v>
      </c>
      <c r="F192">
        <f>SUM(F173:F191)</f>
        <v>1.49255</v>
      </c>
    </row>
    <row r="193" spans="1:6">
      <c r="A193" s="1300" t="s">
        <v>431</v>
      </c>
      <c r="B193" s="1300"/>
    </row>
    <row r="194" spans="1:6" ht="23.25" customHeight="1">
      <c r="A194" s="1300" t="s">
        <v>454</v>
      </c>
      <c r="B194" s="1300"/>
      <c r="C194" s="1300"/>
      <c r="D194" s="1300"/>
      <c r="E194" s="1300"/>
      <c r="F194" s="1300"/>
    </row>
    <row r="195" spans="1:6" ht="18.75" customHeight="1">
      <c r="A195" s="1300" t="s">
        <v>138</v>
      </c>
      <c r="B195" s="1300"/>
      <c r="C195" s="1300"/>
      <c r="D195" s="1300"/>
      <c r="E195" s="1300"/>
      <c r="F195" s="1300"/>
    </row>
    <row r="196" spans="1:6" ht="51" customHeight="1">
      <c r="A196" t="s">
        <v>368</v>
      </c>
      <c r="B196" t="s">
        <v>369</v>
      </c>
      <c r="C196" t="s">
        <v>373</v>
      </c>
      <c r="D196" t="s">
        <v>371</v>
      </c>
      <c r="E196" t="s">
        <v>372</v>
      </c>
      <c r="F196" t="s">
        <v>366</v>
      </c>
    </row>
    <row r="197" spans="1:6" ht="18" customHeight="1">
      <c r="A197" t="s">
        <v>235</v>
      </c>
      <c r="B197" t="s">
        <v>376</v>
      </c>
      <c r="C197">
        <f>'Bac Son'!D45</f>
        <v>1.01</v>
      </c>
      <c r="D197">
        <f>'Bac Son'!AP67</f>
        <v>1</v>
      </c>
      <c r="E197">
        <f>'Bac Son'!BL45</f>
        <v>0</v>
      </c>
      <c r="F197">
        <f>C197+D197-E197</f>
        <v>2.0099999999999998</v>
      </c>
    </row>
    <row r="198" spans="1:6" ht="18" customHeight="1">
      <c r="A198" t="s">
        <v>236</v>
      </c>
      <c r="B198" t="s">
        <v>377</v>
      </c>
      <c r="C198">
        <f>'Hai Son'!D45</f>
        <v>0.22162000000000001</v>
      </c>
      <c r="D198">
        <f>'Hai Son'!AP67</f>
        <v>0</v>
      </c>
      <c r="E198">
        <f>'Hai Son'!BL45</f>
        <v>0</v>
      </c>
      <c r="F198">
        <f t="shared" ref="F198:F215" si="8">C198+D198-E198</f>
        <v>0.22162000000000001</v>
      </c>
    </row>
    <row r="199" spans="1:6" ht="18" customHeight="1">
      <c r="A199" t="s">
        <v>237</v>
      </c>
      <c r="B199" t="s">
        <v>378</v>
      </c>
      <c r="C199">
        <f>'Quang Nghia'!D45</f>
        <v>0.36</v>
      </c>
      <c r="D199">
        <f>'Quang Nghia'!AP67</f>
        <v>0</v>
      </c>
      <c r="E199">
        <f>'Quang Nghia'!BL45</f>
        <v>0</v>
      </c>
      <c r="F199">
        <f t="shared" si="8"/>
        <v>0.36</v>
      </c>
    </row>
    <row r="200" spans="1:6" ht="18" customHeight="1">
      <c r="A200" t="s">
        <v>238</v>
      </c>
      <c r="B200" t="s">
        <v>379</v>
      </c>
      <c r="C200">
        <f>'Hai Dong'!D45</f>
        <v>3.45</v>
      </c>
      <c r="D200">
        <f>'Hai Dong'!AP67</f>
        <v>2.9</v>
      </c>
      <c r="E200">
        <f>'Hai Dong'!BL45</f>
        <v>0</v>
      </c>
      <c r="F200">
        <f t="shared" si="8"/>
        <v>6.35</v>
      </c>
    </row>
    <row r="201" spans="1:6" ht="18" customHeight="1">
      <c r="A201" t="s">
        <v>239</v>
      </c>
      <c r="B201" t="s">
        <v>380</v>
      </c>
      <c r="C201">
        <f>'Hai Tien'!D45</f>
        <v>0</v>
      </c>
      <c r="D201">
        <f>'Hai Tien'!AP67</f>
        <v>0</v>
      </c>
      <c r="E201">
        <f>'Hai Tien'!BL45</f>
        <v>0</v>
      </c>
      <c r="F201">
        <f t="shared" si="8"/>
        <v>0</v>
      </c>
    </row>
    <row r="202" spans="1:6" ht="18" customHeight="1">
      <c r="A202" t="s">
        <v>240</v>
      </c>
      <c r="B202" t="s">
        <v>381</v>
      </c>
      <c r="C202">
        <f>'Hai Xuan'!D45</f>
        <v>0.19</v>
      </c>
      <c r="D202">
        <f>'Hai Xuan'!AP67</f>
        <v>0</v>
      </c>
      <c r="E202">
        <f>'Hai Xuan'!BL45</f>
        <v>0</v>
      </c>
      <c r="F202">
        <f t="shared" si="8"/>
        <v>0.19</v>
      </c>
    </row>
    <row r="203" spans="1:6" ht="18" customHeight="1">
      <c r="A203" t="s">
        <v>241</v>
      </c>
      <c r="B203" t="s">
        <v>382</v>
      </c>
      <c r="C203">
        <f>'Van Ninh'!D45</f>
        <v>0</v>
      </c>
      <c r="D203">
        <f>'Van Ninh'!AP68</f>
        <v>0</v>
      </c>
      <c r="E203">
        <f>'Van Ninh'!BL45</f>
        <v>0</v>
      </c>
      <c r="F203">
        <f t="shared" si="8"/>
        <v>0</v>
      </c>
    </row>
    <row r="204" spans="1:6" ht="18" customHeight="1">
      <c r="A204" t="s">
        <v>242</v>
      </c>
      <c r="B204" t="s">
        <v>383</v>
      </c>
      <c r="C204">
        <f>'Vinh Trung'!D45</f>
        <v>0</v>
      </c>
      <c r="D204">
        <f>'Vinh Trung'!AP68</f>
        <v>0</v>
      </c>
      <c r="E204">
        <f>'Vinh Trung'!BL45</f>
        <v>0</v>
      </c>
      <c r="F204">
        <f t="shared" si="8"/>
        <v>0</v>
      </c>
    </row>
    <row r="205" spans="1:6" ht="18" customHeight="1">
      <c r="A205" t="s">
        <v>243</v>
      </c>
      <c r="B205" t="s">
        <v>384</v>
      </c>
      <c r="C205">
        <f>'Vinh Thuc'!D45</f>
        <v>0</v>
      </c>
      <c r="D205">
        <f>'Vinh Thuc'!AP67</f>
        <v>0</v>
      </c>
      <c r="E205">
        <f>'Vinh Thuc'!BL45</f>
        <v>0</v>
      </c>
      <c r="F205">
        <f t="shared" si="8"/>
        <v>0</v>
      </c>
    </row>
    <row r="206" spans="1:6" ht="18" customHeight="1">
      <c r="A206" t="s">
        <v>244</v>
      </c>
      <c r="B206" t="s">
        <v>385</v>
      </c>
      <c r="C206">
        <f>'Hai Yen'!D45</f>
        <v>0.28000000000000003</v>
      </c>
      <c r="D206">
        <f>'Hai Yen'!AP68</f>
        <v>0</v>
      </c>
      <c r="E206">
        <f>'Hai Yen'!BL45</f>
        <v>0</v>
      </c>
      <c r="F206">
        <f t="shared" si="8"/>
        <v>0.28000000000000003</v>
      </c>
    </row>
    <row r="207" spans="1:6" ht="18" customHeight="1">
      <c r="A207" t="s">
        <v>245</v>
      </c>
      <c r="B207" t="s">
        <v>386</v>
      </c>
      <c r="C207">
        <f>'Ka Long'!D45</f>
        <v>0.85</v>
      </c>
      <c r="D207">
        <f>'Ka Long'!AP67</f>
        <v>0</v>
      </c>
      <c r="E207">
        <f>'Ka Long'!BL45</f>
        <v>0</v>
      </c>
      <c r="F207">
        <f t="shared" si="8"/>
        <v>0.85</v>
      </c>
    </row>
    <row r="208" spans="1:6" ht="18" customHeight="1">
      <c r="A208" t="s">
        <v>246</v>
      </c>
      <c r="B208" t="s">
        <v>387</v>
      </c>
      <c r="C208">
        <f>'Ninh Duong'!D45</f>
        <v>0.43</v>
      </c>
      <c r="D208">
        <f>'Ninh Duong'!AP67</f>
        <v>0</v>
      </c>
      <c r="E208">
        <f>'Ninh Duong'!BL45</f>
        <v>0</v>
      </c>
      <c r="F208">
        <f t="shared" si="8"/>
        <v>0.43</v>
      </c>
    </row>
    <row r="209" spans="1:6" ht="18" customHeight="1">
      <c r="A209" t="s">
        <v>247</v>
      </c>
      <c r="B209" t="s">
        <v>388</v>
      </c>
      <c r="C209">
        <f>'Hoa Lac'!D45</f>
        <v>0.6</v>
      </c>
      <c r="D209">
        <f>'Hoa Lac'!AP67</f>
        <v>0</v>
      </c>
      <c r="E209">
        <f>'Hoa Lac'!BL45</f>
        <v>0</v>
      </c>
      <c r="F209">
        <f t="shared" si="8"/>
        <v>0.6</v>
      </c>
    </row>
    <row r="210" spans="1:6" ht="18" customHeight="1">
      <c r="A210" t="s">
        <v>248</v>
      </c>
      <c r="B210" t="s">
        <v>389</v>
      </c>
      <c r="C210">
        <f>'Tran Phu'!D45</f>
        <v>4.42</v>
      </c>
      <c r="D210">
        <f>'Tran Phu'!AP67</f>
        <v>0</v>
      </c>
      <c r="E210">
        <f>'Tran Phu'!BL45</f>
        <v>0</v>
      </c>
      <c r="F210">
        <f t="shared" si="8"/>
        <v>4.42</v>
      </c>
    </row>
    <row r="211" spans="1:6" ht="18" customHeight="1">
      <c r="A211" t="s">
        <v>249</v>
      </c>
      <c r="B211" t="s">
        <v>390</v>
      </c>
      <c r="C211">
        <f>'Hai Hoa'!D45</f>
        <v>0.09</v>
      </c>
      <c r="D211">
        <f>'Hai Hoa'!AP67</f>
        <v>0</v>
      </c>
      <c r="E211">
        <f>'Hai Hoa'!BL45</f>
        <v>0</v>
      </c>
      <c r="F211">
        <f t="shared" si="8"/>
        <v>0.09</v>
      </c>
    </row>
    <row r="212" spans="1:6" ht="18" customHeight="1">
      <c r="A212" t="s">
        <v>250</v>
      </c>
      <c r="B212" t="s">
        <v>391</v>
      </c>
      <c r="C212">
        <f>'Tra Co'!D45</f>
        <v>0</v>
      </c>
      <c r="D212">
        <f>'Tra Co'!AP67</f>
        <v>0</v>
      </c>
      <c r="E212">
        <f>'Tra Co'!BL45</f>
        <v>0</v>
      </c>
      <c r="F212">
        <f t="shared" si="8"/>
        <v>0</v>
      </c>
    </row>
    <row r="213" spans="1:6" ht="18" customHeight="1">
      <c r="A213" t="s">
        <v>251</v>
      </c>
      <c r="B213" t="s">
        <v>392</v>
      </c>
      <c r="C213">
        <f>'Binh Ngoc'!D45</f>
        <v>0.08</v>
      </c>
      <c r="D213">
        <f>'Binh Ngoc'!AP67</f>
        <v>0</v>
      </c>
      <c r="E213">
        <f>'Binh Ngoc'!BL45</f>
        <v>0</v>
      </c>
      <c r="F213">
        <f t="shared" si="8"/>
        <v>0.08</v>
      </c>
    </row>
    <row r="214" spans="1:6" ht="18" customHeight="1">
      <c r="A214" t="s">
        <v>252</v>
      </c>
      <c r="B214" t="s">
        <v>393</v>
      </c>
      <c r="C214">
        <f>'Lien vị'!D45</f>
        <v>0</v>
      </c>
      <c r="D214">
        <f>'Lien vị'!AP67</f>
        <v>0</v>
      </c>
      <c r="E214">
        <f>'Lien vị'!BL45</f>
        <v>0</v>
      </c>
      <c r="F214">
        <f t="shared" si="8"/>
        <v>0</v>
      </c>
    </row>
    <row r="215" spans="1:6" ht="18" customHeight="1">
      <c r="A215" t="s">
        <v>253</v>
      </c>
      <c r="B215" t="s">
        <v>394</v>
      </c>
      <c r="C215">
        <f>'Tien Phong'!D45</f>
        <v>0</v>
      </c>
      <c r="D215">
        <f>'Tien Phong'!AP67</f>
        <v>0</v>
      </c>
      <c r="E215">
        <f>'Tien Phong'!BL45</f>
        <v>0</v>
      </c>
      <c r="F215">
        <f t="shared" si="8"/>
        <v>0</v>
      </c>
    </row>
    <row r="216" spans="1:6" ht="24" customHeight="1">
      <c r="B216" t="s">
        <v>370</v>
      </c>
      <c r="C216">
        <f>SUM(C197:C215)</f>
        <v>11.981619999999999</v>
      </c>
      <c r="D216">
        <f>SUM(D197:D215)</f>
        <v>3.9</v>
      </c>
      <c r="E216">
        <f>SUM(E197:E215)</f>
        <v>0</v>
      </c>
      <c r="F216">
        <f>SUM(F197:F215)</f>
        <v>15.881619999999998</v>
      </c>
    </row>
  </sheetData>
  <mergeCells count="27">
    <mergeCell ref="A193:B193"/>
    <mergeCell ref="A194:F194"/>
    <mergeCell ref="A195:F195"/>
    <mergeCell ref="A147:F147"/>
    <mergeCell ref="A169:B169"/>
    <mergeCell ref="A170:F170"/>
    <mergeCell ref="A171:F171"/>
    <mergeCell ref="A122:F122"/>
    <mergeCell ref="A123:F123"/>
    <mergeCell ref="A145:B145"/>
    <mergeCell ref="A146:F146"/>
    <mergeCell ref="A97:B97"/>
    <mergeCell ref="A98:F98"/>
    <mergeCell ref="A99:F99"/>
    <mergeCell ref="A121:B121"/>
    <mergeCell ref="A73:B73"/>
    <mergeCell ref="A74:F74"/>
    <mergeCell ref="A75:F75"/>
    <mergeCell ref="A26:F26"/>
    <mergeCell ref="A27:F27"/>
    <mergeCell ref="A49:B49"/>
    <mergeCell ref="A50:F50"/>
    <mergeCell ref="A1:B1"/>
    <mergeCell ref="A2:F2"/>
    <mergeCell ref="A3:F3"/>
    <mergeCell ref="A25:B25"/>
    <mergeCell ref="A51:F51"/>
  </mergeCells>
  <phoneticPr fontId="4" type="noConversion"/>
  <pageMargins left="0.75" right="0.75" top="1" bottom="1" header="0.5" footer="0.5"/>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O30"/>
  <sheetViews>
    <sheetView showZeros="0" workbookViewId="0">
      <selection activeCell="J7" sqref="J7"/>
    </sheetView>
  </sheetViews>
  <sheetFormatPr defaultRowHeight="12.75"/>
  <cols>
    <col min="1" max="1" width="6.140625" customWidth="1"/>
    <col min="2" max="2" width="17.140625" customWidth="1"/>
    <col min="3" max="3" width="10.7109375" customWidth="1"/>
    <col min="4" max="4" width="9.42578125" customWidth="1"/>
    <col min="5" max="6" width="9.28515625" hidden="1" customWidth="1"/>
    <col min="7" max="7" width="11.5703125" customWidth="1"/>
    <col min="8" max="8" width="12.28515625" customWidth="1"/>
    <col min="9" max="9" width="7.5703125" customWidth="1"/>
    <col min="10" max="10" width="22.7109375" customWidth="1"/>
    <col min="11" max="11" width="11.7109375" customWidth="1"/>
    <col min="12" max="12" width="12.140625" customWidth="1"/>
    <col min="13" max="13" width="10.140625" customWidth="1"/>
    <col min="14" max="14" width="10.42578125" customWidth="1"/>
    <col min="15" max="15" width="11.42578125" customWidth="1"/>
  </cols>
  <sheetData>
    <row r="1" spans="1:15" ht="22.5" customHeight="1">
      <c r="A1" s="47" t="s">
        <v>623</v>
      </c>
      <c r="B1" s="40"/>
      <c r="C1" s="40"/>
      <c r="D1" s="40"/>
      <c r="E1" s="40"/>
      <c r="F1" s="40"/>
      <c r="G1" s="40"/>
      <c r="H1" s="40"/>
    </row>
    <row r="2" spans="1:15" ht="21.75" customHeight="1">
      <c r="A2" s="1370" t="s">
        <v>699</v>
      </c>
      <c r="B2" s="1370"/>
      <c r="C2" s="1370"/>
      <c r="D2" s="1370"/>
      <c r="E2" s="1370"/>
      <c r="F2" s="1370"/>
      <c r="G2" s="1370"/>
      <c r="H2" s="1370"/>
    </row>
    <row r="3" spans="1:15" ht="25.5" customHeight="1">
      <c r="A3" s="1370" t="s">
        <v>766</v>
      </c>
      <c r="B3" s="1370"/>
      <c r="C3" s="1370"/>
      <c r="D3" s="1370"/>
      <c r="E3" s="1370"/>
      <c r="F3" s="1370"/>
      <c r="G3" s="1370"/>
      <c r="H3" s="1370"/>
    </row>
    <row r="4" spans="1:15" ht="15" customHeight="1" thickBot="1">
      <c r="A4" s="40"/>
      <c r="B4" s="40"/>
      <c r="C4" s="40"/>
      <c r="D4" s="40"/>
      <c r="E4" s="40"/>
      <c r="F4" s="40"/>
      <c r="G4" s="1377" t="s">
        <v>138</v>
      </c>
      <c r="H4" s="1377"/>
      <c r="I4" s="1280" t="s">
        <v>0</v>
      </c>
      <c r="J4" s="1280" t="s">
        <v>369</v>
      </c>
      <c r="K4" s="1280" t="s">
        <v>494</v>
      </c>
      <c r="L4" s="1380" t="s">
        <v>495</v>
      </c>
      <c r="M4" s="1380" t="s">
        <v>496</v>
      </c>
      <c r="N4" s="1378" t="s">
        <v>497</v>
      </c>
      <c r="O4" s="1378"/>
    </row>
    <row r="5" spans="1:15" ht="30.75" customHeight="1" thickTop="1">
      <c r="A5" s="1371" t="s">
        <v>368</v>
      </c>
      <c r="B5" s="1373" t="s">
        <v>979</v>
      </c>
      <c r="C5" s="1373" t="s">
        <v>456</v>
      </c>
      <c r="D5" s="1373" t="s">
        <v>457</v>
      </c>
      <c r="E5" s="1373" t="s">
        <v>458</v>
      </c>
      <c r="F5" s="1373"/>
      <c r="G5" s="1373" t="s">
        <v>459</v>
      </c>
      <c r="H5" s="1375" t="s">
        <v>460</v>
      </c>
      <c r="I5" s="1379"/>
      <c r="J5" s="1280"/>
      <c r="K5" s="1280"/>
      <c r="L5" s="1380"/>
      <c r="M5" s="1380"/>
      <c r="N5" s="1280" t="s">
        <v>498</v>
      </c>
      <c r="O5" s="1280" t="s">
        <v>344</v>
      </c>
    </row>
    <row r="6" spans="1:15" ht="21" customHeight="1">
      <c r="A6" s="1372"/>
      <c r="B6" s="1374"/>
      <c r="C6" s="1374"/>
      <c r="D6" s="1374"/>
      <c r="E6" s="645"/>
      <c r="F6" s="645"/>
      <c r="G6" s="1374"/>
      <c r="H6" s="1376"/>
      <c r="I6" s="1379"/>
      <c r="J6" s="1280"/>
      <c r="K6" s="1280"/>
      <c r="L6" s="1380"/>
      <c r="M6" s="1380"/>
      <c r="N6" s="1280"/>
      <c r="O6" s="1280"/>
    </row>
    <row r="7" spans="1:15" ht="18.75" customHeight="1">
      <c r="A7" s="646" t="s">
        <v>235</v>
      </c>
      <c r="B7" s="647" t="s">
        <v>744</v>
      </c>
      <c r="C7" s="648">
        <f>PHỤLỤCNN!C5</f>
        <v>216.71</v>
      </c>
      <c r="D7" s="649">
        <f>SUM(E7:F7)</f>
        <v>0</v>
      </c>
      <c r="E7" s="649">
        <f>'Bac Son'!H61</f>
        <v>0</v>
      </c>
      <c r="F7" s="649">
        <f>'Bac Son'!H64</f>
        <v>0</v>
      </c>
      <c r="G7" s="649">
        <f>PHỤLỤCNN!E5</f>
        <v>0.91</v>
      </c>
      <c r="H7" s="650">
        <f>C7+D7-G7</f>
        <v>215.8</v>
      </c>
      <c r="I7" s="643" t="s">
        <v>235</v>
      </c>
      <c r="J7" s="475" t="s">
        <v>744</v>
      </c>
      <c r="K7" s="60">
        <v>122.51</v>
      </c>
      <c r="L7" s="60">
        <v>21.48</v>
      </c>
      <c r="M7" s="60">
        <f>H7</f>
        <v>215.8</v>
      </c>
      <c r="N7" s="60">
        <f>M7-K7</f>
        <v>93.29</v>
      </c>
      <c r="O7" s="60">
        <f>M7-L7</f>
        <v>194.32000000000002</v>
      </c>
    </row>
    <row r="8" spans="1:15" ht="18.75" customHeight="1">
      <c r="A8" s="646" t="s">
        <v>236</v>
      </c>
      <c r="B8" s="647" t="s">
        <v>745</v>
      </c>
      <c r="C8" s="648">
        <f>PHỤLỤCNN!C6</f>
        <v>140.62225000000001</v>
      </c>
      <c r="D8" s="649">
        <f t="shared" ref="D8:D23" si="0">SUM(E8:F8)</f>
        <v>0</v>
      </c>
      <c r="E8" s="649">
        <f>'Hai Son'!H61</f>
        <v>0</v>
      </c>
      <c r="F8" s="649">
        <f>'Hai Son'!H64</f>
        <v>0</v>
      </c>
      <c r="G8" s="649">
        <f>PHỤLỤCNN!E6</f>
        <v>7.0000000000000007E-2</v>
      </c>
      <c r="H8" s="650">
        <f t="shared" ref="H8:H23" si="1">C8+D8-G8</f>
        <v>140.55225000000002</v>
      </c>
      <c r="I8" s="644" t="s">
        <v>236</v>
      </c>
      <c r="J8" s="476" t="s">
        <v>745</v>
      </c>
      <c r="K8" s="61">
        <v>304.45</v>
      </c>
      <c r="L8" s="61">
        <v>157.75</v>
      </c>
      <c r="M8" s="61">
        <f t="shared" ref="M8:M23" si="2">H8</f>
        <v>140.55225000000002</v>
      </c>
      <c r="N8" s="61">
        <f t="shared" ref="N8:N23" si="3">M8-K8</f>
        <v>-163.89774999999997</v>
      </c>
      <c r="O8" s="61">
        <f t="shared" ref="O8:O23" si="4">M8-L8</f>
        <v>-17.197749999999985</v>
      </c>
    </row>
    <row r="9" spans="1:15" ht="18.75" customHeight="1">
      <c r="A9" s="646" t="s">
        <v>237</v>
      </c>
      <c r="B9" s="647" t="s">
        <v>746</v>
      </c>
      <c r="C9" s="648">
        <f>PHỤLỤCNN!C7</f>
        <v>234.95</v>
      </c>
      <c r="D9" s="649">
        <f t="shared" si="0"/>
        <v>0</v>
      </c>
      <c r="E9" s="649">
        <f>'Quang Nghia'!H61</f>
        <v>0</v>
      </c>
      <c r="F9" s="649">
        <f>'Quang Nghia'!H64</f>
        <v>0</v>
      </c>
      <c r="G9" s="649">
        <f>PHỤLỤCNN!E7</f>
        <v>4.1599999999999993</v>
      </c>
      <c r="H9" s="650">
        <f t="shared" si="1"/>
        <v>230.79</v>
      </c>
      <c r="I9" s="644" t="s">
        <v>237</v>
      </c>
      <c r="J9" s="476" t="s">
        <v>746</v>
      </c>
      <c r="K9" s="61">
        <v>318.48</v>
      </c>
      <c r="L9" s="61">
        <v>269.73</v>
      </c>
      <c r="M9" s="61">
        <f t="shared" si="2"/>
        <v>230.79</v>
      </c>
      <c r="N9" s="61">
        <f t="shared" si="3"/>
        <v>-87.690000000000026</v>
      </c>
      <c r="O9" s="61">
        <f t="shared" si="4"/>
        <v>-38.940000000000026</v>
      </c>
    </row>
    <row r="10" spans="1:15" ht="18.75" customHeight="1">
      <c r="A10" s="646" t="s">
        <v>238</v>
      </c>
      <c r="B10" s="647" t="s">
        <v>747</v>
      </c>
      <c r="C10" s="648">
        <f>PHỤLỤCNN!C8</f>
        <v>231.57999999999998</v>
      </c>
      <c r="D10" s="649">
        <f t="shared" si="0"/>
        <v>0</v>
      </c>
      <c r="E10" s="649">
        <f>'Hai Dong'!H61</f>
        <v>0</v>
      </c>
      <c r="F10" s="649">
        <f>'Hai Dong'!H64</f>
        <v>0</v>
      </c>
      <c r="G10" s="649">
        <f>PHỤLỤCNN!E8</f>
        <v>0.73</v>
      </c>
      <c r="H10" s="650">
        <f t="shared" si="1"/>
        <v>230.85</v>
      </c>
      <c r="I10" s="644" t="s">
        <v>238</v>
      </c>
      <c r="J10" s="476" t="s">
        <v>747</v>
      </c>
      <c r="K10" s="61">
        <v>249.82</v>
      </c>
      <c r="L10" s="61">
        <v>220.97</v>
      </c>
      <c r="M10" s="61">
        <f t="shared" si="2"/>
        <v>230.85</v>
      </c>
      <c r="N10" s="61">
        <f t="shared" si="3"/>
        <v>-18.97</v>
      </c>
      <c r="O10" s="61">
        <f t="shared" si="4"/>
        <v>9.8799999999999955</v>
      </c>
    </row>
    <row r="11" spans="1:15" ht="18.75" customHeight="1">
      <c r="A11" s="646" t="s">
        <v>239</v>
      </c>
      <c r="B11" s="647" t="s">
        <v>748</v>
      </c>
      <c r="C11" s="648">
        <f>PHỤLỤCNN!C9</f>
        <v>279.36</v>
      </c>
      <c r="D11" s="649">
        <f t="shared" si="0"/>
        <v>0</v>
      </c>
      <c r="E11" s="649">
        <f>'Hai Tien'!H61</f>
        <v>0</v>
      </c>
      <c r="F11" s="649">
        <f>'Hai Tien'!H64</f>
        <v>0</v>
      </c>
      <c r="G11" s="649">
        <f>PHỤLỤCNN!E9</f>
        <v>14.629999999999999</v>
      </c>
      <c r="H11" s="650">
        <f t="shared" si="1"/>
        <v>264.73</v>
      </c>
      <c r="I11" s="644" t="s">
        <v>239</v>
      </c>
      <c r="J11" s="476" t="s">
        <v>748</v>
      </c>
      <c r="K11" s="61">
        <v>94.09</v>
      </c>
      <c r="L11" s="61">
        <v>103.99</v>
      </c>
      <c r="M11" s="61">
        <f t="shared" si="2"/>
        <v>264.73</v>
      </c>
      <c r="N11" s="61">
        <f t="shared" si="3"/>
        <v>170.64000000000001</v>
      </c>
      <c r="O11" s="61">
        <f t="shared" si="4"/>
        <v>160.74</v>
      </c>
    </row>
    <row r="12" spans="1:15" ht="18.75" customHeight="1">
      <c r="A12" s="646" t="s">
        <v>240</v>
      </c>
      <c r="B12" s="647" t="s">
        <v>749</v>
      </c>
      <c r="C12" s="648">
        <f>PHỤLỤCNN!C10</f>
        <v>391.48</v>
      </c>
      <c r="D12" s="649">
        <f t="shared" si="0"/>
        <v>0</v>
      </c>
      <c r="E12" s="649">
        <f>'Hai Xuan'!H61</f>
        <v>0</v>
      </c>
      <c r="F12" s="649">
        <f>'Hai Xuan'!H64</f>
        <v>0</v>
      </c>
      <c r="G12" s="649">
        <f>PHỤLỤCNN!E10</f>
        <v>12.46</v>
      </c>
      <c r="H12" s="650">
        <f t="shared" si="1"/>
        <v>379.02000000000004</v>
      </c>
      <c r="I12" s="644" t="s">
        <v>240</v>
      </c>
      <c r="J12" s="476" t="s">
        <v>749</v>
      </c>
      <c r="K12" s="61">
        <v>253.12</v>
      </c>
      <c r="L12" s="61">
        <v>220.85</v>
      </c>
      <c r="M12" s="61">
        <f t="shared" si="2"/>
        <v>379.02000000000004</v>
      </c>
      <c r="N12" s="61">
        <f t="shared" si="3"/>
        <v>125.90000000000003</v>
      </c>
      <c r="O12" s="61">
        <f t="shared" si="4"/>
        <v>158.17000000000004</v>
      </c>
    </row>
    <row r="13" spans="1:15" ht="18.75" customHeight="1">
      <c r="A13" s="646" t="s">
        <v>241</v>
      </c>
      <c r="B13" s="647" t="s">
        <v>750</v>
      </c>
      <c r="C13" s="648">
        <f>PHỤLỤCNN!C11</f>
        <v>223.16</v>
      </c>
      <c r="D13" s="649">
        <f t="shared" si="0"/>
        <v>0</v>
      </c>
      <c r="E13" s="649">
        <f>'Van Ninh'!H61</f>
        <v>0</v>
      </c>
      <c r="F13" s="649">
        <f>'Van Ninh'!H64</f>
        <v>0</v>
      </c>
      <c r="G13" s="649">
        <f>PHỤLỤCNN!E11</f>
        <v>5.48</v>
      </c>
      <c r="H13" s="650">
        <f t="shared" si="1"/>
        <v>217.68</v>
      </c>
      <c r="I13" s="644" t="s">
        <v>241</v>
      </c>
      <c r="J13" s="476" t="s">
        <v>750</v>
      </c>
      <c r="K13" s="61">
        <v>91.36</v>
      </c>
      <c r="L13" s="61">
        <v>64.069999999999993</v>
      </c>
      <c r="M13" s="61">
        <f t="shared" si="2"/>
        <v>217.68</v>
      </c>
      <c r="N13" s="61">
        <f t="shared" si="3"/>
        <v>126.32000000000001</v>
      </c>
      <c r="O13" s="61">
        <f t="shared" si="4"/>
        <v>153.61000000000001</v>
      </c>
    </row>
    <row r="14" spans="1:15" ht="18.75" customHeight="1">
      <c r="A14" s="646" t="s">
        <v>242</v>
      </c>
      <c r="B14" s="647" t="s">
        <v>751</v>
      </c>
      <c r="C14" s="648">
        <f>PHỤLỤCNN!C12</f>
        <v>172.05</v>
      </c>
      <c r="D14" s="649">
        <f t="shared" si="0"/>
        <v>0</v>
      </c>
      <c r="E14" s="649">
        <f>'Vinh Trung'!H61</f>
        <v>0</v>
      </c>
      <c r="F14" s="649">
        <f>'Vinh Trung'!H64</f>
        <v>0</v>
      </c>
      <c r="G14" s="649">
        <f>PHỤLỤCNN!E12</f>
        <v>0.3</v>
      </c>
      <c r="H14" s="650">
        <f t="shared" si="1"/>
        <v>171.75</v>
      </c>
      <c r="I14" s="644" t="s">
        <v>242</v>
      </c>
      <c r="J14" s="476" t="s">
        <v>751</v>
      </c>
      <c r="K14" s="61">
        <v>168.84</v>
      </c>
      <c r="L14" s="61">
        <v>133.66</v>
      </c>
      <c r="M14" s="61">
        <f t="shared" si="2"/>
        <v>171.75</v>
      </c>
      <c r="N14" s="61">
        <f t="shared" si="3"/>
        <v>2.9099999999999966</v>
      </c>
      <c r="O14" s="61">
        <f t="shared" si="4"/>
        <v>38.090000000000003</v>
      </c>
    </row>
    <row r="15" spans="1:15" ht="18.75" customHeight="1">
      <c r="A15" s="646" t="s">
        <v>243</v>
      </c>
      <c r="B15" s="647" t="s">
        <v>752</v>
      </c>
      <c r="C15" s="648">
        <f>PHỤLỤCNN!C13</f>
        <v>251.77999999999997</v>
      </c>
      <c r="D15" s="649">
        <f t="shared" si="0"/>
        <v>0</v>
      </c>
      <c r="E15" s="649">
        <f>'Vinh Thuc'!H61</f>
        <v>0</v>
      </c>
      <c r="F15" s="649">
        <f>'Vinh Thuc'!H64</f>
        <v>0</v>
      </c>
      <c r="G15" s="649">
        <f>PHỤLỤCNN!E13</f>
        <v>0.95000000000000007</v>
      </c>
      <c r="H15" s="650">
        <f t="shared" si="1"/>
        <v>250.82999999999998</v>
      </c>
      <c r="I15" s="644" t="s">
        <v>243</v>
      </c>
      <c r="J15" s="476" t="s">
        <v>752</v>
      </c>
      <c r="K15" s="61">
        <v>324.89999999999998</v>
      </c>
      <c r="L15" s="61">
        <v>288.13</v>
      </c>
      <c r="M15" s="61">
        <f t="shared" si="2"/>
        <v>250.82999999999998</v>
      </c>
      <c r="N15" s="61">
        <f t="shared" si="3"/>
        <v>-74.069999999999993</v>
      </c>
      <c r="O15" s="61">
        <f t="shared" si="4"/>
        <v>-37.300000000000011</v>
      </c>
    </row>
    <row r="16" spans="1:15" ht="18.75" customHeight="1">
      <c r="A16" s="646" t="s">
        <v>244</v>
      </c>
      <c r="B16" s="647" t="s">
        <v>753</v>
      </c>
      <c r="C16" s="648">
        <f>PHỤLỤCNN!C14</f>
        <v>306.83510000000001</v>
      </c>
      <c r="D16" s="649">
        <f t="shared" si="0"/>
        <v>0</v>
      </c>
      <c r="E16" s="649">
        <f>'Hai Yen'!H61</f>
        <v>0</v>
      </c>
      <c r="F16" s="649">
        <f>'Hai Yen'!H64</f>
        <v>0</v>
      </c>
      <c r="G16" s="649">
        <f>PHỤLỤCNN!E14</f>
        <v>20.399999999999999</v>
      </c>
      <c r="H16" s="650">
        <f t="shared" si="1"/>
        <v>286.43510000000003</v>
      </c>
      <c r="I16" s="644" t="s">
        <v>244</v>
      </c>
      <c r="J16" s="476" t="s">
        <v>753</v>
      </c>
      <c r="K16" s="61">
        <v>245.65</v>
      </c>
      <c r="L16" s="61">
        <v>204.36</v>
      </c>
      <c r="M16" s="61">
        <f t="shared" si="2"/>
        <v>286.43510000000003</v>
      </c>
      <c r="N16" s="61">
        <f t="shared" si="3"/>
        <v>40.785100000000028</v>
      </c>
      <c r="O16" s="61">
        <f t="shared" si="4"/>
        <v>82.07510000000002</v>
      </c>
    </row>
    <row r="17" spans="1:15" ht="18.75" hidden="1" customHeight="1">
      <c r="A17" s="646" t="s">
        <v>245</v>
      </c>
      <c r="B17" s="647" t="s">
        <v>754</v>
      </c>
      <c r="C17" s="648">
        <f>PHỤLỤCNN!C15</f>
        <v>0</v>
      </c>
      <c r="D17" s="649">
        <f t="shared" si="0"/>
        <v>0</v>
      </c>
      <c r="E17" s="649">
        <f>'Ka Long'!H61</f>
        <v>0</v>
      </c>
      <c r="F17" s="649">
        <f>'Ka Long'!H64</f>
        <v>0</v>
      </c>
      <c r="G17" s="649">
        <f>PHỤLỤCNN!E15</f>
        <v>0</v>
      </c>
      <c r="H17" s="650">
        <f t="shared" si="1"/>
        <v>0</v>
      </c>
      <c r="I17" s="644" t="s">
        <v>245</v>
      </c>
      <c r="J17" s="476" t="s">
        <v>754</v>
      </c>
      <c r="K17" s="61">
        <v>264.47000000000003</v>
      </c>
      <c r="L17" s="61">
        <v>211.37</v>
      </c>
      <c r="M17" s="61">
        <f t="shared" si="2"/>
        <v>0</v>
      </c>
      <c r="N17" s="61">
        <f t="shared" si="3"/>
        <v>-264.47000000000003</v>
      </c>
      <c r="O17" s="61">
        <f t="shared" si="4"/>
        <v>-211.37</v>
      </c>
    </row>
    <row r="18" spans="1:15" ht="18.75" customHeight="1">
      <c r="A18" s="646" t="s">
        <v>246</v>
      </c>
      <c r="B18" s="647" t="s">
        <v>755</v>
      </c>
      <c r="C18" s="648">
        <f>PHỤLỤCNN!C16</f>
        <v>252.77289999999999</v>
      </c>
      <c r="D18" s="649">
        <f t="shared" si="0"/>
        <v>0</v>
      </c>
      <c r="E18" s="649">
        <f>'Ninh Duong'!H61</f>
        <v>0</v>
      </c>
      <c r="F18" s="649">
        <f>'Ninh Duong'!H64</f>
        <v>0</v>
      </c>
      <c r="G18" s="649">
        <f>PHỤLỤCNN!E16</f>
        <v>18.59</v>
      </c>
      <c r="H18" s="650">
        <f t="shared" si="1"/>
        <v>234.18289999999999</v>
      </c>
      <c r="I18" s="644" t="s">
        <v>246</v>
      </c>
      <c r="J18" s="476" t="s">
        <v>755</v>
      </c>
      <c r="K18" s="61">
        <v>758.44</v>
      </c>
      <c r="L18" s="61">
        <v>727.16</v>
      </c>
      <c r="M18" s="61">
        <f t="shared" si="2"/>
        <v>234.18289999999999</v>
      </c>
      <c r="N18" s="61">
        <f t="shared" si="3"/>
        <v>-524.25710000000004</v>
      </c>
      <c r="O18" s="61">
        <f t="shared" si="4"/>
        <v>-492.97709999999995</v>
      </c>
    </row>
    <row r="19" spans="1:15" ht="18.75" hidden="1" customHeight="1">
      <c r="A19" s="646" t="s">
        <v>247</v>
      </c>
      <c r="B19" s="647" t="s">
        <v>756</v>
      </c>
      <c r="C19" s="648">
        <f>PHỤLỤCNN!C17</f>
        <v>0</v>
      </c>
      <c r="D19" s="649">
        <f t="shared" si="0"/>
        <v>0</v>
      </c>
      <c r="E19" s="649">
        <f>'Hoa Lac'!H61</f>
        <v>0</v>
      </c>
      <c r="F19" s="649">
        <f>'Hoa Lac'!H64</f>
        <v>0</v>
      </c>
      <c r="G19" s="649">
        <f>PHỤLỤCNN!E17</f>
        <v>0</v>
      </c>
      <c r="H19" s="650">
        <f t="shared" si="1"/>
        <v>0</v>
      </c>
      <c r="I19" s="644" t="s">
        <v>247</v>
      </c>
      <c r="J19" s="476" t="s">
        <v>756</v>
      </c>
      <c r="K19" s="61">
        <v>347.65</v>
      </c>
      <c r="L19" s="61">
        <v>337.25</v>
      </c>
      <c r="M19" s="61">
        <f t="shared" si="2"/>
        <v>0</v>
      </c>
      <c r="N19" s="61">
        <f t="shared" si="3"/>
        <v>-347.65</v>
      </c>
      <c r="O19" s="61">
        <f t="shared" si="4"/>
        <v>-337.25</v>
      </c>
    </row>
    <row r="20" spans="1:15" ht="18.75" hidden="1" customHeight="1">
      <c r="A20" s="646" t="s">
        <v>248</v>
      </c>
      <c r="B20" s="647" t="s">
        <v>757</v>
      </c>
      <c r="C20" s="648">
        <f>PHỤLỤCNN!C18</f>
        <v>0</v>
      </c>
      <c r="D20" s="649">
        <f t="shared" si="0"/>
        <v>0</v>
      </c>
      <c r="E20" s="649">
        <f>'Tran Phu'!H61</f>
        <v>0</v>
      </c>
      <c r="F20" s="649">
        <f>'Tran Phu'!H64</f>
        <v>0</v>
      </c>
      <c r="G20" s="649">
        <f>PHỤLỤCNN!E18</f>
        <v>0</v>
      </c>
      <c r="H20" s="650">
        <f t="shared" si="1"/>
        <v>0</v>
      </c>
      <c r="I20" s="644" t="s">
        <v>248</v>
      </c>
      <c r="J20" s="476" t="s">
        <v>757</v>
      </c>
      <c r="K20" s="61">
        <v>115.97</v>
      </c>
      <c r="L20" s="61">
        <v>93.96</v>
      </c>
      <c r="M20" s="61">
        <f t="shared" si="2"/>
        <v>0</v>
      </c>
      <c r="N20" s="61">
        <f t="shared" si="3"/>
        <v>-115.97</v>
      </c>
      <c r="O20" s="61">
        <f t="shared" si="4"/>
        <v>-93.96</v>
      </c>
    </row>
    <row r="21" spans="1:15" ht="18.75" customHeight="1">
      <c r="A21" s="646" t="s">
        <v>249</v>
      </c>
      <c r="B21" s="647" t="s">
        <v>758</v>
      </c>
      <c r="C21" s="648">
        <f>PHỤLỤCNN!C19</f>
        <v>347.36</v>
      </c>
      <c r="D21" s="649">
        <f t="shared" si="0"/>
        <v>0</v>
      </c>
      <c r="E21" s="649">
        <f>'Hai Hoa'!H61</f>
        <v>0</v>
      </c>
      <c r="F21" s="649">
        <f>'Hai Hoa'!H64</f>
        <v>0</v>
      </c>
      <c r="G21" s="649">
        <f>PHỤLỤCNN!E19</f>
        <v>88.820000000000007</v>
      </c>
      <c r="H21" s="650">
        <f t="shared" si="1"/>
        <v>258.54000000000002</v>
      </c>
      <c r="I21" s="644" t="s">
        <v>249</v>
      </c>
      <c r="J21" s="476" t="s">
        <v>758</v>
      </c>
      <c r="K21" s="61">
        <v>377.61</v>
      </c>
      <c r="L21" s="61">
        <v>343.98</v>
      </c>
      <c r="M21" s="61">
        <f t="shared" si="2"/>
        <v>258.54000000000002</v>
      </c>
      <c r="N21" s="61">
        <f t="shared" si="3"/>
        <v>-119.07</v>
      </c>
      <c r="O21" s="61">
        <f t="shared" si="4"/>
        <v>-85.44</v>
      </c>
    </row>
    <row r="22" spans="1:15" ht="18.75" customHeight="1">
      <c r="A22" s="646" t="s">
        <v>250</v>
      </c>
      <c r="B22" s="647" t="s">
        <v>759</v>
      </c>
      <c r="C22" s="648">
        <f>PHỤLỤCNN!C20</f>
        <v>17.09</v>
      </c>
      <c r="D22" s="649">
        <f t="shared" si="0"/>
        <v>0</v>
      </c>
      <c r="E22" s="649">
        <f>'Tra Co'!H61</f>
        <v>0</v>
      </c>
      <c r="F22" s="649">
        <f>'Tra Co'!H64</f>
        <v>0</v>
      </c>
      <c r="G22" s="649">
        <f>PHỤLỤCNN!E20</f>
        <v>0</v>
      </c>
      <c r="H22" s="650">
        <f t="shared" si="1"/>
        <v>17.09</v>
      </c>
      <c r="I22" s="644" t="s">
        <v>250</v>
      </c>
      <c r="J22" s="476" t="s">
        <v>759</v>
      </c>
      <c r="K22" s="61">
        <v>226.8</v>
      </c>
      <c r="L22" s="61">
        <v>196.74</v>
      </c>
      <c r="M22" s="61">
        <f t="shared" si="2"/>
        <v>17.09</v>
      </c>
      <c r="N22" s="61">
        <f t="shared" si="3"/>
        <v>-209.71</v>
      </c>
      <c r="O22" s="61">
        <f t="shared" si="4"/>
        <v>-179.65</v>
      </c>
    </row>
    <row r="23" spans="1:15" ht="15.75" customHeight="1">
      <c r="A23" s="646" t="s">
        <v>251</v>
      </c>
      <c r="B23" s="647" t="s">
        <v>760</v>
      </c>
      <c r="C23" s="648">
        <f>PHỤLỤCNN!C21</f>
        <v>181.18</v>
      </c>
      <c r="D23" s="649">
        <f t="shared" si="0"/>
        <v>0</v>
      </c>
      <c r="E23" s="649">
        <f>'Binh Ngoc'!H61</f>
        <v>0</v>
      </c>
      <c r="F23" s="649">
        <f>'Binh Ngoc'!H64</f>
        <v>0</v>
      </c>
      <c r="G23" s="649">
        <f>PHỤLỤCNN!E21</f>
        <v>0.02</v>
      </c>
      <c r="H23" s="650">
        <f t="shared" si="1"/>
        <v>181.16</v>
      </c>
      <c r="I23" s="644" t="s">
        <v>251</v>
      </c>
      <c r="J23" s="476" t="s">
        <v>760</v>
      </c>
      <c r="K23" s="61">
        <v>357</v>
      </c>
      <c r="L23" s="61">
        <v>313.56</v>
      </c>
      <c r="M23" s="61">
        <f t="shared" si="2"/>
        <v>181.16</v>
      </c>
      <c r="N23" s="61">
        <f t="shared" si="3"/>
        <v>-175.84</v>
      </c>
      <c r="O23" s="61">
        <f t="shared" si="4"/>
        <v>-132.4</v>
      </c>
    </row>
    <row r="24" spans="1:15" s="67" customFormat="1" ht="24" customHeight="1" thickBot="1">
      <c r="A24" s="651"/>
      <c r="B24" s="652" t="s">
        <v>370</v>
      </c>
      <c r="C24" s="653">
        <f t="shared" ref="C24:H24" si="5">SUM(C7:C23)</f>
        <v>3246.9302500000003</v>
      </c>
      <c r="D24" s="652">
        <f t="shared" si="5"/>
        <v>0</v>
      </c>
      <c r="E24" s="652">
        <f t="shared" si="5"/>
        <v>0</v>
      </c>
      <c r="F24" s="652">
        <f t="shared" si="5"/>
        <v>0</v>
      </c>
      <c r="G24" s="652">
        <f t="shared" si="5"/>
        <v>167.52</v>
      </c>
      <c r="H24" s="654">
        <f t="shared" si="5"/>
        <v>3079.4102499999999</v>
      </c>
      <c r="I24" s="631"/>
      <c r="J24" s="31" t="s">
        <v>370</v>
      </c>
      <c r="K24" s="75">
        <f>SUM(K7:K23)</f>
        <v>4621.16</v>
      </c>
      <c r="L24" s="75">
        <f>SUM(L7:L23)</f>
        <v>3909.0099999999998</v>
      </c>
      <c r="M24" s="75">
        <f>SUM(M7:M23)</f>
        <v>3079.4102499999999</v>
      </c>
      <c r="N24" s="75">
        <f>SUM(N7:N23)</f>
        <v>-1541.7497499999997</v>
      </c>
      <c r="O24" s="75">
        <f>SUM(O7:O23)</f>
        <v>-829.59974999999974</v>
      </c>
    </row>
    <row r="25" spans="1:15" ht="19.5" customHeight="1" thickTop="1">
      <c r="C25">
        <f>'TONG TP'!D11</f>
        <v>3246.9302499999999</v>
      </c>
      <c r="H25">
        <f>'TONG TP'!BN11</f>
        <v>3079.4102499999999</v>
      </c>
    </row>
    <row r="29" spans="1:15">
      <c r="H29">
        <f>'TONG TP'!BN11</f>
        <v>3079.4102499999999</v>
      </c>
    </row>
    <row r="30" spans="1:15">
      <c r="H30">
        <f>H24-H29</f>
        <v>0</v>
      </c>
    </row>
  </sheetData>
  <autoFilter ref="A6:O25">
    <filterColumn colId="7">
      <customFilters>
        <customFilter operator="notEqual" val=" "/>
      </customFilters>
    </filterColumn>
  </autoFilter>
  <mergeCells count="18">
    <mergeCell ref="N4:O4"/>
    <mergeCell ref="N5:N6"/>
    <mergeCell ref="O5:O6"/>
    <mergeCell ref="I4:I6"/>
    <mergeCell ref="J4:J6"/>
    <mergeCell ref="K4:K6"/>
    <mergeCell ref="L4:L6"/>
    <mergeCell ref="M4:M6"/>
    <mergeCell ref="A2:H2"/>
    <mergeCell ref="A3:H3"/>
    <mergeCell ref="A5:A6"/>
    <mergeCell ref="B5:B6"/>
    <mergeCell ref="C5:C6"/>
    <mergeCell ref="D5:D6"/>
    <mergeCell ref="E5:F5"/>
    <mergeCell ref="G5:G6"/>
    <mergeCell ref="H5:H6"/>
    <mergeCell ref="G4:H4"/>
  </mergeCells>
  <phoneticPr fontId="4" type="noConversion"/>
  <printOptions horizontalCentered="1"/>
  <pageMargins left="1.1499999999999999" right="1.1499999999999999" top="0.3" bottom="0.35" header="0.5" footer="0.5"/>
  <pageSetup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O29"/>
  <sheetViews>
    <sheetView showZeros="0" topLeftCell="A4" workbookViewId="0">
      <selection activeCell="A5" sqref="A5:H24"/>
    </sheetView>
  </sheetViews>
  <sheetFormatPr defaultColWidth="9.140625" defaultRowHeight="12.75"/>
  <cols>
    <col min="1" max="1" width="8.28515625" style="194" customWidth="1"/>
    <col min="2" max="2" width="20.140625" style="194" customWidth="1"/>
    <col min="3" max="3" width="11.85546875" style="194" customWidth="1"/>
    <col min="4" max="4" width="12.140625" style="194" customWidth="1"/>
    <col min="5" max="6" width="10" style="194" hidden="1" customWidth="1"/>
    <col min="7" max="8" width="11.28515625" style="194" customWidth="1"/>
    <col min="9" max="9" width="7.5703125" style="194" customWidth="1"/>
    <col min="10" max="10" width="22.7109375" style="194" customWidth="1"/>
    <col min="11" max="11" width="11.7109375" style="194" customWidth="1"/>
    <col min="12" max="12" width="12.140625" style="194" customWidth="1"/>
    <col min="13" max="13" width="10.140625" style="194" customWidth="1"/>
    <col min="14" max="14" width="10.42578125" style="194" customWidth="1"/>
    <col min="15" max="15" width="11.42578125" style="194" customWidth="1"/>
    <col min="16" max="16384" width="9.140625" style="194"/>
  </cols>
  <sheetData>
    <row r="1" spans="1:15" ht="22.5" customHeight="1">
      <c r="A1" s="47" t="s">
        <v>624</v>
      </c>
      <c r="B1" s="40"/>
      <c r="C1" s="40"/>
      <c r="D1" s="40"/>
      <c r="E1" s="40"/>
      <c r="F1" s="40"/>
      <c r="G1" s="40"/>
      <c r="H1" s="40"/>
    </row>
    <row r="2" spans="1:15" ht="24.75" customHeight="1">
      <c r="A2" s="1381" t="s">
        <v>700</v>
      </c>
      <c r="B2" s="1381"/>
      <c r="C2" s="1381"/>
      <c r="D2" s="1381"/>
      <c r="E2" s="1381"/>
      <c r="F2" s="1381"/>
      <c r="G2" s="1381"/>
      <c r="H2" s="1381"/>
    </row>
    <row r="3" spans="1:15" ht="21.75" customHeight="1">
      <c r="A3" s="1381" t="s">
        <v>766</v>
      </c>
      <c r="B3" s="1381"/>
      <c r="C3" s="1381"/>
      <c r="D3" s="1381"/>
      <c r="E3" s="1381"/>
      <c r="F3" s="1381"/>
      <c r="G3" s="1381"/>
      <c r="H3" s="1381"/>
    </row>
    <row r="4" spans="1:15" ht="19.5" customHeight="1">
      <c r="A4" s="40"/>
      <c r="B4" s="40"/>
      <c r="C4" s="40"/>
      <c r="D4" s="40"/>
      <c r="E4" s="40"/>
      <c r="F4" s="40"/>
      <c r="G4" s="1377" t="s">
        <v>138</v>
      </c>
      <c r="H4" s="1377"/>
      <c r="I4" s="1280" t="s">
        <v>0</v>
      </c>
      <c r="J4" s="1280" t="s">
        <v>369</v>
      </c>
      <c r="K4" s="1280" t="s">
        <v>494</v>
      </c>
      <c r="L4" s="1380" t="s">
        <v>495</v>
      </c>
      <c r="M4" s="1380" t="s">
        <v>496</v>
      </c>
      <c r="N4" s="1378" t="s">
        <v>497</v>
      </c>
      <c r="O4" s="1378"/>
    </row>
    <row r="5" spans="1:15" ht="24" customHeight="1">
      <c r="A5" s="1313" t="s">
        <v>368</v>
      </c>
      <c r="B5" s="1313" t="s">
        <v>979</v>
      </c>
      <c r="C5" s="1313" t="s">
        <v>456</v>
      </c>
      <c r="D5" s="1313" t="s">
        <v>457</v>
      </c>
      <c r="E5" s="1313" t="s">
        <v>458</v>
      </c>
      <c r="F5" s="1313"/>
      <c r="G5" s="1313" t="s">
        <v>459</v>
      </c>
      <c r="H5" s="1313" t="s">
        <v>460</v>
      </c>
      <c r="I5" s="1280"/>
      <c r="J5" s="1280"/>
      <c r="K5" s="1280"/>
      <c r="L5" s="1380"/>
      <c r="M5" s="1380"/>
      <c r="N5" s="1280" t="s">
        <v>498</v>
      </c>
      <c r="O5" s="1280" t="s">
        <v>344</v>
      </c>
    </row>
    <row r="6" spans="1:15" ht="18.75" customHeight="1">
      <c r="A6" s="1313"/>
      <c r="B6" s="1313"/>
      <c r="C6" s="1313"/>
      <c r="D6" s="1313"/>
      <c r="E6" s="636"/>
      <c r="F6" s="636"/>
      <c r="G6" s="1313"/>
      <c r="H6" s="1313"/>
      <c r="I6" s="1280"/>
      <c r="J6" s="1280"/>
      <c r="K6" s="1280"/>
      <c r="L6" s="1380"/>
      <c r="M6" s="1380"/>
      <c r="N6" s="1280"/>
      <c r="O6" s="1280"/>
    </row>
    <row r="7" spans="1:15" ht="18.75" hidden="1" customHeight="1">
      <c r="A7" s="637" t="s">
        <v>235</v>
      </c>
      <c r="B7" s="638" t="s">
        <v>744</v>
      </c>
      <c r="C7" s="639">
        <f>PHỤLỤCNN!C30</f>
        <v>0</v>
      </c>
      <c r="D7" s="637">
        <f>SUM(E7:F7)</f>
        <v>0</v>
      </c>
      <c r="E7" s="637">
        <f>'Bac Son'!H61</f>
        <v>0</v>
      </c>
      <c r="F7" s="637">
        <f>'Bac Son'!H64</f>
        <v>0</v>
      </c>
      <c r="G7" s="637">
        <f>PHỤLỤCNN!E30</f>
        <v>0</v>
      </c>
      <c r="H7" s="639">
        <f>C7+D7-G7</f>
        <v>0</v>
      </c>
      <c r="I7" s="41" t="s">
        <v>235</v>
      </c>
      <c r="J7" s="475" t="s">
        <v>744</v>
      </c>
      <c r="K7" s="60">
        <v>110.58</v>
      </c>
      <c r="L7" s="60">
        <v>21.15</v>
      </c>
      <c r="M7" s="60">
        <f>H7</f>
        <v>0</v>
      </c>
      <c r="N7" s="60">
        <f>M7-K7</f>
        <v>-110.58</v>
      </c>
      <c r="O7" s="60">
        <f>M7-L7</f>
        <v>-21.15</v>
      </c>
    </row>
    <row r="8" spans="1:15" ht="18.75" hidden="1" customHeight="1">
      <c r="A8" s="640" t="s">
        <v>236</v>
      </c>
      <c r="B8" s="641" t="s">
        <v>745</v>
      </c>
      <c r="C8" s="639">
        <f>PHỤLỤCNN!C31</f>
        <v>0</v>
      </c>
      <c r="D8" s="640">
        <f t="shared" ref="D8:D23" si="0">SUM(E8:F8)</f>
        <v>0</v>
      </c>
      <c r="E8" s="640">
        <f>'Hai Son'!H61</f>
        <v>0</v>
      </c>
      <c r="F8" s="640">
        <f>'Hai Son'!H64</f>
        <v>0</v>
      </c>
      <c r="G8" s="637">
        <f>PHỤLỤCNN!E31</f>
        <v>0</v>
      </c>
      <c r="H8" s="639">
        <f t="shared" ref="H8:H23" si="1">C8+D8-G8</f>
        <v>0</v>
      </c>
      <c r="I8" s="42" t="s">
        <v>236</v>
      </c>
      <c r="J8" s="476" t="s">
        <v>745</v>
      </c>
      <c r="K8" s="61">
        <v>210.26</v>
      </c>
      <c r="L8" s="61">
        <v>125.13</v>
      </c>
      <c r="M8" s="61">
        <f t="shared" ref="M8:M23" si="2">H8</f>
        <v>0</v>
      </c>
      <c r="N8" s="61">
        <f t="shared" ref="N8:N23" si="3">M8-K8</f>
        <v>-210.26</v>
      </c>
      <c r="O8" s="61">
        <f t="shared" ref="O8:O23" si="4">M8-L8</f>
        <v>-125.13</v>
      </c>
    </row>
    <row r="9" spans="1:15" ht="18.75" customHeight="1">
      <c r="A9" s="640" t="s">
        <v>237</v>
      </c>
      <c r="B9" s="641" t="s">
        <v>746</v>
      </c>
      <c r="C9" s="639">
        <f>PHỤLỤCNN!C32</f>
        <v>43.16</v>
      </c>
      <c r="D9" s="640">
        <f t="shared" si="0"/>
        <v>0</v>
      </c>
      <c r="E9" s="640">
        <f>'Quang Nghia'!H61</f>
        <v>0</v>
      </c>
      <c r="F9" s="640">
        <f>'Quang Nghia'!H64</f>
        <v>0</v>
      </c>
      <c r="G9" s="637">
        <f>PHỤLỤCNN!E32</f>
        <v>0.03</v>
      </c>
      <c r="H9" s="639">
        <f t="shared" si="1"/>
        <v>43.129999999999995</v>
      </c>
      <c r="I9" s="42" t="s">
        <v>237</v>
      </c>
      <c r="J9" s="476" t="s">
        <v>746</v>
      </c>
      <c r="K9" s="61">
        <v>258.72000000000003</v>
      </c>
      <c r="L9" s="61">
        <v>232.49</v>
      </c>
      <c r="M9" s="61">
        <f t="shared" si="2"/>
        <v>43.129999999999995</v>
      </c>
      <c r="N9" s="61">
        <f t="shared" si="3"/>
        <v>-215.59000000000003</v>
      </c>
      <c r="O9" s="61">
        <f t="shared" si="4"/>
        <v>-189.36</v>
      </c>
    </row>
    <row r="10" spans="1:15" ht="18.75" customHeight="1">
      <c r="A10" s="640" t="s">
        <v>238</v>
      </c>
      <c r="B10" s="641" t="s">
        <v>747</v>
      </c>
      <c r="C10" s="639">
        <f>PHỤLỤCNN!C33</f>
        <v>166.66</v>
      </c>
      <c r="D10" s="640">
        <f t="shared" si="0"/>
        <v>0</v>
      </c>
      <c r="E10" s="640">
        <f>'Hai Dong'!H61</f>
        <v>0</v>
      </c>
      <c r="F10" s="640">
        <f>'Hai Dong'!H64</f>
        <v>0</v>
      </c>
      <c r="G10" s="637">
        <f>PHỤLỤCNN!E33</f>
        <v>0.72</v>
      </c>
      <c r="H10" s="639">
        <f t="shared" si="1"/>
        <v>165.94</v>
      </c>
      <c r="I10" s="42" t="s">
        <v>238</v>
      </c>
      <c r="J10" s="476" t="s">
        <v>747</v>
      </c>
      <c r="K10" s="61">
        <v>239.88</v>
      </c>
      <c r="L10" s="61">
        <v>211.03</v>
      </c>
      <c r="M10" s="61">
        <f t="shared" si="2"/>
        <v>165.94</v>
      </c>
      <c r="N10" s="61">
        <f t="shared" si="3"/>
        <v>-73.94</v>
      </c>
      <c r="O10" s="61">
        <f t="shared" si="4"/>
        <v>-45.09</v>
      </c>
    </row>
    <row r="11" spans="1:15" ht="18.75" customHeight="1">
      <c r="A11" s="640" t="s">
        <v>239</v>
      </c>
      <c r="B11" s="641" t="s">
        <v>748</v>
      </c>
      <c r="C11" s="639">
        <f>PHỤLỤCNN!C34</f>
        <v>190.68</v>
      </c>
      <c r="D11" s="640">
        <f t="shared" si="0"/>
        <v>0</v>
      </c>
      <c r="E11" s="640">
        <f>'Hai Tien'!H61</f>
        <v>0</v>
      </c>
      <c r="F11" s="640">
        <f>'Hai Tien'!H64</f>
        <v>0</v>
      </c>
      <c r="G11" s="637">
        <f>PHỤLỤCNN!E34</f>
        <v>4.87</v>
      </c>
      <c r="H11" s="639">
        <f t="shared" si="1"/>
        <v>185.81</v>
      </c>
      <c r="I11" s="42" t="s">
        <v>239</v>
      </c>
      <c r="J11" s="476" t="s">
        <v>748</v>
      </c>
      <c r="K11" s="61">
        <v>94.09</v>
      </c>
      <c r="L11" s="61">
        <v>103.99</v>
      </c>
      <c r="M11" s="61">
        <f t="shared" si="2"/>
        <v>185.81</v>
      </c>
      <c r="N11" s="61">
        <f t="shared" si="3"/>
        <v>91.72</v>
      </c>
      <c r="O11" s="61">
        <f t="shared" si="4"/>
        <v>81.820000000000007</v>
      </c>
    </row>
    <row r="12" spans="1:15" ht="18.75" customHeight="1">
      <c r="A12" s="640" t="s">
        <v>240</v>
      </c>
      <c r="B12" s="641" t="s">
        <v>749</v>
      </c>
      <c r="C12" s="639">
        <f>PHỤLỤCNN!C35</f>
        <v>275.83</v>
      </c>
      <c r="D12" s="640">
        <f t="shared" si="0"/>
        <v>0</v>
      </c>
      <c r="E12" s="640">
        <f>'Hai Xuan'!H61</f>
        <v>0</v>
      </c>
      <c r="F12" s="640">
        <f>'Hai Xuan'!H64</f>
        <v>0</v>
      </c>
      <c r="G12" s="637">
        <f>PHỤLỤCNN!E35</f>
        <v>6.97</v>
      </c>
      <c r="H12" s="639">
        <f t="shared" si="1"/>
        <v>268.85999999999996</v>
      </c>
      <c r="I12" s="42" t="s">
        <v>240</v>
      </c>
      <c r="J12" s="476" t="s">
        <v>749</v>
      </c>
      <c r="K12" s="61">
        <v>253.12</v>
      </c>
      <c r="L12" s="61">
        <v>220.85</v>
      </c>
      <c r="M12" s="61">
        <f t="shared" si="2"/>
        <v>268.85999999999996</v>
      </c>
      <c r="N12" s="61">
        <f t="shared" si="3"/>
        <v>15.739999999999952</v>
      </c>
      <c r="O12" s="61">
        <f t="shared" si="4"/>
        <v>48.009999999999962</v>
      </c>
    </row>
    <row r="13" spans="1:15" ht="18.75" customHeight="1">
      <c r="A13" s="640" t="s">
        <v>241</v>
      </c>
      <c r="B13" s="641" t="s">
        <v>750</v>
      </c>
      <c r="C13" s="639">
        <f>PHỤLỤCNN!C36</f>
        <v>168.84</v>
      </c>
      <c r="D13" s="640">
        <f t="shared" si="0"/>
        <v>0</v>
      </c>
      <c r="E13" s="640">
        <f>'Van Ninh'!H61</f>
        <v>0</v>
      </c>
      <c r="F13" s="640">
        <f>'Van Ninh'!H64</f>
        <v>0</v>
      </c>
      <c r="G13" s="637">
        <f>PHỤLỤCNN!E36</f>
        <v>4.18</v>
      </c>
      <c r="H13" s="639">
        <f t="shared" si="1"/>
        <v>164.66</v>
      </c>
      <c r="I13" s="42" t="s">
        <v>241</v>
      </c>
      <c r="J13" s="476" t="s">
        <v>750</v>
      </c>
      <c r="K13" s="61">
        <v>91.36</v>
      </c>
      <c r="L13" s="61">
        <v>64.069999999999993</v>
      </c>
      <c r="M13" s="61">
        <f t="shared" si="2"/>
        <v>164.66</v>
      </c>
      <c r="N13" s="61">
        <f t="shared" si="3"/>
        <v>73.3</v>
      </c>
      <c r="O13" s="61">
        <f t="shared" si="4"/>
        <v>100.59</v>
      </c>
    </row>
    <row r="14" spans="1:15" ht="18.75" customHeight="1">
      <c r="A14" s="640" t="s">
        <v>242</v>
      </c>
      <c r="B14" s="641" t="s">
        <v>751</v>
      </c>
      <c r="C14" s="639">
        <f>PHỤLỤCNN!C37</f>
        <v>23.21</v>
      </c>
      <c r="D14" s="640">
        <f t="shared" si="0"/>
        <v>0</v>
      </c>
      <c r="E14" s="640">
        <f>'Vinh Trung'!H61</f>
        <v>0</v>
      </c>
      <c r="F14" s="640">
        <f>'Vinh Trung'!H64</f>
        <v>0</v>
      </c>
      <c r="G14" s="637">
        <f>PHỤLỤCNN!E37</f>
        <v>0.3</v>
      </c>
      <c r="H14" s="639">
        <f t="shared" si="1"/>
        <v>22.91</v>
      </c>
      <c r="I14" s="42" t="s">
        <v>242</v>
      </c>
      <c r="J14" s="476" t="s">
        <v>751</v>
      </c>
      <c r="K14" s="61">
        <v>168.84</v>
      </c>
      <c r="L14" s="61">
        <v>133.66</v>
      </c>
      <c r="M14" s="61">
        <f t="shared" si="2"/>
        <v>22.91</v>
      </c>
      <c r="N14" s="61">
        <f t="shared" si="3"/>
        <v>-145.93</v>
      </c>
      <c r="O14" s="61">
        <f t="shared" si="4"/>
        <v>-110.75</v>
      </c>
    </row>
    <row r="15" spans="1:15" ht="18.75" customHeight="1">
      <c r="A15" s="640" t="s">
        <v>243</v>
      </c>
      <c r="B15" s="641" t="s">
        <v>752</v>
      </c>
      <c r="C15" s="639">
        <f>PHỤLỤCNN!C38</f>
        <v>108.58</v>
      </c>
      <c r="D15" s="640">
        <f t="shared" si="0"/>
        <v>0</v>
      </c>
      <c r="E15" s="640">
        <f>'Vinh Thuc'!H61</f>
        <v>0</v>
      </c>
      <c r="F15" s="640">
        <f>'Vinh Thuc'!H64</f>
        <v>0</v>
      </c>
      <c r="G15" s="637">
        <f>PHỤLỤCNN!E38</f>
        <v>0.03</v>
      </c>
      <c r="H15" s="639">
        <f t="shared" si="1"/>
        <v>108.55</v>
      </c>
      <c r="I15" s="42" t="s">
        <v>243</v>
      </c>
      <c r="J15" s="476" t="s">
        <v>752</v>
      </c>
      <c r="K15" s="61">
        <v>324.89999999999998</v>
      </c>
      <c r="L15" s="61">
        <v>288.13</v>
      </c>
      <c r="M15" s="61">
        <f t="shared" si="2"/>
        <v>108.55</v>
      </c>
      <c r="N15" s="61">
        <f t="shared" si="3"/>
        <v>-216.34999999999997</v>
      </c>
      <c r="O15" s="61">
        <f t="shared" si="4"/>
        <v>-179.57999999999998</v>
      </c>
    </row>
    <row r="16" spans="1:15" ht="18.75" customHeight="1">
      <c r="A16" s="640" t="s">
        <v>244</v>
      </c>
      <c r="B16" s="641" t="s">
        <v>753</v>
      </c>
      <c r="C16" s="639">
        <f>PHỤLỤCNN!C39</f>
        <v>215.92510000000001</v>
      </c>
      <c r="D16" s="640">
        <f t="shared" si="0"/>
        <v>0</v>
      </c>
      <c r="E16" s="640">
        <f>'Hai Yen'!H61</f>
        <v>0</v>
      </c>
      <c r="F16" s="640">
        <f>'Hai Yen'!H64</f>
        <v>0</v>
      </c>
      <c r="G16" s="637">
        <f>PHỤLỤCNN!E39</f>
        <v>8.2099999999999991</v>
      </c>
      <c r="H16" s="639">
        <f t="shared" si="1"/>
        <v>207.71510000000001</v>
      </c>
      <c r="I16" s="42" t="s">
        <v>244</v>
      </c>
      <c r="J16" s="476" t="s">
        <v>753</v>
      </c>
      <c r="K16" s="61">
        <v>243.65</v>
      </c>
      <c r="L16" s="61">
        <v>200.49</v>
      </c>
      <c r="M16" s="61">
        <f t="shared" si="2"/>
        <v>207.71510000000001</v>
      </c>
      <c r="N16" s="61">
        <f t="shared" si="3"/>
        <v>-35.934899999999999</v>
      </c>
      <c r="O16" s="61">
        <f t="shared" si="4"/>
        <v>7.2250999999999976</v>
      </c>
    </row>
    <row r="17" spans="1:15" ht="18.75" hidden="1" customHeight="1">
      <c r="A17" s="640" t="s">
        <v>245</v>
      </c>
      <c r="B17" s="641" t="s">
        <v>754</v>
      </c>
      <c r="C17" s="639">
        <f>PHỤLỤCNN!C40</f>
        <v>0</v>
      </c>
      <c r="D17" s="640">
        <f t="shared" si="0"/>
        <v>0</v>
      </c>
      <c r="E17" s="640">
        <f>'Ka Long'!H61</f>
        <v>0</v>
      </c>
      <c r="F17" s="640">
        <f>'Ka Long'!H64</f>
        <v>0</v>
      </c>
      <c r="G17" s="637">
        <f>PHỤLỤCNN!E40</f>
        <v>0</v>
      </c>
      <c r="H17" s="639">
        <f t="shared" si="1"/>
        <v>0</v>
      </c>
      <c r="I17" s="42" t="s">
        <v>245</v>
      </c>
      <c r="J17" s="476" t="s">
        <v>754</v>
      </c>
      <c r="K17" s="61">
        <v>264.47000000000003</v>
      </c>
      <c r="L17" s="61">
        <v>211.37</v>
      </c>
      <c r="M17" s="61">
        <f t="shared" si="2"/>
        <v>0</v>
      </c>
      <c r="N17" s="61">
        <f t="shared" si="3"/>
        <v>-264.47000000000003</v>
      </c>
      <c r="O17" s="61">
        <f t="shared" si="4"/>
        <v>-211.37</v>
      </c>
    </row>
    <row r="18" spans="1:15" ht="18.75" customHeight="1">
      <c r="A18" s="640" t="s">
        <v>246</v>
      </c>
      <c r="B18" s="641" t="s">
        <v>755</v>
      </c>
      <c r="C18" s="639">
        <f>PHỤLỤCNN!C41</f>
        <v>102.16290000000001</v>
      </c>
      <c r="D18" s="640">
        <f t="shared" si="0"/>
        <v>0</v>
      </c>
      <c r="E18" s="640">
        <f>'Ninh Duong'!H61</f>
        <v>0</v>
      </c>
      <c r="F18" s="640">
        <f>'Ninh Duong'!H64</f>
        <v>0</v>
      </c>
      <c r="G18" s="637">
        <f>PHỤLỤCNN!E41</f>
        <v>11.18</v>
      </c>
      <c r="H18" s="639">
        <f t="shared" si="1"/>
        <v>90.982900000000001</v>
      </c>
      <c r="I18" s="42" t="s">
        <v>246</v>
      </c>
      <c r="J18" s="476" t="s">
        <v>755</v>
      </c>
      <c r="K18" s="61">
        <v>758.44</v>
      </c>
      <c r="L18" s="61">
        <v>727.16</v>
      </c>
      <c r="M18" s="61">
        <f t="shared" si="2"/>
        <v>90.982900000000001</v>
      </c>
      <c r="N18" s="61">
        <f t="shared" si="3"/>
        <v>-667.45710000000008</v>
      </c>
      <c r="O18" s="61">
        <f t="shared" si="4"/>
        <v>-636.1771</v>
      </c>
    </row>
    <row r="19" spans="1:15" ht="18.75" hidden="1" customHeight="1">
      <c r="A19" s="640" t="s">
        <v>247</v>
      </c>
      <c r="B19" s="641" t="s">
        <v>756</v>
      </c>
      <c r="C19" s="639">
        <f>PHỤLỤCNN!C42</f>
        <v>0</v>
      </c>
      <c r="D19" s="640">
        <f t="shared" si="0"/>
        <v>0</v>
      </c>
      <c r="E19" s="640">
        <f>'Hoa Lac'!H61</f>
        <v>0</v>
      </c>
      <c r="F19" s="640">
        <f>'Hoa Lac'!H64</f>
        <v>0</v>
      </c>
      <c r="G19" s="637">
        <f>PHỤLỤCNN!E42</f>
        <v>0</v>
      </c>
      <c r="H19" s="639">
        <f t="shared" si="1"/>
        <v>0</v>
      </c>
      <c r="I19" s="42" t="s">
        <v>247</v>
      </c>
      <c r="J19" s="476" t="s">
        <v>756</v>
      </c>
      <c r="K19" s="61">
        <v>347.65</v>
      </c>
      <c r="L19" s="61">
        <v>321.25</v>
      </c>
      <c r="M19" s="61">
        <f t="shared" si="2"/>
        <v>0</v>
      </c>
      <c r="N19" s="61">
        <f t="shared" si="3"/>
        <v>-347.65</v>
      </c>
      <c r="O19" s="61">
        <f t="shared" si="4"/>
        <v>-321.25</v>
      </c>
    </row>
    <row r="20" spans="1:15" ht="18.75" hidden="1" customHeight="1">
      <c r="A20" s="640" t="s">
        <v>248</v>
      </c>
      <c r="B20" s="641" t="s">
        <v>757</v>
      </c>
      <c r="C20" s="639">
        <f>PHỤLỤCNN!C43</f>
        <v>0</v>
      </c>
      <c r="D20" s="640">
        <f t="shared" si="0"/>
        <v>0</v>
      </c>
      <c r="E20" s="640">
        <f>'Tran Phu'!H61</f>
        <v>0</v>
      </c>
      <c r="F20" s="640">
        <f>'Tran Phu'!H64</f>
        <v>0</v>
      </c>
      <c r="G20" s="637">
        <f>PHỤLỤCNN!E43</f>
        <v>0</v>
      </c>
      <c r="H20" s="639">
        <f t="shared" si="1"/>
        <v>0</v>
      </c>
      <c r="I20" s="42" t="s">
        <v>248</v>
      </c>
      <c r="J20" s="476" t="s">
        <v>757</v>
      </c>
      <c r="K20" s="61">
        <v>115.97</v>
      </c>
      <c r="L20" s="61">
        <v>93.96</v>
      </c>
      <c r="M20" s="61">
        <f t="shared" si="2"/>
        <v>0</v>
      </c>
      <c r="N20" s="61">
        <f t="shared" si="3"/>
        <v>-115.97</v>
      </c>
      <c r="O20" s="61">
        <f t="shared" si="4"/>
        <v>-93.96</v>
      </c>
    </row>
    <row r="21" spans="1:15" ht="18.75" customHeight="1">
      <c r="A21" s="640" t="s">
        <v>249</v>
      </c>
      <c r="B21" s="641" t="s">
        <v>758</v>
      </c>
      <c r="C21" s="639">
        <f>PHỤLỤCNN!C44</f>
        <v>347.05</v>
      </c>
      <c r="D21" s="640">
        <f t="shared" si="0"/>
        <v>0</v>
      </c>
      <c r="E21" s="640">
        <f>'Hai Hoa'!H61</f>
        <v>0</v>
      </c>
      <c r="F21" s="640">
        <f>'Hai Hoa'!H64</f>
        <v>0</v>
      </c>
      <c r="G21" s="637">
        <f>PHỤLỤCNN!E44</f>
        <v>88.820000000000007</v>
      </c>
      <c r="H21" s="639">
        <f t="shared" si="1"/>
        <v>258.23</v>
      </c>
      <c r="I21" s="42" t="s">
        <v>249</v>
      </c>
      <c r="J21" s="476" t="s">
        <v>758</v>
      </c>
      <c r="K21" s="61">
        <v>377.61</v>
      </c>
      <c r="L21" s="61">
        <v>343.98</v>
      </c>
      <c r="M21" s="61">
        <f t="shared" si="2"/>
        <v>258.23</v>
      </c>
      <c r="N21" s="61">
        <f t="shared" si="3"/>
        <v>-119.38</v>
      </c>
      <c r="O21" s="61">
        <f t="shared" si="4"/>
        <v>-85.75</v>
      </c>
    </row>
    <row r="22" spans="1:15" ht="18.75" customHeight="1">
      <c r="A22" s="640" t="s">
        <v>250</v>
      </c>
      <c r="B22" s="641" t="s">
        <v>759</v>
      </c>
      <c r="C22" s="639">
        <f>PHỤLỤCNN!C45</f>
        <v>17.09</v>
      </c>
      <c r="D22" s="640">
        <f t="shared" si="0"/>
        <v>0</v>
      </c>
      <c r="E22" s="640">
        <f>'Tra Co'!H61</f>
        <v>0</v>
      </c>
      <c r="F22" s="640">
        <f>'Tra Co'!H64</f>
        <v>0</v>
      </c>
      <c r="G22" s="637">
        <f>PHỤLỤCNN!E45</f>
        <v>0</v>
      </c>
      <c r="H22" s="639">
        <f t="shared" si="1"/>
        <v>17.09</v>
      </c>
      <c r="I22" s="42" t="s">
        <v>250</v>
      </c>
      <c r="J22" s="476" t="s">
        <v>759</v>
      </c>
      <c r="K22" s="61">
        <v>226.8</v>
      </c>
      <c r="L22" s="61">
        <v>196.74</v>
      </c>
      <c r="M22" s="61">
        <f t="shared" si="2"/>
        <v>17.09</v>
      </c>
      <c r="N22" s="61">
        <f t="shared" si="3"/>
        <v>-209.71</v>
      </c>
      <c r="O22" s="61">
        <f t="shared" si="4"/>
        <v>-179.65</v>
      </c>
    </row>
    <row r="23" spans="1:15" ht="18.75" customHeight="1">
      <c r="A23" s="640" t="s">
        <v>251</v>
      </c>
      <c r="B23" s="641" t="s">
        <v>760</v>
      </c>
      <c r="C23" s="639">
        <f>PHỤLỤCNN!C46</f>
        <v>181.18</v>
      </c>
      <c r="D23" s="640">
        <f t="shared" si="0"/>
        <v>0</v>
      </c>
      <c r="E23" s="640">
        <f>'Binh Ngoc'!H61</f>
        <v>0</v>
      </c>
      <c r="F23" s="640">
        <f>'Binh Ngoc'!H64</f>
        <v>0</v>
      </c>
      <c r="G23" s="637">
        <f>PHỤLỤCNN!E46</f>
        <v>0</v>
      </c>
      <c r="H23" s="639">
        <f t="shared" si="1"/>
        <v>181.18</v>
      </c>
      <c r="I23" s="42" t="s">
        <v>251</v>
      </c>
      <c r="J23" s="476" t="s">
        <v>760</v>
      </c>
      <c r="K23" s="61">
        <v>357</v>
      </c>
      <c r="L23" s="61">
        <v>313.56</v>
      </c>
      <c r="M23" s="61">
        <f t="shared" si="2"/>
        <v>181.18</v>
      </c>
      <c r="N23" s="61">
        <f t="shared" si="3"/>
        <v>-175.82</v>
      </c>
      <c r="O23" s="61">
        <f t="shared" si="4"/>
        <v>-132.38</v>
      </c>
    </row>
    <row r="24" spans="1:15" s="67" customFormat="1" ht="24" customHeight="1">
      <c r="A24" s="642"/>
      <c r="B24" s="642" t="s">
        <v>370</v>
      </c>
      <c r="C24" s="307">
        <f t="shared" ref="C24:H24" si="5">SUM(C7:C23)</f>
        <v>1840.3679999999999</v>
      </c>
      <c r="D24" s="642">
        <f t="shared" si="5"/>
        <v>0</v>
      </c>
      <c r="E24" s="642">
        <f t="shared" si="5"/>
        <v>0</v>
      </c>
      <c r="F24" s="642">
        <f t="shared" si="5"/>
        <v>0</v>
      </c>
      <c r="G24" s="642">
        <f t="shared" si="5"/>
        <v>125.31</v>
      </c>
      <c r="H24" s="307">
        <f t="shared" si="5"/>
        <v>1715.058</v>
      </c>
      <c r="I24" s="197"/>
      <c r="J24" s="197" t="s">
        <v>370</v>
      </c>
      <c r="K24" s="75">
        <f>SUM(K7:K23)</f>
        <v>4443.34</v>
      </c>
      <c r="L24" s="75">
        <f>SUM(L7:L23)</f>
        <v>3809.0099999999998</v>
      </c>
      <c r="M24" s="75">
        <f>SUM(M7:M23)</f>
        <v>1715.058</v>
      </c>
      <c r="N24" s="75">
        <f>SUM(N7:N23)</f>
        <v>-2728.2820000000002</v>
      </c>
      <c r="O24" s="75">
        <f>SUM(O7:O23)</f>
        <v>-2093.9520000000002</v>
      </c>
    </row>
    <row r="25" spans="1:15" ht="19.5" customHeight="1">
      <c r="C25" s="194">
        <f>'TONG TP'!D11</f>
        <v>3246.9302499999999</v>
      </c>
      <c r="H25" s="194">
        <f>'TONG TP'!BN12</f>
        <v>1715.058</v>
      </c>
    </row>
    <row r="28" spans="1:15">
      <c r="H28" s="194">
        <f>'TONG TP'!BN12</f>
        <v>1715.058</v>
      </c>
    </row>
    <row r="29" spans="1:15">
      <c r="H29" s="194">
        <f>H24-H28</f>
        <v>0</v>
      </c>
    </row>
  </sheetData>
  <autoFilter ref="A6:O25">
    <filterColumn colId="7">
      <customFilters>
        <customFilter operator="notEqual" val=" "/>
      </customFilters>
    </filterColumn>
  </autoFilter>
  <mergeCells count="18">
    <mergeCell ref="I4:I6"/>
    <mergeCell ref="J4:J6"/>
    <mergeCell ref="K4:K6"/>
    <mergeCell ref="G5:G6"/>
    <mergeCell ref="H5:H6"/>
    <mergeCell ref="A2:H2"/>
    <mergeCell ref="A3:H3"/>
    <mergeCell ref="G4:H4"/>
    <mergeCell ref="A5:A6"/>
    <mergeCell ref="B5:B6"/>
    <mergeCell ref="C5:C6"/>
    <mergeCell ref="D5:D6"/>
    <mergeCell ref="E5:F5"/>
    <mergeCell ref="N5:N6"/>
    <mergeCell ref="O5:O6"/>
    <mergeCell ref="L4:L6"/>
    <mergeCell ref="M4:M6"/>
    <mergeCell ref="N4:O4"/>
  </mergeCells>
  <printOptions horizontalCentered="1"/>
  <pageMargins left="1.2" right="0.2" top="0.3" bottom="0.2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O30"/>
  <sheetViews>
    <sheetView showZeros="0" workbookViewId="0">
      <pane xSplit="18735" topLeftCell="S1"/>
      <selection activeCell="A5" sqref="A5:H25"/>
      <selection pane="topRight" activeCell="S1" sqref="S1"/>
    </sheetView>
  </sheetViews>
  <sheetFormatPr defaultRowHeight="12.75"/>
  <cols>
    <col min="1" max="1" width="6.140625" customWidth="1"/>
    <col min="2" max="2" width="22.5703125" customWidth="1"/>
    <col min="3" max="3" width="11.42578125" customWidth="1"/>
    <col min="4" max="5" width="11.140625" customWidth="1"/>
    <col min="6" max="6" width="11.140625" hidden="1" customWidth="1"/>
    <col min="7" max="8" width="11.140625" customWidth="1"/>
    <col min="9" max="9" width="5.85546875" customWidth="1"/>
    <col min="10" max="10" width="21.28515625" customWidth="1"/>
    <col min="11" max="11" width="10.140625" customWidth="1"/>
    <col min="12" max="12" width="12.28515625" customWidth="1"/>
    <col min="13" max="14" width="10.85546875" customWidth="1"/>
    <col min="15" max="15" width="10.5703125" customWidth="1"/>
  </cols>
  <sheetData>
    <row r="1" spans="1:15" ht="18.75" customHeight="1">
      <c r="A1" s="342" t="s">
        <v>625</v>
      </c>
      <c r="B1" s="327"/>
      <c r="C1" s="327"/>
      <c r="D1" s="327"/>
      <c r="E1" s="327"/>
      <c r="F1" s="327"/>
      <c r="G1" s="327"/>
      <c r="H1" s="327"/>
    </row>
    <row r="2" spans="1:15" ht="21.75" customHeight="1">
      <c r="A2" s="1354" t="s">
        <v>701</v>
      </c>
      <c r="B2" s="1354"/>
      <c r="C2" s="1354"/>
      <c r="D2" s="1354"/>
      <c r="E2" s="1354"/>
      <c r="F2" s="1354"/>
      <c r="G2" s="1354"/>
      <c r="H2" s="1354"/>
    </row>
    <row r="3" spans="1:15" ht="21" customHeight="1">
      <c r="A3" s="1354" t="s">
        <v>766</v>
      </c>
      <c r="B3" s="1354"/>
      <c r="C3" s="1354"/>
      <c r="D3" s="1354"/>
      <c r="E3" s="1354"/>
      <c r="F3" s="1354"/>
      <c r="G3" s="1354"/>
      <c r="H3" s="1354"/>
    </row>
    <row r="4" spans="1:15" ht="17.25" customHeight="1">
      <c r="G4" s="1278" t="s">
        <v>138</v>
      </c>
      <c r="H4" s="1278"/>
    </row>
    <row r="5" spans="1:15" ht="33" customHeight="1">
      <c r="A5" s="1313" t="s">
        <v>368</v>
      </c>
      <c r="B5" s="1313" t="s">
        <v>979</v>
      </c>
      <c r="C5" s="1313" t="s">
        <v>456</v>
      </c>
      <c r="D5" s="1313" t="s">
        <v>457</v>
      </c>
      <c r="E5" s="1382" t="s">
        <v>458</v>
      </c>
      <c r="F5" s="936"/>
      <c r="G5" s="1313" t="s">
        <v>459</v>
      </c>
      <c r="H5" s="1313" t="s">
        <v>460</v>
      </c>
      <c r="I5" s="1280" t="s">
        <v>0</v>
      </c>
      <c r="J5" s="1280" t="s">
        <v>369</v>
      </c>
      <c r="K5" s="1280" t="s">
        <v>494</v>
      </c>
      <c r="L5" s="1380" t="s">
        <v>495</v>
      </c>
      <c r="M5" s="1380" t="s">
        <v>496</v>
      </c>
      <c r="N5" s="1378" t="s">
        <v>497</v>
      </c>
      <c r="O5" s="1378"/>
    </row>
    <row r="6" spans="1:15" ht="15" customHeight="1">
      <c r="A6" s="1313"/>
      <c r="B6" s="1313"/>
      <c r="C6" s="1313"/>
      <c r="D6" s="1313"/>
      <c r="E6" s="1383"/>
      <c r="F6" s="937"/>
      <c r="G6" s="1313"/>
      <c r="H6" s="1313"/>
      <c r="I6" s="1280"/>
      <c r="J6" s="1280"/>
      <c r="K6" s="1280"/>
      <c r="L6" s="1380"/>
      <c r="M6" s="1380"/>
      <c r="N6" s="1280" t="s">
        <v>498</v>
      </c>
      <c r="O6" s="1280" t="s">
        <v>344</v>
      </c>
    </row>
    <row r="7" spans="1:15" ht="9.75" customHeight="1">
      <c r="A7" s="1313"/>
      <c r="B7" s="1313"/>
      <c r="C7" s="1313"/>
      <c r="D7" s="1313"/>
      <c r="E7" s="1384"/>
      <c r="F7" s="937"/>
      <c r="G7" s="1313"/>
      <c r="H7" s="1313"/>
      <c r="I7" s="1280"/>
      <c r="J7" s="1280"/>
      <c r="K7" s="1280"/>
      <c r="L7" s="1380"/>
      <c r="M7" s="1380"/>
      <c r="N7" s="1280"/>
      <c r="O7" s="1280"/>
    </row>
    <row r="8" spans="1:15" s="2" customFormat="1" ht="18.75" customHeight="1">
      <c r="A8" s="655" t="s">
        <v>235</v>
      </c>
      <c r="B8" s="678" t="s">
        <v>744</v>
      </c>
      <c r="C8" s="656">
        <f>PHỤLỤCNN!C55</f>
        <v>41.15</v>
      </c>
      <c r="D8" s="655">
        <f>SUM(E8:F8)</f>
        <v>0</v>
      </c>
      <c r="E8" s="655">
        <f>'Bac Son'!M12</f>
        <v>0</v>
      </c>
      <c r="F8" s="655">
        <f>'Bac Son'!M64</f>
        <v>0</v>
      </c>
      <c r="G8" s="655">
        <f>PHỤLỤCNN!E55</f>
        <v>0</v>
      </c>
      <c r="H8" s="656">
        <f>C8+D8-G8</f>
        <v>41.15</v>
      </c>
      <c r="I8" s="335" t="s">
        <v>235</v>
      </c>
      <c r="J8" s="475" t="s">
        <v>744</v>
      </c>
      <c r="K8" s="281">
        <v>14.94</v>
      </c>
      <c r="L8" s="281"/>
      <c r="M8" s="281">
        <f>H8</f>
        <v>41.15</v>
      </c>
      <c r="N8" s="281">
        <f>M8-K8</f>
        <v>26.21</v>
      </c>
      <c r="O8" s="281">
        <f>M8-L8</f>
        <v>41.15</v>
      </c>
    </row>
    <row r="9" spans="1:15" s="2" customFormat="1" ht="18.75" customHeight="1">
      <c r="A9" s="657" t="s">
        <v>236</v>
      </c>
      <c r="B9" s="679" t="s">
        <v>745</v>
      </c>
      <c r="C9" s="305">
        <f>PHỤLỤCNN!C56</f>
        <v>64.004499999999993</v>
      </c>
      <c r="D9" s="657">
        <f t="shared" ref="D9:D24" si="0">SUM(E9:F9)</f>
        <v>0</v>
      </c>
      <c r="E9" s="657">
        <f>'Hai Son'!M12</f>
        <v>0</v>
      </c>
      <c r="F9" s="657">
        <f>'Hai Son'!M64</f>
        <v>0</v>
      </c>
      <c r="G9" s="657">
        <f>PHỤLỤCNN!E56</f>
        <v>0</v>
      </c>
      <c r="H9" s="305">
        <f t="shared" ref="H9:H24" si="1">C9+D9-G9</f>
        <v>64.004499999999993</v>
      </c>
      <c r="I9" s="30" t="s">
        <v>236</v>
      </c>
      <c r="J9" s="476" t="s">
        <v>745</v>
      </c>
      <c r="K9" s="100">
        <v>16.27</v>
      </c>
      <c r="L9" s="100">
        <v>4.5</v>
      </c>
      <c r="M9" s="100">
        <f t="shared" ref="M9:M24" si="2">H9</f>
        <v>64.004499999999993</v>
      </c>
      <c r="N9" s="100">
        <f t="shared" ref="N9:N24" si="3">M9-K9</f>
        <v>47.734499999999997</v>
      </c>
      <c r="O9" s="100">
        <f t="shared" ref="O9:O24" si="4">M9-L9</f>
        <v>59.504499999999993</v>
      </c>
    </row>
    <row r="10" spans="1:15" s="2" customFormat="1" ht="18.75" customHeight="1">
      <c r="A10" s="657" t="s">
        <v>237</v>
      </c>
      <c r="B10" s="679" t="s">
        <v>746</v>
      </c>
      <c r="C10" s="305">
        <f>PHỤLỤCNN!C57</f>
        <v>163.37</v>
      </c>
      <c r="D10" s="657">
        <f t="shared" si="0"/>
        <v>0</v>
      </c>
      <c r="E10" s="657">
        <f>'Quang Nghia'!M12</f>
        <v>0</v>
      </c>
      <c r="F10" s="657">
        <f>'Quang Nghia'!M64</f>
        <v>0</v>
      </c>
      <c r="G10" s="657">
        <f>PHỤLỤCNN!E57</f>
        <v>3.8099999999999996</v>
      </c>
      <c r="H10" s="305">
        <f t="shared" si="1"/>
        <v>159.56</v>
      </c>
      <c r="I10" s="30" t="s">
        <v>237</v>
      </c>
      <c r="J10" s="476" t="s">
        <v>746</v>
      </c>
      <c r="K10" s="100">
        <v>14.14</v>
      </c>
      <c r="L10" s="100">
        <v>2.86</v>
      </c>
      <c r="M10" s="100">
        <f t="shared" si="2"/>
        <v>159.56</v>
      </c>
      <c r="N10" s="100">
        <f t="shared" si="3"/>
        <v>145.42000000000002</v>
      </c>
      <c r="O10" s="100">
        <f t="shared" si="4"/>
        <v>156.69999999999999</v>
      </c>
    </row>
    <row r="11" spans="1:15" s="2" customFormat="1" ht="18.75" customHeight="1">
      <c r="A11" s="657" t="s">
        <v>238</v>
      </c>
      <c r="B11" s="679" t="s">
        <v>747</v>
      </c>
      <c r="C11" s="305">
        <f>PHỤLỤCNN!C58</f>
        <v>157.84</v>
      </c>
      <c r="D11" s="657">
        <f t="shared" si="0"/>
        <v>0</v>
      </c>
      <c r="E11" s="657">
        <f>'Hai Dong'!M12</f>
        <v>0</v>
      </c>
      <c r="F11" s="657">
        <f>'Hai Dong'!M64</f>
        <v>0</v>
      </c>
      <c r="G11" s="657">
        <f>PHỤLỤCNN!E58</f>
        <v>1.29</v>
      </c>
      <c r="H11" s="305">
        <f t="shared" si="1"/>
        <v>156.55000000000001</v>
      </c>
      <c r="I11" s="30" t="s">
        <v>238</v>
      </c>
      <c r="J11" s="476" t="s">
        <v>747</v>
      </c>
      <c r="K11" s="100">
        <v>39.54</v>
      </c>
      <c r="L11" s="100">
        <v>29.55</v>
      </c>
      <c r="M11" s="100">
        <f t="shared" si="2"/>
        <v>156.55000000000001</v>
      </c>
      <c r="N11" s="100">
        <f t="shared" si="3"/>
        <v>117.01000000000002</v>
      </c>
      <c r="O11" s="100">
        <f t="shared" si="4"/>
        <v>127.00000000000001</v>
      </c>
    </row>
    <row r="12" spans="1:15" s="2" customFormat="1" ht="18.75" customHeight="1">
      <c r="A12" s="657" t="s">
        <v>239</v>
      </c>
      <c r="B12" s="679" t="s">
        <v>748</v>
      </c>
      <c r="C12" s="305">
        <f>PHỤLỤCNN!C59</f>
        <v>58.82</v>
      </c>
      <c r="D12" s="657">
        <f t="shared" si="0"/>
        <v>0</v>
      </c>
      <c r="E12" s="657">
        <f>'Hai Tien'!M12</f>
        <v>0</v>
      </c>
      <c r="F12" s="657">
        <f>'Hai Tien'!M64</f>
        <v>0</v>
      </c>
      <c r="G12" s="657">
        <f>PHỤLỤCNN!E59</f>
        <v>6.7299999999999995</v>
      </c>
      <c r="H12" s="305">
        <f t="shared" si="1"/>
        <v>52.09</v>
      </c>
      <c r="I12" s="30" t="s">
        <v>239</v>
      </c>
      <c r="J12" s="476" t="s">
        <v>748</v>
      </c>
      <c r="K12" s="100">
        <v>7.03</v>
      </c>
      <c r="L12" s="100">
        <v>6.36</v>
      </c>
      <c r="M12" s="100">
        <f t="shared" si="2"/>
        <v>52.09</v>
      </c>
      <c r="N12" s="100">
        <f t="shared" si="3"/>
        <v>45.06</v>
      </c>
      <c r="O12" s="100">
        <f t="shared" si="4"/>
        <v>45.730000000000004</v>
      </c>
    </row>
    <row r="13" spans="1:15" s="2" customFormat="1" ht="18.75" customHeight="1">
      <c r="A13" s="657" t="s">
        <v>240</v>
      </c>
      <c r="B13" s="679" t="s">
        <v>749</v>
      </c>
      <c r="C13" s="305">
        <f>PHỤLỤCNN!C60</f>
        <v>40.520000000000003</v>
      </c>
      <c r="D13" s="657">
        <f t="shared" si="0"/>
        <v>0</v>
      </c>
      <c r="E13" s="657">
        <f>'Hai Xuan'!M12</f>
        <v>0</v>
      </c>
      <c r="F13" s="657">
        <f>'Hai Xuan'!M64</f>
        <v>0</v>
      </c>
      <c r="G13" s="657">
        <f>PHỤLỤCNN!E60</f>
        <v>0.69000000000000006</v>
      </c>
      <c r="H13" s="305">
        <f t="shared" si="1"/>
        <v>39.830000000000005</v>
      </c>
      <c r="I13" s="30" t="s">
        <v>240</v>
      </c>
      <c r="J13" s="476" t="s">
        <v>749</v>
      </c>
      <c r="K13" s="100">
        <v>0.4</v>
      </c>
      <c r="L13" s="100">
        <v>0.4</v>
      </c>
      <c r="M13" s="100">
        <f t="shared" si="2"/>
        <v>39.830000000000005</v>
      </c>
      <c r="N13" s="100">
        <f t="shared" si="3"/>
        <v>39.430000000000007</v>
      </c>
      <c r="O13" s="100">
        <f t="shared" si="4"/>
        <v>39.430000000000007</v>
      </c>
    </row>
    <row r="14" spans="1:15" s="2" customFormat="1" ht="18.75" customHeight="1">
      <c r="A14" s="657" t="s">
        <v>241</v>
      </c>
      <c r="B14" s="679" t="s">
        <v>750</v>
      </c>
      <c r="C14" s="305">
        <f>PHỤLỤCNN!C61</f>
        <v>92.42</v>
      </c>
      <c r="D14" s="657">
        <f t="shared" si="0"/>
        <v>0</v>
      </c>
      <c r="E14" s="657">
        <f>'Van Ninh'!M12</f>
        <v>0</v>
      </c>
      <c r="F14" s="657">
        <f>'Van Ninh'!M64</f>
        <v>0</v>
      </c>
      <c r="G14" s="657">
        <f>PHỤLỤCNN!E61</f>
        <v>3.62</v>
      </c>
      <c r="H14" s="305">
        <f t="shared" si="1"/>
        <v>88.8</v>
      </c>
      <c r="I14" s="30" t="s">
        <v>241</v>
      </c>
      <c r="J14" s="476" t="s">
        <v>750</v>
      </c>
      <c r="K14" s="100">
        <v>3.07</v>
      </c>
      <c r="L14" s="100">
        <v>3.07</v>
      </c>
      <c r="M14" s="100">
        <f t="shared" si="2"/>
        <v>88.8</v>
      </c>
      <c r="N14" s="100">
        <f t="shared" si="3"/>
        <v>85.73</v>
      </c>
      <c r="O14" s="100">
        <f t="shared" si="4"/>
        <v>85.73</v>
      </c>
    </row>
    <row r="15" spans="1:15" s="2" customFormat="1" ht="18.75" customHeight="1">
      <c r="A15" s="657" t="s">
        <v>242</v>
      </c>
      <c r="B15" s="679" t="s">
        <v>751</v>
      </c>
      <c r="C15" s="305">
        <f>PHỤLỤCNN!C62</f>
        <v>50.44</v>
      </c>
      <c r="D15" s="657">
        <f t="shared" si="0"/>
        <v>0</v>
      </c>
      <c r="E15" s="657">
        <f>'Vinh Trung'!M12</f>
        <v>0</v>
      </c>
      <c r="F15" s="657">
        <f>'Vinh Trung'!M64</f>
        <v>0</v>
      </c>
      <c r="G15" s="657">
        <f>PHỤLỤCNN!E62</f>
        <v>0.01</v>
      </c>
      <c r="H15" s="305">
        <f t="shared" si="1"/>
        <v>50.43</v>
      </c>
      <c r="I15" s="30" t="s">
        <v>242</v>
      </c>
      <c r="J15" s="476" t="s">
        <v>751</v>
      </c>
      <c r="K15" s="100"/>
      <c r="L15" s="100"/>
      <c r="M15" s="100">
        <f t="shared" si="2"/>
        <v>50.43</v>
      </c>
      <c r="N15" s="100">
        <f t="shared" si="3"/>
        <v>50.43</v>
      </c>
      <c r="O15" s="100">
        <f t="shared" si="4"/>
        <v>50.43</v>
      </c>
    </row>
    <row r="16" spans="1:15" s="2" customFormat="1" ht="18.75" customHeight="1">
      <c r="A16" s="657" t="s">
        <v>243</v>
      </c>
      <c r="B16" s="679" t="s">
        <v>752</v>
      </c>
      <c r="C16" s="305">
        <f>PHỤLỤCNN!C63</f>
        <v>89.34</v>
      </c>
      <c r="D16" s="657">
        <f t="shared" si="0"/>
        <v>0</v>
      </c>
      <c r="E16" s="657">
        <f>'Vinh Thuc'!M12</f>
        <v>0</v>
      </c>
      <c r="F16" s="657">
        <f>'Vinh Thuc'!M64</f>
        <v>0</v>
      </c>
      <c r="G16" s="657">
        <f>PHỤLỤCNN!E63</f>
        <v>1.1200000000000001</v>
      </c>
      <c r="H16" s="305">
        <f t="shared" si="1"/>
        <v>88.22</v>
      </c>
      <c r="I16" s="30" t="s">
        <v>243</v>
      </c>
      <c r="J16" s="476" t="s">
        <v>752</v>
      </c>
      <c r="K16" s="100"/>
      <c r="L16" s="100"/>
      <c r="M16" s="100">
        <f t="shared" si="2"/>
        <v>88.22</v>
      </c>
      <c r="N16" s="100">
        <f t="shared" si="3"/>
        <v>88.22</v>
      </c>
      <c r="O16" s="100">
        <f t="shared" si="4"/>
        <v>88.22</v>
      </c>
    </row>
    <row r="17" spans="1:15" s="2" customFormat="1" ht="18.75" customHeight="1">
      <c r="A17" s="657" t="s">
        <v>244</v>
      </c>
      <c r="B17" s="679" t="s">
        <v>753</v>
      </c>
      <c r="C17" s="305">
        <f>PHỤLỤCNN!C64</f>
        <v>120.8407</v>
      </c>
      <c r="D17" s="657">
        <f t="shared" si="0"/>
        <v>0</v>
      </c>
      <c r="E17" s="657">
        <f>'Hai Yen'!M12</f>
        <v>0</v>
      </c>
      <c r="F17" s="657">
        <f>'Hai Yen'!M64</f>
        <v>0</v>
      </c>
      <c r="G17" s="657">
        <f>PHỤLỤCNN!E64</f>
        <v>16.02</v>
      </c>
      <c r="H17" s="305">
        <f t="shared" si="1"/>
        <v>104.8207</v>
      </c>
      <c r="I17" s="30" t="s">
        <v>244</v>
      </c>
      <c r="J17" s="476" t="s">
        <v>753</v>
      </c>
      <c r="K17" s="100">
        <v>0.23</v>
      </c>
      <c r="L17" s="100">
        <v>0.23</v>
      </c>
      <c r="M17" s="100">
        <f t="shared" si="2"/>
        <v>104.8207</v>
      </c>
      <c r="N17" s="100">
        <f t="shared" si="3"/>
        <v>104.5907</v>
      </c>
      <c r="O17" s="100">
        <f t="shared" si="4"/>
        <v>104.5907</v>
      </c>
    </row>
    <row r="18" spans="1:15" s="2" customFormat="1" ht="18.75" hidden="1" customHeight="1">
      <c r="A18" s="657" t="s">
        <v>245</v>
      </c>
      <c r="B18" s="679" t="s">
        <v>754</v>
      </c>
      <c r="C18" s="305">
        <f>PHỤLỤCNN!C65</f>
        <v>0</v>
      </c>
      <c r="D18" s="657">
        <f t="shared" si="0"/>
        <v>0</v>
      </c>
      <c r="E18" s="657">
        <f>'Ka Long'!M12</f>
        <v>0</v>
      </c>
      <c r="F18" s="657">
        <f>'Ka Long'!M64</f>
        <v>0</v>
      </c>
      <c r="G18" s="657">
        <f>PHỤLỤCNN!E65</f>
        <v>0</v>
      </c>
      <c r="H18" s="305">
        <f t="shared" si="1"/>
        <v>0</v>
      </c>
      <c r="I18" s="30" t="s">
        <v>245</v>
      </c>
      <c r="J18" s="476" t="s">
        <v>754</v>
      </c>
      <c r="K18" s="100"/>
      <c r="L18" s="100"/>
      <c r="M18" s="100">
        <f t="shared" si="2"/>
        <v>0</v>
      </c>
      <c r="N18" s="100">
        <f t="shared" si="3"/>
        <v>0</v>
      </c>
      <c r="O18" s="100">
        <f t="shared" si="4"/>
        <v>0</v>
      </c>
    </row>
    <row r="19" spans="1:15" s="2" customFormat="1" ht="18.75" customHeight="1">
      <c r="A19" s="657" t="s">
        <v>246</v>
      </c>
      <c r="B19" s="679" t="s">
        <v>755</v>
      </c>
      <c r="C19" s="305">
        <f>PHỤLỤCNN!C66</f>
        <v>31.289100000000001</v>
      </c>
      <c r="D19" s="657">
        <f t="shared" si="0"/>
        <v>0</v>
      </c>
      <c r="E19" s="657">
        <f>'Ninh Duong'!M12</f>
        <v>0</v>
      </c>
      <c r="F19" s="657">
        <f>'Ninh Duong'!M64</f>
        <v>0</v>
      </c>
      <c r="G19" s="657">
        <f>PHỤLỤCNN!E66</f>
        <v>3.5300000000000002</v>
      </c>
      <c r="H19" s="305">
        <f t="shared" si="1"/>
        <v>27.7591</v>
      </c>
      <c r="I19" s="30" t="s">
        <v>246</v>
      </c>
      <c r="J19" s="476" t="s">
        <v>755</v>
      </c>
      <c r="K19" s="100">
        <v>28.54</v>
      </c>
      <c r="L19" s="100">
        <v>24.68</v>
      </c>
      <c r="M19" s="100">
        <f t="shared" si="2"/>
        <v>27.7591</v>
      </c>
      <c r="N19" s="100">
        <f t="shared" si="3"/>
        <v>-0.78089999999999904</v>
      </c>
      <c r="O19" s="100">
        <f t="shared" si="4"/>
        <v>3.0791000000000004</v>
      </c>
    </row>
    <row r="20" spans="1:15" s="2" customFormat="1" ht="18.75" hidden="1" customHeight="1">
      <c r="A20" s="657" t="s">
        <v>247</v>
      </c>
      <c r="B20" s="679" t="s">
        <v>756</v>
      </c>
      <c r="C20" s="305">
        <f>PHỤLỤCNN!C67</f>
        <v>0</v>
      </c>
      <c r="D20" s="657">
        <f t="shared" si="0"/>
        <v>0</v>
      </c>
      <c r="E20" s="657">
        <f>'Hoa Lac'!M12</f>
        <v>0</v>
      </c>
      <c r="F20" s="657">
        <f>'Hoa Lac'!M64</f>
        <v>0</v>
      </c>
      <c r="G20" s="657">
        <f>PHỤLỤCNN!E67</f>
        <v>0</v>
      </c>
      <c r="H20" s="305">
        <f t="shared" si="1"/>
        <v>0</v>
      </c>
      <c r="I20" s="30" t="s">
        <v>247</v>
      </c>
      <c r="J20" s="476" t="s">
        <v>756</v>
      </c>
      <c r="K20" s="100">
        <v>135.12</v>
      </c>
      <c r="L20" s="100">
        <v>111.28</v>
      </c>
      <c r="M20" s="100">
        <f t="shared" si="2"/>
        <v>0</v>
      </c>
      <c r="N20" s="100">
        <f t="shared" si="3"/>
        <v>-135.12</v>
      </c>
      <c r="O20" s="100">
        <f t="shared" si="4"/>
        <v>-111.28</v>
      </c>
    </row>
    <row r="21" spans="1:15" s="2" customFormat="1" ht="18.75" hidden="1" customHeight="1">
      <c r="A21" s="657" t="s">
        <v>248</v>
      </c>
      <c r="B21" s="679" t="s">
        <v>757</v>
      </c>
      <c r="C21" s="305">
        <f>PHỤLỤCNN!C68</f>
        <v>0</v>
      </c>
      <c r="D21" s="657">
        <f t="shared" si="0"/>
        <v>0</v>
      </c>
      <c r="E21" s="657">
        <f>'Tran Phu'!M12</f>
        <v>0</v>
      </c>
      <c r="F21" s="657">
        <f>'Tran Phu'!M64</f>
        <v>0</v>
      </c>
      <c r="G21" s="657">
        <f>PHỤLỤCNN!E68</f>
        <v>0</v>
      </c>
      <c r="H21" s="305">
        <f t="shared" si="1"/>
        <v>0</v>
      </c>
      <c r="I21" s="30" t="s">
        <v>248</v>
      </c>
      <c r="J21" s="476" t="s">
        <v>757</v>
      </c>
      <c r="K21" s="100">
        <v>1.9</v>
      </c>
      <c r="L21" s="100">
        <v>1.36</v>
      </c>
      <c r="M21" s="100">
        <f t="shared" si="2"/>
        <v>0</v>
      </c>
      <c r="N21" s="100">
        <f t="shared" si="3"/>
        <v>-1.9</v>
      </c>
      <c r="O21" s="100">
        <f t="shared" si="4"/>
        <v>-1.36</v>
      </c>
    </row>
    <row r="22" spans="1:15" s="2" customFormat="1" ht="18.75" customHeight="1">
      <c r="A22" s="657" t="s">
        <v>249</v>
      </c>
      <c r="B22" s="679" t="s">
        <v>758</v>
      </c>
      <c r="C22" s="305">
        <f>PHỤLỤCNN!C69</f>
        <v>14.62</v>
      </c>
      <c r="D22" s="657">
        <f t="shared" si="0"/>
        <v>0</v>
      </c>
      <c r="E22" s="657">
        <f>'Hai Hoa'!M12</f>
        <v>0</v>
      </c>
      <c r="F22" s="657">
        <f>'Hai Hoa'!M64</f>
        <v>0</v>
      </c>
      <c r="G22" s="657">
        <f>PHỤLỤCNN!E69</f>
        <v>1.1499999999999999</v>
      </c>
      <c r="H22" s="305">
        <f t="shared" si="1"/>
        <v>13.469999999999999</v>
      </c>
      <c r="I22" s="30" t="s">
        <v>249</v>
      </c>
      <c r="J22" s="476" t="s">
        <v>758</v>
      </c>
      <c r="K22" s="100">
        <v>13.3</v>
      </c>
      <c r="L22" s="100">
        <v>10.07</v>
      </c>
      <c r="M22" s="100">
        <f t="shared" si="2"/>
        <v>13.469999999999999</v>
      </c>
      <c r="N22" s="100">
        <f t="shared" si="3"/>
        <v>0.16999999999999815</v>
      </c>
      <c r="O22" s="100">
        <f t="shared" si="4"/>
        <v>3.3999999999999986</v>
      </c>
    </row>
    <row r="23" spans="1:15" s="2" customFormat="1" ht="18.75" customHeight="1">
      <c r="A23" s="657" t="s">
        <v>250</v>
      </c>
      <c r="B23" s="679" t="s">
        <v>759</v>
      </c>
      <c r="C23" s="305">
        <f>PHỤLỤCNN!C70</f>
        <v>14.13</v>
      </c>
      <c r="D23" s="657">
        <f t="shared" si="0"/>
        <v>0</v>
      </c>
      <c r="E23" s="657">
        <f>'Tra Co'!M12</f>
        <v>0</v>
      </c>
      <c r="F23" s="657">
        <f>'Tra Co'!M64</f>
        <v>0</v>
      </c>
      <c r="G23" s="657">
        <f>PHỤLỤCNN!E70</f>
        <v>0</v>
      </c>
      <c r="H23" s="305">
        <f t="shared" si="1"/>
        <v>14.13</v>
      </c>
      <c r="I23" s="30" t="s">
        <v>250</v>
      </c>
      <c r="J23" s="476" t="s">
        <v>759</v>
      </c>
      <c r="K23" s="100">
        <v>3.85</v>
      </c>
      <c r="L23" s="100">
        <v>1.88</v>
      </c>
      <c r="M23" s="100">
        <f t="shared" si="2"/>
        <v>14.13</v>
      </c>
      <c r="N23" s="100">
        <f t="shared" si="3"/>
        <v>10.280000000000001</v>
      </c>
      <c r="O23" s="100">
        <f t="shared" si="4"/>
        <v>12.25</v>
      </c>
    </row>
    <row r="24" spans="1:15" s="2" customFormat="1" ht="18.75" customHeight="1">
      <c r="A24" s="657" t="s">
        <v>251</v>
      </c>
      <c r="B24" s="679" t="s">
        <v>760</v>
      </c>
      <c r="C24" s="305">
        <f>PHỤLỤCNN!C71</f>
        <v>76.53</v>
      </c>
      <c r="D24" s="657">
        <f t="shared" si="0"/>
        <v>0</v>
      </c>
      <c r="E24" s="657">
        <f>'Binh Ngoc'!M12</f>
        <v>0</v>
      </c>
      <c r="F24" s="657">
        <f>'Binh Ngoc'!M64</f>
        <v>0</v>
      </c>
      <c r="G24" s="657">
        <f>PHỤLỤCNN!E71</f>
        <v>0</v>
      </c>
      <c r="H24" s="305">
        <f t="shared" si="1"/>
        <v>76.53</v>
      </c>
      <c r="I24" s="30" t="s">
        <v>251</v>
      </c>
      <c r="J24" s="476" t="s">
        <v>760</v>
      </c>
      <c r="K24" s="100">
        <v>13.57</v>
      </c>
      <c r="L24" s="100">
        <v>10.94</v>
      </c>
      <c r="M24" s="100">
        <f t="shared" si="2"/>
        <v>76.53</v>
      </c>
      <c r="N24" s="100">
        <f t="shared" si="3"/>
        <v>62.96</v>
      </c>
      <c r="O24" s="100">
        <f t="shared" si="4"/>
        <v>65.59</v>
      </c>
    </row>
    <row r="25" spans="1:15" s="2" customFormat="1" ht="22.5" customHeight="1">
      <c r="A25" s="658"/>
      <c r="B25" s="658" t="s">
        <v>370</v>
      </c>
      <c r="C25" s="307">
        <f t="shared" ref="C25:H25" si="5">SUM(C8:C24)</f>
        <v>1015.3142999999999</v>
      </c>
      <c r="D25" s="642">
        <f t="shared" si="5"/>
        <v>0</v>
      </c>
      <c r="E25" s="642">
        <f t="shared" si="5"/>
        <v>0</v>
      </c>
      <c r="F25" s="642">
        <f t="shared" si="5"/>
        <v>0</v>
      </c>
      <c r="G25" s="642">
        <f t="shared" si="5"/>
        <v>37.97</v>
      </c>
      <c r="H25" s="307">
        <f t="shared" si="5"/>
        <v>977.34429999999998</v>
      </c>
      <c r="I25" s="329"/>
      <c r="J25" s="329" t="s">
        <v>370</v>
      </c>
      <c r="K25" s="75">
        <f>SUM(K8:K24)</f>
        <v>291.89999999999998</v>
      </c>
      <c r="L25" s="75">
        <f>SUM(L8:L24)</f>
        <v>207.18</v>
      </c>
      <c r="M25" s="75">
        <f>SUM(M8:M24)</f>
        <v>977.34429999999998</v>
      </c>
      <c r="N25" s="75">
        <f>SUM(N8:N24)</f>
        <v>685.4443</v>
      </c>
      <c r="O25" s="75">
        <f>SUM(O8:O24)</f>
        <v>770.16430000000003</v>
      </c>
    </row>
    <row r="26" spans="1:15">
      <c r="C26">
        <f>'TONG TP'!D16</f>
        <v>1015.3142999999999</v>
      </c>
      <c r="H26" s="177">
        <f>'TONG TP'!BN16</f>
        <v>977.34429999999986</v>
      </c>
    </row>
    <row r="27" spans="1:15">
      <c r="H27" s="177"/>
    </row>
    <row r="29" spans="1:15">
      <c r="H29">
        <f>'TONG TP'!BN16</f>
        <v>977.34429999999986</v>
      </c>
    </row>
    <row r="30" spans="1:15">
      <c r="H30">
        <f>H25-H29</f>
        <v>0</v>
      </c>
    </row>
  </sheetData>
  <autoFilter ref="A7:O26">
    <filterColumn colId="7">
      <customFilters>
        <customFilter operator="notEqual" val=" "/>
      </customFilters>
    </filterColumn>
  </autoFilter>
  <mergeCells count="18">
    <mergeCell ref="K5:K7"/>
    <mergeCell ref="L5:L7"/>
    <mergeCell ref="M5:M7"/>
    <mergeCell ref="G4:H4"/>
    <mergeCell ref="N5:O5"/>
    <mergeCell ref="N6:N7"/>
    <mergeCell ref="O6:O7"/>
    <mergeCell ref="I5:I7"/>
    <mergeCell ref="J5:J7"/>
    <mergeCell ref="A2:H2"/>
    <mergeCell ref="A3:H3"/>
    <mergeCell ref="A5:A7"/>
    <mergeCell ref="B5:B7"/>
    <mergeCell ref="C5:C7"/>
    <mergeCell ref="D5:D7"/>
    <mergeCell ref="G5:G7"/>
    <mergeCell ref="H5:H7"/>
    <mergeCell ref="E5:E7"/>
  </mergeCells>
  <phoneticPr fontId="4" type="noConversion"/>
  <printOptions horizontalCentered="1"/>
  <pageMargins left="1" right="0.25" top="0.3" bottom="0.1" header="0.5" footer="0.5"/>
  <pageSetup paperSize="9" orientation="portrait"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O30"/>
  <sheetViews>
    <sheetView showZeros="0" topLeftCell="A5" zoomScale="70" zoomScaleNormal="70" workbookViewId="0">
      <selection activeCell="A5" sqref="A5:H25"/>
    </sheetView>
  </sheetViews>
  <sheetFormatPr defaultRowHeight="12.75"/>
  <cols>
    <col min="1" max="1" width="9.7109375" customWidth="1"/>
    <col min="2" max="2" width="21.28515625" customWidth="1"/>
    <col min="3" max="3" width="15.28515625" customWidth="1"/>
    <col min="4" max="4" width="14.7109375" customWidth="1"/>
    <col min="5" max="6" width="8.28515625" hidden="1" customWidth="1"/>
    <col min="7" max="7" width="14.42578125" customWidth="1"/>
    <col min="8" max="8" width="17.140625" customWidth="1"/>
    <col min="9" max="9" width="7.42578125" customWidth="1"/>
    <col min="10" max="10" width="20.85546875" customWidth="1"/>
    <col min="12" max="12" width="10.42578125" customWidth="1"/>
    <col min="13" max="13" width="11" customWidth="1"/>
    <col min="14" max="14" width="10.5703125" customWidth="1"/>
    <col min="15" max="15" width="10" customWidth="1"/>
  </cols>
  <sheetData>
    <row r="1" spans="1:15" ht="22.5" customHeight="1">
      <c r="A1" s="342" t="s">
        <v>626</v>
      </c>
    </row>
    <row r="2" spans="1:15" ht="24.75" customHeight="1">
      <c r="A2" s="1385" t="s">
        <v>702</v>
      </c>
      <c r="B2" s="1385"/>
      <c r="C2" s="1385"/>
      <c r="D2" s="1385"/>
      <c r="E2" s="1385"/>
      <c r="F2" s="1385"/>
      <c r="G2" s="1385"/>
      <c r="H2" s="1385"/>
    </row>
    <row r="3" spans="1:15" ht="21" customHeight="1">
      <c r="A3" s="1385" t="s">
        <v>766</v>
      </c>
      <c r="B3" s="1385"/>
      <c r="C3" s="1385"/>
      <c r="D3" s="1385"/>
      <c r="E3" s="1385"/>
      <c r="F3" s="1385"/>
      <c r="G3" s="1385"/>
      <c r="H3" s="1385"/>
    </row>
    <row r="4" spans="1:15" ht="25.5" customHeight="1">
      <c r="G4" s="1278" t="s">
        <v>138</v>
      </c>
      <c r="H4" s="1278"/>
    </row>
    <row r="5" spans="1:15" ht="17.25" customHeight="1">
      <c r="A5" s="1356" t="s">
        <v>368</v>
      </c>
      <c r="B5" s="1386" t="s">
        <v>980</v>
      </c>
      <c r="C5" s="1356" t="s">
        <v>456</v>
      </c>
      <c r="D5" s="1356" t="s">
        <v>457</v>
      </c>
      <c r="E5" s="1356" t="s">
        <v>458</v>
      </c>
      <c r="F5" s="1356"/>
      <c r="G5" s="1356" t="s">
        <v>459</v>
      </c>
      <c r="H5" s="1356" t="s">
        <v>460</v>
      </c>
      <c r="I5" s="1280" t="s">
        <v>0</v>
      </c>
      <c r="J5" s="1280" t="s">
        <v>369</v>
      </c>
      <c r="K5" s="1280" t="s">
        <v>494</v>
      </c>
      <c r="L5" s="1380" t="s">
        <v>495</v>
      </c>
      <c r="M5" s="1380" t="s">
        <v>496</v>
      </c>
      <c r="N5" s="1378" t="s">
        <v>497</v>
      </c>
      <c r="O5" s="1378"/>
    </row>
    <row r="6" spans="1:15" ht="18" customHeight="1">
      <c r="A6" s="1356"/>
      <c r="B6" s="1387"/>
      <c r="C6" s="1356"/>
      <c r="D6" s="1356"/>
      <c r="E6" s="1356"/>
      <c r="F6" s="1356"/>
      <c r="G6" s="1356"/>
      <c r="H6" s="1356"/>
      <c r="I6" s="1280"/>
      <c r="J6" s="1280"/>
      <c r="K6" s="1280"/>
      <c r="L6" s="1380"/>
      <c r="M6" s="1380"/>
      <c r="N6" s="1280" t="s">
        <v>498</v>
      </c>
      <c r="O6" s="1280" t="s">
        <v>344</v>
      </c>
    </row>
    <row r="7" spans="1:15" ht="8.25" customHeight="1">
      <c r="A7" s="1356"/>
      <c r="B7" s="1388"/>
      <c r="C7" s="1356"/>
      <c r="D7" s="1356"/>
      <c r="E7" s="1356"/>
      <c r="F7" s="1356"/>
      <c r="G7" s="1356"/>
      <c r="H7" s="1356"/>
      <c r="I7" s="1280"/>
      <c r="J7" s="1280"/>
      <c r="K7" s="1280"/>
      <c r="L7" s="1380"/>
      <c r="M7" s="1380"/>
      <c r="N7" s="1280"/>
      <c r="O7" s="1280"/>
    </row>
    <row r="8" spans="1:15" s="2" customFormat="1" ht="24.75" customHeight="1">
      <c r="A8" s="155" t="s">
        <v>235</v>
      </c>
      <c r="B8" s="475" t="s">
        <v>744</v>
      </c>
      <c r="C8" s="155">
        <f>PHỤLỤCNN!C80</f>
        <v>198.53</v>
      </c>
      <c r="D8" s="155">
        <f>SUM(E8:F8)</f>
        <v>0</v>
      </c>
      <c r="E8" s="155">
        <f>'Bac Son'!N12</f>
        <v>0</v>
      </c>
      <c r="F8" s="155">
        <f>'Bac Son'!N64</f>
        <v>0</v>
      </c>
      <c r="G8" s="155">
        <f>PHỤLỤCNN!E80</f>
        <v>0.37</v>
      </c>
      <c r="H8" s="155">
        <f>C8+D8-G8</f>
        <v>198.16</v>
      </c>
      <c r="I8" s="335" t="s">
        <v>235</v>
      </c>
      <c r="J8" s="475" t="s">
        <v>744</v>
      </c>
      <c r="K8" s="281">
        <v>16.28</v>
      </c>
      <c r="L8" s="281">
        <v>14.05</v>
      </c>
      <c r="M8" s="281">
        <f>H8</f>
        <v>198.16</v>
      </c>
      <c r="N8" s="281">
        <f>M8-K8</f>
        <v>181.88</v>
      </c>
      <c r="O8" s="281">
        <f>M8-L8</f>
        <v>184.10999999999999</v>
      </c>
    </row>
    <row r="9" spans="1:15" s="2" customFormat="1" ht="24.75" customHeight="1">
      <c r="A9" s="30" t="s">
        <v>236</v>
      </c>
      <c r="B9" s="476" t="s">
        <v>745</v>
      </c>
      <c r="C9" s="30">
        <f>PHỤLỤCNN!C81</f>
        <v>91.102339999999998</v>
      </c>
      <c r="D9" s="30">
        <f t="shared" ref="D9:D24" si="0">SUM(E9:F9)</f>
        <v>0</v>
      </c>
      <c r="E9" s="30">
        <f>'Hai Son'!N12</f>
        <v>0</v>
      </c>
      <c r="F9" s="30">
        <f>'Hai Son'!N64</f>
        <v>0</v>
      </c>
      <c r="G9" s="30">
        <f>PHỤLỤCNN!E81</f>
        <v>0.3</v>
      </c>
      <c r="H9" s="30">
        <f t="shared" ref="H9:H24" si="1">C9+D9-G9</f>
        <v>90.802340000000001</v>
      </c>
      <c r="I9" s="30" t="s">
        <v>236</v>
      </c>
      <c r="J9" s="476" t="s">
        <v>745</v>
      </c>
      <c r="K9" s="100">
        <v>120.74</v>
      </c>
      <c r="L9" s="100">
        <v>100.67</v>
      </c>
      <c r="M9" s="100">
        <f t="shared" ref="M9:M24" si="2">H9</f>
        <v>90.802340000000001</v>
      </c>
      <c r="N9" s="100">
        <f t="shared" ref="N9:N24" si="3">M9-K9</f>
        <v>-29.937659999999994</v>
      </c>
      <c r="O9" s="100">
        <f t="shared" ref="O9:O24" si="4">M9-L9</f>
        <v>-9.8676600000000008</v>
      </c>
    </row>
    <row r="10" spans="1:15" s="2" customFormat="1" ht="24.75" customHeight="1">
      <c r="A10" s="30" t="s">
        <v>237</v>
      </c>
      <c r="B10" s="476" t="s">
        <v>746</v>
      </c>
      <c r="C10" s="30">
        <f>PHỤLỤCNN!C82</f>
        <v>133.25</v>
      </c>
      <c r="D10" s="30">
        <f t="shared" si="0"/>
        <v>0</v>
      </c>
      <c r="E10" s="30">
        <f>'Quang Nghia'!N12</f>
        <v>0</v>
      </c>
      <c r="F10" s="30">
        <f>'Quang Nghia'!N64</f>
        <v>0</v>
      </c>
      <c r="G10" s="30">
        <f>PHỤLỤCNN!E82</f>
        <v>8.08</v>
      </c>
      <c r="H10" s="30">
        <f t="shared" si="1"/>
        <v>125.17</v>
      </c>
      <c r="I10" s="30" t="s">
        <v>237</v>
      </c>
      <c r="J10" s="476" t="s">
        <v>746</v>
      </c>
      <c r="K10" s="100">
        <v>123.11</v>
      </c>
      <c r="L10" s="100">
        <v>90.24</v>
      </c>
      <c r="M10" s="100">
        <f t="shared" si="2"/>
        <v>125.17</v>
      </c>
      <c r="N10" s="100">
        <f t="shared" si="3"/>
        <v>2.0600000000000023</v>
      </c>
      <c r="O10" s="100">
        <f t="shared" si="4"/>
        <v>34.930000000000007</v>
      </c>
    </row>
    <row r="11" spans="1:15" s="2" customFormat="1" ht="24.75" customHeight="1">
      <c r="A11" s="30" t="s">
        <v>238</v>
      </c>
      <c r="B11" s="476" t="s">
        <v>747</v>
      </c>
      <c r="C11" s="30">
        <f>PHỤLỤCNN!C83</f>
        <v>135</v>
      </c>
      <c r="D11" s="30">
        <f t="shared" si="0"/>
        <v>0</v>
      </c>
      <c r="E11" s="30">
        <f>'Hai Dong'!N12</f>
        <v>0</v>
      </c>
      <c r="F11" s="30">
        <f>'Hai Dong'!N64</f>
        <v>0</v>
      </c>
      <c r="G11" s="30">
        <f>PHỤLỤCNN!E83</f>
        <v>3.54</v>
      </c>
      <c r="H11" s="30">
        <f t="shared" si="1"/>
        <v>131.46</v>
      </c>
      <c r="I11" s="30" t="s">
        <v>238</v>
      </c>
      <c r="J11" s="476" t="s">
        <v>747</v>
      </c>
      <c r="K11" s="100">
        <v>62.25</v>
      </c>
      <c r="L11" s="100">
        <v>43.55</v>
      </c>
      <c r="M11" s="100">
        <f t="shared" si="2"/>
        <v>131.46</v>
      </c>
      <c r="N11" s="100">
        <f t="shared" si="3"/>
        <v>69.210000000000008</v>
      </c>
      <c r="O11" s="100">
        <f t="shared" si="4"/>
        <v>87.910000000000011</v>
      </c>
    </row>
    <row r="12" spans="1:15" s="2" customFormat="1" ht="24.75" customHeight="1">
      <c r="A12" s="30" t="s">
        <v>239</v>
      </c>
      <c r="B12" s="476" t="s">
        <v>748</v>
      </c>
      <c r="C12" s="30">
        <f>PHỤLỤCNN!C84</f>
        <v>76.13</v>
      </c>
      <c r="D12" s="30">
        <f t="shared" si="0"/>
        <v>0</v>
      </c>
      <c r="E12" s="30">
        <f>'Hai Tien'!N12</f>
        <v>0</v>
      </c>
      <c r="F12" s="30">
        <f>'Hai Tien'!N64</f>
        <v>0</v>
      </c>
      <c r="G12" s="30">
        <f>PHỤLỤCNN!E84</f>
        <v>1</v>
      </c>
      <c r="H12" s="30">
        <f t="shared" si="1"/>
        <v>75.13</v>
      </c>
      <c r="I12" s="30" t="s">
        <v>239</v>
      </c>
      <c r="J12" s="476" t="s">
        <v>748</v>
      </c>
      <c r="K12" s="100">
        <v>39.909999999999997</v>
      </c>
      <c r="L12" s="100">
        <v>41.17</v>
      </c>
      <c r="M12" s="100">
        <f t="shared" si="2"/>
        <v>75.13</v>
      </c>
      <c r="N12" s="100">
        <f t="shared" si="3"/>
        <v>35.22</v>
      </c>
      <c r="O12" s="100">
        <f t="shared" si="4"/>
        <v>33.959999999999994</v>
      </c>
    </row>
    <row r="13" spans="1:15" s="2" customFormat="1" ht="24.75" customHeight="1">
      <c r="A13" s="30" t="s">
        <v>240</v>
      </c>
      <c r="B13" s="476" t="s">
        <v>749</v>
      </c>
      <c r="C13" s="30">
        <f>PHỤLỤCNN!C85</f>
        <v>141.47</v>
      </c>
      <c r="D13" s="30">
        <f t="shared" si="0"/>
        <v>0</v>
      </c>
      <c r="E13" s="30">
        <f>'Hai Xuan'!N12</f>
        <v>0</v>
      </c>
      <c r="F13" s="30">
        <f>'Hai Xuan'!N64</f>
        <v>0</v>
      </c>
      <c r="G13" s="30">
        <f>PHỤLỤCNN!E85</f>
        <v>1.27</v>
      </c>
      <c r="H13" s="30">
        <f t="shared" si="1"/>
        <v>140.19999999999999</v>
      </c>
      <c r="I13" s="30" t="s">
        <v>240</v>
      </c>
      <c r="J13" s="476" t="s">
        <v>749</v>
      </c>
      <c r="K13" s="100">
        <v>56</v>
      </c>
      <c r="L13" s="100">
        <v>55.78</v>
      </c>
      <c r="M13" s="100">
        <f t="shared" si="2"/>
        <v>140.19999999999999</v>
      </c>
      <c r="N13" s="100">
        <f t="shared" si="3"/>
        <v>84.199999999999989</v>
      </c>
      <c r="O13" s="100">
        <f t="shared" si="4"/>
        <v>84.419999999999987</v>
      </c>
    </row>
    <row r="14" spans="1:15" s="2" customFormat="1" ht="24.75" customHeight="1">
      <c r="A14" s="30" t="s">
        <v>241</v>
      </c>
      <c r="B14" s="476" t="s">
        <v>750</v>
      </c>
      <c r="C14" s="30">
        <f>PHỤLỤCNN!C86</f>
        <v>45.79</v>
      </c>
      <c r="D14" s="30">
        <f t="shared" si="0"/>
        <v>0</v>
      </c>
      <c r="E14" s="30">
        <f>'Van Ninh'!N12</f>
        <v>0</v>
      </c>
      <c r="F14" s="30">
        <f>'Van Ninh'!N64</f>
        <v>0</v>
      </c>
      <c r="G14" s="30">
        <f>PHỤLỤCNN!E86</f>
        <v>1.07</v>
      </c>
      <c r="H14" s="30">
        <f t="shared" si="1"/>
        <v>44.72</v>
      </c>
      <c r="I14" s="30" t="s">
        <v>241</v>
      </c>
      <c r="J14" s="476" t="s">
        <v>750</v>
      </c>
      <c r="K14" s="100">
        <v>5.2</v>
      </c>
      <c r="L14" s="100">
        <v>4.7</v>
      </c>
      <c r="M14" s="100">
        <f t="shared" si="2"/>
        <v>44.72</v>
      </c>
      <c r="N14" s="100">
        <f t="shared" si="3"/>
        <v>39.519999999999996</v>
      </c>
      <c r="O14" s="100">
        <f t="shared" si="4"/>
        <v>40.019999999999996</v>
      </c>
    </row>
    <row r="15" spans="1:15" s="2" customFormat="1" ht="24.75" customHeight="1">
      <c r="A15" s="30" t="s">
        <v>242</v>
      </c>
      <c r="B15" s="476" t="s">
        <v>751</v>
      </c>
      <c r="C15" s="30">
        <f>PHỤLỤCNN!C87</f>
        <v>41.48</v>
      </c>
      <c r="D15" s="30">
        <f t="shared" si="0"/>
        <v>0</v>
      </c>
      <c r="E15" s="30">
        <f>'Vinh Trung'!N12</f>
        <v>0</v>
      </c>
      <c r="F15" s="30">
        <f>'Vinh Trung'!N64</f>
        <v>0</v>
      </c>
      <c r="G15" s="30">
        <f>PHỤLỤCNN!E87</f>
        <v>0.54</v>
      </c>
      <c r="H15" s="30">
        <f t="shared" si="1"/>
        <v>40.94</v>
      </c>
      <c r="I15" s="30" t="s">
        <v>242</v>
      </c>
      <c r="J15" s="476" t="s">
        <v>751</v>
      </c>
      <c r="K15" s="100">
        <v>7.21</v>
      </c>
      <c r="L15" s="100">
        <v>7.19</v>
      </c>
      <c r="M15" s="100">
        <f t="shared" si="2"/>
        <v>40.94</v>
      </c>
      <c r="N15" s="100">
        <f t="shared" si="3"/>
        <v>33.729999999999997</v>
      </c>
      <c r="O15" s="100">
        <f t="shared" si="4"/>
        <v>33.75</v>
      </c>
    </row>
    <row r="16" spans="1:15" s="2" customFormat="1" ht="24.75" customHeight="1">
      <c r="A16" s="30" t="s">
        <v>243</v>
      </c>
      <c r="B16" s="476" t="s">
        <v>752</v>
      </c>
      <c r="C16" s="30">
        <f>PHỤLỤCNN!C88</f>
        <v>55.68</v>
      </c>
      <c r="D16" s="30">
        <f t="shared" si="0"/>
        <v>0</v>
      </c>
      <c r="E16" s="30">
        <f>'Vinh Thuc'!N12</f>
        <v>0</v>
      </c>
      <c r="F16" s="30">
        <f>'Vinh Thuc'!N64</f>
        <v>0</v>
      </c>
      <c r="G16" s="30">
        <f>PHỤLỤCNN!E88</f>
        <v>0.5</v>
      </c>
      <c r="H16" s="30">
        <f t="shared" si="1"/>
        <v>55.18</v>
      </c>
      <c r="I16" s="30" t="s">
        <v>243</v>
      </c>
      <c r="J16" s="476" t="s">
        <v>752</v>
      </c>
      <c r="K16" s="100">
        <v>6.66</v>
      </c>
      <c r="L16" s="100">
        <v>6.42</v>
      </c>
      <c r="M16" s="100">
        <f t="shared" si="2"/>
        <v>55.18</v>
      </c>
      <c r="N16" s="100">
        <f t="shared" si="3"/>
        <v>48.519999999999996</v>
      </c>
      <c r="O16" s="100">
        <f t="shared" si="4"/>
        <v>48.76</v>
      </c>
    </row>
    <row r="17" spans="1:15" s="2" customFormat="1" ht="24.75" customHeight="1">
      <c r="A17" s="30" t="s">
        <v>244</v>
      </c>
      <c r="B17" s="476" t="s">
        <v>753</v>
      </c>
      <c r="C17" s="185">
        <f>PHỤLỤCNN!C89</f>
        <v>393.78960000000001</v>
      </c>
      <c r="D17" s="30">
        <f t="shared" si="0"/>
        <v>0</v>
      </c>
      <c r="E17" s="30">
        <f>'Hai Yen'!N12</f>
        <v>0</v>
      </c>
      <c r="F17" s="30">
        <f>'Hai Yen'!N64</f>
        <v>0</v>
      </c>
      <c r="G17" s="30">
        <f>PHỤLỤCNN!E89</f>
        <v>16.490000000000002</v>
      </c>
      <c r="H17" s="185">
        <f t="shared" si="1"/>
        <v>377.2996</v>
      </c>
      <c r="I17" s="30" t="s">
        <v>244</v>
      </c>
      <c r="J17" s="476" t="s">
        <v>753</v>
      </c>
      <c r="K17" s="100">
        <v>3.29</v>
      </c>
      <c r="L17" s="100">
        <v>3.22</v>
      </c>
      <c r="M17" s="100">
        <f t="shared" si="2"/>
        <v>377.2996</v>
      </c>
      <c r="N17" s="100">
        <f t="shared" si="3"/>
        <v>374.00959999999998</v>
      </c>
      <c r="O17" s="100">
        <f t="shared" si="4"/>
        <v>374.07959999999997</v>
      </c>
    </row>
    <row r="18" spans="1:15" s="2" customFormat="1" ht="24.75" customHeight="1">
      <c r="A18" s="30" t="s">
        <v>245</v>
      </c>
      <c r="B18" s="476" t="s">
        <v>754</v>
      </c>
      <c r="C18" s="30">
        <f>PHỤLỤCNN!C90</f>
        <v>3.88</v>
      </c>
      <c r="D18" s="30">
        <f t="shared" si="0"/>
        <v>0</v>
      </c>
      <c r="E18" s="30">
        <f>'Ka Long'!N12</f>
        <v>0</v>
      </c>
      <c r="F18" s="30">
        <f>'Ka Long'!N64</f>
        <v>0</v>
      </c>
      <c r="G18" s="30">
        <f>PHỤLỤCNN!E90</f>
        <v>0.3</v>
      </c>
      <c r="H18" s="30">
        <f t="shared" si="1"/>
        <v>3.58</v>
      </c>
      <c r="I18" s="30" t="s">
        <v>245</v>
      </c>
      <c r="J18" s="476" t="s">
        <v>754</v>
      </c>
      <c r="K18" s="100">
        <v>1.48</v>
      </c>
      <c r="L18" s="100">
        <v>1.48</v>
      </c>
      <c r="M18" s="100">
        <f t="shared" si="2"/>
        <v>3.58</v>
      </c>
      <c r="N18" s="100">
        <f t="shared" si="3"/>
        <v>2.1</v>
      </c>
      <c r="O18" s="100">
        <f t="shared" si="4"/>
        <v>2.1</v>
      </c>
    </row>
    <row r="19" spans="1:15" s="2" customFormat="1" ht="24.75" customHeight="1">
      <c r="A19" s="30" t="s">
        <v>246</v>
      </c>
      <c r="B19" s="476" t="s">
        <v>755</v>
      </c>
      <c r="C19" s="30">
        <f>PHỤLỤCNN!C91</f>
        <v>110.37</v>
      </c>
      <c r="D19" s="30">
        <f t="shared" si="0"/>
        <v>0</v>
      </c>
      <c r="E19" s="30">
        <f>'Ninh Duong'!N12</f>
        <v>0</v>
      </c>
      <c r="F19" s="30">
        <f>'Ninh Duong'!N64</f>
        <v>0</v>
      </c>
      <c r="G19" s="30">
        <f>PHỤLỤCNN!E91</f>
        <v>1</v>
      </c>
      <c r="H19" s="30">
        <f t="shared" si="1"/>
        <v>109.37</v>
      </c>
      <c r="I19" s="30" t="s">
        <v>246</v>
      </c>
      <c r="J19" s="476" t="s">
        <v>755</v>
      </c>
      <c r="K19" s="100">
        <v>140.61000000000001</v>
      </c>
      <c r="L19" s="100">
        <v>128.58000000000001</v>
      </c>
      <c r="M19" s="100">
        <f t="shared" si="2"/>
        <v>109.37</v>
      </c>
      <c r="N19" s="100">
        <f t="shared" si="3"/>
        <v>-31.240000000000009</v>
      </c>
      <c r="O19" s="100">
        <f t="shared" si="4"/>
        <v>-19.210000000000008</v>
      </c>
    </row>
    <row r="20" spans="1:15" s="2" customFormat="1" ht="24.75" hidden="1" customHeight="1">
      <c r="A20" s="30" t="s">
        <v>247</v>
      </c>
      <c r="B20" s="476" t="s">
        <v>756</v>
      </c>
      <c r="C20" s="30">
        <f>PHỤLỤCNN!C92</f>
        <v>0</v>
      </c>
      <c r="D20" s="30">
        <f t="shared" si="0"/>
        <v>0</v>
      </c>
      <c r="E20" s="30">
        <f>'Hoa Lac'!N12</f>
        <v>0</v>
      </c>
      <c r="F20" s="30">
        <f>'Hoa Lac'!N64</f>
        <v>0</v>
      </c>
      <c r="G20" s="30">
        <f>PHỤLỤCNN!E92</f>
        <v>0</v>
      </c>
      <c r="H20" s="30">
        <f t="shared" si="1"/>
        <v>0</v>
      </c>
      <c r="I20" s="30" t="s">
        <v>247</v>
      </c>
      <c r="J20" s="476" t="s">
        <v>756</v>
      </c>
      <c r="K20" s="100">
        <v>131.87</v>
      </c>
      <c r="L20" s="100">
        <v>103.37</v>
      </c>
      <c r="M20" s="100">
        <f t="shared" si="2"/>
        <v>0</v>
      </c>
      <c r="N20" s="100">
        <f t="shared" si="3"/>
        <v>-131.87</v>
      </c>
      <c r="O20" s="100">
        <f t="shared" si="4"/>
        <v>-103.37</v>
      </c>
    </row>
    <row r="21" spans="1:15" s="2" customFormat="1" ht="24.75" hidden="1" customHeight="1">
      <c r="A21" s="30" t="s">
        <v>248</v>
      </c>
      <c r="B21" s="476" t="s">
        <v>757</v>
      </c>
      <c r="C21" s="30">
        <f>PHỤLỤCNN!C93</f>
        <v>0</v>
      </c>
      <c r="D21" s="30">
        <f t="shared" si="0"/>
        <v>0</v>
      </c>
      <c r="E21" s="30">
        <f>'Tran Phu'!N12</f>
        <v>0</v>
      </c>
      <c r="F21" s="30">
        <f>'Tran Phu'!N64</f>
        <v>0</v>
      </c>
      <c r="G21" s="30">
        <f>PHỤLỤCNN!E93</f>
        <v>0</v>
      </c>
      <c r="H21" s="30">
        <f t="shared" si="1"/>
        <v>0</v>
      </c>
      <c r="I21" s="30" t="s">
        <v>248</v>
      </c>
      <c r="J21" s="476" t="s">
        <v>757</v>
      </c>
      <c r="K21" s="100">
        <v>68.900000000000006</v>
      </c>
      <c r="L21" s="100">
        <v>54.45</v>
      </c>
      <c r="M21" s="100">
        <f t="shared" si="2"/>
        <v>0</v>
      </c>
      <c r="N21" s="100">
        <f t="shared" si="3"/>
        <v>-68.900000000000006</v>
      </c>
      <c r="O21" s="100">
        <f t="shared" si="4"/>
        <v>-54.45</v>
      </c>
    </row>
    <row r="22" spans="1:15" s="2" customFormat="1" ht="24.75" customHeight="1">
      <c r="A22" s="30" t="s">
        <v>249</v>
      </c>
      <c r="B22" s="476" t="s">
        <v>758</v>
      </c>
      <c r="C22" s="30">
        <f>PHỤLỤCNN!C94</f>
        <v>333.56</v>
      </c>
      <c r="D22" s="30">
        <f t="shared" si="0"/>
        <v>0</v>
      </c>
      <c r="E22" s="30">
        <f>'Hai Hoa'!N12</f>
        <v>0</v>
      </c>
      <c r="F22" s="30">
        <f>'Hai Hoa'!N64</f>
        <v>0</v>
      </c>
      <c r="G22" s="30">
        <f>PHỤLỤCNN!E94</f>
        <v>67.199999999999989</v>
      </c>
      <c r="H22" s="30">
        <f t="shared" si="1"/>
        <v>266.36</v>
      </c>
      <c r="I22" s="30" t="s">
        <v>249</v>
      </c>
      <c r="J22" s="476" t="s">
        <v>758</v>
      </c>
      <c r="K22" s="100">
        <v>51.14</v>
      </c>
      <c r="L22" s="100">
        <v>49.46</v>
      </c>
      <c r="M22" s="100">
        <f t="shared" si="2"/>
        <v>266.36</v>
      </c>
      <c r="N22" s="100">
        <f t="shared" si="3"/>
        <v>215.22000000000003</v>
      </c>
      <c r="O22" s="100">
        <f t="shared" si="4"/>
        <v>216.9</v>
      </c>
    </row>
    <row r="23" spans="1:15" s="2" customFormat="1" ht="24.75" customHeight="1">
      <c r="A23" s="30" t="s">
        <v>250</v>
      </c>
      <c r="B23" s="476" t="s">
        <v>759</v>
      </c>
      <c r="C23" s="30">
        <f>PHỤLỤCNN!C95</f>
        <v>27.79</v>
      </c>
      <c r="D23" s="30">
        <f t="shared" si="0"/>
        <v>0</v>
      </c>
      <c r="E23" s="30">
        <f>'Tra Co'!N12</f>
        <v>0</v>
      </c>
      <c r="F23" s="30">
        <f>'Tra Co'!N64</f>
        <v>0</v>
      </c>
      <c r="G23" s="30">
        <f>PHỤLỤCNN!E95</f>
        <v>0.5</v>
      </c>
      <c r="H23" s="30">
        <f t="shared" si="1"/>
        <v>27.29</v>
      </c>
      <c r="I23" s="30" t="s">
        <v>250</v>
      </c>
      <c r="J23" s="476" t="s">
        <v>759</v>
      </c>
      <c r="K23" s="100"/>
      <c r="L23" s="100"/>
      <c r="M23" s="100">
        <f t="shared" si="2"/>
        <v>27.29</v>
      </c>
      <c r="N23" s="100">
        <f t="shared" si="3"/>
        <v>27.29</v>
      </c>
      <c r="O23" s="100">
        <f t="shared" si="4"/>
        <v>27.29</v>
      </c>
    </row>
    <row r="24" spans="1:15" s="2" customFormat="1" ht="24.75" customHeight="1">
      <c r="A24" s="30" t="s">
        <v>251</v>
      </c>
      <c r="B24" s="476" t="s">
        <v>760</v>
      </c>
      <c r="C24" s="30">
        <f>PHỤLỤCNN!C96</f>
        <v>52.22</v>
      </c>
      <c r="D24" s="30">
        <f t="shared" si="0"/>
        <v>0</v>
      </c>
      <c r="E24" s="30">
        <f>'Binh Ngoc'!N12</f>
        <v>0</v>
      </c>
      <c r="F24" s="30">
        <f>'Binh Ngoc'!N64</f>
        <v>0</v>
      </c>
      <c r="G24" s="30">
        <f>PHỤLỤCNN!E96</f>
        <v>0.5</v>
      </c>
      <c r="H24" s="30">
        <f t="shared" si="1"/>
        <v>51.72</v>
      </c>
      <c r="I24" s="30" t="s">
        <v>251</v>
      </c>
      <c r="J24" s="476" t="s">
        <v>760</v>
      </c>
      <c r="K24" s="100">
        <v>23.63</v>
      </c>
      <c r="L24" s="100">
        <v>23.48</v>
      </c>
      <c r="M24" s="100">
        <f t="shared" si="2"/>
        <v>51.72</v>
      </c>
      <c r="N24" s="100">
        <f t="shared" si="3"/>
        <v>28.09</v>
      </c>
      <c r="O24" s="100">
        <f t="shared" si="4"/>
        <v>28.24</v>
      </c>
    </row>
    <row r="25" spans="1:15" s="2" customFormat="1" ht="29.25" customHeight="1">
      <c r="A25" s="344"/>
      <c r="B25" s="343" t="s">
        <v>370</v>
      </c>
      <c r="C25" s="188">
        <f t="shared" ref="C25:H25" si="5">SUM(C8:C24)</f>
        <v>1840.0419399999998</v>
      </c>
      <c r="D25" s="329">
        <f t="shared" si="5"/>
        <v>0</v>
      </c>
      <c r="E25" s="329">
        <f t="shared" si="5"/>
        <v>0</v>
      </c>
      <c r="F25" s="329">
        <f t="shared" si="5"/>
        <v>0</v>
      </c>
      <c r="G25" s="329">
        <f t="shared" si="5"/>
        <v>102.65999999999998</v>
      </c>
      <c r="H25" s="188">
        <f t="shared" si="5"/>
        <v>1737.38194</v>
      </c>
      <c r="I25" s="329"/>
      <c r="J25" s="329" t="s">
        <v>370</v>
      </c>
      <c r="K25" s="75">
        <f>SUM(K8:K24)</f>
        <v>858.28</v>
      </c>
      <c r="L25" s="75">
        <f>SUM(L8:L24)</f>
        <v>727.81000000000017</v>
      </c>
      <c r="M25" s="75">
        <f>SUM(M8:M24)</f>
        <v>1737.38194</v>
      </c>
      <c r="N25" s="75">
        <f>SUM(N8:N24)</f>
        <v>879.10194000000001</v>
      </c>
      <c r="O25" s="75">
        <f>SUM(O8:O24)</f>
        <v>1009.5719399999997</v>
      </c>
    </row>
    <row r="26" spans="1:15" ht="15.75">
      <c r="A26" s="55"/>
      <c r="B26" s="55"/>
      <c r="C26" s="55">
        <f>'TONG TP'!D17</f>
        <v>1840.0419399999998</v>
      </c>
      <c r="D26" s="55"/>
      <c r="E26" s="55"/>
      <c r="F26" s="55"/>
      <c r="G26" s="55"/>
      <c r="H26" s="55">
        <f>'TONG TP'!BN17</f>
        <v>1737.3819399999998</v>
      </c>
    </row>
    <row r="29" spans="1:15" hidden="1">
      <c r="H29">
        <f>'TONG TP'!BN17</f>
        <v>1737.3819399999998</v>
      </c>
    </row>
    <row r="30" spans="1:15">
      <c r="H30">
        <f>H25-H29</f>
        <v>0</v>
      </c>
    </row>
  </sheetData>
  <autoFilter ref="A7:O26">
    <filterColumn colId="7">
      <customFilters>
        <customFilter operator="notEqual" val=" "/>
      </customFilters>
    </filterColumn>
  </autoFilter>
  <mergeCells count="20">
    <mergeCell ref="N5:O5"/>
    <mergeCell ref="N6:N7"/>
    <mergeCell ref="O6:O7"/>
    <mergeCell ref="I5:I7"/>
    <mergeCell ref="J5:J7"/>
    <mergeCell ref="K5:K7"/>
    <mergeCell ref="L5:L7"/>
    <mergeCell ref="M5:M7"/>
    <mergeCell ref="A2:H2"/>
    <mergeCell ref="A3:H3"/>
    <mergeCell ref="A5:A7"/>
    <mergeCell ref="B5:B7"/>
    <mergeCell ref="C5:C7"/>
    <mergeCell ref="D5:D7"/>
    <mergeCell ref="E5:F5"/>
    <mergeCell ref="G5:G7"/>
    <mergeCell ref="H5:H7"/>
    <mergeCell ref="E6:E7"/>
    <mergeCell ref="F6:F7"/>
    <mergeCell ref="G4:H4"/>
  </mergeCells>
  <phoneticPr fontId="4" type="noConversion"/>
  <printOptions horizontalCentered="1"/>
  <pageMargins left="1.25" right="0.25" top="0.25" bottom="0.25" header="0.5" footer="0.5"/>
  <pageSetup paperSize="9"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filterMode="1"/>
  <dimension ref="A1:O30"/>
  <sheetViews>
    <sheetView showZeros="0" topLeftCell="A6" zoomScale="85" workbookViewId="0">
      <selection activeCell="A5" sqref="A5:H24"/>
    </sheetView>
  </sheetViews>
  <sheetFormatPr defaultRowHeight="12.75"/>
  <cols>
    <col min="1" max="1" width="7.85546875" customWidth="1"/>
    <col min="2" max="2" width="22" customWidth="1"/>
    <col min="3" max="3" width="13.85546875" customWidth="1"/>
    <col min="4" max="4" width="13" customWidth="1"/>
    <col min="5" max="5" width="8.5703125" hidden="1" customWidth="1"/>
    <col min="6" max="6" width="8.85546875" style="167" hidden="1" customWidth="1"/>
    <col min="7" max="7" width="13.42578125" customWidth="1"/>
    <col min="8" max="8" width="17.28515625" customWidth="1"/>
    <col min="9" max="9" width="7.7109375" customWidth="1"/>
    <col min="10" max="10" width="22.5703125" customWidth="1"/>
    <col min="11" max="15" width="10.42578125" customWidth="1"/>
  </cols>
  <sheetData>
    <row r="1" spans="1:15" ht="22.5" customHeight="1">
      <c r="A1" s="363" t="s">
        <v>627</v>
      </c>
    </row>
    <row r="2" spans="1:15" ht="28.5" customHeight="1">
      <c r="A2" s="1385" t="s">
        <v>703</v>
      </c>
      <c r="B2" s="1385"/>
      <c r="C2" s="1385"/>
      <c r="D2" s="1385"/>
      <c r="E2" s="1385"/>
      <c r="F2" s="1385"/>
      <c r="G2" s="1385"/>
      <c r="H2" s="1385"/>
    </row>
    <row r="3" spans="1:15" ht="25.5" customHeight="1">
      <c r="A3" s="1385" t="s">
        <v>766</v>
      </c>
      <c r="B3" s="1385"/>
      <c r="C3" s="1385"/>
      <c r="D3" s="1385"/>
      <c r="E3" s="1385"/>
      <c r="F3" s="1385"/>
      <c r="G3" s="1385"/>
      <c r="H3" s="1385"/>
    </row>
    <row r="4" spans="1:15" ht="23.25" customHeight="1">
      <c r="G4" s="1278" t="s">
        <v>138</v>
      </c>
      <c r="H4" s="1278"/>
    </row>
    <row r="5" spans="1:15" ht="27" customHeight="1">
      <c r="A5" s="1356" t="s">
        <v>368</v>
      </c>
      <c r="B5" s="1389" t="s">
        <v>981</v>
      </c>
      <c r="C5" s="1356" t="s">
        <v>456</v>
      </c>
      <c r="D5" s="1356" t="s">
        <v>457</v>
      </c>
      <c r="E5" s="1356" t="s">
        <v>458</v>
      </c>
      <c r="F5" s="1356"/>
      <c r="G5" s="1356" t="s">
        <v>459</v>
      </c>
      <c r="H5" s="1356" t="s">
        <v>460</v>
      </c>
      <c r="I5" s="1280" t="s">
        <v>0</v>
      </c>
      <c r="J5" s="1301" t="s">
        <v>369</v>
      </c>
      <c r="K5" s="1301" t="s">
        <v>494</v>
      </c>
      <c r="L5" s="1391" t="s">
        <v>495</v>
      </c>
      <c r="M5" s="1391" t="s">
        <v>496</v>
      </c>
      <c r="N5" s="1390" t="s">
        <v>497</v>
      </c>
      <c r="O5" s="1390"/>
    </row>
    <row r="6" spans="1:15" ht="20.25" customHeight="1">
      <c r="A6" s="1356"/>
      <c r="B6" s="1389"/>
      <c r="C6" s="1356"/>
      <c r="D6" s="1356"/>
      <c r="E6" s="909"/>
      <c r="F6" s="910"/>
      <c r="G6" s="1356"/>
      <c r="H6" s="1356"/>
      <c r="I6" s="1280"/>
      <c r="J6" s="1301"/>
      <c r="K6" s="1301"/>
      <c r="L6" s="1391"/>
      <c r="M6" s="1391"/>
      <c r="N6" s="908" t="s">
        <v>498</v>
      </c>
      <c r="O6" s="908" t="s">
        <v>344</v>
      </c>
    </row>
    <row r="7" spans="1:15" s="2" customFormat="1" ht="24" customHeight="1">
      <c r="A7" s="335" t="s">
        <v>235</v>
      </c>
      <c r="B7" s="475" t="s">
        <v>744</v>
      </c>
      <c r="C7" s="335">
        <f>PHỤLỤCNN!C105</f>
        <v>2437.75</v>
      </c>
      <c r="D7" s="569">
        <f>'Bac Son'!P67</f>
        <v>0</v>
      </c>
      <c r="E7" s="99">
        <f>'Bac Son'!P22</f>
        <v>0</v>
      </c>
      <c r="F7" s="335">
        <f>'Bac Son'!P64</f>
        <v>0</v>
      </c>
      <c r="G7" s="335">
        <f>PHỤLỤCNN!E105</f>
        <v>0</v>
      </c>
      <c r="H7" s="335">
        <f t="shared" ref="H7:H23" si="0">C7+D7-G7</f>
        <v>2437.75</v>
      </c>
      <c r="I7" s="335" t="s">
        <v>235</v>
      </c>
      <c r="J7" s="475" t="s">
        <v>744</v>
      </c>
      <c r="K7" s="281">
        <v>14.24</v>
      </c>
      <c r="L7" s="281">
        <v>14.24</v>
      </c>
      <c r="M7" s="333">
        <f>H7</f>
        <v>2437.75</v>
      </c>
      <c r="N7" s="333">
        <f>M7-K7</f>
        <v>2423.5100000000002</v>
      </c>
      <c r="O7" s="333">
        <f>M7-L7</f>
        <v>2423.5100000000002</v>
      </c>
    </row>
    <row r="8" spans="1:15" s="2" customFormat="1" ht="24" customHeight="1">
      <c r="A8" s="30" t="s">
        <v>236</v>
      </c>
      <c r="B8" s="476" t="s">
        <v>745</v>
      </c>
      <c r="C8" s="30">
        <f>PHỤLỤCNN!C106</f>
        <v>4319.0600000000004</v>
      </c>
      <c r="D8" s="185">
        <f>'Hai Son'!P67</f>
        <v>0</v>
      </c>
      <c r="E8" s="100">
        <f>'Hai Son'!P22</f>
        <v>0</v>
      </c>
      <c r="F8" s="30">
        <f>'Hai Son'!P64</f>
        <v>0</v>
      </c>
      <c r="G8" s="30">
        <f>PHỤLỤCNN!E106</f>
        <v>0</v>
      </c>
      <c r="H8" s="30">
        <f t="shared" si="0"/>
        <v>4319.0600000000004</v>
      </c>
      <c r="I8" s="30" t="s">
        <v>236</v>
      </c>
      <c r="J8" s="476" t="s">
        <v>745</v>
      </c>
      <c r="K8" s="100">
        <v>21</v>
      </c>
      <c r="L8" s="100">
        <v>9.91</v>
      </c>
      <c r="M8" s="5">
        <f t="shared" ref="M8:M23" si="1">H8</f>
        <v>4319.0600000000004</v>
      </c>
      <c r="N8" s="5">
        <f t="shared" ref="N8:N23" si="2">M8-K8</f>
        <v>4298.0600000000004</v>
      </c>
      <c r="O8" s="5">
        <f t="shared" ref="O8:O23" si="3">M8-L8</f>
        <v>4309.1500000000005</v>
      </c>
    </row>
    <row r="9" spans="1:15" s="2" customFormat="1" ht="24" customHeight="1">
      <c r="A9" s="30" t="s">
        <v>237</v>
      </c>
      <c r="B9" s="476" t="s">
        <v>746</v>
      </c>
      <c r="C9" s="30">
        <f>PHỤLỤCNN!C107</f>
        <v>915.98</v>
      </c>
      <c r="D9" s="185">
        <f>'Quang Nghia'!P67</f>
        <v>0</v>
      </c>
      <c r="E9" s="100">
        <f>'Quang Nghia'!P22</f>
        <v>0</v>
      </c>
      <c r="F9" s="30">
        <f>'Quang Nghia'!P64</f>
        <v>0</v>
      </c>
      <c r="G9" s="30">
        <f>PHỤLỤCNN!E107</f>
        <v>19.12</v>
      </c>
      <c r="H9" s="30">
        <f t="shared" si="0"/>
        <v>896.86</v>
      </c>
      <c r="I9" s="30" t="s">
        <v>237</v>
      </c>
      <c r="J9" s="476" t="s">
        <v>746</v>
      </c>
      <c r="K9" s="100">
        <v>459.8</v>
      </c>
      <c r="L9" s="100">
        <v>440.12</v>
      </c>
      <c r="M9" s="5">
        <f t="shared" si="1"/>
        <v>896.86</v>
      </c>
      <c r="N9" s="5">
        <f t="shared" si="2"/>
        <v>437.06</v>
      </c>
      <c r="O9" s="5">
        <f t="shared" si="3"/>
        <v>456.74</v>
      </c>
    </row>
    <row r="10" spans="1:15" s="2" customFormat="1" ht="24" customHeight="1">
      <c r="A10" s="30" t="s">
        <v>238</v>
      </c>
      <c r="B10" s="476" t="s">
        <v>747</v>
      </c>
      <c r="C10" s="30">
        <f>PHỤLỤCNN!C108</f>
        <v>967.14</v>
      </c>
      <c r="D10" s="185">
        <f>'Hai Dong'!P67</f>
        <v>0</v>
      </c>
      <c r="E10" s="100">
        <f>'Hai Dong'!P22</f>
        <v>0</v>
      </c>
      <c r="F10" s="30">
        <f>'Hai Dong'!P64</f>
        <v>0</v>
      </c>
      <c r="G10" s="30">
        <f>PHỤLỤCNN!E108</f>
        <v>4.55</v>
      </c>
      <c r="H10" s="30">
        <f t="shared" si="0"/>
        <v>962.59</v>
      </c>
      <c r="I10" s="30" t="s">
        <v>238</v>
      </c>
      <c r="J10" s="476" t="s">
        <v>747</v>
      </c>
      <c r="K10" s="100"/>
      <c r="L10" s="100"/>
      <c r="M10" s="5">
        <f t="shared" si="1"/>
        <v>962.59</v>
      </c>
      <c r="N10" s="5">
        <f t="shared" si="2"/>
        <v>962.59</v>
      </c>
      <c r="O10" s="5">
        <f t="shared" si="3"/>
        <v>962.59</v>
      </c>
    </row>
    <row r="11" spans="1:15" s="2" customFormat="1" ht="24" customHeight="1">
      <c r="A11" s="30" t="s">
        <v>239</v>
      </c>
      <c r="B11" s="476" t="s">
        <v>748</v>
      </c>
      <c r="C11" s="30">
        <f>PHỤLỤCNN!C109</f>
        <v>896.23</v>
      </c>
      <c r="D11" s="185">
        <f>'Hai Tien'!P67</f>
        <v>0</v>
      </c>
      <c r="E11" s="100">
        <f>'Hai Tien'!P22</f>
        <v>0</v>
      </c>
      <c r="F11" s="30">
        <f>'Hai Tien'!P64</f>
        <v>0</v>
      </c>
      <c r="G11" s="30">
        <f>PHỤLỤCNN!E109</f>
        <v>7.68</v>
      </c>
      <c r="H11" s="30">
        <f t="shared" si="0"/>
        <v>888.55000000000007</v>
      </c>
      <c r="I11" s="30" t="s">
        <v>239</v>
      </c>
      <c r="J11" s="476" t="s">
        <v>748</v>
      </c>
      <c r="K11" s="100">
        <v>7</v>
      </c>
      <c r="L11" s="100"/>
      <c r="M11" s="5">
        <f t="shared" si="1"/>
        <v>888.55000000000007</v>
      </c>
      <c r="N11" s="5">
        <f t="shared" si="2"/>
        <v>881.55000000000007</v>
      </c>
      <c r="O11" s="5">
        <f t="shared" si="3"/>
        <v>888.55000000000007</v>
      </c>
    </row>
    <row r="12" spans="1:15" s="2" customFormat="1" ht="24" customHeight="1">
      <c r="A12" s="30" t="s">
        <v>240</v>
      </c>
      <c r="B12" s="476" t="s">
        <v>749</v>
      </c>
      <c r="C12" s="30">
        <f>PHỤLỤCNN!C110</f>
        <v>74.400000000000006</v>
      </c>
      <c r="D12" s="185">
        <f>'Hai Xuan'!P67</f>
        <v>0</v>
      </c>
      <c r="E12" s="100"/>
      <c r="F12" s="30">
        <f>'Hai Xuan'!P64</f>
        <v>0</v>
      </c>
      <c r="G12" s="30">
        <f>PHỤLỤCNN!E110</f>
        <v>0</v>
      </c>
      <c r="H12" s="570">
        <f>'Hai Xuan'!BN19</f>
        <v>74.400000000000006</v>
      </c>
      <c r="I12" s="30" t="s">
        <v>240</v>
      </c>
      <c r="J12" s="476" t="s">
        <v>749</v>
      </c>
      <c r="K12" s="100">
        <v>383.1</v>
      </c>
      <c r="L12" s="100">
        <v>353.3</v>
      </c>
      <c r="M12" s="5">
        <f t="shared" si="1"/>
        <v>74.400000000000006</v>
      </c>
      <c r="N12" s="5">
        <f t="shared" si="2"/>
        <v>-308.70000000000005</v>
      </c>
      <c r="O12" s="5">
        <f t="shared" si="3"/>
        <v>-278.89999999999998</v>
      </c>
    </row>
    <row r="13" spans="1:15" s="2" customFormat="1" ht="24" customHeight="1">
      <c r="A13" s="30" t="s">
        <v>241</v>
      </c>
      <c r="B13" s="476" t="s">
        <v>750</v>
      </c>
      <c r="C13" s="30">
        <f>PHỤLỤCNN!C111</f>
        <v>1783.71</v>
      </c>
      <c r="D13" s="185">
        <f>'Van Ninh'!P68</f>
        <v>0</v>
      </c>
      <c r="E13" s="100">
        <f>'Van Ninh'!P22</f>
        <v>0</v>
      </c>
      <c r="F13" s="30">
        <f>'Van Ninh'!P64</f>
        <v>0</v>
      </c>
      <c r="G13" s="30">
        <f>PHỤLỤCNN!E111</f>
        <v>5.6099999999999994</v>
      </c>
      <c r="H13" s="30">
        <f t="shared" si="0"/>
        <v>1778.1000000000001</v>
      </c>
      <c r="I13" s="30" t="s">
        <v>241</v>
      </c>
      <c r="J13" s="476" t="s">
        <v>750</v>
      </c>
      <c r="K13" s="100">
        <v>26</v>
      </c>
      <c r="L13" s="100">
        <v>14.36</v>
      </c>
      <c r="M13" s="5">
        <f t="shared" si="1"/>
        <v>1778.1000000000001</v>
      </c>
      <c r="N13" s="5">
        <f t="shared" si="2"/>
        <v>1752.1000000000001</v>
      </c>
      <c r="O13" s="5">
        <f t="shared" si="3"/>
        <v>1763.7400000000002</v>
      </c>
    </row>
    <row r="14" spans="1:15" s="2" customFormat="1" ht="24" customHeight="1">
      <c r="A14" s="30" t="s">
        <v>242</v>
      </c>
      <c r="B14" s="476" t="s">
        <v>751</v>
      </c>
      <c r="C14" s="30">
        <f>PHỤLỤCNN!C112</f>
        <v>956.86</v>
      </c>
      <c r="D14" s="185">
        <f>'Vinh Trung'!P68</f>
        <v>0</v>
      </c>
      <c r="E14" s="100">
        <f>'Vinh Trung'!P22</f>
        <v>0</v>
      </c>
      <c r="F14" s="30">
        <f>'Vinh Trung'!P64</f>
        <v>0</v>
      </c>
      <c r="G14" s="30">
        <f>PHỤLỤCNN!E112</f>
        <v>0</v>
      </c>
      <c r="H14" s="30">
        <f t="shared" si="0"/>
        <v>956.86</v>
      </c>
      <c r="I14" s="30" t="s">
        <v>242</v>
      </c>
      <c r="J14" s="476" t="s">
        <v>751</v>
      </c>
      <c r="K14" s="100">
        <v>48.4</v>
      </c>
      <c r="L14" s="100">
        <v>53.64</v>
      </c>
      <c r="M14" s="5">
        <f t="shared" si="1"/>
        <v>956.86</v>
      </c>
      <c r="N14" s="5">
        <f t="shared" si="2"/>
        <v>908.46</v>
      </c>
      <c r="O14" s="5">
        <f t="shared" si="3"/>
        <v>903.22</v>
      </c>
    </row>
    <row r="15" spans="1:15" s="2" customFormat="1" ht="24" customHeight="1">
      <c r="A15" s="30" t="s">
        <v>243</v>
      </c>
      <c r="B15" s="476" t="s">
        <v>752</v>
      </c>
      <c r="C15" s="30">
        <f>PHỤLỤCNN!C113</f>
        <v>159.12</v>
      </c>
      <c r="D15" s="185">
        <f>'Vinh Thuc'!P67</f>
        <v>0</v>
      </c>
      <c r="E15" s="100">
        <f>'Vinh Thuc'!P22</f>
        <v>0</v>
      </c>
      <c r="F15" s="30">
        <f>'Vinh Thuc'!P64</f>
        <v>0</v>
      </c>
      <c r="G15" s="30">
        <f>PHỤLỤCNN!E113</f>
        <v>0</v>
      </c>
      <c r="H15" s="30">
        <f t="shared" si="0"/>
        <v>159.12</v>
      </c>
      <c r="I15" s="30" t="s">
        <v>243</v>
      </c>
      <c r="J15" s="476" t="s">
        <v>752</v>
      </c>
      <c r="K15" s="100">
        <v>71.25</v>
      </c>
      <c r="L15" s="100">
        <v>70.349999999999994</v>
      </c>
      <c r="M15" s="5">
        <f t="shared" si="1"/>
        <v>159.12</v>
      </c>
      <c r="N15" s="5">
        <f t="shared" si="2"/>
        <v>87.87</v>
      </c>
      <c r="O15" s="5">
        <f t="shared" si="3"/>
        <v>88.77000000000001</v>
      </c>
    </row>
    <row r="16" spans="1:15" s="2" customFormat="1" ht="24" customHeight="1">
      <c r="A16" s="30" t="s">
        <v>244</v>
      </c>
      <c r="B16" s="476" t="s">
        <v>753</v>
      </c>
      <c r="C16" s="30">
        <f>PHỤLỤCNN!C114</f>
        <v>880.47</v>
      </c>
      <c r="D16" s="185">
        <f>'Hai Yen'!P68</f>
        <v>0</v>
      </c>
      <c r="E16" s="100">
        <f>'Hai Yen'!P22</f>
        <v>0</v>
      </c>
      <c r="F16" s="30">
        <f>'Hai Yen'!P64</f>
        <v>0</v>
      </c>
      <c r="G16" s="30">
        <f>PHỤLỤCNN!E114</f>
        <v>10.19</v>
      </c>
      <c r="H16" s="30">
        <f t="shared" si="0"/>
        <v>870.28</v>
      </c>
      <c r="I16" s="30" t="s">
        <v>244</v>
      </c>
      <c r="J16" s="476" t="s">
        <v>753</v>
      </c>
      <c r="K16" s="100">
        <v>47.97</v>
      </c>
      <c r="L16" s="100">
        <v>47.97</v>
      </c>
      <c r="M16" s="5">
        <f t="shared" si="1"/>
        <v>870.28</v>
      </c>
      <c r="N16" s="5">
        <f t="shared" si="2"/>
        <v>822.31</v>
      </c>
      <c r="O16" s="5">
        <f t="shared" si="3"/>
        <v>822.31</v>
      </c>
    </row>
    <row r="17" spans="1:15" s="2" customFormat="1" ht="24" hidden="1" customHeight="1">
      <c r="A17" s="30" t="s">
        <v>245</v>
      </c>
      <c r="B17" s="476" t="s">
        <v>754</v>
      </c>
      <c r="C17" s="30">
        <f>PHỤLỤCNN!C115</f>
        <v>0</v>
      </c>
      <c r="D17" s="185">
        <f>'Ka Long'!O67</f>
        <v>0</v>
      </c>
      <c r="E17" s="100">
        <f>'Ka Long'!P22</f>
        <v>0</v>
      </c>
      <c r="F17" s="30">
        <f>'Ka Long'!P64</f>
        <v>0</v>
      </c>
      <c r="G17" s="30">
        <f>PHỤLỤCNN!E115</f>
        <v>0</v>
      </c>
      <c r="H17" s="30">
        <f t="shared" si="0"/>
        <v>0</v>
      </c>
      <c r="I17" s="30" t="s">
        <v>245</v>
      </c>
      <c r="J17" s="476" t="s">
        <v>754</v>
      </c>
      <c r="K17" s="100">
        <v>17.489999999999998</v>
      </c>
      <c r="L17" s="100">
        <v>17.489999999999998</v>
      </c>
      <c r="M17" s="5">
        <f t="shared" si="1"/>
        <v>0</v>
      </c>
      <c r="N17" s="5">
        <f t="shared" si="2"/>
        <v>-17.489999999999998</v>
      </c>
      <c r="O17" s="5">
        <f t="shared" si="3"/>
        <v>-17.489999999999998</v>
      </c>
    </row>
    <row r="18" spans="1:15" s="2" customFormat="1" ht="24" customHeight="1">
      <c r="A18" s="30" t="s">
        <v>246</v>
      </c>
      <c r="B18" s="476" t="s">
        <v>755</v>
      </c>
      <c r="C18" s="30">
        <f>PHỤLỤCNN!C116</f>
        <v>13.91</v>
      </c>
      <c r="D18" s="185">
        <f>'Ninh Duong'!P67</f>
        <v>0</v>
      </c>
      <c r="E18" s="100">
        <f>'Ninh Duong'!P22</f>
        <v>0</v>
      </c>
      <c r="F18" s="30">
        <f>'Ninh Duong'!P64</f>
        <v>0</v>
      </c>
      <c r="G18" s="30">
        <f>PHỤLỤCNN!E116</f>
        <v>0</v>
      </c>
      <c r="H18" s="30">
        <f t="shared" si="0"/>
        <v>13.91</v>
      </c>
      <c r="I18" s="30" t="s">
        <v>246</v>
      </c>
      <c r="J18" s="476" t="s">
        <v>755</v>
      </c>
      <c r="K18" s="100">
        <v>10.58</v>
      </c>
      <c r="L18" s="100">
        <v>10.58</v>
      </c>
      <c r="M18" s="5">
        <f t="shared" si="1"/>
        <v>13.91</v>
      </c>
      <c r="N18" s="5">
        <f t="shared" si="2"/>
        <v>3.33</v>
      </c>
      <c r="O18" s="5">
        <f t="shared" si="3"/>
        <v>3.33</v>
      </c>
    </row>
    <row r="19" spans="1:15" s="2" customFormat="1" ht="24" hidden="1" customHeight="1">
      <c r="A19" s="30" t="s">
        <v>247</v>
      </c>
      <c r="B19" s="476" t="s">
        <v>756</v>
      </c>
      <c r="C19" s="30">
        <f>PHỤLỤCNN!C117</f>
        <v>0</v>
      </c>
      <c r="D19" s="185">
        <f>'Hoa Lac'!P67</f>
        <v>0</v>
      </c>
      <c r="E19" s="100">
        <f>'Hoa Lac'!P22</f>
        <v>0</v>
      </c>
      <c r="F19" s="30">
        <f>'Hoa Lac'!P64</f>
        <v>0</v>
      </c>
      <c r="G19" s="30">
        <f>PHỤLỤCNN!E117</f>
        <v>0</v>
      </c>
      <c r="H19" s="30">
        <f t="shared" si="0"/>
        <v>0</v>
      </c>
      <c r="I19" s="30" t="s">
        <v>247</v>
      </c>
      <c r="J19" s="476" t="s">
        <v>756</v>
      </c>
      <c r="K19" s="100"/>
      <c r="L19" s="100"/>
      <c r="M19" s="5">
        <f t="shared" si="1"/>
        <v>0</v>
      </c>
      <c r="N19" s="5">
        <f t="shared" si="2"/>
        <v>0</v>
      </c>
      <c r="O19" s="5">
        <f t="shared" si="3"/>
        <v>0</v>
      </c>
    </row>
    <row r="20" spans="1:15" s="2" customFormat="1" ht="24" hidden="1" customHeight="1">
      <c r="A20" s="30" t="s">
        <v>248</v>
      </c>
      <c r="B20" s="476" t="s">
        <v>757</v>
      </c>
      <c r="C20" s="30">
        <f>PHỤLỤCNN!C118</f>
        <v>0</v>
      </c>
      <c r="D20" s="185">
        <f>'Tran Phu'!P67</f>
        <v>0</v>
      </c>
      <c r="E20" s="100">
        <f>'Tran Phu'!P22</f>
        <v>0</v>
      </c>
      <c r="F20" s="30">
        <f>'Tran Phu'!P64</f>
        <v>0</v>
      </c>
      <c r="G20" s="30">
        <f>PHỤLỤCNN!E118</f>
        <v>0</v>
      </c>
      <c r="H20" s="30">
        <f t="shared" si="0"/>
        <v>0</v>
      </c>
      <c r="I20" s="30" t="s">
        <v>248</v>
      </c>
      <c r="J20" s="476" t="s">
        <v>757</v>
      </c>
      <c r="K20" s="100">
        <v>323.3</v>
      </c>
      <c r="L20" s="100">
        <v>268.95999999999998</v>
      </c>
      <c r="M20" s="5">
        <f t="shared" si="1"/>
        <v>0</v>
      </c>
      <c r="N20" s="5">
        <f t="shared" si="2"/>
        <v>-323.3</v>
      </c>
      <c r="O20" s="5">
        <f t="shared" si="3"/>
        <v>-268.95999999999998</v>
      </c>
    </row>
    <row r="21" spans="1:15" s="2" customFormat="1" ht="24" customHeight="1">
      <c r="A21" s="30" t="s">
        <v>249</v>
      </c>
      <c r="B21" s="476" t="s">
        <v>758</v>
      </c>
      <c r="C21" s="30">
        <f>PHỤLỤCNN!C119</f>
        <v>1079.44</v>
      </c>
      <c r="D21" s="185">
        <f>'Hai Hoa'!P67</f>
        <v>0</v>
      </c>
      <c r="E21" s="100">
        <f>'Hai Hoa'!P22</f>
        <v>0</v>
      </c>
      <c r="F21" s="30">
        <f>'Hai Hoa'!P64</f>
        <v>0</v>
      </c>
      <c r="G21" s="30">
        <f>PHỤLỤCNN!E119</f>
        <v>23.560000000000002</v>
      </c>
      <c r="H21" s="30">
        <f t="shared" si="0"/>
        <v>1055.8800000000001</v>
      </c>
      <c r="I21" s="30" t="s">
        <v>249</v>
      </c>
      <c r="J21" s="476" t="s">
        <v>758</v>
      </c>
      <c r="K21" s="100"/>
      <c r="L21" s="100">
        <v>10.83</v>
      </c>
      <c r="M21" s="5">
        <f t="shared" si="1"/>
        <v>1055.8800000000001</v>
      </c>
      <c r="N21" s="5">
        <f t="shared" si="2"/>
        <v>1055.8800000000001</v>
      </c>
      <c r="O21" s="5">
        <f t="shared" si="3"/>
        <v>1045.0500000000002</v>
      </c>
    </row>
    <row r="22" spans="1:15" s="2" customFormat="1" ht="24" customHeight="1">
      <c r="A22" s="30" t="s">
        <v>250</v>
      </c>
      <c r="B22" s="476" t="s">
        <v>759</v>
      </c>
      <c r="C22" s="30">
        <f>PHỤLỤCNN!C120</f>
        <v>514.20000000000005</v>
      </c>
      <c r="D22" s="185">
        <f>'Tra Co'!P67</f>
        <v>0</v>
      </c>
      <c r="E22" s="100">
        <f>'Tra Co'!P22</f>
        <v>0</v>
      </c>
      <c r="F22" s="30">
        <f>'Tra Co'!P64</f>
        <v>0</v>
      </c>
      <c r="G22" s="30">
        <f>PHỤLỤCNN!E120</f>
        <v>1.22</v>
      </c>
      <c r="H22" s="30">
        <f t="shared" si="0"/>
        <v>512.98</v>
      </c>
      <c r="I22" s="30" t="s">
        <v>250</v>
      </c>
      <c r="J22" s="476" t="s">
        <v>759</v>
      </c>
      <c r="K22" s="100">
        <v>1.67</v>
      </c>
      <c r="L22" s="100"/>
      <c r="M22" s="5">
        <f t="shared" si="1"/>
        <v>512.98</v>
      </c>
      <c r="N22" s="5">
        <f t="shared" si="2"/>
        <v>511.31</v>
      </c>
      <c r="O22" s="5">
        <f t="shared" si="3"/>
        <v>512.98</v>
      </c>
    </row>
    <row r="23" spans="1:15" s="2" customFormat="1" ht="24" customHeight="1">
      <c r="A23" s="30" t="s">
        <v>251</v>
      </c>
      <c r="B23" s="476" t="s">
        <v>760</v>
      </c>
      <c r="C23" s="30">
        <f>PHỤLỤCNN!C121</f>
        <v>178.92</v>
      </c>
      <c r="D23" s="185">
        <f>'Binh Ngoc'!P67</f>
        <v>0</v>
      </c>
      <c r="E23" s="100">
        <f>'Binh Ngoc'!P22</f>
        <v>0</v>
      </c>
      <c r="F23" s="30">
        <f>'Binh Ngoc'!P64</f>
        <v>0</v>
      </c>
      <c r="G23" s="30">
        <f>PHỤLỤCNN!E121</f>
        <v>0</v>
      </c>
      <c r="H23" s="30">
        <f t="shared" si="0"/>
        <v>178.92</v>
      </c>
      <c r="I23" s="30" t="s">
        <v>251</v>
      </c>
      <c r="J23" s="476" t="s">
        <v>760</v>
      </c>
      <c r="K23" s="100">
        <v>278.75</v>
      </c>
      <c r="L23" s="100">
        <v>272.85000000000002</v>
      </c>
      <c r="M23" s="5">
        <f t="shared" si="1"/>
        <v>178.92</v>
      </c>
      <c r="N23" s="5">
        <f t="shared" si="2"/>
        <v>-99.830000000000013</v>
      </c>
      <c r="O23" s="5">
        <f t="shared" si="3"/>
        <v>-93.930000000000035</v>
      </c>
    </row>
    <row r="24" spans="1:15" s="2" customFormat="1" ht="24" customHeight="1">
      <c r="A24" s="330"/>
      <c r="B24" s="329" t="s">
        <v>370</v>
      </c>
      <c r="C24" s="188">
        <f t="shared" ref="C24:H24" si="4">SUM(C7:C23)</f>
        <v>15177.190000000002</v>
      </c>
      <c r="D24" s="329">
        <f t="shared" si="4"/>
        <v>0</v>
      </c>
      <c r="E24" s="426">
        <f t="shared" si="4"/>
        <v>0</v>
      </c>
      <c r="F24" s="329">
        <f t="shared" si="4"/>
        <v>0</v>
      </c>
      <c r="G24" s="329">
        <f t="shared" si="4"/>
        <v>71.930000000000007</v>
      </c>
      <c r="H24" s="188">
        <f t="shared" si="4"/>
        <v>15105.26</v>
      </c>
      <c r="I24" s="329"/>
      <c r="J24" s="329" t="s">
        <v>370</v>
      </c>
      <c r="K24" s="75">
        <f>SUM(K7:K23)</f>
        <v>1710.55</v>
      </c>
      <c r="L24" s="75">
        <f>SUM(L7:L23)</f>
        <v>1584.6</v>
      </c>
      <c r="M24" s="328">
        <f>SUM(M7:M23)</f>
        <v>15105.26</v>
      </c>
      <c r="N24" s="328">
        <f>SUM(N7:N23)</f>
        <v>13394.710000000003</v>
      </c>
      <c r="O24" s="328">
        <f>SUM(O7:O23)</f>
        <v>13520.66</v>
      </c>
    </row>
    <row r="26" spans="1:15" hidden="1">
      <c r="C26">
        <f>'TONG TP'!D19</f>
        <v>15177.190000000002</v>
      </c>
      <c r="H26">
        <f>'TONG TP'!BN19</f>
        <v>15105.260000000002</v>
      </c>
    </row>
    <row r="28" spans="1:15" hidden="1">
      <c r="H28">
        <f>'TONG TP'!BN19</f>
        <v>15105.260000000002</v>
      </c>
    </row>
    <row r="29" spans="1:15">
      <c r="H29">
        <f>H24-H28</f>
        <v>0</v>
      </c>
    </row>
    <row r="30" spans="1:15">
      <c r="C30" s="177">
        <f>C24-G24</f>
        <v>15105.260000000002</v>
      </c>
    </row>
  </sheetData>
  <autoFilter ref="A6:O24">
    <filterColumn colId="7">
      <customFilters>
        <customFilter operator="notEqual" val=" "/>
      </customFilters>
    </filterColumn>
  </autoFilter>
  <mergeCells count="16">
    <mergeCell ref="N5:O5"/>
    <mergeCell ref="I5:I6"/>
    <mergeCell ref="J5:J6"/>
    <mergeCell ref="K5:K6"/>
    <mergeCell ref="L5:L6"/>
    <mergeCell ref="M5:M6"/>
    <mergeCell ref="A2:H2"/>
    <mergeCell ref="A3:H3"/>
    <mergeCell ref="A5:A6"/>
    <mergeCell ref="B5:B6"/>
    <mergeCell ref="C5:C6"/>
    <mergeCell ref="D5:D6"/>
    <mergeCell ref="E5:F5"/>
    <mergeCell ref="G5:G6"/>
    <mergeCell ref="H5:H6"/>
    <mergeCell ref="G4:H4"/>
  </mergeCells>
  <phoneticPr fontId="4" type="noConversion"/>
  <printOptions horizontalCentered="1"/>
  <pageMargins left="1.0787401569999999" right="0.25" top="0.35" bottom="0.1" header="0.511811023622047" footer="0.511811023622047"/>
  <pageSetup paperSize="9" scale="95"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filterMode="1"/>
  <dimension ref="A1:O25"/>
  <sheetViews>
    <sheetView showZeros="0" topLeftCell="A8" workbookViewId="0">
      <selection activeCell="G10" sqref="G10"/>
    </sheetView>
  </sheetViews>
  <sheetFormatPr defaultColWidth="9.140625" defaultRowHeight="12.75"/>
  <cols>
    <col min="1" max="1" width="8.42578125" style="23" customWidth="1"/>
    <col min="2" max="2" width="20.85546875" style="24" customWidth="1"/>
    <col min="3" max="3" width="12" style="24" customWidth="1"/>
    <col min="4" max="4" width="13.7109375" style="24" customWidth="1"/>
    <col min="5" max="6" width="8.85546875" style="24" hidden="1" customWidth="1"/>
    <col min="7" max="7" width="13.140625" style="24" customWidth="1"/>
    <col min="8" max="8" width="14.42578125" style="24" customWidth="1"/>
    <col min="9" max="9" width="8" style="24" customWidth="1"/>
    <col min="10" max="10" width="22.28515625" style="24" customWidth="1"/>
    <col min="11" max="11" width="9.140625" style="24"/>
    <col min="12" max="12" width="11.28515625" style="24" customWidth="1"/>
    <col min="13" max="16384" width="9.140625" style="24"/>
  </cols>
  <sheetData>
    <row r="1" spans="1:15" ht="22.5" customHeight="1">
      <c r="A1" s="345" t="s">
        <v>628</v>
      </c>
    </row>
    <row r="2" spans="1:15" ht="28.5" customHeight="1">
      <c r="A2" s="1385" t="s">
        <v>704</v>
      </c>
      <c r="B2" s="1385"/>
      <c r="C2" s="1385"/>
      <c r="D2" s="1385"/>
      <c r="E2" s="1385"/>
      <c r="F2" s="1385"/>
      <c r="G2" s="1385"/>
      <c r="H2" s="1385"/>
    </row>
    <row r="3" spans="1:15" ht="20.25" customHeight="1">
      <c r="A3" s="1385" t="s">
        <v>766</v>
      </c>
      <c r="B3" s="1385"/>
      <c r="C3" s="1385"/>
      <c r="D3" s="1385"/>
      <c r="E3" s="1385"/>
      <c r="F3" s="1385"/>
      <c r="G3" s="1385"/>
      <c r="H3" s="1385"/>
    </row>
    <row r="4" spans="1:15" ht="20.25" customHeight="1" thickBot="1">
      <c r="G4" s="1377" t="s">
        <v>138</v>
      </c>
      <c r="H4" s="1377"/>
      <c r="I4" s="1301" t="s">
        <v>0</v>
      </c>
      <c r="J4" s="1301" t="s">
        <v>369</v>
      </c>
      <c r="K4" s="1301" t="s">
        <v>494</v>
      </c>
      <c r="L4" s="1391" t="s">
        <v>495</v>
      </c>
      <c r="M4" s="1391" t="s">
        <v>496</v>
      </c>
      <c r="N4" s="1390" t="s">
        <v>497</v>
      </c>
      <c r="O4" s="1390"/>
    </row>
    <row r="5" spans="1:15" s="25" customFormat="1" ht="30.75" customHeight="1" thickTop="1">
      <c r="A5" s="1392" t="s">
        <v>368</v>
      </c>
      <c r="B5" s="1394" t="s">
        <v>979</v>
      </c>
      <c r="C5" s="1394" t="s">
        <v>989</v>
      </c>
      <c r="D5" s="1394" t="s">
        <v>457</v>
      </c>
      <c r="E5" s="1396" t="s">
        <v>458</v>
      </c>
      <c r="F5" s="1396"/>
      <c r="G5" s="1394" t="s">
        <v>459</v>
      </c>
      <c r="H5" s="1397" t="s">
        <v>988</v>
      </c>
      <c r="I5" s="1399"/>
      <c r="J5" s="1301"/>
      <c r="K5" s="1301"/>
      <c r="L5" s="1391"/>
      <c r="M5" s="1391"/>
      <c r="N5" s="1301" t="s">
        <v>498</v>
      </c>
      <c r="O5" s="1301" t="s">
        <v>344</v>
      </c>
    </row>
    <row r="6" spans="1:15" s="25" customFormat="1" ht="23.25" customHeight="1">
      <c r="A6" s="1393"/>
      <c r="B6" s="1395"/>
      <c r="C6" s="1395"/>
      <c r="D6" s="1395"/>
      <c r="E6" s="634"/>
      <c r="F6" s="634"/>
      <c r="G6" s="1395"/>
      <c r="H6" s="1398"/>
      <c r="I6" s="1399"/>
      <c r="J6" s="1301"/>
      <c r="K6" s="1301"/>
      <c r="L6" s="1391"/>
      <c r="M6" s="1391"/>
      <c r="N6" s="1301"/>
      <c r="O6" s="1301"/>
    </row>
    <row r="7" spans="1:15" s="25" customFormat="1" ht="21" customHeight="1">
      <c r="A7" s="944" t="s">
        <v>235</v>
      </c>
      <c r="B7" s="945" t="s">
        <v>744</v>
      </c>
      <c r="C7" s="580">
        <f>'Bac Son'!D21</f>
        <v>1411.78</v>
      </c>
      <c r="D7" s="911">
        <f t="shared" ref="D7:D15" si="0">SUM(E7:F7)</f>
        <v>0</v>
      </c>
      <c r="E7" s="635"/>
      <c r="F7" s="635">
        <f>'Hai Son'!R63</f>
        <v>0</v>
      </c>
      <c r="G7" s="580">
        <f>'Bac Son'!BL21</f>
        <v>1.6400000000000001</v>
      </c>
      <c r="H7" s="582">
        <f t="shared" ref="H7:H15" si="1">C7+D7-G7</f>
        <v>1410.1399999999999</v>
      </c>
      <c r="I7" s="571" t="s">
        <v>235</v>
      </c>
      <c r="J7" s="475" t="s">
        <v>744</v>
      </c>
      <c r="K7" s="304">
        <v>736.19</v>
      </c>
      <c r="L7" s="304">
        <v>717.28</v>
      </c>
      <c r="M7" s="304">
        <f>H7</f>
        <v>1410.1399999999999</v>
      </c>
      <c r="N7" s="304">
        <f>M7-K7</f>
        <v>673.94999999999982</v>
      </c>
      <c r="O7" s="304">
        <f>M7-L7</f>
        <v>692.8599999999999</v>
      </c>
    </row>
    <row r="8" spans="1:15" s="25" customFormat="1" ht="21" customHeight="1">
      <c r="A8" s="944" t="s">
        <v>236</v>
      </c>
      <c r="B8" s="945" t="s">
        <v>745</v>
      </c>
      <c r="C8" s="580">
        <f>'Hai Son'!D21</f>
        <v>2916.8660999999997</v>
      </c>
      <c r="D8" s="911">
        <f t="shared" si="0"/>
        <v>0</v>
      </c>
      <c r="E8" s="635">
        <f>'Quang Nghia'!R20</f>
        <v>0</v>
      </c>
      <c r="F8" s="635">
        <f>'Quang Nghia'!R65</f>
        <v>0</v>
      </c>
      <c r="G8" s="580">
        <f>'Hai Son'!BL21</f>
        <v>6.47</v>
      </c>
      <c r="H8" s="582">
        <f t="shared" si="1"/>
        <v>2910.3960999999999</v>
      </c>
      <c r="I8" s="572" t="s">
        <v>236</v>
      </c>
      <c r="J8" s="476" t="s">
        <v>745</v>
      </c>
      <c r="K8" s="305">
        <v>1095.53</v>
      </c>
      <c r="L8" s="305">
        <v>960.73</v>
      </c>
      <c r="M8" s="305">
        <f t="shared" ref="M8:M15" si="2">H8</f>
        <v>2910.3960999999999</v>
      </c>
      <c r="N8" s="305">
        <f t="shared" ref="N8:N15" si="3">M8-K8</f>
        <v>1814.8661</v>
      </c>
      <c r="O8" s="305">
        <f t="shared" ref="O8:O15" si="4">M8-L8</f>
        <v>1949.6660999999999</v>
      </c>
    </row>
    <row r="9" spans="1:15" s="25" customFormat="1" ht="21" customHeight="1">
      <c r="A9" s="944" t="s">
        <v>237</v>
      </c>
      <c r="B9" s="945" t="s">
        <v>746</v>
      </c>
      <c r="C9" s="580">
        <f>'Quang Nghia'!D21</f>
        <v>3293.08</v>
      </c>
      <c r="D9" s="911">
        <f t="shared" si="0"/>
        <v>0</v>
      </c>
      <c r="E9" s="635"/>
      <c r="F9" s="635">
        <f>'Hai Dong'!R65</f>
        <v>0</v>
      </c>
      <c r="G9" s="580">
        <f>'Quang Nghia'!BL21</f>
        <v>269.69000000000005</v>
      </c>
      <c r="H9" s="582">
        <f t="shared" si="1"/>
        <v>3023.39</v>
      </c>
      <c r="I9" s="572" t="s">
        <v>237</v>
      </c>
      <c r="J9" s="476" t="s">
        <v>746</v>
      </c>
      <c r="K9" s="305">
        <v>42.54</v>
      </c>
      <c r="L9" s="305">
        <v>12.89</v>
      </c>
      <c r="M9" s="305">
        <f t="shared" si="2"/>
        <v>3023.39</v>
      </c>
      <c r="N9" s="305">
        <f t="shared" si="3"/>
        <v>2980.85</v>
      </c>
      <c r="O9" s="305">
        <f t="shared" si="4"/>
        <v>3010.5</v>
      </c>
    </row>
    <row r="10" spans="1:15" s="25" customFormat="1" ht="21" customHeight="1">
      <c r="A10" s="944" t="s">
        <v>238</v>
      </c>
      <c r="B10" s="945" t="s">
        <v>747</v>
      </c>
      <c r="C10" s="580">
        <f>'Hai Dong'!D21</f>
        <v>1484.09</v>
      </c>
      <c r="D10" s="911">
        <f t="shared" si="0"/>
        <v>0</v>
      </c>
      <c r="E10" s="635"/>
      <c r="F10" s="635">
        <f>'Hai Tien'!R65</f>
        <v>0</v>
      </c>
      <c r="G10" s="580">
        <f>'Hai Dong'!BL21</f>
        <v>4.47</v>
      </c>
      <c r="H10" s="582">
        <f t="shared" si="1"/>
        <v>1479.62</v>
      </c>
      <c r="I10" s="572" t="s">
        <v>238</v>
      </c>
      <c r="J10" s="476" t="s">
        <v>747</v>
      </c>
      <c r="K10" s="305">
        <v>115.57</v>
      </c>
      <c r="L10" s="305">
        <v>92.27</v>
      </c>
      <c r="M10" s="305">
        <f t="shared" si="2"/>
        <v>1479.62</v>
      </c>
      <c r="N10" s="305">
        <f t="shared" si="3"/>
        <v>1364.05</v>
      </c>
      <c r="O10" s="305">
        <f t="shared" si="4"/>
        <v>1387.35</v>
      </c>
    </row>
    <row r="11" spans="1:15" s="25" customFormat="1" ht="21" customHeight="1">
      <c r="A11" s="944" t="s">
        <v>239</v>
      </c>
      <c r="B11" s="945" t="s">
        <v>748</v>
      </c>
      <c r="C11" s="580">
        <f>'Hai Tien'!D21</f>
        <v>1023.57</v>
      </c>
      <c r="D11" s="911">
        <f t="shared" si="0"/>
        <v>0</v>
      </c>
      <c r="E11" s="635"/>
      <c r="F11" s="635">
        <f>'Hai Xuan'!R65</f>
        <v>0</v>
      </c>
      <c r="G11" s="580">
        <f>'Hai Tien'!BL21</f>
        <v>10.74</v>
      </c>
      <c r="H11" s="582">
        <f t="shared" si="1"/>
        <v>1012.83</v>
      </c>
      <c r="I11" s="572" t="s">
        <v>239</v>
      </c>
      <c r="J11" s="476" t="s">
        <v>748</v>
      </c>
      <c r="K11" s="305">
        <v>13.3</v>
      </c>
      <c r="L11" s="305">
        <v>13.3</v>
      </c>
      <c r="M11" s="305">
        <f t="shared" si="2"/>
        <v>1012.83</v>
      </c>
      <c r="N11" s="305">
        <f t="shared" si="3"/>
        <v>999.53000000000009</v>
      </c>
      <c r="O11" s="305">
        <f t="shared" si="4"/>
        <v>999.53000000000009</v>
      </c>
    </row>
    <row r="12" spans="1:15" s="25" customFormat="1" ht="21" hidden="1" customHeight="1">
      <c r="A12" s="575" t="s">
        <v>240</v>
      </c>
      <c r="B12" s="576" t="s">
        <v>749</v>
      </c>
      <c r="C12" s="580">
        <f>'Hai Xuan'!D21</f>
        <v>0</v>
      </c>
      <c r="D12" s="635">
        <f t="shared" si="0"/>
        <v>0</v>
      </c>
      <c r="E12" s="635"/>
      <c r="F12" s="635"/>
      <c r="G12" s="580">
        <f>'Hai Xuan'!BL21</f>
        <v>0</v>
      </c>
      <c r="H12" s="582">
        <f t="shared" si="1"/>
        <v>0</v>
      </c>
      <c r="I12" s="572" t="s">
        <v>240</v>
      </c>
      <c r="J12" s="476" t="s">
        <v>749</v>
      </c>
      <c r="K12" s="305">
        <v>0.81</v>
      </c>
      <c r="L12" s="305"/>
      <c r="M12" s="305">
        <f t="shared" si="2"/>
        <v>0</v>
      </c>
      <c r="N12" s="305">
        <f t="shared" si="3"/>
        <v>-0.81</v>
      </c>
      <c r="O12" s="305">
        <f t="shared" si="4"/>
        <v>0</v>
      </c>
    </row>
    <row r="13" spans="1:15" s="25" customFormat="1" ht="21" customHeight="1">
      <c r="A13" s="944" t="s">
        <v>241</v>
      </c>
      <c r="B13" s="945" t="s">
        <v>750</v>
      </c>
      <c r="C13" s="580">
        <f>'Van Ninh'!D21</f>
        <v>8.15</v>
      </c>
      <c r="D13" s="911">
        <f t="shared" si="0"/>
        <v>0</v>
      </c>
      <c r="E13" s="635"/>
      <c r="F13" s="635">
        <f>'Ninh Duong'!R65</f>
        <v>0</v>
      </c>
      <c r="G13" s="580">
        <f>'Van Ninh'!BL21</f>
        <v>0</v>
      </c>
      <c r="H13" s="582">
        <f t="shared" si="1"/>
        <v>8.15</v>
      </c>
      <c r="I13" s="572" t="s">
        <v>241</v>
      </c>
      <c r="J13" s="476" t="s">
        <v>750</v>
      </c>
      <c r="K13" s="305">
        <v>215.38</v>
      </c>
      <c r="L13" s="305">
        <v>206.97</v>
      </c>
      <c r="M13" s="305">
        <f t="shared" si="2"/>
        <v>8.15</v>
      </c>
      <c r="N13" s="305">
        <f t="shared" si="3"/>
        <v>-207.23</v>
      </c>
      <c r="O13" s="305">
        <f t="shared" si="4"/>
        <v>-198.82</v>
      </c>
    </row>
    <row r="14" spans="1:15" s="25" customFormat="1" ht="21" customHeight="1">
      <c r="A14" s="944" t="s">
        <v>242</v>
      </c>
      <c r="B14" s="945" t="s">
        <v>751</v>
      </c>
      <c r="C14" s="580">
        <f>'Vinh Trung'!D21</f>
        <v>579.66999999999996</v>
      </c>
      <c r="D14" s="911">
        <f t="shared" si="0"/>
        <v>0</v>
      </c>
      <c r="E14" s="635"/>
      <c r="F14" s="635">
        <f>'Hoa Lac'!R65</f>
        <v>0</v>
      </c>
      <c r="G14" s="580">
        <f>'Vinh Trung'!BL21</f>
        <v>4.5799999999999992</v>
      </c>
      <c r="H14" s="582">
        <f t="shared" si="1"/>
        <v>575.08999999999992</v>
      </c>
      <c r="I14" s="572" t="s">
        <v>242</v>
      </c>
      <c r="J14" s="476" t="s">
        <v>751</v>
      </c>
      <c r="K14" s="305">
        <v>103.44</v>
      </c>
      <c r="L14" s="305">
        <v>79.56</v>
      </c>
      <c r="M14" s="305">
        <f t="shared" si="2"/>
        <v>575.08999999999992</v>
      </c>
      <c r="N14" s="305">
        <f t="shared" si="3"/>
        <v>471.64999999999992</v>
      </c>
      <c r="O14" s="305">
        <f t="shared" si="4"/>
        <v>495.52999999999992</v>
      </c>
    </row>
    <row r="15" spans="1:15" s="25" customFormat="1" ht="21" customHeight="1">
      <c r="A15" s="944" t="s">
        <v>243</v>
      </c>
      <c r="B15" s="945" t="s">
        <v>752</v>
      </c>
      <c r="C15" s="580">
        <f>'Vinh Thuc'!D21</f>
        <v>1004.16</v>
      </c>
      <c r="D15" s="911">
        <f t="shared" si="0"/>
        <v>0</v>
      </c>
      <c r="E15" s="635"/>
      <c r="F15" s="635">
        <f>'Tran Phu'!R65</f>
        <v>0</v>
      </c>
      <c r="G15" s="580">
        <f>'Vinh Thuc'!BL21</f>
        <v>0</v>
      </c>
      <c r="H15" s="582">
        <f t="shared" si="1"/>
        <v>1004.16</v>
      </c>
      <c r="I15" s="573" t="s">
        <v>243</v>
      </c>
      <c r="J15" s="476" t="s">
        <v>752</v>
      </c>
      <c r="K15" s="306">
        <v>211.2</v>
      </c>
      <c r="L15" s="306"/>
      <c r="M15" s="306">
        <f t="shared" si="2"/>
        <v>1004.16</v>
      </c>
      <c r="N15" s="306">
        <f t="shared" si="3"/>
        <v>792.96</v>
      </c>
      <c r="O15" s="306">
        <f t="shared" si="4"/>
        <v>1004.16</v>
      </c>
    </row>
    <row r="16" spans="1:15" s="193" customFormat="1" ht="21" customHeight="1">
      <c r="A16" s="944">
        <v>10</v>
      </c>
      <c r="B16" s="945" t="s">
        <v>753</v>
      </c>
      <c r="C16" s="580">
        <f>'Hai Yen'!D21</f>
        <v>1643.07</v>
      </c>
      <c r="D16" s="911"/>
      <c r="E16" s="635"/>
      <c r="F16" s="635"/>
      <c r="G16" s="580">
        <f>'Hai Yen'!BL21</f>
        <v>84.350000000000009</v>
      </c>
      <c r="H16" s="582">
        <f>C16+D16-G16</f>
        <v>1558.72</v>
      </c>
      <c r="I16" s="574"/>
      <c r="J16" s="476" t="s">
        <v>753</v>
      </c>
      <c r="K16" s="307">
        <f>SUM(K7:K15)</f>
        <v>2533.9599999999996</v>
      </c>
      <c r="L16" s="307">
        <f t="shared" ref="L16:O16" si="5">SUM(L7:L15)</f>
        <v>2083</v>
      </c>
      <c r="M16" s="307">
        <f t="shared" si="5"/>
        <v>11423.776099999999</v>
      </c>
      <c r="N16" s="307">
        <f t="shared" si="5"/>
        <v>8889.8161</v>
      </c>
      <c r="O16" s="307">
        <f t="shared" si="5"/>
        <v>9340.7760999999991</v>
      </c>
    </row>
    <row r="17" spans="1:10" ht="21" hidden="1" customHeight="1">
      <c r="A17" s="577">
        <v>11</v>
      </c>
      <c r="B17" s="576" t="s">
        <v>754</v>
      </c>
      <c r="C17" s="584">
        <f>'Ka Long'!D21</f>
        <v>0</v>
      </c>
      <c r="D17" s="585"/>
      <c r="E17" s="585"/>
      <c r="F17" s="585"/>
      <c r="G17" s="584">
        <f>'Ka Long'!BL21</f>
        <v>0</v>
      </c>
      <c r="H17" s="586">
        <f>C17+D17-G17</f>
        <v>0</v>
      </c>
      <c r="J17" s="476" t="s">
        <v>754</v>
      </c>
    </row>
    <row r="18" spans="1:10" ht="21" customHeight="1">
      <c r="A18" s="946">
        <v>12</v>
      </c>
      <c r="B18" s="945" t="s">
        <v>755</v>
      </c>
      <c r="C18" s="595">
        <f>'Ninh Duong'!D21</f>
        <v>115.84</v>
      </c>
      <c r="D18" s="938"/>
      <c r="E18" s="585"/>
      <c r="F18" s="585"/>
      <c r="G18" s="595">
        <f>'Ninh Duong'!BL21</f>
        <v>0.89999999999999991</v>
      </c>
      <c r="H18" s="939">
        <f>C18+D18-G18</f>
        <v>114.94</v>
      </c>
      <c r="J18" s="476" t="s">
        <v>755</v>
      </c>
    </row>
    <row r="19" spans="1:10" ht="21" hidden="1" customHeight="1">
      <c r="A19" s="577">
        <v>13</v>
      </c>
      <c r="B19" s="576" t="s">
        <v>756</v>
      </c>
      <c r="C19" s="585"/>
      <c r="D19" s="585"/>
      <c r="E19" s="585"/>
      <c r="F19" s="585"/>
      <c r="G19" s="585"/>
      <c r="H19" s="586"/>
      <c r="J19" s="476" t="s">
        <v>756</v>
      </c>
    </row>
    <row r="20" spans="1:10" ht="21" hidden="1" customHeight="1">
      <c r="A20" s="577">
        <v>14</v>
      </c>
      <c r="B20" s="576" t="s">
        <v>757</v>
      </c>
      <c r="C20" s="585"/>
      <c r="D20" s="585"/>
      <c r="E20" s="585"/>
      <c r="F20" s="585"/>
      <c r="G20" s="585"/>
      <c r="H20" s="586"/>
      <c r="J20" s="476" t="s">
        <v>757</v>
      </c>
    </row>
    <row r="21" spans="1:10" ht="21" hidden="1" customHeight="1">
      <c r="A21" s="577">
        <v>15</v>
      </c>
      <c r="B21" s="576" t="s">
        <v>758</v>
      </c>
      <c r="C21" s="585"/>
      <c r="D21" s="585"/>
      <c r="E21" s="585"/>
      <c r="F21" s="585"/>
      <c r="G21" s="585"/>
      <c r="H21" s="586">
        <f>C21+D21-G21</f>
        <v>0</v>
      </c>
      <c r="J21" s="476" t="s">
        <v>758</v>
      </c>
    </row>
    <row r="22" spans="1:10" ht="21" customHeight="1">
      <c r="A22" s="946">
        <v>16</v>
      </c>
      <c r="B22" s="945" t="s">
        <v>759</v>
      </c>
      <c r="C22" s="595">
        <f>'Tra Co'!D21</f>
        <v>22.14</v>
      </c>
      <c r="D22" s="938"/>
      <c r="E22" s="585"/>
      <c r="F22" s="585"/>
      <c r="G22" s="595">
        <f>'Tra Co'!BL21</f>
        <v>0</v>
      </c>
      <c r="H22" s="942">
        <f>C22+D22-G22</f>
        <v>22.14</v>
      </c>
      <c r="J22" s="476" t="s">
        <v>759</v>
      </c>
    </row>
    <row r="23" spans="1:10" ht="21" customHeight="1">
      <c r="A23" s="946">
        <v>17</v>
      </c>
      <c r="B23" s="945" t="s">
        <v>760</v>
      </c>
      <c r="C23" s="595">
        <f>'Binh Ngoc'!D21</f>
        <v>39.22</v>
      </c>
      <c r="D23" s="938"/>
      <c r="E23" s="585"/>
      <c r="F23" s="585"/>
      <c r="G23" s="595">
        <f>'Binh Ngoc'!BL21</f>
        <v>0</v>
      </c>
      <c r="H23" s="939">
        <f>C23+D23-G23</f>
        <v>39.22</v>
      </c>
      <c r="J23" s="476" t="s">
        <v>760</v>
      </c>
    </row>
    <row r="24" spans="1:10" ht="21" customHeight="1" thickBot="1">
      <c r="A24" s="947"/>
      <c r="B24" s="587" t="s">
        <v>978</v>
      </c>
      <c r="C24" s="940">
        <f>SUM(C7:C23)</f>
        <v>13541.636099999998</v>
      </c>
      <c r="D24" s="941"/>
      <c r="E24" s="587"/>
      <c r="F24" s="587"/>
      <c r="G24" s="940">
        <f>SUM(G7:G23)</f>
        <v>382.84000000000009</v>
      </c>
      <c r="H24" s="943">
        <f>SUM(H7:H23)</f>
        <v>13158.796099999998</v>
      </c>
    </row>
    <row r="25" spans="1:10" ht="13.5" thickTop="1"/>
  </sheetData>
  <autoFilter ref="A6:O24">
    <filterColumn colId="7">
      <customFilters>
        <customFilter operator="notEqual" val=" "/>
      </customFilters>
    </filterColumn>
  </autoFilter>
  <mergeCells count="18">
    <mergeCell ref="M4:M6"/>
    <mergeCell ref="G4:H4"/>
    <mergeCell ref="N4:O4"/>
    <mergeCell ref="N5:N6"/>
    <mergeCell ref="O5:O6"/>
    <mergeCell ref="H5:H6"/>
    <mergeCell ref="I4:I6"/>
    <mergeCell ref="J4:J6"/>
    <mergeCell ref="K4:K6"/>
    <mergeCell ref="L4:L6"/>
    <mergeCell ref="A2:H2"/>
    <mergeCell ref="A3:H3"/>
    <mergeCell ref="A5:A6"/>
    <mergeCell ref="B5:B6"/>
    <mergeCell ref="C5:C6"/>
    <mergeCell ref="D5:D6"/>
    <mergeCell ref="E5:F5"/>
    <mergeCell ref="G5:G6"/>
  </mergeCells>
  <phoneticPr fontId="4" type="noConversion"/>
  <printOptions horizontalCentered="1"/>
  <pageMargins left="1" right="0.25" top="0.25" bottom="0.25" header="0.5" footer="0.5"/>
  <pageSetup paperSize="9"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1:R32"/>
  <sheetViews>
    <sheetView showZeros="0" topLeftCell="A11" workbookViewId="0">
      <selection activeCell="A5" sqref="A5:J27"/>
    </sheetView>
  </sheetViews>
  <sheetFormatPr defaultColWidth="9.140625" defaultRowHeight="15.75"/>
  <cols>
    <col min="1" max="1" width="6.85546875" style="55" customWidth="1"/>
    <col min="2" max="2" width="21.42578125" style="55" customWidth="1"/>
    <col min="3" max="3" width="13.28515625" style="55" customWidth="1"/>
    <col min="4" max="4" width="12.5703125" style="55" customWidth="1"/>
    <col min="5" max="5" width="0.140625" style="55" hidden="1" customWidth="1"/>
    <col min="6" max="6" width="6.28515625" style="277" hidden="1" customWidth="1"/>
    <col min="7" max="7" width="6.28515625" style="169" hidden="1" customWidth="1"/>
    <col min="8" max="8" width="6.28515625" style="55" hidden="1" customWidth="1"/>
    <col min="9" max="9" width="13.5703125" style="55" customWidth="1"/>
    <col min="10" max="10" width="13.7109375" style="55" customWidth="1"/>
    <col min="11" max="11" width="6.5703125" style="55" customWidth="1"/>
    <col min="12" max="12" width="22.42578125" style="55" customWidth="1"/>
    <col min="13" max="13" width="9.5703125" style="55" bestFit="1" customWidth="1"/>
    <col min="14" max="14" width="10.5703125" style="55" customWidth="1"/>
    <col min="15" max="15" width="11.28515625" style="55" customWidth="1"/>
    <col min="16" max="16" width="10.42578125" style="55" bestFit="1" customWidth="1"/>
    <col min="17" max="17" width="9.28515625" style="55" bestFit="1" customWidth="1"/>
    <col min="18" max="16384" width="9.140625" style="55"/>
  </cols>
  <sheetData>
    <row r="1" spans="1:17" ht="22.5" customHeight="1">
      <c r="A1" s="353" t="s">
        <v>629</v>
      </c>
    </row>
    <row r="2" spans="1:17" ht="21.75" customHeight="1">
      <c r="A2" s="1385" t="s">
        <v>705</v>
      </c>
      <c r="B2" s="1385"/>
      <c r="C2" s="1385"/>
      <c r="D2" s="1385"/>
      <c r="E2" s="1385"/>
      <c r="F2" s="1385"/>
      <c r="G2" s="1385"/>
      <c r="H2" s="1385"/>
      <c r="I2" s="1385"/>
      <c r="J2" s="1385"/>
    </row>
    <row r="3" spans="1:17" ht="18.75" customHeight="1">
      <c r="A3" s="1385" t="s">
        <v>766</v>
      </c>
      <c r="B3" s="1385"/>
      <c r="C3" s="1385"/>
      <c r="D3" s="1385"/>
      <c r="E3" s="1385"/>
      <c r="F3" s="1385"/>
      <c r="G3" s="1385"/>
      <c r="H3" s="1385"/>
      <c r="I3" s="1385"/>
      <c r="J3" s="1385"/>
    </row>
    <row r="4" spans="1:17" ht="18" customHeight="1">
      <c r="I4" s="1278" t="s">
        <v>138</v>
      </c>
      <c r="J4" s="1278"/>
    </row>
    <row r="5" spans="1:17" ht="20.25" customHeight="1">
      <c r="A5" s="1356" t="s">
        <v>368</v>
      </c>
      <c r="B5" s="1356" t="s">
        <v>982</v>
      </c>
      <c r="C5" s="1356" t="s">
        <v>989</v>
      </c>
      <c r="D5" s="1356" t="s">
        <v>457</v>
      </c>
      <c r="E5" s="1356" t="s">
        <v>458</v>
      </c>
      <c r="F5" s="1356"/>
      <c r="G5" s="1356"/>
      <c r="H5" s="1356"/>
      <c r="I5" s="1356" t="s">
        <v>990</v>
      </c>
      <c r="J5" s="1356" t="s">
        <v>460</v>
      </c>
      <c r="K5" s="1301" t="s">
        <v>0</v>
      </c>
      <c r="L5" s="1301" t="s">
        <v>369</v>
      </c>
      <c r="M5" s="1301" t="s">
        <v>494</v>
      </c>
      <c r="N5" s="1391" t="s">
        <v>495</v>
      </c>
      <c r="O5" s="1391" t="s">
        <v>496</v>
      </c>
      <c r="P5" s="1390" t="s">
        <v>497</v>
      </c>
      <c r="Q5" s="1390"/>
    </row>
    <row r="6" spans="1:17" ht="15" customHeight="1">
      <c r="A6" s="1356"/>
      <c r="B6" s="1356"/>
      <c r="C6" s="1356"/>
      <c r="D6" s="1356"/>
      <c r="E6" s="1356"/>
      <c r="F6" s="1400"/>
      <c r="G6" s="1400"/>
      <c r="H6" s="1356"/>
      <c r="I6" s="1356"/>
      <c r="J6" s="1356"/>
      <c r="K6" s="1301"/>
      <c r="L6" s="1301"/>
      <c r="M6" s="1301"/>
      <c r="N6" s="1391"/>
      <c r="O6" s="1391"/>
      <c r="P6" s="1301" t="s">
        <v>498</v>
      </c>
      <c r="Q6" s="1301" t="s">
        <v>344</v>
      </c>
    </row>
    <row r="7" spans="1:17" ht="12" customHeight="1">
      <c r="A7" s="1356"/>
      <c r="B7" s="1356"/>
      <c r="C7" s="1356"/>
      <c r="D7" s="1356"/>
      <c r="E7" s="1356"/>
      <c r="F7" s="1401"/>
      <c r="G7" s="1401"/>
      <c r="H7" s="1356"/>
      <c r="I7" s="1356"/>
      <c r="J7" s="1356"/>
      <c r="K7" s="1301"/>
      <c r="L7" s="1301"/>
      <c r="M7" s="1301"/>
      <c r="N7" s="1391"/>
      <c r="O7" s="1391"/>
      <c r="P7" s="1301"/>
      <c r="Q7" s="1301"/>
    </row>
    <row r="8" spans="1:17" ht="18.75" customHeight="1">
      <c r="A8" s="346" t="s">
        <v>235</v>
      </c>
      <c r="B8" s="475" t="s">
        <v>744</v>
      </c>
      <c r="C8" s="347">
        <f>PHỤLỤCNN!C155</f>
        <v>1.54</v>
      </c>
      <c r="D8" s="347">
        <f>'Bac Son'!S67</f>
        <v>0</v>
      </c>
      <c r="E8" s="347"/>
      <c r="F8" s="347"/>
      <c r="G8" s="347"/>
      <c r="H8" s="347"/>
      <c r="I8" s="347">
        <f>PHỤLỤCNN!E155</f>
        <v>0</v>
      </c>
      <c r="J8" s="347">
        <f>C8+D8-I8</f>
        <v>1.54</v>
      </c>
      <c r="K8" s="41" t="s">
        <v>235</v>
      </c>
      <c r="L8" s="475" t="s">
        <v>744</v>
      </c>
      <c r="M8" s="60">
        <v>16.329999999999998</v>
      </c>
      <c r="N8" s="60"/>
      <c r="O8" s="60">
        <f>J8</f>
        <v>1.54</v>
      </c>
      <c r="P8" s="60">
        <f>O8-M8</f>
        <v>-14.79</v>
      </c>
      <c r="Q8" s="60">
        <f>O8-N8</f>
        <v>1.54</v>
      </c>
    </row>
    <row r="9" spans="1:17" ht="18.75" customHeight="1">
      <c r="A9" s="42" t="s">
        <v>236</v>
      </c>
      <c r="B9" s="476" t="s">
        <v>745</v>
      </c>
      <c r="C9" s="185">
        <f>PHỤLỤCNN!C156</f>
        <v>0.95</v>
      </c>
      <c r="D9" s="185">
        <f>'Hai Son'!S67</f>
        <v>0</v>
      </c>
      <c r="E9" s="185"/>
      <c r="F9" s="185"/>
      <c r="G9" s="185"/>
      <c r="H9" s="185"/>
      <c r="I9" s="185">
        <f>PHỤLỤCNN!E156</f>
        <v>0</v>
      </c>
      <c r="J9" s="185">
        <f t="shared" ref="J9:J24" si="0">C9+D9-I9</f>
        <v>0.95</v>
      </c>
      <c r="K9" s="42" t="s">
        <v>236</v>
      </c>
      <c r="L9" s="476" t="s">
        <v>745</v>
      </c>
      <c r="M9" s="61">
        <v>77.739999999999995</v>
      </c>
      <c r="N9" s="61">
        <v>24.21</v>
      </c>
      <c r="O9" s="61">
        <f t="shared" ref="O9:O24" si="1">J9</f>
        <v>0.95</v>
      </c>
      <c r="P9" s="61">
        <f t="shared" ref="P9:P24" si="2">O9-M9</f>
        <v>-76.789999999999992</v>
      </c>
      <c r="Q9" s="61">
        <f t="shared" ref="Q9:Q24" si="3">O9-N9</f>
        <v>-23.26</v>
      </c>
    </row>
    <row r="10" spans="1:17" ht="18.75" customHeight="1">
      <c r="A10" s="42" t="s">
        <v>237</v>
      </c>
      <c r="B10" s="476" t="s">
        <v>746</v>
      </c>
      <c r="C10" s="185">
        <f>PHỤLỤCNN!C157</f>
        <v>178.94</v>
      </c>
      <c r="D10" s="185">
        <f>'Quang Nghia'!S67</f>
        <v>25.62</v>
      </c>
      <c r="E10" s="185"/>
      <c r="F10" s="185"/>
      <c r="G10" s="185"/>
      <c r="H10" s="185"/>
      <c r="I10" s="185">
        <f>PHỤLỤCNN!E157</f>
        <v>4.4000000000000004</v>
      </c>
      <c r="J10" s="185">
        <f t="shared" si="0"/>
        <v>200.16</v>
      </c>
      <c r="K10" s="42" t="s">
        <v>237</v>
      </c>
      <c r="L10" s="476" t="s">
        <v>746</v>
      </c>
      <c r="M10" s="208">
        <v>505.19</v>
      </c>
      <c r="N10" s="61">
        <v>614.92999999999995</v>
      </c>
      <c r="O10" s="61">
        <f t="shared" si="1"/>
        <v>200.16</v>
      </c>
      <c r="P10" s="61">
        <f t="shared" si="2"/>
        <v>-305.02999999999997</v>
      </c>
      <c r="Q10" s="61">
        <f t="shared" si="3"/>
        <v>-414.77</v>
      </c>
    </row>
    <row r="11" spans="1:17" ht="18.75" customHeight="1">
      <c r="A11" s="42" t="s">
        <v>238</v>
      </c>
      <c r="B11" s="476" t="s">
        <v>747</v>
      </c>
      <c r="C11" s="185">
        <f>PHỤLỤCNN!C158</f>
        <v>401.09</v>
      </c>
      <c r="D11" s="185">
        <f>'Hai Dong'!S67</f>
        <v>8.01</v>
      </c>
      <c r="E11" s="185"/>
      <c r="F11" s="185"/>
      <c r="G11" s="185"/>
      <c r="H11" s="185"/>
      <c r="I11" s="185">
        <f>PHỤLỤCNN!E158</f>
        <v>2.4500000000000002</v>
      </c>
      <c r="J11" s="185">
        <f t="shared" si="0"/>
        <v>406.65</v>
      </c>
      <c r="K11" s="42" t="s">
        <v>238</v>
      </c>
      <c r="L11" s="476" t="s">
        <v>747</v>
      </c>
      <c r="M11" s="208">
        <v>3.84</v>
      </c>
      <c r="N11" s="61">
        <v>3.84</v>
      </c>
      <c r="O11" s="61">
        <f t="shared" si="1"/>
        <v>406.65</v>
      </c>
      <c r="P11" s="61">
        <f t="shared" si="2"/>
        <v>402.81</v>
      </c>
      <c r="Q11" s="61">
        <f t="shared" si="3"/>
        <v>402.81</v>
      </c>
    </row>
    <row r="12" spans="1:17" ht="18.75" customHeight="1">
      <c r="A12" s="42" t="s">
        <v>239</v>
      </c>
      <c r="B12" s="476" t="s">
        <v>748</v>
      </c>
      <c r="C12" s="185">
        <f>PHỤLỤCNN!C159</f>
        <v>142.43</v>
      </c>
      <c r="D12" s="185">
        <f>'Hai Tien'!S67</f>
        <v>32.47</v>
      </c>
      <c r="E12" s="185"/>
      <c r="F12" s="185"/>
      <c r="G12" s="185"/>
      <c r="H12" s="185"/>
      <c r="I12" s="185">
        <f>PHỤLỤCNN!E159</f>
        <v>1.24</v>
      </c>
      <c r="J12" s="185">
        <f t="shared" si="0"/>
        <v>173.66</v>
      </c>
      <c r="K12" s="42" t="s">
        <v>239</v>
      </c>
      <c r="L12" s="476" t="s">
        <v>748</v>
      </c>
      <c r="M12" s="208">
        <v>647.5</v>
      </c>
      <c r="N12" s="61">
        <v>558.01</v>
      </c>
      <c r="O12" s="61">
        <f t="shared" si="1"/>
        <v>173.66</v>
      </c>
      <c r="P12" s="61">
        <f t="shared" si="2"/>
        <v>-473.84000000000003</v>
      </c>
      <c r="Q12" s="61">
        <f t="shared" si="3"/>
        <v>-384.35</v>
      </c>
    </row>
    <row r="13" spans="1:17" ht="18.75" customHeight="1">
      <c r="A13" s="42" t="s">
        <v>240</v>
      </c>
      <c r="B13" s="476" t="s">
        <v>749</v>
      </c>
      <c r="C13" s="185">
        <f>PHỤLỤCNN!C160</f>
        <v>498.88</v>
      </c>
      <c r="D13" s="185">
        <f>'Hai Xuan'!S67</f>
        <v>19.88</v>
      </c>
      <c r="E13" s="185"/>
      <c r="F13" s="185"/>
      <c r="G13" s="185"/>
      <c r="H13" s="185"/>
      <c r="I13" s="185">
        <f>PHỤLỤCNN!E160</f>
        <v>4.4000000000000004</v>
      </c>
      <c r="J13" s="185">
        <f t="shared" si="0"/>
        <v>514.36</v>
      </c>
      <c r="K13" s="42" t="s">
        <v>240</v>
      </c>
      <c r="L13" s="476" t="s">
        <v>749</v>
      </c>
      <c r="M13" s="208">
        <v>1078.52</v>
      </c>
      <c r="N13" s="61">
        <v>1087.52</v>
      </c>
      <c r="O13" s="61">
        <f t="shared" si="1"/>
        <v>514.36</v>
      </c>
      <c r="P13" s="61">
        <f t="shared" si="2"/>
        <v>-564.16</v>
      </c>
      <c r="Q13" s="61">
        <f t="shared" si="3"/>
        <v>-573.16</v>
      </c>
    </row>
    <row r="14" spans="1:17" ht="18.75" customHeight="1">
      <c r="A14" s="42" t="s">
        <v>241</v>
      </c>
      <c r="B14" s="476" t="s">
        <v>750</v>
      </c>
      <c r="C14" s="185">
        <f>PHỤLỤCNN!C161</f>
        <v>579.23</v>
      </c>
      <c r="D14" s="185">
        <f>'Van Ninh'!S68</f>
        <v>66.05</v>
      </c>
      <c r="E14" s="185"/>
      <c r="F14" s="185"/>
      <c r="G14" s="185"/>
      <c r="H14" s="185"/>
      <c r="I14" s="185">
        <f>PHỤLỤCNN!E161</f>
        <v>1.65</v>
      </c>
      <c r="J14" s="185">
        <f t="shared" si="0"/>
        <v>643.63</v>
      </c>
      <c r="K14" s="42" t="s">
        <v>241</v>
      </c>
      <c r="L14" s="476" t="s">
        <v>750</v>
      </c>
      <c r="M14" s="208">
        <v>52.62</v>
      </c>
      <c r="N14" s="61">
        <v>9.41</v>
      </c>
      <c r="O14" s="61">
        <f t="shared" si="1"/>
        <v>643.63</v>
      </c>
      <c r="P14" s="61">
        <f t="shared" si="2"/>
        <v>591.01</v>
      </c>
      <c r="Q14" s="61">
        <f t="shared" si="3"/>
        <v>634.22</v>
      </c>
    </row>
    <row r="15" spans="1:17" ht="18.75" customHeight="1">
      <c r="A15" s="42" t="s">
        <v>242</v>
      </c>
      <c r="B15" s="476" t="s">
        <v>751</v>
      </c>
      <c r="C15" s="185">
        <f>PHỤLỤCNN!C162</f>
        <v>84.53</v>
      </c>
      <c r="D15" s="185">
        <f>'Vinh Trung'!S68</f>
        <v>19.46</v>
      </c>
      <c r="E15" s="185"/>
      <c r="F15" s="185"/>
      <c r="G15" s="185"/>
      <c r="H15" s="185"/>
      <c r="I15" s="185">
        <f>PHỤLỤCNN!E162</f>
        <v>0</v>
      </c>
      <c r="J15" s="185">
        <f t="shared" si="0"/>
        <v>103.99000000000001</v>
      </c>
      <c r="K15" s="42" t="s">
        <v>242</v>
      </c>
      <c r="L15" s="476" t="s">
        <v>751</v>
      </c>
      <c r="M15" s="208">
        <v>181.73</v>
      </c>
      <c r="N15" s="61">
        <v>123.65</v>
      </c>
      <c r="O15" s="61">
        <f t="shared" si="1"/>
        <v>103.99000000000001</v>
      </c>
      <c r="P15" s="61">
        <f t="shared" si="2"/>
        <v>-77.739999999999981</v>
      </c>
      <c r="Q15" s="61">
        <f t="shared" si="3"/>
        <v>-19.659999999999997</v>
      </c>
    </row>
    <row r="16" spans="1:17" ht="18.75" customHeight="1">
      <c r="A16" s="42" t="s">
        <v>243</v>
      </c>
      <c r="B16" s="476" t="s">
        <v>752</v>
      </c>
      <c r="C16" s="185">
        <f>PHỤLỤCNN!C163</f>
        <v>30.49</v>
      </c>
      <c r="D16" s="185">
        <f>'Vinh Thuc'!S67</f>
        <v>0</v>
      </c>
      <c r="E16" s="185"/>
      <c r="F16" s="185"/>
      <c r="G16" s="185"/>
      <c r="H16" s="185"/>
      <c r="I16" s="185">
        <f>PHỤLỤCNN!E163</f>
        <v>0</v>
      </c>
      <c r="J16" s="185">
        <f t="shared" si="0"/>
        <v>30.49</v>
      </c>
      <c r="K16" s="42" t="s">
        <v>243</v>
      </c>
      <c r="L16" s="476" t="s">
        <v>752</v>
      </c>
      <c r="M16" s="208">
        <v>672.32</v>
      </c>
      <c r="N16" s="61">
        <v>641.54</v>
      </c>
      <c r="O16" s="61">
        <f t="shared" si="1"/>
        <v>30.49</v>
      </c>
      <c r="P16" s="61">
        <f t="shared" si="2"/>
        <v>-641.83000000000004</v>
      </c>
      <c r="Q16" s="61">
        <f t="shared" si="3"/>
        <v>-611.04999999999995</v>
      </c>
    </row>
    <row r="17" spans="1:18" ht="18.75" customHeight="1">
      <c r="A17" s="42" t="s">
        <v>244</v>
      </c>
      <c r="B17" s="476" t="s">
        <v>753</v>
      </c>
      <c r="C17" s="185">
        <f>PHỤLỤCNN!C164</f>
        <v>286.83</v>
      </c>
      <c r="D17" s="185">
        <f>'Hai Yen'!S68</f>
        <v>1.1900000000000002</v>
      </c>
      <c r="E17" s="185"/>
      <c r="F17" s="185"/>
      <c r="G17" s="185"/>
      <c r="H17" s="185"/>
      <c r="I17" s="185">
        <f>PHỤLỤCNN!E164</f>
        <v>10.149999999999997</v>
      </c>
      <c r="J17" s="185">
        <f t="shared" si="0"/>
        <v>277.87</v>
      </c>
      <c r="K17" s="42" t="s">
        <v>244</v>
      </c>
      <c r="L17" s="476" t="s">
        <v>753</v>
      </c>
      <c r="M17" s="208">
        <v>673.02</v>
      </c>
      <c r="N17" s="61">
        <v>663.62</v>
      </c>
      <c r="O17" s="61">
        <f t="shared" si="1"/>
        <v>277.87</v>
      </c>
      <c r="P17" s="61">
        <f t="shared" si="2"/>
        <v>-395.15</v>
      </c>
      <c r="Q17" s="61">
        <f t="shared" si="3"/>
        <v>-385.75</v>
      </c>
    </row>
    <row r="18" spans="1:18" ht="18.75" customHeight="1">
      <c r="A18" s="42" t="s">
        <v>245</v>
      </c>
      <c r="B18" s="476" t="s">
        <v>754</v>
      </c>
      <c r="C18" s="185">
        <f>PHỤLỤCNN!C165</f>
        <v>0.32</v>
      </c>
      <c r="D18" s="185">
        <f>'Ka Long'!S67</f>
        <v>0</v>
      </c>
      <c r="E18" s="185"/>
      <c r="F18" s="185"/>
      <c r="G18" s="185"/>
      <c r="H18" s="185"/>
      <c r="I18" s="185">
        <f>PHỤLỤCNN!E165</f>
        <v>0</v>
      </c>
      <c r="J18" s="185">
        <f t="shared" si="0"/>
        <v>0.32</v>
      </c>
      <c r="K18" s="42" t="s">
        <v>245</v>
      </c>
      <c r="L18" s="476" t="s">
        <v>754</v>
      </c>
      <c r="M18" s="208">
        <v>12.28</v>
      </c>
      <c r="N18" s="61">
        <v>10.54</v>
      </c>
      <c r="O18" s="61">
        <f t="shared" si="1"/>
        <v>0.32</v>
      </c>
      <c r="P18" s="61">
        <f t="shared" si="2"/>
        <v>-11.959999999999999</v>
      </c>
      <c r="Q18" s="61">
        <f t="shared" si="3"/>
        <v>-10.219999999999999</v>
      </c>
    </row>
    <row r="19" spans="1:18" ht="18.75" customHeight="1">
      <c r="A19" s="42" t="s">
        <v>246</v>
      </c>
      <c r="B19" s="476" t="s">
        <v>755</v>
      </c>
      <c r="C19" s="185">
        <f>PHỤLỤCNN!C166</f>
        <v>177.53</v>
      </c>
      <c r="D19" s="185">
        <f>'Ninh Duong'!S67</f>
        <v>4.05</v>
      </c>
      <c r="E19" s="185"/>
      <c r="F19" s="185"/>
      <c r="G19" s="185"/>
      <c r="H19" s="185"/>
      <c r="I19" s="185">
        <f>PHỤLỤCNN!E166</f>
        <v>0.8</v>
      </c>
      <c r="J19" s="185">
        <f t="shared" si="0"/>
        <v>180.78</v>
      </c>
      <c r="K19" s="42" t="s">
        <v>246</v>
      </c>
      <c r="L19" s="476" t="s">
        <v>755</v>
      </c>
      <c r="M19" s="208">
        <v>149.68</v>
      </c>
      <c r="N19" s="61">
        <v>143.18</v>
      </c>
      <c r="O19" s="61">
        <f t="shared" si="1"/>
        <v>180.78</v>
      </c>
      <c r="P19" s="61">
        <f t="shared" si="2"/>
        <v>31.099999999999994</v>
      </c>
      <c r="Q19" s="61">
        <f t="shared" si="3"/>
        <v>37.599999999999994</v>
      </c>
    </row>
    <row r="20" spans="1:18" ht="18.75" customHeight="1">
      <c r="A20" s="42" t="s">
        <v>247</v>
      </c>
      <c r="B20" s="476" t="s">
        <v>756</v>
      </c>
      <c r="C20" s="185">
        <f>PHỤLỤCNN!C167</f>
        <v>0</v>
      </c>
      <c r="D20" s="185">
        <f>'Hoa Lac'!S67</f>
        <v>0</v>
      </c>
      <c r="E20" s="185"/>
      <c r="F20" s="185"/>
      <c r="G20" s="185"/>
      <c r="H20" s="185"/>
      <c r="I20" s="185">
        <f>PHỤLỤCNN!E167</f>
        <v>0</v>
      </c>
      <c r="J20" s="185">
        <f t="shared" si="0"/>
        <v>0</v>
      </c>
      <c r="K20" s="42" t="s">
        <v>247</v>
      </c>
      <c r="L20" s="476" t="s">
        <v>756</v>
      </c>
      <c r="M20" s="61">
        <v>84.54</v>
      </c>
      <c r="N20" s="61">
        <v>39.19</v>
      </c>
      <c r="O20" s="61">
        <f t="shared" si="1"/>
        <v>0</v>
      </c>
      <c r="P20" s="61">
        <f t="shared" si="2"/>
        <v>-84.54</v>
      </c>
      <c r="Q20" s="61">
        <f t="shared" si="3"/>
        <v>-39.19</v>
      </c>
    </row>
    <row r="21" spans="1:18" ht="18.75" customHeight="1">
      <c r="A21" s="42" t="s">
        <v>248</v>
      </c>
      <c r="B21" s="476" t="s">
        <v>757</v>
      </c>
      <c r="C21" s="185">
        <f>PHỤLỤCNN!C168</f>
        <v>0</v>
      </c>
      <c r="D21" s="185">
        <f>'Tran Phu'!S67</f>
        <v>0</v>
      </c>
      <c r="E21" s="185"/>
      <c r="F21" s="185"/>
      <c r="G21" s="185"/>
      <c r="H21" s="185"/>
      <c r="I21" s="185">
        <f>PHỤLỤCNN!E168</f>
        <v>0</v>
      </c>
      <c r="J21" s="185">
        <f t="shared" si="0"/>
        <v>0</v>
      </c>
      <c r="K21" s="42" t="s">
        <v>248</v>
      </c>
      <c r="L21" s="476" t="s">
        <v>757</v>
      </c>
      <c r="M21" s="61">
        <v>1375.74</v>
      </c>
      <c r="N21" s="61">
        <v>1079.75</v>
      </c>
      <c r="O21" s="61">
        <f t="shared" si="1"/>
        <v>0</v>
      </c>
      <c r="P21" s="61">
        <f t="shared" si="2"/>
        <v>-1375.74</v>
      </c>
      <c r="Q21" s="61">
        <f t="shared" si="3"/>
        <v>-1079.75</v>
      </c>
    </row>
    <row r="22" spans="1:18" ht="18.75" customHeight="1">
      <c r="A22" s="42" t="s">
        <v>249</v>
      </c>
      <c r="B22" s="476" t="s">
        <v>758</v>
      </c>
      <c r="C22" s="185">
        <f>PHỤLỤCNN!C169</f>
        <v>837.17</v>
      </c>
      <c r="D22" s="185">
        <f>'Hai Hoa'!S67</f>
        <v>1.27</v>
      </c>
      <c r="E22" s="185"/>
      <c r="F22" s="185"/>
      <c r="G22" s="185"/>
      <c r="H22" s="185"/>
      <c r="I22" s="185">
        <f>PHỤLỤCNN!E169</f>
        <v>189.99</v>
      </c>
      <c r="J22" s="185">
        <f t="shared" si="0"/>
        <v>648.44999999999993</v>
      </c>
      <c r="K22" s="42" t="s">
        <v>249</v>
      </c>
      <c r="L22" s="476" t="s">
        <v>758</v>
      </c>
      <c r="M22" s="61">
        <v>30.59</v>
      </c>
      <c r="N22" s="61">
        <v>26.45</v>
      </c>
      <c r="O22" s="61">
        <f t="shared" si="1"/>
        <v>648.44999999999993</v>
      </c>
      <c r="P22" s="61">
        <f t="shared" si="2"/>
        <v>617.8599999999999</v>
      </c>
      <c r="Q22" s="61">
        <f>O22-N22</f>
        <v>621.99999999999989</v>
      </c>
    </row>
    <row r="23" spans="1:18" ht="18.75" customHeight="1">
      <c r="A23" s="42" t="s">
        <v>250</v>
      </c>
      <c r="B23" s="476" t="s">
        <v>759</v>
      </c>
      <c r="C23" s="185">
        <f>PHỤLỤCNN!C170</f>
        <v>111.45</v>
      </c>
      <c r="D23" s="185">
        <f>'Tra Co'!S67</f>
        <v>25.23</v>
      </c>
      <c r="E23" s="185"/>
      <c r="F23" s="185"/>
      <c r="G23" s="185"/>
      <c r="H23" s="185"/>
      <c r="I23" s="185">
        <f>PHỤLỤCNN!E170</f>
        <v>0</v>
      </c>
      <c r="J23" s="185">
        <f t="shared" si="0"/>
        <v>136.68</v>
      </c>
      <c r="K23" s="42" t="s">
        <v>250</v>
      </c>
      <c r="L23" s="476" t="s">
        <v>759</v>
      </c>
      <c r="M23" s="61">
        <v>23.9</v>
      </c>
      <c r="N23" s="61">
        <v>20.170000000000002</v>
      </c>
      <c r="O23" s="61">
        <f t="shared" si="1"/>
        <v>136.68</v>
      </c>
      <c r="P23" s="61">
        <f t="shared" si="2"/>
        <v>112.78</v>
      </c>
      <c r="Q23" s="61">
        <f t="shared" si="3"/>
        <v>116.51</v>
      </c>
    </row>
    <row r="24" spans="1:18" ht="18" customHeight="1">
      <c r="A24" s="42" t="s">
        <v>251</v>
      </c>
      <c r="B24" s="476" t="s">
        <v>760</v>
      </c>
      <c r="C24" s="185">
        <f>PHỤLỤCNN!C171</f>
        <v>255.57</v>
      </c>
      <c r="D24" s="185">
        <f>'Binh Ngoc'!S67</f>
        <v>0</v>
      </c>
      <c r="E24" s="185"/>
      <c r="F24" s="185"/>
      <c r="G24" s="185"/>
      <c r="H24" s="185"/>
      <c r="I24" s="185">
        <f>PHỤLỤCNN!E171</f>
        <v>0</v>
      </c>
      <c r="J24" s="185">
        <f t="shared" si="0"/>
        <v>255.57</v>
      </c>
      <c r="K24" s="42" t="s">
        <v>251</v>
      </c>
      <c r="L24" s="476" t="s">
        <v>760</v>
      </c>
      <c r="M24" s="61">
        <v>374.09</v>
      </c>
      <c r="N24" s="61">
        <v>282.73</v>
      </c>
      <c r="O24" s="61">
        <f t="shared" si="1"/>
        <v>255.57</v>
      </c>
      <c r="P24" s="61">
        <f t="shared" si="2"/>
        <v>-118.51999999999998</v>
      </c>
      <c r="Q24" s="61">
        <f t="shared" si="3"/>
        <v>-27.160000000000025</v>
      </c>
    </row>
    <row r="25" spans="1:18" ht="18.75" hidden="1" customHeight="1">
      <c r="A25" s="42"/>
      <c r="B25" s="80"/>
      <c r="C25" s="185"/>
      <c r="D25" s="185"/>
      <c r="E25" s="185"/>
      <c r="F25" s="185"/>
      <c r="G25" s="185"/>
      <c r="H25" s="185"/>
      <c r="I25" s="185"/>
      <c r="J25" s="185"/>
      <c r="K25" s="42"/>
      <c r="L25" s="44"/>
      <c r="M25" s="61"/>
      <c r="N25" s="61"/>
      <c r="O25" s="61"/>
      <c r="P25" s="61"/>
      <c r="Q25" s="61"/>
    </row>
    <row r="26" spans="1:18" ht="18.75" hidden="1" customHeight="1">
      <c r="A26" s="348"/>
      <c r="B26" s="334"/>
      <c r="C26" s="349"/>
      <c r="D26" s="349"/>
      <c r="E26" s="349"/>
      <c r="F26" s="349"/>
      <c r="G26" s="349"/>
      <c r="H26" s="349"/>
      <c r="I26" s="349"/>
      <c r="J26" s="349"/>
      <c r="K26" s="45"/>
      <c r="L26" s="46"/>
      <c r="M26" s="63"/>
      <c r="N26" s="63"/>
      <c r="O26" s="210"/>
      <c r="P26" s="210"/>
      <c r="Q26" s="210"/>
    </row>
    <row r="27" spans="1:18" ht="23.25" customHeight="1">
      <c r="A27" s="51"/>
      <c r="B27" s="51" t="s">
        <v>370</v>
      </c>
      <c r="C27" s="188">
        <f t="shared" ref="C27:J27" si="4">SUM(C8:C26)</f>
        <v>3586.9500000000003</v>
      </c>
      <c r="D27" s="188">
        <f t="shared" si="4"/>
        <v>203.23</v>
      </c>
      <c r="E27" s="188">
        <f t="shared" si="4"/>
        <v>0</v>
      </c>
      <c r="F27" s="188">
        <f t="shared" si="4"/>
        <v>0</v>
      </c>
      <c r="G27" s="188">
        <f t="shared" si="4"/>
        <v>0</v>
      </c>
      <c r="H27" s="188">
        <f t="shared" si="4"/>
        <v>0</v>
      </c>
      <c r="I27" s="188">
        <f t="shared" si="4"/>
        <v>215.08</v>
      </c>
      <c r="J27" s="188">
        <f t="shared" si="4"/>
        <v>3575.1</v>
      </c>
      <c r="K27" s="51"/>
      <c r="L27" s="51" t="s">
        <v>370</v>
      </c>
      <c r="M27" s="64">
        <f>SUM(M8:M26)</f>
        <v>5959.63</v>
      </c>
      <c r="N27" s="64">
        <f t="shared" ref="N27:P27" si="5">SUM(N8:N26)</f>
        <v>5328.74</v>
      </c>
      <c r="O27" s="64">
        <f t="shared" si="5"/>
        <v>3575.1</v>
      </c>
      <c r="P27" s="64">
        <f t="shared" si="5"/>
        <v>-2384.5300000000007</v>
      </c>
      <c r="Q27" s="64">
        <f>SUM(Q8:Q26)</f>
        <v>-1753.6399999999999</v>
      </c>
      <c r="R27" s="382"/>
    </row>
    <row r="28" spans="1:18">
      <c r="J28" s="382">
        <f>C27+D27-I27</f>
        <v>3575.1000000000004</v>
      </c>
      <c r="Q28" s="382"/>
    </row>
    <row r="29" spans="1:18" hidden="1">
      <c r="C29" s="55">
        <f>'TONG TP'!D22</f>
        <v>3586.9500000000003</v>
      </c>
      <c r="J29" s="55">
        <f>'TONG TP'!BN22</f>
        <v>3575.1000000000004</v>
      </c>
    </row>
    <row r="31" spans="1:18">
      <c r="C31" s="382">
        <f>C27-I27</f>
        <v>3371.8700000000003</v>
      </c>
      <c r="J31" s="55">
        <f>'TONG TP'!BN22</f>
        <v>3575.1000000000004</v>
      </c>
    </row>
    <row r="32" spans="1:18">
      <c r="J32" s="382">
        <f>J27-J31</f>
        <v>0</v>
      </c>
    </row>
  </sheetData>
  <mergeCells count="22">
    <mergeCell ref="J5:J7"/>
    <mergeCell ref="E6:E7"/>
    <mergeCell ref="H6:H7"/>
    <mergeCell ref="A2:J2"/>
    <mergeCell ref="A3:J3"/>
    <mergeCell ref="A5:A7"/>
    <mergeCell ref="B5:B7"/>
    <mergeCell ref="C5:C7"/>
    <mergeCell ref="D5:D7"/>
    <mergeCell ref="E5:H5"/>
    <mergeCell ref="I5:I7"/>
    <mergeCell ref="I4:J4"/>
    <mergeCell ref="G6:G7"/>
    <mergeCell ref="F6:F7"/>
    <mergeCell ref="P5:Q5"/>
    <mergeCell ref="P6:P7"/>
    <mergeCell ref="Q6:Q7"/>
    <mergeCell ref="K5:K7"/>
    <mergeCell ref="L5:L7"/>
    <mergeCell ref="M5:M7"/>
    <mergeCell ref="N5:N7"/>
    <mergeCell ref="O5:O7"/>
  </mergeCells>
  <phoneticPr fontId="4" type="noConversion"/>
  <printOptions horizontalCentered="1"/>
  <pageMargins left="0.85" right="0.35" top="0.25" bottom="0.25" header="0.5" footer="0.5"/>
  <pageSetup orientation="portrait"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filterMode="1"/>
  <dimension ref="A1:P29"/>
  <sheetViews>
    <sheetView showZeros="0" workbookViewId="0">
      <selection activeCell="B31" sqref="B31"/>
    </sheetView>
  </sheetViews>
  <sheetFormatPr defaultRowHeight="12.75"/>
  <cols>
    <col min="1" max="1" width="6.28515625" customWidth="1"/>
    <col min="2" max="2" width="21" customWidth="1"/>
    <col min="3" max="3" width="10.42578125" customWidth="1"/>
    <col min="4" max="4" width="10.85546875" customWidth="1"/>
    <col min="5" max="7" width="7.140625" hidden="1" customWidth="1"/>
    <col min="8" max="8" width="11.5703125" customWidth="1"/>
    <col min="9" max="9" width="11.42578125" customWidth="1"/>
    <col min="10" max="10" width="7.42578125" customWidth="1"/>
    <col min="11" max="11" width="22" customWidth="1"/>
  </cols>
  <sheetData>
    <row r="1" spans="1:16" ht="22.5" customHeight="1">
      <c r="A1" s="353" t="s">
        <v>630</v>
      </c>
    </row>
    <row r="2" spans="1:16" ht="20.25" customHeight="1">
      <c r="A2" s="1252" t="s">
        <v>706</v>
      </c>
      <c r="B2" s="1252"/>
      <c r="C2" s="1252"/>
      <c r="D2" s="1252"/>
      <c r="E2" s="1252"/>
      <c r="F2" s="1252"/>
      <c r="G2" s="1252"/>
      <c r="H2" s="1252"/>
      <c r="I2" s="1252"/>
    </row>
    <row r="3" spans="1:16" ht="22.5" customHeight="1">
      <c r="A3" s="1252" t="s">
        <v>766</v>
      </c>
      <c r="B3" s="1252"/>
      <c r="C3" s="1252"/>
      <c r="D3" s="1252"/>
      <c r="E3" s="1252"/>
      <c r="F3" s="1252"/>
      <c r="G3" s="1252"/>
      <c r="H3" s="1252"/>
      <c r="I3" s="1252"/>
    </row>
    <row r="4" spans="1:16" ht="16.5" customHeight="1">
      <c r="H4" s="1278" t="s">
        <v>138</v>
      </c>
      <c r="I4" s="1278"/>
      <c r="J4" s="1301" t="s">
        <v>0</v>
      </c>
      <c r="K4" s="1301" t="s">
        <v>369</v>
      </c>
      <c r="L4" s="1301" t="s">
        <v>494</v>
      </c>
      <c r="M4" s="1391" t="s">
        <v>495</v>
      </c>
      <c r="N4" s="1391" t="s">
        <v>496</v>
      </c>
      <c r="O4" s="1390" t="s">
        <v>497</v>
      </c>
      <c r="P4" s="1390"/>
    </row>
    <row r="5" spans="1:16" ht="25.5" customHeight="1">
      <c r="A5" s="1280" t="s">
        <v>368</v>
      </c>
      <c r="B5" s="1280" t="s">
        <v>979</v>
      </c>
      <c r="C5" s="1280" t="s">
        <v>456</v>
      </c>
      <c r="D5" s="1280" t="s">
        <v>457</v>
      </c>
      <c r="E5" s="1280"/>
      <c r="F5" s="1280"/>
      <c r="G5" s="1280"/>
      <c r="H5" s="1280" t="s">
        <v>459</v>
      </c>
      <c r="I5" s="1280" t="s">
        <v>460</v>
      </c>
      <c r="J5" s="1301"/>
      <c r="K5" s="1301"/>
      <c r="L5" s="1301"/>
      <c r="M5" s="1391"/>
      <c r="N5" s="1391"/>
      <c r="O5" s="1301" t="s">
        <v>498</v>
      </c>
      <c r="P5" s="1301" t="s">
        <v>344</v>
      </c>
    </row>
    <row r="6" spans="1:16" ht="24.75" customHeight="1">
      <c r="A6" s="1280"/>
      <c r="B6" s="1280"/>
      <c r="C6" s="1280"/>
      <c r="D6" s="1280"/>
      <c r="E6" s="38"/>
      <c r="F6" s="38"/>
      <c r="G6" s="38"/>
      <c r="H6" s="1280"/>
      <c r="I6" s="1280"/>
      <c r="J6" s="1301"/>
      <c r="K6" s="1301"/>
      <c r="L6" s="1301"/>
      <c r="M6" s="1391"/>
      <c r="N6" s="1391"/>
      <c r="O6" s="1301"/>
      <c r="P6" s="1301"/>
    </row>
    <row r="7" spans="1:16" ht="18.75" customHeight="1">
      <c r="A7" s="54" t="s">
        <v>235</v>
      </c>
      <c r="B7" s="475" t="s">
        <v>744</v>
      </c>
      <c r="C7" s="99">
        <f>PHỤLỤCNN!C180</f>
        <v>0.88</v>
      </c>
      <c r="D7" s="99">
        <f>'Bac Son'!U67</f>
        <v>0</v>
      </c>
      <c r="E7" s="99"/>
      <c r="F7" s="99"/>
      <c r="G7" s="99"/>
      <c r="H7" s="99">
        <f>'Bac Son'!BL24</f>
        <v>0</v>
      </c>
      <c r="I7" s="99">
        <f t="shared" ref="I7:I23" si="0">C7+D7-H7</f>
        <v>0.88</v>
      </c>
      <c r="J7" s="41" t="s">
        <v>235</v>
      </c>
      <c r="K7" s="475" t="s">
        <v>744</v>
      </c>
      <c r="L7" s="207">
        <v>0.26</v>
      </c>
      <c r="M7" s="207">
        <v>0.26</v>
      </c>
      <c r="N7" s="207">
        <f>I7</f>
        <v>0.88</v>
      </c>
      <c r="O7" s="207">
        <f>N7-L7</f>
        <v>0.62</v>
      </c>
      <c r="P7" s="207">
        <f>N7-M7</f>
        <v>0.62</v>
      </c>
    </row>
    <row r="8" spans="1:16" ht="18.75" hidden="1" customHeight="1">
      <c r="A8" s="48" t="s">
        <v>236</v>
      </c>
      <c r="B8" s="476" t="s">
        <v>745</v>
      </c>
      <c r="C8" s="100">
        <f>PHỤLỤCNN!C181</f>
        <v>0</v>
      </c>
      <c r="D8" s="100">
        <f>'Hai Son'!U67</f>
        <v>0</v>
      </c>
      <c r="E8" s="100"/>
      <c r="F8" s="100"/>
      <c r="G8" s="100"/>
      <c r="H8" s="100">
        <f>'Hai Son'!BL24</f>
        <v>0</v>
      </c>
      <c r="I8" s="100">
        <f t="shared" si="0"/>
        <v>0</v>
      </c>
      <c r="J8" s="42" t="s">
        <v>236</v>
      </c>
      <c r="K8" s="476" t="s">
        <v>745</v>
      </c>
      <c r="L8" s="208">
        <v>13.36</v>
      </c>
      <c r="M8" s="208">
        <v>17.940000000000001</v>
      </c>
      <c r="N8" s="208">
        <f t="shared" ref="N8:N23" si="1">I8</f>
        <v>0</v>
      </c>
      <c r="O8" s="208">
        <f t="shared" ref="O8:O23" si="2">N8-L8</f>
        <v>-13.36</v>
      </c>
      <c r="P8" s="208">
        <f t="shared" ref="P8:P23" si="3">N8-M8</f>
        <v>-17.940000000000001</v>
      </c>
    </row>
    <row r="9" spans="1:16" ht="18.75" hidden="1" customHeight="1">
      <c r="A9" s="48" t="s">
        <v>237</v>
      </c>
      <c r="B9" s="476" t="s">
        <v>746</v>
      </c>
      <c r="C9" s="100">
        <f>PHỤLỤCNN!C182</f>
        <v>0</v>
      </c>
      <c r="D9" s="100">
        <f>'Quang Nghia'!U67</f>
        <v>0</v>
      </c>
      <c r="E9" s="100"/>
      <c r="F9" s="100"/>
      <c r="G9" s="100"/>
      <c r="H9" s="100">
        <f>'Quang Nghia'!BL24</f>
        <v>0</v>
      </c>
      <c r="I9" s="100">
        <f t="shared" si="0"/>
        <v>0</v>
      </c>
      <c r="J9" s="42" t="s">
        <v>237</v>
      </c>
      <c r="K9" s="476" t="s">
        <v>746</v>
      </c>
      <c r="L9" s="208">
        <v>1.53</v>
      </c>
      <c r="M9" s="208">
        <v>6.53</v>
      </c>
      <c r="N9" s="208">
        <f t="shared" si="1"/>
        <v>0</v>
      </c>
      <c r="O9" s="208">
        <f t="shared" si="2"/>
        <v>-1.53</v>
      </c>
      <c r="P9" s="208">
        <f t="shared" si="3"/>
        <v>-6.53</v>
      </c>
    </row>
    <row r="10" spans="1:16" ht="18.75" hidden="1" customHeight="1">
      <c r="A10" s="48" t="s">
        <v>238</v>
      </c>
      <c r="B10" s="476" t="s">
        <v>747</v>
      </c>
      <c r="C10" s="100">
        <f>PHỤLỤCNN!C183</f>
        <v>0</v>
      </c>
      <c r="D10" s="100">
        <f>'Hai Dong'!U67</f>
        <v>0</v>
      </c>
      <c r="E10" s="100"/>
      <c r="F10" s="100"/>
      <c r="G10" s="100"/>
      <c r="H10" s="100">
        <f>'Hai Dong'!BL24</f>
        <v>0</v>
      </c>
      <c r="I10" s="100">
        <f t="shared" si="0"/>
        <v>0</v>
      </c>
      <c r="J10" s="42" t="s">
        <v>238</v>
      </c>
      <c r="K10" s="476" t="s">
        <v>747</v>
      </c>
      <c r="L10" s="208">
        <v>0.1</v>
      </c>
      <c r="M10" s="208">
        <v>3.8</v>
      </c>
      <c r="N10" s="208">
        <f t="shared" si="1"/>
        <v>0</v>
      </c>
      <c r="O10" s="208">
        <f t="shared" si="2"/>
        <v>-0.1</v>
      </c>
      <c r="P10" s="208">
        <f t="shared" si="3"/>
        <v>-3.8</v>
      </c>
    </row>
    <row r="11" spans="1:16" ht="18.75" hidden="1" customHeight="1">
      <c r="A11" s="48" t="s">
        <v>239</v>
      </c>
      <c r="B11" s="476" t="s">
        <v>748</v>
      </c>
      <c r="C11" s="100">
        <f>PHỤLỤCNN!C184</f>
        <v>0</v>
      </c>
      <c r="D11" s="100">
        <f>'Hai Tien'!U67</f>
        <v>0</v>
      </c>
      <c r="E11" s="100"/>
      <c r="F11" s="100"/>
      <c r="G11" s="100"/>
      <c r="H11" s="100">
        <f>'Hai Tien'!BL24</f>
        <v>0</v>
      </c>
      <c r="I11" s="100">
        <f t="shared" si="0"/>
        <v>0</v>
      </c>
      <c r="J11" s="42" t="s">
        <v>239</v>
      </c>
      <c r="K11" s="476" t="s">
        <v>748</v>
      </c>
      <c r="L11" s="208"/>
      <c r="M11" s="208"/>
      <c r="N11" s="208">
        <f t="shared" si="1"/>
        <v>0</v>
      </c>
      <c r="O11" s="208">
        <f t="shared" si="2"/>
        <v>0</v>
      </c>
      <c r="P11" s="208">
        <f t="shared" si="3"/>
        <v>0</v>
      </c>
    </row>
    <row r="12" spans="1:16" ht="18.75" hidden="1" customHeight="1">
      <c r="A12" s="48" t="s">
        <v>240</v>
      </c>
      <c r="B12" s="476" t="s">
        <v>749</v>
      </c>
      <c r="C12" s="100">
        <f>PHỤLỤCNN!C185</f>
        <v>0</v>
      </c>
      <c r="D12" s="100">
        <f>'Hai Xuan'!U67</f>
        <v>0</v>
      </c>
      <c r="E12" s="100"/>
      <c r="F12" s="100"/>
      <c r="G12" s="100"/>
      <c r="H12" s="100">
        <f>'Hai Xuan'!BL24</f>
        <v>0</v>
      </c>
      <c r="I12" s="100">
        <f t="shared" si="0"/>
        <v>0</v>
      </c>
      <c r="J12" s="42" t="s">
        <v>240</v>
      </c>
      <c r="K12" s="476" t="s">
        <v>749</v>
      </c>
      <c r="L12" s="208"/>
      <c r="M12" s="208">
        <v>3.84</v>
      </c>
      <c r="N12" s="208">
        <f t="shared" si="1"/>
        <v>0</v>
      </c>
      <c r="O12" s="208">
        <f t="shared" si="2"/>
        <v>0</v>
      </c>
      <c r="P12" s="208">
        <f t="shared" si="3"/>
        <v>-3.84</v>
      </c>
    </row>
    <row r="13" spans="1:16" ht="18.75" customHeight="1">
      <c r="A13" s="48" t="s">
        <v>241</v>
      </c>
      <c r="B13" s="476" t="s">
        <v>750</v>
      </c>
      <c r="C13" s="100">
        <f>PHỤLỤCNN!C186</f>
        <v>0.38</v>
      </c>
      <c r="D13" s="100">
        <f>'Van Ninh'!U68</f>
        <v>0</v>
      </c>
      <c r="E13" s="100"/>
      <c r="F13" s="100"/>
      <c r="G13" s="100"/>
      <c r="H13" s="100">
        <f>'Van Ninh'!BL24</f>
        <v>0</v>
      </c>
      <c r="I13" s="100">
        <f t="shared" si="0"/>
        <v>0.38</v>
      </c>
      <c r="J13" s="42" t="s">
        <v>241</v>
      </c>
      <c r="K13" s="476" t="s">
        <v>750</v>
      </c>
      <c r="L13" s="208"/>
      <c r="M13" s="208"/>
      <c r="N13" s="208">
        <f t="shared" si="1"/>
        <v>0.38</v>
      </c>
      <c r="O13" s="208">
        <f t="shared" si="2"/>
        <v>0.38</v>
      </c>
      <c r="P13" s="208">
        <f t="shared" si="3"/>
        <v>0.38</v>
      </c>
    </row>
    <row r="14" spans="1:16" ht="18.75" customHeight="1">
      <c r="A14" s="48" t="s">
        <v>242</v>
      </c>
      <c r="B14" s="476" t="s">
        <v>751</v>
      </c>
      <c r="C14" s="100">
        <f>PHỤLỤCNN!C187</f>
        <v>1.1100000000000001</v>
      </c>
      <c r="D14" s="100">
        <f>'Vinh Trung'!U68</f>
        <v>0</v>
      </c>
      <c r="E14" s="100"/>
      <c r="F14" s="100"/>
      <c r="G14" s="100"/>
      <c r="H14" s="100">
        <f>'Vinh Trung'!BL24</f>
        <v>0</v>
      </c>
      <c r="I14" s="100">
        <f t="shared" si="0"/>
        <v>1.1100000000000001</v>
      </c>
      <c r="J14" s="42" t="s">
        <v>242</v>
      </c>
      <c r="K14" s="476" t="s">
        <v>751</v>
      </c>
      <c r="L14" s="208"/>
      <c r="M14" s="208">
        <v>10</v>
      </c>
      <c r="N14" s="208">
        <f t="shared" si="1"/>
        <v>1.1100000000000001</v>
      </c>
      <c r="O14" s="208">
        <f t="shared" si="2"/>
        <v>1.1100000000000001</v>
      </c>
      <c r="P14" s="208">
        <f t="shared" si="3"/>
        <v>-8.89</v>
      </c>
    </row>
    <row r="15" spans="1:16" ht="18.75" hidden="1" customHeight="1">
      <c r="A15" s="48" t="s">
        <v>243</v>
      </c>
      <c r="B15" s="476" t="s">
        <v>752</v>
      </c>
      <c r="C15" s="100">
        <f>PHỤLỤCNN!C188</f>
        <v>0</v>
      </c>
      <c r="D15" s="100">
        <f>'Vinh Thuc'!U67</f>
        <v>0</v>
      </c>
      <c r="E15" s="100"/>
      <c r="F15" s="100"/>
      <c r="G15" s="100"/>
      <c r="H15" s="100">
        <f>'Vinh Thuc'!BL24</f>
        <v>0</v>
      </c>
      <c r="I15" s="100">
        <f t="shared" si="0"/>
        <v>0</v>
      </c>
      <c r="J15" s="42" t="s">
        <v>243</v>
      </c>
      <c r="K15" s="476" t="s">
        <v>752</v>
      </c>
      <c r="L15" s="208"/>
      <c r="M15" s="208">
        <v>3</v>
      </c>
      <c r="N15" s="208">
        <f t="shared" si="1"/>
        <v>0</v>
      </c>
      <c r="O15" s="208">
        <f t="shared" si="2"/>
        <v>0</v>
      </c>
      <c r="P15" s="208">
        <f t="shared" si="3"/>
        <v>-3</v>
      </c>
    </row>
    <row r="16" spans="1:16" ht="18.75" customHeight="1">
      <c r="A16" s="48" t="s">
        <v>244</v>
      </c>
      <c r="B16" s="476" t="s">
        <v>753</v>
      </c>
      <c r="C16" s="100">
        <f>PHỤLỤCNN!C189</f>
        <v>37.64</v>
      </c>
      <c r="D16" s="100">
        <f>'Hai Yen'!U68</f>
        <v>0</v>
      </c>
      <c r="E16" s="100"/>
      <c r="F16" s="100"/>
      <c r="G16" s="100"/>
      <c r="H16" s="100">
        <f>'Hai Yen'!BL24</f>
        <v>0</v>
      </c>
      <c r="I16" s="100">
        <f t="shared" si="0"/>
        <v>37.64</v>
      </c>
      <c r="J16" s="42" t="s">
        <v>244</v>
      </c>
      <c r="K16" s="476" t="s">
        <v>753</v>
      </c>
      <c r="L16" s="208"/>
      <c r="M16" s="208">
        <v>2</v>
      </c>
      <c r="N16" s="208">
        <f t="shared" si="1"/>
        <v>37.64</v>
      </c>
      <c r="O16" s="208">
        <f t="shared" si="2"/>
        <v>37.64</v>
      </c>
      <c r="P16" s="208">
        <f t="shared" si="3"/>
        <v>35.64</v>
      </c>
    </row>
    <row r="17" spans="1:16" ht="18.75" hidden="1" customHeight="1">
      <c r="A17" s="48" t="s">
        <v>245</v>
      </c>
      <c r="B17" s="476" t="s">
        <v>754</v>
      </c>
      <c r="C17" s="100">
        <f>PHỤLỤCNN!C190</f>
        <v>0</v>
      </c>
      <c r="D17" s="100">
        <f>'Ka Long'!U67</f>
        <v>0</v>
      </c>
      <c r="E17" s="100"/>
      <c r="F17" s="100"/>
      <c r="G17" s="100"/>
      <c r="H17" s="100">
        <f>'Ka Long'!BL24</f>
        <v>0</v>
      </c>
      <c r="I17" s="100">
        <f t="shared" si="0"/>
        <v>0</v>
      </c>
      <c r="J17" s="42" t="s">
        <v>245</v>
      </c>
      <c r="K17" s="476" t="s">
        <v>754</v>
      </c>
      <c r="L17" s="208"/>
      <c r="M17" s="208">
        <v>2</v>
      </c>
      <c r="N17" s="208">
        <f t="shared" si="1"/>
        <v>0</v>
      </c>
      <c r="O17" s="208">
        <f t="shared" si="2"/>
        <v>0</v>
      </c>
      <c r="P17" s="208">
        <f t="shared" si="3"/>
        <v>-2</v>
      </c>
    </row>
    <row r="18" spans="1:16" ht="18.75" customHeight="1">
      <c r="A18" s="48" t="s">
        <v>246</v>
      </c>
      <c r="B18" s="476" t="s">
        <v>755</v>
      </c>
      <c r="C18" s="100">
        <f>PHỤLỤCNN!C191</f>
        <v>7.0000000000000007E-2</v>
      </c>
      <c r="D18" s="100">
        <f>'Ninh Duong'!U67</f>
        <v>0</v>
      </c>
      <c r="E18" s="100"/>
      <c r="F18" s="100"/>
      <c r="G18" s="100"/>
      <c r="H18" s="100">
        <f>'Ninh Duong'!BL24</f>
        <v>0</v>
      </c>
      <c r="I18" s="100">
        <f t="shared" si="0"/>
        <v>7.0000000000000007E-2</v>
      </c>
      <c r="J18" s="42" t="s">
        <v>246</v>
      </c>
      <c r="K18" s="476" t="s">
        <v>755</v>
      </c>
      <c r="L18" s="208"/>
      <c r="M18" s="208">
        <v>3</v>
      </c>
      <c r="N18" s="208">
        <f t="shared" si="1"/>
        <v>7.0000000000000007E-2</v>
      </c>
      <c r="O18" s="208">
        <f t="shared" si="2"/>
        <v>7.0000000000000007E-2</v>
      </c>
      <c r="P18" s="208">
        <f t="shared" si="3"/>
        <v>-2.93</v>
      </c>
    </row>
    <row r="19" spans="1:16" ht="18.75" hidden="1" customHeight="1">
      <c r="A19" s="48" t="s">
        <v>247</v>
      </c>
      <c r="B19" s="476" t="s">
        <v>756</v>
      </c>
      <c r="C19" s="100">
        <f>PHỤLỤCNN!C192</f>
        <v>0</v>
      </c>
      <c r="D19" s="100">
        <f>'Hoa Lac'!U67</f>
        <v>0</v>
      </c>
      <c r="E19" s="100"/>
      <c r="F19" s="100"/>
      <c r="G19" s="100"/>
      <c r="H19" s="100">
        <f>'Hoa Lac'!BL24</f>
        <v>0</v>
      </c>
      <c r="I19" s="100">
        <f t="shared" si="0"/>
        <v>0</v>
      </c>
      <c r="J19" s="42" t="s">
        <v>247</v>
      </c>
      <c r="K19" s="476" t="s">
        <v>756</v>
      </c>
      <c r="L19" s="208"/>
      <c r="M19" s="208">
        <v>10.37</v>
      </c>
      <c r="N19" s="208">
        <f t="shared" si="1"/>
        <v>0</v>
      </c>
      <c r="O19" s="208">
        <f t="shared" si="2"/>
        <v>0</v>
      </c>
      <c r="P19" s="208">
        <f t="shared" si="3"/>
        <v>-10.37</v>
      </c>
    </row>
    <row r="20" spans="1:16" ht="18.75" hidden="1" customHeight="1">
      <c r="A20" s="48" t="s">
        <v>248</v>
      </c>
      <c r="B20" s="476" t="s">
        <v>757</v>
      </c>
      <c r="C20" s="100">
        <f>PHỤLỤCNN!C193</f>
        <v>0</v>
      </c>
      <c r="D20" s="100">
        <f>'Tran Phu'!U67</f>
        <v>0</v>
      </c>
      <c r="E20" s="100"/>
      <c r="F20" s="100"/>
      <c r="G20" s="100"/>
      <c r="H20" s="100">
        <f>'Tran Phu'!BL24</f>
        <v>0</v>
      </c>
      <c r="I20" s="100">
        <f t="shared" si="0"/>
        <v>0</v>
      </c>
      <c r="J20" s="42" t="s">
        <v>248</v>
      </c>
      <c r="K20" s="476" t="s">
        <v>757</v>
      </c>
      <c r="L20" s="208"/>
      <c r="M20" s="208">
        <v>10</v>
      </c>
      <c r="N20" s="208">
        <f t="shared" si="1"/>
        <v>0</v>
      </c>
      <c r="O20" s="208">
        <f t="shared" si="2"/>
        <v>0</v>
      </c>
      <c r="P20" s="208">
        <f t="shared" si="3"/>
        <v>-10</v>
      </c>
    </row>
    <row r="21" spans="1:16" ht="18.75" hidden="1" customHeight="1">
      <c r="A21" s="48" t="s">
        <v>249</v>
      </c>
      <c r="B21" s="476" t="s">
        <v>758</v>
      </c>
      <c r="C21" s="100">
        <f>PHỤLỤCNN!C194</f>
        <v>0</v>
      </c>
      <c r="D21" s="100">
        <f>'Hai Hoa'!U67</f>
        <v>0</v>
      </c>
      <c r="E21" s="100"/>
      <c r="F21" s="100"/>
      <c r="G21" s="100"/>
      <c r="H21" s="100">
        <f>'Hai Hoa'!BL24</f>
        <v>0</v>
      </c>
      <c r="I21" s="100">
        <f t="shared" si="0"/>
        <v>0</v>
      </c>
      <c r="J21" s="42" t="s">
        <v>249</v>
      </c>
      <c r="K21" s="476" t="s">
        <v>758</v>
      </c>
      <c r="L21" s="208"/>
      <c r="M21" s="208"/>
      <c r="N21" s="208">
        <f t="shared" si="1"/>
        <v>0</v>
      </c>
      <c r="O21" s="208">
        <f t="shared" si="2"/>
        <v>0</v>
      </c>
      <c r="P21" s="208">
        <f t="shared" si="3"/>
        <v>0</v>
      </c>
    </row>
    <row r="22" spans="1:16" ht="18.75" hidden="1" customHeight="1">
      <c r="A22" s="48" t="s">
        <v>250</v>
      </c>
      <c r="B22" s="476" t="s">
        <v>759</v>
      </c>
      <c r="C22" s="100">
        <f>PHỤLỤCNN!C195</f>
        <v>0</v>
      </c>
      <c r="D22" s="100">
        <f>'Tra Co'!U67</f>
        <v>0</v>
      </c>
      <c r="E22" s="100"/>
      <c r="F22" s="100"/>
      <c r="G22" s="100"/>
      <c r="H22" s="100">
        <f>'Tra Co'!BL24</f>
        <v>0</v>
      </c>
      <c r="I22" s="100">
        <f t="shared" si="0"/>
        <v>0</v>
      </c>
      <c r="J22" s="42" t="s">
        <v>250</v>
      </c>
      <c r="K22" s="476" t="s">
        <v>759</v>
      </c>
      <c r="L22" s="208"/>
      <c r="M22" s="208">
        <v>3</v>
      </c>
      <c r="N22" s="208">
        <f t="shared" si="1"/>
        <v>0</v>
      </c>
      <c r="O22" s="208">
        <f t="shared" si="2"/>
        <v>0</v>
      </c>
      <c r="P22" s="208">
        <f t="shared" si="3"/>
        <v>-3</v>
      </c>
    </row>
    <row r="23" spans="1:16" ht="18.75" hidden="1" customHeight="1">
      <c r="A23" s="48" t="s">
        <v>251</v>
      </c>
      <c r="B23" s="476" t="s">
        <v>760</v>
      </c>
      <c r="C23" s="100">
        <f>PHỤLỤCNN!C196</f>
        <v>0</v>
      </c>
      <c r="D23" s="100">
        <f>'Binh Ngoc'!U67</f>
        <v>0</v>
      </c>
      <c r="E23" s="100"/>
      <c r="F23" s="100"/>
      <c r="G23" s="100"/>
      <c r="H23" s="100">
        <f>'Binh Ngoc'!BL24</f>
        <v>0</v>
      </c>
      <c r="I23" s="100">
        <f t="shared" si="0"/>
        <v>0</v>
      </c>
      <c r="J23" s="42" t="s">
        <v>251</v>
      </c>
      <c r="K23" s="476" t="s">
        <v>760</v>
      </c>
      <c r="L23" s="208"/>
      <c r="M23" s="208">
        <v>3</v>
      </c>
      <c r="N23" s="208">
        <f t="shared" si="1"/>
        <v>0</v>
      </c>
      <c r="O23" s="208">
        <f t="shared" si="2"/>
        <v>0</v>
      </c>
      <c r="P23" s="208">
        <f t="shared" si="3"/>
        <v>-3</v>
      </c>
    </row>
    <row r="24" spans="1:16" ht="18.75" customHeight="1">
      <c r="A24" s="52"/>
      <c r="B24" s="52" t="s">
        <v>370</v>
      </c>
      <c r="C24" s="75">
        <f t="shared" ref="C24:I24" si="4">SUM(C7:C23)</f>
        <v>40.08</v>
      </c>
      <c r="D24" s="75">
        <f t="shared" si="4"/>
        <v>0</v>
      </c>
      <c r="E24" s="75">
        <f t="shared" si="4"/>
        <v>0</v>
      </c>
      <c r="F24" s="75">
        <f t="shared" si="4"/>
        <v>0</v>
      </c>
      <c r="G24" s="75">
        <f t="shared" si="4"/>
        <v>0</v>
      </c>
      <c r="H24" s="75">
        <f t="shared" si="4"/>
        <v>0</v>
      </c>
      <c r="I24" s="75">
        <f t="shared" si="4"/>
        <v>40.08</v>
      </c>
      <c r="J24" s="51"/>
      <c r="K24" s="51" t="s">
        <v>370</v>
      </c>
      <c r="L24" s="209">
        <f>SUM(L7:L23)</f>
        <v>15.249999999999998</v>
      </c>
      <c r="M24" s="209">
        <f>SUM(M7:M23)</f>
        <v>78.740000000000009</v>
      </c>
      <c r="N24" s="209">
        <f>SUM(N7:N23)</f>
        <v>40.08</v>
      </c>
      <c r="O24" s="209">
        <f>SUM(O7:O23)</f>
        <v>24.830000000000002</v>
      </c>
      <c r="P24" s="209">
        <f>SUM(P7:P23)</f>
        <v>-38.659999999999997</v>
      </c>
    </row>
    <row r="26" spans="1:16" hidden="1">
      <c r="C26">
        <f>'TONG TP'!D24</f>
        <v>40.08</v>
      </c>
      <c r="D26">
        <f>'TONG TP'!U68</f>
        <v>0</v>
      </c>
      <c r="I26">
        <f>'TONG TP'!BN24</f>
        <v>40.08</v>
      </c>
      <c r="J26">
        <f>I26-I24</f>
        <v>0</v>
      </c>
    </row>
    <row r="28" spans="1:16">
      <c r="I28">
        <f>'TONG TP'!BN24</f>
        <v>40.08</v>
      </c>
    </row>
    <row r="29" spans="1:16">
      <c r="I29" s="177">
        <f>I24-I28</f>
        <v>0</v>
      </c>
    </row>
  </sheetData>
  <autoFilter ref="A6:P24">
    <filterColumn colId="8">
      <customFilters>
        <customFilter operator="notEqual" val=" "/>
      </customFilters>
    </filterColumn>
  </autoFilter>
  <mergeCells count="18">
    <mergeCell ref="J4:J6"/>
    <mergeCell ref="K4:K6"/>
    <mergeCell ref="L4:L6"/>
    <mergeCell ref="A2:I2"/>
    <mergeCell ref="A3:I3"/>
    <mergeCell ref="A5:A6"/>
    <mergeCell ref="B5:B6"/>
    <mergeCell ref="C5:C6"/>
    <mergeCell ref="D5:D6"/>
    <mergeCell ref="E5:G5"/>
    <mergeCell ref="H5:H6"/>
    <mergeCell ref="I5:I6"/>
    <mergeCell ref="H4:I4"/>
    <mergeCell ref="M4:M6"/>
    <mergeCell ref="N4:N6"/>
    <mergeCell ref="O4:P4"/>
    <mergeCell ref="O5:O6"/>
    <mergeCell ref="P5:P6"/>
  </mergeCells>
  <phoneticPr fontId="4" type="noConversion"/>
  <printOptions horizontalCentered="1"/>
  <pageMargins left="1" right="0.25" top="0.3" bottom="0.25" header="0.5" footer="0.5"/>
  <pageSetup paperSize="9"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dimension ref="A1:P29"/>
  <sheetViews>
    <sheetView showZeros="0" workbookViewId="0">
      <selection activeCell="A5" sqref="A5:I24"/>
    </sheetView>
  </sheetViews>
  <sheetFormatPr defaultRowHeight="12.75"/>
  <cols>
    <col min="1" max="1" width="7.140625" style="1" customWidth="1"/>
    <col min="2" max="2" width="21" customWidth="1"/>
    <col min="3" max="3" width="13.28515625" customWidth="1"/>
    <col min="4" max="4" width="12.140625" customWidth="1"/>
    <col min="5" max="7" width="7" hidden="1" customWidth="1"/>
    <col min="8" max="8" width="12" customWidth="1"/>
    <col min="9" max="9" width="14.140625" customWidth="1"/>
    <col min="10" max="10" width="8" customWidth="1"/>
    <col min="11" max="11" width="22" customWidth="1"/>
  </cols>
  <sheetData>
    <row r="1" spans="1:16" ht="18" customHeight="1">
      <c r="A1" s="364" t="s">
        <v>631</v>
      </c>
    </row>
    <row r="2" spans="1:16" ht="21" customHeight="1">
      <c r="A2" s="1252" t="s">
        <v>707</v>
      </c>
      <c r="B2" s="1252"/>
      <c r="C2" s="1252"/>
      <c r="D2" s="1252"/>
      <c r="E2" s="1252"/>
      <c r="F2" s="1252"/>
      <c r="G2" s="1252"/>
      <c r="H2" s="1252"/>
      <c r="I2" s="1252"/>
    </row>
    <row r="3" spans="1:16" ht="19.5" customHeight="1">
      <c r="A3" s="1252" t="s">
        <v>766</v>
      </c>
      <c r="B3" s="1252"/>
      <c r="C3" s="1252"/>
      <c r="D3" s="1252"/>
      <c r="E3" s="1252"/>
      <c r="F3" s="1252"/>
      <c r="G3" s="1252"/>
      <c r="H3" s="1252"/>
      <c r="I3" s="1252"/>
    </row>
    <row r="4" spans="1:16" ht="15.75" customHeight="1">
      <c r="H4" s="1278" t="s">
        <v>138</v>
      </c>
      <c r="I4" s="1278"/>
      <c r="J4" s="1301" t="s">
        <v>0</v>
      </c>
      <c r="K4" s="1301" t="s">
        <v>369</v>
      </c>
      <c r="L4" s="1301" t="s">
        <v>494</v>
      </c>
      <c r="M4" s="1391" t="s">
        <v>495</v>
      </c>
      <c r="N4" s="1391" t="s">
        <v>496</v>
      </c>
      <c r="O4" s="1390" t="s">
        <v>497</v>
      </c>
      <c r="P4" s="1390"/>
    </row>
    <row r="5" spans="1:16" ht="22.5" customHeight="1">
      <c r="A5" s="1275" t="s">
        <v>368</v>
      </c>
      <c r="B5" s="1275" t="s">
        <v>979</v>
      </c>
      <c r="C5" s="1275" t="s">
        <v>989</v>
      </c>
      <c r="D5" s="1275" t="s">
        <v>457</v>
      </c>
      <c r="E5" s="1402"/>
      <c r="F5" s="1402"/>
      <c r="G5" s="1403"/>
      <c r="H5" s="1275" t="s">
        <v>459</v>
      </c>
      <c r="I5" s="1275" t="s">
        <v>988</v>
      </c>
      <c r="J5" s="1301"/>
      <c r="K5" s="1301"/>
      <c r="L5" s="1301"/>
      <c r="M5" s="1391"/>
      <c r="N5" s="1391"/>
      <c r="O5" s="1301" t="s">
        <v>498</v>
      </c>
      <c r="P5" s="1301" t="s">
        <v>344</v>
      </c>
    </row>
    <row r="6" spans="1:16" ht="23.25" customHeight="1">
      <c r="A6" s="1275"/>
      <c r="B6" s="1275"/>
      <c r="C6" s="1275"/>
      <c r="D6" s="1275"/>
      <c r="E6" s="326"/>
      <c r="F6" s="326"/>
      <c r="G6" s="326"/>
      <c r="H6" s="1275"/>
      <c r="I6" s="1275"/>
      <c r="J6" s="1301"/>
      <c r="K6" s="1301"/>
      <c r="L6" s="1301"/>
      <c r="M6" s="1391"/>
      <c r="N6" s="1391"/>
      <c r="O6" s="1301"/>
      <c r="P6" s="1301"/>
    </row>
    <row r="7" spans="1:16" ht="19.5" customHeight="1">
      <c r="A7" s="54" t="s">
        <v>235</v>
      </c>
      <c r="B7" s="475" t="s">
        <v>744</v>
      </c>
      <c r="C7" s="99">
        <f>'PHỤ LỤC PNN'!C5</f>
        <v>44.83</v>
      </c>
      <c r="D7" s="99">
        <f>'Bac Son'!W67</f>
        <v>0</v>
      </c>
      <c r="E7" s="99"/>
      <c r="F7" s="99"/>
      <c r="G7" s="99"/>
      <c r="H7" s="99">
        <f>'PHỤ LỤC PNN'!E5</f>
        <v>0</v>
      </c>
      <c r="I7" s="99">
        <f t="shared" ref="I7:I23" si="0">C7+D7-H7</f>
        <v>44.83</v>
      </c>
      <c r="J7" s="41" t="s">
        <v>235</v>
      </c>
      <c r="K7" s="475" t="s">
        <v>744</v>
      </c>
      <c r="L7" s="207">
        <v>30.64</v>
      </c>
      <c r="M7" s="207">
        <v>30.64</v>
      </c>
      <c r="N7" s="207">
        <f>I7</f>
        <v>44.83</v>
      </c>
      <c r="O7" s="207">
        <f>N7-L7</f>
        <v>14.189999999999998</v>
      </c>
      <c r="P7" s="207">
        <f>N7-M7</f>
        <v>14.189999999999998</v>
      </c>
    </row>
    <row r="8" spans="1:16" ht="19.5" customHeight="1">
      <c r="A8" s="48" t="s">
        <v>236</v>
      </c>
      <c r="B8" s="476" t="s">
        <v>745</v>
      </c>
      <c r="C8" s="100">
        <f>'PHỤ LỤC PNN'!C6</f>
        <v>63.778669999999998</v>
      </c>
      <c r="D8" s="99">
        <f>'Hai Son'!W67</f>
        <v>0</v>
      </c>
      <c r="E8" s="100"/>
      <c r="F8" s="100"/>
      <c r="G8" s="100"/>
      <c r="H8" s="100">
        <f>'PHỤ LỤC PNN'!E6</f>
        <v>0</v>
      </c>
      <c r="I8" s="100">
        <f t="shared" si="0"/>
        <v>63.778669999999998</v>
      </c>
      <c r="J8" s="42" t="s">
        <v>236</v>
      </c>
      <c r="K8" s="476" t="s">
        <v>745</v>
      </c>
      <c r="L8" s="208">
        <v>4.8600000000000003</v>
      </c>
      <c r="M8" s="208">
        <v>4.8600000000000003</v>
      </c>
      <c r="N8" s="208">
        <f t="shared" ref="N8:N23" si="1">I8</f>
        <v>63.778669999999998</v>
      </c>
      <c r="O8" s="208">
        <f t="shared" ref="O8:O23" si="2">N8-L8</f>
        <v>58.918669999999999</v>
      </c>
      <c r="P8" s="208">
        <f t="shared" ref="P8:P23" si="3">N8-M8</f>
        <v>58.918669999999999</v>
      </c>
    </row>
    <row r="9" spans="1:16" ht="19.5" customHeight="1">
      <c r="A9" s="48" t="s">
        <v>237</v>
      </c>
      <c r="B9" s="476" t="s">
        <v>746</v>
      </c>
      <c r="C9" s="100">
        <f>'PHỤ LỤC PNN'!C7</f>
        <v>0.68</v>
      </c>
      <c r="D9" s="99">
        <f>'Quang Nghia'!W67</f>
        <v>0</v>
      </c>
      <c r="E9" s="100"/>
      <c r="F9" s="100"/>
      <c r="G9" s="100"/>
      <c r="H9" s="100">
        <f>'PHỤ LỤC PNN'!E7</f>
        <v>0</v>
      </c>
      <c r="I9" s="100">
        <f t="shared" si="0"/>
        <v>0.68</v>
      </c>
      <c r="J9" s="42" t="s">
        <v>237</v>
      </c>
      <c r="K9" s="476" t="s">
        <v>746</v>
      </c>
      <c r="L9" s="208">
        <v>39.840000000000003</v>
      </c>
      <c r="M9" s="208">
        <v>68.61</v>
      </c>
      <c r="N9" s="208">
        <f t="shared" si="1"/>
        <v>0.68</v>
      </c>
      <c r="O9" s="208">
        <f t="shared" si="2"/>
        <v>-39.160000000000004</v>
      </c>
      <c r="P9" s="208">
        <f t="shared" si="3"/>
        <v>-67.929999999999993</v>
      </c>
    </row>
    <row r="10" spans="1:16" ht="19.5" customHeight="1">
      <c r="A10" s="48" t="s">
        <v>238</v>
      </c>
      <c r="B10" s="476" t="s">
        <v>747</v>
      </c>
      <c r="C10" s="100">
        <f>'PHỤ LỤC PNN'!C8</f>
        <v>7.06</v>
      </c>
      <c r="D10" s="99">
        <f>'Hai Dong'!W67</f>
        <v>4.29</v>
      </c>
      <c r="E10" s="100"/>
      <c r="F10" s="100"/>
      <c r="G10" s="100"/>
      <c r="H10" s="100">
        <f>'PHỤ LỤC PNN'!E8</f>
        <v>0</v>
      </c>
      <c r="I10" s="100">
        <f t="shared" si="0"/>
        <v>11.35</v>
      </c>
      <c r="J10" s="42" t="s">
        <v>238</v>
      </c>
      <c r="K10" s="476" t="s">
        <v>747</v>
      </c>
      <c r="L10" s="208">
        <v>141.03</v>
      </c>
      <c r="M10" s="208">
        <v>181.03</v>
      </c>
      <c r="N10" s="208">
        <f t="shared" si="1"/>
        <v>11.35</v>
      </c>
      <c r="O10" s="208">
        <f t="shared" si="2"/>
        <v>-129.68</v>
      </c>
      <c r="P10" s="208">
        <f t="shared" si="3"/>
        <v>-169.68</v>
      </c>
    </row>
    <row r="11" spans="1:16" ht="19.5" customHeight="1">
      <c r="A11" s="48" t="s">
        <v>239</v>
      </c>
      <c r="B11" s="476" t="s">
        <v>748</v>
      </c>
      <c r="C11" s="100">
        <f>'PHỤ LỤC PNN'!C9</f>
        <v>3.71</v>
      </c>
      <c r="D11" s="99">
        <f>'Hai Tien'!W67</f>
        <v>0</v>
      </c>
      <c r="E11" s="100"/>
      <c r="F11" s="100"/>
      <c r="G11" s="100"/>
      <c r="H11" s="100">
        <f>'PHỤ LỤC PNN'!E9</f>
        <v>0</v>
      </c>
      <c r="I11" s="100">
        <f t="shared" si="0"/>
        <v>3.71</v>
      </c>
      <c r="J11" s="42" t="s">
        <v>239</v>
      </c>
      <c r="K11" s="476" t="s">
        <v>748</v>
      </c>
      <c r="L11" s="208">
        <v>2.2000000000000002</v>
      </c>
      <c r="M11" s="208">
        <v>2.2000000000000002</v>
      </c>
      <c r="N11" s="208">
        <f t="shared" si="1"/>
        <v>3.71</v>
      </c>
      <c r="O11" s="208">
        <f t="shared" si="2"/>
        <v>1.5099999999999998</v>
      </c>
      <c r="P11" s="208">
        <f t="shared" si="3"/>
        <v>1.5099999999999998</v>
      </c>
    </row>
    <row r="12" spans="1:16" ht="19.5" customHeight="1">
      <c r="A12" s="48" t="s">
        <v>240</v>
      </c>
      <c r="B12" s="476" t="s">
        <v>749</v>
      </c>
      <c r="C12" s="100">
        <f>'PHỤ LỤC PNN'!C10</f>
        <v>0</v>
      </c>
      <c r="D12" s="99">
        <f>'Hai Xuan'!W67</f>
        <v>0</v>
      </c>
      <c r="E12" s="100"/>
      <c r="F12" s="100"/>
      <c r="G12" s="100"/>
      <c r="H12" s="100">
        <f>'PHỤ LỤC PNN'!E10</f>
        <v>0</v>
      </c>
      <c r="I12" s="100">
        <f t="shared" si="0"/>
        <v>0</v>
      </c>
      <c r="J12" s="42" t="s">
        <v>240</v>
      </c>
      <c r="K12" s="476" t="s">
        <v>749</v>
      </c>
      <c r="L12" s="208"/>
      <c r="M12" s="208"/>
      <c r="N12" s="208">
        <f t="shared" si="1"/>
        <v>0</v>
      </c>
      <c r="O12" s="208">
        <f t="shared" si="2"/>
        <v>0</v>
      </c>
      <c r="P12" s="208">
        <f t="shared" si="3"/>
        <v>0</v>
      </c>
    </row>
    <row r="13" spans="1:16" ht="19.5" customHeight="1">
      <c r="A13" s="48" t="s">
        <v>241</v>
      </c>
      <c r="B13" s="476" t="s">
        <v>750</v>
      </c>
      <c r="C13" s="100">
        <f>'PHỤ LỤC PNN'!C11</f>
        <v>0</v>
      </c>
      <c r="D13" s="99">
        <f>'Van Ninh'!W68</f>
        <v>0</v>
      </c>
      <c r="E13" s="100"/>
      <c r="F13" s="100"/>
      <c r="G13" s="100"/>
      <c r="H13" s="100">
        <f>'PHỤ LỤC PNN'!E11</f>
        <v>0</v>
      </c>
      <c r="I13" s="100">
        <f t="shared" si="0"/>
        <v>0</v>
      </c>
      <c r="J13" s="42" t="s">
        <v>241</v>
      </c>
      <c r="K13" s="476" t="s">
        <v>750</v>
      </c>
      <c r="L13" s="208">
        <v>2.13</v>
      </c>
      <c r="M13" s="208">
        <v>2.13</v>
      </c>
      <c r="N13" s="208">
        <f t="shared" si="1"/>
        <v>0</v>
      </c>
      <c r="O13" s="208">
        <f t="shared" si="2"/>
        <v>-2.13</v>
      </c>
      <c r="P13" s="208">
        <f t="shared" si="3"/>
        <v>-2.13</v>
      </c>
    </row>
    <row r="14" spans="1:16" ht="19.5" customHeight="1">
      <c r="A14" s="48" t="s">
        <v>242</v>
      </c>
      <c r="B14" s="476" t="s">
        <v>751</v>
      </c>
      <c r="C14" s="100">
        <f>'PHỤ LỤC PNN'!C12</f>
        <v>5.38</v>
      </c>
      <c r="D14" s="99">
        <f>'Vinh Trung'!W68</f>
        <v>0</v>
      </c>
      <c r="E14" s="100"/>
      <c r="F14" s="100"/>
      <c r="G14" s="100"/>
      <c r="H14" s="100">
        <f>'PHỤ LỤC PNN'!E12</f>
        <v>0</v>
      </c>
      <c r="I14" s="100">
        <f t="shared" si="0"/>
        <v>5.38</v>
      </c>
      <c r="J14" s="42" t="s">
        <v>242</v>
      </c>
      <c r="K14" s="476" t="s">
        <v>751</v>
      </c>
      <c r="L14" s="208"/>
      <c r="M14" s="208"/>
      <c r="N14" s="208">
        <f t="shared" si="1"/>
        <v>5.38</v>
      </c>
      <c r="O14" s="208">
        <f t="shared" si="2"/>
        <v>5.38</v>
      </c>
      <c r="P14" s="208">
        <f t="shared" si="3"/>
        <v>5.38</v>
      </c>
    </row>
    <row r="15" spans="1:16" ht="19.5" customHeight="1">
      <c r="A15" s="48" t="s">
        <v>243</v>
      </c>
      <c r="B15" s="476" t="s">
        <v>752</v>
      </c>
      <c r="C15" s="100">
        <f>'PHỤ LỤC PNN'!C13</f>
        <v>53.27</v>
      </c>
      <c r="D15" s="99">
        <f>'Vinh Thuc'!W67</f>
        <v>0</v>
      </c>
      <c r="E15" s="100"/>
      <c r="F15" s="100"/>
      <c r="G15" s="100"/>
      <c r="H15" s="100">
        <f>'PHỤ LỤC PNN'!E13</f>
        <v>0</v>
      </c>
      <c r="I15" s="100">
        <f t="shared" si="0"/>
        <v>53.27</v>
      </c>
      <c r="J15" s="42" t="s">
        <v>243</v>
      </c>
      <c r="K15" s="476" t="s">
        <v>752</v>
      </c>
      <c r="L15" s="208"/>
      <c r="M15" s="208"/>
      <c r="N15" s="208">
        <f t="shared" si="1"/>
        <v>53.27</v>
      </c>
      <c r="O15" s="208">
        <f t="shared" si="2"/>
        <v>53.27</v>
      </c>
      <c r="P15" s="208">
        <f t="shared" si="3"/>
        <v>53.27</v>
      </c>
    </row>
    <row r="16" spans="1:16" ht="19.5" customHeight="1">
      <c r="A16" s="48" t="s">
        <v>244</v>
      </c>
      <c r="B16" s="476" t="s">
        <v>753</v>
      </c>
      <c r="C16" s="100">
        <f>'PHỤ LỤC PNN'!C14</f>
        <v>18.47</v>
      </c>
      <c r="D16" s="99">
        <f>'Hai Yen'!W68</f>
        <v>0.02</v>
      </c>
      <c r="E16" s="100"/>
      <c r="F16" s="100"/>
      <c r="G16" s="100"/>
      <c r="H16" s="100">
        <f>'PHỤ LỤC PNN'!E14</f>
        <v>0</v>
      </c>
      <c r="I16" s="100">
        <f t="shared" si="0"/>
        <v>18.489999999999998</v>
      </c>
      <c r="J16" s="42" t="s">
        <v>244</v>
      </c>
      <c r="K16" s="476" t="s">
        <v>753</v>
      </c>
      <c r="L16" s="208"/>
      <c r="M16" s="208"/>
      <c r="N16" s="208">
        <f t="shared" si="1"/>
        <v>18.489999999999998</v>
      </c>
      <c r="O16" s="208">
        <f t="shared" si="2"/>
        <v>18.489999999999998</v>
      </c>
      <c r="P16" s="208">
        <f t="shared" si="3"/>
        <v>18.489999999999998</v>
      </c>
    </row>
    <row r="17" spans="1:16" ht="19.5" customHeight="1">
      <c r="A17" s="48" t="s">
        <v>245</v>
      </c>
      <c r="B17" s="476" t="s">
        <v>754</v>
      </c>
      <c r="C17" s="100">
        <f>'PHỤ LỤC PNN'!C15</f>
        <v>1.85</v>
      </c>
      <c r="D17" s="99">
        <f>'Ka Long'!W67</f>
        <v>0</v>
      </c>
      <c r="E17" s="100"/>
      <c r="F17" s="100"/>
      <c r="G17" s="100"/>
      <c r="H17" s="100">
        <f>'PHỤ LỤC PNN'!E15</f>
        <v>0</v>
      </c>
      <c r="I17" s="100">
        <f t="shared" si="0"/>
        <v>1.85</v>
      </c>
      <c r="J17" s="42" t="s">
        <v>245</v>
      </c>
      <c r="K17" s="476" t="s">
        <v>754</v>
      </c>
      <c r="L17" s="208"/>
      <c r="M17" s="208"/>
      <c r="N17" s="208">
        <f t="shared" si="1"/>
        <v>1.85</v>
      </c>
      <c r="O17" s="208">
        <f t="shared" si="2"/>
        <v>1.85</v>
      </c>
      <c r="P17" s="208">
        <f t="shared" si="3"/>
        <v>1.85</v>
      </c>
    </row>
    <row r="18" spans="1:16" ht="19.5" customHeight="1">
      <c r="A18" s="48" t="s">
        <v>246</v>
      </c>
      <c r="B18" s="476" t="s">
        <v>755</v>
      </c>
      <c r="C18" s="100">
        <f>'PHỤ LỤC PNN'!C16</f>
        <v>14.43</v>
      </c>
      <c r="D18" s="99">
        <f>'Ninh Duong'!W67</f>
        <v>0</v>
      </c>
      <c r="E18" s="100"/>
      <c r="F18" s="100"/>
      <c r="G18" s="100"/>
      <c r="H18" s="100">
        <f>'PHỤ LỤC PNN'!E16</f>
        <v>0</v>
      </c>
      <c r="I18" s="100">
        <f t="shared" si="0"/>
        <v>14.43</v>
      </c>
      <c r="J18" s="42" t="s">
        <v>246</v>
      </c>
      <c r="K18" s="476" t="s">
        <v>755</v>
      </c>
      <c r="L18" s="208">
        <v>0.06</v>
      </c>
      <c r="M18" s="208">
        <v>0.06</v>
      </c>
      <c r="N18" s="208">
        <f t="shared" si="1"/>
        <v>14.43</v>
      </c>
      <c r="O18" s="208">
        <f t="shared" si="2"/>
        <v>14.37</v>
      </c>
      <c r="P18" s="208">
        <f t="shared" si="3"/>
        <v>14.37</v>
      </c>
    </row>
    <row r="19" spans="1:16" ht="19.5" customHeight="1">
      <c r="A19" s="48" t="s">
        <v>247</v>
      </c>
      <c r="B19" s="476" t="s">
        <v>756</v>
      </c>
      <c r="C19" s="100">
        <f>'PHỤ LỤC PNN'!C17</f>
        <v>5.47</v>
      </c>
      <c r="D19" s="99">
        <f>'Hoa Lac'!W67</f>
        <v>0</v>
      </c>
      <c r="E19" s="100"/>
      <c r="F19" s="100"/>
      <c r="G19" s="100"/>
      <c r="H19" s="100">
        <f>'PHỤ LỤC PNN'!E17</f>
        <v>0</v>
      </c>
      <c r="I19" s="100">
        <f t="shared" si="0"/>
        <v>5.47</v>
      </c>
      <c r="J19" s="42" t="s">
        <v>247</v>
      </c>
      <c r="K19" s="476" t="s">
        <v>756</v>
      </c>
      <c r="L19" s="208">
        <v>10.38</v>
      </c>
      <c r="M19" s="208">
        <v>48.32</v>
      </c>
      <c r="N19" s="208">
        <f t="shared" si="1"/>
        <v>5.47</v>
      </c>
      <c r="O19" s="208">
        <f t="shared" si="2"/>
        <v>-4.910000000000001</v>
      </c>
      <c r="P19" s="208">
        <f t="shared" si="3"/>
        <v>-42.85</v>
      </c>
    </row>
    <row r="20" spans="1:16" ht="19.5" customHeight="1">
      <c r="A20" s="48" t="s">
        <v>248</v>
      </c>
      <c r="B20" s="476" t="s">
        <v>757</v>
      </c>
      <c r="C20" s="100">
        <f>'PHỤ LỤC PNN'!C18</f>
        <v>19.940000000000001</v>
      </c>
      <c r="D20" s="99">
        <f>'Tran Phu'!W67</f>
        <v>0</v>
      </c>
      <c r="E20" s="100"/>
      <c r="F20" s="100"/>
      <c r="G20" s="100"/>
      <c r="H20" s="100">
        <f>'PHỤ LỤC PNN'!E18</f>
        <v>0</v>
      </c>
      <c r="I20" s="100">
        <f t="shared" si="0"/>
        <v>19.940000000000001</v>
      </c>
      <c r="J20" s="42" t="s">
        <v>248</v>
      </c>
      <c r="K20" s="476" t="s">
        <v>757</v>
      </c>
      <c r="L20" s="208"/>
      <c r="M20" s="208"/>
      <c r="N20" s="208">
        <f t="shared" si="1"/>
        <v>19.940000000000001</v>
      </c>
      <c r="O20" s="208">
        <f t="shared" si="2"/>
        <v>19.940000000000001</v>
      </c>
      <c r="P20" s="208">
        <f t="shared" si="3"/>
        <v>19.940000000000001</v>
      </c>
    </row>
    <row r="21" spans="1:16" ht="19.5" customHeight="1">
      <c r="A21" s="48" t="s">
        <v>249</v>
      </c>
      <c r="B21" s="476" t="s">
        <v>758</v>
      </c>
      <c r="C21" s="100">
        <f>'PHỤ LỤC PNN'!C19</f>
        <v>38.9</v>
      </c>
      <c r="D21" s="99">
        <f>'Hai Hoa'!W67</f>
        <v>0.63</v>
      </c>
      <c r="E21" s="100"/>
      <c r="F21" s="100"/>
      <c r="G21" s="100"/>
      <c r="H21" s="100">
        <f>'PHỤ LỤC PNN'!E19</f>
        <v>5.86</v>
      </c>
      <c r="I21" s="100">
        <f t="shared" si="0"/>
        <v>33.67</v>
      </c>
      <c r="J21" s="42" t="s">
        <v>249</v>
      </c>
      <c r="K21" s="476" t="s">
        <v>758</v>
      </c>
      <c r="L21" s="208">
        <v>0.03</v>
      </c>
      <c r="M21" s="208">
        <v>0.15</v>
      </c>
      <c r="N21" s="208">
        <f t="shared" si="1"/>
        <v>33.67</v>
      </c>
      <c r="O21" s="208">
        <f t="shared" si="2"/>
        <v>33.64</v>
      </c>
      <c r="P21" s="208">
        <f t="shared" si="3"/>
        <v>33.520000000000003</v>
      </c>
    </row>
    <row r="22" spans="1:16" ht="19.5" customHeight="1">
      <c r="A22" s="48" t="s">
        <v>250</v>
      </c>
      <c r="B22" s="476" t="s">
        <v>759</v>
      </c>
      <c r="C22" s="100">
        <f>'PHỤ LỤC PNN'!C20</f>
        <v>7.87</v>
      </c>
      <c r="D22" s="99">
        <f>'Tra Co'!W67</f>
        <v>2.1999999999999997</v>
      </c>
      <c r="E22" s="100"/>
      <c r="F22" s="100"/>
      <c r="G22" s="100"/>
      <c r="H22" s="100">
        <f>'PHỤ LỤC PNN'!E20</f>
        <v>0</v>
      </c>
      <c r="I22" s="100">
        <f t="shared" si="0"/>
        <v>10.07</v>
      </c>
      <c r="J22" s="42" t="s">
        <v>250</v>
      </c>
      <c r="K22" s="476" t="s">
        <v>759</v>
      </c>
      <c r="L22" s="208"/>
      <c r="M22" s="208"/>
      <c r="N22" s="208">
        <f t="shared" si="1"/>
        <v>10.07</v>
      </c>
      <c r="O22" s="208">
        <f t="shared" si="2"/>
        <v>10.07</v>
      </c>
      <c r="P22" s="208">
        <f t="shared" si="3"/>
        <v>10.07</v>
      </c>
    </row>
    <row r="23" spans="1:16" ht="19.5" customHeight="1">
      <c r="A23" s="48" t="s">
        <v>251</v>
      </c>
      <c r="B23" s="476" t="s">
        <v>760</v>
      </c>
      <c r="C23" s="100">
        <f>'PHỤ LỤC PNN'!C21</f>
        <v>0.28999999999999998</v>
      </c>
      <c r="D23" s="99">
        <f>'Binh Ngoc'!W67</f>
        <v>0</v>
      </c>
      <c r="E23" s="100"/>
      <c r="F23" s="100"/>
      <c r="G23" s="100"/>
      <c r="H23" s="100">
        <f>'PHỤ LỤC PNN'!E21</f>
        <v>0</v>
      </c>
      <c r="I23" s="100">
        <f t="shared" si="0"/>
        <v>0.28999999999999998</v>
      </c>
      <c r="J23" s="42" t="s">
        <v>251</v>
      </c>
      <c r="K23" s="476" t="s">
        <v>760</v>
      </c>
      <c r="L23" s="208"/>
      <c r="M23" s="208"/>
      <c r="N23" s="208">
        <f t="shared" si="1"/>
        <v>0.28999999999999998</v>
      </c>
      <c r="O23" s="208">
        <f t="shared" si="2"/>
        <v>0.28999999999999998</v>
      </c>
      <c r="P23" s="208">
        <f t="shared" si="3"/>
        <v>0.28999999999999998</v>
      </c>
    </row>
    <row r="24" spans="1:16" ht="21" customHeight="1">
      <c r="A24" s="52"/>
      <c r="B24" s="56" t="s">
        <v>370</v>
      </c>
      <c r="C24" s="75">
        <f t="shared" ref="C24:I24" si="4">SUM(C7:C23)</f>
        <v>285.92867000000001</v>
      </c>
      <c r="D24" s="75">
        <f t="shared" si="4"/>
        <v>7.1399999999999988</v>
      </c>
      <c r="E24" s="75">
        <f t="shared" si="4"/>
        <v>0</v>
      </c>
      <c r="F24" s="75">
        <f t="shared" si="4"/>
        <v>0</v>
      </c>
      <c r="G24" s="75">
        <f t="shared" si="4"/>
        <v>0</v>
      </c>
      <c r="H24" s="75">
        <f t="shared" si="4"/>
        <v>5.86</v>
      </c>
      <c r="I24" s="75">
        <f t="shared" si="4"/>
        <v>287.20867000000004</v>
      </c>
      <c r="J24" s="51"/>
      <c r="K24" s="51" t="s">
        <v>370</v>
      </c>
      <c r="L24" s="209">
        <f>SUM(L7:L23)</f>
        <v>231.17</v>
      </c>
      <c r="M24" s="209">
        <f>SUM(M7:M23)</f>
        <v>337.99999999999994</v>
      </c>
      <c r="N24" s="209">
        <f>SUM(N7:N23)</f>
        <v>287.20867000000004</v>
      </c>
      <c r="O24" s="209">
        <f>SUM(O7:O23)</f>
        <v>56.038669999999996</v>
      </c>
      <c r="P24" s="209">
        <f>SUM(P7:P23)</f>
        <v>-50.791330000000009</v>
      </c>
    </row>
    <row r="25" spans="1:16">
      <c r="I25" s="37">
        <f>'TONG TP'!V70</f>
        <v>0</v>
      </c>
    </row>
    <row r="26" spans="1:16" hidden="1">
      <c r="C26">
        <f>'TONG TP'!D26</f>
        <v>285.92867000000001</v>
      </c>
      <c r="I26">
        <f>'TONG TP'!BN26</f>
        <v>287.20866999999998</v>
      </c>
    </row>
    <row r="27" spans="1:16">
      <c r="J27">
        <f>I26-I24</f>
        <v>0</v>
      </c>
    </row>
    <row r="28" spans="1:16">
      <c r="I28">
        <f>'TONG TP'!BN26</f>
        <v>287.20866999999998</v>
      </c>
    </row>
    <row r="29" spans="1:16">
      <c r="C29" s="177">
        <f>C24-H24</f>
        <v>280.06867</v>
      </c>
      <c r="I29" s="177">
        <f>I24-I28</f>
        <v>0</v>
      </c>
    </row>
  </sheetData>
  <mergeCells count="18">
    <mergeCell ref="A2:I2"/>
    <mergeCell ref="A3:I3"/>
    <mergeCell ref="A5:A6"/>
    <mergeCell ref="B5:B6"/>
    <mergeCell ref="C5:C6"/>
    <mergeCell ref="D5:D6"/>
    <mergeCell ref="H5:H6"/>
    <mergeCell ref="I5:I6"/>
    <mergeCell ref="H4:I4"/>
    <mergeCell ref="E5:G5"/>
    <mergeCell ref="O4:P4"/>
    <mergeCell ref="O5:O6"/>
    <mergeCell ref="P5:P6"/>
    <mergeCell ref="J4:J6"/>
    <mergeCell ref="K4:K6"/>
    <mergeCell ref="L4:L6"/>
    <mergeCell ref="M4:M6"/>
    <mergeCell ref="N4:N6"/>
  </mergeCells>
  <phoneticPr fontId="4" type="noConversion"/>
  <printOptions horizontalCentered="1"/>
  <pageMargins left="0.9" right="0.15" top="0.3" bottom="0.25" header="0.5" footer="0.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L76"/>
  <sheetViews>
    <sheetView showZeros="0" topLeftCell="B3" zoomScale="70" zoomScaleNormal="70" workbookViewId="0">
      <pane xSplit="5910" ySplit="2595" topLeftCell="T1" activePane="bottomRight"/>
      <selection activeCell="D7" sqref="D7"/>
      <selection pane="topRight" activeCell="BM6" sqref="BM6"/>
      <selection pane="bottomLeft" activeCell="D32" sqref="D32"/>
      <selection pane="bottomRight" activeCell="BK9" sqref="BK9"/>
    </sheetView>
  </sheetViews>
  <sheetFormatPr defaultColWidth="9.140625" defaultRowHeight="15"/>
  <cols>
    <col min="1" max="1" width="6.42578125" style="194" customWidth="1"/>
    <col min="2" max="2" width="40" style="194" customWidth="1"/>
    <col min="3" max="3" width="8.7109375" style="194" customWidth="1"/>
    <col min="4" max="4" width="14.28515625" style="194" customWidth="1"/>
    <col min="5" max="5" width="12.42578125" style="194" customWidth="1"/>
    <col min="6" max="6" width="11.140625" style="194" customWidth="1"/>
    <col min="7" max="8" width="11.140625" style="199" customWidth="1"/>
    <col min="9" max="9" width="8.140625" style="194" customWidth="1"/>
    <col min="10" max="10" width="9.28515625" style="194" customWidth="1"/>
    <col min="11" max="11" width="9" style="194" customWidth="1"/>
    <col min="12" max="12" width="9.28515625" style="194" customWidth="1"/>
    <col min="13" max="13" width="10.28515625" style="194" customWidth="1"/>
    <col min="14" max="15" width="9.7109375" style="194" customWidth="1"/>
    <col min="16" max="16" width="8" style="194" customWidth="1"/>
    <col min="17" max="17" width="10.140625" style="194" customWidth="1"/>
    <col min="18" max="18" width="8.140625" style="194" customWidth="1"/>
    <col min="19" max="19" width="8.28515625" style="194" customWidth="1"/>
    <col min="20" max="21" width="8" style="194" customWidth="1"/>
    <col min="22" max="22" width="9.42578125" style="194" customWidth="1"/>
    <col min="23" max="23" width="8.140625" style="194" customWidth="1"/>
    <col min="24" max="24" width="10" style="194" customWidth="1"/>
    <col min="25" max="25" width="8.28515625" style="194" customWidth="1"/>
    <col min="26" max="26" width="8.7109375" style="194" customWidth="1"/>
    <col min="27" max="37" width="8.7109375" style="199" customWidth="1"/>
    <col min="38" max="38" width="7.7109375" style="194" customWidth="1"/>
    <col min="39" max="39" width="7.140625" style="194" customWidth="1"/>
    <col min="40" max="40" width="8.28515625" style="194" customWidth="1"/>
    <col min="41" max="41" width="8.7109375" style="194" customWidth="1"/>
    <col min="42" max="42" width="8.5703125" style="194" customWidth="1"/>
    <col min="43" max="43" width="10.85546875" style="194" customWidth="1"/>
    <col min="44" max="44" width="8.5703125" style="194" customWidth="1"/>
    <col min="45" max="54" width="9.85546875" style="194" customWidth="1"/>
    <col min="55" max="55" width="10.42578125" style="194" customWidth="1"/>
    <col min="56" max="56" width="9.7109375" style="103" customWidth="1"/>
    <col min="57" max="57" width="9.28515625" style="194" customWidth="1"/>
    <col min="58" max="58" width="13" style="194" customWidth="1"/>
    <col min="59" max="59" width="13.42578125" style="194" customWidth="1"/>
    <col min="60" max="60" width="14.7109375" style="221" hidden="1" customWidth="1"/>
    <col min="61" max="61" width="8.28515625" style="240" hidden="1" customWidth="1"/>
    <col min="62" max="62" width="13.85546875" style="240" hidden="1" customWidth="1"/>
    <col min="63" max="63" width="15" style="240" customWidth="1"/>
    <col min="64" max="16384" width="9.140625" style="194"/>
  </cols>
  <sheetData>
    <row r="1" spans="1:64" ht="19.5" customHeight="1">
      <c r="A1" s="1281" t="s">
        <v>500</v>
      </c>
      <c r="B1" s="1281"/>
    </row>
    <row r="2" spans="1:64" ht="31.5" customHeight="1">
      <c r="A2" s="1282" t="s">
        <v>499</v>
      </c>
      <c r="B2" s="1282"/>
      <c r="C2" s="1282"/>
      <c r="D2" s="1282"/>
      <c r="E2" s="1282"/>
      <c r="F2" s="1282"/>
      <c r="G2" s="1282"/>
      <c r="H2" s="1282"/>
      <c r="I2" s="1282"/>
      <c r="J2" s="1282"/>
      <c r="K2" s="1282"/>
      <c r="L2" s="1282"/>
      <c r="M2" s="1282"/>
      <c r="N2" s="1282"/>
      <c r="O2" s="1282"/>
      <c r="P2" s="1282"/>
      <c r="Q2" s="1282"/>
      <c r="R2" s="1282"/>
      <c r="S2" s="1282"/>
      <c r="T2" s="1282"/>
      <c r="U2" s="1282"/>
      <c r="V2" s="1282"/>
      <c r="W2" s="1282"/>
      <c r="X2" s="1282"/>
      <c r="Y2" s="1282"/>
      <c r="Z2" s="1282"/>
      <c r="AA2" s="1282"/>
      <c r="AB2" s="1282"/>
      <c r="AC2" s="1282"/>
      <c r="AD2" s="1282"/>
      <c r="AE2" s="1282"/>
      <c r="AF2" s="1282"/>
      <c r="AG2" s="1282"/>
      <c r="AH2" s="1282"/>
      <c r="AI2" s="1282"/>
      <c r="AJ2" s="1282"/>
      <c r="AK2" s="1282"/>
      <c r="AL2" s="1282"/>
      <c r="AM2" s="1282"/>
      <c r="AN2" s="1282"/>
      <c r="AO2" s="1282"/>
      <c r="AP2" s="1282"/>
      <c r="AQ2" s="1282"/>
      <c r="AR2" s="1282"/>
      <c r="AS2" s="1282"/>
      <c r="AT2" s="1282"/>
      <c r="AU2" s="1282"/>
      <c r="AV2" s="1282"/>
      <c r="AW2" s="1282"/>
      <c r="AX2" s="1282"/>
      <c r="AY2" s="1282"/>
      <c r="AZ2" s="1282"/>
      <c r="BA2" s="1282"/>
      <c r="BB2" s="1282"/>
      <c r="BC2" s="1282"/>
      <c r="BD2" s="1282"/>
      <c r="BE2" s="1282"/>
      <c r="BF2" s="1282"/>
      <c r="BG2" s="1282"/>
    </row>
    <row r="3" spans="1:64" ht="27" customHeight="1">
      <c r="D3" s="194">
        <v>31419.99</v>
      </c>
      <c r="H3" s="177"/>
      <c r="BF3" s="1278" t="s">
        <v>507</v>
      </c>
      <c r="BG3" s="1278"/>
    </row>
    <row r="4" spans="1:64" ht="31.5" customHeight="1">
      <c r="A4" s="1280" t="s">
        <v>136</v>
      </c>
      <c r="B4" s="1280" t="s">
        <v>469</v>
      </c>
      <c r="C4" s="1280" t="s">
        <v>13</v>
      </c>
      <c r="D4" s="1280" t="s">
        <v>503</v>
      </c>
      <c r="E4" s="1280" t="s">
        <v>506</v>
      </c>
      <c r="F4" s="1280"/>
      <c r="G4" s="1280"/>
      <c r="H4" s="1280"/>
      <c r="I4" s="1280"/>
      <c r="J4" s="1280"/>
      <c r="K4" s="1280"/>
      <c r="L4" s="1280"/>
      <c r="M4" s="1280"/>
      <c r="N4" s="1280"/>
      <c r="O4" s="1280"/>
      <c r="P4" s="1280"/>
      <c r="Q4" s="1280"/>
      <c r="R4" s="1280"/>
      <c r="S4" s="1280"/>
      <c r="T4" s="1280"/>
      <c r="U4" s="1280"/>
      <c r="V4" s="1280"/>
      <c r="W4" s="1280"/>
      <c r="X4" s="1280"/>
      <c r="Y4" s="1280"/>
      <c r="Z4" s="1280"/>
      <c r="AA4" s="1280"/>
      <c r="AB4" s="1280"/>
      <c r="AC4" s="1280"/>
      <c r="AD4" s="1280"/>
      <c r="AE4" s="1280"/>
      <c r="AF4" s="1280"/>
      <c r="AG4" s="1280"/>
      <c r="AH4" s="1280"/>
      <c r="AI4" s="1280"/>
      <c r="AJ4" s="1280"/>
      <c r="AK4" s="1280"/>
      <c r="AL4" s="1280"/>
      <c r="AM4" s="1280"/>
      <c r="AN4" s="1280"/>
      <c r="AO4" s="1280"/>
      <c r="AP4" s="1280"/>
      <c r="AQ4" s="1280"/>
      <c r="AR4" s="1280"/>
      <c r="AS4" s="1280"/>
      <c r="AT4" s="1280"/>
      <c r="AU4" s="1280"/>
      <c r="AV4" s="1280"/>
      <c r="AW4" s="1280"/>
      <c r="AX4" s="1280"/>
      <c r="AY4" s="1280"/>
      <c r="AZ4" s="1280"/>
      <c r="BA4" s="1280"/>
      <c r="BB4" s="1280"/>
      <c r="BC4" s="1280"/>
      <c r="BD4" s="1283" t="s">
        <v>504</v>
      </c>
      <c r="BE4" s="1280" t="s">
        <v>191</v>
      </c>
      <c r="BF4" s="1280" t="s">
        <v>505</v>
      </c>
      <c r="BG4" s="1280" t="s">
        <v>323</v>
      </c>
      <c r="BJ4" s="240">
        <f>BD10+BD11</f>
        <v>0</v>
      </c>
    </row>
    <row r="5" spans="1:64" ht="33" customHeight="1">
      <c r="A5" s="1280"/>
      <c r="B5" s="1280"/>
      <c r="C5" s="1280"/>
      <c r="D5" s="1280"/>
      <c r="E5" s="195" t="s">
        <v>15</v>
      </c>
      <c r="F5" s="195" t="s">
        <v>18</v>
      </c>
      <c r="G5" s="200" t="s">
        <v>20</v>
      </c>
      <c r="H5" s="200" t="s">
        <v>195</v>
      </c>
      <c r="I5" s="195" t="s">
        <v>23</v>
      </c>
      <c r="J5" s="195" t="s">
        <v>26</v>
      </c>
      <c r="K5" s="195" t="s">
        <v>29</v>
      </c>
      <c r="L5" s="195" t="s">
        <v>32</v>
      </c>
      <c r="M5" s="195" t="s">
        <v>35</v>
      </c>
      <c r="N5" s="195" t="s">
        <v>38</v>
      </c>
      <c r="O5" s="195" t="s">
        <v>41</v>
      </c>
      <c r="P5" s="195" t="s">
        <v>44</v>
      </c>
      <c r="Q5" s="195" t="s">
        <v>46</v>
      </c>
      <c r="R5" s="195" t="s">
        <v>49</v>
      </c>
      <c r="S5" s="195" t="s">
        <v>52</v>
      </c>
      <c r="T5" s="195" t="s">
        <v>55</v>
      </c>
      <c r="U5" s="195" t="s">
        <v>58</v>
      </c>
      <c r="V5" s="195" t="s">
        <v>61</v>
      </c>
      <c r="W5" s="195" t="s">
        <v>64</v>
      </c>
      <c r="X5" s="195" t="s">
        <v>67</v>
      </c>
      <c r="Y5" s="195" t="s">
        <v>70</v>
      </c>
      <c r="Z5" s="195" t="s">
        <v>72</v>
      </c>
      <c r="AA5" s="200" t="s">
        <v>202</v>
      </c>
      <c r="AB5" s="200" t="s">
        <v>203</v>
      </c>
      <c r="AC5" s="200" t="s">
        <v>204</v>
      </c>
      <c r="AD5" s="200" t="s">
        <v>205</v>
      </c>
      <c r="AE5" s="200" t="s">
        <v>206</v>
      </c>
      <c r="AF5" s="200" t="s">
        <v>207</v>
      </c>
      <c r="AG5" s="200" t="s">
        <v>199</v>
      </c>
      <c r="AH5" s="200" t="s">
        <v>200</v>
      </c>
      <c r="AI5" s="200" t="s">
        <v>223</v>
      </c>
      <c r="AJ5" s="200" t="s">
        <v>201</v>
      </c>
      <c r="AK5" s="200" t="s">
        <v>208</v>
      </c>
      <c r="AL5" s="195" t="s">
        <v>75</v>
      </c>
      <c r="AM5" s="195" t="s">
        <v>78</v>
      </c>
      <c r="AN5" s="195" t="s">
        <v>81</v>
      </c>
      <c r="AO5" s="195" t="s">
        <v>84</v>
      </c>
      <c r="AP5" s="195" t="s">
        <v>87</v>
      </c>
      <c r="AQ5" s="195" t="s">
        <v>90</v>
      </c>
      <c r="AR5" s="195" t="s">
        <v>93</v>
      </c>
      <c r="AS5" s="195" t="s">
        <v>96</v>
      </c>
      <c r="AT5" s="195" t="s">
        <v>99</v>
      </c>
      <c r="AU5" s="195" t="s">
        <v>101</v>
      </c>
      <c r="AV5" s="195" t="s">
        <v>104</v>
      </c>
      <c r="AW5" s="195" t="s">
        <v>107</v>
      </c>
      <c r="AX5" s="195" t="s">
        <v>110</v>
      </c>
      <c r="AY5" s="195" t="s">
        <v>113</v>
      </c>
      <c r="AZ5" s="195" t="s">
        <v>116</v>
      </c>
      <c r="BA5" s="195" t="s">
        <v>119</v>
      </c>
      <c r="BB5" s="195" t="s">
        <v>122</v>
      </c>
      <c r="BC5" s="195" t="s">
        <v>124</v>
      </c>
      <c r="BD5" s="1283"/>
      <c r="BE5" s="1280"/>
      <c r="BF5" s="1280"/>
      <c r="BG5" s="1280"/>
      <c r="BH5" s="285">
        <f>D7+D59-BD7</f>
        <v>30177.89</v>
      </c>
      <c r="BI5" s="286">
        <f>BH5-BG7</f>
        <v>-6.9600000000027649</v>
      </c>
      <c r="BJ5" s="286">
        <f>D7+BF7</f>
        <v>30177.89</v>
      </c>
    </row>
    <row r="6" spans="1:64" ht="30.75" customHeight="1">
      <c r="A6" s="198">
        <v>1</v>
      </c>
      <c r="B6" s="198">
        <v>2</v>
      </c>
      <c r="C6" s="198">
        <v>3</v>
      </c>
      <c r="D6" s="198">
        <v>4</v>
      </c>
      <c r="E6" s="198">
        <v>5</v>
      </c>
      <c r="F6" s="198">
        <v>6</v>
      </c>
      <c r="G6" s="202"/>
      <c r="H6" s="202"/>
      <c r="I6" s="198">
        <v>7</v>
      </c>
      <c r="J6" s="198">
        <v>8</v>
      </c>
      <c r="K6" s="198">
        <v>9</v>
      </c>
      <c r="L6" s="198">
        <v>10</v>
      </c>
      <c r="M6" s="198">
        <v>11</v>
      </c>
      <c r="N6" s="198">
        <v>12</v>
      </c>
      <c r="O6" s="198"/>
      <c r="P6" s="198">
        <v>13</v>
      </c>
      <c r="Q6" s="198">
        <v>14</v>
      </c>
      <c r="R6" s="198">
        <v>15</v>
      </c>
      <c r="S6" s="198">
        <v>16</v>
      </c>
      <c r="T6" s="198">
        <v>17</v>
      </c>
      <c r="U6" s="198"/>
      <c r="V6" s="198">
        <v>18</v>
      </c>
      <c r="W6" s="198">
        <v>19</v>
      </c>
      <c r="X6" s="198">
        <v>20</v>
      </c>
      <c r="Y6" s="198">
        <v>21</v>
      </c>
      <c r="Z6" s="198">
        <v>22</v>
      </c>
      <c r="AA6" s="202">
        <v>22</v>
      </c>
      <c r="AB6" s="202">
        <v>22</v>
      </c>
      <c r="AC6" s="202">
        <v>22</v>
      </c>
      <c r="AD6" s="202">
        <v>22</v>
      </c>
      <c r="AE6" s="202">
        <v>22</v>
      </c>
      <c r="AF6" s="202">
        <v>22</v>
      </c>
      <c r="AG6" s="202">
        <v>22</v>
      </c>
      <c r="AH6" s="202">
        <v>22</v>
      </c>
      <c r="AI6" s="202">
        <v>22</v>
      </c>
      <c r="AJ6" s="202">
        <v>22</v>
      </c>
      <c r="AK6" s="202">
        <v>22</v>
      </c>
      <c r="AL6" s="198">
        <v>23</v>
      </c>
      <c r="AM6" s="198">
        <v>24</v>
      </c>
      <c r="AN6" s="198">
        <v>25</v>
      </c>
      <c r="AO6" s="198">
        <v>26</v>
      </c>
      <c r="AP6" s="198">
        <v>27</v>
      </c>
      <c r="AQ6" s="198">
        <v>28</v>
      </c>
      <c r="AR6" s="198">
        <v>29</v>
      </c>
      <c r="AS6" s="198">
        <v>30</v>
      </c>
      <c r="AT6" s="198"/>
      <c r="AU6" s="198"/>
      <c r="AV6" s="198"/>
      <c r="AW6" s="198"/>
      <c r="AX6" s="198"/>
      <c r="AY6" s="198"/>
      <c r="AZ6" s="198"/>
      <c r="BA6" s="198"/>
      <c r="BB6" s="198"/>
      <c r="BC6" s="198">
        <v>31</v>
      </c>
      <c r="BD6" s="282">
        <v>32</v>
      </c>
      <c r="BE6" s="198">
        <v>33</v>
      </c>
      <c r="BF6" s="198">
        <v>34</v>
      </c>
      <c r="BG6" s="198">
        <v>35</v>
      </c>
      <c r="BH6" s="227" t="s">
        <v>511</v>
      </c>
      <c r="BI6" s="241"/>
      <c r="BJ6" s="242" t="s">
        <v>510</v>
      </c>
    </row>
    <row r="7" spans="1:64" s="67" customFormat="1" ht="38.25" customHeight="1">
      <c r="A7" s="85"/>
      <c r="B7" s="85" t="s">
        <v>502</v>
      </c>
      <c r="C7" s="85"/>
      <c r="D7" s="235">
        <f>D8+D20+D58</f>
        <v>31419.989999999998</v>
      </c>
      <c r="E7" s="85">
        <f t="shared" ref="E7:BC7" si="0">E8+E20+E58</f>
        <v>17625.449999999997</v>
      </c>
      <c r="F7" s="85">
        <f>F8+F20+F58</f>
        <v>5110.8200000000006</v>
      </c>
      <c r="G7" s="85">
        <f t="shared" ref="G7:H7" si="1">G8+G20+G58</f>
        <v>4926.09</v>
      </c>
      <c r="H7" s="85">
        <f t="shared" si="1"/>
        <v>184.73</v>
      </c>
      <c r="I7" s="85">
        <f t="shared" si="0"/>
        <v>287.71999999999997</v>
      </c>
      <c r="J7" s="85">
        <f t="shared" si="0"/>
        <v>860.03000000000009</v>
      </c>
      <c r="K7" s="85">
        <f t="shared" si="0"/>
        <v>1187.3100000000002</v>
      </c>
      <c r="L7" s="85">
        <f t="shared" si="0"/>
        <v>23</v>
      </c>
      <c r="M7" s="85">
        <f t="shared" si="0"/>
        <v>1901.23</v>
      </c>
      <c r="N7" s="85">
        <f>N8+N20+N58</f>
        <v>8229.7199999999993</v>
      </c>
      <c r="O7" s="85">
        <f>O8+O20+O58</f>
        <v>0</v>
      </c>
      <c r="P7" s="85">
        <f t="shared" si="0"/>
        <v>32.58</v>
      </c>
      <c r="Q7" s="85">
        <f>Q8+Q20+Q58</f>
        <v>7518.6400000000012</v>
      </c>
      <c r="R7" s="85">
        <f t="shared" si="0"/>
        <v>127.64999999999999</v>
      </c>
      <c r="S7" s="85">
        <f t="shared" si="0"/>
        <v>1.03</v>
      </c>
      <c r="T7" s="85">
        <f t="shared" si="0"/>
        <v>10.370000000000033</v>
      </c>
      <c r="U7" s="85">
        <f t="shared" si="0"/>
        <v>0</v>
      </c>
      <c r="V7" s="85">
        <f t="shared" si="0"/>
        <v>0</v>
      </c>
      <c r="W7" s="85">
        <f t="shared" si="0"/>
        <v>9.52</v>
      </c>
      <c r="X7" s="85">
        <f t="shared" si="0"/>
        <v>357.04000000000008</v>
      </c>
      <c r="Y7" s="85">
        <f t="shared" si="0"/>
        <v>0</v>
      </c>
      <c r="Z7" s="85">
        <f>Z8+Z20+Z58</f>
        <v>1399.64</v>
      </c>
      <c r="AA7" s="85">
        <f t="shared" si="0"/>
        <v>1.3100000000000005</v>
      </c>
      <c r="AB7" s="85">
        <f t="shared" si="0"/>
        <v>13.19</v>
      </c>
      <c r="AC7" s="85">
        <f t="shared" si="0"/>
        <v>132.43</v>
      </c>
      <c r="AD7" s="85">
        <f t="shared" si="0"/>
        <v>10.71</v>
      </c>
      <c r="AE7" s="85">
        <f t="shared" si="0"/>
        <v>0</v>
      </c>
      <c r="AF7" s="85">
        <f t="shared" si="0"/>
        <v>0</v>
      </c>
      <c r="AG7" s="85">
        <f t="shared" si="0"/>
        <v>696.25999999999988</v>
      </c>
      <c r="AH7" s="85">
        <f t="shared" si="0"/>
        <v>533.79</v>
      </c>
      <c r="AI7" s="85">
        <f t="shared" si="0"/>
        <v>1.67</v>
      </c>
      <c r="AJ7" s="85">
        <f t="shared" si="0"/>
        <v>0.48000000000000004</v>
      </c>
      <c r="AK7" s="85">
        <f t="shared" si="0"/>
        <v>7.56</v>
      </c>
      <c r="AL7" s="85">
        <f t="shared" si="0"/>
        <v>7.59</v>
      </c>
      <c r="AM7" s="85">
        <f t="shared" si="0"/>
        <v>0</v>
      </c>
      <c r="AN7" s="85">
        <f t="shared" si="0"/>
        <v>4.5199999999999996</v>
      </c>
      <c r="AO7" s="85">
        <f t="shared" si="0"/>
        <v>505.85</v>
      </c>
      <c r="AP7" s="85">
        <f t="shared" si="0"/>
        <v>593.61</v>
      </c>
      <c r="AQ7" s="85">
        <f t="shared" si="0"/>
        <v>9.3500000000000014</v>
      </c>
      <c r="AR7" s="85">
        <f t="shared" si="0"/>
        <v>3.5</v>
      </c>
      <c r="AS7" s="85">
        <f t="shared" si="0"/>
        <v>0</v>
      </c>
      <c r="AT7" s="85">
        <f t="shared" si="0"/>
        <v>12.33</v>
      </c>
      <c r="AU7" s="85">
        <f t="shared" si="0"/>
        <v>124.68</v>
      </c>
      <c r="AV7" s="85">
        <f t="shared" si="0"/>
        <v>103.94</v>
      </c>
      <c r="AW7" s="85">
        <f t="shared" si="0"/>
        <v>9.91</v>
      </c>
      <c r="AX7" s="85">
        <f t="shared" si="0"/>
        <v>2.96</v>
      </c>
      <c r="AY7" s="85">
        <f t="shared" si="0"/>
        <v>6.8999999999999995</v>
      </c>
      <c r="AZ7" s="85">
        <f t="shared" si="0"/>
        <v>4075.2300000000005</v>
      </c>
      <c r="BA7" s="85">
        <f t="shared" si="0"/>
        <v>153.0200000000001</v>
      </c>
      <c r="BB7" s="85">
        <f t="shared" si="0"/>
        <v>0</v>
      </c>
      <c r="BC7" s="85">
        <f t="shared" si="0"/>
        <v>777.69</v>
      </c>
      <c r="BD7" s="3">
        <f>BD8+BD20+BD58</f>
        <v>5498.2099999999991</v>
      </c>
      <c r="BE7" s="85"/>
      <c r="BF7" s="85">
        <f>BF8+BF20+BF58</f>
        <v>-1242.0999999999985</v>
      </c>
      <c r="BG7" s="85">
        <f>BG8+BG20+BG58</f>
        <v>30184.850000000002</v>
      </c>
      <c r="BH7" s="222">
        <f>'BIEN DONG'!AT7</f>
        <v>30184.850000000002</v>
      </c>
      <c r="BI7" s="243">
        <f>BG7-BH7</f>
        <v>0</v>
      </c>
      <c r="BJ7" s="243">
        <f>'TONG TP'!D7</f>
        <v>51953.306899999996</v>
      </c>
      <c r="BK7" s="244">
        <f>BG7-D7</f>
        <v>-1235.1399999999958</v>
      </c>
    </row>
    <row r="8" spans="1:64" s="67" customFormat="1" ht="23.25" customHeight="1">
      <c r="A8" s="86">
        <v>1</v>
      </c>
      <c r="B8" s="87" t="s">
        <v>14</v>
      </c>
      <c r="C8" s="86" t="s">
        <v>15</v>
      </c>
      <c r="D8" s="219">
        <f>D9+D12+D13+D14+D15+D16+D17+D18+D19</f>
        <v>19116.87</v>
      </c>
      <c r="E8" s="216">
        <f>D8-BE8</f>
        <v>17365.649999999998</v>
      </c>
      <c r="F8" s="86">
        <f>F9+F12+F13+F14+F15+F16+F17+F18+F19</f>
        <v>5087.3600000000006</v>
      </c>
      <c r="G8" s="86">
        <f t="shared" ref="G8:P8" si="2">G9+G12+G13+G14+G15+G16+G17+G18+G19</f>
        <v>4903.1900000000005</v>
      </c>
      <c r="H8" s="86">
        <f t="shared" si="2"/>
        <v>184.17</v>
      </c>
      <c r="I8" s="86">
        <f t="shared" si="2"/>
        <v>280.52</v>
      </c>
      <c r="J8" s="86">
        <f t="shared" si="2"/>
        <v>858.04000000000008</v>
      </c>
      <c r="K8" s="86">
        <f t="shared" si="2"/>
        <v>1187.3100000000002</v>
      </c>
      <c r="L8" s="86">
        <f t="shared" si="2"/>
        <v>23</v>
      </c>
      <c r="M8" s="86">
        <f t="shared" si="2"/>
        <v>1873.4</v>
      </c>
      <c r="N8" s="86">
        <f t="shared" si="2"/>
        <v>8035.24</v>
      </c>
      <c r="O8" s="86">
        <f t="shared" si="2"/>
        <v>0</v>
      </c>
      <c r="P8" s="86">
        <f t="shared" si="2"/>
        <v>27.740000000000002</v>
      </c>
      <c r="Q8" s="86">
        <f>Q9+Q12+Q13+Q14+Q15+Q16+Q17+Q18+Q19</f>
        <v>190.77000000000004</v>
      </c>
      <c r="R8" s="86">
        <f t="shared" ref="R8" si="3">R9+R12+R13+R14+R15+R16+R17+R18+R19</f>
        <v>0</v>
      </c>
      <c r="S8" s="86">
        <f t="shared" ref="S8" si="4">S9+S12+S13+S14+S15+S16+S17+S18+S19</f>
        <v>0</v>
      </c>
      <c r="T8" s="86">
        <f t="shared" ref="T8" si="5">T9+T12+T13+T14+T15+T16+T17+T18+T19</f>
        <v>0</v>
      </c>
      <c r="U8" s="86">
        <f t="shared" ref="U8" si="6">U9+U12+U13+U14+U15+U16+U17+U18+U19</f>
        <v>0</v>
      </c>
      <c r="V8" s="86">
        <f t="shared" ref="V8" si="7">V9+V12+V13+V14+V15+V16+V17+V18+V19</f>
        <v>0</v>
      </c>
      <c r="W8" s="86">
        <f t="shared" ref="W8" si="8">W9+W12+W13+W14+W15+W16+W17+W18+W19</f>
        <v>1</v>
      </c>
      <c r="X8" s="86">
        <f t="shared" ref="X8" si="9">X9+X12+X13+X14+X15+X16+X17+X18+X19</f>
        <v>28.189999999999998</v>
      </c>
      <c r="Y8" s="86">
        <f t="shared" ref="Y8" si="10">Y9+Y12+Y13+Y14+Y15+Y16+Y17+Y18+Y19</f>
        <v>0</v>
      </c>
      <c r="Z8" s="86">
        <f t="shared" ref="Z8" si="11">Z9+Z12+Z13+Z14+Z15+Z16+Z17+Z18+Z19</f>
        <v>112.83000000000001</v>
      </c>
      <c r="AA8" s="86">
        <f t="shared" ref="AA8" si="12">AA9+AA12+AA13+AA14+AA15+AA16+AA17+AA18+AA19</f>
        <v>0</v>
      </c>
      <c r="AB8" s="86">
        <f t="shared" ref="AB8" si="13">AB9+AB12+AB13+AB14+AB15+AB16+AB17+AB18+AB19</f>
        <v>1.91</v>
      </c>
      <c r="AC8" s="86">
        <f t="shared" ref="AC8" si="14">AC9+AC12+AC13+AC14+AC15+AC16+AC17+AC18+AC19</f>
        <v>17.18</v>
      </c>
      <c r="AD8" s="86">
        <f t="shared" ref="AD8" si="15">AD9+AD12+AD13+AD14+AD15+AD16+AD17+AD18+AD19</f>
        <v>0.83</v>
      </c>
      <c r="AE8" s="86">
        <f t="shared" ref="AE8" si="16">AE9+AE12+AE13+AE14+AE15+AE16+AE17+AE18+AE19</f>
        <v>0</v>
      </c>
      <c r="AF8" s="86">
        <f t="shared" ref="AF8" si="17">AF9+AF12+AF13+AF14+AF15+AF16+AF17+AF18+AF19</f>
        <v>0</v>
      </c>
      <c r="AG8" s="86">
        <f t="shared" ref="AG8" si="18">AG9+AG12+AG13+AG14+AG15+AG16+AG17+AG18+AG19</f>
        <v>73</v>
      </c>
      <c r="AH8" s="86">
        <f t="shared" ref="AH8" si="19">AH9+AH12+AH13+AH14+AH15+AH16+AH17+AH18+AH19</f>
        <v>19.86</v>
      </c>
      <c r="AI8" s="86">
        <f t="shared" ref="AI8" si="20">AI9+AI12+AI13+AI14+AI15+AI16+AI17+AI18+AI19</f>
        <v>0.02</v>
      </c>
      <c r="AJ8" s="86">
        <f t="shared" ref="AJ8" si="21">AJ9+AJ12+AJ13+AJ14+AJ15+AJ16+AJ17+AJ18+AJ19</f>
        <v>0.02</v>
      </c>
      <c r="AK8" s="86">
        <f t="shared" ref="AK8" si="22">AK9+AK12+AK13+AK14+AK15+AK16+AK17+AK18+AK19</f>
        <v>0.01</v>
      </c>
      <c r="AL8" s="86">
        <f t="shared" ref="AL8" si="23">AL9+AL12+AL13+AL14+AL15+AL16+AL17+AL18+AL19</f>
        <v>0</v>
      </c>
      <c r="AM8" s="86">
        <f t="shared" ref="AM8" si="24">AM9+AM12+AM13+AM14+AM15+AM16+AM17+AM18+AM19</f>
        <v>0</v>
      </c>
      <c r="AN8" s="86">
        <f t="shared" ref="AN8" si="25">AN9+AN12+AN13+AN14+AN15+AN16+AN17+AN18+AN19</f>
        <v>0</v>
      </c>
      <c r="AO8" s="86">
        <f t="shared" ref="AO8" si="26">AO9+AO12+AO13+AO14+AO15+AO16+AO17+AO18+AO19</f>
        <v>12.19</v>
      </c>
      <c r="AP8" s="86">
        <f t="shared" ref="AP8" si="27">AP9+AP12+AP13+AP14+AP15+AP16+AP17+AP18+AP19</f>
        <v>21.09</v>
      </c>
      <c r="AQ8" s="86">
        <f t="shared" ref="AQ8" si="28">AQ9+AQ12+AQ13+AQ14+AQ15+AQ16+AQ17+AQ18+AQ19</f>
        <v>0.47</v>
      </c>
      <c r="AR8" s="86">
        <f t="shared" ref="AR8" si="29">AR9+AR12+AR13+AR14+AR15+AR16+AR17+AR18+AR19</f>
        <v>0</v>
      </c>
      <c r="AS8" s="86">
        <f t="shared" ref="AS8" si="30">AS9+AS12+AS13+AS14+AS15+AS16+AS17+AS18+AS19</f>
        <v>0</v>
      </c>
      <c r="AT8" s="86">
        <f t="shared" ref="AT8" si="31">AT9+AT12+AT13+AT14+AT15+AT16+AT17+AT18+AT19</f>
        <v>1.28</v>
      </c>
      <c r="AU8" s="86">
        <f t="shared" ref="AU8" si="32">AU9+AU12+AU13+AU14+AU15+AU16+AU17+AU18+AU19</f>
        <v>3.6199999999999997</v>
      </c>
      <c r="AV8" s="86">
        <f t="shared" ref="AV8" si="33">AV9+AV12+AV13+AV14+AV15+AV16+AV17+AV18+AV19</f>
        <v>5.34</v>
      </c>
      <c r="AW8" s="86">
        <f t="shared" ref="AW8" si="34">AW9+AW12+AW13+AW14+AW15+AW16+AW17+AW18+AW19</f>
        <v>2.9999999999999996</v>
      </c>
      <c r="AX8" s="86">
        <f t="shared" ref="AX8" si="35">AX9+AX12+AX13+AX14+AX15+AX16+AX17+AX18+AX19</f>
        <v>1.7600000000000002</v>
      </c>
      <c r="AY8" s="86">
        <f t="shared" ref="AY8" si="36">AY9+AY12+AY13+AY14+AY15+AY16+AY17+AY18+AY19</f>
        <v>0</v>
      </c>
      <c r="AZ8" s="86">
        <f t="shared" ref="AZ8" si="37">AZ9+AZ12+AZ13+AZ14+AZ15+AZ16+AZ17+AZ18+AZ19</f>
        <v>0</v>
      </c>
      <c r="BA8" s="86">
        <f t="shared" ref="BA8" si="38">BA9+BA12+BA13+BA14+BA15+BA16+BA17+BA18+BA19</f>
        <v>0</v>
      </c>
      <c r="BB8" s="86">
        <f t="shared" ref="BB8" si="39">BB9+BB12+BB13+BB14+BB15+BB16+BB17+BB18+BB19</f>
        <v>0</v>
      </c>
      <c r="BC8" s="86">
        <f>BC9+BC12+BC13+BC14+BC15+BC16+BC17+BC18+BC19</f>
        <v>122.47999999999999</v>
      </c>
      <c r="BD8" s="108">
        <f>SUM(BD9:BD19)</f>
        <v>1437.9699999999998</v>
      </c>
      <c r="BE8" s="86">
        <f>Q8+BC8+BD8</f>
        <v>1751.2199999999998</v>
      </c>
      <c r="BF8" s="86">
        <f>E60-BE8</f>
        <v>628.31000000000085</v>
      </c>
      <c r="BG8" s="86">
        <f>BG9+BG12+BG13+BG14+BG15+BG16+BG17+BG18+BG19</f>
        <v>19752.140000000003</v>
      </c>
      <c r="BH8" s="222">
        <f>'BIEN DONG'!AT8</f>
        <v>19752.140000000003</v>
      </c>
      <c r="BI8" s="243">
        <f t="shared" ref="BI8:BI9" si="40">BG8-BH8</f>
        <v>0</v>
      </c>
      <c r="BJ8" s="243">
        <f>'TONG TP'!D8</f>
        <v>38448.142589999996</v>
      </c>
      <c r="BK8" s="244">
        <f t="shared" ref="BK8:BK58" si="41">BG8-D8</f>
        <v>635.27000000000407</v>
      </c>
    </row>
    <row r="9" spans="1:64" s="2" customFormat="1" ht="23.25" customHeight="1">
      <c r="A9" s="5" t="s">
        <v>16</v>
      </c>
      <c r="B9" s="72" t="s">
        <v>17</v>
      </c>
      <c r="C9" s="5" t="s">
        <v>18</v>
      </c>
      <c r="D9" s="5">
        <v>5239.24</v>
      </c>
      <c r="E9" s="5">
        <f>F9+I9+J9+K9+L9+M9+N9+O9+P9</f>
        <v>5089.4000000000005</v>
      </c>
      <c r="F9" s="215">
        <f>D9-BE9</f>
        <v>5081.01</v>
      </c>
      <c r="G9" s="5">
        <f>G10+G11</f>
        <v>4903.1900000000005</v>
      </c>
      <c r="H9" s="5">
        <f t="shared" ref="H9:P9" si="42">H10+H11</f>
        <v>177.82</v>
      </c>
      <c r="I9" s="5">
        <f t="shared" si="42"/>
        <v>7.52</v>
      </c>
      <c r="J9" s="5">
        <f t="shared" si="42"/>
        <v>0</v>
      </c>
      <c r="K9" s="5">
        <f t="shared" si="42"/>
        <v>0</v>
      </c>
      <c r="L9" s="5">
        <f t="shared" si="42"/>
        <v>0</v>
      </c>
      <c r="M9" s="5">
        <f t="shared" si="42"/>
        <v>0</v>
      </c>
      <c r="N9" s="5">
        <f>N10+N11</f>
        <v>0.74</v>
      </c>
      <c r="O9" s="5">
        <f t="shared" si="42"/>
        <v>0</v>
      </c>
      <c r="P9" s="5">
        <f t="shared" si="42"/>
        <v>0.13</v>
      </c>
      <c r="Q9" s="5">
        <f>Q10+Q11</f>
        <v>93.750000000000014</v>
      </c>
      <c r="R9" s="5">
        <f t="shared" ref="R9:Y9" si="43">R10+R11</f>
        <v>0</v>
      </c>
      <c r="S9" s="5">
        <f t="shared" si="43"/>
        <v>0</v>
      </c>
      <c r="T9" s="5">
        <f t="shared" si="43"/>
        <v>0</v>
      </c>
      <c r="U9" s="5">
        <f t="shared" si="43"/>
        <v>0</v>
      </c>
      <c r="V9" s="5">
        <f t="shared" si="43"/>
        <v>0</v>
      </c>
      <c r="W9" s="5">
        <f t="shared" si="43"/>
        <v>1</v>
      </c>
      <c r="X9" s="5">
        <f t="shared" si="43"/>
        <v>2.54</v>
      </c>
      <c r="Y9" s="5">
        <f t="shared" si="43"/>
        <v>0</v>
      </c>
      <c r="Z9" s="5">
        <f>Z10+Z11</f>
        <v>57.71</v>
      </c>
      <c r="AA9" s="5">
        <f t="shared" ref="AA9:AK9" si="44">AA10+AA11</f>
        <v>0</v>
      </c>
      <c r="AB9" s="5">
        <f t="shared" si="44"/>
        <v>1.2</v>
      </c>
      <c r="AC9" s="5">
        <f t="shared" si="44"/>
        <v>12.5</v>
      </c>
      <c r="AD9" s="5">
        <f t="shared" si="44"/>
        <v>0.83</v>
      </c>
      <c r="AE9" s="5">
        <f t="shared" si="44"/>
        <v>0</v>
      </c>
      <c r="AF9" s="5">
        <f t="shared" si="44"/>
        <v>0</v>
      </c>
      <c r="AG9" s="5">
        <f t="shared" si="44"/>
        <v>31.359999999999996</v>
      </c>
      <c r="AH9" s="5">
        <f t="shared" si="44"/>
        <v>11.77</v>
      </c>
      <c r="AI9" s="5">
        <f t="shared" si="44"/>
        <v>0.02</v>
      </c>
      <c r="AJ9" s="5">
        <f t="shared" si="44"/>
        <v>0.02</v>
      </c>
      <c r="AK9" s="5">
        <f t="shared" si="44"/>
        <v>0.01</v>
      </c>
      <c r="AL9" s="5">
        <f t="shared" ref="AL9" si="45">AL10+AL11</f>
        <v>0</v>
      </c>
      <c r="AM9" s="5">
        <f t="shared" ref="AM9" si="46">AM10+AM11</f>
        <v>0</v>
      </c>
      <c r="AN9" s="5">
        <f t="shared" ref="AN9" si="47">AN10+AN11</f>
        <v>0</v>
      </c>
      <c r="AO9" s="5">
        <f t="shared" ref="AO9" si="48">AO10+AO11</f>
        <v>8.43</v>
      </c>
      <c r="AP9" s="5">
        <f t="shared" ref="AP9" si="49">AP10+AP11</f>
        <v>18.47</v>
      </c>
      <c r="AQ9" s="5">
        <f t="shared" ref="AQ9" si="50">AQ10+AQ11</f>
        <v>0.47</v>
      </c>
      <c r="AR9" s="5">
        <f t="shared" ref="AR9" si="51">AR10+AR11</f>
        <v>0</v>
      </c>
      <c r="AS9" s="5">
        <f t="shared" ref="AS9" si="52">AS10+AS11</f>
        <v>0</v>
      </c>
      <c r="AT9" s="5">
        <f t="shared" ref="AT9" si="53">AT10+AT11</f>
        <v>1.28</v>
      </c>
      <c r="AU9" s="5">
        <f t="shared" ref="AU9" si="54">AU10+AU11</f>
        <v>0.34</v>
      </c>
      <c r="AV9" s="5">
        <f t="shared" ref="AV9" si="55">AV10+AV11</f>
        <v>0</v>
      </c>
      <c r="AW9" s="5">
        <f t="shared" ref="AW9" si="56">AW10+AW11</f>
        <v>2.9299999999999997</v>
      </c>
      <c r="AX9" s="5">
        <f t="shared" ref="AX9" si="57">AX10+AX11</f>
        <v>0.57999999999999996</v>
      </c>
      <c r="AY9" s="5">
        <f t="shared" ref="AY9" si="58">AY10+AY11</f>
        <v>0</v>
      </c>
      <c r="AZ9" s="5">
        <f t="shared" ref="AZ9" si="59">AZ10+AZ11</f>
        <v>0</v>
      </c>
      <c r="BA9" s="5">
        <f t="shared" ref="BA9" si="60">BA10+BA11</f>
        <v>0</v>
      </c>
      <c r="BB9" s="5">
        <f t="shared" ref="BB9" si="61">BB10+BB11</f>
        <v>0</v>
      </c>
      <c r="BC9" s="5">
        <f t="shared" ref="BC9" si="62">BC10+BC11</f>
        <v>56.09</v>
      </c>
      <c r="BD9" s="121"/>
      <c r="BE9" s="5">
        <f>I9+J9+K9+L9+M9+P9+Q9+BC9+BD9+N9</f>
        <v>158.23000000000002</v>
      </c>
      <c r="BF9" s="5">
        <f>F60-BE9</f>
        <v>76.289999999999992</v>
      </c>
      <c r="BG9" s="5">
        <f>D9+BF9</f>
        <v>5315.53</v>
      </c>
      <c r="BH9" s="222">
        <f>'BIEN DONG'!AT9</f>
        <v>5315.53</v>
      </c>
      <c r="BI9" s="243">
        <f t="shared" si="40"/>
        <v>0</v>
      </c>
      <c r="BJ9" s="243">
        <f>'TONG TP'!D11</f>
        <v>3246.9302499999999</v>
      </c>
      <c r="BK9" s="244">
        <f t="shared" si="41"/>
        <v>76.289999999999964</v>
      </c>
      <c r="BL9" s="190"/>
    </row>
    <row r="10" spans="1:64" s="2" customFormat="1" ht="23.25" customHeight="1">
      <c r="A10" s="5"/>
      <c r="B10" s="72" t="s">
        <v>473</v>
      </c>
      <c r="C10" s="5" t="s">
        <v>20</v>
      </c>
      <c r="D10" s="5">
        <v>5061.42</v>
      </c>
      <c r="E10" s="5">
        <f t="shared" ref="E10:E58" si="63">F10+I10+J10+K10+L10+M10+N10+O10+P10</f>
        <v>4911.5800000000008</v>
      </c>
      <c r="F10" s="5">
        <f>G10+H10</f>
        <v>4903.1900000000005</v>
      </c>
      <c r="G10" s="215">
        <f>D10-BE10</f>
        <v>4903.1900000000005</v>
      </c>
      <c r="H10" s="220"/>
      <c r="I10" s="5">
        <v>7.52</v>
      </c>
      <c r="J10" s="5"/>
      <c r="K10" s="5"/>
      <c r="L10" s="5"/>
      <c r="M10" s="5"/>
      <c r="N10" s="5">
        <v>0.74</v>
      </c>
      <c r="O10" s="5"/>
      <c r="P10" s="5">
        <v>0.13</v>
      </c>
      <c r="Q10" s="5">
        <f>R10+S10+T10+U10+V10+W10+X10+Y10+Z10+AL10+AM10+AN10+AO10+AP10+AQ10+AR10+AS10+AT10+AU10+AV10+AW10+AX10+AY10+AZ10+BA10+BB10</f>
        <v>93.750000000000014</v>
      </c>
      <c r="R10" s="5"/>
      <c r="S10" s="5"/>
      <c r="T10" s="5"/>
      <c r="U10" s="5"/>
      <c r="V10" s="5"/>
      <c r="W10" s="5">
        <v>1</v>
      </c>
      <c r="X10" s="5">
        <v>2.54</v>
      </c>
      <c r="Y10" s="5"/>
      <c r="Z10" s="5">
        <f>SUM(AA10:AK10)</f>
        <v>57.71</v>
      </c>
      <c r="AA10" s="5"/>
      <c r="AB10" s="5">
        <v>1.2</v>
      </c>
      <c r="AC10" s="5">
        <v>12.5</v>
      </c>
      <c r="AD10" s="5">
        <v>0.83</v>
      </c>
      <c r="AE10" s="5"/>
      <c r="AF10" s="5"/>
      <c r="AG10" s="5">
        <f>31.88-1.89+1.31+0.06</f>
        <v>31.359999999999996</v>
      </c>
      <c r="AH10" s="5">
        <f>10.4+1.37</f>
        <v>11.77</v>
      </c>
      <c r="AI10" s="5">
        <v>0.02</v>
      </c>
      <c r="AJ10" s="5">
        <v>0.02</v>
      </c>
      <c r="AK10" s="5">
        <v>0.01</v>
      </c>
      <c r="AL10" s="5"/>
      <c r="AM10" s="5"/>
      <c r="AN10" s="5"/>
      <c r="AO10" s="5">
        <v>8.43</v>
      </c>
      <c r="AP10" s="5">
        <v>18.47</v>
      </c>
      <c r="AQ10" s="5">
        <v>0.47</v>
      </c>
      <c r="AR10" s="5"/>
      <c r="AS10" s="5"/>
      <c r="AT10" s="5">
        <v>1.28</v>
      </c>
      <c r="AU10" s="5">
        <v>0.34</v>
      </c>
      <c r="AV10" s="5"/>
      <c r="AW10" s="5">
        <f>1.04+1.89</f>
        <v>2.9299999999999997</v>
      </c>
      <c r="AX10" s="5">
        <v>0.57999999999999996</v>
      </c>
      <c r="AY10" s="5"/>
      <c r="AZ10" s="5"/>
      <c r="BA10" s="5"/>
      <c r="BB10" s="5"/>
      <c r="BC10" s="5">
        <v>56.09</v>
      </c>
      <c r="BD10" s="121"/>
      <c r="BE10" s="5">
        <f>H10+I10+J10+K10+L10+M10+N10+O10+P10+Q10+BC10+BD10</f>
        <v>158.23000000000002</v>
      </c>
      <c r="BF10" s="100">
        <f>G60-BE10</f>
        <v>-38.100000000000023</v>
      </c>
      <c r="BG10" s="100">
        <f>D10+BF10</f>
        <v>5023.32</v>
      </c>
      <c r="BH10" s="223">
        <v>5030.24</v>
      </c>
      <c r="BI10" s="244">
        <f>BH10-BG10</f>
        <v>6.9200000000000728</v>
      </c>
      <c r="BJ10" s="243">
        <f>'TONG TP'!D12</f>
        <v>1840.3679999999999</v>
      </c>
      <c r="BK10" s="244">
        <f t="shared" si="41"/>
        <v>-38.100000000000364</v>
      </c>
      <c r="BL10" s="190">
        <f>BI10</f>
        <v>6.9200000000000728</v>
      </c>
    </row>
    <row r="11" spans="1:64" s="2" customFormat="1" ht="23.25" customHeight="1">
      <c r="A11" s="5"/>
      <c r="B11" s="72" t="s">
        <v>512</v>
      </c>
      <c r="C11" s="5" t="s">
        <v>195</v>
      </c>
      <c r="D11" s="5">
        <v>177.82</v>
      </c>
      <c r="E11" s="5">
        <f t="shared" si="63"/>
        <v>177.82</v>
      </c>
      <c r="F11" s="5">
        <f t="shared" ref="F11:F19" si="64">G11+H11</f>
        <v>177.82</v>
      </c>
      <c r="G11" s="220"/>
      <c r="H11" s="215">
        <f>D11-BE11</f>
        <v>177.82</v>
      </c>
      <c r="I11" s="5"/>
      <c r="J11" s="5"/>
      <c r="K11" s="5"/>
      <c r="L11" s="5"/>
      <c r="M11" s="5"/>
      <c r="N11" s="5"/>
      <c r="O11" s="5"/>
      <c r="P11" s="5"/>
      <c r="Q11" s="5">
        <f t="shared" ref="Q11:Q19" si="65">R11+S11+T11+U11+V11+W11+X11+Y11+Z11+AL11+AM11+AN11+AO11+AP11+AQ11+AR11+AS11+AT11+AU11+AV11+AW11+AX11+AY11+AZ11+BA11+BB11</f>
        <v>0</v>
      </c>
      <c r="R11" s="5"/>
      <c r="S11" s="5"/>
      <c r="T11" s="5"/>
      <c r="U11" s="5"/>
      <c r="V11" s="5"/>
      <c r="W11" s="5"/>
      <c r="X11" s="5"/>
      <c r="Y11" s="5"/>
      <c r="Z11" s="5">
        <f t="shared" ref="Z11:Z19" si="66">SUM(AA11:AK11)</f>
        <v>0</v>
      </c>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121"/>
      <c r="BE11" s="5">
        <f>G11+I11+J11+K11+L11+M11+N11+O11+P11+BC11+BD11</f>
        <v>0</v>
      </c>
      <c r="BF11" s="100">
        <f>H60-BE11</f>
        <v>114.39</v>
      </c>
      <c r="BG11" s="100">
        <f>D11+BF11</f>
        <v>292.20999999999998</v>
      </c>
      <c r="BH11" s="223">
        <v>292.2</v>
      </c>
      <c r="BI11" s="244">
        <f>BG11-BH11</f>
        <v>9.9999999999909051E-3</v>
      </c>
      <c r="BJ11" s="243">
        <f>'TONG TP'!D13</f>
        <v>1406.5622499999999</v>
      </c>
      <c r="BK11" s="244">
        <f t="shared" si="41"/>
        <v>114.38999999999999</v>
      </c>
    </row>
    <row r="12" spans="1:64" s="2" customFormat="1" ht="23.25" customHeight="1">
      <c r="A12" s="5" t="s">
        <v>21</v>
      </c>
      <c r="B12" s="72" t="s">
        <v>22</v>
      </c>
      <c r="C12" s="5" t="s">
        <v>23</v>
      </c>
      <c r="D12" s="5">
        <v>291.89999999999998</v>
      </c>
      <c r="E12" s="5">
        <f t="shared" si="63"/>
        <v>286.36</v>
      </c>
      <c r="F12" s="5">
        <f t="shared" si="64"/>
        <v>0</v>
      </c>
      <c r="G12" s="5"/>
      <c r="H12" s="5"/>
      <c r="I12" s="215">
        <f>D12-BE12</f>
        <v>273</v>
      </c>
      <c r="J12" s="5"/>
      <c r="K12" s="5"/>
      <c r="L12" s="5"/>
      <c r="M12" s="5"/>
      <c r="N12" s="5">
        <v>1</v>
      </c>
      <c r="O12" s="5"/>
      <c r="P12" s="5">
        <v>12.36</v>
      </c>
      <c r="Q12" s="5">
        <f t="shared" si="65"/>
        <v>6.5399999999999991</v>
      </c>
      <c r="R12" s="5"/>
      <c r="S12" s="5"/>
      <c r="T12" s="5"/>
      <c r="U12" s="5"/>
      <c r="V12" s="5"/>
      <c r="W12" s="5"/>
      <c r="X12" s="5">
        <v>0.63</v>
      </c>
      <c r="Y12" s="5"/>
      <c r="Z12" s="5">
        <f>SUM(AA12:AK12)</f>
        <v>3.05</v>
      </c>
      <c r="AA12" s="5"/>
      <c r="AB12" s="5">
        <v>0.2</v>
      </c>
      <c r="AC12" s="5">
        <v>0.12</v>
      </c>
      <c r="AD12" s="5"/>
      <c r="AE12" s="5"/>
      <c r="AF12" s="5"/>
      <c r="AG12" s="5">
        <v>2.73</v>
      </c>
      <c r="AH12" s="5"/>
      <c r="AI12" s="5"/>
      <c r="AJ12" s="5"/>
      <c r="AK12" s="5"/>
      <c r="AL12" s="5"/>
      <c r="AM12" s="5"/>
      <c r="AN12" s="5"/>
      <c r="AO12" s="5">
        <f>1.41+0.03</f>
        <v>1.44</v>
      </c>
      <c r="AP12" s="5">
        <f>0.79+0.06</f>
        <v>0.85000000000000009</v>
      </c>
      <c r="AQ12" s="5"/>
      <c r="AR12" s="5"/>
      <c r="AS12" s="5"/>
      <c r="AT12" s="5"/>
      <c r="AU12" s="5"/>
      <c r="AV12" s="5"/>
      <c r="AW12" s="5">
        <v>7.0000000000000007E-2</v>
      </c>
      <c r="AX12" s="5">
        <v>0.5</v>
      </c>
      <c r="AY12" s="5"/>
      <c r="AZ12" s="5"/>
      <c r="BA12" s="5"/>
      <c r="BB12" s="5"/>
      <c r="BC12" s="5">
        <v>5.96</v>
      </c>
      <c r="BD12" s="121"/>
      <c r="BE12" s="5">
        <f>F12+J12+K12+L12+M12+P12+Q12+BD12</f>
        <v>18.899999999999999</v>
      </c>
      <c r="BF12" s="5">
        <f>I60-BE12</f>
        <v>86.140000000000015</v>
      </c>
      <c r="BG12" s="5">
        <f t="shared" ref="BG12:BG19" si="67">D12+BF12</f>
        <v>378.03999999999996</v>
      </c>
      <c r="BH12" s="223">
        <f>'BIEN DONG'!AT10</f>
        <v>378.03999999999996</v>
      </c>
      <c r="BI12" s="243">
        <f>BG12-BH12</f>
        <v>0</v>
      </c>
      <c r="BJ12" s="243">
        <f>'TONG TP'!D16</f>
        <v>1015.3142999999999</v>
      </c>
      <c r="BK12" s="244">
        <f t="shared" si="41"/>
        <v>86.139999999999986</v>
      </c>
    </row>
    <row r="13" spans="1:64" s="2" customFormat="1" ht="23.25" customHeight="1">
      <c r="A13" s="5" t="s">
        <v>24</v>
      </c>
      <c r="B13" s="72" t="s">
        <v>25</v>
      </c>
      <c r="C13" s="5" t="s">
        <v>26</v>
      </c>
      <c r="D13" s="5">
        <v>860.47</v>
      </c>
      <c r="E13" s="5">
        <f t="shared" si="63"/>
        <v>858.04000000000008</v>
      </c>
      <c r="F13" s="5">
        <f t="shared" si="64"/>
        <v>0</v>
      </c>
      <c r="G13" s="5"/>
      <c r="H13" s="5"/>
      <c r="I13" s="5"/>
      <c r="J13" s="215">
        <f>D13-BE13</f>
        <v>858.04000000000008</v>
      </c>
      <c r="K13" s="5"/>
      <c r="L13" s="5"/>
      <c r="M13" s="5"/>
      <c r="N13" s="5"/>
      <c r="O13" s="5"/>
      <c r="P13" s="5"/>
      <c r="Q13" s="5">
        <f t="shared" si="65"/>
        <v>2.31</v>
      </c>
      <c r="R13" s="5"/>
      <c r="S13" s="5"/>
      <c r="T13" s="5"/>
      <c r="U13" s="5"/>
      <c r="V13" s="5"/>
      <c r="W13" s="5"/>
      <c r="X13" s="5"/>
      <c r="Y13" s="5"/>
      <c r="Z13" s="5">
        <f t="shared" si="66"/>
        <v>0.88</v>
      </c>
      <c r="AA13" s="5"/>
      <c r="AB13" s="5">
        <v>0.51</v>
      </c>
      <c r="AC13" s="5"/>
      <c r="AD13" s="5"/>
      <c r="AE13" s="5"/>
      <c r="AF13" s="5"/>
      <c r="AG13" s="5">
        <v>0.37</v>
      </c>
      <c r="AH13" s="5"/>
      <c r="AI13" s="5"/>
      <c r="AJ13" s="5"/>
      <c r="AK13" s="5"/>
      <c r="AL13" s="5"/>
      <c r="AM13" s="5"/>
      <c r="AN13" s="5"/>
      <c r="AO13" s="5">
        <v>0.48</v>
      </c>
      <c r="AP13" s="5">
        <f>0.24+0.03</f>
        <v>0.27</v>
      </c>
      <c r="AQ13" s="5"/>
      <c r="AR13" s="5"/>
      <c r="AS13" s="5"/>
      <c r="AT13" s="5"/>
      <c r="AU13" s="5"/>
      <c r="AV13" s="5"/>
      <c r="AW13" s="5"/>
      <c r="AX13" s="5">
        <v>0.68</v>
      </c>
      <c r="AY13" s="5"/>
      <c r="AZ13" s="5"/>
      <c r="BA13" s="5"/>
      <c r="BB13" s="5"/>
      <c r="BC13" s="5">
        <v>0.12</v>
      </c>
      <c r="BD13" s="121"/>
      <c r="BE13" s="5">
        <f>F13+I13+K13+L13+M13+P13+Q13+BC13+BD13</f>
        <v>2.4300000000000002</v>
      </c>
      <c r="BF13" s="5">
        <f>J60-BE13</f>
        <v>659.73000000000013</v>
      </c>
      <c r="BG13" s="5">
        <f t="shared" si="67"/>
        <v>1520.2000000000003</v>
      </c>
      <c r="BH13" s="223">
        <f>'BIEN DONG'!AT11</f>
        <v>1520.2000000000003</v>
      </c>
      <c r="BI13" s="243">
        <f t="shared" ref="BI13:BI29" si="68">BG13-BH13</f>
        <v>0</v>
      </c>
      <c r="BJ13" s="243">
        <f>'TONG TP'!D17</f>
        <v>1840.0419399999998</v>
      </c>
      <c r="BK13" s="244">
        <f t="shared" si="41"/>
        <v>659.73000000000025</v>
      </c>
    </row>
    <row r="14" spans="1:64" s="2" customFormat="1" ht="24.75" customHeight="1">
      <c r="A14" s="5" t="s">
        <v>27</v>
      </c>
      <c r="B14" s="72" t="s">
        <v>28</v>
      </c>
      <c r="C14" s="5" t="s">
        <v>29</v>
      </c>
      <c r="D14" s="5">
        <v>2020.25</v>
      </c>
      <c r="E14" s="5">
        <f t="shared" si="63"/>
        <v>864.86000000000013</v>
      </c>
      <c r="F14" s="5">
        <f t="shared" si="64"/>
        <v>0</v>
      </c>
      <c r="G14" s="5"/>
      <c r="H14" s="5"/>
      <c r="I14" s="5"/>
      <c r="J14" s="5"/>
      <c r="K14" s="215">
        <f>D14-BE14</f>
        <v>864.86000000000013</v>
      </c>
      <c r="L14" s="5"/>
      <c r="M14" s="5"/>
      <c r="N14" s="5"/>
      <c r="O14" s="5"/>
      <c r="P14" s="5"/>
      <c r="Q14" s="5">
        <f t="shared" si="65"/>
        <v>0.28000000000000003</v>
      </c>
      <c r="R14" s="5"/>
      <c r="S14" s="5"/>
      <c r="T14" s="5"/>
      <c r="U14" s="5"/>
      <c r="V14" s="5"/>
      <c r="W14" s="5"/>
      <c r="X14" s="5">
        <v>0.26</v>
      </c>
      <c r="Y14" s="5"/>
      <c r="Z14" s="5">
        <f t="shared" si="66"/>
        <v>0.02</v>
      </c>
      <c r="AA14" s="5"/>
      <c r="AB14" s="5"/>
      <c r="AC14" s="5"/>
      <c r="AD14" s="5"/>
      <c r="AE14" s="5"/>
      <c r="AF14" s="5"/>
      <c r="AG14" s="5">
        <v>0.02</v>
      </c>
      <c r="AH14" s="5"/>
      <c r="AI14" s="5"/>
      <c r="AJ14" s="5"/>
      <c r="AK14" s="5"/>
      <c r="AL14" s="5"/>
      <c r="AM14" s="5"/>
      <c r="AN14" s="5"/>
      <c r="AO14" s="5"/>
      <c r="AP14" s="5"/>
      <c r="AQ14" s="5"/>
      <c r="AR14" s="5"/>
      <c r="AS14" s="5"/>
      <c r="AT14" s="5"/>
      <c r="AU14" s="5"/>
      <c r="AV14" s="5"/>
      <c r="AW14" s="5"/>
      <c r="AX14" s="5"/>
      <c r="AY14" s="5"/>
      <c r="AZ14" s="5"/>
      <c r="BA14" s="5"/>
      <c r="BB14" s="5"/>
      <c r="BC14" s="5"/>
      <c r="BD14" s="121">
        <f>1276.07+0.11-121.07</f>
        <v>1155.1099999999999</v>
      </c>
      <c r="BE14" s="5">
        <f>F14+I14+J14+L14+M14+P14+Q14+BC14+BD14</f>
        <v>1155.3899999999999</v>
      </c>
      <c r="BF14" s="5">
        <f>K60-BE14</f>
        <v>-832.93999999999983</v>
      </c>
      <c r="BG14" s="5">
        <f t="shared" si="67"/>
        <v>1187.3100000000002</v>
      </c>
      <c r="BH14" s="223">
        <f>'BIEN DONG'!AT12</f>
        <v>1187.3100000000002</v>
      </c>
      <c r="BI14" s="243">
        <f t="shared" si="68"/>
        <v>0</v>
      </c>
      <c r="BJ14" s="243">
        <f>'TONG TP'!D19</f>
        <v>15177.190000000002</v>
      </c>
      <c r="BK14" s="244">
        <f t="shared" si="41"/>
        <v>-832.93999999999983</v>
      </c>
    </row>
    <row r="15" spans="1:64" s="2" customFormat="1" ht="24.75" customHeight="1">
      <c r="A15" s="5" t="s">
        <v>30</v>
      </c>
      <c r="B15" s="72" t="s">
        <v>31</v>
      </c>
      <c r="C15" s="5" t="s">
        <v>32</v>
      </c>
      <c r="D15" s="100">
        <v>23</v>
      </c>
      <c r="E15" s="5">
        <f t="shared" si="63"/>
        <v>23</v>
      </c>
      <c r="F15" s="5">
        <f t="shared" si="64"/>
        <v>0</v>
      </c>
      <c r="G15" s="5"/>
      <c r="H15" s="5"/>
      <c r="I15" s="5"/>
      <c r="J15" s="5"/>
      <c r="K15" s="5"/>
      <c r="L15" s="215">
        <f>D15-BE15</f>
        <v>23</v>
      </c>
      <c r="M15" s="5"/>
      <c r="N15" s="5"/>
      <c r="O15" s="5"/>
      <c r="P15" s="5"/>
      <c r="Q15" s="5">
        <f t="shared" si="65"/>
        <v>0</v>
      </c>
      <c r="R15" s="5"/>
      <c r="S15" s="5"/>
      <c r="T15" s="5"/>
      <c r="U15" s="5"/>
      <c r="V15" s="5"/>
      <c r="W15" s="5"/>
      <c r="X15" s="5"/>
      <c r="Y15" s="5"/>
      <c r="Z15" s="5">
        <f t="shared" si="66"/>
        <v>0</v>
      </c>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121"/>
      <c r="BE15" s="5">
        <f>F15+I15+J15+K15+M15+P15+Q15+BD15</f>
        <v>0</v>
      </c>
      <c r="BF15" s="5">
        <f>L60-BE15</f>
        <v>11.18</v>
      </c>
      <c r="BG15" s="5">
        <f t="shared" si="67"/>
        <v>34.18</v>
      </c>
      <c r="BH15" s="223">
        <f>'BIEN DONG'!AT13</f>
        <v>34.18</v>
      </c>
      <c r="BI15" s="243">
        <f t="shared" si="68"/>
        <v>0</v>
      </c>
      <c r="BJ15" s="243">
        <f>'TONG TP'!D20</f>
        <v>0</v>
      </c>
      <c r="BK15" s="244">
        <f t="shared" si="41"/>
        <v>11.18</v>
      </c>
    </row>
    <row r="16" spans="1:64" s="2" customFormat="1" ht="24.75" customHeight="1">
      <c r="A16" s="5" t="s">
        <v>33</v>
      </c>
      <c r="B16" s="72" t="s">
        <v>34</v>
      </c>
      <c r="C16" s="5" t="s">
        <v>35</v>
      </c>
      <c r="D16" s="5">
        <v>2533.96</v>
      </c>
      <c r="E16" s="5">
        <f t="shared" si="63"/>
        <v>2195.85</v>
      </c>
      <c r="F16" s="5">
        <f t="shared" si="64"/>
        <v>0</v>
      </c>
      <c r="G16" s="5"/>
      <c r="H16" s="5"/>
      <c r="I16" s="5"/>
      <c r="J16" s="5"/>
      <c r="K16" s="5">
        <v>322.45</v>
      </c>
      <c r="L16" s="5"/>
      <c r="M16" s="215">
        <f>D16-BE16</f>
        <v>1873.4</v>
      </c>
      <c r="N16" s="5"/>
      <c r="O16" s="5"/>
      <c r="P16" s="5"/>
      <c r="Q16" s="5">
        <f t="shared" si="65"/>
        <v>21.82</v>
      </c>
      <c r="R16" s="5"/>
      <c r="S16" s="5"/>
      <c r="T16" s="5"/>
      <c r="U16" s="5"/>
      <c r="V16" s="5"/>
      <c r="W16" s="5"/>
      <c r="X16" s="5">
        <v>9.93</v>
      </c>
      <c r="Y16" s="5"/>
      <c r="Z16" s="5">
        <f t="shared" si="66"/>
        <v>3.27</v>
      </c>
      <c r="AA16" s="5"/>
      <c r="AB16" s="5"/>
      <c r="AC16" s="5"/>
      <c r="AD16" s="5"/>
      <c r="AE16" s="5"/>
      <c r="AF16" s="5"/>
      <c r="AG16" s="5">
        <v>3.27</v>
      </c>
      <c r="AH16" s="5"/>
      <c r="AI16" s="5"/>
      <c r="AJ16" s="5"/>
      <c r="AK16" s="5"/>
      <c r="AL16" s="5"/>
      <c r="AM16" s="5"/>
      <c r="AN16" s="5"/>
      <c r="AO16" s="5"/>
      <c r="AP16" s="5"/>
      <c r="AQ16" s="5"/>
      <c r="AR16" s="5"/>
      <c r="AS16" s="5"/>
      <c r="AT16" s="5"/>
      <c r="AU16" s="5">
        <v>3.28</v>
      </c>
      <c r="AV16" s="5">
        <v>5.34</v>
      </c>
      <c r="AW16" s="5"/>
      <c r="AX16" s="5"/>
      <c r="AY16" s="5"/>
      <c r="AZ16" s="5"/>
      <c r="BA16" s="5"/>
      <c r="BB16" s="5"/>
      <c r="BC16" s="5">
        <f>1.93+31.5</f>
        <v>33.43</v>
      </c>
      <c r="BD16" s="121">
        <f>328.44-27.66-17.92</f>
        <v>282.85999999999996</v>
      </c>
      <c r="BE16" s="5">
        <f>F16+I16+J16+K16+L16+P16+Q16+BD16+BC16</f>
        <v>660.55999999999983</v>
      </c>
      <c r="BF16" s="5">
        <f>M60-BE16</f>
        <v>-632.72999999999979</v>
      </c>
      <c r="BG16" s="5">
        <f t="shared" si="67"/>
        <v>1901.2300000000002</v>
      </c>
      <c r="BH16" s="223">
        <f>'BIEN DONG'!AT14</f>
        <v>1901.2300000000002</v>
      </c>
      <c r="BI16" s="243">
        <f t="shared" si="68"/>
        <v>0</v>
      </c>
      <c r="BJ16" s="243">
        <f>'TONG TP'!D21</f>
        <v>13541.636099999998</v>
      </c>
      <c r="BK16" s="244">
        <f t="shared" si="41"/>
        <v>-632.72999999999979</v>
      </c>
    </row>
    <row r="17" spans="1:64" s="2" customFormat="1" ht="23.25" customHeight="1">
      <c r="A17" s="5" t="s">
        <v>36</v>
      </c>
      <c r="B17" s="72" t="s">
        <v>37</v>
      </c>
      <c r="C17" s="5" t="s">
        <v>38</v>
      </c>
      <c r="D17" s="5">
        <v>8132.8</v>
      </c>
      <c r="E17" s="5">
        <f t="shared" si="63"/>
        <v>8039.85</v>
      </c>
      <c r="F17" s="5">
        <f t="shared" si="64"/>
        <v>6.35</v>
      </c>
      <c r="G17" s="5"/>
      <c r="H17" s="5">
        <v>6.35</v>
      </c>
      <c r="I17" s="5"/>
      <c r="J17" s="5"/>
      <c r="K17" s="5"/>
      <c r="L17" s="5"/>
      <c r="M17" s="5"/>
      <c r="N17" s="215">
        <f>D17-BE17</f>
        <v>8033.5</v>
      </c>
      <c r="O17" s="5"/>
      <c r="P17" s="5"/>
      <c r="Q17" s="5">
        <f t="shared" si="65"/>
        <v>66.070000000000007</v>
      </c>
      <c r="R17" s="5"/>
      <c r="S17" s="5"/>
      <c r="T17" s="5"/>
      <c r="U17" s="5"/>
      <c r="V17" s="5"/>
      <c r="W17" s="5"/>
      <c r="X17" s="5">
        <f>12.84+1.99</f>
        <v>14.83</v>
      </c>
      <c r="Y17" s="5"/>
      <c r="Z17" s="5">
        <f t="shared" si="66"/>
        <v>47.900000000000006</v>
      </c>
      <c r="AA17" s="5"/>
      <c r="AB17" s="5"/>
      <c r="AC17" s="5">
        <v>4.5599999999999996</v>
      </c>
      <c r="AD17" s="5"/>
      <c r="AE17" s="5"/>
      <c r="AF17" s="5"/>
      <c r="AG17" s="5">
        <v>35.25</v>
      </c>
      <c r="AH17" s="5">
        <v>8.09</v>
      </c>
      <c r="AI17" s="5"/>
      <c r="AJ17" s="5"/>
      <c r="AK17" s="5"/>
      <c r="AL17" s="5"/>
      <c r="AM17" s="5"/>
      <c r="AN17" s="5"/>
      <c r="AO17" s="5">
        <f>1.23+0.61</f>
        <v>1.8399999999999999</v>
      </c>
      <c r="AP17" s="5">
        <f>1.24+0.26</f>
        <v>1.5</v>
      </c>
      <c r="AQ17" s="5"/>
      <c r="AR17" s="5"/>
      <c r="AS17" s="5"/>
      <c r="AT17" s="5"/>
      <c r="AU17" s="5"/>
      <c r="AV17" s="5"/>
      <c r="AW17" s="5"/>
      <c r="AX17" s="5"/>
      <c r="AY17" s="5"/>
      <c r="AZ17" s="5"/>
      <c r="BA17" s="5"/>
      <c r="BB17" s="5"/>
      <c r="BC17" s="5">
        <v>26.88</v>
      </c>
      <c r="BD17" s="121"/>
      <c r="BE17" s="5">
        <f>Q17+P17+M17+L17+K17+J17+I17+F17+BC17+BD17</f>
        <v>99.3</v>
      </c>
      <c r="BF17" s="5">
        <f>N60-BE17</f>
        <v>1248.7600000000002</v>
      </c>
      <c r="BG17" s="5">
        <f t="shared" si="67"/>
        <v>9381.5600000000013</v>
      </c>
      <c r="BH17" s="223">
        <f>'BIEN DONG'!AT15</f>
        <v>9381.5600000000013</v>
      </c>
      <c r="BI17" s="243">
        <f t="shared" si="68"/>
        <v>0</v>
      </c>
      <c r="BJ17" s="243">
        <f>'TONG TP'!D22</f>
        <v>3586.9500000000003</v>
      </c>
      <c r="BK17" s="244">
        <f t="shared" si="41"/>
        <v>1248.7600000000011</v>
      </c>
    </row>
    <row r="18" spans="1:64" s="2" customFormat="1" ht="23.25" customHeight="1">
      <c r="A18" s="5" t="s">
        <v>39</v>
      </c>
      <c r="B18" s="72" t="s">
        <v>40</v>
      </c>
      <c r="C18" s="5" t="s">
        <v>41</v>
      </c>
      <c r="D18" s="5"/>
      <c r="E18" s="5">
        <f t="shared" si="63"/>
        <v>0</v>
      </c>
      <c r="F18" s="5">
        <f t="shared" si="64"/>
        <v>0</v>
      </c>
      <c r="G18" s="5"/>
      <c r="H18" s="5"/>
      <c r="I18" s="5"/>
      <c r="J18" s="5"/>
      <c r="K18" s="5"/>
      <c r="L18" s="5"/>
      <c r="M18" s="5"/>
      <c r="N18" s="5"/>
      <c r="O18" s="215">
        <f>D18-BE18</f>
        <v>0</v>
      </c>
      <c r="P18" s="5"/>
      <c r="Q18" s="5">
        <f t="shared" si="65"/>
        <v>0</v>
      </c>
      <c r="R18" s="5"/>
      <c r="S18" s="5"/>
      <c r="T18" s="5"/>
      <c r="U18" s="5"/>
      <c r="V18" s="5"/>
      <c r="W18" s="5"/>
      <c r="X18" s="5"/>
      <c r="Y18" s="5"/>
      <c r="Z18" s="5">
        <f t="shared" si="66"/>
        <v>0</v>
      </c>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121"/>
      <c r="BE18" s="5">
        <f>F18+I18+J18+K18+L18+M18+Q18+N18+BD18</f>
        <v>0</v>
      </c>
      <c r="BF18" s="5">
        <f>O59-BE18</f>
        <v>0</v>
      </c>
      <c r="BG18" s="5">
        <f t="shared" si="67"/>
        <v>0</v>
      </c>
      <c r="BH18" s="223">
        <f>'BIEN DONG'!AT16</f>
        <v>0</v>
      </c>
      <c r="BI18" s="243">
        <f t="shared" si="68"/>
        <v>0</v>
      </c>
      <c r="BJ18" s="243">
        <f>'TONG TP'!D23</f>
        <v>0</v>
      </c>
      <c r="BK18" s="244">
        <f t="shared" si="41"/>
        <v>0</v>
      </c>
    </row>
    <row r="19" spans="1:64" s="2" customFormat="1" ht="23.25" customHeight="1">
      <c r="A19" s="5">
        <v>2</v>
      </c>
      <c r="B19" s="72" t="s">
        <v>43</v>
      </c>
      <c r="C19" s="5" t="s">
        <v>44</v>
      </c>
      <c r="D19" s="5">
        <v>15.25</v>
      </c>
      <c r="E19" s="5">
        <f t="shared" si="63"/>
        <v>15.25</v>
      </c>
      <c r="F19" s="5">
        <f t="shared" si="64"/>
        <v>0</v>
      </c>
      <c r="G19" s="5"/>
      <c r="H19" s="5"/>
      <c r="I19" s="5"/>
      <c r="J19" s="5"/>
      <c r="K19" s="5"/>
      <c r="L19" s="5"/>
      <c r="M19" s="5"/>
      <c r="N19" s="5"/>
      <c r="O19" s="5"/>
      <c r="P19" s="215">
        <f>D19-BE19</f>
        <v>15.25</v>
      </c>
      <c r="Q19" s="5">
        <f t="shared" si="65"/>
        <v>0</v>
      </c>
      <c r="R19" s="5"/>
      <c r="S19" s="5"/>
      <c r="T19" s="5"/>
      <c r="U19" s="5"/>
      <c r="V19" s="5"/>
      <c r="W19" s="5"/>
      <c r="X19" s="5"/>
      <c r="Y19" s="5"/>
      <c r="Z19" s="5">
        <f t="shared" si="66"/>
        <v>0</v>
      </c>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121"/>
      <c r="BE19" s="5">
        <f>F19+I19+J19+K19+L19+M19+N19+O19+Q19+BC19+BD19</f>
        <v>0</v>
      </c>
      <c r="BF19" s="5">
        <f>P60-BE19</f>
        <v>18.839999999999996</v>
      </c>
      <c r="BG19" s="5">
        <f t="shared" si="67"/>
        <v>34.089999999999996</v>
      </c>
      <c r="BH19" s="223">
        <f>'BIEN DONG'!AT17</f>
        <v>34.089999999999996</v>
      </c>
      <c r="BI19" s="243">
        <f t="shared" si="68"/>
        <v>0</v>
      </c>
      <c r="BJ19" s="243">
        <f>'TONG TP'!D24</f>
        <v>40.08</v>
      </c>
      <c r="BK19" s="244">
        <f t="shared" si="41"/>
        <v>18.839999999999996</v>
      </c>
    </row>
    <row r="20" spans="1:64" s="67" customFormat="1" ht="24" customHeight="1">
      <c r="A20" s="86">
        <v>2</v>
      </c>
      <c r="B20" s="87" t="s">
        <v>45</v>
      </c>
      <c r="C20" s="86" t="s">
        <v>46</v>
      </c>
      <c r="D20" s="86">
        <f>D21+D22+D23+D24+D25+D26+D27+D28+D29+D41+D43+D44+D45+D46+D47+D49+D50+D51+D52+D53+D54+D55+D56+D57</f>
        <v>11555.41</v>
      </c>
      <c r="E20" s="86">
        <f t="shared" ref="E20:F20" si="69">E21+E22+E23+E24+E25+E26+E27+E28+E29+E41+E43+E44+E45+E46+E47+E49+E50+E51+E52+E53+E54+E55+E56+E57</f>
        <v>199.17000000000002</v>
      </c>
      <c r="F20" s="86">
        <f t="shared" si="69"/>
        <v>7.0000000000000007E-2</v>
      </c>
      <c r="G20" s="86">
        <f t="shared" ref="G20" si="70">G21+G22+G23+G24+G25+G26+G27+G28+G29+G41+G43+G44+G45+G46+G47+G49+G50+G51+G52+G53+G54+G55+G56+G57</f>
        <v>7.0000000000000007E-2</v>
      </c>
      <c r="H20" s="86">
        <f t="shared" ref="H20" si="71">H21+H22+H23+H24+H25+H26+H27+H28+H29+H41+H43+H44+H45+H46+H47+H49+H50+H51+H52+H53+H54+H55+H56+H57</f>
        <v>0</v>
      </c>
      <c r="I20" s="86">
        <f t="shared" ref="I20" si="72">I21+I22+I23+I24+I25+I26+I27+I28+I29+I41+I43+I44+I45+I46+I47+I49+I50+I51+I52+I53+I54+I55+I56+I57</f>
        <v>0</v>
      </c>
      <c r="J20" s="86">
        <f t="shared" ref="J20" si="73">J21+J22+J23+J24+J25+J26+J27+J28+J29+J41+J43+J44+J45+J46+J47+J49+J50+J51+J52+J53+J54+J55+J56+J57</f>
        <v>0</v>
      </c>
      <c r="K20" s="86">
        <f t="shared" ref="K20" si="74">K21+K22+K23+K24+K25+K26+K27+K28+K29+K41+K43+K44+K45+K46+K47+K49+K50+K51+K52+K53+K54+K55+K56+K57</f>
        <v>0</v>
      </c>
      <c r="L20" s="86">
        <f t="shared" ref="L20" si="75">L21+L22+L23+L24+L25+L26+L27+L28+L29+L41+L43+L44+L45+L46+L47+L49+L50+L51+L52+L53+L54+L55+L56+L57</f>
        <v>0</v>
      </c>
      <c r="M20" s="86">
        <f t="shared" ref="M20" si="76">M21+M22+M23+M24+M25+M26+M27+M28+M29+M41+M43+M44+M45+M46+M47+M49+M50+M51+M52+M53+M54+M55+M56+M57</f>
        <v>2.84</v>
      </c>
      <c r="N20" s="86">
        <f t="shared" ref="N20" si="77">N21+N22+N23+N24+N25+N26+N27+N28+N29+N41+N43+N44+N45+N46+N47+N49+N50+N51+N52+N53+N54+N55+N56+N57</f>
        <v>191.42000000000002</v>
      </c>
      <c r="O20" s="86">
        <f t="shared" ref="O20" si="78">O21+O22+O23+O24+O25+O26+O27+O28+O29+O41+O43+O44+O45+O46+O47+O49+O50+O51+O52+O53+O54+O55+O56+O57</f>
        <v>0</v>
      </c>
      <c r="P20" s="86">
        <f t="shared" ref="P20" si="79">P21+P22+P23+P24+P25+P26+P27+P28+P29+P41+P43+P44+P45+P46+P47+P49+P50+P51+P52+P53+P54+P55+P56+P57</f>
        <v>4.84</v>
      </c>
      <c r="Q20" s="216">
        <f t="shared" ref="Q20" si="80">Q21+Q22+Q23+Q24+Q25+Q26+Q27+Q28+Q29+Q41+Q43+Q44+Q45+Q46+Q47+Q49+Q50+Q51+Q52+Q53+Q54+Q55+Q56+Q57</f>
        <v>7292.27</v>
      </c>
      <c r="R20" s="86">
        <f t="shared" ref="R20" si="81">R21+R22+R23+R24+R25+R26+R27+R28+R29+R41+R43+R44+R45+R46+R47+R49+R50+R51+R52+R53+R54+R55+R56+R57</f>
        <v>127.64999999999999</v>
      </c>
      <c r="S20" s="86">
        <f t="shared" ref="S20" si="82">S21+S22+S23+S24+S25+S26+S27+S28+S29+S41+S43+S44+S45+S46+S47+S49+S50+S51+S52+S53+S54+S55+S56+S57</f>
        <v>1.03</v>
      </c>
      <c r="T20" s="86">
        <f t="shared" ref="T20" si="83">T21+T22+T23+T24+T25+T26+T27+T28+T29+T41+T43+T44+T45+T46+T47+T49+T50+T51+T52+T53+T54+T55+T56+T57</f>
        <v>10.370000000000033</v>
      </c>
      <c r="U20" s="86">
        <f t="shared" ref="U20" si="84">U21+U22+U23+U24+U25+U26+U27+U28+U29+U41+U43+U44+U45+U46+U47+U49+U50+U51+U52+U53+U54+U55+U56+U57</f>
        <v>0</v>
      </c>
      <c r="V20" s="86">
        <f t="shared" ref="V20" si="85">V21+V22+V23+V24+V25+V26+V27+V28+V29+V41+V43+V44+V45+V46+V47+V49+V50+V51+V52+V53+V54+V55+V56+V57</f>
        <v>0</v>
      </c>
      <c r="W20" s="86">
        <f t="shared" ref="W20" si="86">W21+W22+W23+W24+W25+W26+W27+W28+W29+W41+W43+W44+W45+W46+W47+W49+W50+W51+W52+W53+W54+W55+W56+W57</f>
        <v>8.52</v>
      </c>
      <c r="X20" s="86">
        <f t="shared" ref="X20" si="87">X21+X22+X23+X24+X25+X26+X27+X28+X29+X41+X43+X44+X45+X46+X47+X49+X50+X51+X52+X53+X54+X55+X56+X57</f>
        <v>293.38000000000005</v>
      </c>
      <c r="Y20" s="86">
        <f t="shared" ref="Y20" si="88">Y21+Y22+Y23+Y24+Y25+Y26+Y27+Y28+Y29+Y41+Y43+Y44+Y45+Y46+Y47+Y49+Y50+Y51+Y52+Y53+Y54+Y55+Y56+Y57</f>
        <v>0</v>
      </c>
      <c r="Z20" s="86">
        <f t="shared" ref="Z20" si="89">Z21+Z22+Z23+Z24+Z25+Z26+Z27+Z28+Z29+Z41+Z43+Z44+Z45+Z46+Z47+Z49+Z50+Z51+Z52+Z53+Z54+Z55+Z56+Z57</f>
        <v>1286.7000000000003</v>
      </c>
      <c r="AA20" s="86">
        <f>AA21+AA22+AA23+AA24+AA25+AA26+AA27+AA28+AA29+AA41+AA43+AA44+AA45+AA46+AA47+AA49+AA50+AA51+AA52+AA53+AA54+AA55+AA56+AA57</f>
        <v>1.3100000000000005</v>
      </c>
      <c r="AB20" s="86">
        <f t="shared" ref="AB20" si="90">AB21+AB22+AB23+AB24+AB25+AB26+AB27+AB28+AB29+AB41+AB43+AB44+AB45+AB46+AB47+AB49+AB50+AB51+AB52+AB53+AB54+AB55+AB56+AB57</f>
        <v>11.28</v>
      </c>
      <c r="AC20" s="86">
        <f t="shared" ref="AC20" si="91">AC21+AC22+AC23+AC24+AC25+AC26+AC27+AC28+AC29+AC41+AC43+AC44+AC45+AC46+AC47+AC49+AC50+AC51+AC52+AC53+AC54+AC55+AC56+AC57</f>
        <v>115.25</v>
      </c>
      <c r="AD20" s="86">
        <f t="shared" ref="AD20" si="92">AD21+AD22+AD23+AD24+AD25+AD26+AD27+AD28+AD29+AD41+AD43+AD44+AD45+AD46+AD47+AD49+AD50+AD51+AD52+AD53+AD54+AD55+AD56+AD57</f>
        <v>9.8800000000000008</v>
      </c>
      <c r="AE20" s="86">
        <f t="shared" ref="AE20" si="93">AE21+AE22+AE23+AE24+AE25+AE26+AE27+AE28+AE29+AE41+AE43+AE44+AE45+AE46+AE47+AE49+AE50+AE51+AE52+AE53+AE54+AE55+AE56+AE57</f>
        <v>0</v>
      </c>
      <c r="AF20" s="86">
        <f t="shared" ref="AF20" si="94">AF21+AF22+AF23+AF24+AF25+AF26+AF27+AF28+AF29+AF41+AF43+AF44+AF45+AF46+AF47+AF49+AF50+AF51+AF52+AF53+AF54+AF55+AF56+AF57</f>
        <v>0</v>
      </c>
      <c r="AG20" s="86">
        <f t="shared" ref="AG20" si="95">AG21+AG22+AG23+AG24+AG25+AG26+AG27+AG28+AG29+AG41+AG43+AG44+AG45+AG46+AG47+AG49+AG50+AG51+AG52+AG53+AG54+AG55+AG56+AG57</f>
        <v>623.14999999999986</v>
      </c>
      <c r="AH20" s="86">
        <f t="shared" ref="AH20" si="96">AH21+AH22+AH23+AH24+AH25+AH26+AH27+AH28+AH29+AH41+AH43+AH44+AH45+AH46+AH47+AH49+AH50+AH51+AH52+AH53+AH54+AH55+AH56+AH57</f>
        <v>513.92999999999995</v>
      </c>
      <c r="AI20" s="86">
        <f t="shared" ref="AI20" si="97">AI21+AI22+AI23+AI24+AI25+AI26+AI27+AI28+AI29+AI41+AI43+AI44+AI45+AI46+AI47+AI49+AI50+AI51+AI52+AI53+AI54+AI55+AI56+AI57</f>
        <v>1.65</v>
      </c>
      <c r="AJ20" s="86">
        <f t="shared" ref="AJ20" si="98">AJ21+AJ22+AJ23+AJ24+AJ25+AJ26+AJ27+AJ28+AJ29+AJ41+AJ43+AJ44+AJ45+AJ46+AJ47+AJ49+AJ50+AJ51+AJ52+AJ53+AJ54+AJ55+AJ56+AJ57</f>
        <v>0.46</v>
      </c>
      <c r="AK20" s="86">
        <f t="shared" ref="AK20" si="99">AK21+AK22+AK23+AK24+AK25+AK26+AK27+AK28+AK29+AK41+AK43+AK44+AK45+AK46+AK47+AK49+AK50+AK51+AK52+AK53+AK54+AK55+AK56+AK57</f>
        <v>7.55</v>
      </c>
      <c r="AL20" s="86">
        <f t="shared" ref="AL20" si="100">AL21+AL22+AL23+AL24+AL25+AL26+AL27+AL28+AL29+AL41+AL43+AL44+AL45+AL46+AL47+AL49+AL50+AL51+AL52+AL53+AL54+AL55+AL56+AL57</f>
        <v>7.59</v>
      </c>
      <c r="AM20" s="86">
        <f t="shared" ref="AM20" si="101">AM21+AM22+AM23+AM24+AM25+AM26+AM27+AM28+AM29+AM41+AM43+AM44+AM45+AM46+AM47+AM49+AM50+AM51+AM52+AM53+AM54+AM55+AM56+AM57</f>
        <v>0</v>
      </c>
      <c r="AN20" s="86">
        <f t="shared" ref="AN20" si="102">AN21+AN22+AN23+AN24+AN25+AN26+AN27+AN28+AN29+AN41+AN43+AN44+AN45+AN46+AN47+AN49+AN50+AN51+AN52+AN53+AN54+AN55+AN56+AN57</f>
        <v>4.5</v>
      </c>
      <c r="AO20" s="86">
        <f t="shared" ref="AO20" si="103">AO21+AO22+AO23+AO24+AO25+AO26+AO27+AO28+AO29+AO41+AO43+AO44+AO45+AO46+AO47+AO49+AO50+AO51+AO52+AO53+AO54+AO55+AO56+AO57</f>
        <v>493.66</v>
      </c>
      <c r="AP20" s="86">
        <f t="shared" ref="AP20" si="104">AP21+AP22+AP23+AP24+AP25+AP26+AP27+AP28+AP29+AP41+AP43+AP44+AP45+AP46+AP47+AP49+AP50+AP51+AP52+AP53+AP54+AP55+AP56+AP57</f>
        <v>572.52</v>
      </c>
      <c r="AQ20" s="86">
        <f t="shared" ref="AQ20" si="105">AQ21+AQ22+AQ23+AQ24+AQ25+AQ26+AQ27+AQ28+AQ29+AQ41+AQ43+AQ44+AQ45+AQ46+AQ47+AQ49+AQ50+AQ51+AQ52+AQ53+AQ54+AQ55+AQ56+AQ57</f>
        <v>8.8800000000000008</v>
      </c>
      <c r="AR20" s="86">
        <f t="shared" ref="AR20" si="106">AR21+AR22+AR23+AR24+AR25+AR26+AR27+AR28+AR29+AR41+AR43+AR44+AR45+AR46+AR47+AR49+AR50+AR51+AR52+AR53+AR54+AR55+AR56+AR57</f>
        <v>3.5</v>
      </c>
      <c r="AS20" s="86">
        <f t="shared" ref="AS20" si="107">AS21+AS22+AS23+AS24+AS25+AS26+AS27+AS28+AS29+AS41+AS43+AS44+AS45+AS46+AS47+AS49+AS50+AS51+AS52+AS53+AS54+AS55+AS56+AS57</f>
        <v>0</v>
      </c>
      <c r="AT20" s="86">
        <f t="shared" ref="AT20" si="108">AT21+AT22+AT23+AT24+AT25+AT26+AT27+AT28+AT29+AT41+AT43+AT44+AT45+AT46+AT47+AT49+AT50+AT51+AT52+AT53+AT54+AT55+AT56+AT57</f>
        <v>11.05</v>
      </c>
      <c r="AU20" s="86">
        <f t="shared" ref="AU20" si="109">AU21+AU22+AU23+AU24+AU25+AU26+AU27+AU28+AU29+AU41+AU43+AU44+AU45+AU46+AU47+AU49+AU50+AU51+AU52+AU53+AU54+AU55+AU56+AU57</f>
        <v>121.06</v>
      </c>
      <c r="AV20" s="86">
        <f t="shared" ref="AV20" si="110">AV21+AV22+AV23+AV24+AV25+AV26+AV27+AV28+AV29+AV41+AV43+AV44+AV45+AV46+AV47+AV49+AV50+AV51+AV52+AV53+AV54+AV55+AV56+AV57</f>
        <v>98.6</v>
      </c>
      <c r="AW20" s="86">
        <f t="shared" ref="AW20" si="111">AW21+AW22+AW23+AW24+AW25+AW26+AW27+AW28+AW29+AW41+AW43+AW44+AW45+AW46+AW47+AW49+AW50+AW51+AW52+AW53+AW54+AW55+AW56+AW57</f>
        <v>6.91</v>
      </c>
      <c r="AX20" s="86">
        <f t="shared" ref="AX20" si="112">AX21+AX22+AX23+AX24+AX25+AX26+AX27+AX28+AX29+AX41+AX43+AX44+AX45+AX46+AX47+AX49+AX50+AX51+AX52+AX53+AX54+AX55+AX56+AX57</f>
        <v>1.2</v>
      </c>
      <c r="AY20" s="86">
        <f t="shared" ref="AY20" si="113">AY21+AY22+AY23+AY24+AY25+AY26+AY27+AY28+AY29+AY41+AY43+AY44+AY45+AY46+AY47+AY49+AY50+AY51+AY52+AY53+AY54+AY55+AY56+AY57</f>
        <v>6.8999999999999995</v>
      </c>
      <c r="AZ20" s="86">
        <f t="shared" ref="AZ20" si="114">AZ21+AZ22+AZ23+AZ24+AZ25+AZ26+AZ27+AZ28+AZ29+AZ41+AZ43+AZ44+AZ45+AZ46+AZ47+AZ49+AZ50+AZ51+AZ52+AZ53+AZ54+AZ55+AZ56+AZ57</f>
        <v>4075.2300000000005</v>
      </c>
      <c r="BA20" s="86">
        <f t="shared" ref="BA20" si="115">BA21+BA22+BA23+BA24+BA25+BA26+BA27+BA28+BA29+BA41+BA43+BA44+BA45+BA46+BA47+BA49+BA50+BA51+BA52+BA53+BA54+BA55+BA56+BA57</f>
        <v>153.0200000000001</v>
      </c>
      <c r="BB20" s="86">
        <f t="shared" ref="BB20" si="116">BB21+BB22+BB23+BB24+BB25+BB26+BB27+BB28+BB29+BB41+BB43+BB44+BB45+BB46+BB47+BB49+BB50+BB51+BB52+BB53+BB54+BB55+BB56+BB57</f>
        <v>0</v>
      </c>
      <c r="BC20" s="86">
        <f>BC21+BC22+BC23+BC24+BC25+BC26+BC27+BC28+BC29+BC41+BC43+BC44+BC45+BC46+BC47+BC49+BC50+BC51+BC52+BC53+BC54+BC55+BC56+BC57</f>
        <v>3.73</v>
      </c>
      <c r="BD20" s="108">
        <f>SUM(BD21:BD57)</f>
        <v>4060.24</v>
      </c>
      <c r="BE20" s="86">
        <f>E20+BD20+BC20</f>
        <v>4263.1399999999994</v>
      </c>
      <c r="BF20" s="86">
        <f>Q60-BE20</f>
        <v>-3667.2999999999993</v>
      </c>
      <c r="BG20" s="86">
        <f>BG21+BG22+BG23+BG25+BG26+BG27+BG28+BG29+BG41+BG42+BG43+BG44+BG45+BG46+BG47+BG48+BG49+BG50+BG51+BG52+BG53+BG54+BG55+BG56+BG57</f>
        <v>7888.1100000000006</v>
      </c>
      <c r="BH20" s="223">
        <f>'BIEN DONG'!AT18</f>
        <v>7888.1100000000006</v>
      </c>
      <c r="BI20" s="243">
        <f t="shared" si="68"/>
        <v>0</v>
      </c>
      <c r="BJ20" s="243">
        <f>'TONG TP'!D25</f>
        <v>7712.7726700000003</v>
      </c>
      <c r="BK20" s="244">
        <f t="shared" si="41"/>
        <v>-3667.2999999999993</v>
      </c>
    </row>
    <row r="21" spans="1:64" s="2" customFormat="1" ht="24" customHeight="1">
      <c r="A21" s="5" t="s">
        <v>47</v>
      </c>
      <c r="B21" s="72" t="s">
        <v>48</v>
      </c>
      <c r="C21" s="5" t="s">
        <v>49</v>
      </c>
      <c r="D21" s="122">
        <v>231.17</v>
      </c>
      <c r="E21" s="5">
        <f t="shared" si="63"/>
        <v>0</v>
      </c>
      <c r="F21" s="5">
        <f>G21+H21</f>
        <v>0</v>
      </c>
      <c r="G21" s="5"/>
      <c r="H21" s="5"/>
      <c r="I21" s="5"/>
      <c r="J21" s="5"/>
      <c r="K21" s="5"/>
      <c r="L21" s="5"/>
      <c r="M21" s="5"/>
      <c r="N21" s="5"/>
      <c r="O21" s="5"/>
      <c r="P21" s="5"/>
      <c r="Q21" s="5">
        <f>R21+S21+T21+U21+V21+W21+X21+Y21+Z21+AL21+AM21+AN21+AO21+AP21+AQ21+AR21+AS21+AT21+AU21+AV21+AW21+AX21+AY21+AZ21+BA21+BB21</f>
        <v>127.50999999999999</v>
      </c>
      <c r="R21" s="215">
        <f>D21-BE21</f>
        <v>127.50999999999999</v>
      </c>
      <c r="S21" s="5"/>
      <c r="T21" s="5"/>
      <c r="U21" s="5"/>
      <c r="V21" s="5"/>
      <c r="W21" s="5"/>
      <c r="X21" s="5"/>
      <c r="Y21" s="5"/>
      <c r="Z21" s="5">
        <f t="shared" ref="Z21:Z58" si="117">SUM(AA21:AK21)</f>
        <v>0</v>
      </c>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121">
        <f>126.46-22.8</f>
        <v>103.66</v>
      </c>
      <c r="BE21" s="5">
        <f>BC21+AS21+AP21+AO21+AN21+AM21+AL21+Z21+Y21+X21+W21+V21+T21+S21+E21+AR21+AQ21+AT21+AU21+AV21+AW21+AX21+AY21+AZ21+BA21+BB21+BD21</f>
        <v>103.66</v>
      </c>
      <c r="BF21" s="5">
        <f>R60-BE21</f>
        <v>-103.52</v>
      </c>
      <c r="BG21" s="5">
        <f t="shared" ref="BG21:BG58" si="118">D21+BF21</f>
        <v>127.64999999999999</v>
      </c>
      <c r="BH21" s="223">
        <f>'BIEN DONG'!AT19</f>
        <v>127.64999999999999</v>
      </c>
      <c r="BI21" s="243">
        <f t="shared" si="68"/>
        <v>0</v>
      </c>
      <c r="BJ21" s="243">
        <f>'TONG TP'!D26</f>
        <v>285.92867000000001</v>
      </c>
      <c r="BK21" s="244">
        <f t="shared" si="41"/>
        <v>-103.52</v>
      </c>
    </row>
    <row r="22" spans="1:64" s="2" customFormat="1" ht="24" customHeight="1">
      <c r="A22" s="5" t="s">
        <v>50</v>
      </c>
      <c r="B22" s="72" t="s">
        <v>51</v>
      </c>
      <c r="C22" s="5" t="s">
        <v>52</v>
      </c>
      <c r="D22" s="122">
        <v>0.37</v>
      </c>
      <c r="E22" s="5">
        <f t="shared" si="63"/>
        <v>0</v>
      </c>
      <c r="F22" s="5">
        <f t="shared" ref="F22:F58" si="119">G22+H22</f>
        <v>0</v>
      </c>
      <c r="G22" s="5"/>
      <c r="H22" s="5"/>
      <c r="I22" s="5"/>
      <c r="J22" s="5"/>
      <c r="K22" s="5"/>
      <c r="L22" s="5"/>
      <c r="M22" s="5"/>
      <c r="N22" s="5"/>
      <c r="O22" s="5"/>
      <c r="P22" s="5"/>
      <c r="Q22" s="5">
        <f t="shared" ref="Q22:Q58" si="120">R22+S22+T22+U22+V22+W22+X22+Y22+Z22+AL22+AM22+AN22+AO22+AP22+AQ22+AR22+AS22+AT22+AU22+AV22+AW22+AX22+AY22+AZ22+BA22+BB22</f>
        <v>0.37</v>
      </c>
      <c r="R22" s="5"/>
      <c r="S22" s="215">
        <f>D22-BE22</f>
        <v>0.37</v>
      </c>
      <c r="T22" s="5"/>
      <c r="U22" s="5"/>
      <c r="V22" s="5"/>
      <c r="W22" s="5"/>
      <c r="X22" s="5"/>
      <c r="Y22" s="5"/>
      <c r="Z22" s="5">
        <f t="shared" si="117"/>
        <v>0</v>
      </c>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121"/>
      <c r="BE22" s="5">
        <f>BC22+AS22+AP22+AO22+AN22+AM22+AL22+Z22+Y22+X22+W22+V22+T22+R22+E22+AR22+AQ22+AT22+AU22+AV22+AW22+AX22+AY22+AZ22+BA22+BB22+BD22</f>
        <v>0</v>
      </c>
      <c r="BF22" s="5">
        <f>S60-BE22</f>
        <v>4.47</v>
      </c>
      <c r="BG22" s="5">
        <f t="shared" si="118"/>
        <v>4.84</v>
      </c>
      <c r="BH22" s="223">
        <f>'BIEN DONG'!AT20</f>
        <v>4.84</v>
      </c>
      <c r="BI22" s="243">
        <f t="shared" si="68"/>
        <v>0</v>
      </c>
      <c r="BJ22" s="243">
        <f>'TONG TP'!D27</f>
        <v>9.83</v>
      </c>
      <c r="BK22" s="244">
        <f t="shared" si="41"/>
        <v>4.47</v>
      </c>
    </row>
    <row r="23" spans="1:64" s="2" customFormat="1" ht="24" customHeight="1">
      <c r="A23" s="5" t="s">
        <v>53</v>
      </c>
      <c r="B23" s="72" t="s">
        <v>54</v>
      </c>
      <c r="C23" s="5" t="s">
        <v>55</v>
      </c>
      <c r="D23" s="122">
        <f>308.17-D25</f>
        <v>147.28000000000003</v>
      </c>
      <c r="E23" s="5">
        <f t="shared" si="63"/>
        <v>0</v>
      </c>
      <c r="F23" s="5">
        <f t="shared" si="119"/>
        <v>0</v>
      </c>
      <c r="G23" s="5"/>
      <c r="H23" s="5"/>
      <c r="I23" s="5"/>
      <c r="J23" s="5"/>
      <c r="K23" s="5"/>
      <c r="L23" s="5"/>
      <c r="M23" s="5"/>
      <c r="N23" s="5"/>
      <c r="O23" s="5"/>
      <c r="P23" s="5"/>
      <c r="Q23" s="5">
        <f t="shared" si="120"/>
        <v>10.370000000000033</v>
      </c>
      <c r="R23" s="5"/>
      <c r="S23" s="5"/>
      <c r="T23" s="215">
        <f>D23-BE23</f>
        <v>10.370000000000033</v>
      </c>
      <c r="U23" s="5"/>
      <c r="V23" s="5"/>
      <c r="W23" s="5"/>
      <c r="X23" s="5"/>
      <c r="Y23" s="5"/>
      <c r="Z23" s="5">
        <f t="shared" si="117"/>
        <v>0</v>
      </c>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121">
        <v>136.91</v>
      </c>
      <c r="BE23" s="5">
        <f>BC23+AS23+AP23+AO23+AN23+AM23+AL23+Z23+Y23+X23+W23+V23+S23+R23+E23+AR23+AQ23+AT23+AU23+AV23+AW23+AX23+AY23+AZ23+BA23+BB23+BD23</f>
        <v>136.91</v>
      </c>
      <c r="BF23" s="5">
        <f>T60-BE23</f>
        <v>-136.91</v>
      </c>
      <c r="BG23" s="5">
        <f t="shared" si="118"/>
        <v>10.370000000000033</v>
      </c>
      <c r="BH23" s="223">
        <f>'BIEN DONG'!AT21</f>
        <v>10.370000000000033</v>
      </c>
      <c r="BI23" s="243">
        <f t="shared" si="68"/>
        <v>0</v>
      </c>
      <c r="BJ23" s="243">
        <f>'TONG TP'!D28</f>
        <v>79.59</v>
      </c>
      <c r="BK23" s="244">
        <f t="shared" si="41"/>
        <v>-136.91</v>
      </c>
    </row>
    <row r="24" spans="1:64" s="2" customFormat="1" ht="24" customHeight="1">
      <c r="A24" s="5" t="s">
        <v>56</v>
      </c>
      <c r="B24" s="72" t="s">
        <v>57</v>
      </c>
      <c r="C24" s="5" t="s">
        <v>58</v>
      </c>
      <c r="D24" s="5"/>
      <c r="E24" s="5">
        <f t="shared" si="63"/>
        <v>0</v>
      </c>
      <c r="F24" s="5">
        <f t="shared" si="119"/>
        <v>0</v>
      </c>
      <c r="G24" s="5"/>
      <c r="H24" s="5"/>
      <c r="I24" s="5"/>
      <c r="J24" s="5"/>
      <c r="K24" s="5"/>
      <c r="L24" s="5"/>
      <c r="M24" s="5"/>
      <c r="N24" s="5"/>
      <c r="O24" s="5"/>
      <c r="P24" s="5"/>
      <c r="Q24" s="5">
        <f t="shared" si="120"/>
        <v>0</v>
      </c>
      <c r="R24" s="5"/>
      <c r="S24" s="5"/>
      <c r="T24" s="5"/>
      <c r="U24" s="215">
        <f>D24-BE24</f>
        <v>0</v>
      </c>
      <c r="V24" s="5"/>
      <c r="W24" s="5"/>
      <c r="X24" s="5"/>
      <c r="Y24" s="5"/>
      <c r="Z24" s="5">
        <f t="shared" si="117"/>
        <v>0</v>
      </c>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121"/>
      <c r="BE24" s="5">
        <f>BC24+AS24+AP24+AO24+AN24+AM24+AL24+Z24+Y24+X24+W24+V24+S24+R24+T24+E24+AR24+AQ24+AT24+AU24+AV24+AW24+AX24+AY24+AZ24+BA24+BB24+BD24</f>
        <v>0</v>
      </c>
      <c r="BF24" s="5">
        <f>V60-BE24</f>
        <v>0</v>
      </c>
      <c r="BG24" s="5">
        <f t="shared" si="118"/>
        <v>0</v>
      </c>
      <c r="BH24" s="223">
        <f>'BIEN DONG'!AT22</f>
        <v>0</v>
      </c>
      <c r="BI24" s="243">
        <f t="shared" si="68"/>
        <v>0</v>
      </c>
      <c r="BJ24" s="243">
        <f>'TONG TP'!D29</f>
        <v>0</v>
      </c>
      <c r="BK24" s="244">
        <f t="shared" si="41"/>
        <v>0</v>
      </c>
    </row>
    <row r="25" spans="1:64" s="2" customFormat="1" ht="29.25" customHeight="1">
      <c r="A25" s="5" t="s">
        <v>59</v>
      </c>
      <c r="B25" s="72" t="s">
        <v>60</v>
      </c>
      <c r="C25" s="5" t="s">
        <v>61</v>
      </c>
      <c r="D25" s="122">
        <v>160.88999999999999</v>
      </c>
      <c r="E25" s="5">
        <f t="shared" si="63"/>
        <v>40.43</v>
      </c>
      <c r="F25" s="5">
        <f t="shared" si="119"/>
        <v>0</v>
      </c>
      <c r="G25" s="5"/>
      <c r="H25" s="5"/>
      <c r="I25" s="5"/>
      <c r="J25" s="5"/>
      <c r="K25" s="5"/>
      <c r="L25" s="5"/>
      <c r="M25" s="5"/>
      <c r="N25" s="5">
        <v>40.43</v>
      </c>
      <c r="O25" s="5"/>
      <c r="P25" s="5"/>
      <c r="Q25" s="5">
        <f t="shared" si="120"/>
        <v>109.61</v>
      </c>
      <c r="R25" s="5"/>
      <c r="S25" s="5"/>
      <c r="T25" s="5"/>
      <c r="U25" s="5"/>
      <c r="V25" s="215">
        <f>D25-BE25</f>
        <v>0</v>
      </c>
      <c r="W25" s="5"/>
      <c r="X25" s="5">
        <v>109.61</v>
      </c>
      <c r="Y25" s="5"/>
      <c r="Z25" s="5">
        <f t="shared" si="117"/>
        <v>0</v>
      </c>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121">
        <v>10.85</v>
      </c>
      <c r="BE25" s="5">
        <f>BC25+AS25+AP25+AO25+AN25+AM25+AL25+Z25+Y25+X25+W25+U25+S25+R25+T25+E25+AR25+AQ25+AT25+AU25+AV25+AW25+AX25+AY25+AZ25+BA25+BB25+BD25</f>
        <v>160.88999999999999</v>
      </c>
      <c r="BF25" s="5">
        <f>V60-BE25</f>
        <v>-160.88999999999999</v>
      </c>
      <c r="BG25" s="5">
        <f t="shared" si="118"/>
        <v>0</v>
      </c>
      <c r="BH25" s="223">
        <f>'BIEN DONG'!AT23</f>
        <v>0</v>
      </c>
      <c r="BI25" s="243">
        <f t="shared" si="68"/>
        <v>0</v>
      </c>
      <c r="BJ25" s="243">
        <f>'TONG TP'!D30</f>
        <v>0</v>
      </c>
      <c r="BK25" s="244">
        <f t="shared" si="41"/>
        <v>-160.88999999999999</v>
      </c>
    </row>
    <row r="26" spans="1:64" s="2" customFormat="1" ht="24" customHeight="1">
      <c r="A26" s="5" t="s">
        <v>62</v>
      </c>
      <c r="B26" s="72" t="s">
        <v>63</v>
      </c>
      <c r="C26" s="5" t="s">
        <v>64</v>
      </c>
      <c r="D26" s="122"/>
      <c r="E26" s="5">
        <f t="shared" si="63"/>
        <v>0</v>
      </c>
      <c r="F26" s="5">
        <f t="shared" si="119"/>
        <v>0</v>
      </c>
      <c r="G26" s="5"/>
      <c r="H26" s="5"/>
      <c r="I26" s="5"/>
      <c r="J26" s="5"/>
      <c r="K26" s="5"/>
      <c r="L26" s="5"/>
      <c r="M26" s="5"/>
      <c r="N26" s="5"/>
      <c r="O26" s="5"/>
      <c r="P26" s="5"/>
      <c r="Q26" s="5">
        <f t="shared" si="120"/>
        <v>0</v>
      </c>
      <c r="R26" s="5"/>
      <c r="S26" s="5"/>
      <c r="T26" s="5"/>
      <c r="U26" s="5"/>
      <c r="V26" s="5"/>
      <c r="W26" s="215">
        <f>D26-BE26</f>
        <v>0</v>
      </c>
      <c r="X26" s="5"/>
      <c r="Y26" s="5"/>
      <c r="Z26" s="5">
        <f t="shared" si="117"/>
        <v>0</v>
      </c>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121"/>
      <c r="BE26" s="5">
        <f>BC26+AS26+AP26+AO26+AN26+AM26+AL26+Z26+Y26+X26+V26+U26+S26+R26+T26+E26+AR26+AQ26+AT26+AU26+AV26+AW26+AX26+AY26+AZ26+BA26+BB26+BD26</f>
        <v>0</v>
      </c>
      <c r="BF26" s="5">
        <f>W60-BE26</f>
        <v>11.53</v>
      </c>
      <c r="BG26" s="5">
        <f>D26+BF26</f>
        <v>11.53</v>
      </c>
      <c r="BH26" s="224">
        <f>'BIEN DONG'!AT24</f>
        <v>11.53</v>
      </c>
      <c r="BI26" s="243">
        <f t="shared" si="68"/>
        <v>0</v>
      </c>
      <c r="BJ26" s="243">
        <f>'TONG TP'!D31</f>
        <v>349.95717000000002</v>
      </c>
      <c r="BK26" s="244">
        <f t="shared" si="41"/>
        <v>11.53</v>
      </c>
    </row>
    <row r="27" spans="1:64" s="2" customFormat="1" ht="24" customHeight="1">
      <c r="A27" s="5" t="s">
        <v>65</v>
      </c>
      <c r="B27" s="72" t="s">
        <v>66</v>
      </c>
      <c r="C27" s="5" t="s">
        <v>67</v>
      </c>
      <c r="D27" s="122">
        <f>206.83+8.52</f>
        <v>215.35000000000002</v>
      </c>
      <c r="E27" s="5">
        <f t="shared" si="63"/>
        <v>0</v>
      </c>
      <c r="F27" s="5">
        <f t="shared" si="119"/>
        <v>0</v>
      </c>
      <c r="G27" s="5"/>
      <c r="H27" s="5"/>
      <c r="I27" s="5"/>
      <c r="J27" s="5"/>
      <c r="K27" s="5"/>
      <c r="L27" s="5"/>
      <c r="M27" s="5"/>
      <c r="N27" s="5"/>
      <c r="O27" s="5"/>
      <c r="P27" s="5"/>
      <c r="Q27" s="5">
        <f t="shared" si="120"/>
        <v>192.35000000000002</v>
      </c>
      <c r="R27" s="5"/>
      <c r="S27" s="5"/>
      <c r="T27" s="5"/>
      <c r="U27" s="5"/>
      <c r="V27" s="5"/>
      <c r="W27" s="5">
        <v>8.52</v>
      </c>
      <c r="X27" s="215">
        <f>D27-BE27</f>
        <v>180.98000000000002</v>
      </c>
      <c r="Y27" s="5"/>
      <c r="Z27" s="5">
        <f t="shared" si="117"/>
        <v>2.75</v>
      </c>
      <c r="AA27" s="5"/>
      <c r="AB27" s="5"/>
      <c r="AC27" s="5"/>
      <c r="AD27" s="5"/>
      <c r="AE27" s="5"/>
      <c r="AF27" s="5"/>
      <c r="AG27" s="5">
        <v>2.75</v>
      </c>
      <c r="AH27" s="5"/>
      <c r="AI27" s="5"/>
      <c r="AJ27" s="5"/>
      <c r="AK27" s="5"/>
      <c r="AL27" s="5"/>
      <c r="AM27" s="5"/>
      <c r="AN27" s="5"/>
      <c r="AO27" s="5"/>
      <c r="AP27" s="5">
        <v>0.1</v>
      </c>
      <c r="AQ27" s="5"/>
      <c r="AR27" s="5"/>
      <c r="AS27" s="5"/>
      <c r="AT27" s="5"/>
      <c r="AU27" s="5"/>
      <c r="AV27" s="5"/>
      <c r="AW27" s="5"/>
      <c r="AX27" s="5"/>
      <c r="AY27" s="5"/>
      <c r="AZ27" s="5"/>
      <c r="BA27" s="5"/>
      <c r="BB27" s="5"/>
      <c r="BC27" s="5">
        <v>1.06</v>
      </c>
      <c r="BD27" s="121">
        <f>10.14+26.24-14.44</f>
        <v>21.939999999999998</v>
      </c>
      <c r="BE27" s="5">
        <f>BC27+AS27+AP27+AO27+AN27+AM27+AL27+Z27+Y27+W27+V27+U27+S27+R27+T27+E27+AR27+AQ27+AT27+AU27+AV27+AW27+AX27+AY27+AZ27+BA27+BB27+BD27</f>
        <v>34.369999999999997</v>
      </c>
      <c r="BF27" s="5">
        <f>X60-BE27</f>
        <v>141.69000000000003</v>
      </c>
      <c r="BG27" s="5">
        <f t="shared" si="118"/>
        <v>357.04000000000008</v>
      </c>
      <c r="BH27" s="223">
        <f>'BIEN DONG'!AT25</f>
        <v>357.04000000000008</v>
      </c>
      <c r="BI27" s="243">
        <f t="shared" si="68"/>
        <v>0</v>
      </c>
      <c r="BJ27" s="243">
        <f>'TONG TP'!D32</f>
        <v>126.12</v>
      </c>
      <c r="BK27" s="244">
        <f t="shared" si="41"/>
        <v>141.69000000000005</v>
      </c>
    </row>
    <row r="28" spans="1:64" s="2" customFormat="1" ht="38.25" customHeight="1">
      <c r="A28" s="5" t="s">
        <v>68</v>
      </c>
      <c r="B28" s="72" t="s">
        <v>69</v>
      </c>
      <c r="C28" s="5" t="s">
        <v>70</v>
      </c>
      <c r="D28" s="122">
        <v>2.84</v>
      </c>
      <c r="E28" s="5">
        <f t="shared" si="63"/>
        <v>2.84</v>
      </c>
      <c r="F28" s="5">
        <f t="shared" si="119"/>
        <v>0</v>
      </c>
      <c r="G28" s="5"/>
      <c r="H28" s="5"/>
      <c r="I28" s="5"/>
      <c r="J28" s="5"/>
      <c r="K28" s="5"/>
      <c r="L28" s="5"/>
      <c r="M28" s="5">
        <v>2.84</v>
      </c>
      <c r="N28" s="5"/>
      <c r="O28" s="5"/>
      <c r="P28" s="5"/>
      <c r="Q28" s="5">
        <f t="shared" si="120"/>
        <v>0</v>
      </c>
      <c r="R28" s="5"/>
      <c r="S28" s="5"/>
      <c r="T28" s="5"/>
      <c r="U28" s="5"/>
      <c r="V28" s="5"/>
      <c r="W28" s="5"/>
      <c r="X28" s="5"/>
      <c r="Y28" s="215">
        <f>D28-BE28</f>
        <v>0</v>
      </c>
      <c r="Z28" s="5">
        <f t="shared" si="117"/>
        <v>0</v>
      </c>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121"/>
      <c r="BE28" s="5">
        <f>BC28+AS28+AP28+AO28+AN28+AM28+AL28+Z28+X28+W28+V28+U28+S28+R28+T28+E28+AR28+AQ28+AT28+AU28+AV28+AW28+AX28+AY28+AZ28+BA28+BB28+BD28</f>
        <v>2.84</v>
      </c>
      <c r="BF28" s="5">
        <f>Y60-BE28</f>
        <v>-2.84</v>
      </c>
      <c r="BG28" s="5">
        <f t="shared" si="118"/>
        <v>0</v>
      </c>
      <c r="BH28" s="223">
        <f>'BIEN DONG'!AT26</f>
        <v>0</v>
      </c>
      <c r="BI28" s="243">
        <f t="shared" si="68"/>
        <v>0</v>
      </c>
      <c r="BJ28" s="243">
        <f>'TONG TP'!D33</f>
        <v>0</v>
      </c>
      <c r="BK28" s="244">
        <f t="shared" si="41"/>
        <v>-2.84</v>
      </c>
    </row>
    <row r="29" spans="1:64" s="2" customFormat="1" ht="36.75" customHeight="1">
      <c r="A29" s="5" t="s">
        <v>71</v>
      </c>
      <c r="B29" s="72" t="s">
        <v>135</v>
      </c>
      <c r="C29" s="5" t="s">
        <v>72</v>
      </c>
      <c r="D29" s="5">
        <f>1264.2</f>
        <v>1264.2</v>
      </c>
      <c r="E29" s="5">
        <f t="shared" si="63"/>
        <v>0.21</v>
      </c>
      <c r="F29" s="5">
        <f t="shared" si="119"/>
        <v>0</v>
      </c>
      <c r="G29" s="5"/>
      <c r="H29" s="5"/>
      <c r="I29" s="5"/>
      <c r="J29" s="5"/>
      <c r="K29" s="5"/>
      <c r="L29" s="5"/>
      <c r="M29" s="5"/>
      <c r="N29" s="5">
        <v>0.21</v>
      </c>
      <c r="O29" s="5"/>
      <c r="P29" s="5"/>
      <c r="Q29" s="226">
        <f t="shared" si="120"/>
        <v>1263.9900000000002</v>
      </c>
      <c r="R29" s="226"/>
      <c r="S29" s="226">
        <v>0.66</v>
      </c>
      <c r="T29" s="226"/>
      <c r="U29" s="226"/>
      <c r="V29" s="226"/>
      <c r="W29" s="226"/>
      <c r="X29" s="226">
        <v>2.2400000000000002</v>
      </c>
      <c r="Y29" s="226"/>
      <c r="Z29" s="226">
        <f>D29-BE29</f>
        <v>1252.6600000000001</v>
      </c>
      <c r="AA29" s="226">
        <f>SUM(AA30:AA40)</f>
        <v>1.3100000000000005</v>
      </c>
      <c r="AB29" s="226">
        <f t="shared" ref="AB29:AK29" si="121">SUM(AB30:AB40)</f>
        <v>11.28</v>
      </c>
      <c r="AC29" s="226">
        <f t="shared" si="121"/>
        <v>114.46</v>
      </c>
      <c r="AD29" s="226">
        <f t="shared" si="121"/>
        <v>9.8800000000000008</v>
      </c>
      <c r="AE29" s="226">
        <f t="shared" si="121"/>
        <v>0</v>
      </c>
      <c r="AF29" s="226">
        <f t="shared" si="121"/>
        <v>0</v>
      </c>
      <c r="AG29" s="226">
        <f t="shared" si="121"/>
        <v>589.9</v>
      </c>
      <c r="AH29" s="226">
        <f t="shared" si="121"/>
        <v>513.92999999999995</v>
      </c>
      <c r="AI29" s="226">
        <f>SUM(AI30:AI40)</f>
        <v>1.65</v>
      </c>
      <c r="AJ29" s="226">
        <f t="shared" si="121"/>
        <v>0.46</v>
      </c>
      <c r="AK29" s="226">
        <f t="shared" si="121"/>
        <v>7.55</v>
      </c>
      <c r="AL29" s="226"/>
      <c r="AM29" s="226"/>
      <c r="AN29" s="226"/>
      <c r="AO29" s="226"/>
      <c r="AP29" s="226">
        <v>0.26</v>
      </c>
      <c r="AQ29" s="226"/>
      <c r="AR29" s="226"/>
      <c r="AS29" s="226"/>
      <c r="AT29" s="226"/>
      <c r="AU29" s="226"/>
      <c r="AV29" s="226"/>
      <c r="AW29" s="226">
        <f>SUM(AW30:AW40)</f>
        <v>6.91</v>
      </c>
      <c r="AX29" s="226">
        <f t="shared" ref="AX29:BC29" si="122">SUM(AX30:AX40)</f>
        <v>1.2</v>
      </c>
      <c r="AY29" s="226">
        <f t="shared" si="122"/>
        <v>0.06</v>
      </c>
      <c r="AZ29" s="226">
        <f t="shared" si="122"/>
        <v>0</v>
      </c>
      <c r="BA29" s="226">
        <f t="shared" si="122"/>
        <v>0</v>
      </c>
      <c r="BB29" s="226">
        <f t="shared" si="122"/>
        <v>0</v>
      </c>
      <c r="BC29" s="226">
        <f t="shared" si="122"/>
        <v>0</v>
      </c>
      <c r="BD29" s="283"/>
      <c r="BE29" s="5">
        <f>BC29+AS29+AP29+AO29+AN29+AM29+AL29+Y29+X29+W29+V29+U29+S29+R29+T29+E29+AR29+AQ29+AT29+AU29+AV29+AW29+AX29+AY29+AZ29+BA29+BB29+BD29</f>
        <v>11.540000000000001</v>
      </c>
      <c r="BF29" s="5">
        <f>Z60-BE29</f>
        <v>401.34</v>
      </c>
      <c r="BG29" s="5">
        <f>D29+BF29</f>
        <v>1665.54</v>
      </c>
      <c r="BH29" s="223">
        <f>'BIEN DONG'!AT27</f>
        <v>1665.54</v>
      </c>
      <c r="BI29" s="243">
        <f t="shared" si="68"/>
        <v>0</v>
      </c>
      <c r="BJ29" s="243">
        <f>'TONG TP'!D34</f>
        <v>2144.3125000000005</v>
      </c>
      <c r="BK29" s="244">
        <f t="shared" si="41"/>
        <v>401.33999999999992</v>
      </c>
    </row>
    <row r="30" spans="1:64" s="21" customFormat="1" ht="24.75" customHeight="1">
      <c r="A30" s="213" t="s">
        <v>224</v>
      </c>
      <c r="B30" s="19" t="s">
        <v>478</v>
      </c>
      <c r="C30" s="20" t="s">
        <v>202</v>
      </c>
      <c r="D30" s="20">
        <v>9.42</v>
      </c>
      <c r="E30" s="20">
        <f t="shared" si="63"/>
        <v>0</v>
      </c>
      <c r="F30" s="5">
        <f t="shared" si="119"/>
        <v>0</v>
      </c>
      <c r="G30" s="20"/>
      <c r="H30" s="20"/>
      <c r="I30" s="20"/>
      <c r="J30" s="20"/>
      <c r="K30" s="20"/>
      <c r="L30" s="20"/>
      <c r="M30" s="20"/>
      <c r="N30" s="20"/>
      <c r="O30" s="20"/>
      <c r="P30" s="20"/>
      <c r="Q30" s="5">
        <f t="shared" si="120"/>
        <v>9.42</v>
      </c>
      <c r="R30" s="20"/>
      <c r="S30" s="20"/>
      <c r="T30" s="20"/>
      <c r="U30" s="20"/>
      <c r="V30" s="20"/>
      <c r="W30" s="20"/>
      <c r="X30" s="20"/>
      <c r="Y30" s="20"/>
      <c r="Z30" s="5">
        <f t="shared" si="117"/>
        <v>1.3100000000000005</v>
      </c>
      <c r="AA30" s="217">
        <f>D30-BE30</f>
        <v>1.3100000000000005</v>
      </c>
      <c r="AB30" s="20"/>
      <c r="AC30" s="20"/>
      <c r="AD30" s="20"/>
      <c r="AE30" s="20"/>
      <c r="AF30" s="20"/>
      <c r="AG30" s="20"/>
      <c r="AH30" s="20"/>
      <c r="AI30" s="20"/>
      <c r="AJ30" s="20"/>
      <c r="AK30" s="20"/>
      <c r="AL30" s="20"/>
      <c r="AM30" s="20"/>
      <c r="AN30" s="20"/>
      <c r="AO30" s="20"/>
      <c r="AP30" s="20"/>
      <c r="AQ30" s="20"/>
      <c r="AR30" s="20"/>
      <c r="AS30" s="20"/>
      <c r="AT30" s="20"/>
      <c r="AU30" s="20"/>
      <c r="AV30" s="20"/>
      <c r="AW30" s="20">
        <v>6.91</v>
      </c>
      <c r="AX30" s="20">
        <v>1.2</v>
      </c>
      <c r="AY30" s="20"/>
      <c r="AZ30" s="20"/>
      <c r="BA30" s="20"/>
      <c r="BB30" s="20"/>
      <c r="BC30" s="20"/>
      <c r="BD30" s="121"/>
      <c r="BE30" s="5">
        <f>BC30+AS30+AP30+AO30+AN30+AM30+AL30+Y30+X30+W30+V30+U30+S30+R30+T30+E30+AR30+AQ30+AT30+AU30+AV30+AW30+AX30+AY30+AZ30+BA30+BB30+BD30+AB30+AC30+AD30+AE30+AF30+AG30+AH30+AI30+AJ30+AK30</f>
        <v>8.11</v>
      </c>
      <c r="BF30" s="20">
        <f>AA60-BE30</f>
        <v>-8.11</v>
      </c>
      <c r="BG30" s="20">
        <f t="shared" ref="BG30:BG40" si="123">D30+BF30</f>
        <v>1.3100000000000005</v>
      </c>
      <c r="BH30" s="225">
        <v>1.31</v>
      </c>
      <c r="BI30" s="245">
        <f>BG30-BH30</f>
        <v>0</v>
      </c>
      <c r="BJ30" s="243">
        <f>'TONG TP'!D35</f>
        <v>16.430000000000003</v>
      </c>
      <c r="BK30" s="244">
        <f t="shared" si="41"/>
        <v>-8.11</v>
      </c>
      <c r="BL30" s="214"/>
    </row>
    <row r="31" spans="1:64" s="21" customFormat="1" ht="24.75" customHeight="1">
      <c r="A31" s="213" t="s">
        <v>225</v>
      </c>
      <c r="B31" s="19" t="s">
        <v>479</v>
      </c>
      <c r="C31" s="20" t="s">
        <v>203</v>
      </c>
      <c r="D31" s="20">
        <v>9.5299999999999994</v>
      </c>
      <c r="E31" s="20">
        <f t="shared" si="63"/>
        <v>0</v>
      </c>
      <c r="F31" s="5">
        <f t="shared" si="119"/>
        <v>0</v>
      </c>
      <c r="G31" s="20"/>
      <c r="H31" s="20"/>
      <c r="I31" s="20"/>
      <c r="J31" s="20"/>
      <c r="K31" s="20"/>
      <c r="L31" s="20"/>
      <c r="M31" s="20"/>
      <c r="N31" s="20"/>
      <c r="O31" s="20"/>
      <c r="P31" s="20"/>
      <c r="Q31" s="5">
        <f t="shared" si="120"/>
        <v>9.5299999999999994</v>
      </c>
      <c r="R31" s="20"/>
      <c r="S31" s="20"/>
      <c r="T31" s="20"/>
      <c r="U31" s="20"/>
      <c r="V31" s="20"/>
      <c r="W31" s="20"/>
      <c r="X31" s="20"/>
      <c r="Y31" s="20"/>
      <c r="Z31" s="5">
        <f t="shared" si="117"/>
        <v>9.5299999999999994</v>
      </c>
      <c r="AA31" s="20"/>
      <c r="AB31" s="217">
        <f>D31-BE31</f>
        <v>9.5299999999999994</v>
      </c>
      <c r="AC31" s="20"/>
      <c r="AD31" s="20"/>
      <c r="AE31" s="20"/>
      <c r="AF31" s="20"/>
      <c r="AG31" s="20"/>
      <c r="AH31" s="20"/>
      <c r="AI31" s="20"/>
      <c r="AJ31" s="20"/>
      <c r="AK31" s="20"/>
      <c r="AL31" s="20"/>
      <c r="AM31" s="20"/>
      <c r="AN31" s="20"/>
      <c r="AO31" s="20"/>
      <c r="AP31" s="20"/>
      <c r="AQ31" s="20"/>
      <c r="AR31" s="20"/>
      <c r="AS31" s="20"/>
      <c r="AT31" s="20"/>
      <c r="AU31" s="20"/>
      <c r="AV31" s="20"/>
      <c r="AW31" s="20"/>
      <c r="AX31" s="20"/>
      <c r="AY31" s="20"/>
      <c r="AZ31" s="20"/>
      <c r="BA31" s="20"/>
      <c r="BB31" s="20"/>
      <c r="BC31" s="20"/>
      <c r="BD31" s="121"/>
      <c r="BE31" s="5">
        <f>BC31+AS31+AP31+AO31+AN31+AM31+AL31+Y31+X31+W31+V31+U31+S31+R31+T31+E31+AR31+AQ31+AT31+AU31+AV31+AW31+AX31+AY31+AZ31+BA31+BB31+BD31+AA31+AC31+AD31+AE31+AF31+AG31+AH31+AI31+AJ31+AK31</f>
        <v>0</v>
      </c>
      <c r="BF31" s="20">
        <f>AB60-BE31</f>
        <v>3.66</v>
      </c>
      <c r="BG31" s="20">
        <f t="shared" si="123"/>
        <v>13.19</v>
      </c>
      <c r="BH31" s="225">
        <v>11.44</v>
      </c>
      <c r="BI31" s="245">
        <f t="shared" ref="BI31:BI40" si="124">BG31-BH31</f>
        <v>1.75</v>
      </c>
      <c r="BJ31" s="243">
        <f>'TONG TP'!D36</f>
        <v>7.9336999999999991</v>
      </c>
      <c r="BK31" s="244">
        <f t="shared" si="41"/>
        <v>3.66</v>
      </c>
    </row>
    <row r="32" spans="1:64" s="21" customFormat="1" ht="24.75" customHeight="1">
      <c r="A32" s="213" t="s">
        <v>226</v>
      </c>
      <c r="B32" s="19" t="s">
        <v>480</v>
      </c>
      <c r="C32" s="20" t="s">
        <v>204</v>
      </c>
      <c r="D32" s="20">
        <v>114.47</v>
      </c>
      <c r="E32" s="20">
        <f t="shared" si="63"/>
        <v>0</v>
      </c>
      <c r="F32" s="5">
        <f t="shared" si="119"/>
        <v>0</v>
      </c>
      <c r="G32" s="20"/>
      <c r="H32" s="20"/>
      <c r="I32" s="20"/>
      <c r="J32" s="20"/>
      <c r="K32" s="20"/>
      <c r="L32" s="20"/>
      <c r="M32" s="20"/>
      <c r="N32" s="20"/>
      <c r="O32" s="20"/>
      <c r="P32" s="20"/>
      <c r="Q32" s="5">
        <f t="shared" si="120"/>
        <v>114.47</v>
      </c>
      <c r="R32" s="20"/>
      <c r="S32" s="20"/>
      <c r="T32" s="20"/>
      <c r="U32" s="20"/>
      <c r="V32" s="20"/>
      <c r="W32" s="20"/>
      <c r="X32" s="20"/>
      <c r="Y32" s="20"/>
      <c r="Z32" s="5">
        <f t="shared" si="117"/>
        <v>114.47</v>
      </c>
      <c r="AA32" s="20"/>
      <c r="AB32" s="20"/>
      <c r="AC32" s="217">
        <f>D32-BE32</f>
        <v>114.46</v>
      </c>
      <c r="AD32" s="20"/>
      <c r="AE32" s="20"/>
      <c r="AF32" s="20"/>
      <c r="AG32" s="20">
        <v>0.01</v>
      </c>
      <c r="AH32" s="20"/>
      <c r="AI32" s="20"/>
      <c r="AJ32" s="20"/>
      <c r="AK32" s="20"/>
      <c r="AL32" s="20"/>
      <c r="AM32" s="20"/>
      <c r="AN32" s="20"/>
      <c r="AO32" s="20"/>
      <c r="AP32" s="20"/>
      <c r="AQ32" s="20"/>
      <c r="AR32" s="20"/>
      <c r="AS32" s="20"/>
      <c r="AT32" s="20"/>
      <c r="AU32" s="20"/>
      <c r="AV32" s="20"/>
      <c r="AW32" s="20"/>
      <c r="AX32" s="20"/>
      <c r="AY32" s="20"/>
      <c r="AZ32" s="20"/>
      <c r="BA32" s="20"/>
      <c r="BB32" s="20"/>
      <c r="BC32" s="20"/>
      <c r="BD32" s="121"/>
      <c r="BE32" s="5">
        <f>BC32+AS32+AP32+AO32+AN32+AM32+AL32+Y32+X32+W32+V32+U32+S32+R32+T32+E32+AR32+AQ32+AT32+AU32+AV32+AW32+AX32+AY32+AZ32+BA32+BB32+BD32+AA32+AB32+AD32+AE32+AF32+AG32+AH32+AI32+AJ32+AK32</f>
        <v>0.01</v>
      </c>
      <c r="BF32" s="20">
        <f>AC60-BE32</f>
        <v>19.529999999999998</v>
      </c>
      <c r="BG32" s="20">
        <f t="shared" si="123"/>
        <v>134</v>
      </c>
      <c r="BH32" s="225">
        <v>134.01</v>
      </c>
      <c r="BI32" s="245">
        <f t="shared" si="124"/>
        <v>-9.9999999999909051E-3</v>
      </c>
      <c r="BJ32" s="243">
        <f>'TONG TP'!D37</f>
        <v>71.976210000000009</v>
      </c>
      <c r="BK32" s="244">
        <f t="shared" si="41"/>
        <v>19.53</v>
      </c>
    </row>
    <row r="33" spans="1:63" s="21" customFormat="1" ht="24.75" customHeight="1">
      <c r="A33" s="213" t="s">
        <v>227</v>
      </c>
      <c r="B33" s="19" t="s">
        <v>481</v>
      </c>
      <c r="C33" s="20" t="s">
        <v>205</v>
      </c>
      <c r="D33" s="20">
        <v>9.8800000000000008</v>
      </c>
      <c r="E33" s="20">
        <f t="shared" si="63"/>
        <v>0</v>
      </c>
      <c r="F33" s="5">
        <f t="shared" si="119"/>
        <v>0</v>
      </c>
      <c r="G33" s="20"/>
      <c r="H33" s="20"/>
      <c r="I33" s="20"/>
      <c r="J33" s="20"/>
      <c r="K33" s="20"/>
      <c r="L33" s="20"/>
      <c r="M33" s="20"/>
      <c r="N33" s="20"/>
      <c r="O33" s="20"/>
      <c r="P33" s="20"/>
      <c r="Q33" s="5">
        <f t="shared" si="120"/>
        <v>9.8800000000000008</v>
      </c>
      <c r="R33" s="20"/>
      <c r="S33" s="20"/>
      <c r="T33" s="20"/>
      <c r="U33" s="20"/>
      <c r="V33" s="20"/>
      <c r="W33" s="20"/>
      <c r="X33" s="20"/>
      <c r="Y33" s="20"/>
      <c r="Z33" s="5">
        <f t="shared" si="117"/>
        <v>9.8800000000000008</v>
      </c>
      <c r="AA33" s="20"/>
      <c r="AB33" s="20"/>
      <c r="AC33" s="20"/>
      <c r="AD33" s="217">
        <f>D33-BE33</f>
        <v>9.8800000000000008</v>
      </c>
      <c r="AE33" s="20"/>
      <c r="AF33" s="20"/>
      <c r="AG33" s="20"/>
      <c r="AH33" s="20"/>
      <c r="AI33" s="20"/>
      <c r="AJ33" s="20"/>
      <c r="AK33" s="20"/>
      <c r="AL33" s="20"/>
      <c r="AM33" s="20"/>
      <c r="AN33" s="20"/>
      <c r="AO33" s="20"/>
      <c r="AP33" s="20"/>
      <c r="AQ33" s="20"/>
      <c r="AR33" s="20"/>
      <c r="AS33" s="20"/>
      <c r="AT33" s="20"/>
      <c r="AU33" s="20"/>
      <c r="AV33" s="20"/>
      <c r="AW33" s="20"/>
      <c r="AX33" s="20"/>
      <c r="AY33" s="20"/>
      <c r="AZ33" s="20"/>
      <c r="BA33" s="20"/>
      <c r="BB33" s="20"/>
      <c r="BC33" s="20"/>
      <c r="BD33" s="121"/>
      <c r="BE33" s="5">
        <f>BC33+AS33+AP33+AO33+AN33+AM33+AL33+Y33+X33+W33+V33+U33+S33+R33+T33+E33+AR33+AQ33+AT33+AU33+AV33+AW33+AX33+AY33+AZ33+BA33+BB33+BD33+AA33+AB33+AC33+AE33+AF33+AG33+AH33+AI33+AJ33+AK33</f>
        <v>0</v>
      </c>
      <c r="BF33" s="20">
        <f>AD60-BE33</f>
        <v>0.83</v>
      </c>
      <c r="BG33" s="20">
        <f t="shared" si="123"/>
        <v>10.71</v>
      </c>
      <c r="BH33" s="225">
        <v>10.71</v>
      </c>
      <c r="BI33" s="245">
        <f t="shared" si="124"/>
        <v>0</v>
      </c>
      <c r="BJ33" s="243">
        <f>'TONG TP'!D38</f>
        <v>113.738</v>
      </c>
      <c r="BK33" s="244">
        <f t="shared" si="41"/>
        <v>0.83000000000000007</v>
      </c>
    </row>
    <row r="34" spans="1:63" s="21" customFormat="1" ht="24.75" customHeight="1">
      <c r="A34" s="213" t="s">
        <v>228</v>
      </c>
      <c r="B34" s="19" t="s">
        <v>482</v>
      </c>
      <c r="C34" s="20" t="s">
        <v>206</v>
      </c>
      <c r="D34" s="20"/>
      <c r="E34" s="20">
        <f t="shared" si="63"/>
        <v>0</v>
      </c>
      <c r="F34" s="5">
        <f t="shared" si="119"/>
        <v>0</v>
      </c>
      <c r="G34" s="20"/>
      <c r="H34" s="20"/>
      <c r="I34" s="20"/>
      <c r="J34" s="20"/>
      <c r="K34" s="20"/>
      <c r="L34" s="20"/>
      <c r="M34" s="20"/>
      <c r="N34" s="20"/>
      <c r="O34" s="20"/>
      <c r="P34" s="20"/>
      <c r="Q34" s="5">
        <f t="shared" si="120"/>
        <v>0</v>
      </c>
      <c r="R34" s="20"/>
      <c r="S34" s="20"/>
      <c r="T34" s="20"/>
      <c r="U34" s="20"/>
      <c r="V34" s="20"/>
      <c r="W34" s="20"/>
      <c r="X34" s="20"/>
      <c r="Y34" s="20"/>
      <c r="Z34" s="5">
        <f t="shared" si="117"/>
        <v>0</v>
      </c>
      <c r="AA34" s="20"/>
      <c r="AB34" s="20"/>
      <c r="AC34" s="20"/>
      <c r="AD34" s="20"/>
      <c r="AE34" s="217"/>
      <c r="AF34" s="20"/>
      <c r="AG34" s="20"/>
      <c r="AH34" s="20"/>
      <c r="AI34" s="20"/>
      <c r="AJ34" s="20"/>
      <c r="AK34" s="20"/>
      <c r="AL34" s="20"/>
      <c r="AM34" s="20"/>
      <c r="AN34" s="20"/>
      <c r="AO34" s="20"/>
      <c r="AP34" s="20"/>
      <c r="AQ34" s="20"/>
      <c r="AR34" s="20"/>
      <c r="AS34" s="20"/>
      <c r="AT34" s="20"/>
      <c r="AU34" s="20"/>
      <c r="AV34" s="20"/>
      <c r="AW34" s="20"/>
      <c r="AX34" s="20"/>
      <c r="AY34" s="20"/>
      <c r="AZ34" s="20"/>
      <c r="BA34" s="20"/>
      <c r="BB34" s="20"/>
      <c r="BC34" s="20"/>
      <c r="BD34" s="121"/>
      <c r="BE34" s="5">
        <f>BC34+AS34+AP34+AO34+AN34+AM34+AL34+Y34+X34+W34+V34+U34+S34+R34+T34+E34+AR34+AQ34+AT34+AU34+AV34+AW34+AX34+AY34+AZ34+BA34+BB34+BD34+AB34+AC34+AD34+AA34+AF34+AG34+AH34+AI34+AJ34+AK34</f>
        <v>0</v>
      </c>
      <c r="BF34" s="20">
        <f>AE60-BE34</f>
        <v>0</v>
      </c>
      <c r="BG34" s="20">
        <f t="shared" si="123"/>
        <v>0</v>
      </c>
      <c r="BH34" s="225"/>
      <c r="BI34" s="245">
        <f t="shared" si="124"/>
        <v>0</v>
      </c>
      <c r="BJ34" s="243">
        <f>'TONG TP'!D39</f>
        <v>0</v>
      </c>
      <c r="BK34" s="244">
        <f t="shared" si="41"/>
        <v>0</v>
      </c>
    </row>
    <row r="35" spans="1:63" s="21" customFormat="1" ht="24.75" customHeight="1">
      <c r="A35" s="213" t="s">
        <v>229</v>
      </c>
      <c r="B35" s="19" t="s">
        <v>483</v>
      </c>
      <c r="C35" s="20" t="s">
        <v>207</v>
      </c>
      <c r="D35" s="20"/>
      <c r="E35" s="20">
        <f t="shared" si="63"/>
        <v>0</v>
      </c>
      <c r="F35" s="5">
        <f t="shared" si="119"/>
        <v>0</v>
      </c>
      <c r="G35" s="20"/>
      <c r="H35" s="20"/>
      <c r="I35" s="20"/>
      <c r="J35" s="20"/>
      <c r="K35" s="20"/>
      <c r="L35" s="20"/>
      <c r="M35" s="20"/>
      <c r="N35" s="20"/>
      <c r="O35" s="20"/>
      <c r="P35" s="20"/>
      <c r="Q35" s="5">
        <f t="shared" si="120"/>
        <v>0</v>
      </c>
      <c r="R35" s="20"/>
      <c r="S35" s="20"/>
      <c r="T35" s="20"/>
      <c r="U35" s="20"/>
      <c r="V35" s="20"/>
      <c r="W35" s="20"/>
      <c r="X35" s="20"/>
      <c r="Y35" s="20"/>
      <c r="Z35" s="5">
        <f t="shared" si="117"/>
        <v>0</v>
      </c>
      <c r="AA35" s="20"/>
      <c r="AB35" s="20"/>
      <c r="AC35" s="20"/>
      <c r="AD35" s="20"/>
      <c r="AE35" s="20"/>
      <c r="AF35" s="217"/>
      <c r="AG35" s="20"/>
      <c r="AH35" s="20"/>
      <c r="AI35" s="20"/>
      <c r="AJ35" s="20"/>
      <c r="AK35" s="20"/>
      <c r="AL35" s="20"/>
      <c r="AM35" s="20"/>
      <c r="AN35" s="20"/>
      <c r="AO35" s="20"/>
      <c r="AP35" s="20"/>
      <c r="AQ35" s="20"/>
      <c r="AR35" s="20"/>
      <c r="AS35" s="20"/>
      <c r="AT35" s="20"/>
      <c r="AU35" s="20"/>
      <c r="AV35" s="20"/>
      <c r="AW35" s="20"/>
      <c r="AX35" s="20"/>
      <c r="AY35" s="20"/>
      <c r="AZ35" s="20"/>
      <c r="BA35" s="20"/>
      <c r="BB35" s="20"/>
      <c r="BC35" s="20"/>
      <c r="BD35" s="121"/>
      <c r="BE35" s="5">
        <f>BC35+AS35+AP35+AO35+AN35+AM35+AL35+Y35+X35+W35+V35+U35+S35+R35+T35+E35+AR35+AQ35+AT35+AU35+AV35+AW35+AX35+AY35+AZ35+BA35+BB35+BD35+AB35+AC35+AD35+AE35+AA35+AG35+AH35+AI35+AJ35+AK35</f>
        <v>0</v>
      </c>
      <c r="BF35" s="20">
        <f>AF60-BE35</f>
        <v>0</v>
      </c>
      <c r="BG35" s="20">
        <f t="shared" si="123"/>
        <v>0</v>
      </c>
      <c r="BH35" s="225"/>
      <c r="BI35" s="245">
        <f t="shared" si="124"/>
        <v>0</v>
      </c>
      <c r="BJ35" s="243">
        <f>'TONG TP'!D40</f>
        <v>0.04</v>
      </c>
      <c r="BK35" s="244">
        <f t="shared" si="41"/>
        <v>0</v>
      </c>
    </row>
    <row r="36" spans="1:63" s="21" customFormat="1" ht="24.75" customHeight="1">
      <c r="A36" s="213" t="s">
        <v>230</v>
      </c>
      <c r="B36" s="19" t="s">
        <v>484</v>
      </c>
      <c r="C36" s="20" t="s">
        <v>199</v>
      </c>
      <c r="D36" s="20">
        <v>593.59</v>
      </c>
      <c r="E36" s="20">
        <f t="shared" si="63"/>
        <v>0</v>
      </c>
      <c r="F36" s="5">
        <f t="shared" si="119"/>
        <v>0</v>
      </c>
      <c r="G36" s="20"/>
      <c r="H36" s="20"/>
      <c r="I36" s="20"/>
      <c r="J36" s="20"/>
      <c r="K36" s="20"/>
      <c r="L36" s="20"/>
      <c r="M36" s="20"/>
      <c r="N36" s="20"/>
      <c r="O36" s="20"/>
      <c r="P36" s="20"/>
      <c r="Q36" s="5">
        <f t="shared" si="120"/>
        <v>593.58999999999992</v>
      </c>
      <c r="R36" s="20"/>
      <c r="S36" s="20">
        <v>0.5</v>
      </c>
      <c r="T36" s="20"/>
      <c r="U36" s="20"/>
      <c r="V36" s="20"/>
      <c r="W36" s="20"/>
      <c r="X36" s="20">
        <v>1.24</v>
      </c>
      <c r="Y36" s="20"/>
      <c r="Z36" s="5">
        <f t="shared" si="117"/>
        <v>591.63</v>
      </c>
      <c r="AA36" s="20"/>
      <c r="AB36" s="20">
        <v>1.75</v>
      </c>
      <c r="AC36" s="20"/>
      <c r="AD36" s="20"/>
      <c r="AE36" s="20"/>
      <c r="AF36" s="20"/>
      <c r="AG36" s="217">
        <f>D36-BE36</f>
        <v>589.88</v>
      </c>
      <c r="AH36" s="20"/>
      <c r="AI36" s="20"/>
      <c r="AJ36" s="20"/>
      <c r="AK36" s="20"/>
      <c r="AL36" s="20"/>
      <c r="AM36" s="20"/>
      <c r="AN36" s="20"/>
      <c r="AO36" s="20"/>
      <c r="AP36" s="20">
        <v>0.16</v>
      </c>
      <c r="AQ36" s="20"/>
      <c r="AR36" s="20"/>
      <c r="AS36" s="20"/>
      <c r="AT36" s="20"/>
      <c r="AU36" s="20"/>
      <c r="AV36" s="20"/>
      <c r="AW36" s="20"/>
      <c r="AX36" s="20"/>
      <c r="AY36" s="20">
        <v>0.06</v>
      </c>
      <c r="AZ36" s="20"/>
      <c r="BA36" s="20"/>
      <c r="BB36" s="20"/>
      <c r="BC36" s="20"/>
      <c r="BD36" s="121"/>
      <c r="BE36" s="5">
        <f>BC36+AS36+AP36+AO36+AN36+AM36+AL36+Y36+X36+W36+V36+U36+S36+R36+T36+E36+AR36+AQ36+AT36+AU36+AV36+AW36+AX36+AY36+AZ36+BA36+BB36+BD36+AA36+AB36+AC36+AD36+AE36+AF36+AH36+AI36+AJ36+AK36</f>
        <v>3.71</v>
      </c>
      <c r="BF36" s="20">
        <f>AG60-BE36</f>
        <v>350.36</v>
      </c>
      <c r="BG36" s="20">
        <f t="shared" si="123"/>
        <v>943.95</v>
      </c>
      <c r="BH36" s="225">
        <f>943.63+2.05</f>
        <v>945.68</v>
      </c>
      <c r="BI36" s="245">
        <f t="shared" si="124"/>
        <v>-1.7299999999999045</v>
      </c>
      <c r="BJ36" s="243">
        <f>'TONG TP'!D41</f>
        <v>1403.6425899999995</v>
      </c>
      <c r="BK36" s="244">
        <f t="shared" si="41"/>
        <v>350.36</v>
      </c>
    </row>
    <row r="37" spans="1:63" s="21" customFormat="1" ht="24.75" customHeight="1">
      <c r="A37" s="213" t="s">
        <v>231</v>
      </c>
      <c r="B37" s="19" t="s">
        <v>485</v>
      </c>
      <c r="C37" s="20" t="s">
        <v>200</v>
      </c>
      <c r="D37" s="20">
        <v>517.64</v>
      </c>
      <c r="E37" s="20">
        <f t="shared" si="63"/>
        <v>0.21</v>
      </c>
      <c r="F37" s="5">
        <f t="shared" si="119"/>
        <v>0</v>
      </c>
      <c r="G37" s="20"/>
      <c r="H37" s="20"/>
      <c r="I37" s="20"/>
      <c r="J37" s="20"/>
      <c r="K37" s="20"/>
      <c r="L37" s="20"/>
      <c r="M37" s="20"/>
      <c r="N37" s="20">
        <v>0.21</v>
      </c>
      <c r="O37" s="20"/>
      <c r="P37" s="20"/>
      <c r="Q37" s="5">
        <f t="shared" si="120"/>
        <v>515.18999999999994</v>
      </c>
      <c r="R37" s="20"/>
      <c r="S37" s="20">
        <v>0.16</v>
      </c>
      <c r="T37" s="20"/>
      <c r="U37" s="20"/>
      <c r="V37" s="20"/>
      <c r="W37" s="20"/>
      <c r="X37" s="20">
        <v>1</v>
      </c>
      <c r="Y37" s="20"/>
      <c r="Z37" s="5">
        <f t="shared" si="117"/>
        <v>513.92999999999995</v>
      </c>
      <c r="AA37" s="20"/>
      <c r="AB37" s="20"/>
      <c r="AC37" s="20"/>
      <c r="AD37" s="20"/>
      <c r="AE37" s="20"/>
      <c r="AF37" s="20"/>
      <c r="AG37" s="20"/>
      <c r="AH37" s="217">
        <f>D37-BE36</f>
        <v>513.92999999999995</v>
      </c>
      <c r="AI37" s="20"/>
      <c r="AJ37" s="20"/>
      <c r="AK37" s="20"/>
      <c r="AL37" s="20"/>
      <c r="AM37" s="20"/>
      <c r="AN37" s="20"/>
      <c r="AO37" s="20"/>
      <c r="AP37" s="20">
        <v>0.1</v>
      </c>
      <c r="AQ37" s="20"/>
      <c r="AR37" s="20"/>
      <c r="AS37" s="20"/>
      <c r="AT37" s="20"/>
      <c r="AU37" s="20"/>
      <c r="AV37" s="20"/>
      <c r="AW37" s="20"/>
      <c r="AX37" s="20"/>
      <c r="AY37" s="20"/>
      <c r="AZ37" s="20"/>
      <c r="BA37" s="20"/>
      <c r="BB37" s="20"/>
      <c r="BC37" s="20"/>
      <c r="BD37" s="121"/>
      <c r="BE37" s="5">
        <f>BC37+AS37+AP37+AO37+AN37+AM37+AL37+Y37+X37+W37+V37+U37+S37+R37+T37+E37+AR37+AQ37+AT37+AU37+AV37+AW37+AX37+AY37+AZ37+BA37+BB37+BD37+AB37+AC37+AD37+AE37+AF37+AA37+AG37+AI37+AJ37+AK37</f>
        <v>1.47</v>
      </c>
      <c r="BF37" s="20">
        <f>AH60-BE37</f>
        <v>35.03</v>
      </c>
      <c r="BG37" s="20">
        <f t="shared" si="123"/>
        <v>552.66999999999996</v>
      </c>
      <c r="BH37" s="225">
        <v>552.66999999999996</v>
      </c>
      <c r="BI37" s="245">
        <f t="shared" si="124"/>
        <v>0</v>
      </c>
      <c r="BJ37" s="243">
        <f>'TONG TP'!D42</f>
        <v>514.57782999999995</v>
      </c>
      <c r="BK37" s="244">
        <f t="shared" si="41"/>
        <v>35.029999999999973</v>
      </c>
    </row>
    <row r="38" spans="1:63" s="21" customFormat="1" ht="24.75" customHeight="1">
      <c r="A38" s="213" t="s">
        <v>232</v>
      </c>
      <c r="B38" s="19" t="s">
        <v>486</v>
      </c>
      <c r="C38" s="20" t="s">
        <v>223</v>
      </c>
      <c r="D38" s="20">
        <v>1.66</v>
      </c>
      <c r="E38" s="20">
        <f t="shared" si="63"/>
        <v>0</v>
      </c>
      <c r="F38" s="5">
        <f t="shared" si="119"/>
        <v>0</v>
      </c>
      <c r="G38" s="20"/>
      <c r="H38" s="20"/>
      <c r="I38" s="20"/>
      <c r="J38" s="20"/>
      <c r="K38" s="20"/>
      <c r="L38" s="20"/>
      <c r="M38" s="20"/>
      <c r="N38" s="20"/>
      <c r="O38" s="20"/>
      <c r="P38" s="20"/>
      <c r="Q38" s="5">
        <f t="shared" si="120"/>
        <v>1.66</v>
      </c>
      <c r="R38" s="20"/>
      <c r="S38" s="20"/>
      <c r="T38" s="20"/>
      <c r="U38" s="20"/>
      <c r="V38" s="20"/>
      <c r="W38" s="20"/>
      <c r="X38" s="20"/>
      <c r="Y38" s="20"/>
      <c r="Z38" s="5">
        <f t="shared" si="117"/>
        <v>1.66</v>
      </c>
      <c r="AA38" s="20"/>
      <c r="AB38" s="20"/>
      <c r="AC38" s="20"/>
      <c r="AD38" s="20"/>
      <c r="AE38" s="20"/>
      <c r="AF38" s="20"/>
      <c r="AG38" s="20">
        <v>0.01</v>
      </c>
      <c r="AH38" s="20"/>
      <c r="AI38" s="217">
        <f>D38-BE38</f>
        <v>1.65</v>
      </c>
      <c r="AJ38" s="20"/>
      <c r="AK38" s="20"/>
      <c r="AL38" s="20"/>
      <c r="AM38" s="20"/>
      <c r="AN38" s="20"/>
      <c r="AO38" s="20"/>
      <c r="AP38" s="20"/>
      <c r="AQ38" s="20"/>
      <c r="AR38" s="20"/>
      <c r="AS38" s="20"/>
      <c r="AT38" s="20"/>
      <c r="AU38" s="20"/>
      <c r="AV38" s="20"/>
      <c r="AW38" s="20"/>
      <c r="AX38" s="20"/>
      <c r="AY38" s="20"/>
      <c r="AZ38" s="20"/>
      <c r="BA38" s="20"/>
      <c r="BB38" s="20"/>
      <c r="BC38" s="20"/>
      <c r="BD38" s="121"/>
      <c r="BE38" s="5">
        <f>BC38+AS38+AP38+AO38+AN38+AM38+AL38+Y38+X38+W38+V38+U38+S38+R38+T38+E38+AR38+AQ38+AT38+AU38+AV38+AW38+AX38+AY38+AZ38+BA38+BB38+BD38+AA38+AB38+AC38+AD38+AE38+AF38+AG38+AH38+AJ38+AK38</f>
        <v>0.01</v>
      </c>
      <c r="BF38" s="20">
        <f>AI60-BE38</f>
        <v>0.01</v>
      </c>
      <c r="BG38" s="20">
        <f t="shared" si="123"/>
        <v>1.67</v>
      </c>
      <c r="BH38" s="225">
        <v>1.68</v>
      </c>
      <c r="BI38" s="245">
        <f t="shared" si="124"/>
        <v>-1.0000000000000009E-2</v>
      </c>
      <c r="BJ38" s="243">
        <f>'TONG TP'!D43</f>
        <v>2.4999999999999996</v>
      </c>
      <c r="BK38" s="244">
        <f t="shared" si="41"/>
        <v>1.0000000000000009E-2</v>
      </c>
    </row>
    <row r="39" spans="1:63" s="21" customFormat="1" ht="24.75" customHeight="1">
      <c r="A39" s="213" t="s">
        <v>233</v>
      </c>
      <c r="B39" s="19" t="s">
        <v>487</v>
      </c>
      <c r="C39" s="20" t="s">
        <v>201</v>
      </c>
      <c r="D39" s="20">
        <v>0.46</v>
      </c>
      <c r="E39" s="20">
        <f t="shared" si="63"/>
        <v>0</v>
      </c>
      <c r="F39" s="5">
        <f t="shared" si="119"/>
        <v>0</v>
      </c>
      <c r="G39" s="20"/>
      <c r="H39" s="20"/>
      <c r="I39" s="20"/>
      <c r="J39" s="20"/>
      <c r="K39" s="20"/>
      <c r="L39" s="20"/>
      <c r="M39" s="20"/>
      <c r="N39" s="20"/>
      <c r="O39" s="20"/>
      <c r="P39" s="20"/>
      <c r="Q39" s="5">
        <f t="shared" si="120"/>
        <v>0.46</v>
      </c>
      <c r="R39" s="20"/>
      <c r="S39" s="20"/>
      <c r="T39" s="20"/>
      <c r="U39" s="20"/>
      <c r="V39" s="20"/>
      <c r="W39" s="20"/>
      <c r="X39" s="20"/>
      <c r="Y39" s="20"/>
      <c r="Z39" s="5">
        <f t="shared" si="117"/>
        <v>0.46</v>
      </c>
      <c r="AA39" s="20"/>
      <c r="AB39" s="20"/>
      <c r="AC39" s="20"/>
      <c r="AD39" s="20"/>
      <c r="AE39" s="20"/>
      <c r="AF39" s="20"/>
      <c r="AG39" s="20"/>
      <c r="AH39" s="20"/>
      <c r="AI39" s="20"/>
      <c r="AJ39" s="217">
        <f>D39-BE39</f>
        <v>0.46</v>
      </c>
      <c r="AK39" s="20"/>
      <c r="AL39" s="20"/>
      <c r="AM39" s="20"/>
      <c r="AN39" s="20"/>
      <c r="AO39" s="20"/>
      <c r="AP39" s="20"/>
      <c r="AQ39" s="20"/>
      <c r="AR39" s="20"/>
      <c r="AS39" s="20"/>
      <c r="AT39" s="20"/>
      <c r="AU39" s="20"/>
      <c r="AV39" s="20"/>
      <c r="AW39" s="20"/>
      <c r="AX39" s="20"/>
      <c r="AY39" s="20"/>
      <c r="AZ39" s="20"/>
      <c r="BA39" s="20"/>
      <c r="BB39" s="20"/>
      <c r="BC39" s="20"/>
      <c r="BD39" s="121"/>
      <c r="BE39" s="5">
        <f>BC39+AS39+AP39+AO39+AN39+AM39+AL39+Y39+X39+W39+V39+U39+S39+R39+T39+E39+AR39+AQ39+AT39+AU39+AV39+AW39+AX39+AY39+AZ39+BA39+BB39+BD39+AA39+AB39+AC39+AD39+AE39+AF39+AG39+AH39+AI39+AK39</f>
        <v>0</v>
      </c>
      <c r="BF39" s="20">
        <f>AJ60-BE39</f>
        <v>0.02</v>
      </c>
      <c r="BG39" s="20">
        <f t="shared" si="123"/>
        <v>0.48000000000000004</v>
      </c>
      <c r="BH39" s="225">
        <v>0.48</v>
      </c>
      <c r="BI39" s="245">
        <f t="shared" si="124"/>
        <v>0</v>
      </c>
      <c r="BJ39" s="243">
        <f>'TONG TP'!D44</f>
        <v>1.49255</v>
      </c>
      <c r="BK39" s="244">
        <f t="shared" si="41"/>
        <v>2.0000000000000018E-2</v>
      </c>
    </row>
    <row r="40" spans="1:63" s="21" customFormat="1" ht="24.75" customHeight="1">
      <c r="A40" s="213" t="s">
        <v>234</v>
      </c>
      <c r="B40" s="19" t="s">
        <v>488</v>
      </c>
      <c r="C40" s="20" t="s">
        <v>208</v>
      </c>
      <c r="D40" s="20">
        <v>7.55</v>
      </c>
      <c r="E40" s="20">
        <f t="shared" si="63"/>
        <v>0</v>
      </c>
      <c r="F40" s="5">
        <f t="shared" si="119"/>
        <v>0</v>
      </c>
      <c r="G40" s="20"/>
      <c r="H40" s="20"/>
      <c r="I40" s="20"/>
      <c r="J40" s="20"/>
      <c r="K40" s="20"/>
      <c r="L40" s="20"/>
      <c r="M40" s="20"/>
      <c r="N40" s="20"/>
      <c r="O40" s="20"/>
      <c r="P40" s="20"/>
      <c r="Q40" s="5">
        <f t="shared" si="120"/>
        <v>7.55</v>
      </c>
      <c r="R40" s="20"/>
      <c r="S40" s="20"/>
      <c r="T40" s="20"/>
      <c r="U40" s="20"/>
      <c r="V40" s="20"/>
      <c r="W40" s="20"/>
      <c r="X40" s="20"/>
      <c r="Y40" s="20"/>
      <c r="Z40" s="5">
        <f t="shared" si="117"/>
        <v>7.55</v>
      </c>
      <c r="AA40" s="20"/>
      <c r="AB40" s="20"/>
      <c r="AC40" s="20"/>
      <c r="AD40" s="20"/>
      <c r="AE40" s="20"/>
      <c r="AF40" s="20"/>
      <c r="AG40" s="20"/>
      <c r="AH40" s="20"/>
      <c r="AI40" s="20"/>
      <c r="AJ40" s="20"/>
      <c r="AK40" s="217">
        <f>D40-BE40</f>
        <v>7.55</v>
      </c>
      <c r="AL40" s="20"/>
      <c r="AM40" s="20"/>
      <c r="AN40" s="20"/>
      <c r="AO40" s="20"/>
      <c r="AP40" s="20"/>
      <c r="AQ40" s="20"/>
      <c r="AR40" s="20"/>
      <c r="AS40" s="20"/>
      <c r="AT40" s="20"/>
      <c r="AU40" s="20"/>
      <c r="AV40" s="20"/>
      <c r="AW40" s="20"/>
      <c r="AX40" s="20"/>
      <c r="AY40" s="20"/>
      <c r="AZ40" s="20"/>
      <c r="BA40" s="20"/>
      <c r="BB40" s="20"/>
      <c r="BC40" s="20"/>
      <c r="BD40" s="121"/>
      <c r="BE40" s="5">
        <f>BC40+AS40+AP40+AO40+AN40+AM40+AL40+Y40+X40+W40+V40+U40+S40+R40+T40+E40+AR40+AQ40+AT40+AU40+AV40+AW40+AX40+AY40+AZ40+BA40+BB40+BD40+AA40+AB40+AC40+AD40+AE40+AF40+AG40+AH40+AI40+AJ40</f>
        <v>0</v>
      </c>
      <c r="BF40" s="20">
        <f>AK60-BE40</f>
        <v>0.01</v>
      </c>
      <c r="BG40" s="20">
        <f t="shared" si="123"/>
        <v>7.56</v>
      </c>
      <c r="BH40" s="225">
        <v>7.56</v>
      </c>
      <c r="BI40" s="245">
        <f t="shared" si="124"/>
        <v>0</v>
      </c>
      <c r="BJ40" s="243">
        <f>'TONG TP'!D45</f>
        <v>11.981619999999999</v>
      </c>
      <c r="BK40" s="244">
        <f t="shared" si="41"/>
        <v>9.9999999999997868E-3</v>
      </c>
    </row>
    <row r="41" spans="1:63" s="2" customFormat="1" ht="22.5" customHeight="1">
      <c r="A41" s="5" t="s">
        <v>73</v>
      </c>
      <c r="B41" s="72" t="s">
        <v>74</v>
      </c>
      <c r="C41" s="5" t="s">
        <v>75</v>
      </c>
      <c r="D41" s="122">
        <v>16.32</v>
      </c>
      <c r="E41" s="5">
        <f t="shared" si="63"/>
        <v>0</v>
      </c>
      <c r="F41" s="5">
        <f t="shared" si="119"/>
        <v>0</v>
      </c>
      <c r="G41" s="5"/>
      <c r="H41" s="5"/>
      <c r="I41" s="5"/>
      <c r="J41" s="5"/>
      <c r="K41" s="5"/>
      <c r="L41" s="5"/>
      <c r="M41" s="5"/>
      <c r="N41" s="5"/>
      <c r="O41" s="5"/>
      <c r="P41" s="5"/>
      <c r="Q41" s="5">
        <f t="shared" si="120"/>
        <v>7.59</v>
      </c>
      <c r="R41" s="5"/>
      <c r="S41" s="5"/>
      <c r="T41" s="5"/>
      <c r="U41" s="5"/>
      <c r="V41" s="5"/>
      <c r="W41" s="5"/>
      <c r="X41" s="5"/>
      <c r="Y41" s="5"/>
      <c r="Z41" s="5">
        <f t="shared" si="117"/>
        <v>0</v>
      </c>
      <c r="AA41" s="5"/>
      <c r="AB41" s="5"/>
      <c r="AC41" s="5"/>
      <c r="AD41" s="5"/>
      <c r="AE41" s="5"/>
      <c r="AF41" s="5"/>
      <c r="AG41" s="5"/>
      <c r="AH41" s="5"/>
      <c r="AI41" s="5"/>
      <c r="AJ41" s="5"/>
      <c r="AK41" s="5"/>
      <c r="AL41" s="215">
        <f>D41-BE41</f>
        <v>7.59</v>
      </c>
      <c r="AM41" s="5"/>
      <c r="AN41" s="5"/>
      <c r="AO41" s="5"/>
      <c r="AP41" s="5"/>
      <c r="AQ41" s="5"/>
      <c r="AR41" s="5"/>
      <c r="AS41" s="5"/>
      <c r="AT41" s="5"/>
      <c r="AU41" s="5"/>
      <c r="AV41" s="5"/>
      <c r="AW41" s="5"/>
      <c r="AX41" s="5"/>
      <c r="AY41" s="5"/>
      <c r="AZ41" s="5"/>
      <c r="BA41" s="5"/>
      <c r="BB41" s="5"/>
      <c r="BC41" s="5"/>
      <c r="BD41" s="121">
        <f>8.56+0.17</f>
        <v>8.73</v>
      </c>
      <c r="BE41" s="5">
        <f>BC41+AS41+AP41+AO41+AN41+AM41+Z41+Y41+X41+W41+V41+U41+S41+R41+T41+E41+AR41+AQ41+AT41+AU41+AV41+AW41+AX41+AY41+AZ41+BA41+BB41+BD41</f>
        <v>8.73</v>
      </c>
      <c r="BF41" s="5">
        <f>AL60-BE41</f>
        <v>-8.73</v>
      </c>
      <c r="BG41" s="5">
        <f t="shared" si="118"/>
        <v>7.59</v>
      </c>
      <c r="BH41" s="224">
        <f>'BIEN DONG'!AT28</f>
        <v>7.59</v>
      </c>
      <c r="BI41" s="244">
        <f>BG41-BH41</f>
        <v>0</v>
      </c>
      <c r="BJ41" s="243">
        <f>'TONG TP'!D46</f>
        <v>0.24000000000000002</v>
      </c>
      <c r="BK41" s="244">
        <f t="shared" si="41"/>
        <v>-8.73</v>
      </c>
    </row>
    <row r="42" spans="1:63" s="2" customFormat="1" ht="22.5" customHeight="1">
      <c r="A42" s="5" t="s">
        <v>76</v>
      </c>
      <c r="B42" s="72" t="s">
        <v>77</v>
      </c>
      <c r="C42" s="5" t="s">
        <v>78</v>
      </c>
      <c r="D42" s="5"/>
      <c r="E42" s="5">
        <f t="shared" si="63"/>
        <v>0</v>
      </c>
      <c r="F42" s="5">
        <f t="shared" si="119"/>
        <v>0</v>
      </c>
      <c r="G42" s="5"/>
      <c r="H42" s="5"/>
      <c r="I42" s="5"/>
      <c r="J42" s="5"/>
      <c r="K42" s="5"/>
      <c r="L42" s="5"/>
      <c r="M42" s="5"/>
      <c r="N42" s="5"/>
      <c r="O42" s="5"/>
      <c r="P42" s="5"/>
      <c r="Q42" s="5">
        <f t="shared" si="120"/>
        <v>0</v>
      </c>
      <c r="R42" s="5"/>
      <c r="S42" s="5"/>
      <c r="T42" s="5"/>
      <c r="U42" s="5"/>
      <c r="V42" s="5"/>
      <c r="W42" s="5"/>
      <c r="X42" s="5"/>
      <c r="Y42" s="5"/>
      <c r="Z42" s="5">
        <f t="shared" si="117"/>
        <v>0</v>
      </c>
      <c r="AA42" s="5"/>
      <c r="AB42" s="5"/>
      <c r="AC42" s="5"/>
      <c r="AD42" s="5"/>
      <c r="AE42" s="5"/>
      <c r="AF42" s="5"/>
      <c r="AG42" s="5"/>
      <c r="AH42" s="5"/>
      <c r="AI42" s="5"/>
      <c r="AJ42" s="5"/>
      <c r="AK42" s="5"/>
      <c r="AL42" s="5"/>
      <c r="AM42" s="215">
        <f>D42-BE42</f>
        <v>0</v>
      </c>
      <c r="AN42" s="5"/>
      <c r="AO42" s="5"/>
      <c r="AP42" s="5"/>
      <c r="AQ42" s="5"/>
      <c r="AR42" s="5"/>
      <c r="AS42" s="5"/>
      <c r="AT42" s="5"/>
      <c r="AU42" s="5"/>
      <c r="AV42" s="5"/>
      <c r="AW42" s="5"/>
      <c r="AX42" s="5"/>
      <c r="AY42" s="5"/>
      <c r="AZ42" s="5"/>
      <c r="BA42" s="5"/>
      <c r="BB42" s="5"/>
      <c r="BC42" s="5"/>
      <c r="BD42" s="121"/>
      <c r="BE42" s="5">
        <f>BC42+AS42+AP42+AO42+AN42+AL42+Z42+Y42+X42+W42+V42+U42+S42+R42+T42+E42+AR42+AQ42+AT42+AU42+AV42+AW42+AX42+AY42+AZ42+BA42+BB42+BD42</f>
        <v>0</v>
      </c>
      <c r="BF42" s="5">
        <f>AM60-BD42</f>
        <v>0</v>
      </c>
      <c r="BG42" s="5">
        <f t="shared" si="118"/>
        <v>0</v>
      </c>
      <c r="BH42" s="224">
        <f>'BIEN DONG'!AT29</f>
        <v>0</v>
      </c>
      <c r="BI42" s="244">
        <f t="shared" ref="BI42:BI58" si="125">BG42-BH42</f>
        <v>0</v>
      </c>
      <c r="BJ42" s="243">
        <f>'TONG TP'!D47</f>
        <v>0</v>
      </c>
      <c r="BK42" s="244">
        <f t="shared" si="41"/>
        <v>0</v>
      </c>
    </row>
    <row r="43" spans="1:63" s="2" customFormat="1" ht="22.5" customHeight="1">
      <c r="A43" s="5" t="s">
        <v>79</v>
      </c>
      <c r="B43" s="72" t="s">
        <v>80</v>
      </c>
      <c r="C43" s="5" t="s">
        <v>81</v>
      </c>
      <c r="D43" s="122">
        <v>5.77</v>
      </c>
      <c r="E43" s="5">
        <f t="shared" si="63"/>
        <v>0</v>
      </c>
      <c r="F43" s="5">
        <f t="shared" si="119"/>
        <v>0</v>
      </c>
      <c r="G43" s="5"/>
      <c r="H43" s="5"/>
      <c r="I43" s="5"/>
      <c r="J43" s="5"/>
      <c r="K43" s="5"/>
      <c r="L43" s="5"/>
      <c r="M43" s="5"/>
      <c r="N43" s="5"/>
      <c r="O43" s="5"/>
      <c r="P43" s="5"/>
      <c r="Q43" s="5">
        <f t="shared" si="120"/>
        <v>4.5</v>
      </c>
      <c r="R43" s="5"/>
      <c r="S43" s="5"/>
      <c r="T43" s="5"/>
      <c r="U43" s="5"/>
      <c r="V43" s="5"/>
      <c r="W43" s="5"/>
      <c r="X43" s="5"/>
      <c r="Y43" s="5"/>
      <c r="Z43" s="5">
        <f t="shared" si="117"/>
        <v>0</v>
      </c>
      <c r="AA43" s="5"/>
      <c r="AB43" s="5"/>
      <c r="AC43" s="5"/>
      <c r="AD43" s="5"/>
      <c r="AE43" s="5"/>
      <c r="AF43" s="5"/>
      <c r="AG43" s="5"/>
      <c r="AH43" s="5"/>
      <c r="AI43" s="5"/>
      <c r="AJ43" s="5"/>
      <c r="AK43" s="5"/>
      <c r="AL43" s="5"/>
      <c r="AM43" s="5"/>
      <c r="AN43" s="215">
        <f>D43-BE43</f>
        <v>4.5</v>
      </c>
      <c r="AO43" s="5"/>
      <c r="AP43" s="5"/>
      <c r="AQ43" s="5"/>
      <c r="AR43" s="5"/>
      <c r="AS43" s="5"/>
      <c r="AT43" s="5"/>
      <c r="AU43" s="5"/>
      <c r="AV43" s="5"/>
      <c r="AW43" s="5"/>
      <c r="AX43" s="5"/>
      <c r="AY43" s="5"/>
      <c r="AZ43" s="5"/>
      <c r="BA43" s="5"/>
      <c r="BB43" s="5"/>
      <c r="BC43" s="5"/>
      <c r="BD43" s="121">
        <v>1.27</v>
      </c>
      <c r="BE43" s="5">
        <f>BC43+AS43+AP43+AO43+AM43+AM43+Z43+Y43+X43+W43+V43+AL43+U43+S43+R43+T43+E43+AR43+AQ43+AT43+AU43+AV43+AW43+AX43+AY43+AZ43+BA43+BB43+BD43</f>
        <v>1.27</v>
      </c>
      <c r="BF43" s="5">
        <f>AN60-BE43</f>
        <v>-1.25</v>
      </c>
      <c r="BG43" s="5">
        <f t="shared" si="118"/>
        <v>4.5199999999999996</v>
      </c>
      <c r="BH43" s="224">
        <f>'BIEN DONG'!AT30</f>
        <v>4.5199999999999996</v>
      </c>
      <c r="BI43" s="244">
        <f t="shared" si="125"/>
        <v>0</v>
      </c>
      <c r="BJ43" s="243">
        <f>'TONG TP'!D48</f>
        <v>44.33</v>
      </c>
      <c r="BK43" s="244">
        <f t="shared" si="41"/>
        <v>-1.25</v>
      </c>
    </row>
    <row r="44" spans="1:63" s="2" customFormat="1" ht="22.5" customHeight="1">
      <c r="A44" s="5" t="s">
        <v>82</v>
      </c>
      <c r="B44" s="72" t="s">
        <v>83</v>
      </c>
      <c r="C44" s="5" t="s">
        <v>84</v>
      </c>
      <c r="D44" s="122">
        <v>963.83</v>
      </c>
      <c r="E44" s="5">
        <f t="shared" si="63"/>
        <v>0.04</v>
      </c>
      <c r="F44" s="5">
        <f t="shared" si="119"/>
        <v>0.04</v>
      </c>
      <c r="G44" s="5">
        <v>0.04</v>
      </c>
      <c r="H44" s="5"/>
      <c r="I44" s="5"/>
      <c r="J44" s="5"/>
      <c r="K44" s="5"/>
      <c r="L44" s="5"/>
      <c r="M44" s="5"/>
      <c r="N44" s="5"/>
      <c r="O44" s="5"/>
      <c r="P44" s="5"/>
      <c r="Q44" s="5">
        <f>R44+S44+T44+U44+V44+W44+X44+Y44+Z44+AL44+AM44+AN44+AO44+AP44+AQ44+AR44+AS44+AT44+AU44+AV44+AW44+AX44+AY44+AZ44+BA44+BB44</f>
        <v>947.04</v>
      </c>
      <c r="R44" s="5"/>
      <c r="S44" s="5"/>
      <c r="T44" s="5"/>
      <c r="U44" s="5"/>
      <c r="V44" s="5"/>
      <c r="W44" s="5"/>
      <c r="X44" s="5"/>
      <c r="Y44" s="5"/>
      <c r="Z44" s="5">
        <f>SUM(AA44:AK44)</f>
        <v>2.7800000000000002</v>
      </c>
      <c r="AA44" s="5"/>
      <c r="AB44" s="5"/>
      <c r="AC44" s="5">
        <v>0.79</v>
      </c>
      <c r="AD44" s="5"/>
      <c r="AE44" s="5"/>
      <c r="AF44" s="5"/>
      <c r="AG44" s="5">
        <v>1.99</v>
      </c>
      <c r="AH44" s="5"/>
      <c r="AI44" s="5"/>
      <c r="AJ44" s="5"/>
      <c r="AK44" s="5"/>
      <c r="AL44" s="5"/>
      <c r="AM44" s="5"/>
      <c r="AN44" s="5"/>
      <c r="AO44" s="215">
        <f>D44-BE44</f>
        <v>493.66</v>
      </c>
      <c r="AP44" s="5">
        <f>502.26-38.57-13.09</f>
        <v>450.6</v>
      </c>
      <c r="AQ44" s="5"/>
      <c r="AR44" s="5"/>
      <c r="AS44" s="5"/>
      <c r="AT44" s="5"/>
      <c r="AU44" s="5"/>
      <c r="AV44" s="5"/>
      <c r="AW44" s="5"/>
      <c r="AX44" s="5"/>
      <c r="AY44" s="5"/>
      <c r="AZ44" s="5"/>
      <c r="BA44" s="5"/>
      <c r="BB44" s="5"/>
      <c r="BC44" s="5"/>
      <c r="BD44" s="121">
        <f>129.64-48.34-64.55</f>
        <v>16.749999999999986</v>
      </c>
      <c r="BE44" s="5">
        <f>BC44+AS44+AP44+AN44+AM44+AM44+Z44+Y44+X44+W44+V44+AL44+U44+S44+R44+T44+E44+AR44+AQ44+AT44+AU44+AV44+AW44+AX44+AY44+AZ44+BA44+BB44+BD44</f>
        <v>470.17</v>
      </c>
      <c r="BF44" s="5">
        <f>AO60-BE44</f>
        <v>-457.98</v>
      </c>
      <c r="BG44" s="5">
        <f t="shared" si="118"/>
        <v>505.85</v>
      </c>
      <c r="BH44" s="224">
        <f>'BIEN DONG'!AT31</f>
        <v>505.85</v>
      </c>
      <c r="BI44" s="244">
        <f t="shared" si="125"/>
        <v>0</v>
      </c>
      <c r="BJ44" s="243">
        <f>'TONG TP'!D49</f>
        <v>312.20955000000004</v>
      </c>
      <c r="BK44" s="244">
        <f t="shared" si="41"/>
        <v>-457.98</v>
      </c>
    </row>
    <row r="45" spans="1:63" s="2" customFormat="1" ht="22.5" customHeight="1">
      <c r="A45" s="5" t="s">
        <v>85</v>
      </c>
      <c r="B45" s="72" t="s">
        <v>86</v>
      </c>
      <c r="C45" s="5" t="s">
        <v>87</v>
      </c>
      <c r="D45" s="122">
        <v>120.22</v>
      </c>
      <c r="E45" s="5">
        <f t="shared" si="63"/>
        <v>0.03</v>
      </c>
      <c r="F45" s="5">
        <f t="shared" si="119"/>
        <v>0.03</v>
      </c>
      <c r="G45" s="5">
        <v>0.03</v>
      </c>
      <c r="H45" s="5"/>
      <c r="I45" s="5"/>
      <c r="J45" s="5"/>
      <c r="K45" s="5"/>
      <c r="L45" s="5"/>
      <c r="M45" s="5"/>
      <c r="N45" s="5"/>
      <c r="O45" s="5"/>
      <c r="P45" s="5"/>
      <c r="Q45" s="5">
        <f t="shared" si="120"/>
        <v>120.19</v>
      </c>
      <c r="R45" s="5"/>
      <c r="S45" s="5"/>
      <c r="T45" s="5"/>
      <c r="U45" s="5"/>
      <c r="V45" s="5"/>
      <c r="W45" s="5"/>
      <c r="X45" s="5"/>
      <c r="Y45" s="5"/>
      <c r="Z45" s="5">
        <f t="shared" si="117"/>
        <v>0.16</v>
      </c>
      <c r="AA45" s="5"/>
      <c r="AB45" s="5"/>
      <c r="AC45" s="5"/>
      <c r="AD45" s="5"/>
      <c r="AE45" s="5"/>
      <c r="AF45" s="5"/>
      <c r="AG45" s="5">
        <v>0.16</v>
      </c>
      <c r="AH45" s="5"/>
      <c r="AI45" s="5"/>
      <c r="AJ45" s="5"/>
      <c r="AK45" s="5"/>
      <c r="AL45" s="5"/>
      <c r="AM45" s="5"/>
      <c r="AN45" s="5"/>
      <c r="AO45" s="5"/>
      <c r="AP45" s="215">
        <f>D45-BE45</f>
        <v>120.03</v>
      </c>
      <c r="AQ45" s="5"/>
      <c r="AR45" s="5"/>
      <c r="AS45" s="5"/>
      <c r="AT45" s="5"/>
      <c r="AU45" s="5"/>
      <c r="AV45" s="5"/>
      <c r="AW45" s="5"/>
      <c r="AX45" s="5"/>
      <c r="AY45" s="5"/>
      <c r="AZ45" s="5"/>
      <c r="BA45" s="5"/>
      <c r="BB45" s="5"/>
      <c r="BC45" s="5"/>
      <c r="BD45" s="121"/>
      <c r="BE45" s="5">
        <f>BC45+AS45+AO45+AN45+AM45+AM45+Z45+Y45+X45+W45+V45+AL45+U45+S45+R45+T45+E45+AR45+AQ45+AT45+AU45+AV45+AW45+AX45+AY45+AZ45+BA45+BB45+BD45</f>
        <v>0.19</v>
      </c>
      <c r="BF45" s="5">
        <f>AP60-BE45</f>
        <v>489.90000000000003</v>
      </c>
      <c r="BG45" s="5">
        <f t="shared" si="118"/>
        <v>610.12</v>
      </c>
      <c r="BH45" s="224">
        <f>'BIEN DONG'!AT32</f>
        <v>610.12</v>
      </c>
      <c r="BI45" s="244">
        <f t="shared" si="125"/>
        <v>0</v>
      </c>
      <c r="BJ45" s="243">
        <f>'TONG TP'!D50</f>
        <v>360.37450000000001</v>
      </c>
      <c r="BK45" s="244">
        <f t="shared" si="41"/>
        <v>489.9</v>
      </c>
    </row>
    <row r="46" spans="1:63" s="2" customFormat="1" ht="22.5" customHeight="1">
      <c r="A46" s="5" t="s">
        <v>88</v>
      </c>
      <c r="B46" s="72" t="s">
        <v>89</v>
      </c>
      <c r="C46" s="5" t="s">
        <v>90</v>
      </c>
      <c r="D46" s="122">
        <f>19.85-3.5</f>
        <v>16.350000000000001</v>
      </c>
      <c r="E46" s="5">
        <f t="shared" si="63"/>
        <v>0</v>
      </c>
      <c r="F46" s="5">
        <f t="shared" si="119"/>
        <v>0</v>
      </c>
      <c r="G46" s="5"/>
      <c r="H46" s="5"/>
      <c r="I46" s="5"/>
      <c r="J46" s="5"/>
      <c r="K46" s="5"/>
      <c r="L46" s="5"/>
      <c r="M46" s="5"/>
      <c r="N46" s="5"/>
      <c r="O46" s="5"/>
      <c r="P46" s="5"/>
      <c r="Q46" s="5">
        <f t="shared" si="120"/>
        <v>8.8800000000000008</v>
      </c>
      <c r="R46" s="5"/>
      <c r="S46" s="5"/>
      <c r="T46" s="5"/>
      <c r="U46" s="5"/>
      <c r="V46" s="5"/>
      <c r="W46" s="5"/>
      <c r="X46" s="5"/>
      <c r="Y46" s="5"/>
      <c r="Z46" s="5">
        <f t="shared" si="117"/>
        <v>0</v>
      </c>
      <c r="AA46" s="5"/>
      <c r="AB46" s="5"/>
      <c r="AC46" s="5"/>
      <c r="AD46" s="5"/>
      <c r="AE46" s="5"/>
      <c r="AF46" s="5"/>
      <c r="AG46" s="5"/>
      <c r="AH46" s="5"/>
      <c r="AI46" s="5"/>
      <c r="AJ46" s="5"/>
      <c r="AK46" s="5"/>
      <c r="AL46" s="5"/>
      <c r="AM46" s="5"/>
      <c r="AN46" s="5"/>
      <c r="AO46" s="5"/>
      <c r="AP46" s="5"/>
      <c r="AQ46" s="215">
        <f>D46-BE46</f>
        <v>8.8800000000000008</v>
      </c>
      <c r="AR46" s="5"/>
      <c r="AS46" s="5"/>
      <c r="AT46" s="5"/>
      <c r="AU46" s="5"/>
      <c r="AV46" s="5"/>
      <c r="AW46" s="5"/>
      <c r="AX46" s="5"/>
      <c r="AY46" s="5"/>
      <c r="AZ46" s="5"/>
      <c r="BA46" s="5"/>
      <c r="BB46" s="5"/>
      <c r="BC46" s="5"/>
      <c r="BD46" s="121">
        <f>11.14-2.9-0.77</f>
        <v>7.4700000000000006</v>
      </c>
      <c r="BE46" s="5">
        <f>BC46+AS46+AO46+AN46+AM46+AM46+Z46+Y46+X46+W46+V46+AL46+U46+S46+R46+T46+E46+AR46+AP46+AT46+AU46+AV46+AW46+AX46+AY46+AZ46+BA46+BB46+BD46</f>
        <v>7.4700000000000006</v>
      </c>
      <c r="BF46" s="5">
        <f>AQ60-BE46</f>
        <v>-7.0000000000000009</v>
      </c>
      <c r="BG46" s="5">
        <f t="shared" si="118"/>
        <v>9.3500000000000014</v>
      </c>
      <c r="BH46" s="224">
        <f>'BIEN DONG'!AT33</f>
        <v>9.3500000000000014</v>
      </c>
      <c r="BI46" s="244">
        <f t="shared" si="125"/>
        <v>0</v>
      </c>
      <c r="BJ46" s="243">
        <f>'TONG TP'!D51</f>
        <v>36.990279999999998</v>
      </c>
      <c r="BK46" s="244">
        <f t="shared" si="41"/>
        <v>-7</v>
      </c>
    </row>
    <row r="47" spans="1:63" s="2" customFormat="1" ht="36.75" customHeight="1">
      <c r="A47" s="5" t="s">
        <v>91</v>
      </c>
      <c r="B47" s="72" t="s">
        <v>92</v>
      </c>
      <c r="C47" s="5" t="s">
        <v>93</v>
      </c>
      <c r="D47" s="122">
        <v>3.5</v>
      </c>
      <c r="E47" s="5">
        <f t="shared" si="63"/>
        <v>0</v>
      </c>
      <c r="F47" s="5">
        <f t="shared" si="119"/>
        <v>0</v>
      </c>
      <c r="G47" s="5"/>
      <c r="H47" s="5"/>
      <c r="I47" s="5"/>
      <c r="J47" s="5"/>
      <c r="K47" s="5"/>
      <c r="L47" s="5"/>
      <c r="M47" s="5"/>
      <c r="N47" s="5"/>
      <c r="O47" s="5"/>
      <c r="P47" s="5"/>
      <c r="Q47" s="5">
        <f t="shared" si="120"/>
        <v>3.5</v>
      </c>
      <c r="R47" s="5"/>
      <c r="S47" s="5"/>
      <c r="T47" s="5"/>
      <c r="U47" s="5"/>
      <c r="V47" s="5"/>
      <c r="W47" s="5"/>
      <c r="X47" s="5"/>
      <c r="Y47" s="5"/>
      <c r="Z47" s="5">
        <f t="shared" si="117"/>
        <v>0</v>
      </c>
      <c r="AA47" s="5"/>
      <c r="AB47" s="5"/>
      <c r="AC47" s="5"/>
      <c r="AD47" s="5"/>
      <c r="AE47" s="5"/>
      <c r="AF47" s="5"/>
      <c r="AG47" s="5"/>
      <c r="AH47" s="5"/>
      <c r="AI47" s="5"/>
      <c r="AJ47" s="5"/>
      <c r="AK47" s="5"/>
      <c r="AL47" s="5"/>
      <c r="AM47" s="5"/>
      <c r="AN47" s="5"/>
      <c r="AO47" s="5"/>
      <c r="AP47" s="5"/>
      <c r="AQ47" s="5"/>
      <c r="AR47" s="215">
        <f>D47-BE47</f>
        <v>3.5</v>
      </c>
      <c r="AS47" s="5"/>
      <c r="AT47" s="5"/>
      <c r="AU47" s="5"/>
      <c r="AV47" s="5"/>
      <c r="AW47" s="5"/>
      <c r="AX47" s="5"/>
      <c r="AY47" s="5"/>
      <c r="AZ47" s="5"/>
      <c r="BA47" s="5"/>
      <c r="BB47" s="5"/>
      <c r="BC47" s="5"/>
      <c r="BD47" s="121"/>
      <c r="BE47" s="5">
        <f>BC47+AS47+AO47+AN47+AM47+AM47+Z47+Y47+X47+W47+V47+AL47+U47+S47+R47+T47+E47+AQ47+AP47+AT47+AU47+AV47+AW47+AX47+AY47+AZ47+BA47+BB47+BD47</f>
        <v>0</v>
      </c>
      <c r="BF47" s="5">
        <f>AR60-BE47</f>
        <v>2.56</v>
      </c>
      <c r="BG47" s="5">
        <f t="shared" si="118"/>
        <v>6.0600000000000005</v>
      </c>
      <c r="BH47" s="224">
        <f>'BIEN DONG'!AT34</f>
        <v>6.0600000000000005</v>
      </c>
      <c r="BI47" s="244">
        <f t="shared" si="125"/>
        <v>0</v>
      </c>
      <c r="BJ47" s="243">
        <f>'TONG TP'!D52</f>
        <v>0.67</v>
      </c>
      <c r="BK47" s="244">
        <f t="shared" si="41"/>
        <v>2.5600000000000005</v>
      </c>
    </row>
    <row r="48" spans="1:63" s="2" customFormat="1" ht="25.5" customHeight="1">
      <c r="A48" s="5" t="s">
        <v>94</v>
      </c>
      <c r="B48" s="72" t="s">
        <v>95</v>
      </c>
      <c r="C48" s="5" t="s">
        <v>96</v>
      </c>
      <c r="D48" s="5"/>
      <c r="E48" s="5">
        <f t="shared" si="63"/>
        <v>0</v>
      </c>
      <c r="F48" s="5">
        <f t="shared" si="119"/>
        <v>0</v>
      </c>
      <c r="G48" s="5"/>
      <c r="H48" s="5"/>
      <c r="I48" s="5"/>
      <c r="J48" s="5"/>
      <c r="K48" s="5"/>
      <c r="L48" s="5"/>
      <c r="M48" s="5"/>
      <c r="N48" s="5"/>
      <c r="O48" s="5"/>
      <c r="P48" s="5"/>
      <c r="Q48" s="5">
        <f t="shared" si="120"/>
        <v>0</v>
      </c>
      <c r="R48" s="5"/>
      <c r="S48" s="5"/>
      <c r="T48" s="5"/>
      <c r="U48" s="5"/>
      <c r="V48" s="5"/>
      <c r="W48" s="5"/>
      <c r="X48" s="5"/>
      <c r="Y48" s="5"/>
      <c r="Z48" s="5">
        <f t="shared" si="117"/>
        <v>0</v>
      </c>
      <c r="AA48" s="5"/>
      <c r="AB48" s="5"/>
      <c r="AC48" s="5"/>
      <c r="AD48" s="5"/>
      <c r="AE48" s="5"/>
      <c r="AF48" s="5"/>
      <c r="AG48" s="5"/>
      <c r="AH48" s="5"/>
      <c r="AI48" s="5"/>
      <c r="AJ48" s="5"/>
      <c r="AK48" s="5"/>
      <c r="AL48" s="5"/>
      <c r="AM48" s="5"/>
      <c r="AN48" s="5"/>
      <c r="AO48" s="5"/>
      <c r="AP48" s="5"/>
      <c r="AQ48" s="5"/>
      <c r="AR48" s="5"/>
      <c r="AS48" s="215">
        <f>D48-BE48</f>
        <v>0</v>
      </c>
      <c r="AT48" s="5"/>
      <c r="AU48" s="5"/>
      <c r="AV48" s="5"/>
      <c r="AW48" s="5"/>
      <c r="AX48" s="5"/>
      <c r="AY48" s="5"/>
      <c r="AZ48" s="5"/>
      <c r="BA48" s="5"/>
      <c r="BB48" s="5"/>
      <c r="BC48" s="5"/>
      <c r="BD48" s="121"/>
      <c r="BE48" s="5">
        <f>BC48+AR48+AO48+AN48+AM48+AM48+Z48+Y48+X48+W48+V48+AL48+U48+S48+R48+T48+E48+AQ48+AP48+AT48+AU48+AV48+AW48+AX48+AY48+AZ48+BA48+BB48+BD48</f>
        <v>0</v>
      </c>
      <c r="BF48" s="5">
        <f>AS60-BE48</f>
        <v>0</v>
      </c>
      <c r="BG48" s="5">
        <f t="shared" si="118"/>
        <v>0</v>
      </c>
      <c r="BH48" s="224">
        <f>'BIEN DONG'!AT35</f>
        <v>0</v>
      </c>
      <c r="BI48" s="244">
        <f t="shared" si="125"/>
        <v>0</v>
      </c>
      <c r="BJ48" s="243">
        <f>'TONG TP'!D53</f>
        <v>0</v>
      </c>
      <c r="BK48" s="244">
        <f t="shared" si="41"/>
        <v>0</v>
      </c>
    </row>
    <row r="49" spans="1:63" s="2" customFormat="1" ht="25.5" customHeight="1">
      <c r="A49" s="5" t="s">
        <v>97</v>
      </c>
      <c r="B49" s="72" t="s">
        <v>98</v>
      </c>
      <c r="C49" s="5" t="s">
        <v>99</v>
      </c>
      <c r="D49" s="122">
        <v>11.05</v>
      </c>
      <c r="E49" s="5">
        <f t="shared" si="63"/>
        <v>0</v>
      </c>
      <c r="F49" s="5">
        <f t="shared" si="119"/>
        <v>0</v>
      </c>
      <c r="G49" s="5"/>
      <c r="H49" s="5"/>
      <c r="I49" s="5"/>
      <c r="J49" s="5"/>
      <c r="K49" s="5"/>
      <c r="L49" s="5"/>
      <c r="M49" s="5"/>
      <c r="N49" s="5"/>
      <c r="O49" s="5"/>
      <c r="P49" s="5"/>
      <c r="Q49" s="5">
        <f t="shared" si="120"/>
        <v>11.05</v>
      </c>
      <c r="R49" s="5"/>
      <c r="S49" s="5"/>
      <c r="T49" s="5"/>
      <c r="U49" s="5"/>
      <c r="V49" s="5"/>
      <c r="W49" s="5"/>
      <c r="X49" s="5"/>
      <c r="Y49" s="5"/>
      <c r="Z49" s="5">
        <f t="shared" si="117"/>
        <v>0</v>
      </c>
      <c r="AA49" s="5"/>
      <c r="AB49" s="5"/>
      <c r="AC49" s="5"/>
      <c r="AD49" s="5"/>
      <c r="AE49" s="5"/>
      <c r="AF49" s="5"/>
      <c r="AG49" s="5"/>
      <c r="AH49" s="5"/>
      <c r="AI49" s="5"/>
      <c r="AJ49" s="5"/>
      <c r="AK49" s="5"/>
      <c r="AL49" s="5"/>
      <c r="AM49" s="5"/>
      <c r="AN49" s="5"/>
      <c r="AO49" s="5"/>
      <c r="AP49" s="5"/>
      <c r="AQ49" s="5"/>
      <c r="AR49" s="5"/>
      <c r="AS49" s="5"/>
      <c r="AT49" s="215">
        <f>D49-BE49</f>
        <v>11.05</v>
      </c>
      <c r="AU49" s="5"/>
      <c r="AV49" s="5"/>
      <c r="AW49" s="5"/>
      <c r="AX49" s="5"/>
      <c r="AY49" s="5"/>
      <c r="AZ49" s="5"/>
      <c r="BA49" s="5"/>
      <c r="BB49" s="5"/>
      <c r="BC49" s="5"/>
      <c r="BD49" s="121"/>
      <c r="BE49" s="5">
        <f>BC49+AR49+AO49+AN49+AM49+AM49+Z49+Y49+X49+W49+V49+AL49+U49+S49+R49+T49+E49+AQ49+AP49+AS49+AU49+AV49+AW49+AX49+AY49+AZ49+BA49+BB49+BD49</f>
        <v>0</v>
      </c>
      <c r="BF49" s="5">
        <f>AT60-BE49</f>
        <v>7.4600000000000009</v>
      </c>
      <c r="BG49" s="5">
        <f t="shared" si="118"/>
        <v>18.510000000000002</v>
      </c>
      <c r="BH49" s="224">
        <f>'BIEN DONG'!AT36</f>
        <v>18.510000000000002</v>
      </c>
      <c r="BI49" s="244">
        <f t="shared" si="125"/>
        <v>0</v>
      </c>
      <c r="BJ49" s="243">
        <f>'TONG TP'!D54</f>
        <v>10.77</v>
      </c>
      <c r="BK49" s="244">
        <f t="shared" si="41"/>
        <v>7.4600000000000009</v>
      </c>
    </row>
    <row r="50" spans="1:63" s="2" customFormat="1" ht="36.75" customHeight="1">
      <c r="A50" s="5" t="s">
        <v>100</v>
      </c>
      <c r="B50" s="72" t="s">
        <v>134</v>
      </c>
      <c r="C50" s="5" t="s">
        <v>101</v>
      </c>
      <c r="D50" s="122">
        <v>121.08</v>
      </c>
      <c r="E50" s="5">
        <f t="shared" si="63"/>
        <v>0</v>
      </c>
      <c r="F50" s="5">
        <f t="shared" si="119"/>
        <v>0</v>
      </c>
      <c r="G50" s="5"/>
      <c r="H50" s="5"/>
      <c r="I50" s="5"/>
      <c r="J50" s="5"/>
      <c r="K50" s="5"/>
      <c r="L50" s="5"/>
      <c r="M50" s="5"/>
      <c r="N50" s="5"/>
      <c r="O50" s="5"/>
      <c r="P50" s="5"/>
      <c r="Q50" s="5">
        <f t="shared" si="120"/>
        <v>121.08</v>
      </c>
      <c r="R50" s="5"/>
      <c r="S50" s="5"/>
      <c r="T50" s="5"/>
      <c r="U50" s="5"/>
      <c r="V50" s="5"/>
      <c r="W50" s="5"/>
      <c r="X50" s="5"/>
      <c r="Y50" s="5"/>
      <c r="Z50" s="5">
        <f t="shared" si="117"/>
        <v>0.02</v>
      </c>
      <c r="AA50" s="5"/>
      <c r="AB50" s="5"/>
      <c r="AC50" s="5"/>
      <c r="AD50" s="5"/>
      <c r="AE50" s="5"/>
      <c r="AF50" s="5"/>
      <c r="AG50" s="5">
        <v>0.02</v>
      </c>
      <c r="AH50" s="5"/>
      <c r="AI50" s="5"/>
      <c r="AJ50" s="5"/>
      <c r="AK50" s="5"/>
      <c r="AL50" s="5"/>
      <c r="AM50" s="5"/>
      <c r="AN50" s="5"/>
      <c r="AO50" s="5"/>
      <c r="AP50" s="5"/>
      <c r="AQ50" s="5"/>
      <c r="AR50" s="5"/>
      <c r="AS50" s="5"/>
      <c r="AT50" s="5"/>
      <c r="AU50" s="215">
        <f>D50-BE50</f>
        <v>121.06</v>
      </c>
      <c r="AV50" s="5"/>
      <c r="AW50" s="5"/>
      <c r="AX50" s="5"/>
      <c r="AY50" s="5"/>
      <c r="AZ50" s="5"/>
      <c r="BA50" s="5"/>
      <c r="BB50" s="5"/>
      <c r="BC50" s="5"/>
      <c r="BD50" s="121"/>
      <c r="BE50" s="5">
        <f>BC50+AR50+AO50+AN50+AM50+AM50+Z50+Y50+X50+W50+V50+AL50+U50+S50+R50+T50+E50+AQ50+AP50+AS50+AT50+AV50+AW50+AX50+AY50+AZ50+BA50+BB50+BD50</f>
        <v>0.02</v>
      </c>
      <c r="BF50" s="5">
        <f>AU60-BE50</f>
        <v>34.659999999999997</v>
      </c>
      <c r="BG50" s="5">
        <f t="shared" si="118"/>
        <v>155.74</v>
      </c>
      <c r="BH50" s="224">
        <f>'BIEN DONG'!AT37</f>
        <v>155.74</v>
      </c>
      <c r="BI50" s="244">
        <f t="shared" si="125"/>
        <v>0</v>
      </c>
      <c r="BJ50" s="243">
        <f>'TONG TP'!D55</f>
        <v>239.16000000000003</v>
      </c>
      <c r="BK50" s="244">
        <f t="shared" si="41"/>
        <v>34.660000000000011</v>
      </c>
    </row>
    <row r="51" spans="1:63" s="2" customFormat="1" ht="32.25" customHeight="1">
      <c r="A51" s="5" t="s">
        <v>102</v>
      </c>
      <c r="B51" s="72" t="s">
        <v>103</v>
      </c>
      <c r="C51" s="5" t="s">
        <v>104</v>
      </c>
      <c r="D51" s="122">
        <v>98.6</v>
      </c>
      <c r="E51" s="5">
        <f t="shared" si="63"/>
        <v>0</v>
      </c>
      <c r="F51" s="5">
        <f t="shared" si="119"/>
        <v>0</v>
      </c>
      <c r="G51" s="5"/>
      <c r="H51" s="5"/>
      <c r="I51" s="5"/>
      <c r="J51" s="5"/>
      <c r="K51" s="5"/>
      <c r="L51" s="5"/>
      <c r="M51" s="5"/>
      <c r="N51" s="5"/>
      <c r="O51" s="5"/>
      <c r="P51" s="5"/>
      <c r="Q51" s="5">
        <f t="shared" si="120"/>
        <v>98.6</v>
      </c>
      <c r="R51" s="5"/>
      <c r="S51" s="5"/>
      <c r="T51" s="5"/>
      <c r="U51" s="5"/>
      <c r="V51" s="5"/>
      <c r="W51" s="5"/>
      <c r="X51" s="5"/>
      <c r="Y51" s="5"/>
      <c r="Z51" s="5">
        <f t="shared" si="117"/>
        <v>0</v>
      </c>
      <c r="AA51" s="5"/>
      <c r="AB51" s="5"/>
      <c r="AC51" s="5"/>
      <c r="AD51" s="5"/>
      <c r="AE51" s="5"/>
      <c r="AF51" s="5"/>
      <c r="AG51" s="5"/>
      <c r="AH51" s="5"/>
      <c r="AI51" s="5"/>
      <c r="AJ51" s="5"/>
      <c r="AK51" s="5"/>
      <c r="AL51" s="5"/>
      <c r="AM51" s="5"/>
      <c r="AN51" s="5"/>
      <c r="AO51" s="5"/>
      <c r="AP51" s="5"/>
      <c r="AQ51" s="5"/>
      <c r="AR51" s="5"/>
      <c r="AS51" s="5"/>
      <c r="AT51" s="5"/>
      <c r="AU51" s="5"/>
      <c r="AV51" s="215">
        <f>D51-BE51</f>
        <v>98.6</v>
      </c>
      <c r="AW51" s="5"/>
      <c r="AX51" s="5"/>
      <c r="AY51" s="5"/>
      <c r="AZ51" s="5"/>
      <c r="BA51" s="5"/>
      <c r="BB51" s="5"/>
      <c r="BC51" s="5"/>
      <c r="BD51" s="121"/>
      <c r="BE51" s="5">
        <f>BC51+AR51+AO51+AN51+AM51+AM51+Z51+Y51+X51+W51+V51+AL51+U51+S51+R51+T51+E51+AQ51+AP51+AS51+AT51+AU51+AW51+AX51+AY51+AZ51+BA51+BB51+BD51</f>
        <v>0</v>
      </c>
      <c r="BF51" s="5">
        <f>AV60-BE51</f>
        <v>30.79</v>
      </c>
      <c r="BG51" s="5">
        <f t="shared" si="118"/>
        <v>129.38999999999999</v>
      </c>
      <c r="BH51" s="224">
        <f>'BIEN DONG'!AT38</f>
        <v>129.38999999999999</v>
      </c>
      <c r="BI51" s="244">
        <f t="shared" si="125"/>
        <v>0</v>
      </c>
      <c r="BJ51" s="243">
        <f>'TONG TP'!D56</f>
        <v>18.010399999999997</v>
      </c>
      <c r="BK51" s="244">
        <f t="shared" si="41"/>
        <v>30.789999999999992</v>
      </c>
    </row>
    <row r="52" spans="1:63" s="2" customFormat="1" ht="22.5" customHeight="1">
      <c r="A52" s="5" t="s">
        <v>105</v>
      </c>
      <c r="B52" s="72" t="s">
        <v>106</v>
      </c>
      <c r="C52" s="5" t="s">
        <v>107</v>
      </c>
      <c r="D52" s="5"/>
      <c r="E52" s="5">
        <f t="shared" si="63"/>
        <v>0</v>
      </c>
      <c r="F52" s="5">
        <f t="shared" si="119"/>
        <v>0</v>
      </c>
      <c r="G52" s="5"/>
      <c r="H52" s="5"/>
      <c r="I52" s="5"/>
      <c r="J52" s="5"/>
      <c r="K52" s="5"/>
      <c r="L52" s="5"/>
      <c r="M52" s="5"/>
      <c r="N52" s="5"/>
      <c r="O52" s="5"/>
      <c r="P52" s="5"/>
      <c r="Q52" s="5">
        <f t="shared" si="120"/>
        <v>0</v>
      </c>
      <c r="R52" s="5"/>
      <c r="S52" s="5"/>
      <c r="T52" s="5"/>
      <c r="U52" s="5"/>
      <c r="V52" s="5"/>
      <c r="W52" s="5"/>
      <c r="X52" s="5"/>
      <c r="Y52" s="5"/>
      <c r="Z52" s="5">
        <f t="shared" si="117"/>
        <v>0</v>
      </c>
      <c r="AA52" s="5"/>
      <c r="AB52" s="5"/>
      <c r="AC52" s="5"/>
      <c r="AD52" s="5"/>
      <c r="AE52" s="5"/>
      <c r="AF52" s="5"/>
      <c r="AG52" s="5"/>
      <c r="AH52" s="5"/>
      <c r="AI52" s="5"/>
      <c r="AJ52" s="5"/>
      <c r="AK52" s="5"/>
      <c r="AL52" s="5"/>
      <c r="AM52" s="5"/>
      <c r="AN52" s="5"/>
      <c r="AO52" s="5"/>
      <c r="AP52" s="5"/>
      <c r="AQ52" s="5"/>
      <c r="AR52" s="5"/>
      <c r="AS52" s="5"/>
      <c r="AT52" s="5"/>
      <c r="AU52" s="5"/>
      <c r="AV52" s="5"/>
      <c r="AW52" s="215">
        <f>D52-BE52</f>
        <v>0</v>
      </c>
      <c r="AX52" s="5"/>
      <c r="AY52" s="5"/>
      <c r="AZ52" s="5"/>
      <c r="BA52" s="5"/>
      <c r="BB52" s="5"/>
      <c r="BC52" s="5"/>
      <c r="BD52" s="121"/>
      <c r="BE52" s="5">
        <f>BC52+AS52+AP52+AO52+AN52+AM52+Z52+Y52+X52+W52+V52+U52+S52+R52+T52+E52+AR52+AQ52+AT52+AU52+AV52+AY52+AX52+AY52+AZ52+BA52+BB52+BD52</f>
        <v>0</v>
      </c>
      <c r="BF52" s="5">
        <f>AW60-BE52</f>
        <v>9.91</v>
      </c>
      <c r="BG52" s="5">
        <f t="shared" si="118"/>
        <v>9.91</v>
      </c>
      <c r="BH52" s="224">
        <f>'BIEN DONG'!AT39</f>
        <v>9.91</v>
      </c>
      <c r="BI52" s="244">
        <f t="shared" si="125"/>
        <v>0</v>
      </c>
      <c r="BJ52" s="243">
        <f>'TONG TP'!D57</f>
        <v>12.949599999999998</v>
      </c>
      <c r="BK52" s="244">
        <f t="shared" si="41"/>
        <v>9.91</v>
      </c>
    </row>
    <row r="53" spans="1:63" s="2" customFormat="1" ht="22.5" customHeight="1">
      <c r="A53" s="5" t="s">
        <v>108</v>
      </c>
      <c r="B53" s="72" t="s">
        <v>109</v>
      </c>
      <c r="C53" s="5" t="s">
        <v>110</v>
      </c>
      <c r="D53" s="5"/>
      <c r="E53" s="5">
        <f t="shared" si="63"/>
        <v>0</v>
      </c>
      <c r="F53" s="5">
        <f t="shared" si="119"/>
        <v>0</v>
      </c>
      <c r="G53" s="5"/>
      <c r="H53" s="5"/>
      <c r="I53" s="5"/>
      <c r="J53" s="5"/>
      <c r="K53" s="5"/>
      <c r="L53" s="5"/>
      <c r="M53" s="5"/>
      <c r="N53" s="5"/>
      <c r="O53" s="5"/>
      <c r="P53" s="5"/>
      <c r="Q53" s="5">
        <f t="shared" si="120"/>
        <v>0</v>
      </c>
      <c r="R53" s="5"/>
      <c r="S53" s="5"/>
      <c r="T53" s="5"/>
      <c r="U53" s="5"/>
      <c r="V53" s="5"/>
      <c r="W53" s="5"/>
      <c r="X53" s="5"/>
      <c r="Y53" s="5"/>
      <c r="Z53" s="5">
        <f t="shared" si="117"/>
        <v>0</v>
      </c>
      <c r="AA53" s="5"/>
      <c r="AB53" s="5"/>
      <c r="AC53" s="5"/>
      <c r="AD53" s="5"/>
      <c r="AE53" s="5"/>
      <c r="AF53" s="5"/>
      <c r="AG53" s="5"/>
      <c r="AH53" s="5"/>
      <c r="AI53" s="5"/>
      <c r="AJ53" s="5"/>
      <c r="AK53" s="5"/>
      <c r="AL53" s="5"/>
      <c r="AM53" s="5"/>
      <c r="AN53" s="5"/>
      <c r="AO53" s="5"/>
      <c r="AP53" s="5"/>
      <c r="AQ53" s="5"/>
      <c r="AR53" s="5"/>
      <c r="AS53" s="5"/>
      <c r="AT53" s="5"/>
      <c r="AU53" s="5"/>
      <c r="AV53" s="5"/>
      <c r="AW53" s="5"/>
      <c r="AX53" s="215">
        <f>D53-BE53</f>
        <v>0</v>
      </c>
      <c r="AY53" s="5"/>
      <c r="AZ53" s="5"/>
      <c r="BA53" s="5"/>
      <c r="BB53" s="5"/>
      <c r="BC53" s="5"/>
      <c r="BD53" s="121"/>
      <c r="BE53" s="5">
        <f>BC53+AS53+AP53+AO53+AN53+AM53+Z53+Y53+X53+W53+V53+U53+S53+R53+T53+E53+AR53+AQ53+AT53+AU53+AV53+AY53+AW53+AY53+AZ53+BA53+BB53+BD53</f>
        <v>0</v>
      </c>
      <c r="BF53" s="5">
        <f>AX60-BE53</f>
        <v>2.96</v>
      </c>
      <c r="BG53" s="5">
        <f t="shared" si="118"/>
        <v>2.96</v>
      </c>
      <c r="BH53" s="224">
        <f>'BIEN DONG'!AT40</f>
        <v>2.96</v>
      </c>
      <c r="BI53" s="244">
        <f t="shared" si="125"/>
        <v>0</v>
      </c>
      <c r="BJ53" s="243">
        <f>'TONG TP'!D58</f>
        <v>12.29</v>
      </c>
      <c r="BK53" s="244">
        <f t="shared" si="41"/>
        <v>2.96</v>
      </c>
    </row>
    <row r="54" spans="1:63" s="2" customFormat="1" ht="22.5" customHeight="1">
      <c r="A54" s="5" t="s">
        <v>111</v>
      </c>
      <c r="B54" s="72" t="s">
        <v>112</v>
      </c>
      <c r="C54" s="5" t="s">
        <v>113</v>
      </c>
      <c r="D54" s="122">
        <v>6.84</v>
      </c>
      <c r="E54" s="5">
        <f t="shared" si="63"/>
        <v>0</v>
      </c>
      <c r="F54" s="5">
        <f t="shared" si="119"/>
        <v>0</v>
      </c>
      <c r="G54" s="5"/>
      <c r="H54" s="5"/>
      <c r="I54" s="5"/>
      <c r="J54" s="5"/>
      <c r="K54" s="5"/>
      <c r="L54" s="5"/>
      <c r="M54" s="5"/>
      <c r="N54" s="5"/>
      <c r="O54" s="5"/>
      <c r="P54" s="5"/>
      <c r="Q54" s="5">
        <f t="shared" si="120"/>
        <v>6.84</v>
      </c>
      <c r="R54" s="5"/>
      <c r="S54" s="5"/>
      <c r="T54" s="5"/>
      <c r="U54" s="5"/>
      <c r="V54" s="5"/>
      <c r="W54" s="5"/>
      <c r="X54" s="5"/>
      <c r="Y54" s="5"/>
      <c r="Z54" s="5">
        <f t="shared" si="117"/>
        <v>0</v>
      </c>
      <c r="AA54" s="5"/>
      <c r="AB54" s="5"/>
      <c r="AC54" s="5"/>
      <c r="AD54" s="5"/>
      <c r="AE54" s="5"/>
      <c r="AF54" s="5"/>
      <c r="AG54" s="5"/>
      <c r="AH54" s="5"/>
      <c r="AI54" s="5"/>
      <c r="AJ54" s="5"/>
      <c r="AK54" s="5"/>
      <c r="AL54" s="5"/>
      <c r="AM54" s="5"/>
      <c r="AN54" s="5"/>
      <c r="AO54" s="5"/>
      <c r="AP54" s="5"/>
      <c r="AQ54" s="5"/>
      <c r="AR54" s="5"/>
      <c r="AS54" s="5"/>
      <c r="AT54" s="5"/>
      <c r="AU54" s="5"/>
      <c r="AV54" s="5"/>
      <c r="AW54" s="5"/>
      <c r="AX54" s="5"/>
      <c r="AY54" s="215">
        <f>D54-BE54</f>
        <v>6.84</v>
      </c>
      <c r="AZ54" s="5"/>
      <c r="BA54" s="5"/>
      <c r="BB54" s="5"/>
      <c r="BC54" s="5"/>
      <c r="BD54" s="121"/>
      <c r="BE54" s="5">
        <f>BC54+AS54+AP54+AO54+AN54+AM54+Z54+Y54+X54+W54+V54+U54+S54+R54+T54+E54+AR54+AQ54+AT54+AU54+AV54+AX54+AW54+AZ54+BA54+BB54+BD54</f>
        <v>0</v>
      </c>
      <c r="BF54" s="5">
        <f>AY60-BE54</f>
        <v>15.960000000000003</v>
      </c>
      <c r="BG54" s="5">
        <f t="shared" si="118"/>
        <v>22.800000000000004</v>
      </c>
      <c r="BH54" s="224">
        <f>'BIEN DONG'!AT41</f>
        <v>22.800000000000004</v>
      </c>
      <c r="BI54" s="244">
        <f t="shared" si="125"/>
        <v>0</v>
      </c>
      <c r="BJ54" s="243">
        <f>'TONG TP'!D59</f>
        <v>10.530000000000003</v>
      </c>
      <c r="BK54" s="244">
        <f t="shared" si="41"/>
        <v>15.960000000000004</v>
      </c>
    </row>
    <row r="55" spans="1:63" s="2" customFormat="1" ht="22.5" customHeight="1">
      <c r="A55" s="5" t="s">
        <v>114</v>
      </c>
      <c r="B55" s="72" t="s">
        <v>115</v>
      </c>
      <c r="C55" s="5" t="s">
        <v>116</v>
      </c>
      <c r="D55" s="122">
        <v>7245.02</v>
      </c>
      <c r="E55" s="5">
        <f t="shared" si="63"/>
        <v>155.62</v>
      </c>
      <c r="F55" s="5">
        <f t="shared" si="119"/>
        <v>0</v>
      </c>
      <c r="G55" s="5"/>
      <c r="H55" s="5"/>
      <c r="I55" s="5"/>
      <c r="J55" s="5"/>
      <c r="K55" s="5"/>
      <c r="L55" s="5"/>
      <c r="M55" s="5"/>
      <c r="N55" s="5">
        <f>143.17+7.61</f>
        <v>150.78</v>
      </c>
      <c r="O55" s="5"/>
      <c r="P55" s="5">
        <v>4.84</v>
      </c>
      <c r="Q55" s="5">
        <f t="shared" si="120"/>
        <v>4103.38</v>
      </c>
      <c r="R55" s="5">
        <v>0.14000000000000001</v>
      </c>
      <c r="S55" s="5"/>
      <c r="T55" s="5"/>
      <c r="U55" s="5"/>
      <c r="V55" s="5"/>
      <c r="W55" s="5"/>
      <c r="X55" s="5">
        <v>0.55000000000000004</v>
      </c>
      <c r="Y55" s="5"/>
      <c r="Z55" s="5">
        <f t="shared" si="117"/>
        <v>25.93</v>
      </c>
      <c r="AA55" s="5"/>
      <c r="AB55" s="5"/>
      <c r="AC55" s="5"/>
      <c r="AD55" s="5"/>
      <c r="AE55" s="5"/>
      <c r="AF55" s="5"/>
      <c r="AG55" s="5">
        <v>25.93</v>
      </c>
      <c r="AH55" s="5"/>
      <c r="AI55" s="5"/>
      <c r="AJ55" s="5"/>
      <c r="AK55" s="5"/>
      <c r="AL55" s="5"/>
      <c r="AM55" s="5"/>
      <c r="AN55" s="5"/>
      <c r="AO55" s="5"/>
      <c r="AP55" s="5">
        <f>1.41+0.12</f>
        <v>1.5299999999999998</v>
      </c>
      <c r="AQ55" s="5"/>
      <c r="AR55" s="5"/>
      <c r="AS55" s="5"/>
      <c r="AT55" s="5"/>
      <c r="AU55" s="5"/>
      <c r="AV55" s="5"/>
      <c r="AW55" s="5"/>
      <c r="AX55" s="5"/>
      <c r="AY55" s="5"/>
      <c r="AZ55" s="215">
        <f>D55-BE55</f>
        <v>4075.2300000000005</v>
      </c>
      <c r="BA55" s="5"/>
      <c r="BB55" s="5"/>
      <c r="BC55" s="5">
        <v>2.67</v>
      </c>
      <c r="BD55" s="121">
        <f>3483.31-499.96</f>
        <v>2983.35</v>
      </c>
      <c r="BE55" s="5">
        <f>BC55+AS55+AP55+AO55+AN55+AM55+Z55+Y55+X55+W55+V55+U55+S55+R55+T55+E55+AR55+AQ55+AT55+AU55+AV55+AX55+AW55+AY55+BA55+BB55+BD55</f>
        <v>3169.79</v>
      </c>
      <c r="BF55" s="5">
        <f>AZ60-BE55</f>
        <v>-3169.79</v>
      </c>
      <c r="BG55" s="5">
        <f t="shared" si="118"/>
        <v>4075.2300000000005</v>
      </c>
      <c r="BH55" s="224">
        <f>'BIEN DONG'!AT42</f>
        <v>4075.2300000000005</v>
      </c>
      <c r="BI55" s="244">
        <f t="shared" si="125"/>
        <v>0</v>
      </c>
      <c r="BJ55" s="243">
        <f>'TONG TP'!D60</f>
        <v>2540.5800000000004</v>
      </c>
      <c r="BK55" s="244">
        <f t="shared" si="41"/>
        <v>-3169.79</v>
      </c>
    </row>
    <row r="56" spans="1:63" s="2" customFormat="1" ht="22.5" customHeight="1">
      <c r="A56" s="5" t="s">
        <v>117</v>
      </c>
      <c r="B56" s="72" t="s">
        <v>118</v>
      </c>
      <c r="C56" s="5" t="s">
        <v>119</v>
      </c>
      <c r="D56" s="122">
        <v>924.73</v>
      </c>
      <c r="E56" s="5">
        <f t="shared" si="63"/>
        <v>0</v>
      </c>
      <c r="F56" s="5">
        <f t="shared" si="119"/>
        <v>0</v>
      </c>
      <c r="G56" s="5"/>
      <c r="H56" s="5"/>
      <c r="I56" s="5"/>
      <c r="J56" s="5"/>
      <c r="K56" s="5"/>
      <c r="L56" s="5"/>
      <c r="M56" s="5"/>
      <c r="N56" s="5"/>
      <c r="O56" s="5"/>
      <c r="P56" s="5"/>
      <c r="Q56" s="5">
        <f t="shared" si="120"/>
        <v>155.4200000000001</v>
      </c>
      <c r="R56" s="5"/>
      <c r="S56" s="5"/>
      <c r="T56" s="5"/>
      <c r="U56" s="5"/>
      <c r="V56" s="5"/>
      <c r="W56" s="5"/>
      <c r="X56" s="5"/>
      <c r="Y56" s="5"/>
      <c r="Z56" s="5">
        <f t="shared" si="117"/>
        <v>2.4</v>
      </c>
      <c r="AA56" s="5"/>
      <c r="AB56" s="5"/>
      <c r="AC56" s="5"/>
      <c r="AD56" s="5"/>
      <c r="AE56" s="5"/>
      <c r="AF56" s="5"/>
      <c r="AG56" s="5">
        <v>2.4</v>
      </c>
      <c r="AH56" s="5"/>
      <c r="AI56" s="5"/>
      <c r="AJ56" s="5"/>
      <c r="AK56" s="5"/>
      <c r="AL56" s="5"/>
      <c r="AM56" s="5"/>
      <c r="AN56" s="5"/>
      <c r="AO56" s="5"/>
      <c r="AP56" s="5"/>
      <c r="AQ56" s="5"/>
      <c r="AR56" s="5"/>
      <c r="AS56" s="5"/>
      <c r="AT56" s="5"/>
      <c r="AU56" s="5"/>
      <c r="AV56" s="5"/>
      <c r="AW56" s="5"/>
      <c r="AX56" s="5"/>
      <c r="AY56" s="5"/>
      <c r="AZ56" s="5"/>
      <c r="BA56" s="215">
        <f>D56-BE56</f>
        <v>153.0200000000001</v>
      </c>
      <c r="BB56" s="5"/>
      <c r="BC56" s="5"/>
      <c r="BD56" s="121">
        <f>831.79-62.48</f>
        <v>769.31</v>
      </c>
      <c r="BE56" s="5">
        <f>BC56+AS56+AP56+AO56+AN56+AM56+Z56+Y56+X56+W56+V56+U56+S56+R56+T56+E56+AR56+AQ56+AT56+AU56+AV56+AX56+AW56+AY56+AZ56+BB56+BD56</f>
        <v>771.70999999999992</v>
      </c>
      <c r="BF56" s="5">
        <f>BA60-BE56</f>
        <v>-771.70999999999992</v>
      </c>
      <c r="BG56" s="5">
        <f t="shared" si="118"/>
        <v>153.0200000000001</v>
      </c>
      <c r="BH56" s="224">
        <f>'BIEN DONG'!AT43</f>
        <v>153.0200000000001</v>
      </c>
      <c r="BI56" s="244">
        <f t="shared" si="125"/>
        <v>0</v>
      </c>
      <c r="BJ56" s="243">
        <f>'TONG TP'!D61</f>
        <v>1115.8399999999999</v>
      </c>
      <c r="BK56" s="244">
        <f t="shared" si="41"/>
        <v>-771.70999999999992</v>
      </c>
    </row>
    <row r="57" spans="1:63" s="2" customFormat="1" ht="22.5" customHeight="1">
      <c r="A57" s="5" t="s">
        <v>120</v>
      </c>
      <c r="B57" s="72" t="s">
        <v>121</v>
      </c>
      <c r="C57" s="5" t="s">
        <v>122</v>
      </c>
      <c r="D57" s="5"/>
      <c r="E57" s="5">
        <f t="shared" si="63"/>
        <v>0</v>
      </c>
      <c r="F57" s="5">
        <f t="shared" si="119"/>
        <v>0</v>
      </c>
      <c r="G57" s="5"/>
      <c r="H57" s="5"/>
      <c r="I57" s="5"/>
      <c r="J57" s="5"/>
      <c r="K57" s="5"/>
      <c r="L57" s="5"/>
      <c r="M57" s="5"/>
      <c r="N57" s="5"/>
      <c r="O57" s="5"/>
      <c r="P57" s="5"/>
      <c r="Q57" s="5">
        <f t="shared" si="120"/>
        <v>0</v>
      </c>
      <c r="R57" s="5"/>
      <c r="S57" s="5"/>
      <c r="T57" s="5"/>
      <c r="U57" s="5"/>
      <c r="V57" s="5"/>
      <c r="W57" s="5"/>
      <c r="X57" s="5"/>
      <c r="Y57" s="5"/>
      <c r="Z57" s="5">
        <f t="shared" si="117"/>
        <v>0</v>
      </c>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215">
        <f>D57-BE57</f>
        <v>0</v>
      </c>
      <c r="BC57" s="5"/>
      <c r="BD57" s="121"/>
      <c r="BE57" s="5">
        <f>BC57+AS57+AP57+AO57+AN57+AM57+Z57+Y57+X57+W57+V57+U57+AL57+S57+R57+T57+E57+AR57+AQ57+AT57+AU57+AV57+AW57+AX57+AY57+AZ57+BA57+BD57</f>
        <v>0</v>
      </c>
      <c r="BF57" s="5">
        <f>BB60-BE57</f>
        <v>0.09</v>
      </c>
      <c r="BG57" s="5">
        <f t="shared" si="118"/>
        <v>0.09</v>
      </c>
      <c r="BH57" s="224">
        <f>'BIEN DONG'!AT44</f>
        <v>0.09</v>
      </c>
      <c r="BI57" s="244">
        <f t="shared" si="125"/>
        <v>0</v>
      </c>
      <c r="BJ57" s="243">
        <f>'TONG TP'!D62</f>
        <v>2.09</v>
      </c>
      <c r="BK57" s="244">
        <f t="shared" si="41"/>
        <v>0.09</v>
      </c>
    </row>
    <row r="58" spans="1:63" s="67" customFormat="1" ht="25.5" customHeight="1">
      <c r="A58" s="88">
        <v>3</v>
      </c>
      <c r="B58" s="89" t="s">
        <v>123</v>
      </c>
      <c r="C58" s="88" t="s">
        <v>124</v>
      </c>
      <c r="D58" s="88">
        <f>647.1+25.02+75.59</f>
        <v>747.71</v>
      </c>
      <c r="E58" s="86">
        <f t="shared" si="63"/>
        <v>60.629999999999995</v>
      </c>
      <c r="F58" s="86">
        <f t="shared" si="119"/>
        <v>23.389999999999997</v>
      </c>
      <c r="G58" s="88">
        <f>22.83</f>
        <v>22.83</v>
      </c>
      <c r="H58" s="88">
        <v>0.56000000000000005</v>
      </c>
      <c r="I58" s="88">
        <v>7.2</v>
      </c>
      <c r="J58" s="88">
        <v>1.99</v>
      </c>
      <c r="K58" s="88"/>
      <c r="L58" s="88"/>
      <c r="M58" s="88">
        <f>24.99</f>
        <v>24.99</v>
      </c>
      <c r="N58" s="88">
        <f>3+0.06</f>
        <v>3.06</v>
      </c>
      <c r="O58" s="88"/>
      <c r="P58" s="88"/>
      <c r="Q58" s="86">
        <f t="shared" si="120"/>
        <v>35.6</v>
      </c>
      <c r="R58" s="88"/>
      <c r="S58" s="88"/>
      <c r="T58" s="88"/>
      <c r="U58" s="88"/>
      <c r="V58" s="88"/>
      <c r="W58" s="88"/>
      <c r="X58" s="88">
        <v>35.47</v>
      </c>
      <c r="Y58" s="88"/>
      <c r="Z58" s="86">
        <f t="shared" si="117"/>
        <v>0.11</v>
      </c>
      <c r="AA58" s="88"/>
      <c r="AB58" s="88"/>
      <c r="AC58" s="88"/>
      <c r="AD58" s="88"/>
      <c r="AE58" s="88"/>
      <c r="AF58" s="88"/>
      <c r="AG58" s="88">
        <v>0.11</v>
      </c>
      <c r="AH58" s="88"/>
      <c r="AI58" s="88"/>
      <c r="AJ58" s="88"/>
      <c r="AK58" s="88"/>
      <c r="AL58" s="88"/>
      <c r="AM58" s="88"/>
      <c r="AN58" s="88">
        <v>0.02</v>
      </c>
      <c r="AO58" s="88"/>
      <c r="AP58" s="88"/>
      <c r="AQ58" s="88"/>
      <c r="AR58" s="88"/>
      <c r="AS58" s="88"/>
      <c r="AT58" s="88"/>
      <c r="AU58" s="88"/>
      <c r="AV58" s="88"/>
      <c r="AW58" s="88"/>
      <c r="AX58" s="88"/>
      <c r="AY58" s="88"/>
      <c r="AZ58" s="88"/>
      <c r="BA58" s="88"/>
      <c r="BB58" s="88"/>
      <c r="BC58" s="218">
        <f>D58-BE58</f>
        <v>651.48</v>
      </c>
      <c r="BD58" s="284"/>
      <c r="BE58" s="88">
        <f>Q58+E58+BD58</f>
        <v>96.22999999999999</v>
      </c>
      <c r="BF58" s="88">
        <f>BC60-BE58</f>
        <v>1796.8899999999999</v>
      </c>
      <c r="BG58" s="88">
        <f t="shared" si="118"/>
        <v>2544.6</v>
      </c>
      <c r="BH58" s="224">
        <f>'BIEN DONG'!AT45</f>
        <v>2544.6</v>
      </c>
      <c r="BI58" s="244">
        <f t="shared" si="125"/>
        <v>0</v>
      </c>
      <c r="BJ58" s="243">
        <f>'TONG TP'!D63</f>
        <v>5792.391639999998</v>
      </c>
      <c r="BK58" s="244">
        <f t="shared" si="41"/>
        <v>1796.8899999999999</v>
      </c>
    </row>
    <row r="59" spans="1:63" s="67" customFormat="1" ht="25.5" customHeight="1">
      <c r="A59" s="196"/>
      <c r="B59" s="196" t="s">
        <v>501</v>
      </c>
      <c r="C59" s="196"/>
      <c r="D59" s="196">
        <f>E59+Q59+BC59</f>
        <v>4256.1100000000006</v>
      </c>
      <c r="E59" s="196">
        <f>F59+I59+J59+K59+L59+M59+N59+O59+P59</f>
        <v>2119.7300000000005</v>
      </c>
      <c r="F59" s="196">
        <f>G59+H59</f>
        <v>204.71</v>
      </c>
      <c r="G59" s="201">
        <f>198.72+0.74-102.23</f>
        <v>97.23</v>
      </c>
      <c r="H59" s="201">
        <f>107.73-0.25</f>
        <v>107.48</v>
      </c>
      <c r="I59" s="196">
        <f>152.02-61.7</f>
        <v>90.320000000000007</v>
      </c>
      <c r="J59" s="196">
        <f>658.35+3.11-1.29</f>
        <v>660.17000000000007</v>
      </c>
      <c r="K59" s="196"/>
      <c r="L59" s="196">
        <v>11.18</v>
      </c>
      <c r="M59" s="196"/>
      <c r="N59" s="196">
        <f>1197.25-26.08-1.46-17.87</f>
        <v>1151.8400000000001</v>
      </c>
      <c r="O59" s="196"/>
      <c r="P59" s="196">
        <f>10.78-9.27</f>
        <v>1.5099999999999998</v>
      </c>
      <c r="Q59" s="196">
        <f>R59+S59+T59+V59+W59+X59+Y59+Z59+AL59+AM59+AN59+AO59+AP59+AQ59+AR59+AS59+AT59+AU59+AV59+AW59+AX59+AY59+AZ59+BA59+BB59</f>
        <v>369.46999999999991</v>
      </c>
      <c r="R59" s="196"/>
      <c r="S59" s="196">
        <v>3.81</v>
      </c>
      <c r="T59" s="196"/>
      <c r="U59" s="196"/>
      <c r="V59" s="196"/>
      <c r="W59" s="196">
        <v>2.0099999999999998</v>
      </c>
      <c r="X59" s="196"/>
      <c r="Y59" s="196"/>
      <c r="Z59" s="196">
        <f>SUM(AA59:AK59)</f>
        <v>265.89999999999998</v>
      </c>
      <c r="AA59" s="201"/>
      <c r="AB59" s="201"/>
      <c r="AC59" s="201">
        <v>1.57</v>
      </c>
      <c r="AD59" s="201"/>
      <c r="AE59" s="201"/>
      <c r="AF59" s="201"/>
      <c r="AG59" s="201">
        <f>304.4-8.21-48.5</f>
        <v>247.69</v>
      </c>
      <c r="AH59" s="201">
        <f>50+8.21-41.57</f>
        <v>16.64</v>
      </c>
      <c r="AI59" s="201"/>
      <c r="AJ59" s="201"/>
      <c r="AK59" s="201"/>
      <c r="AL59" s="196"/>
      <c r="AM59" s="196"/>
      <c r="AN59" s="196"/>
      <c r="AO59" s="196"/>
      <c r="AP59" s="196">
        <f>117.6-7.49-93.6</f>
        <v>16.510000000000005</v>
      </c>
      <c r="AQ59" s="196"/>
      <c r="AR59" s="196">
        <v>2.56</v>
      </c>
      <c r="AS59" s="196"/>
      <c r="AT59" s="196">
        <f>7.11-0.01-0.92</f>
        <v>6.1800000000000006</v>
      </c>
      <c r="AU59" s="196">
        <f>36.84-0.14-5.64</f>
        <v>31.060000000000002</v>
      </c>
      <c r="AV59" s="196">
        <v>25.45</v>
      </c>
      <c r="AW59" s="196"/>
      <c r="AX59" s="196"/>
      <c r="AY59" s="196">
        <f>16.26+0.16-0.52</f>
        <v>15.900000000000002</v>
      </c>
      <c r="AZ59" s="196"/>
      <c r="BA59" s="196"/>
      <c r="BB59" s="196">
        <v>0.09</v>
      </c>
      <c r="BC59" s="196">
        <f>2120.42+55.99-409.5</f>
        <v>1766.9099999999999</v>
      </c>
      <c r="BD59" s="10"/>
      <c r="BE59" s="196"/>
      <c r="BF59" s="196"/>
      <c r="BG59" s="196"/>
      <c r="BH59" s="222"/>
      <c r="BI59" s="243"/>
      <c r="BJ59" s="243"/>
      <c r="BK59" s="243"/>
    </row>
    <row r="60" spans="1:63" s="67" customFormat="1" ht="25.5" customHeight="1">
      <c r="A60" s="196"/>
      <c r="B60" s="196" t="s">
        <v>190</v>
      </c>
      <c r="C60" s="196"/>
      <c r="D60" s="196"/>
      <c r="E60" s="196">
        <f>E20+E58+E59</f>
        <v>2379.5300000000007</v>
      </c>
      <c r="F60" s="196">
        <f>F12+F13+F14+F15+F16+F18+F20+F58+F59+F17</f>
        <v>234.52</v>
      </c>
      <c r="G60" s="75">
        <f>G11+G12+G13+G14+G15+G16+G17+G18+G19+G20+G58+G59</f>
        <v>120.13</v>
      </c>
      <c r="H60" s="75">
        <f>H10+H12+H13+H14+H15+H16+H17+H18+H19+H20+H58+H59</f>
        <v>114.39</v>
      </c>
      <c r="I60" s="196">
        <f>I9+I14+I15+I16+I18+I20+I58+I13+I59+I19</f>
        <v>105.04</v>
      </c>
      <c r="J60" s="196">
        <f>J9+J12+J14+J15+J16+J18+J20+J58+J59+J19+J17</f>
        <v>662.16000000000008</v>
      </c>
      <c r="K60" s="196">
        <f>K9+K12+K13+K15+K16+K18+K20+K58+K59+K19+K17</f>
        <v>322.45</v>
      </c>
      <c r="L60" s="196">
        <f>L9+L12+L13+L14+L16+L18+L20+L58+L19+L17+L59</f>
        <v>11.18</v>
      </c>
      <c r="M60" s="196">
        <f>M9+M12+M13+M14+M15+M18+M20+M58+M59+M19+M17</f>
        <v>27.83</v>
      </c>
      <c r="N60" s="196">
        <f>N20+N18+N16+N15+N14+N13+N12+N9+N58+N59+N19</f>
        <v>1348.0600000000002</v>
      </c>
      <c r="O60" s="196">
        <f>O9+O12+O13+O20+O59</f>
        <v>0</v>
      </c>
      <c r="P60" s="196">
        <f>P9+P12+P13+P14+P15+P16+P20+P58+P17+P18+P59</f>
        <v>18.839999999999996</v>
      </c>
      <c r="Q60" s="196">
        <f>Q8+Q58+Q59</f>
        <v>595.83999999999992</v>
      </c>
      <c r="R60" s="196">
        <f>R8+R22+R23+R24+R25+R26+R27+R28+R29+R51+R52+R53+R54+R57+R58+R55+R56+R41+R42+R43+R44+R45+R46+R47+R48+R49+R50+R59</f>
        <v>0.14000000000000001</v>
      </c>
      <c r="S60" s="196">
        <f>S8+S21+S23+S24+S25+S26+S27+S28+S29+S51+S52+S53+S54+S57+S58+S55+S56+S41+S42+S43+S44+S45+S46+S47+S48+S49+S50+S59</f>
        <v>4.47</v>
      </c>
      <c r="T60" s="196">
        <f>T8+T21+T22+T24+T25+T26+T27+T28+T29+T51+T52+T53+T54+T57+T58+T55+T56+T41+T42+T43+T44+T45+T46+T47+T48+T49+T50+T59</f>
        <v>0</v>
      </c>
      <c r="U60" s="196">
        <f>U8+U21+U22+U23+U25+U26+U27+U28+U29+U51+U52+U53+U54+U57+U58+U55+U56+U41+U42+U43+U44+U45+U46+U47+U48+U49+U50+U59</f>
        <v>0</v>
      </c>
      <c r="V60" s="196">
        <f>V8+V21+V22+V23+V24+V26+V27+V28+V29+V51+V52+V53+V54+V57+V58+V55+V56+V41+V42+V43+V44+V45+V46+V47+V48+V49+V50+V59</f>
        <v>0</v>
      </c>
      <c r="W60" s="196">
        <f>W8+W21+W22+W23+W24+W25+W27+W28+W29+W51+W52+W53+W54+W57+W58+W55+W56+W41+W42+W43+W44+W45+W46+W47+W48+W49+W50+W59</f>
        <v>11.53</v>
      </c>
      <c r="X60" s="196">
        <f>X8+X21+X22+X23+X24+X25+X26+X28+X29+X51+X52+X53+X54+X57+X58+X55+X56+X41+X42+X43+X44+X45+X46+X47+X48+X49+X50+X59</f>
        <v>176.06000000000003</v>
      </c>
      <c r="Y60" s="196">
        <f>Y8+Y21+Y22+Y23+Y24+Y25+Y26+Y27+Y29+Y51+Y52+Y53+Y54+Y57+Y58+Y55+Y56+Y41+Y42+Y43+Y44+Y45+Y46+Y47+Y48+Y49+Y50+Y59</f>
        <v>0</v>
      </c>
      <c r="Z60" s="196">
        <f>Z8+Z21+Z22+Z23+Z24+Z25+Z26+Z27+Z28+Z51+Z52+Z53+Z54+Z57+Z58+Z55+Z56+Z41+Z42+Z43+Z44+Z45+Z46+Z47+Z48+Z49+Z50+Z59</f>
        <v>412.88</v>
      </c>
      <c r="AA60" s="201">
        <f>AA8+AA21+AA22+AA23+AA24+AA25+AA26+AA27+AA28+AA31+AA32+AA33+AA36+AA37+AA38+AA39+AA40+AA41+AA43+AA44+AA45+AA46+AA47+AA48+AA49+AA50+AA51+AA52+AA53+AA54+AA55+AA56+AA57+AA58+AA59</f>
        <v>0</v>
      </c>
      <c r="AB60" s="201">
        <f>AB8+AB21+AB22+AB23+AB24+AB25+AB26+AB27+AB28+AB30+AB32+AB33+AB36+AB37+AB38+AB39+AB40+AB41+AB43+AB44+AB45+AB46+AB47+AB48+AB49+AB50+AB51+AB52+AB53+AB54+AB55+AB56+AB57+AB58+AB59</f>
        <v>3.66</v>
      </c>
      <c r="AC60" s="201">
        <f>AC8+AC21+AC22+AC23+AC24+AC25+AC26+AC27+AC28+AC31+AC30+AC33+AC36+AC37+AC38+AC39+AC40+AC41+AC43+AC44+AC45+AC46+AC47+AC48+AC49+AC50+AC51+AC52+AC53+AC54+AC55+AC56+AC57+AC58+AC59</f>
        <v>19.54</v>
      </c>
      <c r="AD60" s="201">
        <f>AD8+AD21+AD22+AD23+AD24+AD25+AD26+AD27+AD28+AD31+AD32+AD30+AD36+AD37+AD38+AD39+AD40+AD41+AD43+AD44+AD45+AD46+AD47+AD48+AD49+AD50+AD51+AD52+AD53+AD54+AD55+AD56+AD57+AD58+AD59</f>
        <v>0.83</v>
      </c>
      <c r="AE60" s="201">
        <f>AE8+AE21+AE22+AE23+AE24+AE25+AE26+AE27+AE28+AE31+AE32+AE30+AE36+AE37+AE38+AE39+AE40+AE41+AE43+AE44+AE45+AE46+AE47+AE48+AE49+AE50+AE51+AE52+AE53+AE54+AE55+AE56+AE57+AE58+AE59</f>
        <v>0</v>
      </c>
      <c r="AF60" s="201">
        <f t="shared" ref="AF60" si="126">AF8+AF21+AF22+AF23+AF24+AF25+AF26+AF27+AF28+AF31+AF32+AF33+AF36+AF37+AF38+AF39+AF40+AF41+AF43+AF44+AF45+AF46+AF47+AF48+AF49+AF50+AF51+AF52+AF53+AF54+AF55+AF56+AF57+AF58+AF59</f>
        <v>0</v>
      </c>
      <c r="AG60" s="201">
        <f>AG8+AG21+AG22+AG23+AG24+AG25+AG26+AG27+AG28+AG31+AG32+AG33+AG30+AG37+AG38+AG39+AG40+AG41+AG43+AG44+AG45+AG46+AG47+AG48+AG49+AG50+AG51+AG52+AG53+AG54+AG55+AG56+AG57+AG58+AG59</f>
        <v>354.07</v>
      </c>
      <c r="AH60" s="201">
        <f>AH8+AH21+AH22+AH23+AH24+AH25+AH26+AH27+AH28+AH31+AH32+AH33+AH36+AH30+AH38+AH39+AH40+AH41+AH43+AH44+AH45+AH46+AH47+AH48+AH49+AH50+AH51+AH52+AH53+AH54+AH55+AH56+AH57+AH58+AH59</f>
        <v>36.5</v>
      </c>
      <c r="AI60" s="201">
        <f>AI8+AI21+AI22+AI23+AI24+AI25+AI26+AI27+AI28+AI31+AI32+AI33+AI36+AI37+AI30+AI39+AI40+AI41+AI43+AI44+AI45+AI46+AI47+AI48+AI49+AI50+AI51+AI52+AI53+AI54+AI55+AI56+AI57+AI58+AI59</f>
        <v>0.02</v>
      </c>
      <c r="AJ60" s="201">
        <f>AJ8+AJ21+AJ22+AJ23+AJ24+AJ25+AJ26+AJ27+AJ28+AJ31+AJ32+AJ33+AJ36+AJ37+AJ38+AJ30+AJ40+AJ41+AJ43+AJ44+AJ45+AJ46+AJ47+AJ48+AJ49+AJ50+AJ51+AJ52+AJ53+AJ54+AJ55+AJ56+AJ57+AJ58+AJ59</f>
        <v>0.02</v>
      </c>
      <c r="AK60" s="201">
        <f>AK8+AK21+AK22+AK23+AK24+AK25+AK26+AK27+AK28+AK31+AK32+AK33+AK36+AK37+AK38+AK39+AK30+AK41+AK43+AK44+AK45+AK46+AK47+AK48+AK49+AK50+AK51+AK52+AK53+AK54+AK55+AK56+AK57+AK58+AK59</f>
        <v>0.01</v>
      </c>
      <c r="AL60" s="196">
        <f>AL8+AL21+AL22+AL23+AL24+AL25+AL26+AL27+AL28+AL51+AL52+AL53+AL54+AL57+AL58+AL55+AL56+AL29+AL42+AL43+AL44+AL45+AL46+AL47+AL48+AL49+AL50+AL59</f>
        <v>0</v>
      </c>
      <c r="AM60" s="196">
        <f>AM8+AM21+AM22+AM23+AM24+AM25+AM26+AM27+AM28+AM51+AM52+AM53+AM54+AM57+AM58+AM55+AM56+AM29+AM41+AM43+AM44+AM45+AM46+AM47+AM48+AM49+AM50+AM59</f>
        <v>0</v>
      </c>
      <c r="AN60" s="196">
        <f>AN8+AN21+AN22+AN23+AN24+AN25+AN26+AN27+AN28+AN51+AN52+AN53+AN54+AN57+AN58+AN55+AN56+AN29+AN41+AN42+AN44+AN45+AN46+AN47+AN48+AN49+AN50+AN59</f>
        <v>0.02</v>
      </c>
      <c r="AO60" s="196">
        <f>AO8+AO21+AO22+AO23+AO24+AO25+AO26+AO27+AO28+AO51+AO52+AO53+AO54+AO57+AO58+AO55+AO56+AO29+AO41+AO42+AO43+AO45+AO46+AO47+AO48+AO49+AO50+AO59</f>
        <v>12.19</v>
      </c>
      <c r="AP60" s="196">
        <f>AP8+AP21+AP22+AP23+AP24+AP25+AP26+AP27+AP28+AP51+AP52+AP53+AP54+AP57+AP58+AP55+AP56+AP29+AP41+AP42+AP43+AP44+AP46+AP47+AP48+AP49+AP50+AP59</f>
        <v>490.09000000000003</v>
      </c>
      <c r="AQ60" s="196">
        <f>AQ8+AQ21+AQ22+AQ23+AQ24+AQ25+AQ26+AQ27+AQ28+AQ51+AQ52+AQ53+AQ54+AQ57+AQ58+AQ55+AQ56+AQ29+AQ41+AQ42+AQ43+AQ44+AQ45+AQ47+AQ48+AQ49+AQ50+AQ59</f>
        <v>0.47</v>
      </c>
      <c r="AR60" s="196">
        <f>AR8+AR21+AR22+AR23+AR24+AR25+AR26+AR27+AR28+AR51+AR52+AR53+AR54+AR57+AR58+AR55+AR56+AR29+AR41+AR42+AR43+AR44+AR45+AR46+AR48+AR49+AR50+AR59</f>
        <v>2.56</v>
      </c>
      <c r="AS60" s="196">
        <f>AS8+AS21+AS22+AS23+AS24+AS25+AS26+AS27+AS28+AS51+AS52+AS53+AS54+AS57+AS58+AS55+AS56+AS29+AS41+AS42+AS43+AS44+AS45+AS46+AS47+AS49+AS50+AS59</f>
        <v>0</v>
      </c>
      <c r="AT60" s="196">
        <f>AT8+AT21+AT22+AT23+AT24+AT25+AT26+AT27+AT28+AT51+AT52+AT53+AT54+AT57+AT58+AT55+AT56+AT29+AT41+AT42+AT43+AT44+AT45+AT46+AT47+AT48+AT50+AT59</f>
        <v>7.4600000000000009</v>
      </c>
      <c r="AU60" s="196">
        <f>AU8+AU21+AU22+AU23+AU24+AU25+AU26+AU27+AU28+AU51+AU52+AU53+AU54+AU57+AU58+AU55+AU56+AU29+AU41+AU42+AU43+AU44+AU45+AU46+AU47+AU48+AU49+AU59</f>
        <v>34.68</v>
      </c>
      <c r="AV60" s="196">
        <f>AV8+AV21+AV22+AV23+AV24+AV25+AV26+AV27+AV28+AV50+AV52+AV53+AV54+AV57+AV58+AV55+AV56+AV29+AV41+AV42+AV43+AV44+AV45+AV46+AV47+AV48+AV49+AV59</f>
        <v>30.79</v>
      </c>
      <c r="AW60" s="196">
        <f>AW8+AW21+AW22+AW23+AW24+AW25+AW26+AW27+AW28+AW29+AW41+AW42+AW43+AW44+AW45+AW46+AW47+AW48+AW49+AW50+AW51+AW53+AW54+AW55+AW56+AW57+AW58+AW59</f>
        <v>9.91</v>
      </c>
      <c r="AX60" s="196">
        <f>AX8+AX21+AX22+AX23+AX24+AX25+AX26+AX27+AX28+AX50+AX51+AX52+AX54+AX57+AX58+AX55+AX56+AX29+AX41+AX42+AX43+AX44+AX45+AX46+AX47+AX48+AX49+AX59</f>
        <v>2.96</v>
      </c>
      <c r="AY60" s="196">
        <f>AY8+AY21+AY22+AY23+AY24+AY25+AY26+AY27+AY28+AY50+AY51+AY52+AY53+AY57+AY58+AY55+AY56+AY29+AY41+AY42+AY43+AY44+AY45+AY46+AY47+AY48+AY49+AY59</f>
        <v>15.960000000000003</v>
      </c>
      <c r="AZ60" s="196">
        <f>AZ8+AZ21+AZ22+AZ23+AZ24+AZ25+AZ26+AZ27+AZ28+AZ50+AZ51+AZ52+AZ53+AZ57+AZ58+AZ54+AZ56+AZ29+AZ41+AZ42+AZ43+AZ44+AZ45+AZ46+AZ47+AZ48+AZ49+AZ59</f>
        <v>0</v>
      </c>
      <c r="BA60" s="196">
        <f>BA8+BA21+BA22+BA23+BA24+BA25+BA26+BA27+BA28+BA50+BA51+BA52+BA53+BA57+BA58+BA54+BA55+BA29+BA41+BA42+BA43+BA44+BA45+BA46+BA47+BA48+BA49+BA59</f>
        <v>0</v>
      </c>
      <c r="BB60" s="196">
        <f>BB8+BB21+BB22+BB23+BB24+BB25+BB26+BB27+BB28+BB50+BB51+BB52+BB53+BB56+BB58+BB54+BB55+BB29+BB41+BB42+BB43+BB44+BB45+BB46+BB47+BB48+BB49+BB59</f>
        <v>0.09</v>
      </c>
      <c r="BC60" s="196">
        <f>BC8+BC20+BC59</f>
        <v>1893.12</v>
      </c>
      <c r="BD60" s="10"/>
      <c r="BE60" s="196"/>
      <c r="BF60" s="196"/>
      <c r="BG60" s="196"/>
      <c r="BH60" s="222"/>
      <c r="BI60" s="243"/>
      <c r="BJ60" s="243"/>
      <c r="BK60" s="243"/>
    </row>
    <row r="61" spans="1:63" s="67" customFormat="1" ht="36.75" customHeight="1">
      <c r="A61" s="196"/>
      <c r="B61" s="196" t="s">
        <v>323</v>
      </c>
      <c r="C61" s="196"/>
      <c r="D61" s="196">
        <f>BG7</f>
        <v>30184.850000000002</v>
      </c>
      <c r="E61" s="196">
        <f>BG8</f>
        <v>19752.140000000003</v>
      </c>
      <c r="F61" s="196">
        <f>BG9</f>
        <v>5315.53</v>
      </c>
      <c r="G61" s="75">
        <f>BG10</f>
        <v>5023.32</v>
      </c>
      <c r="H61" s="75">
        <f>BG11</f>
        <v>292.20999999999998</v>
      </c>
      <c r="I61" s="196">
        <f>BG12</f>
        <v>378.03999999999996</v>
      </c>
      <c r="J61" s="196">
        <f>BG13</f>
        <v>1520.2000000000003</v>
      </c>
      <c r="K61" s="196">
        <f>BG14</f>
        <v>1187.3100000000002</v>
      </c>
      <c r="L61" s="196">
        <f>BG15</f>
        <v>34.18</v>
      </c>
      <c r="M61" s="196">
        <f>BG16</f>
        <v>1901.2300000000002</v>
      </c>
      <c r="N61" s="196">
        <f>BG17</f>
        <v>9381.5600000000013</v>
      </c>
      <c r="O61" s="196">
        <f>BG18</f>
        <v>0</v>
      </c>
      <c r="P61" s="196">
        <f>BG19</f>
        <v>34.089999999999996</v>
      </c>
      <c r="Q61" s="196">
        <f>BG20</f>
        <v>7888.1100000000006</v>
      </c>
      <c r="R61" s="196">
        <f>BG21</f>
        <v>127.64999999999999</v>
      </c>
      <c r="S61" s="196">
        <f>BG22</f>
        <v>4.84</v>
      </c>
      <c r="T61" s="196">
        <f>BG23</f>
        <v>10.370000000000033</v>
      </c>
      <c r="U61" s="196">
        <f>BG24</f>
        <v>0</v>
      </c>
      <c r="V61" s="196">
        <f>BG25</f>
        <v>0</v>
      </c>
      <c r="W61" s="196">
        <f>BG26</f>
        <v>11.53</v>
      </c>
      <c r="X61" s="196">
        <f>BG27</f>
        <v>357.04000000000008</v>
      </c>
      <c r="Y61" s="196">
        <f>BG28</f>
        <v>0</v>
      </c>
      <c r="Z61" s="196">
        <f>BG29</f>
        <v>1665.54</v>
      </c>
      <c r="AA61" s="201">
        <f>BG30</f>
        <v>1.3100000000000005</v>
      </c>
      <c r="AB61" s="201">
        <f>BG31</f>
        <v>13.19</v>
      </c>
      <c r="AC61" s="201">
        <f>BG32</f>
        <v>134</v>
      </c>
      <c r="AD61" s="201">
        <f>BG33</f>
        <v>10.71</v>
      </c>
      <c r="AE61" s="201">
        <f>BG34</f>
        <v>0</v>
      </c>
      <c r="AF61" s="201">
        <f>BG35</f>
        <v>0</v>
      </c>
      <c r="AG61" s="201">
        <f>BG36</f>
        <v>943.95</v>
      </c>
      <c r="AH61" s="201">
        <f>BG37</f>
        <v>552.66999999999996</v>
      </c>
      <c r="AI61" s="201">
        <f>BG38</f>
        <v>1.67</v>
      </c>
      <c r="AJ61" s="201">
        <f>BG39</f>
        <v>0.48000000000000004</v>
      </c>
      <c r="AK61" s="201">
        <f>BG40</f>
        <v>7.56</v>
      </c>
      <c r="AL61" s="196">
        <f>BG41</f>
        <v>7.59</v>
      </c>
      <c r="AM61" s="196">
        <f>BG42</f>
        <v>0</v>
      </c>
      <c r="AN61" s="196">
        <f>BG43</f>
        <v>4.5199999999999996</v>
      </c>
      <c r="AO61" s="196">
        <f>BG44</f>
        <v>505.85</v>
      </c>
      <c r="AP61" s="196">
        <f>BG45</f>
        <v>610.12</v>
      </c>
      <c r="AQ61" s="196">
        <f>BG46</f>
        <v>9.3500000000000014</v>
      </c>
      <c r="AR61" s="196">
        <f>BG47</f>
        <v>6.0600000000000005</v>
      </c>
      <c r="AS61" s="196">
        <f>BG48</f>
        <v>0</v>
      </c>
      <c r="AT61" s="196">
        <f>BG49</f>
        <v>18.510000000000002</v>
      </c>
      <c r="AU61" s="196">
        <f>BG50</f>
        <v>155.74</v>
      </c>
      <c r="AV61" s="196">
        <f>BG51</f>
        <v>129.38999999999999</v>
      </c>
      <c r="AW61" s="196">
        <f>BG52</f>
        <v>9.91</v>
      </c>
      <c r="AX61" s="196">
        <f>BG53</f>
        <v>2.96</v>
      </c>
      <c r="AY61" s="196">
        <f>BG54</f>
        <v>22.800000000000004</v>
      </c>
      <c r="AZ61" s="196">
        <f>BG55</f>
        <v>4075.2300000000005</v>
      </c>
      <c r="BA61" s="196">
        <f>BG56</f>
        <v>153.0200000000001</v>
      </c>
      <c r="BB61" s="196">
        <f>BG57</f>
        <v>0.09</v>
      </c>
      <c r="BC61" s="196">
        <f>BG58</f>
        <v>2544.6</v>
      </c>
      <c r="BD61" s="10"/>
      <c r="BE61" s="196"/>
      <c r="BF61" s="196"/>
      <c r="BG61" s="196"/>
      <c r="BH61" s="222"/>
      <c r="BI61" s="243"/>
      <c r="BJ61" s="243"/>
      <c r="BK61" s="243"/>
    </row>
    <row r="62" spans="1:63">
      <c r="Z62" s="194">
        <f>Z59+Z60</f>
        <v>678.78</v>
      </c>
      <c r="AO62" s="194">
        <f>AO59+AO60</f>
        <v>12.19</v>
      </c>
    </row>
    <row r="63" spans="1:63">
      <c r="B63" s="194" t="s">
        <v>423</v>
      </c>
      <c r="D63" s="194">
        <v>228.09</v>
      </c>
    </row>
    <row r="64" spans="1:63">
      <c r="B64" s="194" t="s">
        <v>424</v>
      </c>
      <c r="D64" s="194">
        <v>2.62</v>
      </c>
    </row>
    <row r="65" spans="2:4">
      <c r="B65" s="194" t="s">
        <v>425</v>
      </c>
      <c r="D65" s="194">
        <v>180.35</v>
      </c>
    </row>
    <row r="66" spans="2:4">
      <c r="B66" s="194" t="s">
        <v>426</v>
      </c>
      <c r="D66" s="194">
        <v>79.17</v>
      </c>
    </row>
    <row r="67" spans="2:4">
      <c r="B67" s="194" t="s">
        <v>427</v>
      </c>
      <c r="D67" s="194">
        <v>32.67</v>
      </c>
    </row>
    <row r="68" spans="2:4">
      <c r="D68" s="194">
        <f>SUM(D63:D67)</f>
        <v>522.9</v>
      </c>
    </row>
    <row r="69" spans="2:4">
      <c r="B69" s="194" t="s">
        <v>428</v>
      </c>
      <c r="D69" s="194">
        <v>2811.4</v>
      </c>
    </row>
    <row r="70" spans="2:4">
      <c r="B70" s="194" t="s">
        <v>429</v>
      </c>
      <c r="D70" s="194">
        <v>462.7</v>
      </c>
    </row>
    <row r="71" spans="2:4">
      <c r="B71" s="194" t="s">
        <v>430</v>
      </c>
      <c r="D71" s="194">
        <v>2544</v>
      </c>
    </row>
    <row r="72" spans="2:4">
      <c r="D72" s="194">
        <f>SUM(D69:D71)</f>
        <v>5818.1</v>
      </c>
    </row>
    <row r="76" spans="2:4">
      <c r="D76" s="194">
        <f>0.63+D68</f>
        <v>523.53</v>
      </c>
    </row>
  </sheetData>
  <mergeCells count="12">
    <mergeCell ref="BF4:BF5"/>
    <mergeCell ref="BG4:BG5"/>
    <mergeCell ref="A1:B1"/>
    <mergeCell ref="A2:BG2"/>
    <mergeCell ref="BF3:BG3"/>
    <mergeCell ref="A4:A5"/>
    <mergeCell ref="B4:B5"/>
    <mergeCell ref="C4:C5"/>
    <mergeCell ref="D4:D5"/>
    <mergeCell ref="E4:BC4"/>
    <mergeCell ref="BD4:BD5"/>
    <mergeCell ref="BE4:BE5"/>
  </mergeCells>
  <pageMargins left="0.7" right="0.7" top="0.75" bottom="0.75" header="0.3" footer="0.3"/>
  <pageSetup paperSize="9" orientation="portrait" r:id="rId1"/>
  <legacy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filterMode="1"/>
  <dimension ref="A1:P29"/>
  <sheetViews>
    <sheetView showZeros="0" workbookViewId="0">
      <selection activeCell="A5" sqref="A5:I24"/>
    </sheetView>
  </sheetViews>
  <sheetFormatPr defaultRowHeight="12.75"/>
  <cols>
    <col min="1" max="1" width="6.42578125" customWidth="1"/>
    <col min="2" max="2" width="23.85546875" customWidth="1"/>
    <col min="3" max="3" width="10.42578125" customWidth="1"/>
    <col min="4" max="4" width="10.28515625" customWidth="1"/>
    <col min="5" max="7" width="6.28515625" style="167" hidden="1" customWidth="1"/>
    <col min="8" max="8" width="11.7109375" customWidth="1"/>
    <col min="9" max="9" width="11.85546875" customWidth="1"/>
    <col min="10" max="10" width="7.42578125" customWidth="1"/>
    <col min="11" max="11" width="22" customWidth="1"/>
  </cols>
  <sheetData>
    <row r="1" spans="1:16" ht="22.5" customHeight="1">
      <c r="A1" s="353" t="s">
        <v>632</v>
      </c>
    </row>
    <row r="2" spans="1:16" ht="23.25" customHeight="1">
      <c r="A2" s="1252" t="s">
        <v>708</v>
      </c>
      <c r="B2" s="1252"/>
      <c r="C2" s="1252"/>
      <c r="D2" s="1252"/>
      <c r="E2" s="1252"/>
      <c r="F2" s="1252"/>
      <c r="G2" s="1252"/>
      <c r="H2" s="1252"/>
      <c r="I2" s="1252"/>
    </row>
    <row r="3" spans="1:16" ht="21" customHeight="1">
      <c r="A3" s="1252" t="s">
        <v>766</v>
      </c>
      <c r="B3" s="1252"/>
      <c r="C3" s="1252"/>
      <c r="D3" s="1252"/>
      <c r="E3" s="1252"/>
      <c r="F3" s="1252"/>
      <c r="G3" s="1252"/>
      <c r="H3" s="1252"/>
      <c r="I3" s="1252"/>
    </row>
    <row r="4" spans="1:16" ht="18" customHeight="1">
      <c r="H4" s="1278" t="s">
        <v>138</v>
      </c>
      <c r="I4" s="1278"/>
      <c r="J4" s="1301" t="s">
        <v>0</v>
      </c>
      <c r="K4" s="1301" t="s">
        <v>369</v>
      </c>
      <c r="L4" s="1301" t="s">
        <v>494</v>
      </c>
      <c r="M4" s="1391" t="s">
        <v>495</v>
      </c>
      <c r="N4" s="1391" t="s">
        <v>496</v>
      </c>
      <c r="O4" s="1390" t="s">
        <v>497</v>
      </c>
      <c r="P4" s="1390"/>
    </row>
    <row r="5" spans="1:16" ht="30.75" customHeight="1">
      <c r="A5" s="1280" t="s">
        <v>368</v>
      </c>
      <c r="B5" s="1280" t="s">
        <v>983</v>
      </c>
      <c r="C5" s="1280" t="s">
        <v>456</v>
      </c>
      <c r="D5" s="1280" t="s">
        <v>457</v>
      </c>
      <c r="E5" s="1404"/>
      <c r="F5" s="1404"/>
      <c r="G5" s="1379"/>
      <c r="H5" s="1280" t="s">
        <v>459</v>
      </c>
      <c r="I5" s="1280" t="s">
        <v>460</v>
      </c>
      <c r="J5" s="1301"/>
      <c r="K5" s="1301"/>
      <c r="L5" s="1301"/>
      <c r="M5" s="1391"/>
      <c r="N5" s="1391"/>
      <c r="O5" s="1301" t="s">
        <v>498</v>
      </c>
      <c r="P5" s="1301" t="s">
        <v>344</v>
      </c>
    </row>
    <row r="6" spans="1:16" ht="15" customHeight="1">
      <c r="A6" s="1280"/>
      <c r="B6" s="1280"/>
      <c r="C6" s="1280"/>
      <c r="D6" s="1280"/>
      <c r="E6" s="168"/>
      <c r="F6" s="168"/>
      <c r="G6" s="168"/>
      <c r="H6" s="1280"/>
      <c r="I6" s="1280"/>
      <c r="J6" s="1301"/>
      <c r="K6" s="1301"/>
      <c r="L6" s="1301"/>
      <c r="M6" s="1391"/>
      <c r="N6" s="1391"/>
      <c r="O6" s="1301"/>
      <c r="P6" s="1301"/>
    </row>
    <row r="7" spans="1:16" ht="21" hidden="1" customHeight="1">
      <c r="A7" s="70" t="s">
        <v>235</v>
      </c>
      <c r="B7" s="475" t="s">
        <v>744</v>
      </c>
      <c r="C7" s="70">
        <f>'PHỤ LỤC PNN'!C30</f>
        <v>0</v>
      </c>
      <c r="D7" s="99">
        <f>'Bac Son'!X67</f>
        <v>0</v>
      </c>
      <c r="E7" s="70"/>
      <c r="F7" s="70"/>
      <c r="G7" s="70"/>
      <c r="H7" s="70">
        <f>'PHỤ LỤC PNN'!E30</f>
        <v>0</v>
      </c>
      <c r="I7" s="99">
        <f t="shared" ref="I7:I23" si="0">C7+D7-H7</f>
        <v>0</v>
      </c>
      <c r="J7" s="41" t="s">
        <v>235</v>
      </c>
      <c r="K7" s="475" t="s">
        <v>744</v>
      </c>
      <c r="L7" s="207">
        <v>0.33</v>
      </c>
      <c r="M7" s="207">
        <v>5.12</v>
      </c>
      <c r="N7" s="207">
        <f>I7</f>
        <v>0</v>
      </c>
      <c r="O7" s="207">
        <f>N7-L7</f>
        <v>-0.33</v>
      </c>
      <c r="P7" s="207">
        <f>N7-M7</f>
        <v>-5.12</v>
      </c>
    </row>
    <row r="8" spans="1:16" ht="21" hidden="1" customHeight="1">
      <c r="A8" s="5" t="s">
        <v>236</v>
      </c>
      <c r="B8" s="476" t="s">
        <v>745</v>
      </c>
      <c r="C8" s="5">
        <f>'PHỤ LỤC PNN'!C31</f>
        <v>0</v>
      </c>
      <c r="D8" s="99">
        <f>'Hai Son'!X67</f>
        <v>0</v>
      </c>
      <c r="E8" s="5"/>
      <c r="F8" s="5"/>
      <c r="G8" s="5"/>
      <c r="H8" s="5">
        <f>'PHỤ LỤC PNN'!E31</f>
        <v>0</v>
      </c>
      <c r="I8" s="99">
        <f t="shared" si="0"/>
        <v>0</v>
      </c>
      <c r="J8" s="42" t="s">
        <v>236</v>
      </c>
      <c r="K8" s="476" t="s">
        <v>745</v>
      </c>
      <c r="L8" s="208"/>
      <c r="M8" s="208">
        <v>0.1</v>
      </c>
      <c r="N8" s="208">
        <f t="shared" ref="N8:N23" si="1">I8</f>
        <v>0</v>
      </c>
      <c r="O8" s="208">
        <f t="shared" ref="O8:O23" si="2">N8-L8</f>
        <v>0</v>
      </c>
      <c r="P8" s="208">
        <f t="shared" ref="P8:P23" si="3">N8-M8</f>
        <v>-0.1</v>
      </c>
    </row>
    <row r="9" spans="1:16" ht="21" hidden="1" customHeight="1">
      <c r="A9" s="5" t="s">
        <v>237</v>
      </c>
      <c r="B9" s="476" t="s">
        <v>746</v>
      </c>
      <c r="C9" s="5">
        <f>'PHỤ LỤC PNN'!C32</f>
        <v>0</v>
      </c>
      <c r="D9" s="99">
        <f>'Quang Nghia'!X67</f>
        <v>0</v>
      </c>
      <c r="E9" s="5"/>
      <c r="F9" s="5"/>
      <c r="G9" s="5"/>
      <c r="H9" s="5">
        <f>'PHỤ LỤC PNN'!E32</f>
        <v>0</v>
      </c>
      <c r="I9" s="99">
        <f t="shared" si="0"/>
        <v>0</v>
      </c>
      <c r="J9" s="42" t="s">
        <v>237</v>
      </c>
      <c r="K9" s="476" t="s">
        <v>746</v>
      </c>
      <c r="L9" s="208">
        <v>0.03</v>
      </c>
      <c r="M9" s="208">
        <v>203.75</v>
      </c>
      <c r="N9" s="208">
        <f t="shared" si="1"/>
        <v>0</v>
      </c>
      <c r="O9" s="208">
        <f t="shared" si="2"/>
        <v>-0.03</v>
      </c>
      <c r="P9" s="208">
        <f t="shared" si="3"/>
        <v>-203.75</v>
      </c>
    </row>
    <row r="10" spans="1:16" ht="21" hidden="1" customHeight="1">
      <c r="A10" s="5" t="s">
        <v>238</v>
      </c>
      <c r="B10" s="476" t="s">
        <v>747</v>
      </c>
      <c r="C10" s="5">
        <f>'PHỤ LỤC PNN'!C33</f>
        <v>0</v>
      </c>
      <c r="D10" s="99">
        <f>'Hai Dong'!X67</f>
        <v>0</v>
      </c>
      <c r="E10" s="5"/>
      <c r="F10" s="5"/>
      <c r="G10" s="5"/>
      <c r="H10" s="5">
        <f>'PHỤ LỤC PNN'!E33</f>
        <v>0</v>
      </c>
      <c r="I10" s="99">
        <f t="shared" si="0"/>
        <v>0</v>
      </c>
      <c r="J10" s="42" t="s">
        <v>238</v>
      </c>
      <c r="K10" s="476" t="s">
        <v>747</v>
      </c>
      <c r="L10" s="208"/>
      <c r="M10" s="208">
        <v>10.95</v>
      </c>
      <c r="N10" s="208">
        <f t="shared" si="1"/>
        <v>0</v>
      </c>
      <c r="O10" s="208">
        <f t="shared" si="2"/>
        <v>0</v>
      </c>
      <c r="P10" s="208">
        <f t="shared" si="3"/>
        <v>-10.95</v>
      </c>
    </row>
    <row r="11" spans="1:16" ht="21" hidden="1" customHeight="1">
      <c r="A11" s="5" t="s">
        <v>239</v>
      </c>
      <c r="B11" s="476" t="s">
        <v>748</v>
      </c>
      <c r="C11" s="5">
        <f>'PHỤ LỤC PNN'!C34</f>
        <v>0</v>
      </c>
      <c r="D11" s="99">
        <f>'Hai Tien'!X67</f>
        <v>0</v>
      </c>
      <c r="E11" s="5"/>
      <c r="F11" s="5"/>
      <c r="G11" s="5"/>
      <c r="H11" s="5">
        <f>'PHỤ LỤC PNN'!E34</f>
        <v>0</v>
      </c>
      <c r="I11" s="99">
        <f t="shared" si="0"/>
        <v>0</v>
      </c>
      <c r="J11" s="42" t="s">
        <v>239</v>
      </c>
      <c r="K11" s="476" t="s">
        <v>748</v>
      </c>
      <c r="L11" s="208"/>
      <c r="M11" s="208">
        <v>136.07</v>
      </c>
      <c r="N11" s="208">
        <f t="shared" si="1"/>
        <v>0</v>
      </c>
      <c r="O11" s="208">
        <f t="shared" si="2"/>
        <v>0</v>
      </c>
      <c r="P11" s="208">
        <f t="shared" si="3"/>
        <v>-136.07</v>
      </c>
    </row>
    <row r="12" spans="1:16" ht="21" hidden="1" customHeight="1">
      <c r="A12" s="5" t="s">
        <v>240</v>
      </c>
      <c r="B12" s="476" t="s">
        <v>749</v>
      </c>
      <c r="C12" s="5">
        <f>'PHỤ LỤC PNN'!C35</f>
        <v>0</v>
      </c>
      <c r="D12" s="99">
        <f>'Hai Xuan'!X67</f>
        <v>0</v>
      </c>
      <c r="E12" s="5"/>
      <c r="F12" s="5"/>
      <c r="G12" s="5"/>
      <c r="H12" s="5">
        <f>'PHỤ LỤC PNN'!E35</f>
        <v>0</v>
      </c>
      <c r="I12" s="99">
        <f t="shared" si="0"/>
        <v>0</v>
      </c>
      <c r="J12" s="42" t="s">
        <v>240</v>
      </c>
      <c r="K12" s="476" t="s">
        <v>749</v>
      </c>
      <c r="L12" s="208"/>
      <c r="M12" s="208">
        <v>0.05</v>
      </c>
      <c r="N12" s="208">
        <f t="shared" si="1"/>
        <v>0</v>
      </c>
      <c r="O12" s="208">
        <f t="shared" si="2"/>
        <v>0</v>
      </c>
      <c r="P12" s="208">
        <f t="shared" si="3"/>
        <v>-0.05</v>
      </c>
    </row>
    <row r="13" spans="1:16" ht="21" hidden="1" customHeight="1">
      <c r="A13" s="5" t="s">
        <v>241</v>
      </c>
      <c r="B13" s="476" t="s">
        <v>750</v>
      </c>
      <c r="C13" s="5">
        <f>'PHỤ LỤC PNN'!C36</f>
        <v>0</v>
      </c>
      <c r="D13" s="99">
        <f>'Van Ninh'!X68</f>
        <v>0</v>
      </c>
      <c r="E13" s="5"/>
      <c r="F13" s="5"/>
      <c r="G13" s="5"/>
      <c r="H13" s="5">
        <f>'PHỤ LỤC PNN'!E36</f>
        <v>0</v>
      </c>
      <c r="I13" s="99">
        <f t="shared" si="0"/>
        <v>0</v>
      </c>
      <c r="J13" s="42" t="s">
        <v>241</v>
      </c>
      <c r="K13" s="476" t="s">
        <v>750</v>
      </c>
      <c r="L13" s="208"/>
      <c r="M13" s="208">
        <v>0.06</v>
      </c>
      <c r="N13" s="208">
        <f t="shared" si="1"/>
        <v>0</v>
      </c>
      <c r="O13" s="208">
        <f t="shared" si="2"/>
        <v>0</v>
      </c>
      <c r="P13" s="208">
        <f t="shared" si="3"/>
        <v>-0.06</v>
      </c>
    </row>
    <row r="14" spans="1:16" ht="21" hidden="1" customHeight="1">
      <c r="A14" s="5" t="s">
        <v>242</v>
      </c>
      <c r="B14" s="476" t="s">
        <v>751</v>
      </c>
      <c r="C14" s="5">
        <f>'PHỤ LỤC PNN'!C37</f>
        <v>0</v>
      </c>
      <c r="D14" s="99">
        <f>'Vinh Trung'!X68</f>
        <v>0</v>
      </c>
      <c r="E14" s="5"/>
      <c r="F14" s="5"/>
      <c r="G14" s="5"/>
      <c r="H14" s="5">
        <f>'PHỤ LỤC PNN'!E37</f>
        <v>0</v>
      </c>
      <c r="I14" s="99">
        <f t="shared" si="0"/>
        <v>0</v>
      </c>
      <c r="J14" s="42" t="s">
        <v>242</v>
      </c>
      <c r="K14" s="476" t="s">
        <v>751</v>
      </c>
      <c r="L14" s="208"/>
      <c r="M14" s="208">
        <v>0.1</v>
      </c>
      <c r="N14" s="208">
        <f t="shared" si="1"/>
        <v>0</v>
      </c>
      <c r="O14" s="208">
        <f t="shared" si="2"/>
        <v>0</v>
      </c>
      <c r="P14" s="208">
        <f t="shared" si="3"/>
        <v>-0.1</v>
      </c>
    </row>
    <row r="15" spans="1:16" ht="21" hidden="1" customHeight="1">
      <c r="A15" s="5" t="s">
        <v>243</v>
      </c>
      <c r="B15" s="476" t="s">
        <v>752</v>
      </c>
      <c r="C15" s="5">
        <f>'PHỤ LỤC PNN'!C38</f>
        <v>0</v>
      </c>
      <c r="D15" s="99">
        <f>'Vinh Thuc'!X67</f>
        <v>0</v>
      </c>
      <c r="E15" s="5"/>
      <c r="F15" s="5"/>
      <c r="G15" s="5"/>
      <c r="H15" s="5">
        <f>'PHỤ LỤC PNN'!E38</f>
        <v>0</v>
      </c>
      <c r="I15" s="99">
        <f t="shared" si="0"/>
        <v>0</v>
      </c>
      <c r="J15" s="42" t="s">
        <v>243</v>
      </c>
      <c r="K15" s="476" t="s">
        <v>752</v>
      </c>
      <c r="L15" s="208"/>
      <c r="M15" s="208">
        <v>0.2</v>
      </c>
      <c r="N15" s="208">
        <f t="shared" si="1"/>
        <v>0</v>
      </c>
      <c r="O15" s="208">
        <f t="shared" si="2"/>
        <v>0</v>
      </c>
      <c r="P15" s="208">
        <f t="shared" si="3"/>
        <v>-0.2</v>
      </c>
    </row>
    <row r="16" spans="1:16" ht="21" customHeight="1">
      <c r="A16" s="5" t="s">
        <v>244</v>
      </c>
      <c r="B16" s="476" t="s">
        <v>753</v>
      </c>
      <c r="C16" s="5">
        <f>'PHỤ LỤC PNN'!C39</f>
        <v>0.61</v>
      </c>
      <c r="D16" s="99">
        <f>'Hai Yen'!X68</f>
        <v>0</v>
      </c>
      <c r="E16" s="5"/>
      <c r="F16" s="5"/>
      <c r="G16" s="5"/>
      <c r="H16" s="5">
        <f>'PHỤ LỤC PNN'!E39</f>
        <v>0</v>
      </c>
      <c r="I16" s="99">
        <f t="shared" si="0"/>
        <v>0.61</v>
      </c>
      <c r="J16" s="42" t="s">
        <v>244</v>
      </c>
      <c r="K16" s="476" t="s">
        <v>753</v>
      </c>
      <c r="L16" s="208">
        <v>0.01</v>
      </c>
      <c r="M16" s="208">
        <v>0.28999999999999998</v>
      </c>
      <c r="N16" s="208">
        <f t="shared" si="1"/>
        <v>0.61</v>
      </c>
      <c r="O16" s="208">
        <f t="shared" si="2"/>
        <v>0.6</v>
      </c>
      <c r="P16" s="208">
        <f t="shared" si="3"/>
        <v>0.32</v>
      </c>
    </row>
    <row r="17" spans="1:16" ht="21" customHeight="1">
      <c r="A17" s="5" t="s">
        <v>245</v>
      </c>
      <c r="B17" s="476" t="s">
        <v>754</v>
      </c>
      <c r="C17" s="5">
        <f>'PHỤ LỤC PNN'!C40</f>
        <v>0.22</v>
      </c>
      <c r="D17" s="99">
        <f>'Ka Long'!X67</f>
        <v>0</v>
      </c>
      <c r="E17" s="5"/>
      <c r="F17" s="5"/>
      <c r="G17" s="5"/>
      <c r="H17" s="5">
        <f>'PHỤ LỤC PNN'!E40</f>
        <v>0</v>
      </c>
      <c r="I17" s="99">
        <f t="shared" si="0"/>
        <v>0.22</v>
      </c>
      <c r="J17" s="42" t="s">
        <v>245</v>
      </c>
      <c r="K17" s="476" t="s">
        <v>754</v>
      </c>
      <c r="L17" s="208"/>
      <c r="M17" s="208">
        <v>0.16</v>
      </c>
      <c r="N17" s="208">
        <f t="shared" si="1"/>
        <v>0.22</v>
      </c>
      <c r="O17" s="208">
        <f t="shared" si="2"/>
        <v>0.22</v>
      </c>
      <c r="P17" s="208">
        <f t="shared" si="3"/>
        <v>0.06</v>
      </c>
    </row>
    <row r="18" spans="1:16" ht="21" customHeight="1">
      <c r="A18" s="5" t="s">
        <v>246</v>
      </c>
      <c r="B18" s="476" t="s">
        <v>755</v>
      </c>
      <c r="C18" s="5">
        <f>'PHỤ LỤC PNN'!C41</f>
        <v>0.16</v>
      </c>
      <c r="D18" s="99">
        <f>'Ninh Duong'!X67</f>
        <v>0</v>
      </c>
      <c r="E18" s="5"/>
      <c r="F18" s="5"/>
      <c r="G18" s="5"/>
      <c r="H18" s="5">
        <f>'PHỤ LỤC PNN'!E41</f>
        <v>0</v>
      </c>
      <c r="I18" s="99">
        <f t="shared" si="0"/>
        <v>0.16</v>
      </c>
      <c r="J18" s="42" t="s">
        <v>246</v>
      </c>
      <c r="K18" s="476" t="s">
        <v>755</v>
      </c>
      <c r="L18" s="208"/>
      <c r="M18" s="208"/>
      <c r="N18" s="208">
        <f t="shared" si="1"/>
        <v>0.16</v>
      </c>
      <c r="O18" s="208">
        <f t="shared" si="2"/>
        <v>0.16</v>
      </c>
      <c r="P18" s="208">
        <f t="shared" si="3"/>
        <v>0.16</v>
      </c>
    </row>
    <row r="19" spans="1:16" ht="21" customHeight="1">
      <c r="A19" s="5" t="s">
        <v>247</v>
      </c>
      <c r="B19" s="476" t="s">
        <v>756</v>
      </c>
      <c r="C19" s="5">
        <f>'PHỤ LỤC PNN'!C42</f>
        <v>0.43</v>
      </c>
      <c r="D19" s="99">
        <f>'Hoa Lac'!X67</f>
        <v>0</v>
      </c>
      <c r="E19" s="5"/>
      <c r="F19" s="5"/>
      <c r="G19" s="5"/>
      <c r="H19" s="5">
        <f>'PHỤ LỤC PNN'!E42</f>
        <v>0</v>
      </c>
      <c r="I19" s="99">
        <f t="shared" si="0"/>
        <v>0.43</v>
      </c>
      <c r="J19" s="42" t="s">
        <v>247</v>
      </c>
      <c r="K19" s="476" t="s">
        <v>756</v>
      </c>
      <c r="L19" s="208"/>
      <c r="M19" s="208">
        <v>77.5</v>
      </c>
      <c r="N19" s="208">
        <f t="shared" si="1"/>
        <v>0.43</v>
      </c>
      <c r="O19" s="208">
        <f t="shared" si="2"/>
        <v>0.43</v>
      </c>
      <c r="P19" s="208">
        <f t="shared" si="3"/>
        <v>-77.069999999999993</v>
      </c>
    </row>
    <row r="20" spans="1:16" ht="21" customHeight="1">
      <c r="A20" s="5" t="s">
        <v>248</v>
      </c>
      <c r="B20" s="476" t="s">
        <v>757</v>
      </c>
      <c r="C20" s="5">
        <f>'PHỤ LỤC PNN'!C43</f>
        <v>0.46</v>
      </c>
      <c r="D20" s="99">
        <f>'Tran Phu'!X67</f>
        <v>0</v>
      </c>
      <c r="E20" s="5"/>
      <c r="F20" s="5"/>
      <c r="G20" s="5"/>
      <c r="H20" s="5">
        <f>'PHỤ LỤC PNN'!E43</f>
        <v>0</v>
      </c>
      <c r="I20" s="99">
        <f t="shared" si="0"/>
        <v>0.46</v>
      </c>
      <c r="J20" s="42" t="s">
        <v>248</v>
      </c>
      <c r="K20" s="476" t="s">
        <v>757</v>
      </c>
      <c r="L20" s="208"/>
      <c r="M20" s="208">
        <v>22</v>
      </c>
      <c r="N20" s="208">
        <f t="shared" si="1"/>
        <v>0.46</v>
      </c>
      <c r="O20" s="208">
        <f t="shared" si="2"/>
        <v>0.46</v>
      </c>
      <c r="P20" s="208">
        <f t="shared" si="3"/>
        <v>-21.54</v>
      </c>
    </row>
    <row r="21" spans="1:16" ht="21" customHeight="1">
      <c r="A21" s="5" t="s">
        <v>249</v>
      </c>
      <c r="B21" s="476" t="s">
        <v>758</v>
      </c>
      <c r="C21" s="5">
        <f>'PHỤ LỤC PNN'!C44</f>
        <v>6.37</v>
      </c>
      <c r="D21" s="99">
        <f>'Hai Hoa'!X67</f>
        <v>0</v>
      </c>
      <c r="E21" s="5"/>
      <c r="F21" s="5"/>
      <c r="G21" s="5"/>
      <c r="H21" s="5">
        <f>'PHỤ LỤC PNN'!E44</f>
        <v>0</v>
      </c>
      <c r="I21" s="99">
        <f t="shared" si="0"/>
        <v>6.37</v>
      </c>
      <c r="J21" s="42" t="s">
        <v>249</v>
      </c>
      <c r="K21" s="476" t="s">
        <v>758</v>
      </c>
      <c r="L21" s="208"/>
      <c r="M21" s="208">
        <v>7.0000000000000007E-2</v>
      </c>
      <c r="N21" s="208">
        <f t="shared" si="1"/>
        <v>6.37</v>
      </c>
      <c r="O21" s="208">
        <f t="shared" si="2"/>
        <v>6.37</v>
      </c>
      <c r="P21" s="208">
        <f t="shared" si="3"/>
        <v>6.3</v>
      </c>
    </row>
    <row r="22" spans="1:16" ht="21" customHeight="1">
      <c r="A22" s="5" t="s">
        <v>250</v>
      </c>
      <c r="B22" s="476" t="s">
        <v>759</v>
      </c>
      <c r="C22" s="5">
        <f>'PHỤ LỤC PNN'!C45</f>
        <v>1.19</v>
      </c>
      <c r="D22" s="99">
        <f>'Tra Co'!X67</f>
        <v>0</v>
      </c>
      <c r="E22" s="5"/>
      <c r="F22" s="5"/>
      <c r="G22" s="5"/>
      <c r="H22" s="5">
        <f>'PHỤ LỤC PNN'!E45</f>
        <v>0</v>
      </c>
      <c r="I22" s="99">
        <f t="shared" si="0"/>
        <v>1.19</v>
      </c>
      <c r="J22" s="42" t="s">
        <v>250</v>
      </c>
      <c r="K22" s="476" t="s">
        <v>759</v>
      </c>
      <c r="L22" s="208"/>
      <c r="M22" s="208">
        <v>0.1</v>
      </c>
      <c r="N22" s="208">
        <f t="shared" si="1"/>
        <v>1.19</v>
      </c>
      <c r="O22" s="208">
        <f t="shared" si="2"/>
        <v>1.19</v>
      </c>
      <c r="P22" s="208">
        <f t="shared" si="3"/>
        <v>1.0899999999999999</v>
      </c>
    </row>
    <row r="23" spans="1:16" ht="21" customHeight="1">
      <c r="A23" s="5" t="s">
        <v>251</v>
      </c>
      <c r="B23" s="476" t="s">
        <v>760</v>
      </c>
      <c r="C23" s="5">
        <f>'PHỤ LỤC PNN'!C46</f>
        <v>0.39</v>
      </c>
      <c r="D23" s="99">
        <f>'Binh Ngoc'!X67</f>
        <v>0</v>
      </c>
      <c r="E23" s="5"/>
      <c r="F23" s="5"/>
      <c r="G23" s="5"/>
      <c r="H23" s="5">
        <f>'PHỤ LỤC PNN'!E46</f>
        <v>0</v>
      </c>
      <c r="I23" s="99">
        <f t="shared" si="0"/>
        <v>0.39</v>
      </c>
      <c r="J23" s="42" t="s">
        <v>251</v>
      </c>
      <c r="K23" s="476" t="s">
        <v>760</v>
      </c>
      <c r="L23" s="208"/>
      <c r="M23" s="208">
        <v>0.31</v>
      </c>
      <c r="N23" s="208">
        <f t="shared" si="1"/>
        <v>0.39</v>
      </c>
      <c r="O23" s="208">
        <f t="shared" si="2"/>
        <v>0.39</v>
      </c>
      <c r="P23" s="208">
        <f t="shared" si="3"/>
        <v>8.0000000000000016E-2</v>
      </c>
    </row>
    <row r="24" spans="1:16" ht="24.75" customHeight="1">
      <c r="A24" s="66"/>
      <c r="B24" s="66" t="s">
        <v>370</v>
      </c>
      <c r="C24" s="328">
        <f t="shared" ref="C24:I24" si="4">SUM(C7:C23)</f>
        <v>9.83</v>
      </c>
      <c r="D24" s="328">
        <f t="shared" si="4"/>
        <v>0</v>
      </c>
      <c r="E24" s="328">
        <f t="shared" si="4"/>
        <v>0</v>
      </c>
      <c r="F24" s="328">
        <f t="shared" si="4"/>
        <v>0</v>
      </c>
      <c r="G24" s="328">
        <f t="shared" si="4"/>
        <v>0</v>
      </c>
      <c r="H24" s="328">
        <f t="shared" si="4"/>
        <v>0</v>
      </c>
      <c r="I24" s="75">
        <f t="shared" si="4"/>
        <v>9.83</v>
      </c>
      <c r="J24" s="51"/>
      <c r="K24" s="51" t="s">
        <v>370</v>
      </c>
      <c r="L24" s="209">
        <f>SUM(L7:L23)</f>
        <v>0.37</v>
      </c>
      <c r="M24" s="209">
        <f>SUM(M7:M23)</f>
        <v>456.8300000000001</v>
      </c>
      <c r="N24" s="209">
        <f>SUM(N7:N23)</f>
        <v>9.83</v>
      </c>
      <c r="O24" s="209">
        <f>SUM(O7:O23)</f>
        <v>9.4600000000000009</v>
      </c>
      <c r="P24" s="209">
        <f>SUM(P7:P23)</f>
        <v>-447.00000000000006</v>
      </c>
    </row>
    <row r="25" spans="1:16" ht="15.75">
      <c r="C25">
        <f>'TONG TP'!D27</f>
        <v>9.83</v>
      </c>
      <c r="D25" s="68">
        <f>'TONG TP'!X68</f>
        <v>0</v>
      </c>
      <c r="I25">
        <f>'TONG TP'!BN27</f>
        <v>9.83</v>
      </c>
    </row>
    <row r="26" spans="1:16" hidden="1">
      <c r="D26">
        <f>D25-D24</f>
        <v>0</v>
      </c>
      <c r="I26">
        <f>I25-I24</f>
        <v>0</v>
      </c>
    </row>
    <row r="28" spans="1:16">
      <c r="I28">
        <f>'TONG TP'!BN27</f>
        <v>9.83</v>
      </c>
    </row>
    <row r="29" spans="1:16">
      <c r="I29" s="177">
        <f>I24-I28</f>
        <v>0</v>
      </c>
    </row>
  </sheetData>
  <autoFilter ref="A6:P26">
    <filterColumn colId="8">
      <customFilters>
        <customFilter operator="notEqual" val=" "/>
      </customFilters>
    </filterColumn>
  </autoFilter>
  <mergeCells count="18">
    <mergeCell ref="A2:I2"/>
    <mergeCell ref="A3:I3"/>
    <mergeCell ref="A5:A6"/>
    <mergeCell ref="B5:B6"/>
    <mergeCell ref="C5:C6"/>
    <mergeCell ref="D5:D6"/>
    <mergeCell ref="H5:H6"/>
    <mergeCell ref="I5:I6"/>
    <mergeCell ref="H4:I4"/>
    <mergeCell ref="E5:G5"/>
    <mergeCell ref="O4:P4"/>
    <mergeCell ref="O5:O6"/>
    <mergeCell ref="P5:P6"/>
    <mergeCell ref="J4:J6"/>
    <mergeCell ref="K4:K6"/>
    <mergeCell ref="L4:L6"/>
    <mergeCell ref="M4:M6"/>
    <mergeCell ref="N4:N6"/>
  </mergeCells>
  <phoneticPr fontId="4" type="noConversion"/>
  <printOptions horizontalCentered="1"/>
  <pageMargins left="0.9" right="0.5" top="0.25" bottom="0.25" header="0.5" footer="0.5"/>
  <pageSetup paperSize="9" scale="85" orientation="portrait"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dimension ref="A1:AD24"/>
  <sheetViews>
    <sheetView showZeros="0" topLeftCell="A13" zoomScaleNormal="100" workbookViewId="0">
      <selection activeCell="B5" sqref="B5:B6"/>
    </sheetView>
  </sheetViews>
  <sheetFormatPr defaultRowHeight="12.75"/>
  <cols>
    <col min="1" max="1" width="4.85546875" customWidth="1"/>
    <col min="2" max="2" width="19.42578125" customWidth="1"/>
    <col min="3" max="3" width="7.7109375" customWidth="1"/>
    <col min="4" max="4" width="9.28515625" customWidth="1"/>
    <col min="5" max="5" width="8.42578125" customWidth="1"/>
    <col min="6" max="6" width="7.140625" customWidth="1"/>
    <col min="7" max="8" width="6.5703125" customWidth="1"/>
    <col min="9" max="9" width="7.42578125" customWidth="1"/>
    <col min="10" max="10" width="8.85546875" customWidth="1"/>
    <col min="11" max="11" width="6.140625" customWidth="1"/>
    <col min="12" max="12" width="7.42578125" customWidth="1"/>
    <col min="13" max="13" width="6.5703125" customWidth="1"/>
    <col min="14" max="14" width="6.140625" style="170" customWidth="1"/>
    <col min="15" max="15" width="6.5703125" customWidth="1"/>
    <col min="16" max="16" width="5.7109375" customWidth="1"/>
    <col min="17" max="17" width="6" style="170" customWidth="1"/>
    <col min="18" max="18" width="5.85546875" style="167" customWidth="1"/>
    <col min="19" max="19" width="8.140625" customWidth="1"/>
    <col min="20" max="20" width="6" style="170" customWidth="1"/>
    <col min="21" max="21" width="5.5703125" customWidth="1"/>
    <col min="22" max="22" width="6" customWidth="1"/>
    <col min="23" max="23" width="8.7109375" customWidth="1"/>
    <col min="24" max="24" width="7.42578125" style="37" customWidth="1"/>
    <col min="25" max="25" width="20.85546875" customWidth="1"/>
    <col min="27" max="27" width="11.28515625" customWidth="1"/>
    <col min="28" max="28" width="11.140625" customWidth="1"/>
    <col min="29" max="29" width="10.42578125" customWidth="1"/>
    <col min="30" max="30" width="11" customWidth="1"/>
  </cols>
  <sheetData>
    <row r="1" spans="1:30" ht="22.5" customHeight="1">
      <c r="A1" s="353" t="s">
        <v>633</v>
      </c>
    </row>
    <row r="2" spans="1:30" ht="28.5" customHeight="1">
      <c r="A2" s="1252" t="s">
        <v>709</v>
      </c>
      <c r="B2" s="1252"/>
      <c r="C2" s="1252"/>
      <c r="D2" s="1252"/>
      <c r="E2" s="1252"/>
      <c r="F2" s="1252"/>
      <c r="G2" s="1252"/>
      <c r="H2" s="1252"/>
      <c r="I2" s="1252"/>
      <c r="J2" s="1252"/>
      <c r="K2" s="1252"/>
      <c r="L2" s="1252"/>
      <c r="M2" s="1252"/>
      <c r="N2" s="1252"/>
      <c r="O2" s="1252"/>
      <c r="P2" s="1252"/>
      <c r="Q2" s="1252"/>
      <c r="R2" s="1252"/>
      <c r="S2" s="1252"/>
      <c r="T2" s="1252"/>
      <c r="U2" s="1252"/>
      <c r="V2" s="1252"/>
      <c r="W2" s="1252"/>
      <c r="X2" s="39"/>
    </row>
    <row r="3" spans="1:30" ht="25.5" customHeight="1">
      <c r="A3" s="1252" t="s">
        <v>766</v>
      </c>
      <c r="B3" s="1252"/>
      <c r="C3" s="1252"/>
      <c r="D3" s="1252"/>
      <c r="E3" s="1252"/>
      <c r="F3" s="1252"/>
      <c r="G3" s="1252"/>
      <c r="H3" s="1252"/>
      <c r="I3" s="1252"/>
      <c r="J3" s="1252"/>
      <c r="K3" s="1252"/>
      <c r="L3" s="1252"/>
      <c r="M3" s="1252"/>
      <c r="N3" s="1252"/>
      <c r="O3" s="1252"/>
      <c r="P3" s="1252"/>
      <c r="Q3" s="1252"/>
      <c r="R3" s="1252"/>
      <c r="S3" s="1252"/>
      <c r="T3" s="1252"/>
      <c r="U3" s="1252"/>
      <c r="V3" s="1252"/>
      <c r="W3" s="1252"/>
      <c r="X3" s="39"/>
    </row>
    <row r="4" spans="1:30" ht="24" customHeight="1">
      <c r="V4" s="1278" t="s">
        <v>138</v>
      </c>
      <c r="W4" s="1278"/>
    </row>
    <row r="5" spans="1:30" ht="30.75" customHeight="1">
      <c r="A5" s="1275" t="s">
        <v>368</v>
      </c>
      <c r="B5" s="1275" t="s">
        <v>982</v>
      </c>
      <c r="C5" s="1275" t="s">
        <v>456</v>
      </c>
      <c r="D5" s="1275" t="s">
        <v>457</v>
      </c>
      <c r="E5" s="1275" t="s">
        <v>458</v>
      </c>
      <c r="F5" s="1275"/>
      <c r="G5" s="1275"/>
      <c r="H5" s="1275"/>
      <c r="I5" s="1275"/>
      <c r="J5" s="1275"/>
      <c r="K5" s="1275"/>
      <c r="L5" s="1275"/>
      <c r="M5" s="1275"/>
      <c r="N5" s="1275"/>
      <c r="O5" s="1275"/>
      <c r="P5" s="1275"/>
      <c r="Q5" s="1275"/>
      <c r="R5" s="1275"/>
      <c r="S5" s="1275"/>
      <c r="T5" s="1275"/>
      <c r="U5" s="1275"/>
      <c r="V5" s="1275" t="s">
        <v>459</v>
      </c>
      <c r="W5" s="1275" t="s">
        <v>460</v>
      </c>
      <c r="X5" s="1406" t="s">
        <v>0</v>
      </c>
      <c r="Y5" s="1301" t="s">
        <v>369</v>
      </c>
      <c r="Z5" s="1301" t="s">
        <v>494</v>
      </c>
      <c r="AA5" s="1391" t="s">
        <v>495</v>
      </c>
      <c r="AB5" s="1391" t="s">
        <v>496</v>
      </c>
      <c r="AC5" s="1301" t="s">
        <v>497</v>
      </c>
      <c r="AD5" s="1301"/>
    </row>
    <row r="6" spans="1:30" ht="29.25" customHeight="1" thickBot="1">
      <c r="A6" s="1365"/>
      <c r="B6" s="1365"/>
      <c r="C6" s="1365"/>
      <c r="D6" s="1365"/>
      <c r="E6" s="566" t="s">
        <v>20</v>
      </c>
      <c r="F6" s="566" t="s">
        <v>195</v>
      </c>
      <c r="G6" s="566" t="s">
        <v>23</v>
      </c>
      <c r="H6" s="566" t="s">
        <v>26</v>
      </c>
      <c r="I6" s="566" t="s">
        <v>29</v>
      </c>
      <c r="J6" s="566" t="s">
        <v>38</v>
      </c>
      <c r="K6" s="566" t="s">
        <v>204</v>
      </c>
      <c r="L6" s="566" t="s">
        <v>199</v>
      </c>
      <c r="M6" s="566" t="s">
        <v>200</v>
      </c>
      <c r="N6" s="566" t="s">
        <v>84</v>
      </c>
      <c r="O6" s="566" t="s">
        <v>87</v>
      </c>
      <c r="P6" s="566" t="s">
        <v>101</v>
      </c>
      <c r="Q6" s="566" t="s">
        <v>104</v>
      </c>
      <c r="R6" s="566" t="s">
        <v>113</v>
      </c>
      <c r="S6" s="566" t="s">
        <v>116</v>
      </c>
      <c r="T6" s="566" t="s">
        <v>119</v>
      </c>
      <c r="U6" s="566" t="s">
        <v>209</v>
      </c>
      <c r="V6" s="1365"/>
      <c r="W6" s="1365"/>
      <c r="X6" s="1407"/>
      <c r="Y6" s="1408"/>
      <c r="Z6" s="1408"/>
      <c r="AA6" s="1405"/>
      <c r="AB6" s="1405"/>
      <c r="AC6" s="566" t="s">
        <v>498</v>
      </c>
      <c r="AD6" s="566" t="s">
        <v>344</v>
      </c>
    </row>
    <row r="7" spans="1:30" ht="24" customHeight="1" thickTop="1">
      <c r="A7" s="588" t="s">
        <v>235</v>
      </c>
      <c r="B7" s="589" t="s">
        <v>744</v>
      </c>
      <c r="C7" s="590">
        <f>'PHỤ LỤC PNN'!C56</f>
        <v>0</v>
      </c>
      <c r="D7" s="590">
        <f>SUM(E7:U7)</f>
        <v>0</v>
      </c>
      <c r="E7" s="590">
        <f>'Hai Son'!Y12</f>
        <v>0</v>
      </c>
      <c r="F7" s="590">
        <f>'Hai Son'!Y13</f>
        <v>0</v>
      </c>
      <c r="G7" s="590">
        <f>'Hai Son'!Y16</f>
        <v>0</v>
      </c>
      <c r="H7" s="590">
        <f>'Hai Son'!Y17</f>
        <v>0</v>
      </c>
      <c r="I7" s="590">
        <f>'Hai Son'!Y19</f>
        <v>0</v>
      </c>
      <c r="J7" s="590">
        <f>'Hai Son'!Y22</f>
        <v>0</v>
      </c>
      <c r="K7" s="590">
        <f>'Hai Son'!Y37</f>
        <v>0</v>
      </c>
      <c r="L7" s="590">
        <f>'Hai Son'!Y41</f>
        <v>0</v>
      </c>
      <c r="M7" s="590">
        <f>'Hai Son'!Y42</f>
        <v>0</v>
      </c>
      <c r="N7" s="590"/>
      <c r="O7" s="590">
        <f>'Hai Son'!Y50</f>
        <v>0</v>
      </c>
      <c r="P7" s="590">
        <f>'Hai Son'!Y55</f>
        <v>0</v>
      </c>
      <c r="Q7" s="590"/>
      <c r="R7" s="590"/>
      <c r="S7" s="590">
        <f>'Hai Son'!Y60</f>
        <v>0</v>
      </c>
      <c r="T7" s="590"/>
      <c r="U7" s="590">
        <f>'Hai Son'!Y64</f>
        <v>0</v>
      </c>
      <c r="V7" s="590">
        <f>'PHỤ LỤC PNN'!E56</f>
        <v>0</v>
      </c>
      <c r="W7" s="590">
        <f t="shared" ref="W7:W13" si="0">C7+D7-V7</f>
        <v>0</v>
      </c>
      <c r="X7" s="591" t="s">
        <v>235</v>
      </c>
      <c r="Y7" s="589" t="s">
        <v>744</v>
      </c>
      <c r="Z7" s="590">
        <v>37.01</v>
      </c>
      <c r="AA7" s="590">
        <v>160</v>
      </c>
      <c r="AB7" s="590">
        <f>W7</f>
        <v>0</v>
      </c>
      <c r="AC7" s="590">
        <f>AB7-Z7</f>
        <v>-37.01</v>
      </c>
      <c r="AD7" s="592">
        <f>AB7-AA7</f>
        <v>-160</v>
      </c>
    </row>
    <row r="8" spans="1:30" s="37" customFormat="1" ht="24" customHeight="1">
      <c r="A8" s="593" t="s">
        <v>236</v>
      </c>
      <c r="B8" s="594" t="s">
        <v>745</v>
      </c>
      <c r="C8" s="595"/>
      <c r="D8" s="595">
        <f t="shared" ref="D8:D13" si="1">SUM(E8:U8)</f>
        <v>0</v>
      </c>
      <c r="E8" s="595">
        <f>'Quang Nghia'!Y12</f>
        <v>0</v>
      </c>
      <c r="F8" s="595">
        <f>'Quang Nghia'!Y13</f>
        <v>0</v>
      </c>
      <c r="G8" s="595">
        <f>'Quang Nghia'!Y16</f>
        <v>0</v>
      </c>
      <c r="H8" s="595">
        <f>'Quang Nghia'!Y17</f>
        <v>0</v>
      </c>
      <c r="I8" s="595">
        <f>'Quang Nghia'!Y19</f>
        <v>0</v>
      </c>
      <c r="J8" s="595">
        <f>'Quang Nghia'!Y22</f>
        <v>0</v>
      </c>
      <c r="K8" s="595">
        <f>'Quang Nghia'!Y37</f>
        <v>0</v>
      </c>
      <c r="L8" s="595">
        <f>'Quang Nghia'!Y41</f>
        <v>0</v>
      </c>
      <c r="M8" s="595">
        <f>'Quang Nghia'!Y42</f>
        <v>0</v>
      </c>
      <c r="N8" s="595"/>
      <c r="O8" s="595">
        <f>'Quang Nghia'!Y50</f>
        <v>0</v>
      </c>
      <c r="P8" s="595">
        <f>'Quang Nghia'!Y55</f>
        <v>0</v>
      </c>
      <c r="Q8" s="595">
        <f>'Quang Nghia'!Y56</f>
        <v>0</v>
      </c>
      <c r="R8" s="595">
        <f>'Quang Nghia'!Y59</f>
        <v>0</v>
      </c>
      <c r="S8" s="595">
        <f>'Quang Nghia'!Y60</f>
        <v>0</v>
      </c>
      <c r="T8" s="595">
        <f>'Quang Nghia'!Y61</f>
        <v>0</v>
      </c>
      <c r="U8" s="595">
        <f>'Quang Nghia'!Y64</f>
        <v>0</v>
      </c>
      <c r="V8" s="595"/>
      <c r="W8" s="595">
        <f t="shared" si="0"/>
        <v>0</v>
      </c>
      <c r="X8" s="596" t="s">
        <v>236</v>
      </c>
      <c r="Y8" s="594" t="s">
        <v>745</v>
      </c>
      <c r="Z8" s="595"/>
      <c r="AA8" s="595"/>
      <c r="AB8" s="595">
        <f>W8</f>
        <v>0</v>
      </c>
      <c r="AC8" s="595">
        <f t="shared" ref="AC8:AC14" si="2">AB8-Z8</f>
        <v>0</v>
      </c>
      <c r="AD8" s="597">
        <f t="shared" ref="AD8:AD14" si="3">AB8-AA8</f>
        <v>0</v>
      </c>
    </row>
    <row r="9" spans="1:30" ht="24" customHeight="1">
      <c r="A9" s="598" t="s">
        <v>237</v>
      </c>
      <c r="B9" s="594" t="s">
        <v>746</v>
      </c>
      <c r="C9" s="595">
        <f>'PHỤ LỤC PNN'!C61</f>
        <v>0</v>
      </c>
      <c r="D9" s="595">
        <f t="shared" si="1"/>
        <v>0</v>
      </c>
      <c r="E9" s="595">
        <f>'Hai Dong'!Y12</f>
        <v>0</v>
      </c>
      <c r="F9" s="595">
        <f>'Hai Dong'!Y13</f>
        <v>0</v>
      </c>
      <c r="G9" s="595">
        <f>'Hai Dong'!Y16</f>
        <v>0</v>
      </c>
      <c r="H9" s="595">
        <f>'Hai Dong'!Y17</f>
        <v>0</v>
      </c>
      <c r="I9" s="595">
        <f>'Hai Dong'!Y19</f>
        <v>0</v>
      </c>
      <c r="J9" s="595">
        <f>'Hai Dong'!Y22</f>
        <v>0</v>
      </c>
      <c r="K9" s="595">
        <f>'Hai Dong'!Y37</f>
        <v>0</v>
      </c>
      <c r="L9" s="595">
        <f>'Hai Dong'!Y41</f>
        <v>0</v>
      </c>
      <c r="M9" s="595">
        <f>'Hai Dong'!Y42</f>
        <v>0</v>
      </c>
      <c r="N9" s="595">
        <f>'Hai Dong'!AG13</f>
        <v>0</v>
      </c>
      <c r="O9" s="595">
        <f>'Hai Dong'!Y50</f>
        <v>0</v>
      </c>
      <c r="P9" s="595">
        <f>'Hai Dong'!Y55</f>
        <v>0</v>
      </c>
      <c r="Q9" s="595">
        <f>'Hai Dong'!Y56</f>
        <v>0</v>
      </c>
      <c r="R9" s="595">
        <f>'Hai Dong'!Y59</f>
        <v>0</v>
      </c>
      <c r="S9" s="595">
        <f>'Hai Dong'!Y60</f>
        <v>0</v>
      </c>
      <c r="T9" s="595">
        <f>'Hai Dong'!Y61</f>
        <v>0</v>
      </c>
      <c r="U9" s="595">
        <f>'Hai Dong'!Y64</f>
        <v>0</v>
      </c>
      <c r="V9" s="595">
        <f>'PHỤ LỤC PNN'!E61</f>
        <v>0</v>
      </c>
      <c r="W9" s="595">
        <f t="shared" si="0"/>
        <v>0</v>
      </c>
      <c r="X9" s="596" t="s">
        <v>237</v>
      </c>
      <c r="Y9" s="594" t="s">
        <v>746</v>
      </c>
      <c r="Z9" s="595">
        <v>7.14</v>
      </c>
      <c r="AA9" s="595"/>
      <c r="AB9" s="595"/>
      <c r="AC9" s="595">
        <f t="shared" si="2"/>
        <v>-7.14</v>
      </c>
      <c r="AD9" s="597">
        <f t="shared" si="3"/>
        <v>0</v>
      </c>
    </row>
    <row r="10" spans="1:30" ht="24" customHeight="1">
      <c r="A10" s="598" t="s">
        <v>238</v>
      </c>
      <c r="B10" s="594" t="s">
        <v>747</v>
      </c>
      <c r="C10" s="595">
        <f>'PHỤ LỤC PNN'!C66</f>
        <v>0</v>
      </c>
      <c r="D10" s="595">
        <f t="shared" si="1"/>
        <v>0</v>
      </c>
      <c r="E10" s="595">
        <f>'Ninh Duong'!Y12</f>
        <v>0</v>
      </c>
      <c r="F10" s="595">
        <f>'Ninh Duong'!Y13</f>
        <v>0</v>
      </c>
      <c r="G10" s="595">
        <f>'Ninh Duong'!Y16</f>
        <v>0</v>
      </c>
      <c r="H10" s="595">
        <f>'Ninh Duong'!Y17</f>
        <v>0</v>
      </c>
      <c r="I10" s="595">
        <f>'Ninh Duong'!Y19</f>
        <v>0</v>
      </c>
      <c r="J10" s="595">
        <f>'Ninh Duong'!Y22</f>
        <v>0</v>
      </c>
      <c r="K10" s="595">
        <f>'Ninh Duong'!Y37</f>
        <v>0</v>
      </c>
      <c r="L10" s="595">
        <f>'Ninh Duong'!Y41</f>
        <v>0</v>
      </c>
      <c r="M10" s="595">
        <f>'Ninh Duong'!Y42</f>
        <v>0</v>
      </c>
      <c r="N10" s="595">
        <f>'Ninh Duong'!Y49</f>
        <v>0</v>
      </c>
      <c r="O10" s="595">
        <f>'Ninh Duong'!Y50</f>
        <v>0</v>
      </c>
      <c r="P10" s="595">
        <f>'Ninh Duong'!Y55</f>
        <v>0</v>
      </c>
      <c r="Q10" s="595"/>
      <c r="R10" s="595">
        <f>'Ninh Duong'!Y59</f>
        <v>0</v>
      </c>
      <c r="S10" s="595">
        <f>'Ninh Duong'!Y60</f>
        <v>0</v>
      </c>
      <c r="T10" s="595">
        <f>'Ninh Duong'!Y61</f>
        <v>0</v>
      </c>
      <c r="U10" s="595">
        <f>'Ninh Duong'!Y64</f>
        <v>0</v>
      </c>
      <c r="V10" s="595">
        <f>'PHỤ LỤC PNN'!E66</f>
        <v>0</v>
      </c>
      <c r="W10" s="595">
        <f t="shared" si="0"/>
        <v>0</v>
      </c>
      <c r="X10" s="596" t="s">
        <v>238</v>
      </c>
      <c r="Y10" s="594" t="s">
        <v>747</v>
      </c>
      <c r="Z10" s="595"/>
      <c r="AA10" s="595"/>
      <c r="AB10" s="595">
        <f>W9</f>
        <v>0</v>
      </c>
      <c r="AC10" s="595">
        <f t="shared" si="2"/>
        <v>0</v>
      </c>
      <c r="AD10" s="597">
        <f t="shared" si="3"/>
        <v>0</v>
      </c>
    </row>
    <row r="11" spans="1:30" ht="24" customHeight="1">
      <c r="A11" s="598" t="s">
        <v>239</v>
      </c>
      <c r="B11" s="594" t="s">
        <v>748</v>
      </c>
      <c r="C11" s="595">
        <f>'PHỤ LỤC PNN'!C69</f>
        <v>0</v>
      </c>
      <c r="D11" s="595">
        <f t="shared" si="1"/>
        <v>0</v>
      </c>
      <c r="E11" s="595">
        <f>'Hai Hoa'!Y12</f>
        <v>0</v>
      </c>
      <c r="F11" s="595"/>
      <c r="G11" s="595"/>
      <c r="H11" s="595"/>
      <c r="I11" s="595"/>
      <c r="J11" s="595"/>
      <c r="K11" s="595"/>
      <c r="L11" s="595"/>
      <c r="M11" s="595"/>
      <c r="N11" s="595"/>
      <c r="O11" s="595"/>
      <c r="P11" s="595"/>
      <c r="Q11" s="595"/>
      <c r="R11" s="595"/>
      <c r="S11" s="595"/>
      <c r="T11" s="595"/>
      <c r="U11" s="595"/>
      <c r="V11" s="595">
        <f>'PHỤ LỤC PNN'!E69</f>
        <v>0</v>
      </c>
      <c r="W11" s="595">
        <f t="shared" si="0"/>
        <v>0</v>
      </c>
      <c r="X11" s="596" t="s">
        <v>239</v>
      </c>
      <c r="Y11" s="594" t="s">
        <v>748</v>
      </c>
      <c r="Z11" s="595">
        <v>27.1</v>
      </c>
      <c r="AA11" s="595">
        <v>27.1</v>
      </c>
      <c r="AB11" s="595">
        <f>W10</f>
        <v>0</v>
      </c>
      <c r="AC11" s="595">
        <f t="shared" si="2"/>
        <v>-27.1</v>
      </c>
      <c r="AD11" s="597">
        <f t="shared" si="3"/>
        <v>-27.1</v>
      </c>
    </row>
    <row r="12" spans="1:30" ht="24" customHeight="1">
      <c r="A12" s="598" t="s">
        <v>240</v>
      </c>
      <c r="B12" s="594" t="s">
        <v>749</v>
      </c>
      <c r="C12" s="595">
        <f>'PHỤ LỤC PNN'!C72</f>
        <v>0</v>
      </c>
      <c r="D12" s="595">
        <f t="shared" si="1"/>
        <v>0</v>
      </c>
      <c r="E12" s="595">
        <f>'Lien vị'!Y12</f>
        <v>0</v>
      </c>
      <c r="F12" s="595">
        <f>'Lien vị'!Y13</f>
        <v>0</v>
      </c>
      <c r="G12" s="595">
        <f>'Lien vị'!Y16</f>
        <v>0</v>
      </c>
      <c r="H12" s="595">
        <f>'Lien vị'!Y17</f>
        <v>0</v>
      </c>
      <c r="I12" s="595">
        <f>'Lien vị'!Y19</f>
        <v>0</v>
      </c>
      <c r="J12" s="595">
        <f>'Lien vị'!Y22</f>
        <v>0</v>
      </c>
      <c r="K12" s="595">
        <f>'Lien vị'!Y37</f>
        <v>0</v>
      </c>
      <c r="L12" s="595">
        <f>'Lien vị'!Y41</f>
        <v>0</v>
      </c>
      <c r="M12" s="595">
        <f>'Lien vị'!Y42</f>
        <v>0</v>
      </c>
      <c r="N12" s="595"/>
      <c r="O12" s="595"/>
      <c r="P12" s="595"/>
      <c r="Q12" s="595"/>
      <c r="R12" s="595"/>
      <c r="S12" s="595">
        <f>'Lien vị'!Y60</f>
        <v>0</v>
      </c>
      <c r="T12" s="595"/>
      <c r="U12" s="595">
        <f>'Lien vị'!AK12</f>
        <v>0</v>
      </c>
      <c r="V12" s="595">
        <f>'PHỤ LỤC PNN'!E72</f>
        <v>0</v>
      </c>
      <c r="W12" s="595">
        <f t="shared" si="0"/>
        <v>0</v>
      </c>
      <c r="X12" s="596" t="s">
        <v>240</v>
      </c>
      <c r="Y12" s="594" t="s">
        <v>749</v>
      </c>
      <c r="Z12" s="595">
        <v>126.65</v>
      </c>
      <c r="AA12" s="595"/>
      <c r="AB12" s="595">
        <f>W11</f>
        <v>0</v>
      </c>
      <c r="AC12" s="595">
        <f t="shared" si="2"/>
        <v>-126.65</v>
      </c>
      <c r="AD12" s="597">
        <f t="shared" si="3"/>
        <v>0</v>
      </c>
    </row>
    <row r="13" spans="1:30" ht="24" customHeight="1">
      <c r="A13" s="598" t="s">
        <v>241</v>
      </c>
      <c r="B13" s="594" t="s">
        <v>750</v>
      </c>
      <c r="C13" s="595">
        <f>'PHỤ LỤC PNN'!C73</f>
        <v>0</v>
      </c>
      <c r="D13" s="595">
        <f t="shared" si="1"/>
        <v>0</v>
      </c>
      <c r="E13" s="595">
        <f>'Tien Phong'!Y12</f>
        <v>0</v>
      </c>
      <c r="F13" s="595">
        <f>'Tien Phong'!Y13</f>
        <v>0</v>
      </c>
      <c r="G13" s="595">
        <f>'Tien Phong'!Y16</f>
        <v>0</v>
      </c>
      <c r="H13" s="595">
        <f>'Tien Phong'!Y17</f>
        <v>0</v>
      </c>
      <c r="I13" s="595">
        <f>'Tien Phong'!Y19</f>
        <v>0</v>
      </c>
      <c r="J13" s="595">
        <f>'Tien Phong'!Y22</f>
        <v>0</v>
      </c>
      <c r="K13" s="595"/>
      <c r="L13" s="595">
        <f>'Tien Phong'!Y41</f>
        <v>0</v>
      </c>
      <c r="M13" s="595">
        <f>'Tien Phong'!Y42</f>
        <v>0</v>
      </c>
      <c r="N13" s="595"/>
      <c r="O13" s="595">
        <f>'Tien Phong'!Y50</f>
        <v>0</v>
      </c>
      <c r="P13" s="595">
        <f>'Tien Phong'!Y55</f>
        <v>0</v>
      </c>
      <c r="Q13" s="595"/>
      <c r="R13" s="595"/>
      <c r="S13" s="595">
        <f>'Tien Phong'!Y60</f>
        <v>0</v>
      </c>
      <c r="T13" s="595"/>
      <c r="U13" s="595">
        <f>'Tien Phong'!Y64</f>
        <v>0</v>
      </c>
      <c r="V13" s="595">
        <f>'PHỤ LỤC PNN'!E73</f>
        <v>0</v>
      </c>
      <c r="W13" s="595">
        <f t="shared" si="0"/>
        <v>0</v>
      </c>
      <c r="X13" s="596" t="s">
        <v>241</v>
      </c>
      <c r="Y13" s="594" t="s">
        <v>750</v>
      </c>
      <c r="Z13" s="595"/>
      <c r="AA13" s="595">
        <v>1100</v>
      </c>
      <c r="AB13" s="595">
        <f>W12</f>
        <v>0</v>
      </c>
      <c r="AC13" s="595">
        <f t="shared" si="2"/>
        <v>0</v>
      </c>
      <c r="AD13" s="597">
        <f t="shared" si="3"/>
        <v>-1100</v>
      </c>
    </row>
    <row r="14" spans="1:30" s="67" customFormat="1" ht="24" customHeight="1">
      <c r="A14" s="599">
        <v>8</v>
      </c>
      <c r="B14" s="594" t="s">
        <v>751</v>
      </c>
      <c r="C14" s="583">
        <f>SUM(C7:C13)</f>
        <v>0</v>
      </c>
      <c r="D14" s="583">
        <f>SUM(D7:D13)</f>
        <v>0</v>
      </c>
      <c r="E14" s="583">
        <f>SUM(E7:E13)</f>
        <v>0</v>
      </c>
      <c r="F14" s="583">
        <f t="shared" ref="F14:U14" si="4">SUM(F7:F13)</f>
        <v>0</v>
      </c>
      <c r="G14" s="583">
        <f t="shared" si="4"/>
        <v>0</v>
      </c>
      <c r="H14" s="583">
        <f t="shared" si="4"/>
        <v>0</v>
      </c>
      <c r="I14" s="583">
        <f t="shared" si="4"/>
        <v>0</v>
      </c>
      <c r="J14" s="583">
        <f t="shared" si="4"/>
        <v>0</v>
      </c>
      <c r="K14" s="583">
        <f t="shared" si="4"/>
        <v>0</v>
      </c>
      <c r="L14" s="583">
        <f t="shared" si="4"/>
        <v>0</v>
      </c>
      <c r="M14" s="583">
        <f t="shared" si="4"/>
        <v>0</v>
      </c>
      <c r="N14" s="583">
        <f t="shared" si="4"/>
        <v>0</v>
      </c>
      <c r="O14" s="583">
        <f t="shared" si="4"/>
        <v>0</v>
      </c>
      <c r="P14" s="583">
        <f t="shared" si="4"/>
        <v>0</v>
      </c>
      <c r="Q14" s="583">
        <f t="shared" si="4"/>
        <v>0</v>
      </c>
      <c r="R14" s="583">
        <f t="shared" si="4"/>
        <v>0</v>
      </c>
      <c r="S14" s="583">
        <f t="shared" si="4"/>
        <v>0</v>
      </c>
      <c r="T14" s="583">
        <f t="shared" si="4"/>
        <v>0</v>
      </c>
      <c r="U14" s="583">
        <f t="shared" si="4"/>
        <v>0</v>
      </c>
      <c r="V14" s="583">
        <f>SUM(V7:V13)</f>
        <v>0</v>
      </c>
      <c r="W14" s="583">
        <f>SUM(W7:W13)</f>
        <v>0</v>
      </c>
      <c r="X14" s="596" t="s">
        <v>242</v>
      </c>
      <c r="Y14" s="594" t="s">
        <v>751</v>
      </c>
      <c r="Z14" s="595">
        <v>110.27</v>
      </c>
      <c r="AA14" s="595">
        <v>400</v>
      </c>
      <c r="AB14" s="595">
        <f>W13</f>
        <v>0</v>
      </c>
      <c r="AC14" s="595">
        <f t="shared" si="2"/>
        <v>-110.27</v>
      </c>
      <c r="AD14" s="597">
        <f t="shared" si="3"/>
        <v>-400</v>
      </c>
    </row>
    <row r="15" spans="1:30" ht="24" customHeight="1">
      <c r="A15" s="600">
        <v>9</v>
      </c>
      <c r="B15" s="594" t="s">
        <v>752</v>
      </c>
      <c r="C15" s="601"/>
      <c r="D15" s="602"/>
      <c r="E15" s="603"/>
      <c r="F15" s="603"/>
      <c r="G15" s="603"/>
      <c r="H15" s="603"/>
      <c r="I15" s="603"/>
      <c r="J15" s="603"/>
      <c r="K15" s="603"/>
      <c r="L15" s="603"/>
      <c r="M15" s="603"/>
      <c r="N15" s="603"/>
      <c r="O15" s="603"/>
      <c r="P15" s="603"/>
      <c r="Q15" s="603"/>
      <c r="R15" s="603"/>
      <c r="S15" s="603"/>
      <c r="T15" s="603"/>
      <c r="U15" s="603"/>
      <c r="V15" s="603"/>
      <c r="W15" s="604"/>
      <c r="X15" s="605"/>
      <c r="Y15" s="594" t="s">
        <v>752</v>
      </c>
      <c r="Z15" s="583">
        <f>SUM(Z7:Z14)</f>
        <v>308.17</v>
      </c>
      <c r="AA15" s="583">
        <f>SUM(AA7:AA14)</f>
        <v>1687.1</v>
      </c>
      <c r="AB15" s="583">
        <f>SUM(AB7:AB14)</f>
        <v>0</v>
      </c>
      <c r="AC15" s="583">
        <f>SUM(AC7:AC14)</f>
        <v>-308.17</v>
      </c>
      <c r="AD15" s="606">
        <f>SUM(AD7:AD14)</f>
        <v>-1687.1</v>
      </c>
    </row>
    <row r="16" spans="1:30" ht="24" customHeight="1">
      <c r="A16" s="600">
        <v>10</v>
      </c>
      <c r="B16" s="594" t="s">
        <v>753</v>
      </c>
      <c r="C16" s="607">
        <f>'Hai Yen'!D28</f>
        <v>79.59</v>
      </c>
      <c r="D16" s="607">
        <f>'Hai Yen'!Y68</f>
        <v>38.219999999999992</v>
      </c>
      <c r="E16" s="603"/>
      <c r="F16" s="603"/>
      <c r="G16" s="603"/>
      <c r="H16" s="603"/>
      <c r="I16" s="603"/>
      <c r="J16" s="603"/>
      <c r="K16" s="603"/>
      <c r="L16" s="603"/>
      <c r="M16" s="603"/>
      <c r="N16" s="603"/>
      <c r="O16" s="603"/>
      <c r="P16" s="603"/>
      <c r="Q16" s="603"/>
      <c r="R16" s="603"/>
      <c r="S16" s="603"/>
      <c r="T16" s="603"/>
      <c r="U16" s="603"/>
      <c r="V16" s="607">
        <f>'Hai Yen'!BL28</f>
        <v>0</v>
      </c>
      <c r="W16" s="607">
        <f>C16+D16-V16</f>
        <v>117.81</v>
      </c>
      <c r="X16" s="604"/>
      <c r="Y16" s="594" t="s">
        <v>753</v>
      </c>
      <c r="Z16" s="603"/>
      <c r="AA16" s="603"/>
      <c r="AB16" s="603"/>
      <c r="AC16" s="603"/>
      <c r="AD16" s="608"/>
    </row>
    <row r="17" spans="1:30" ht="24" customHeight="1">
      <c r="A17" s="600">
        <v>11</v>
      </c>
      <c r="B17" s="594" t="s">
        <v>754</v>
      </c>
      <c r="C17" s="603"/>
      <c r="D17" s="603"/>
      <c r="E17" s="603"/>
      <c r="F17" s="603"/>
      <c r="G17" s="603"/>
      <c r="H17" s="603"/>
      <c r="I17" s="603"/>
      <c r="J17" s="603"/>
      <c r="K17" s="603"/>
      <c r="L17" s="603"/>
      <c r="M17" s="603"/>
      <c r="N17" s="603"/>
      <c r="O17" s="603"/>
      <c r="P17" s="603"/>
      <c r="Q17" s="603"/>
      <c r="R17" s="603"/>
      <c r="S17" s="603"/>
      <c r="T17" s="603"/>
      <c r="U17" s="603"/>
      <c r="V17" s="603"/>
      <c r="W17" s="603"/>
      <c r="X17" s="603"/>
      <c r="Y17" s="594" t="s">
        <v>754</v>
      </c>
      <c r="Z17" s="603"/>
      <c r="AA17" s="603"/>
      <c r="AB17" s="603"/>
      <c r="AC17" s="603"/>
      <c r="AD17" s="608"/>
    </row>
    <row r="18" spans="1:30" ht="24" customHeight="1">
      <c r="A18" s="600">
        <v>12</v>
      </c>
      <c r="B18" s="594" t="s">
        <v>755</v>
      </c>
      <c r="C18" s="603"/>
      <c r="D18" s="607"/>
      <c r="E18" s="603"/>
      <c r="F18" s="603"/>
      <c r="G18" s="603"/>
      <c r="H18" s="603"/>
      <c r="I18" s="603"/>
      <c r="J18" s="603"/>
      <c r="K18" s="603"/>
      <c r="L18" s="603"/>
      <c r="M18" s="603"/>
      <c r="N18" s="603"/>
      <c r="O18" s="603"/>
      <c r="P18" s="603"/>
      <c r="Q18" s="603"/>
      <c r="R18" s="603"/>
      <c r="S18" s="603"/>
      <c r="T18" s="603"/>
      <c r="U18" s="603"/>
      <c r="V18" s="603"/>
      <c r="W18" s="603"/>
      <c r="X18" s="603"/>
      <c r="Y18" s="594" t="s">
        <v>755</v>
      </c>
      <c r="Z18" s="603"/>
      <c r="AA18" s="603"/>
      <c r="AB18" s="603"/>
      <c r="AC18" s="603"/>
      <c r="AD18" s="608"/>
    </row>
    <row r="19" spans="1:30" ht="24" customHeight="1">
      <c r="A19" s="600">
        <v>13</v>
      </c>
      <c r="B19" s="594" t="s">
        <v>756</v>
      </c>
      <c r="C19" s="603"/>
      <c r="D19" s="603"/>
      <c r="E19" s="603"/>
      <c r="F19" s="603"/>
      <c r="G19" s="603"/>
      <c r="H19" s="603"/>
      <c r="I19" s="603"/>
      <c r="J19" s="603"/>
      <c r="K19" s="603"/>
      <c r="L19" s="603"/>
      <c r="M19" s="603"/>
      <c r="N19" s="603"/>
      <c r="O19" s="603"/>
      <c r="P19" s="603"/>
      <c r="Q19" s="603"/>
      <c r="R19" s="603"/>
      <c r="S19" s="603"/>
      <c r="T19" s="603"/>
      <c r="U19" s="603"/>
      <c r="V19" s="603"/>
      <c r="W19" s="603"/>
      <c r="X19" s="603"/>
      <c r="Y19" s="594" t="s">
        <v>756</v>
      </c>
      <c r="Z19" s="603"/>
      <c r="AA19" s="603"/>
      <c r="AB19" s="603"/>
      <c r="AC19" s="603"/>
      <c r="AD19" s="608"/>
    </row>
    <row r="20" spans="1:30" ht="24" customHeight="1">
      <c r="A20" s="600">
        <v>14</v>
      </c>
      <c r="B20" s="594" t="s">
        <v>757</v>
      </c>
      <c r="C20" s="603"/>
      <c r="D20" s="603"/>
      <c r="E20" s="603"/>
      <c r="F20" s="603"/>
      <c r="G20" s="603"/>
      <c r="H20" s="603"/>
      <c r="I20" s="603"/>
      <c r="J20" s="603"/>
      <c r="K20" s="603"/>
      <c r="L20" s="603"/>
      <c r="M20" s="603"/>
      <c r="N20" s="603"/>
      <c r="O20" s="603"/>
      <c r="P20" s="603"/>
      <c r="Q20" s="603"/>
      <c r="R20" s="603"/>
      <c r="S20" s="603"/>
      <c r="T20" s="603"/>
      <c r="U20" s="603"/>
      <c r="V20" s="603"/>
      <c r="W20" s="603"/>
      <c r="X20" s="603"/>
      <c r="Y20" s="594" t="s">
        <v>757</v>
      </c>
      <c r="Z20" s="603"/>
      <c r="AA20" s="603"/>
      <c r="AB20" s="603"/>
      <c r="AC20" s="603"/>
      <c r="AD20" s="608"/>
    </row>
    <row r="21" spans="1:30" ht="24" customHeight="1">
      <c r="A21" s="600">
        <v>15</v>
      </c>
      <c r="B21" s="594" t="s">
        <v>758</v>
      </c>
      <c r="C21" s="603"/>
      <c r="D21" s="603"/>
      <c r="E21" s="603"/>
      <c r="F21" s="603"/>
      <c r="G21" s="603"/>
      <c r="H21" s="603"/>
      <c r="I21" s="603"/>
      <c r="J21" s="603"/>
      <c r="K21" s="603"/>
      <c r="L21" s="603"/>
      <c r="M21" s="603"/>
      <c r="N21" s="603"/>
      <c r="O21" s="603"/>
      <c r="P21" s="603"/>
      <c r="Q21" s="603"/>
      <c r="R21" s="603"/>
      <c r="S21" s="603"/>
      <c r="T21" s="603"/>
      <c r="U21" s="603"/>
      <c r="V21" s="603"/>
      <c r="W21" s="603"/>
      <c r="X21" s="603"/>
      <c r="Y21" s="594" t="s">
        <v>758</v>
      </c>
      <c r="Z21" s="603"/>
      <c r="AA21" s="603"/>
      <c r="AB21" s="603"/>
      <c r="AC21" s="603"/>
      <c r="AD21" s="608"/>
    </row>
    <row r="22" spans="1:30" ht="24" customHeight="1">
      <c r="A22" s="600">
        <v>16</v>
      </c>
      <c r="B22" s="594" t="s">
        <v>759</v>
      </c>
      <c r="C22" s="603"/>
      <c r="D22" s="603"/>
      <c r="E22" s="603"/>
      <c r="F22" s="603"/>
      <c r="G22" s="603"/>
      <c r="H22" s="603"/>
      <c r="I22" s="603"/>
      <c r="J22" s="603"/>
      <c r="K22" s="603"/>
      <c r="L22" s="603"/>
      <c r="M22" s="603"/>
      <c r="N22" s="603"/>
      <c r="O22" s="603"/>
      <c r="P22" s="603"/>
      <c r="Q22" s="603"/>
      <c r="R22" s="603"/>
      <c r="S22" s="603"/>
      <c r="T22" s="603"/>
      <c r="U22" s="603"/>
      <c r="V22" s="603"/>
      <c r="W22" s="603"/>
      <c r="X22" s="603"/>
      <c r="Y22" s="594" t="s">
        <v>759</v>
      </c>
      <c r="Z22" s="603"/>
      <c r="AA22" s="603"/>
      <c r="AB22" s="603"/>
      <c r="AC22" s="603"/>
      <c r="AD22" s="608"/>
    </row>
    <row r="23" spans="1:30" ht="24" customHeight="1" thickBot="1">
      <c r="A23" s="609">
        <v>17</v>
      </c>
      <c r="B23" s="610" t="s">
        <v>760</v>
      </c>
      <c r="C23" s="611"/>
      <c r="D23" s="611"/>
      <c r="E23" s="611"/>
      <c r="F23" s="611"/>
      <c r="G23" s="611"/>
      <c r="H23" s="611"/>
      <c r="I23" s="611"/>
      <c r="J23" s="611"/>
      <c r="K23" s="611"/>
      <c r="L23" s="611"/>
      <c r="M23" s="611"/>
      <c r="N23" s="611"/>
      <c r="O23" s="611"/>
      <c r="P23" s="611"/>
      <c r="Q23" s="611"/>
      <c r="R23" s="611"/>
      <c r="S23" s="611"/>
      <c r="T23" s="611"/>
      <c r="U23" s="611"/>
      <c r="V23" s="611"/>
      <c r="W23" s="611"/>
      <c r="X23" s="611"/>
      <c r="Y23" s="610" t="s">
        <v>760</v>
      </c>
      <c r="Z23" s="611"/>
      <c r="AA23" s="611"/>
      <c r="AB23" s="611"/>
      <c r="AC23" s="611"/>
      <c r="AD23" s="612"/>
    </row>
    <row r="24" spans="1:30" ht="13.5" thickTop="1"/>
  </sheetData>
  <mergeCells count="16">
    <mergeCell ref="AC5:AD5"/>
    <mergeCell ref="A2:W2"/>
    <mergeCell ref="A3:W3"/>
    <mergeCell ref="A5:A6"/>
    <mergeCell ref="B5:B6"/>
    <mergeCell ref="C5:C6"/>
    <mergeCell ref="D5:D6"/>
    <mergeCell ref="E5:U5"/>
    <mergeCell ref="V5:V6"/>
    <mergeCell ref="W5:W6"/>
    <mergeCell ref="V4:W4"/>
    <mergeCell ref="AB5:AB6"/>
    <mergeCell ref="X5:X6"/>
    <mergeCell ref="Y5:Y6"/>
    <mergeCell ref="Z5:Z6"/>
    <mergeCell ref="AA5:AA6"/>
  </mergeCells>
  <phoneticPr fontId="4" type="noConversion"/>
  <pageMargins left="0.25" right="0.25" top="1" bottom="1" header="0.5" footer="0.5"/>
  <pageSetup paperSize="9" scale="85" orientation="landscape"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filterMode="1"/>
  <dimension ref="A1:Q29"/>
  <sheetViews>
    <sheetView showZeros="0" topLeftCell="A9" workbookViewId="0">
      <selection activeCell="A5" sqref="A5:J24"/>
    </sheetView>
  </sheetViews>
  <sheetFormatPr defaultRowHeight="12.75"/>
  <cols>
    <col min="1" max="1" width="8.5703125" customWidth="1"/>
    <col min="2" max="2" width="22" customWidth="1"/>
    <col min="3" max="3" width="11.85546875" customWidth="1"/>
    <col min="4" max="4" width="10.42578125" customWidth="1"/>
    <col min="5" max="5" width="5.7109375" hidden="1" customWidth="1"/>
    <col min="6" max="7" width="5.7109375" style="170" hidden="1" customWidth="1"/>
    <col min="8" max="8" width="10.85546875" hidden="1" customWidth="1"/>
    <col min="9" max="9" width="11.28515625" style="565" customWidth="1"/>
    <col min="10" max="10" width="12" customWidth="1"/>
    <col min="11" max="11" width="6.7109375" customWidth="1"/>
    <col min="12" max="12" width="21.7109375" customWidth="1"/>
    <col min="13" max="13" width="9.85546875" customWidth="1"/>
    <col min="14" max="14" width="11.28515625" customWidth="1"/>
    <col min="15" max="15" width="9.7109375" customWidth="1"/>
    <col min="17" max="17" width="10.28515625" customWidth="1"/>
  </cols>
  <sheetData>
    <row r="1" spans="1:17" ht="17.25" customHeight="1">
      <c r="A1" s="353" t="s">
        <v>639</v>
      </c>
    </row>
    <row r="2" spans="1:17" ht="20.25" customHeight="1">
      <c r="A2" s="1385" t="s">
        <v>710</v>
      </c>
      <c r="B2" s="1385"/>
      <c r="C2" s="1385"/>
      <c r="D2" s="1385"/>
      <c r="E2" s="1385"/>
      <c r="F2" s="1385"/>
      <c r="G2" s="1385"/>
      <c r="H2" s="1385"/>
      <c r="I2" s="1385"/>
      <c r="J2" s="1385"/>
    </row>
    <row r="3" spans="1:17" ht="20.25" customHeight="1">
      <c r="A3" s="1385" t="s">
        <v>766</v>
      </c>
      <c r="B3" s="1385"/>
      <c r="C3" s="1385"/>
      <c r="D3" s="1385"/>
      <c r="E3" s="1385"/>
      <c r="F3" s="1385"/>
      <c r="G3" s="1385"/>
      <c r="H3" s="1385"/>
      <c r="I3" s="1385"/>
      <c r="J3" s="1385"/>
    </row>
    <row r="4" spans="1:17" ht="18" customHeight="1">
      <c r="G4" s="1411" t="s">
        <v>138</v>
      </c>
      <c r="H4" s="1411"/>
      <c r="I4" s="1411"/>
      <c r="J4" s="1411"/>
      <c r="K4" s="1301" t="s">
        <v>0</v>
      </c>
      <c r="L4" s="1301" t="s">
        <v>369</v>
      </c>
      <c r="M4" s="1301" t="s">
        <v>494</v>
      </c>
      <c r="N4" s="1391" t="s">
        <v>495</v>
      </c>
      <c r="O4" s="1391" t="s">
        <v>496</v>
      </c>
      <c r="P4" s="1390" t="s">
        <v>497</v>
      </c>
      <c r="Q4" s="1390"/>
    </row>
    <row r="5" spans="1:17" ht="23.25" customHeight="1">
      <c r="A5" s="1280" t="s">
        <v>368</v>
      </c>
      <c r="B5" s="1409" t="s">
        <v>984</v>
      </c>
      <c r="C5" s="1280" t="s">
        <v>456</v>
      </c>
      <c r="D5" s="1280" t="s">
        <v>457</v>
      </c>
      <c r="E5" s="1404"/>
      <c r="F5" s="1404"/>
      <c r="G5" s="1379"/>
      <c r="H5" s="1280" t="s">
        <v>459</v>
      </c>
      <c r="I5" s="1409" t="s">
        <v>459</v>
      </c>
      <c r="J5" s="1280" t="s">
        <v>460</v>
      </c>
      <c r="K5" s="1301"/>
      <c r="L5" s="1301"/>
      <c r="M5" s="1301"/>
      <c r="N5" s="1391"/>
      <c r="O5" s="1391"/>
      <c r="P5" s="1301" t="s">
        <v>498</v>
      </c>
      <c r="Q5" s="1301" t="s">
        <v>344</v>
      </c>
    </row>
    <row r="6" spans="1:17" ht="14.25" customHeight="1">
      <c r="A6" s="1280"/>
      <c r="B6" s="1410"/>
      <c r="C6" s="1280"/>
      <c r="D6" s="1280"/>
      <c r="E6" s="172"/>
      <c r="F6" s="172"/>
      <c r="G6" s="172"/>
      <c r="H6" s="1280"/>
      <c r="I6" s="1410"/>
      <c r="J6" s="1280"/>
      <c r="K6" s="1301"/>
      <c r="L6" s="1301"/>
      <c r="M6" s="1301"/>
      <c r="N6" s="1391"/>
      <c r="O6" s="1391"/>
      <c r="P6" s="1301"/>
      <c r="Q6" s="1301"/>
    </row>
    <row r="7" spans="1:17" ht="20.25" customHeight="1">
      <c r="A7" s="70" t="s">
        <v>235</v>
      </c>
      <c r="B7" s="475" t="s">
        <v>744</v>
      </c>
      <c r="C7" s="99">
        <f>'PHỤ LỤC PNN'!C80</f>
        <v>24.09</v>
      </c>
      <c r="D7" s="99">
        <f>'Bac Son'!AB67</f>
        <v>0</v>
      </c>
      <c r="E7" s="99"/>
      <c r="F7" s="99"/>
      <c r="G7" s="99"/>
      <c r="H7" s="99">
        <f>'PHỤ LỤC PNN'!E80</f>
        <v>0</v>
      </c>
      <c r="I7" s="613">
        <f>'Bac Son'!BL31</f>
        <v>0</v>
      </c>
      <c r="J7" s="99">
        <f t="shared" ref="J7:J23" si="0">C7+D7-H7</f>
        <v>24.09</v>
      </c>
      <c r="K7" s="41" t="s">
        <v>235</v>
      </c>
      <c r="L7" s="475" t="s">
        <v>744</v>
      </c>
      <c r="M7" s="204">
        <v>19.190000000000001</v>
      </c>
      <c r="N7" s="204">
        <v>30.69</v>
      </c>
      <c r="O7" s="204">
        <f>J7</f>
        <v>24.09</v>
      </c>
      <c r="P7" s="204">
        <f>O7-M7</f>
        <v>4.8999999999999986</v>
      </c>
      <c r="Q7" s="204">
        <f>O7-N7</f>
        <v>-6.6000000000000014</v>
      </c>
    </row>
    <row r="8" spans="1:17" ht="20.25" customHeight="1">
      <c r="A8" s="5" t="s">
        <v>236</v>
      </c>
      <c r="B8" s="476" t="s">
        <v>745</v>
      </c>
      <c r="C8" s="100">
        <f>'PHỤ LỤC PNN'!C81</f>
        <v>0.32517000000000001</v>
      </c>
      <c r="D8" s="99">
        <f>'Hai Son'!AB67</f>
        <v>0</v>
      </c>
      <c r="E8" s="100"/>
      <c r="F8" s="100"/>
      <c r="G8" s="100"/>
      <c r="H8" s="100">
        <f>'PHỤ LỤC PNN'!E81</f>
        <v>0</v>
      </c>
      <c r="I8" s="614">
        <f>'Hai Son'!BL31</f>
        <v>0</v>
      </c>
      <c r="J8" s="100">
        <f t="shared" si="0"/>
        <v>0.32517000000000001</v>
      </c>
      <c r="K8" s="42" t="s">
        <v>236</v>
      </c>
      <c r="L8" s="476" t="s">
        <v>745</v>
      </c>
      <c r="M8" s="203">
        <v>11.15</v>
      </c>
      <c r="N8" s="203">
        <v>78.92</v>
      </c>
      <c r="O8" s="203">
        <f t="shared" ref="O8:O23" si="1">J8</f>
        <v>0.32517000000000001</v>
      </c>
      <c r="P8" s="203">
        <f t="shared" ref="P8:P23" si="2">O8-M8</f>
        <v>-10.82483</v>
      </c>
      <c r="Q8" s="203">
        <f t="shared" ref="Q8:Q23" si="3">O8-N8</f>
        <v>-78.594830000000002</v>
      </c>
    </row>
    <row r="9" spans="1:17" ht="20.25" customHeight="1">
      <c r="A9" s="5" t="s">
        <v>237</v>
      </c>
      <c r="B9" s="476" t="s">
        <v>746</v>
      </c>
      <c r="C9" s="100">
        <f>'PHỤ LỤC PNN'!C82</f>
        <v>3.21</v>
      </c>
      <c r="D9" s="99">
        <f>'Quang Nghia'!AB67</f>
        <v>0</v>
      </c>
      <c r="E9" s="100"/>
      <c r="F9" s="100"/>
      <c r="G9" s="100"/>
      <c r="H9" s="100">
        <f>'PHỤ LỤC PNN'!E82</f>
        <v>0</v>
      </c>
      <c r="I9" s="614">
        <f>'Quang Nghia'!BL31</f>
        <v>0</v>
      </c>
      <c r="J9" s="100">
        <f t="shared" si="0"/>
        <v>3.21</v>
      </c>
      <c r="K9" s="42" t="s">
        <v>237</v>
      </c>
      <c r="L9" s="476" t="s">
        <v>746</v>
      </c>
      <c r="M9" s="203">
        <v>7.84</v>
      </c>
      <c r="N9" s="203">
        <v>20.37</v>
      </c>
      <c r="O9" s="203">
        <f t="shared" si="1"/>
        <v>3.21</v>
      </c>
      <c r="P9" s="203">
        <f t="shared" si="2"/>
        <v>-4.63</v>
      </c>
      <c r="Q9" s="203">
        <f t="shared" si="3"/>
        <v>-17.16</v>
      </c>
    </row>
    <row r="10" spans="1:17" ht="20.25" customHeight="1">
      <c r="A10" s="5" t="s">
        <v>238</v>
      </c>
      <c r="B10" s="476" t="s">
        <v>747</v>
      </c>
      <c r="C10" s="100">
        <f>'PHỤ LỤC PNN'!C83</f>
        <v>0.2</v>
      </c>
      <c r="D10" s="99">
        <f>'Hai Dong'!AB67</f>
        <v>0</v>
      </c>
      <c r="E10" s="100"/>
      <c r="F10" s="100"/>
      <c r="G10" s="100"/>
      <c r="H10" s="100">
        <f>'PHỤ LỤC PNN'!E83</f>
        <v>0</v>
      </c>
      <c r="I10" s="614">
        <f>'Hai Dong'!BL31</f>
        <v>0</v>
      </c>
      <c r="J10" s="100">
        <f t="shared" si="0"/>
        <v>0.2</v>
      </c>
      <c r="K10" s="42" t="s">
        <v>238</v>
      </c>
      <c r="L10" s="476" t="s">
        <v>747</v>
      </c>
      <c r="M10" s="203">
        <v>0.8</v>
      </c>
      <c r="N10" s="203">
        <v>5.25</v>
      </c>
      <c r="O10" s="203">
        <f t="shared" si="1"/>
        <v>0.2</v>
      </c>
      <c r="P10" s="203">
        <f t="shared" si="2"/>
        <v>-0.60000000000000009</v>
      </c>
      <c r="Q10" s="203">
        <f t="shared" si="3"/>
        <v>-5.05</v>
      </c>
    </row>
    <row r="11" spans="1:17" ht="20.25" customHeight="1">
      <c r="A11" s="5" t="s">
        <v>239</v>
      </c>
      <c r="B11" s="476" t="s">
        <v>748</v>
      </c>
      <c r="C11" s="100">
        <f>'PHỤ LỤC PNN'!C84</f>
        <v>6.18</v>
      </c>
      <c r="D11" s="99">
        <f>'Hai Tien'!AB67</f>
        <v>0</v>
      </c>
      <c r="E11" s="100"/>
      <c r="F11" s="100"/>
      <c r="G11" s="100"/>
      <c r="H11" s="100">
        <f>'PHỤ LỤC PNN'!E84</f>
        <v>0</v>
      </c>
      <c r="I11" s="614">
        <f>'Hai Tien'!BL31</f>
        <v>0</v>
      </c>
      <c r="J11" s="100">
        <f t="shared" si="0"/>
        <v>6.18</v>
      </c>
      <c r="K11" s="42" t="s">
        <v>239</v>
      </c>
      <c r="L11" s="476" t="s">
        <v>748</v>
      </c>
      <c r="M11" s="203">
        <v>46.25</v>
      </c>
      <c r="N11" s="203">
        <v>102.88</v>
      </c>
      <c r="O11" s="203">
        <f t="shared" si="1"/>
        <v>6.18</v>
      </c>
      <c r="P11" s="203">
        <f t="shared" si="2"/>
        <v>-40.07</v>
      </c>
      <c r="Q11" s="203">
        <f t="shared" si="3"/>
        <v>-96.699999999999989</v>
      </c>
    </row>
    <row r="12" spans="1:17" ht="20.25" customHeight="1">
      <c r="A12" s="5" t="s">
        <v>240</v>
      </c>
      <c r="B12" s="476" t="s">
        <v>749</v>
      </c>
      <c r="C12" s="100">
        <f>'PHỤ LỤC PNN'!C85</f>
        <v>1.79</v>
      </c>
      <c r="D12" s="99">
        <f>'Hai Xuan'!AB67</f>
        <v>0.15</v>
      </c>
      <c r="E12" s="100"/>
      <c r="F12" s="100"/>
      <c r="G12" s="100"/>
      <c r="H12" s="100">
        <f>'PHỤ LỤC PNN'!E85</f>
        <v>0</v>
      </c>
      <c r="I12" s="614">
        <f>'Hai Xuan'!BL31</f>
        <v>0</v>
      </c>
      <c r="J12" s="100">
        <f t="shared" si="0"/>
        <v>1.94</v>
      </c>
      <c r="K12" s="42" t="s">
        <v>240</v>
      </c>
      <c r="L12" s="476" t="s">
        <v>749</v>
      </c>
      <c r="M12" s="203">
        <v>59.92</v>
      </c>
      <c r="N12" s="203">
        <v>117.04</v>
      </c>
      <c r="O12" s="203">
        <f t="shared" si="1"/>
        <v>1.94</v>
      </c>
      <c r="P12" s="203">
        <f t="shared" si="2"/>
        <v>-57.980000000000004</v>
      </c>
      <c r="Q12" s="203">
        <f t="shared" si="3"/>
        <v>-115.10000000000001</v>
      </c>
    </row>
    <row r="13" spans="1:17" ht="20.25" customHeight="1">
      <c r="A13" s="5" t="s">
        <v>241</v>
      </c>
      <c r="B13" s="476" t="s">
        <v>750</v>
      </c>
      <c r="C13" s="100">
        <f>'PHỤ LỤC PNN'!C86</f>
        <v>0</v>
      </c>
      <c r="D13" s="99">
        <f>'Van Ninh'!AB68</f>
        <v>5.27</v>
      </c>
      <c r="E13" s="100"/>
      <c r="F13" s="100"/>
      <c r="G13" s="100"/>
      <c r="H13" s="100">
        <f>'PHỤ LỤC PNN'!E86</f>
        <v>0</v>
      </c>
      <c r="I13" s="614">
        <f>'Van Ninh'!BL31</f>
        <v>0</v>
      </c>
      <c r="J13" s="100">
        <f t="shared" si="0"/>
        <v>5.27</v>
      </c>
      <c r="K13" s="42" t="s">
        <v>241</v>
      </c>
      <c r="L13" s="476" t="s">
        <v>750</v>
      </c>
      <c r="M13" s="203">
        <v>2.48</v>
      </c>
      <c r="N13" s="203">
        <v>14</v>
      </c>
      <c r="O13" s="203">
        <f t="shared" si="1"/>
        <v>5.27</v>
      </c>
      <c r="P13" s="203">
        <f t="shared" si="2"/>
        <v>2.7899999999999996</v>
      </c>
      <c r="Q13" s="203">
        <f t="shared" si="3"/>
        <v>-8.73</v>
      </c>
    </row>
    <row r="14" spans="1:17" ht="20.25" hidden="1" customHeight="1">
      <c r="A14" s="5" t="s">
        <v>242</v>
      </c>
      <c r="B14" s="476" t="s">
        <v>751</v>
      </c>
      <c r="C14" s="100">
        <f>'PHỤ LỤC PNN'!C87</f>
        <v>0</v>
      </c>
      <c r="D14" s="99">
        <f>'Vinh Trung'!AB68</f>
        <v>0</v>
      </c>
      <c r="E14" s="100"/>
      <c r="F14" s="100"/>
      <c r="G14" s="100"/>
      <c r="H14" s="100">
        <f>'PHỤ LỤC PNN'!E87</f>
        <v>0</v>
      </c>
      <c r="I14" s="614">
        <f>'Vinh Trung'!BL31</f>
        <v>0</v>
      </c>
      <c r="J14" s="100">
        <f t="shared" si="0"/>
        <v>0</v>
      </c>
      <c r="K14" s="42" t="s">
        <v>242</v>
      </c>
      <c r="L14" s="476" t="s">
        <v>751</v>
      </c>
      <c r="M14" s="203">
        <v>1.29</v>
      </c>
      <c r="N14" s="203">
        <v>12.58</v>
      </c>
      <c r="O14" s="203">
        <f t="shared" si="1"/>
        <v>0</v>
      </c>
      <c r="P14" s="203">
        <f t="shared" si="2"/>
        <v>-1.29</v>
      </c>
      <c r="Q14" s="203">
        <f t="shared" si="3"/>
        <v>-12.58</v>
      </c>
    </row>
    <row r="15" spans="1:17" ht="20.25" hidden="1" customHeight="1">
      <c r="A15" s="5" t="s">
        <v>243</v>
      </c>
      <c r="B15" s="476" t="s">
        <v>752</v>
      </c>
      <c r="C15" s="100">
        <f>'PHỤ LỤC PNN'!C88</f>
        <v>0</v>
      </c>
      <c r="D15" s="99">
        <f>'Vinh Thuc'!AB67</f>
        <v>0</v>
      </c>
      <c r="E15" s="100"/>
      <c r="F15" s="100"/>
      <c r="G15" s="100"/>
      <c r="H15" s="100">
        <f>'PHỤ LỤC PNN'!E88</f>
        <v>0</v>
      </c>
      <c r="I15" s="614">
        <f>'Vinh Thuc'!BL31</f>
        <v>0</v>
      </c>
      <c r="J15" s="100">
        <f t="shared" si="0"/>
        <v>0</v>
      </c>
      <c r="K15" s="42" t="s">
        <v>243</v>
      </c>
      <c r="L15" s="476" t="s">
        <v>752</v>
      </c>
      <c r="M15" s="203">
        <v>0.79</v>
      </c>
      <c r="N15" s="203">
        <v>16.11</v>
      </c>
      <c r="O15" s="203">
        <f t="shared" si="1"/>
        <v>0</v>
      </c>
      <c r="P15" s="203">
        <f t="shared" si="2"/>
        <v>-0.79</v>
      </c>
      <c r="Q15" s="203">
        <f t="shared" si="3"/>
        <v>-16.11</v>
      </c>
    </row>
    <row r="16" spans="1:17" ht="20.25" customHeight="1">
      <c r="A16" s="5" t="s">
        <v>244</v>
      </c>
      <c r="B16" s="476" t="s">
        <v>753</v>
      </c>
      <c r="C16" s="100">
        <f>'PHỤ LỤC PNN'!C89</f>
        <v>114.26</v>
      </c>
      <c r="D16" s="99">
        <f>'Hai Yen'!AB68</f>
        <v>59.449999999999996</v>
      </c>
      <c r="E16" s="100"/>
      <c r="F16" s="100"/>
      <c r="G16" s="100"/>
      <c r="H16" s="100">
        <f>'PHỤ LỤC PNN'!E89</f>
        <v>0</v>
      </c>
      <c r="I16" s="614">
        <f>'Hai Yen'!BL31</f>
        <v>0</v>
      </c>
      <c r="J16" s="100">
        <f t="shared" si="0"/>
        <v>173.71</v>
      </c>
      <c r="K16" s="42" t="s">
        <v>244</v>
      </c>
      <c r="L16" s="476" t="s">
        <v>753</v>
      </c>
      <c r="M16" s="203">
        <v>0.02</v>
      </c>
      <c r="N16" s="203">
        <v>3.45</v>
      </c>
      <c r="O16" s="203">
        <f t="shared" si="1"/>
        <v>173.71</v>
      </c>
      <c r="P16" s="203">
        <f t="shared" si="2"/>
        <v>173.69</v>
      </c>
      <c r="Q16" s="203">
        <f t="shared" si="3"/>
        <v>170.26000000000002</v>
      </c>
    </row>
    <row r="17" spans="1:17" ht="20.25" customHeight="1">
      <c r="A17" s="5" t="s">
        <v>245</v>
      </c>
      <c r="B17" s="476" t="s">
        <v>754</v>
      </c>
      <c r="C17" s="100">
        <f>'PHỤ LỤC PNN'!C90</f>
        <v>9.0378000000000007</v>
      </c>
      <c r="D17" s="99">
        <f>'Ka Long'!AB67</f>
        <v>0</v>
      </c>
      <c r="E17" s="100"/>
      <c r="F17" s="100"/>
      <c r="G17" s="100"/>
      <c r="H17" s="100">
        <f>'PHỤ LỤC PNN'!E90</f>
        <v>0</v>
      </c>
      <c r="I17" s="614">
        <f>'Ka Long'!BL31</f>
        <v>0</v>
      </c>
      <c r="J17" s="100">
        <f t="shared" si="0"/>
        <v>9.0378000000000007</v>
      </c>
      <c r="K17" s="42" t="s">
        <v>245</v>
      </c>
      <c r="L17" s="476" t="s">
        <v>754</v>
      </c>
      <c r="M17" s="203">
        <v>1.1299999999999999</v>
      </c>
      <c r="N17" s="203">
        <v>11.63</v>
      </c>
      <c r="O17" s="203">
        <f t="shared" si="1"/>
        <v>9.0378000000000007</v>
      </c>
      <c r="P17" s="203">
        <f t="shared" si="2"/>
        <v>7.9078000000000008</v>
      </c>
      <c r="Q17" s="203">
        <f t="shared" si="3"/>
        <v>-2.5922000000000001</v>
      </c>
    </row>
    <row r="18" spans="1:17" ht="20.25" customHeight="1">
      <c r="A18" s="5" t="s">
        <v>246</v>
      </c>
      <c r="B18" s="476" t="s">
        <v>755</v>
      </c>
      <c r="C18" s="100">
        <f>'PHỤ LỤC PNN'!C91</f>
        <v>16.494199999999999</v>
      </c>
      <c r="D18" s="99">
        <f>'Ninh Duong'!AB67</f>
        <v>1.2500000000000002</v>
      </c>
      <c r="E18" s="100"/>
      <c r="F18" s="100"/>
      <c r="G18" s="100"/>
      <c r="H18" s="100">
        <f>'PHỤ LỤC PNN'!E91</f>
        <v>0.08</v>
      </c>
      <c r="I18" s="614">
        <f>'Ninh Duong'!BL31</f>
        <v>0.08</v>
      </c>
      <c r="J18" s="100">
        <f t="shared" si="0"/>
        <v>17.664200000000001</v>
      </c>
      <c r="K18" s="42" t="s">
        <v>246</v>
      </c>
      <c r="L18" s="476" t="s">
        <v>755</v>
      </c>
      <c r="M18" s="203">
        <v>41.4</v>
      </c>
      <c r="N18" s="203">
        <v>48.77</v>
      </c>
      <c r="O18" s="203">
        <f t="shared" si="1"/>
        <v>17.664200000000001</v>
      </c>
      <c r="P18" s="203">
        <f t="shared" si="2"/>
        <v>-23.735799999999998</v>
      </c>
      <c r="Q18" s="203">
        <f t="shared" si="3"/>
        <v>-31.105800000000002</v>
      </c>
    </row>
    <row r="19" spans="1:17" ht="20.25" customHeight="1">
      <c r="A19" s="5" t="s">
        <v>247</v>
      </c>
      <c r="B19" s="476" t="s">
        <v>756</v>
      </c>
      <c r="C19" s="100">
        <f>'PHỤ LỤC PNN'!C92</f>
        <v>2.67</v>
      </c>
      <c r="D19" s="99">
        <f>'Hoa Lac'!AB67</f>
        <v>0</v>
      </c>
      <c r="E19" s="100"/>
      <c r="F19" s="100"/>
      <c r="G19" s="100"/>
      <c r="H19" s="100">
        <f>'PHỤ LỤC PNN'!E92</f>
        <v>0</v>
      </c>
      <c r="I19" s="614">
        <f>'Hoa Lac'!BL31</f>
        <v>0</v>
      </c>
      <c r="J19" s="100">
        <f t="shared" si="0"/>
        <v>2.67</v>
      </c>
      <c r="K19" s="42" t="s">
        <v>247</v>
      </c>
      <c r="L19" s="476" t="s">
        <v>756</v>
      </c>
      <c r="M19" s="203">
        <v>20.64</v>
      </c>
      <c r="N19" s="203">
        <v>20.5</v>
      </c>
      <c r="O19" s="203">
        <f t="shared" si="1"/>
        <v>2.67</v>
      </c>
      <c r="P19" s="203">
        <f t="shared" si="2"/>
        <v>-17.97</v>
      </c>
      <c r="Q19" s="203">
        <f t="shared" si="3"/>
        <v>-17.829999999999998</v>
      </c>
    </row>
    <row r="20" spans="1:17" ht="20.25" customHeight="1">
      <c r="A20" s="5" t="s">
        <v>248</v>
      </c>
      <c r="B20" s="476" t="s">
        <v>757</v>
      </c>
      <c r="C20" s="100">
        <f>'PHỤ LỤC PNN'!C93</f>
        <v>16.920000000000002</v>
      </c>
      <c r="D20" s="99">
        <f>'Tran Phu'!AB67</f>
        <v>0</v>
      </c>
      <c r="E20" s="100"/>
      <c r="F20" s="100"/>
      <c r="G20" s="100"/>
      <c r="H20" s="100">
        <f>'PHỤ LỤC PNN'!E93</f>
        <v>0</v>
      </c>
      <c r="I20" s="614">
        <f>'Tran Phu'!BL31</f>
        <v>0</v>
      </c>
      <c r="J20" s="100">
        <f t="shared" si="0"/>
        <v>16.920000000000002</v>
      </c>
      <c r="K20" s="42" t="s">
        <v>248</v>
      </c>
      <c r="L20" s="476" t="s">
        <v>757</v>
      </c>
      <c r="M20" s="203">
        <v>0.93</v>
      </c>
      <c r="N20" s="203">
        <v>145.76</v>
      </c>
      <c r="O20" s="203">
        <f t="shared" si="1"/>
        <v>16.920000000000002</v>
      </c>
      <c r="P20" s="203">
        <f t="shared" si="2"/>
        <v>15.990000000000002</v>
      </c>
      <c r="Q20" s="203">
        <f t="shared" si="3"/>
        <v>-128.83999999999997</v>
      </c>
    </row>
    <row r="21" spans="1:17" ht="20.25" customHeight="1">
      <c r="A21" s="5" t="s">
        <v>249</v>
      </c>
      <c r="B21" s="476" t="s">
        <v>758</v>
      </c>
      <c r="C21" s="100">
        <f>'PHỤ LỤC PNN'!C94</f>
        <v>66.75</v>
      </c>
      <c r="D21" s="99">
        <f>'Hai Hoa'!AB67</f>
        <v>27.1</v>
      </c>
      <c r="E21" s="100"/>
      <c r="F21" s="100"/>
      <c r="G21" s="100"/>
      <c r="H21" s="100">
        <f>'PHỤ LỤC PNN'!E94</f>
        <v>0.13</v>
      </c>
      <c r="I21" s="614">
        <f>'Hai Hoa'!BL31</f>
        <v>0.13</v>
      </c>
      <c r="J21" s="100">
        <f t="shared" si="0"/>
        <v>93.72</v>
      </c>
      <c r="K21" s="42" t="s">
        <v>249</v>
      </c>
      <c r="L21" s="476" t="s">
        <v>758</v>
      </c>
      <c r="M21" s="203"/>
      <c r="N21" s="203">
        <v>133.83000000000001</v>
      </c>
      <c r="O21" s="203">
        <f t="shared" si="1"/>
        <v>93.72</v>
      </c>
      <c r="P21" s="203">
        <f t="shared" si="2"/>
        <v>93.72</v>
      </c>
      <c r="Q21" s="203">
        <f t="shared" si="3"/>
        <v>-40.110000000000014</v>
      </c>
    </row>
    <row r="22" spans="1:17" ht="20.25" customHeight="1">
      <c r="A22" s="5" t="s">
        <v>250</v>
      </c>
      <c r="B22" s="476" t="s">
        <v>759</v>
      </c>
      <c r="C22" s="100">
        <f>'PHỤ LỤC PNN'!C95</f>
        <v>87.67</v>
      </c>
      <c r="D22" s="99">
        <f>'Tra Co'!AB67</f>
        <v>0</v>
      </c>
      <c r="E22" s="100"/>
      <c r="F22" s="100"/>
      <c r="G22" s="100"/>
      <c r="H22" s="100">
        <f>'PHỤ LỤC PNN'!E95</f>
        <v>3.26</v>
      </c>
      <c r="I22" s="614">
        <f>'Tra Co'!BL31</f>
        <v>3.26</v>
      </c>
      <c r="J22" s="100">
        <f t="shared" si="0"/>
        <v>84.41</v>
      </c>
      <c r="K22" s="42" t="s">
        <v>250</v>
      </c>
      <c r="L22" s="476" t="s">
        <v>759</v>
      </c>
      <c r="M22" s="203">
        <v>0.19</v>
      </c>
      <c r="N22" s="203">
        <v>5.34</v>
      </c>
      <c r="O22" s="203">
        <f t="shared" si="1"/>
        <v>84.41</v>
      </c>
      <c r="P22" s="203">
        <f t="shared" si="2"/>
        <v>84.22</v>
      </c>
      <c r="Q22" s="203">
        <f t="shared" si="3"/>
        <v>79.069999999999993</v>
      </c>
    </row>
    <row r="23" spans="1:17" ht="20.25" customHeight="1">
      <c r="A23" s="5" t="s">
        <v>251</v>
      </c>
      <c r="B23" s="476" t="s">
        <v>760</v>
      </c>
      <c r="C23" s="100">
        <f>'PHỤ LỤC PNN'!C96</f>
        <v>0.36</v>
      </c>
      <c r="D23" s="99">
        <f>'Binh Ngoc'!AB67</f>
        <v>0</v>
      </c>
      <c r="E23" s="100">
        <f>'Binh Ngoc'!AB60</f>
        <v>0</v>
      </c>
      <c r="F23" s="100">
        <f>'Binh Ngoc'!AB61</f>
        <v>0</v>
      </c>
      <c r="G23" s="100">
        <f>'Binh Ngoc'!AB64</f>
        <v>0</v>
      </c>
      <c r="H23" s="100">
        <f>'PHỤ LỤC PNN'!E96</f>
        <v>0</v>
      </c>
      <c r="I23" s="614">
        <f>'Binh Ngoc'!BL31</f>
        <v>0</v>
      </c>
      <c r="J23" s="100">
        <f t="shared" si="0"/>
        <v>0.36</v>
      </c>
      <c r="K23" s="42" t="s">
        <v>251</v>
      </c>
      <c r="L23" s="476" t="s">
        <v>760</v>
      </c>
      <c r="M23" s="205">
        <v>0.39</v>
      </c>
      <c r="N23" s="203">
        <v>177.91</v>
      </c>
      <c r="O23" s="203">
        <f t="shared" si="1"/>
        <v>0.36</v>
      </c>
      <c r="P23" s="203">
        <f t="shared" si="2"/>
        <v>-3.0000000000000027E-2</v>
      </c>
      <c r="Q23" s="203">
        <f t="shared" si="3"/>
        <v>-177.54999999999998</v>
      </c>
    </row>
    <row r="24" spans="1:17" ht="26.25" customHeight="1">
      <c r="A24" s="65"/>
      <c r="B24" s="65" t="s">
        <v>370</v>
      </c>
      <c r="C24" s="75">
        <f t="shared" ref="C24:J24" si="4">SUM(C7:C23)</f>
        <v>349.95717000000002</v>
      </c>
      <c r="D24" s="75">
        <f t="shared" si="4"/>
        <v>93.22</v>
      </c>
      <c r="E24" s="75">
        <f t="shared" si="4"/>
        <v>0</v>
      </c>
      <c r="F24" s="75">
        <f t="shared" si="4"/>
        <v>0</v>
      </c>
      <c r="G24" s="75">
        <f t="shared" si="4"/>
        <v>0</v>
      </c>
      <c r="H24" s="75">
        <f t="shared" si="4"/>
        <v>3.4699999999999998</v>
      </c>
      <c r="I24" s="583">
        <f t="shared" si="4"/>
        <v>3.4699999999999998</v>
      </c>
      <c r="J24" s="75">
        <f t="shared" si="4"/>
        <v>439.70717000000002</v>
      </c>
      <c r="K24" s="51"/>
      <c r="L24" s="51" t="s">
        <v>370</v>
      </c>
      <c r="M24" s="206">
        <f>SUM(M7:M23)</f>
        <v>214.40999999999997</v>
      </c>
      <c r="N24" s="209">
        <f>SUM(N7:N23)</f>
        <v>945.03</v>
      </c>
      <c r="O24" s="206">
        <f>SUM(O7:O23)</f>
        <v>439.70717000000002</v>
      </c>
      <c r="P24" s="206">
        <f>SUM(P7:P23)</f>
        <v>225.29716999999997</v>
      </c>
      <c r="Q24" s="206">
        <f>SUM(Q7:Q23)</f>
        <v>-505.32282999999995</v>
      </c>
    </row>
    <row r="25" spans="1:17" ht="15.75">
      <c r="C25">
        <f>'TONG TP'!D31</f>
        <v>349.95717000000002</v>
      </c>
      <c r="J25" s="178">
        <f>'TONG TP'!BN31</f>
        <v>439.70717000000002</v>
      </c>
    </row>
    <row r="27" spans="1:17">
      <c r="C27" s="177">
        <f>C24-I24</f>
        <v>346.48716999999999</v>
      </c>
    </row>
    <row r="28" spans="1:17">
      <c r="J28">
        <f>'TONG TP'!BN31</f>
        <v>439.70717000000002</v>
      </c>
    </row>
    <row r="29" spans="1:17">
      <c r="J29" s="177">
        <f>J24-J28</f>
        <v>0</v>
      </c>
    </row>
  </sheetData>
  <autoFilter ref="A6:Q25">
    <filterColumn colId="9">
      <customFilters>
        <customFilter operator="notEqual" val=" "/>
      </customFilters>
    </filterColumn>
  </autoFilter>
  <mergeCells count="19">
    <mergeCell ref="A2:J2"/>
    <mergeCell ref="A3:J3"/>
    <mergeCell ref="A5:A6"/>
    <mergeCell ref="B5:B6"/>
    <mergeCell ref="C5:C6"/>
    <mergeCell ref="D5:D6"/>
    <mergeCell ref="H5:H6"/>
    <mergeCell ref="J5:J6"/>
    <mergeCell ref="E5:G5"/>
    <mergeCell ref="G4:J4"/>
    <mergeCell ref="I5:I6"/>
    <mergeCell ref="P4:Q4"/>
    <mergeCell ref="P5:P6"/>
    <mergeCell ref="Q5:Q6"/>
    <mergeCell ref="K4:K6"/>
    <mergeCell ref="L4:L6"/>
    <mergeCell ref="M4:M6"/>
    <mergeCell ref="N4:N6"/>
    <mergeCell ref="O4:O6"/>
  </mergeCells>
  <phoneticPr fontId="4" type="noConversion"/>
  <printOptions horizontalCentered="1"/>
  <pageMargins left="1" right="0.25" top="0.25" bottom="0.25" header="0.5" footer="0.5"/>
  <pageSetup paperSize="9" scale="88" orientation="portrait"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filterMode="1"/>
  <dimension ref="A1:P29"/>
  <sheetViews>
    <sheetView showZeros="0" topLeftCell="A5" workbookViewId="0">
      <selection activeCell="A5" sqref="A5:I24"/>
    </sheetView>
  </sheetViews>
  <sheetFormatPr defaultRowHeight="12.75"/>
  <cols>
    <col min="1" max="1" width="6.28515625" customWidth="1"/>
    <col min="2" max="2" width="21.5703125" customWidth="1"/>
    <col min="3" max="3" width="10.42578125" customWidth="1"/>
    <col min="4" max="4" width="11.28515625" customWidth="1"/>
    <col min="5" max="5" width="6.85546875" style="170" hidden="1" customWidth="1"/>
    <col min="6" max="7" width="6.85546875" hidden="1" customWidth="1"/>
    <col min="8" max="8" width="11.5703125" customWidth="1"/>
    <col min="9" max="9" width="13.28515625" customWidth="1"/>
    <col min="10" max="10" width="7.42578125" customWidth="1"/>
    <col min="11" max="11" width="21.7109375" customWidth="1"/>
    <col min="12" max="12" width="9.28515625" bestFit="1" customWidth="1"/>
    <col min="13" max="15" width="9.5703125" bestFit="1" customWidth="1"/>
    <col min="16" max="16" width="9.28515625" bestFit="1" customWidth="1"/>
  </cols>
  <sheetData>
    <row r="1" spans="1:16" ht="17.25" customHeight="1">
      <c r="A1" s="353" t="s">
        <v>640</v>
      </c>
    </row>
    <row r="2" spans="1:16" ht="20.25" customHeight="1">
      <c r="A2" s="1252" t="s">
        <v>711</v>
      </c>
      <c r="B2" s="1252"/>
      <c r="C2" s="1252"/>
      <c r="D2" s="1252"/>
      <c r="E2" s="1252"/>
      <c r="F2" s="1252"/>
      <c r="G2" s="1252"/>
      <c r="H2" s="1252"/>
      <c r="I2" s="1252"/>
    </row>
    <row r="3" spans="1:16" ht="20.25" customHeight="1">
      <c r="A3" s="1252" t="s">
        <v>766</v>
      </c>
      <c r="B3" s="1252"/>
      <c r="C3" s="1252"/>
      <c r="D3" s="1252"/>
      <c r="E3" s="1252"/>
      <c r="F3" s="1252"/>
      <c r="G3" s="1252"/>
      <c r="H3" s="1252"/>
      <c r="I3" s="1252"/>
    </row>
    <row r="4" spans="1:16" ht="18" customHeight="1">
      <c r="H4" s="1278" t="s">
        <v>138</v>
      </c>
      <c r="I4" s="1278"/>
      <c r="J4" s="1301" t="s">
        <v>0</v>
      </c>
      <c r="K4" s="1301" t="s">
        <v>369</v>
      </c>
      <c r="L4" s="1301" t="s">
        <v>494</v>
      </c>
      <c r="M4" s="1391" t="s">
        <v>495</v>
      </c>
      <c r="N4" s="1391" t="s">
        <v>496</v>
      </c>
      <c r="O4" s="1390" t="s">
        <v>497</v>
      </c>
      <c r="P4" s="1390"/>
    </row>
    <row r="5" spans="1:16" ht="18.75" customHeight="1">
      <c r="A5" s="1280" t="s">
        <v>368</v>
      </c>
      <c r="B5" s="1280" t="s">
        <v>979</v>
      </c>
      <c r="C5" s="1280" t="s">
        <v>456</v>
      </c>
      <c r="D5" s="1280" t="s">
        <v>457</v>
      </c>
      <c r="E5" s="1280"/>
      <c r="F5" s="1280"/>
      <c r="G5" s="1280"/>
      <c r="H5" s="1280" t="s">
        <v>459</v>
      </c>
      <c r="I5" s="1280" t="s">
        <v>460</v>
      </c>
      <c r="J5" s="1301"/>
      <c r="K5" s="1301"/>
      <c r="L5" s="1301"/>
      <c r="M5" s="1391"/>
      <c r="N5" s="1391"/>
      <c r="O5" s="1301" t="s">
        <v>498</v>
      </c>
      <c r="P5" s="1301" t="s">
        <v>344</v>
      </c>
    </row>
    <row r="6" spans="1:16" ht="18" customHeight="1">
      <c r="A6" s="1280"/>
      <c r="B6" s="1280"/>
      <c r="C6" s="1280"/>
      <c r="D6" s="1280"/>
      <c r="E6" s="171"/>
      <c r="F6" s="38"/>
      <c r="G6" s="38"/>
      <c r="H6" s="1280"/>
      <c r="I6" s="1280"/>
      <c r="J6" s="1301"/>
      <c r="K6" s="1301"/>
      <c r="L6" s="1301"/>
      <c r="M6" s="1391"/>
      <c r="N6" s="1391"/>
      <c r="O6" s="1301"/>
      <c r="P6" s="1301"/>
    </row>
    <row r="7" spans="1:16" ht="20.25" hidden="1" customHeight="1">
      <c r="A7" s="70" t="s">
        <v>235</v>
      </c>
      <c r="B7" s="475" t="s">
        <v>744</v>
      </c>
      <c r="C7" s="99">
        <f>'PHỤ LỤC PNN'!C105</f>
        <v>0</v>
      </c>
      <c r="D7" s="99">
        <f>'Bac Son'!AC67</f>
        <v>0</v>
      </c>
      <c r="E7" s="99"/>
      <c r="F7" s="99"/>
      <c r="G7" s="99"/>
      <c r="H7" s="99">
        <f>'PHỤ LỤC PNN'!E105</f>
        <v>0</v>
      </c>
      <c r="I7" s="99">
        <f t="shared" ref="I7:I23" si="0">C7+D7-H7</f>
        <v>0</v>
      </c>
      <c r="J7" s="41" t="s">
        <v>235</v>
      </c>
      <c r="K7" s="475" t="s">
        <v>744</v>
      </c>
      <c r="L7" s="207">
        <v>19.190000000000001</v>
      </c>
      <c r="M7" s="207">
        <v>30.69</v>
      </c>
      <c r="N7" s="207">
        <f>I7</f>
        <v>0</v>
      </c>
      <c r="O7" s="207">
        <f>N7-L7</f>
        <v>-19.190000000000001</v>
      </c>
      <c r="P7" s="207">
        <f>N7-M7</f>
        <v>-30.69</v>
      </c>
    </row>
    <row r="8" spans="1:16" ht="20.25" customHeight="1">
      <c r="A8" s="5" t="s">
        <v>236</v>
      </c>
      <c r="B8" s="476" t="s">
        <v>745</v>
      </c>
      <c r="C8" s="100">
        <f>'PHỤ LỤC PNN'!C106</f>
        <v>3.47</v>
      </c>
      <c r="D8" s="100">
        <f>'Hai Son'!AC67</f>
        <v>0</v>
      </c>
      <c r="E8" s="100"/>
      <c r="F8" s="100"/>
      <c r="G8" s="100"/>
      <c r="H8" s="100">
        <f>'PHỤ LỤC PNN'!E106</f>
        <v>0</v>
      </c>
      <c r="I8" s="100">
        <f t="shared" si="0"/>
        <v>3.47</v>
      </c>
      <c r="J8" s="42" t="s">
        <v>236</v>
      </c>
      <c r="K8" s="476" t="s">
        <v>745</v>
      </c>
      <c r="L8" s="208">
        <v>11.15</v>
      </c>
      <c r="M8" s="208">
        <v>78.92</v>
      </c>
      <c r="N8" s="208">
        <f t="shared" ref="N8:N23" si="1">I8</f>
        <v>3.47</v>
      </c>
      <c r="O8" s="208">
        <f t="shared" ref="O8:O23" si="2">N8-L8</f>
        <v>-7.68</v>
      </c>
      <c r="P8" s="208">
        <f t="shared" ref="P8:P23" si="3">N8-M8</f>
        <v>-75.45</v>
      </c>
    </row>
    <row r="9" spans="1:16" ht="20.25" customHeight="1">
      <c r="A9" s="5" t="s">
        <v>237</v>
      </c>
      <c r="B9" s="476" t="s">
        <v>746</v>
      </c>
      <c r="C9" s="100">
        <f>'PHỤ LỤC PNN'!C107</f>
        <v>0</v>
      </c>
      <c r="D9" s="100">
        <f>'Quang Nghia'!AC67</f>
        <v>6.8199999999999994</v>
      </c>
      <c r="E9" s="100"/>
      <c r="F9" s="100"/>
      <c r="G9" s="100"/>
      <c r="H9" s="100">
        <f>'PHỤ LỤC PNN'!E107</f>
        <v>0</v>
      </c>
      <c r="I9" s="100">
        <f t="shared" si="0"/>
        <v>6.8199999999999994</v>
      </c>
      <c r="J9" s="42" t="s">
        <v>237</v>
      </c>
      <c r="K9" s="476" t="s">
        <v>746</v>
      </c>
      <c r="L9" s="208">
        <v>7.84</v>
      </c>
      <c r="M9" s="208">
        <v>20.37</v>
      </c>
      <c r="N9" s="208">
        <f t="shared" si="1"/>
        <v>6.8199999999999994</v>
      </c>
      <c r="O9" s="208">
        <f t="shared" si="2"/>
        <v>-1.0200000000000005</v>
      </c>
      <c r="P9" s="208">
        <f t="shared" si="3"/>
        <v>-13.55</v>
      </c>
    </row>
    <row r="10" spans="1:16" ht="20.25" customHeight="1">
      <c r="A10" s="5" t="s">
        <v>238</v>
      </c>
      <c r="B10" s="476" t="s">
        <v>747</v>
      </c>
      <c r="C10" s="100">
        <f>'PHỤ LỤC PNN'!C108</f>
        <v>0.26</v>
      </c>
      <c r="D10" s="100">
        <f>'Hai Dong'!AC67</f>
        <v>0</v>
      </c>
      <c r="E10" s="100"/>
      <c r="F10" s="100"/>
      <c r="G10" s="100"/>
      <c r="H10" s="100">
        <f>'PHỤ LỤC PNN'!E108</f>
        <v>0</v>
      </c>
      <c r="I10" s="100">
        <f t="shared" si="0"/>
        <v>0.26</v>
      </c>
      <c r="J10" s="42" t="s">
        <v>238</v>
      </c>
      <c r="K10" s="476" t="s">
        <v>747</v>
      </c>
      <c r="L10" s="208">
        <v>0.8</v>
      </c>
      <c r="M10" s="208">
        <v>5.25</v>
      </c>
      <c r="N10" s="208">
        <f t="shared" si="1"/>
        <v>0.26</v>
      </c>
      <c r="O10" s="208">
        <f t="shared" si="2"/>
        <v>-0.54</v>
      </c>
      <c r="P10" s="208">
        <f t="shared" si="3"/>
        <v>-4.99</v>
      </c>
    </row>
    <row r="11" spans="1:16" ht="20.25" customHeight="1">
      <c r="A11" s="5" t="s">
        <v>239</v>
      </c>
      <c r="B11" s="476" t="s">
        <v>748</v>
      </c>
      <c r="C11" s="100">
        <f>'PHỤ LỤC PNN'!C109</f>
        <v>12.18</v>
      </c>
      <c r="D11" s="100">
        <f>'Hai Tien'!AC67</f>
        <v>0</v>
      </c>
      <c r="E11" s="100"/>
      <c r="F11" s="100"/>
      <c r="G11" s="100"/>
      <c r="H11" s="100">
        <f>'PHỤ LỤC PNN'!E109</f>
        <v>0</v>
      </c>
      <c r="I11" s="100">
        <f t="shared" si="0"/>
        <v>12.18</v>
      </c>
      <c r="J11" s="42" t="s">
        <v>239</v>
      </c>
      <c r="K11" s="476" t="s">
        <v>748</v>
      </c>
      <c r="L11" s="208">
        <v>46.25</v>
      </c>
      <c r="M11" s="208">
        <v>102.88</v>
      </c>
      <c r="N11" s="208">
        <f t="shared" si="1"/>
        <v>12.18</v>
      </c>
      <c r="O11" s="208">
        <f t="shared" si="2"/>
        <v>-34.07</v>
      </c>
      <c r="P11" s="208">
        <f t="shared" si="3"/>
        <v>-90.699999999999989</v>
      </c>
    </row>
    <row r="12" spans="1:16" ht="20.25" customHeight="1">
      <c r="A12" s="5" t="s">
        <v>240</v>
      </c>
      <c r="B12" s="476" t="s">
        <v>749</v>
      </c>
      <c r="C12" s="100">
        <f>'PHỤ LỤC PNN'!C110</f>
        <v>5.89</v>
      </c>
      <c r="D12" s="100">
        <f>'Hai Xuan'!AC67</f>
        <v>0</v>
      </c>
      <c r="E12" s="100"/>
      <c r="F12" s="100"/>
      <c r="G12" s="100"/>
      <c r="H12" s="100">
        <f>'PHỤ LỤC PNN'!E110</f>
        <v>0</v>
      </c>
      <c r="I12" s="100">
        <f t="shared" si="0"/>
        <v>5.89</v>
      </c>
      <c r="J12" s="42" t="s">
        <v>240</v>
      </c>
      <c r="K12" s="476" t="s">
        <v>749</v>
      </c>
      <c r="L12" s="208">
        <v>59.92</v>
      </c>
      <c r="M12" s="208">
        <v>117.04</v>
      </c>
      <c r="N12" s="208">
        <f t="shared" si="1"/>
        <v>5.89</v>
      </c>
      <c r="O12" s="208">
        <f t="shared" si="2"/>
        <v>-54.03</v>
      </c>
      <c r="P12" s="208">
        <f t="shared" si="3"/>
        <v>-111.15</v>
      </c>
    </row>
    <row r="13" spans="1:16" ht="20.25" customHeight="1">
      <c r="A13" s="5" t="s">
        <v>241</v>
      </c>
      <c r="B13" s="476" t="s">
        <v>750</v>
      </c>
      <c r="C13" s="100">
        <f>'PHỤ LỤC PNN'!C111</f>
        <v>6.39</v>
      </c>
      <c r="D13" s="100">
        <f>'Van Ninh'!AC68</f>
        <v>0</v>
      </c>
      <c r="E13" s="100"/>
      <c r="F13" s="100"/>
      <c r="G13" s="100"/>
      <c r="H13" s="100">
        <f>'PHỤ LỤC PNN'!E111</f>
        <v>4.9400000000000004</v>
      </c>
      <c r="I13" s="100">
        <f t="shared" si="0"/>
        <v>1.4499999999999993</v>
      </c>
      <c r="J13" s="42" t="s">
        <v>241</v>
      </c>
      <c r="K13" s="476" t="s">
        <v>750</v>
      </c>
      <c r="L13" s="208">
        <v>2.48</v>
      </c>
      <c r="M13" s="208">
        <v>14</v>
      </c>
      <c r="N13" s="208">
        <f t="shared" si="1"/>
        <v>1.4499999999999993</v>
      </c>
      <c r="O13" s="208">
        <f t="shared" si="2"/>
        <v>-1.0300000000000007</v>
      </c>
      <c r="P13" s="208">
        <f t="shared" si="3"/>
        <v>-12.55</v>
      </c>
    </row>
    <row r="14" spans="1:16" ht="20.25" customHeight="1">
      <c r="A14" s="5" t="s">
        <v>242</v>
      </c>
      <c r="B14" s="476" t="s">
        <v>751</v>
      </c>
      <c r="C14" s="100">
        <f>'PHỤ LỤC PNN'!C112</f>
        <v>0.55000000000000004</v>
      </c>
      <c r="D14" s="100">
        <f>'Vinh Trung'!AD68</f>
        <v>0</v>
      </c>
      <c r="E14" s="100"/>
      <c r="F14" s="100"/>
      <c r="G14" s="100"/>
      <c r="H14" s="100">
        <f>'PHỤ LỤC PNN'!E112</f>
        <v>0</v>
      </c>
      <c r="I14" s="100">
        <f t="shared" si="0"/>
        <v>0.55000000000000004</v>
      </c>
      <c r="J14" s="42" t="s">
        <v>242</v>
      </c>
      <c r="K14" s="476" t="s">
        <v>751</v>
      </c>
      <c r="L14" s="208">
        <v>1.29</v>
      </c>
      <c r="M14" s="208">
        <v>12.58</v>
      </c>
      <c r="N14" s="208">
        <f t="shared" si="1"/>
        <v>0.55000000000000004</v>
      </c>
      <c r="O14" s="208">
        <f t="shared" si="2"/>
        <v>-0.74</v>
      </c>
      <c r="P14" s="208">
        <f t="shared" si="3"/>
        <v>-12.03</v>
      </c>
    </row>
    <row r="15" spans="1:16" ht="20.25" customHeight="1">
      <c r="A15" s="5" t="s">
        <v>243</v>
      </c>
      <c r="B15" s="476" t="s">
        <v>752</v>
      </c>
      <c r="C15" s="100">
        <f>'PHỤ LỤC PNN'!C113</f>
        <v>1.51</v>
      </c>
      <c r="D15" s="100">
        <f>'Vinh Thuc'!AC67</f>
        <v>0</v>
      </c>
      <c r="E15" s="100"/>
      <c r="F15" s="100"/>
      <c r="G15" s="100"/>
      <c r="H15" s="100">
        <f>'PHỤ LỤC PNN'!E113</f>
        <v>0</v>
      </c>
      <c r="I15" s="100">
        <f t="shared" si="0"/>
        <v>1.51</v>
      </c>
      <c r="J15" s="42" t="s">
        <v>243</v>
      </c>
      <c r="K15" s="476" t="s">
        <v>752</v>
      </c>
      <c r="L15" s="208">
        <v>0.79</v>
      </c>
      <c r="M15" s="208">
        <v>16.11</v>
      </c>
      <c r="N15" s="208">
        <f t="shared" si="1"/>
        <v>1.51</v>
      </c>
      <c r="O15" s="208">
        <f t="shared" si="2"/>
        <v>0.72</v>
      </c>
      <c r="P15" s="208">
        <f t="shared" si="3"/>
        <v>-14.6</v>
      </c>
    </row>
    <row r="16" spans="1:16" ht="20.25" customHeight="1">
      <c r="A16" s="5" t="s">
        <v>244</v>
      </c>
      <c r="B16" s="476" t="s">
        <v>753</v>
      </c>
      <c r="C16" s="100">
        <f>'PHỤ LỤC PNN'!C114</f>
        <v>13.05</v>
      </c>
      <c r="D16" s="100">
        <f>'Hai Yen'!AC68</f>
        <v>11.43</v>
      </c>
      <c r="E16" s="100"/>
      <c r="F16" s="100"/>
      <c r="G16" s="100"/>
      <c r="H16" s="100">
        <f>'PHỤ LỤC PNN'!E114</f>
        <v>0.95</v>
      </c>
      <c r="I16" s="100">
        <f t="shared" si="0"/>
        <v>23.53</v>
      </c>
      <c r="J16" s="42" t="s">
        <v>244</v>
      </c>
      <c r="K16" s="476" t="s">
        <v>753</v>
      </c>
      <c r="L16" s="208">
        <v>0.02</v>
      </c>
      <c r="M16" s="208">
        <v>3.45</v>
      </c>
      <c r="N16" s="208">
        <f t="shared" si="1"/>
        <v>23.53</v>
      </c>
      <c r="O16" s="208">
        <f t="shared" si="2"/>
        <v>23.51</v>
      </c>
      <c r="P16" s="208">
        <f t="shared" si="3"/>
        <v>20.080000000000002</v>
      </c>
    </row>
    <row r="17" spans="1:16" ht="20.25" customHeight="1">
      <c r="A17" s="5" t="s">
        <v>245</v>
      </c>
      <c r="B17" s="476" t="s">
        <v>754</v>
      </c>
      <c r="C17" s="100">
        <f>'PHỤ LỤC PNN'!C115</f>
        <v>16.350000000000001</v>
      </c>
      <c r="D17" s="100">
        <f>'Ka Long'!AC67</f>
        <v>0</v>
      </c>
      <c r="E17" s="100"/>
      <c r="F17" s="100"/>
      <c r="G17" s="100"/>
      <c r="H17" s="100">
        <f>'PHỤ LỤC PNN'!E115</f>
        <v>0</v>
      </c>
      <c r="I17" s="100">
        <f t="shared" si="0"/>
        <v>16.350000000000001</v>
      </c>
      <c r="J17" s="42" t="s">
        <v>245</v>
      </c>
      <c r="K17" s="476" t="s">
        <v>754</v>
      </c>
      <c r="L17" s="208">
        <v>1.1299999999999999</v>
      </c>
      <c r="M17" s="208">
        <v>11.63</v>
      </c>
      <c r="N17" s="208">
        <f t="shared" si="1"/>
        <v>16.350000000000001</v>
      </c>
      <c r="O17" s="208">
        <f t="shared" si="2"/>
        <v>15.220000000000002</v>
      </c>
      <c r="P17" s="208">
        <f t="shared" si="3"/>
        <v>4.7200000000000006</v>
      </c>
    </row>
    <row r="18" spans="1:16" ht="20.25" customHeight="1">
      <c r="A18" s="5" t="s">
        <v>246</v>
      </c>
      <c r="B18" s="476" t="s">
        <v>755</v>
      </c>
      <c r="C18" s="100">
        <f>'PHỤ LỤC PNN'!C116</f>
        <v>60.28</v>
      </c>
      <c r="D18" s="100">
        <f>'Ninh Duong'!AC67</f>
        <v>0</v>
      </c>
      <c r="E18" s="100"/>
      <c r="F18" s="100"/>
      <c r="G18" s="100"/>
      <c r="H18" s="100">
        <f>'PHỤ LỤC PNN'!E116</f>
        <v>0</v>
      </c>
      <c r="I18" s="100">
        <f t="shared" si="0"/>
        <v>60.28</v>
      </c>
      <c r="J18" s="42" t="s">
        <v>246</v>
      </c>
      <c r="K18" s="476" t="s">
        <v>755</v>
      </c>
      <c r="L18" s="208">
        <v>41.4</v>
      </c>
      <c r="M18" s="208">
        <v>48.77</v>
      </c>
      <c r="N18" s="208">
        <f t="shared" si="1"/>
        <v>60.28</v>
      </c>
      <c r="O18" s="208">
        <f t="shared" si="2"/>
        <v>18.880000000000003</v>
      </c>
      <c r="P18" s="208">
        <f t="shared" si="3"/>
        <v>11.509999999999998</v>
      </c>
    </row>
    <row r="19" spans="1:16" ht="20.25" hidden="1" customHeight="1">
      <c r="A19" s="5" t="s">
        <v>247</v>
      </c>
      <c r="B19" s="476" t="s">
        <v>756</v>
      </c>
      <c r="C19" s="100">
        <f>'PHỤ LỤC PNN'!C117</f>
        <v>0</v>
      </c>
      <c r="D19" s="100">
        <f>'Hoa Lac'!AC67</f>
        <v>0</v>
      </c>
      <c r="E19" s="100"/>
      <c r="F19" s="100"/>
      <c r="G19" s="100"/>
      <c r="H19" s="100">
        <f>'PHỤ LỤC PNN'!E117</f>
        <v>0</v>
      </c>
      <c r="I19" s="100">
        <f t="shared" si="0"/>
        <v>0</v>
      </c>
      <c r="J19" s="42" t="s">
        <v>247</v>
      </c>
      <c r="K19" s="476" t="s">
        <v>756</v>
      </c>
      <c r="L19" s="208">
        <v>20.64</v>
      </c>
      <c r="M19" s="208">
        <v>20.5</v>
      </c>
      <c r="N19" s="208">
        <f t="shared" si="1"/>
        <v>0</v>
      </c>
      <c r="O19" s="208">
        <f t="shared" si="2"/>
        <v>-20.64</v>
      </c>
      <c r="P19" s="208">
        <f t="shared" si="3"/>
        <v>-20.5</v>
      </c>
    </row>
    <row r="20" spans="1:16" ht="20.25" hidden="1" customHeight="1">
      <c r="A20" s="5" t="s">
        <v>248</v>
      </c>
      <c r="B20" s="476" t="s">
        <v>757</v>
      </c>
      <c r="C20" s="100">
        <f>'PHỤ LỤC PNN'!C118</f>
        <v>0</v>
      </c>
      <c r="D20" s="100">
        <f>'Tran Phu'!AC67</f>
        <v>0</v>
      </c>
      <c r="E20" s="100"/>
      <c r="F20" s="100"/>
      <c r="G20" s="100"/>
      <c r="H20" s="100">
        <f>'PHỤ LỤC PNN'!E118</f>
        <v>0</v>
      </c>
      <c r="I20" s="100">
        <f t="shared" si="0"/>
        <v>0</v>
      </c>
      <c r="J20" s="42" t="s">
        <v>248</v>
      </c>
      <c r="K20" s="476" t="s">
        <v>757</v>
      </c>
      <c r="L20" s="208">
        <v>0.93</v>
      </c>
      <c r="M20" s="208">
        <v>145.76</v>
      </c>
      <c r="N20" s="208">
        <f t="shared" si="1"/>
        <v>0</v>
      </c>
      <c r="O20" s="208">
        <f t="shared" si="2"/>
        <v>-0.93</v>
      </c>
      <c r="P20" s="208">
        <f t="shared" si="3"/>
        <v>-145.76</v>
      </c>
    </row>
    <row r="21" spans="1:16" ht="20.25" customHeight="1">
      <c r="A21" s="5" t="s">
        <v>249</v>
      </c>
      <c r="B21" s="476" t="s">
        <v>758</v>
      </c>
      <c r="C21" s="100">
        <f>'PHỤ LỤC PNN'!C119</f>
        <v>2.13</v>
      </c>
      <c r="D21" s="100">
        <f>'Hai Hoa'!AC67</f>
        <v>91.61</v>
      </c>
      <c r="E21" s="100"/>
      <c r="F21" s="100"/>
      <c r="G21" s="100"/>
      <c r="H21" s="100">
        <f>'PHỤ LỤC PNN'!E119</f>
        <v>0</v>
      </c>
      <c r="I21" s="100">
        <f t="shared" si="0"/>
        <v>93.74</v>
      </c>
      <c r="J21" s="42" t="s">
        <v>249</v>
      </c>
      <c r="K21" s="476" t="s">
        <v>758</v>
      </c>
      <c r="L21" s="208"/>
      <c r="M21" s="208">
        <v>133.83000000000001</v>
      </c>
      <c r="N21" s="208">
        <f t="shared" si="1"/>
        <v>93.74</v>
      </c>
      <c r="O21" s="208">
        <f t="shared" si="2"/>
        <v>93.74</v>
      </c>
      <c r="P21" s="208">
        <f t="shared" si="3"/>
        <v>-40.090000000000018</v>
      </c>
    </row>
    <row r="22" spans="1:16" ht="20.25" hidden="1" customHeight="1">
      <c r="A22" s="5" t="s">
        <v>250</v>
      </c>
      <c r="B22" s="476" t="s">
        <v>759</v>
      </c>
      <c r="C22" s="100">
        <f>'PHỤ LỤC PNN'!C120</f>
        <v>0</v>
      </c>
      <c r="D22" s="100">
        <f>'Tra Co'!AC67</f>
        <v>0</v>
      </c>
      <c r="E22" s="100"/>
      <c r="F22" s="100"/>
      <c r="G22" s="100"/>
      <c r="H22" s="100">
        <f>'PHỤ LỤC PNN'!E120</f>
        <v>0</v>
      </c>
      <c r="I22" s="100">
        <f t="shared" si="0"/>
        <v>0</v>
      </c>
      <c r="J22" s="42" t="s">
        <v>250</v>
      </c>
      <c r="K22" s="476" t="s">
        <v>759</v>
      </c>
      <c r="L22" s="208">
        <v>0.19</v>
      </c>
      <c r="M22" s="208">
        <v>5.34</v>
      </c>
      <c r="N22" s="208">
        <f t="shared" si="1"/>
        <v>0</v>
      </c>
      <c r="O22" s="208">
        <f t="shared" si="2"/>
        <v>-0.19</v>
      </c>
      <c r="P22" s="208">
        <f t="shared" si="3"/>
        <v>-5.34</v>
      </c>
    </row>
    <row r="23" spans="1:16" ht="20.25" customHeight="1">
      <c r="A23" s="5" t="s">
        <v>251</v>
      </c>
      <c r="B23" s="476" t="s">
        <v>760</v>
      </c>
      <c r="C23" s="100">
        <f>'PHỤ LỤC PNN'!C121</f>
        <v>4.0599999999999996</v>
      </c>
      <c r="D23" s="100">
        <f>'Binh Ngoc'!AC67</f>
        <v>0</v>
      </c>
      <c r="E23" s="100">
        <f>'Binh Ngoc'!AC59</f>
        <v>0</v>
      </c>
      <c r="F23" s="100">
        <f>'Binh Ngoc'!AC60</f>
        <v>0</v>
      </c>
      <c r="G23" s="100">
        <f>'Binh Ngoc'!AC63</f>
        <v>0</v>
      </c>
      <c r="H23" s="100">
        <f>'PHỤ LỤC PNN'!E121</f>
        <v>0</v>
      </c>
      <c r="I23" s="100">
        <f t="shared" si="0"/>
        <v>4.0599999999999996</v>
      </c>
      <c r="J23" s="42" t="s">
        <v>251</v>
      </c>
      <c r="K23" s="476" t="s">
        <v>760</v>
      </c>
      <c r="L23" s="208">
        <v>0.39</v>
      </c>
      <c r="M23" s="208">
        <v>177.91</v>
      </c>
      <c r="N23" s="208">
        <f t="shared" si="1"/>
        <v>4.0599999999999996</v>
      </c>
      <c r="O23" s="208">
        <f t="shared" si="2"/>
        <v>3.6699999999999995</v>
      </c>
      <c r="P23" s="208">
        <f t="shared" si="3"/>
        <v>-173.85</v>
      </c>
    </row>
    <row r="24" spans="1:16" ht="26.25" customHeight="1">
      <c r="A24" s="66"/>
      <c r="B24" s="328" t="s">
        <v>370</v>
      </c>
      <c r="C24" s="75">
        <f t="shared" ref="C24:I24" si="4">SUM(C7:C23)</f>
        <v>126.12</v>
      </c>
      <c r="D24" s="75">
        <f t="shared" si="4"/>
        <v>109.86</v>
      </c>
      <c r="E24" s="75">
        <f t="shared" si="4"/>
        <v>0</v>
      </c>
      <c r="F24" s="75">
        <f t="shared" si="4"/>
        <v>0</v>
      </c>
      <c r="G24" s="75">
        <f t="shared" si="4"/>
        <v>0</v>
      </c>
      <c r="H24" s="75">
        <f t="shared" si="4"/>
        <v>5.8900000000000006</v>
      </c>
      <c r="I24" s="75">
        <f t="shared" si="4"/>
        <v>230.08999999999997</v>
      </c>
      <c r="J24" s="51"/>
      <c r="K24" s="51" t="s">
        <v>370</v>
      </c>
      <c r="L24" s="209">
        <f>SUM(L7:L23)</f>
        <v>214.40999999999997</v>
      </c>
      <c r="M24" s="209">
        <f>SUM(M7:M23)</f>
        <v>945.03</v>
      </c>
      <c r="N24" s="209">
        <f>SUM(N7:N23)</f>
        <v>230.08999999999997</v>
      </c>
      <c r="O24" s="209">
        <f>SUM(O7:O23)</f>
        <v>15.680000000000003</v>
      </c>
      <c r="P24" s="209">
        <f>SUM(P7:P23)</f>
        <v>-714.94</v>
      </c>
    </row>
    <row r="25" spans="1:16" ht="15.75">
      <c r="C25">
        <f>'TONG TP'!D32</f>
        <v>126.12</v>
      </c>
      <c r="I25" s="69">
        <f>'TONG TP'!BN32</f>
        <v>230.09</v>
      </c>
    </row>
    <row r="28" spans="1:16">
      <c r="C28" s="177">
        <f>C24-H24</f>
        <v>120.23</v>
      </c>
      <c r="I28">
        <f>'TONG TP'!BN32</f>
        <v>230.09</v>
      </c>
    </row>
    <row r="29" spans="1:16">
      <c r="I29" s="177">
        <f>I24-I28</f>
        <v>0</v>
      </c>
    </row>
  </sheetData>
  <autoFilter ref="A6:P25">
    <filterColumn colId="8">
      <customFilters>
        <customFilter operator="notEqual" val=" "/>
      </customFilters>
    </filterColumn>
  </autoFilter>
  <mergeCells count="18">
    <mergeCell ref="A2:I2"/>
    <mergeCell ref="A3:I3"/>
    <mergeCell ref="A5:A6"/>
    <mergeCell ref="B5:B6"/>
    <mergeCell ref="C5:C6"/>
    <mergeCell ref="D5:D6"/>
    <mergeCell ref="H5:H6"/>
    <mergeCell ref="I5:I6"/>
    <mergeCell ref="E5:G5"/>
    <mergeCell ref="H4:I4"/>
    <mergeCell ref="O4:P4"/>
    <mergeCell ref="O5:O6"/>
    <mergeCell ref="P5:P6"/>
    <mergeCell ref="J4:J6"/>
    <mergeCell ref="K4:K6"/>
    <mergeCell ref="L4:L6"/>
    <mergeCell ref="M4:M6"/>
    <mergeCell ref="N4:N6"/>
  </mergeCells>
  <phoneticPr fontId="4" type="noConversion"/>
  <printOptions horizontalCentered="1"/>
  <pageMargins left="1.1000000000000001" right="0.25" top="0.25" bottom="0.25" header="0.5" footer="0.5"/>
  <pageSetup paperSize="9" scale="90" orientation="portrait"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9"/>
  <sheetViews>
    <sheetView showZeros="0" topLeftCell="B1" workbookViewId="0">
      <selection activeCell="B12" sqref="B12"/>
    </sheetView>
  </sheetViews>
  <sheetFormatPr defaultColWidth="9.140625" defaultRowHeight="12.75"/>
  <cols>
    <col min="1" max="1" width="6.42578125" style="354" customWidth="1"/>
    <col min="2" max="2" width="20.5703125" style="354" customWidth="1"/>
    <col min="3" max="3" width="9.28515625" style="354" customWidth="1"/>
    <col min="4" max="4" width="9.140625" style="354" customWidth="1"/>
    <col min="5" max="7" width="5.28515625" style="354" customWidth="1"/>
    <col min="8" max="8" width="9.140625" style="354" customWidth="1"/>
    <col min="9" max="9" width="11" style="354" customWidth="1"/>
    <col min="10" max="10" width="24.140625" style="354" hidden="1" customWidth="1"/>
    <col min="11" max="11" width="10.42578125" style="354" hidden="1" customWidth="1"/>
    <col min="12" max="12" width="10.28515625" style="354" hidden="1" customWidth="1"/>
    <col min="13" max="19" width="8.140625" style="354" hidden="1" customWidth="1"/>
    <col min="20" max="20" width="10.85546875" style="354" hidden="1" customWidth="1"/>
    <col min="21" max="21" width="11.42578125" style="354" hidden="1" customWidth="1"/>
    <col min="22" max="22" width="7.140625" style="354" customWidth="1"/>
    <col min="23" max="23" width="21.42578125" style="354" customWidth="1"/>
    <col min="24" max="28" width="9.140625" style="354"/>
    <col min="29" max="16384" width="9.140625" style="255"/>
  </cols>
  <sheetData>
    <row r="1" spans="1:28" ht="18.75" customHeight="1">
      <c r="A1" s="342" t="s">
        <v>641</v>
      </c>
    </row>
    <row r="2" spans="1:28" ht="20.25" customHeight="1">
      <c r="A2" s="1385" t="s">
        <v>712</v>
      </c>
      <c r="B2" s="1385"/>
      <c r="C2" s="1385"/>
      <c r="D2" s="1385"/>
      <c r="E2" s="1385"/>
      <c r="F2" s="1385"/>
      <c r="G2" s="1385"/>
      <c r="H2" s="1385"/>
      <c r="I2" s="1385"/>
      <c r="J2" s="1385"/>
      <c r="K2" s="1385"/>
      <c r="L2" s="1385"/>
      <c r="M2" s="1385"/>
      <c r="N2" s="1385"/>
      <c r="O2" s="1385"/>
      <c r="P2" s="1385"/>
      <c r="Q2" s="1385"/>
      <c r="R2" s="1385"/>
      <c r="S2" s="1385"/>
      <c r="T2" s="1385"/>
      <c r="U2" s="1385"/>
    </row>
    <row r="3" spans="1:28" ht="20.25" customHeight="1">
      <c r="A3" s="1385" t="s">
        <v>766</v>
      </c>
      <c r="B3" s="1385"/>
      <c r="C3" s="1385"/>
      <c r="D3" s="1385"/>
      <c r="E3" s="1385"/>
      <c r="F3" s="1385"/>
      <c r="G3" s="1385"/>
      <c r="H3" s="1385"/>
      <c r="I3" s="1385"/>
      <c r="J3" s="1385"/>
      <c r="K3" s="1385"/>
      <c r="L3" s="1385"/>
      <c r="M3" s="1385"/>
      <c r="N3" s="1385"/>
      <c r="O3" s="1385"/>
      <c r="P3" s="1385"/>
      <c r="Q3" s="1385"/>
      <c r="R3" s="1385"/>
      <c r="S3" s="1385"/>
      <c r="T3" s="1385"/>
      <c r="U3" s="1385"/>
    </row>
    <row r="4" spans="1:28" ht="18" customHeight="1">
      <c r="H4" s="1377" t="s">
        <v>138</v>
      </c>
      <c r="I4" s="1377"/>
      <c r="T4" s="1278" t="s">
        <v>138</v>
      </c>
      <c r="U4" s="1414"/>
      <c r="V4" s="1408" t="s">
        <v>0</v>
      </c>
      <c r="W4" s="1408" t="s">
        <v>369</v>
      </c>
      <c r="X4" s="1408" t="s">
        <v>494</v>
      </c>
      <c r="Y4" s="1405" t="s">
        <v>495</v>
      </c>
      <c r="Z4" s="1405" t="s">
        <v>496</v>
      </c>
      <c r="AA4" s="1418" t="s">
        <v>497</v>
      </c>
      <c r="AB4" s="1419"/>
    </row>
    <row r="5" spans="1:28" ht="30.75" customHeight="1">
      <c r="A5" s="1280" t="s">
        <v>368</v>
      </c>
      <c r="B5" s="1280" t="s">
        <v>982</v>
      </c>
      <c r="C5" s="1280" t="s">
        <v>989</v>
      </c>
      <c r="D5" s="1280" t="s">
        <v>457</v>
      </c>
      <c r="E5" s="1280"/>
      <c r="F5" s="1280"/>
      <c r="G5" s="1280"/>
      <c r="H5" s="1280" t="s">
        <v>459</v>
      </c>
      <c r="I5" s="1280" t="s">
        <v>988</v>
      </c>
      <c r="J5" s="1409" t="s">
        <v>455</v>
      </c>
      <c r="K5" s="1409" t="s">
        <v>456</v>
      </c>
      <c r="L5" s="1409" t="s">
        <v>457</v>
      </c>
      <c r="M5" s="1415" t="s">
        <v>458</v>
      </c>
      <c r="N5" s="1404"/>
      <c r="O5" s="1404"/>
      <c r="P5" s="1404"/>
      <c r="Q5" s="1404"/>
      <c r="R5" s="1404"/>
      <c r="S5" s="1379"/>
      <c r="T5" s="1409" t="s">
        <v>459</v>
      </c>
      <c r="U5" s="1409" t="s">
        <v>460</v>
      </c>
      <c r="V5" s="1412"/>
      <c r="W5" s="1412"/>
      <c r="X5" s="1412"/>
      <c r="Y5" s="1416"/>
      <c r="Z5" s="1416"/>
      <c r="AA5" s="1408" t="s">
        <v>498</v>
      </c>
      <c r="AB5" s="1408" t="s">
        <v>344</v>
      </c>
    </row>
    <row r="6" spans="1:28" ht="29.25" customHeight="1">
      <c r="A6" s="1280"/>
      <c r="B6" s="1280"/>
      <c r="C6" s="1280"/>
      <c r="D6" s="1280"/>
      <c r="E6" s="351"/>
      <c r="F6" s="351"/>
      <c r="G6" s="351"/>
      <c r="H6" s="1280"/>
      <c r="I6" s="1280"/>
      <c r="J6" s="1410"/>
      <c r="K6" s="1410"/>
      <c r="L6" s="1410"/>
      <c r="M6" s="352" t="s">
        <v>20</v>
      </c>
      <c r="N6" s="352" t="s">
        <v>195</v>
      </c>
      <c r="O6" s="352" t="s">
        <v>26</v>
      </c>
      <c r="P6" s="352" t="s">
        <v>38</v>
      </c>
      <c r="Q6" s="352" t="s">
        <v>87</v>
      </c>
      <c r="R6" s="352" t="s">
        <v>93</v>
      </c>
      <c r="S6" s="352" t="s">
        <v>124</v>
      </c>
      <c r="T6" s="1410"/>
      <c r="U6" s="1410"/>
      <c r="V6" s="1413"/>
      <c r="W6" s="1413"/>
      <c r="X6" s="1413"/>
      <c r="Y6" s="1417"/>
      <c r="Z6" s="1417"/>
      <c r="AA6" s="1413"/>
      <c r="AB6" s="1413"/>
    </row>
    <row r="7" spans="1:28" ht="21" customHeight="1">
      <c r="A7" s="70" t="s">
        <v>235</v>
      </c>
      <c r="B7" s="475" t="s">
        <v>744</v>
      </c>
      <c r="C7" s="350">
        <f>'PHỤ LỤC PNN'!C130</f>
        <v>94.109500000000011</v>
      </c>
      <c r="D7" s="350">
        <f>'Bac Son'!AE67</f>
        <v>3.23</v>
      </c>
      <c r="E7" s="350"/>
      <c r="F7" s="350"/>
      <c r="G7" s="350"/>
      <c r="H7" s="350">
        <f>'PHỤ LỤC PNN'!E130</f>
        <v>0.37</v>
      </c>
      <c r="I7" s="350">
        <f t="shared" ref="I7:I23" si="0">C7+D7-H7</f>
        <v>96.969500000000011</v>
      </c>
      <c r="J7" s="71" t="s">
        <v>376</v>
      </c>
      <c r="K7" s="70">
        <f>'PHỤ LUC HT'!C53</f>
        <v>2.1495000000000002</v>
      </c>
      <c r="L7" s="70">
        <f>SUM(M7:S7)</f>
        <v>0</v>
      </c>
      <c r="M7" s="70">
        <f>'Bac Son'!AH12</f>
        <v>0</v>
      </c>
      <c r="N7" s="70">
        <f>'Bac Son'!AH13</f>
        <v>0</v>
      </c>
      <c r="O7" s="70">
        <f>'Bac Son'!AH17</f>
        <v>0</v>
      </c>
      <c r="P7" s="70">
        <f>'Bac Son'!AH22</f>
        <v>0</v>
      </c>
      <c r="Q7" s="70">
        <f>'Bac Son'!AH50</f>
        <v>0</v>
      </c>
      <c r="R7" s="70">
        <f>'Bac Son'!AH52</f>
        <v>0</v>
      </c>
      <c r="S7" s="70">
        <f>'Bac Son'!AH63</f>
        <v>0</v>
      </c>
      <c r="T7" s="70">
        <f>'PHỤ LUC HT'!E53</f>
        <v>0.37</v>
      </c>
      <c r="U7" s="70">
        <f t="shared" ref="U7:U23" si="1">K7+L7-T7</f>
        <v>1.7795000000000001</v>
      </c>
      <c r="V7" s="41" t="s">
        <v>235</v>
      </c>
      <c r="W7" s="475" t="s">
        <v>744</v>
      </c>
      <c r="X7" s="259">
        <v>82.81</v>
      </c>
      <c r="Y7" s="259">
        <v>120.1</v>
      </c>
      <c r="Z7" s="259">
        <f>'Bac Son'!BN34</f>
        <v>96.969500000000011</v>
      </c>
      <c r="AA7" s="259">
        <f>Z7-X7</f>
        <v>14.159500000000008</v>
      </c>
      <c r="AB7" s="259">
        <f>Z7-Y7</f>
        <v>-23.130499999999984</v>
      </c>
    </row>
    <row r="8" spans="1:28" ht="21" customHeight="1">
      <c r="A8" s="5" t="s">
        <v>236</v>
      </c>
      <c r="B8" s="476" t="s">
        <v>745</v>
      </c>
      <c r="C8" s="350">
        <f>'PHỤ LỤC PNN'!C131</f>
        <v>58.248599999999996</v>
      </c>
      <c r="D8" s="292">
        <f>'Hai Son'!AE67</f>
        <v>0.15000000000000002</v>
      </c>
      <c r="E8" s="292"/>
      <c r="F8" s="292"/>
      <c r="G8" s="292"/>
      <c r="H8" s="350">
        <f>'PHỤ LỤC PNN'!E131</f>
        <v>0.16</v>
      </c>
      <c r="I8" s="292">
        <f t="shared" si="0"/>
        <v>58.238599999999998</v>
      </c>
      <c r="J8" s="72" t="s">
        <v>377</v>
      </c>
      <c r="K8" s="5">
        <f>'PHỤ LUC HT'!C54</f>
        <v>2.2867100000000002</v>
      </c>
      <c r="L8" s="5">
        <f t="shared" ref="L8:L23" si="2">SUM(M8:S8)</f>
        <v>0</v>
      </c>
      <c r="M8" s="5">
        <f>'Hai Son'!AH12</f>
        <v>0</v>
      </c>
      <c r="N8" s="5">
        <f>'Hai Son'!AH13</f>
        <v>0</v>
      </c>
      <c r="O8" s="5">
        <f>'Hai Son'!AH17</f>
        <v>0</v>
      </c>
      <c r="P8" s="5">
        <f>'Hai Son'!AH22</f>
        <v>0</v>
      </c>
      <c r="Q8" s="5">
        <f>'Hai Son'!AH50</f>
        <v>0</v>
      </c>
      <c r="R8" s="5">
        <f>'Hai Son'!AH52</f>
        <v>0</v>
      </c>
      <c r="S8" s="5">
        <f>'Hai Son'!AH63</f>
        <v>0</v>
      </c>
      <c r="T8" s="5">
        <f>'PHỤ LUC HT'!E54</f>
        <v>0.15</v>
      </c>
      <c r="U8" s="5">
        <f t="shared" si="1"/>
        <v>2.1367100000000003</v>
      </c>
      <c r="V8" s="42" t="s">
        <v>236</v>
      </c>
      <c r="W8" s="476" t="s">
        <v>745</v>
      </c>
      <c r="X8" s="260">
        <v>114.41</v>
      </c>
      <c r="Y8" s="260">
        <v>148.02000000000001</v>
      </c>
      <c r="Z8" s="260">
        <f>'Hai Son'!BN34</f>
        <v>58.238599999999998</v>
      </c>
      <c r="AA8" s="260">
        <f t="shared" ref="AA8:AA23" si="3">Z8-X8</f>
        <v>-56.171399999999998</v>
      </c>
      <c r="AB8" s="260">
        <f t="shared" ref="AB8:AB23" si="4">Z8-Y8</f>
        <v>-89.781400000000019</v>
      </c>
    </row>
    <row r="9" spans="1:28" ht="21" customHeight="1">
      <c r="A9" s="5" t="s">
        <v>237</v>
      </c>
      <c r="B9" s="476" t="s">
        <v>746</v>
      </c>
      <c r="C9" s="350">
        <f>'PHỤ LỤC PNN'!C132</f>
        <v>194.39950000000005</v>
      </c>
      <c r="D9" s="292">
        <f>'Quang Nghia'!AE67</f>
        <v>26.810000000000006</v>
      </c>
      <c r="E9" s="292"/>
      <c r="F9" s="292"/>
      <c r="G9" s="292"/>
      <c r="H9" s="350">
        <f>'PHỤ LỤC PNN'!E132</f>
        <v>2.29</v>
      </c>
      <c r="I9" s="292">
        <f t="shared" si="0"/>
        <v>218.91950000000006</v>
      </c>
      <c r="J9" s="72" t="s">
        <v>378</v>
      </c>
      <c r="K9" s="5">
        <f>'PHỤ LUC HT'!C55</f>
        <v>3.33</v>
      </c>
      <c r="L9" s="5">
        <f t="shared" si="2"/>
        <v>0</v>
      </c>
      <c r="M9" s="5">
        <f>'Quang Nghia'!AH12</f>
        <v>0</v>
      </c>
      <c r="N9" s="5">
        <f>'Quang Nghia'!AH13</f>
        <v>0</v>
      </c>
      <c r="O9" s="5">
        <f>'Quang Nghia'!AH17</f>
        <v>0</v>
      </c>
      <c r="P9" s="5">
        <f>'Quang Nghia'!AH22</f>
        <v>0</v>
      </c>
      <c r="Q9" s="5">
        <f>'Quang Nghia'!AH50</f>
        <v>0</v>
      </c>
      <c r="R9" s="5">
        <f>'Quang Nghia'!AH52</f>
        <v>0</v>
      </c>
      <c r="S9" s="5">
        <f>'Quang Nghia'!AH63</f>
        <v>0</v>
      </c>
      <c r="T9" s="5">
        <f>'PHỤ LUC HT'!E55</f>
        <v>0</v>
      </c>
      <c r="U9" s="5">
        <f t="shared" si="1"/>
        <v>3.33</v>
      </c>
      <c r="V9" s="42" t="s">
        <v>237</v>
      </c>
      <c r="W9" s="476" t="s">
        <v>746</v>
      </c>
      <c r="X9" s="260">
        <v>154.78</v>
      </c>
      <c r="Y9" s="260">
        <v>312.58</v>
      </c>
      <c r="Z9" s="260">
        <f>'Quang Nghia'!BN34</f>
        <v>218.91950000000006</v>
      </c>
      <c r="AA9" s="260">
        <f t="shared" si="3"/>
        <v>64.139500000000055</v>
      </c>
      <c r="AB9" s="260">
        <f t="shared" si="4"/>
        <v>-93.660499999999928</v>
      </c>
    </row>
    <row r="10" spans="1:28" ht="21" customHeight="1">
      <c r="A10" s="5" t="s">
        <v>238</v>
      </c>
      <c r="B10" s="476" t="s">
        <v>747</v>
      </c>
      <c r="C10" s="350">
        <f>'PHỤ LỤC PNN'!C133</f>
        <v>167.77500000000001</v>
      </c>
      <c r="D10" s="292">
        <f>'Hai Dong'!AE67</f>
        <v>10.58</v>
      </c>
      <c r="E10" s="292"/>
      <c r="F10" s="292"/>
      <c r="G10" s="292"/>
      <c r="H10" s="350">
        <f>'PHỤ LỤC PNN'!E133</f>
        <v>0.05</v>
      </c>
      <c r="I10" s="292">
        <f t="shared" si="0"/>
        <v>178.30500000000001</v>
      </c>
      <c r="J10" s="72" t="s">
        <v>379</v>
      </c>
      <c r="K10" s="5">
        <f>'PHỤ LUC HT'!C56</f>
        <v>3.77</v>
      </c>
      <c r="L10" s="5">
        <f t="shared" si="2"/>
        <v>0</v>
      </c>
      <c r="M10" s="5">
        <f>'Hai Dong'!AH12</f>
        <v>0</v>
      </c>
      <c r="N10" s="5">
        <f>'Hai Dong'!AH13</f>
        <v>0</v>
      </c>
      <c r="O10" s="5">
        <f>'Hai Dong'!AH17</f>
        <v>0</v>
      </c>
      <c r="P10" s="5">
        <f>'Hai Dong'!AH22</f>
        <v>0</v>
      </c>
      <c r="Q10" s="5">
        <f>'Hai Dong'!AH50</f>
        <v>0</v>
      </c>
      <c r="R10" s="5">
        <f>'Hai Dong'!AH52</f>
        <v>0</v>
      </c>
      <c r="S10" s="5">
        <f>'Hai Dong'!AH63</f>
        <v>0</v>
      </c>
      <c r="T10" s="5">
        <f>'PHỤ LUC HT'!E56</f>
        <v>0.03</v>
      </c>
      <c r="U10" s="5">
        <f t="shared" si="1"/>
        <v>3.74</v>
      </c>
      <c r="V10" s="42" t="s">
        <v>238</v>
      </c>
      <c r="W10" s="476" t="s">
        <v>747</v>
      </c>
      <c r="X10" s="260">
        <v>102.64</v>
      </c>
      <c r="Y10" s="260">
        <v>106.32</v>
      </c>
      <c r="Z10" s="260">
        <f>'Hai Dong'!BN34</f>
        <v>178.30500000000001</v>
      </c>
      <c r="AA10" s="260">
        <f t="shared" si="3"/>
        <v>75.665000000000006</v>
      </c>
      <c r="AB10" s="260">
        <f t="shared" si="4"/>
        <v>71.985000000000014</v>
      </c>
    </row>
    <row r="11" spans="1:28" ht="21" customHeight="1">
      <c r="A11" s="5" t="s">
        <v>239</v>
      </c>
      <c r="B11" s="476" t="s">
        <v>748</v>
      </c>
      <c r="C11" s="350">
        <f>'PHỤ LỤC PNN'!C134</f>
        <v>149.97999999999999</v>
      </c>
      <c r="D11" s="292">
        <f>'Hai Tien'!AE67</f>
        <v>14.080000000000002</v>
      </c>
      <c r="E11" s="292"/>
      <c r="F11" s="292"/>
      <c r="G11" s="292"/>
      <c r="H11" s="350">
        <f>'PHỤ LỤC PNN'!E134</f>
        <v>0.89999999999999991</v>
      </c>
      <c r="I11" s="292">
        <f t="shared" si="0"/>
        <v>163.16</v>
      </c>
      <c r="J11" s="72" t="s">
        <v>380</v>
      </c>
      <c r="K11" s="5">
        <f>'PHỤ LUC HT'!C57</f>
        <v>5.32</v>
      </c>
      <c r="L11" s="5">
        <f t="shared" si="2"/>
        <v>0</v>
      </c>
      <c r="M11" s="5">
        <f>'Hai Tien'!AH12</f>
        <v>0</v>
      </c>
      <c r="N11" s="5">
        <f>'Hai Tien'!AH13</f>
        <v>0</v>
      </c>
      <c r="O11" s="5">
        <f>'Hai Tien'!AH17</f>
        <v>0</v>
      </c>
      <c r="P11" s="5">
        <f>'Hai Tien'!AH22</f>
        <v>0</v>
      </c>
      <c r="Q11" s="5">
        <f>'Hai Tien'!AH50</f>
        <v>0</v>
      </c>
      <c r="R11" s="5">
        <f>'Hai Tien'!AH52</f>
        <v>0</v>
      </c>
      <c r="S11" s="5">
        <f>'Hai Tien'!AH63</f>
        <v>0</v>
      </c>
      <c r="T11" s="5">
        <f>'PHỤ LUC HT'!E57</f>
        <v>0.32</v>
      </c>
      <c r="U11" s="5">
        <f t="shared" si="1"/>
        <v>5</v>
      </c>
      <c r="V11" s="42" t="s">
        <v>239</v>
      </c>
      <c r="W11" s="476" t="s">
        <v>748</v>
      </c>
      <c r="X11" s="260">
        <v>43.64</v>
      </c>
      <c r="Y11" s="260">
        <v>64.97</v>
      </c>
      <c r="Z11" s="260">
        <f>'Hai Tien'!BN34</f>
        <v>163.15999999999997</v>
      </c>
      <c r="AA11" s="260">
        <f t="shared" si="3"/>
        <v>119.51999999999997</v>
      </c>
      <c r="AB11" s="260">
        <f t="shared" si="4"/>
        <v>98.189999999999969</v>
      </c>
    </row>
    <row r="12" spans="1:28" ht="21" customHeight="1">
      <c r="A12" s="5" t="s">
        <v>240</v>
      </c>
      <c r="B12" s="476" t="s">
        <v>749</v>
      </c>
      <c r="C12" s="350">
        <f>'PHỤ LỤC PNN'!C135</f>
        <v>158.82499999999999</v>
      </c>
      <c r="D12" s="292">
        <f>'Hai Xuan'!AE67</f>
        <v>10.37</v>
      </c>
      <c r="E12" s="292"/>
      <c r="F12" s="292"/>
      <c r="G12" s="292"/>
      <c r="H12" s="350">
        <f>'PHỤ LỤC PNN'!E135</f>
        <v>12.059999999999999</v>
      </c>
      <c r="I12" s="292">
        <f t="shared" si="0"/>
        <v>157.13499999999999</v>
      </c>
      <c r="J12" s="72" t="s">
        <v>381</v>
      </c>
      <c r="K12" s="5">
        <f>'PHỤ LUC HT'!C58</f>
        <v>3.56</v>
      </c>
      <c r="L12" s="5">
        <f t="shared" si="2"/>
        <v>0</v>
      </c>
      <c r="M12" s="5">
        <f>'Hai Xuan'!AH12</f>
        <v>0</v>
      </c>
      <c r="N12" s="5">
        <f>'Hai Xuan'!AH13</f>
        <v>0</v>
      </c>
      <c r="O12" s="5">
        <f>'Hai Xuan'!AH17</f>
        <v>0</v>
      </c>
      <c r="P12" s="5">
        <f>'Hai Xuan'!AH22</f>
        <v>0</v>
      </c>
      <c r="Q12" s="5">
        <f>'Hai Xuan'!AH50</f>
        <v>0</v>
      </c>
      <c r="R12" s="5">
        <f>'Hai Xuan'!AH52</f>
        <v>0</v>
      </c>
      <c r="S12" s="5">
        <f>'Hai Xuan'!AH63</f>
        <v>0</v>
      </c>
      <c r="T12" s="5">
        <f>'PHỤ LUC HT'!E58</f>
        <v>0.37</v>
      </c>
      <c r="U12" s="5">
        <f t="shared" si="1"/>
        <v>3.19</v>
      </c>
      <c r="V12" s="42" t="s">
        <v>240</v>
      </c>
      <c r="W12" s="476" t="s">
        <v>749</v>
      </c>
      <c r="X12" s="260">
        <v>77.22</v>
      </c>
      <c r="Y12" s="260">
        <v>84.48</v>
      </c>
      <c r="Z12" s="260">
        <f>'Hai Xuan'!BN34</f>
        <v>157.13499999999999</v>
      </c>
      <c r="AA12" s="260">
        <f t="shared" si="3"/>
        <v>79.914999999999992</v>
      </c>
      <c r="AB12" s="260">
        <f t="shared" si="4"/>
        <v>72.654999999999987</v>
      </c>
    </row>
    <row r="13" spans="1:28" ht="21" customHeight="1">
      <c r="A13" s="5" t="s">
        <v>241</v>
      </c>
      <c r="B13" s="476" t="s">
        <v>750</v>
      </c>
      <c r="C13" s="350">
        <f>'PHỤ LỤC PNN'!C136</f>
        <v>157.42999999999998</v>
      </c>
      <c r="D13" s="292">
        <f>'Van Ninh'!AE68</f>
        <v>18.169999999999998</v>
      </c>
      <c r="E13" s="292"/>
      <c r="F13" s="292"/>
      <c r="G13" s="292"/>
      <c r="H13" s="350">
        <f>'PHỤ LỤC PNN'!E136</f>
        <v>6.68</v>
      </c>
      <c r="I13" s="292">
        <f t="shared" si="0"/>
        <v>168.91999999999996</v>
      </c>
      <c r="J13" s="72" t="s">
        <v>382</v>
      </c>
      <c r="K13" s="5">
        <f>'PHỤ LUC HT'!C59</f>
        <v>3.81</v>
      </c>
      <c r="L13" s="5">
        <f t="shared" si="2"/>
        <v>0</v>
      </c>
      <c r="M13" s="5">
        <f>'Van Ninh'!AH12</f>
        <v>0</v>
      </c>
      <c r="N13" s="5">
        <f>'Van Ninh'!AH13</f>
        <v>0</v>
      </c>
      <c r="O13" s="5">
        <f>'Van Ninh'!AH17</f>
        <v>0</v>
      </c>
      <c r="P13" s="5">
        <f>'Van Ninh'!AH22</f>
        <v>0</v>
      </c>
      <c r="Q13" s="5">
        <f>'Van Ninh'!AH50</f>
        <v>0</v>
      </c>
      <c r="R13" s="5">
        <f>'Van Ninh'!AH52</f>
        <v>0</v>
      </c>
      <c r="S13" s="5">
        <f>'Van Ninh'!AH63</f>
        <v>0</v>
      </c>
      <c r="T13" s="5">
        <f>'PHỤ LUC HT'!E59</f>
        <v>0.15</v>
      </c>
      <c r="U13" s="5">
        <f t="shared" si="1"/>
        <v>3.66</v>
      </c>
      <c r="V13" s="42" t="s">
        <v>241</v>
      </c>
      <c r="W13" s="476" t="s">
        <v>750</v>
      </c>
      <c r="X13" s="260">
        <v>23.95</v>
      </c>
      <c r="Y13" s="260">
        <v>62.89</v>
      </c>
      <c r="Z13" s="260">
        <f>'Van Ninh'!BN34</f>
        <v>168.92</v>
      </c>
      <c r="AA13" s="260">
        <f t="shared" si="3"/>
        <v>144.97</v>
      </c>
      <c r="AB13" s="260">
        <f t="shared" si="4"/>
        <v>106.02999999999999</v>
      </c>
    </row>
    <row r="14" spans="1:28" ht="21" customHeight="1">
      <c r="A14" s="5" t="s">
        <v>242</v>
      </c>
      <c r="B14" s="476" t="s">
        <v>751</v>
      </c>
      <c r="C14" s="350">
        <f>'PHỤ LỤC PNN'!C137</f>
        <v>74.799499999999995</v>
      </c>
      <c r="D14" s="292">
        <f>'Vinh Trung'!AE68</f>
        <v>0.42</v>
      </c>
      <c r="E14" s="292"/>
      <c r="F14" s="292"/>
      <c r="G14" s="292"/>
      <c r="H14" s="350">
        <f>'PHỤ LỤC PNN'!E137</f>
        <v>0</v>
      </c>
      <c r="I14" s="292">
        <f t="shared" si="0"/>
        <v>75.219499999999996</v>
      </c>
      <c r="J14" s="72" t="s">
        <v>383</v>
      </c>
      <c r="K14" s="5">
        <f>'PHỤ LUC HT'!C60</f>
        <v>1.37</v>
      </c>
      <c r="L14" s="5">
        <f t="shared" si="2"/>
        <v>0</v>
      </c>
      <c r="M14" s="5">
        <f>'Vinh Trung'!AH12</f>
        <v>0</v>
      </c>
      <c r="N14" s="5">
        <f>'Vinh Trung'!AH13</f>
        <v>0</v>
      </c>
      <c r="O14" s="5">
        <f>'Vinh Trung'!AH17</f>
        <v>0</v>
      </c>
      <c r="P14" s="5">
        <f>'Vinh Trung'!AH22</f>
        <v>0</v>
      </c>
      <c r="Q14" s="5">
        <f>'Vinh Trung'!AH50</f>
        <v>0</v>
      </c>
      <c r="R14" s="5">
        <f>'Vinh Trung'!AH52</f>
        <v>0</v>
      </c>
      <c r="S14" s="5">
        <f>'Vinh Trung'!AH63</f>
        <v>0</v>
      </c>
      <c r="T14" s="5">
        <f>'PHỤ LUC HT'!E60</f>
        <v>0</v>
      </c>
      <c r="U14" s="5">
        <f t="shared" si="1"/>
        <v>1.37</v>
      </c>
      <c r="V14" s="42" t="s">
        <v>242</v>
      </c>
      <c r="W14" s="476" t="s">
        <v>751</v>
      </c>
      <c r="X14" s="260">
        <v>45.59</v>
      </c>
      <c r="Y14" s="260">
        <v>68.63</v>
      </c>
      <c r="Z14" s="260">
        <f>'Vinh Trung'!BN34</f>
        <v>75.219499999999996</v>
      </c>
      <c r="AA14" s="260">
        <f t="shared" si="3"/>
        <v>29.629499999999993</v>
      </c>
      <c r="AB14" s="260">
        <f t="shared" si="4"/>
        <v>6.589500000000001</v>
      </c>
    </row>
    <row r="15" spans="1:28" ht="21" customHeight="1">
      <c r="A15" s="5" t="s">
        <v>243</v>
      </c>
      <c r="B15" s="476" t="s">
        <v>752</v>
      </c>
      <c r="C15" s="350">
        <f>'PHỤ LỤC PNN'!C138</f>
        <v>86.71</v>
      </c>
      <c r="D15" s="292">
        <f>'Vinh Thuc'!AE67</f>
        <v>0.55000000000000004</v>
      </c>
      <c r="E15" s="292"/>
      <c r="F15" s="292"/>
      <c r="G15" s="292"/>
      <c r="H15" s="350">
        <f>'PHỤ LỤC PNN'!E138</f>
        <v>2.77</v>
      </c>
      <c r="I15" s="292">
        <f t="shared" si="0"/>
        <v>84.49</v>
      </c>
      <c r="J15" s="72" t="s">
        <v>384</v>
      </c>
      <c r="K15" s="5">
        <f>'PHỤ LUC HT'!C61</f>
        <v>1.74</v>
      </c>
      <c r="L15" s="5">
        <f t="shared" si="2"/>
        <v>0</v>
      </c>
      <c r="M15" s="5">
        <f>'Vinh Thuc'!AH12</f>
        <v>0</v>
      </c>
      <c r="N15" s="5">
        <f>'Vinh Thuc'!AH13</f>
        <v>0</v>
      </c>
      <c r="O15" s="5">
        <f>'Vinh Thuc'!AH17</f>
        <v>0</v>
      </c>
      <c r="P15" s="5">
        <f>'Vinh Thuc'!AH22</f>
        <v>0</v>
      </c>
      <c r="Q15" s="5">
        <f>'Vinh Thuc'!AH50</f>
        <v>0</v>
      </c>
      <c r="R15" s="5">
        <f>'Vinh Thuc'!AH52</f>
        <v>0</v>
      </c>
      <c r="S15" s="5">
        <f>'Vinh Thuc'!AH63</f>
        <v>0</v>
      </c>
      <c r="T15" s="5">
        <f>'PHỤ LUC HT'!E61</f>
        <v>0</v>
      </c>
      <c r="U15" s="5">
        <f t="shared" si="1"/>
        <v>1.74</v>
      </c>
      <c r="V15" s="42" t="s">
        <v>243</v>
      </c>
      <c r="W15" s="476" t="s">
        <v>752</v>
      </c>
      <c r="X15" s="260">
        <v>88.04</v>
      </c>
      <c r="Y15" s="260">
        <v>115.88</v>
      </c>
      <c r="Z15" s="260">
        <f>'Vinh Thuc'!BN34</f>
        <v>84.49</v>
      </c>
      <c r="AA15" s="260">
        <f t="shared" si="3"/>
        <v>-3.5500000000000114</v>
      </c>
      <c r="AB15" s="260">
        <f t="shared" si="4"/>
        <v>-31.39</v>
      </c>
    </row>
    <row r="16" spans="1:28" ht="21" customHeight="1">
      <c r="A16" s="5" t="s">
        <v>244</v>
      </c>
      <c r="B16" s="476" t="s">
        <v>753</v>
      </c>
      <c r="C16" s="350">
        <f>'PHỤ LỤC PNN'!C139</f>
        <v>245.72519999999997</v>
      </c>
      <c r="D16" s="292">
        <f>'Hai Yen'!AE68</f>
        <v>48.47</v>
      </c>
      <c r="E16" s="292"/>
      <c r="F16" s="292"/>
      <c r="G16" s="292"/>
      <c r="H16" s="350">
        <f>'PHỤ LỤC PNN'!E139</f>
        <v>3.5200000000000005</v>
      </c>
      <c r="I16" s="292">
        <f t="shared" si="0"/>
        <v>290.67520000000002</v>
      </c>
      <c r="J16" s="72" t="s">
        <v>385</v>
      </c>
      <c r="K16" s="5">
        <f>'PHỤ LUC HT'!C62</f>
        <v>14.77</v>
      </c>
      <c r="L16" s="5">
        <f t="shared" si="2"/>
        <v>4.1500000000000004</v>
      </c>
      <c r="M16" s="5">
        <f>'Hai Yen'!AH12</f>
        <v>0.01</v>
      </c>
      <c r="N16" s="5">
        <f>'Hai Yen'!AH13</f>
        <v>0</v>
      </c>
      <c r="O16" s="5">
        <f>'Hai Yen'!AH17</f>
        <v>1.6</v>
      </c>
      <c r="P16" s="5">
        <f>'Hai Yen'!AH22</f>
        <v>0.36</v>
      </c>
      <c r="Q16" s="5">
        <f>'Hai Yen'!AH50</f>
        <v>0.1</v>
      </c>
      <c r="R16" s="5">
        <f>'Hai Yen'!AH52</f>
        <v>0</v>
      </c>
      <c r="S16" s="5">
        <f>'Hai Yen'!AH63</f>
        <v>2.08</v>
      </c>
      <c r="T16" s="5">
        <f>'PHỤ LUC HT'!E62</f>
        <v>0.05</v>
      </c>
      <c r="U16" s="5">
        <f t="shared" si="1"/>
        <v>18.87</v>
      </c>
      <c r="V16" s="42" t="s">
        <v>244</v>
      </c>
      <c r="W16" s="476" t="s">
        <v>753</v>
      </c>
      <c r="X16" s="260">
        <v>30.9</v>
      </c>
      <c r="Y16" s="260">
        <v>52.78</v>
      </c>
      <c r="Z16" s="260">
        <f>'Hai Yen'!BN34</f>
        <v>290.67519999999996</v>
      </c>
      <c r="AA16" s="260">
        <f t="shared" si="3"/>
        <v>259.77519999999998</v>
      </c>
      <c r="AB16" s="260">
        <f t="shared" si="4"/>
        <v>237.89519999999996</v>
      </c>
    </row>
    <row r="17" spans="1:28" ht="21" customHeight="1">
      <c r="A17" s="5" t="s">
        <v>245</v>
      </c>
      <c r="B17" s="476" t="s">
        <v>754</v>
      </c>
      <c r="C17" s="350">
        <f>'PHỤ LỤC PNN'!C140</f>
        <v>60.747900000000001</v>
      </c>
      <c r="D17" s="292">
        <f>'Ka Long'!AE67</f>
        <v>0</v>
      </c>
      <c r="E17" s="292"/>
      <c r="F17" s="292"/>
      <c r="G17" s="292"/>
      <c r="H17" s="350">
        <f>'PHỤ LỤC PNN'!E140</f>
        <v>0</v>
      </c>
      <c r="I17" s="292">
        <f t="shared" si="0"/>
        <v>60.747900000000001</v>
      </c>
      <c r="J17" s="72" t="s">
        <v>386</v>
      </c>
      <c r="K17" s="5">
        <f>'PHỤ LUC HT'!C63</f>
        <v>5.71</v>
      </c>
      <c r="L17" s="5">
        <f t="shared" si="2"/>
        <v>0</v>
      </c>
      <c r="M17" s="5">
        <f>'Ka Long'!AH12</f>
        <v>0</v>
      </c>
      <c r="N17" s="5">
        <f>'Ka Long'!AH13</f>
        <v>0</v>
      </c>
      <c r="O17" s="5">
        <f>'Ka Long'!AH17</f>
        <v>0</v>
      </c>
      <c r="P17" s="5">
        <f>'Ka Long'!AH22</f>
        <v>0</v>
      </c>
      <c r="Q17" s="5">
        <f>'Ka Long'!AH50</f>
        <v>0</v>
      </c>
      <c r="R17" s="5">
        <f>'Ka Long'!AH52</f>
        <v>0</v>
      </c>
      <c r="S17" s="5">
        <f>'Ka Long'!AH63</f>
        <v>0</v>
      </c>
      <c r="T17" s="5">
        <f>'PHỤ LUC HT'!E63</f>
        <v>0</v>
      </c>
      <c r="U17" s="5">
        <f t="shared" si="1"/>
        <v>5.71</v>
      </c>
      <c r="V17" s="42" t="s">
        <v>245</v>
      </c>
      <c r="W17" s="476" t="s">
        <v>754</v>
      </c>
      <c r="X17" s="260">
        <v>24.81</v>
      </c>
      <c r="Y17" s="260">
        <v>49.52</v>
      </c>
      <c r="Z17" s="260">
        <f>'Ka Long'!BN34</f>
        <v>60.747900000000001</v>
      </c>
      <c r="AA17" s="260">
        <f t="shared" si="3"/>
        <v>35.937899999999999</v>
      </c>
      <c r="AB17" s="260">
        <f t="shared" si="4"/>
        <v>11.227899999999998</v>
      </c>
    </row>
    <row r="18" spans="1:28" ht="21" customHeight="1">
      <c r="A18" s="5" t="s">
        <v>246</v>
      </c>
      <c r="B18" s="476" t="s">
        <v>755</v>
      </c>
      <c r="C18" s="350">
        <f>'PHỤ LỤC PNN'!C141</f>
        <v>120.88280000000003</v>
      </c>
      <c r="D18" s="292">
        <f>'Ninh Duong'!AE67</f>
        <v>16.860000000000003</v>
      </c>
      <c r="E18" s="292"/>
      <c r="F18" s="292"/>
      <c r="G18" s="292"/>
      <c r="H18" s="350">
        <f>'PHỤ LỤC PNN'!E141</f>
        <v>0.69000000000000006</v>
      </c>
      <c r="I18" s="292">
        <f t="shared" si="0"/>
        <v>137.05280000000005</v>
      </c>
      <c r="J18" s="72" t="s">
        <v>387</v>
      </c>
      <c r="K18" s="5">
        <f>'PHỤ LUC HT'!C64</f>
        <v>7.7</v>
      </c>
      <c r="L18" s="5">
        <f t="shared" si="2"/>
        <v>0.59000000000000008</v>
      </c>
      <c r="M18" s="5">
        <f>'Ninh Duong'!AH12</f>
        <v>0.31</v>
      </c>
      <c r="N18" s="5">
        <f>'Ninh Duong'!AH13</f>
        <v>0.26</v>
      </c>
      <c r="O18" s="5">
        <f>'Ninh Duong'!AH17</f>
        <v>0.02</v>
      </c>
      <c r="P18" s="5">
        <f>'Ninh Duong'!AH22</f>
        <v>0</v>
      </c>
      <c r="Q18" s="5">
        <f>'Ninh Duong'!AH50</f>
        <v>0</v>
      </c>
      <c r="R18" s="5">
        <f>'Ninh Duong'!AH52</f>
        <v>0</v>
      </c>
      <c r="S18" s="5">
        <f>'Ninh Duong'!AH63</f>
        <v>0</v>
      </c>
      <c r="T18" s="5">
        <f>'PHỤ LUC HT'!E64</f>
        <v>0.45</v>
      </c>
      <c r="U18" s="5">
        <f t="shared" si="1"/>
        <v>7.8400000000000007</v>
      </c>
      <c r="V18" s="42" t="s">
        <v>246</v>
      </c>
      <c r="W18" s="476" t="s">
        <v>755</v>
      </c>
      <c r="X18" s="260">
        <v>94.44</v>
      </c>
      <c r="Y18" s="260">
        <v>118.43</v>
      </c>
      <c r="Z18" s="260">
        <f>'Ninh Duong'!BN34</f>
        <v>137.05279999999999</v>
      </c>
      <c r="AA18" s="260">
        <f t="shared" si="3"/>
        <v>42.612799999999993</v>
      </c>
      <c r="AB18" s="260">
        <f t="shared" si="4"/>
        <v>18.622799999999984</v>
      </c>
    </row>
    <row r="19" spans="1:28" ht="21" customHeight="1">
      <c r="A19" s="5" t="s">
        <v>247</v>
      </c>
      <c r="B19" s="476" t="s">
        <v>756</v>
      </c>
      <c r="C19" s="350">
        <f>'PHỤ LỤC PNN'!C142</f>
        <v>29.960000000000004</v>
      </c>
      <c r="D19" s="292">
        <f>'Hoa Lac'!AE67</f>
        <v>0</v>
      </c>
      <c r="E19" s="292"/>
      <c r="F19" s="292"/>
      <c r="G19" s="292"/>
      <c r="H19" s="350">
        <f>'PHỤ LỤC PNN'!E142</f>
        <v>0</v>
      </c>
      <c r="I19" s="292">
        <f t="shared" si="0"/>
        <v>29.960000000000004</v>
      </c>
      <c r="J19" s="72" t="s">
        <v>388</v>
      </c>
      <c r="K19" s="5">
        <f>'PHỤ LUC HT'!C65</f>
        <v>1.95</v>
      </c>
      <c r="L19" s="5">
        <f t="shared" si="2"/>
        <v>0</v>
      </c>
      <c r="M19" s="5">
        <f>'Hoa Lac'!AH12</f>
        <v>0</v>
      </c>
      <c r="N19" s="5">
        <f>'Hoa Lac'!AH13</f>
        <v>0</v>
      </c>
      <c r="O19" s="5">
        <f>'Hoa Lac'!AH17</f>
        <v>0</v>
      </c>
      <c r="P19" s="5">
        <f>'Hoa Lac'!AH22</f>
        <v>0</v>
      </c>
      <c r="Q19" s="5">
        <f>'Hoa Lac'!AH50</f>
        <v>0</v>
      </c>
      <c r="R19" s="5">
        <f>'Hoa Lac'!AH52</f>
        <v>0</v>
      </c>
      <c r="S19" s="5">
        <f>'Hoa Lac'!AH63</f>
        <v>0</v>
      </c>
      <c r="T19" s="5">
        <f>'PHỤ LUC HT'!E65</f>
        <v>0</v>
      </c>
      <c r="U19" s="5">
        <f t="shared" si="1"/>
        <v>1.95</v>
      </c>
      <c r="V19" s="42" t="s">
        <v>247</v>
      </c>
      <c r="W19" s="476" t="s">
        <v>756</v>
      </c>
      <c r="X19" s="260">
        <v>73.78</v>
      </c>
      <c r="Y19" s="260">
        <v>96.82</v>
      </c>
      <c r="Z19" s="260">
        <f>'Hoa Lac'!BN34</f>
        <v>29.960000000000004</v>
      </c>
      <c r="AA19" s="260">
        <f t="shared" si="3"/>
        <v>-43.819999999999993</v>
      </c>
      <c r="AB19" s="260">
        <f t="shared" si="4"/>
        <v>-66.859999999999985</v>
      </c>
    </row>
    <row r="20" spans="1:28" ht="21" customHeight="1">
      <c r="A20" s="5" t="s">
        <v>248</v>
      </c>
      <c r="B20" s="476" t="s">
        <v>757</v>
      </c>
      <c r="C20" s="350">
        <f>'PHỤ LỤC PNN'!C143</f>
        <v>39.74</v>
      </c>
      <c r="D20" s="292">
        <f>'Tran Phu'!AE67</f>
        <v>0.04</v>
      </c>
      <c r="E20" s="292"/>
      <c r="F20" s="292"/>
      <c r="G20" s="292"/>
      <c r="H20" s="350">
        <f>'PHỤ LỤC PNN'!E143</f>
        <v>0.04</v>
      </c>
      <c r="I20" s="292">
        <f t="shared" si="0"/>
        <v>39.74</v>
      </c>
      <c r="J20" s="72" t="s">
        <v>389</v>
      </c>
      <c r="K20" s="5">
        <f>'PHỤ LUC HT'!C66</f>
        <v>3.36</v>
      </c>
      <c r="L20" s="5">
        <f t="shared" si="2"/>
        <v>0</v>
      </c>
      <c r="M20" s="5">
        <f>'Tran Phu'!AH12</f>
        <v>0</v>
      </c>
      <c r="N20" s="5">
        <f>'Tran Phu'!AH13</f>
        <v>0</v>
      </c>
      <c r="O20" s="5">
        <f>'Tran Phu'!AH17</f>
        <v>0</v>
      </c>
      <c r="P20" s="5">
        <f>'Tran Phu'!AH22</f>
        <v>0</v>
      </c>
      <c r="Q20" s="5">
        <f>'Tran Phu'!AH50</f>
        <v>0</v>
      </c>
      <c r="R20" s="5">
        <f>'Tran Phu'!AH52</f>
        <v>0</v>
      </c>
      <c r="S20" s="5">
        <f>'Tran Phu'!AH63</f>
        <v>0</v>
      </c>
      <c r="T20" s="5">
        <f>'PHỤ LUC HT'!E66</f>
        <v>0</v>
      </c>
      <c r="U20" s="5">
        <f t="shared" si="1"/>
        <v>3.36</v>
      </c>
      <c r="V20" s="42" t="s">
        <v>248</v>
      </c>
      <c r="W20" s="476" t="s">
        <v>757</v>
      </c>
      <c r="X20" s="260">
        <v>41.77</v>
      </c>
      <c r="Y20" s="260">
        <v>460.86</v>
      </c>
      <c r="Z20" s="260">
        <f>'Tran Phu'!BN34</f>
        <v>39.74</v>
      </c>
      <c r="AA20" s="260">
        <f t="shared" si="3"/>
        <v>-2.0300000000000011</v>
      </c>
      <c r="AB20" s="260">
        <f t="shared" si="4"/>
        <v>-421.12</v>
      </c>
    </row>
    <row r="21" spans="1:28" ht="21" customHeight="1">
      <c r="A21" s="5" t="s">
        <v>249</v>
      </c>
      <c r="B21" s="476" t="s">
        <v>758</v>
      </c>
      <c r="C21" s="350">
        <f>'PHỤ LỤC PNN'!C144</f>
        <v>222.68</v>
      </c>
      <c r="D21" s="292">
        <f>'Hai Hoa'!AE67</f>
        <v>79.62</v>
      </c>
      <c r="E21" s="292"/>
      <c r="F21" s="292"/>
      <c r="G21" s="292"/>
      <c r="H21" s="350">
        <f>'PHỤ LỤC PNN'!E144</f>
        <v>21.740000000000002</v>
      </c>
      <c r="I21" s="292">
        <f t="shared" si="0"/>
        <v>280.56</v>
      </c>
      <c r="J21" s="72" t="s">
        <v>390</v>
      </c>
      <c r="K21" s="5">
        <f>'PHỤ LUC HT'!C67</f>
        <v>6.17</v>
      </c>
      <c r="L21" s="5">
        <f t="shared" si="2"/>
        <v>0</v>
      </c>
      <c r="M21" s="5">
        <f>'Hai Hoa'!AH12</f>
        <v>0</v>
      </c>
      <c r="N21" s="5">
        <f>'Hai Hoa'!AH13</f>
        <v>0</v>
      </c>
      <c r="O21" s="5">
        <f>'Hai Hoa'!AH17</f>
        <v>0</v>
      </c>
      <c r="P21" s="5">
        <f>'Hai Hoa'!AH22</f>
        <v>0</v>
      </c>
      <c r="Q21" s="5">
        <f>'Hai Hoa'!AH50</f>
        <v>0</v>
      </c>
      <c r="R21" s="5">
        <f>'Hai Hoa'!AH52</f>
        <v>0</v>
      </c>
      <c r="S21" s="5">
        <f>'Hai Hoa'!AH63</f>
        <v>0</v>
      </c>
      <c r="T21" s="5">
        <f>'PHỤ LUC HT'!E67</f>
        <v>0</v>
      </c>
      <c r="U21" s="5">
        <f t="shared" si="1"/>
        <v>6.17</v>
      </c>
      <c r="V21" s="42" t="s">
        <v>249</v>
      </c>
      <c r="W21" s="476" t="s">
        <v>758</v>
      </c>
      <c r="X21" s="260">
        <v>65.73</v>
      </c>
      <c r="Y21" s="260">
        <v>72.05</v>
      </c>
      <c r="Z21" s="260">
        <f>'Hai Hoa'!BN34</f>
        <v>280.55999999999995</v>
      </c>
      <c r="AA21" s="260">
        <f t="shared" si="3"/>
        <v>214.82999999999993</v>
      </c>
      <c r="AB21" s="260">
        <f t="shared" si="4"/>
        <v>208.50999999999993</v>
      </c>
    </row>
    <row r="22" spans="1:28" ht="21" customHeight="1">
      <c r="A22" s="5" t="s">
        <v>250</v>
      </c>
      <c r="B22" s="476" t="s">
        <v>759</v>
      </c>
      <c r="C22" s="350">
        <f>'PHỤ LỤC PNN'!C145</f>
        <v>164.6095</v>
      </c>
      <c r="D22" s="292">
        <f>'Tra Co'!AE67</f>
        <v>3.7</v>
      </c>
      <c r="E22" s="292"/>
      <c r="F22" s="292"/>
      <c r="G22" s="292"/>
      <c r="H22" s="350">
        <f>'PHỤ LỤC PNN'!E145</f>
        <v>0.22000000000000003</v>
      </c>
      <c r="I22" s="292">
        <f t="shared" si="0"/>
        <v>168.08949999999999</v>
      </c>
      <c r="J22" s="72" t="s">
        <v>391</v>
      </c>
      <c r="K22" s="5">
        <f>'PHỤ LUC HT'!C68</f>
        <v>2.5499999999999998</v>
      </c>
      <c r="L22" s="5">
        <f t="shared" si="2"/>
        <v>0</v>
      </c>
      <c r="M22" s="5">
        <f>'Tra Co'!AH12</f>
        <v>0</v>
      </c>
      <c r="N22" s="5">
        <f>'Tra Co'!AH13</f>
        <v>0</v>
      </c>
      <c r="O22" s="5">
        <f>'Tra Co'!AH17</f>
        <v>0</v>
      </c>
      <c r="P22" s="5">
        <f>'Tra Co'!AH22</f>
        <v>0</v>
      </c>
      <c r="Q22" s="5">
        <f>'Tra Co'!AH50</f>
        <v>0</v>
      </c>
      <c r="R22" s="5">
        <f>'Tra Co'!AH52</f>
        <v>0</v>
      </c>
      <c r="S22" s="5">
        <f>'Tra Co'!AH63</f>
        <v>0</v>
      </c>
      <c r="T22" s="5">
        <f>'PHỤ LUC HT'!E68</f>
        <v>0.05</v>
      </c>
      <c r="U22" s="5">
        <f t="shared" si="1"/>
        <v>2.5</v>
      </c>
      <c r="V22" s="42" t="s">
        <v>250</v>
      </c>
      <c r="W22" s="476" t="s">
        <v>759</v>
      </c>
      <c r="X22" s="260">
        <v>25.78</v>
      </c>
      <c r="Y22" s="260">
        <v>34.58</v>
      </c>
      <c r="Z22" s="260">
        <f>'Tra Co'!BN34</f>
        <v>168.08949999999999</v>
      </c>
      <c r="AA22" s="260">
        <f t="shared" si="3"/>
        <v>142.30949999999999</v>
      </c>
      <c r="AB22" s="260">
        <f t="shared" si="4"/>
        <v>133.5095</v>
      </c>
    </row>
    <row r="23" spans="1:28" ht="21" customHeight="1">
      <c r="A23" s="5" t="s">
        <v>251</v>
      </c>
      <c r="B23" s="476" t="s">
        <v>760</v>
      </c>
      <c r="C23" s="350">
        <f>'PHỤ LỤC PNN'!C146</f>
        <v>117.68999999999998</v>
      </c>
      <c r="D23" s="292">
        <f>'Binh Ngoc'!AE67</f>
        <v>1.34</v>
      </c>
      <c r="E23" s="292"/>
      <c r="F23" s="292"/>
      <c r="G23" s="292"/>
      <c r="H23" s="350">
        <f>'PHỤ LỤC PNN'!E146</f>
        <v>0.24</v>
      </c>
      <c r="I23" s="292">
        <f t="shared" si="0"/>
        <v>118.78999999999999</v>
      </c>
      <c r="J23" s="72" t="s">
        <v>392</v>
      </c>
      <c r="K23" s="5">
        <f>'PHỤ LUC HT'!C69</f>
        <v>2.4300000000000002</v>
      </c>
      <c r="L23" s="5">
        <f t="shared" si="2"/>
        <v>1.34</v>
      </c>
      <c r="M23" s="5">
        <f>'Binh Ngoc'!AH12</f>
        <v>0</v>
      </c>
      <c r="N23" s="5">
        <f>'Binh Ngoc'!AH13</f>
        <v>0.02</v>
      </c>
      <c r="O23" s="5">
        <f>'Binh Ngoc'!AH17</f>
        <v>0</v>
      </c>
      <c r="P23" s="5">
        <f>'Binh Ngoc'!AH22</f>
        <v>0</v>
      </c>
      <c r="Q23" s="5">
        <f>'Binh Ngoc'!AH50</f>
        <v>0</v>
      </c>
      <c r="R23" s="5">
        <f>'Binh Ngoc'!AH52</f>
        <v>0</v>
      </c>
      <c r="S23" s="5">
        <f>'Binh Ngoc'!AH63</f>
        <v>1.32</v>
      </c>
      <c r="T23" s="5">
        <f>'PHỤ LUC HT'!E69</f>
        <v>0.24</v>
      </c>
      <c r="U23" s="5">
        <f t="shared" si="1"/>
        <v>3.5300000000000002</v>
      </c>
      <c r="V23" s="42" t="s">
        <v>251</v>
      </c>
      <c r="W23" s="476" t="s">
        <v>760</v>
      </c>
      <c r="X23" s="261">
        <v>79.150000000000006</v>
      </c>
      <c r="Y23" s="260">
        <v>101.47</v>
      </c>
      <c r="Z23" s="260">
        <f>'Binh Ngoc'!BN34</f>
        <v>118.79</v>
      </c>
      <c r="AA23" s="260">
        <f t="shared" si="3"/>
        <v>39.64</v>
      </c>
      <c r="AB23" s="260">
        <f t="shared" si="4"/>
        <v>17.320000000000007</v>
      </c>
    </row>
    <row r="24" spans="1:28" ht="27" customHeight="1">
      <c r="A24" s="355"/>
      <c r="B24" s="355" t="s">
        <v>370</v>
      </c>
      <c r="C24" s="269">
        <f t="shared" ref="C24:I24" si="5">SUM(C7:C23)</f>
        <v>2144.3125000000005</v>
      </c>
      <c r="D24" s="269">
        <f t="shared" si="5"/>
        <v>234.39000000000001</v>
      </c>
      <c r="E24" s="269">
        <f t="shared" si="5"/>
        <v>0</v>
      </c>
      <c r="F24" s="269">
        <f t="shared" si="5"/>
        <v>0</v>
      </c>
      <c r="G24" s="269">
        <f t="shared" si="5"/>
        <v>0</v>
      </c>
      <c r="H24" s="269">
        <f t="shared" si="5"/>
        <v>51.73</v>
      </c>
      <c r="I24" s="269">
        <f t="shared" si="5"/>
        <v>2326.9724999999999</v>
      </c>
      <c r="J24" s="355" t="s">
        <v>370</v>
      </c>
      <c r="K24" s="75">
        <f t="shared" ref="K24:U24" si="6">SUM(K7:K23)</f>
        <v>71.976210000000009</v>
      </c>
      <c r="L24" s="355">
        <f t="shared" si="6"/>
        <v>6.08</v>
      </c>
      <c r="M24" s="355">
        <f t="shared" si="6"/>
        <v>0.32</v>
      </c>
      <c r="N24" s="355">
        <f t="shared" si="6"/>
        <v>0.28000000000000003</v>
      </c>
      <c r="O24" s="355">
        <f t="shared" si="6"/>
        <v>1.62</v>
      </c>
      <c r="P24" s="355">
        <f t="shared" si="6"/>
        <v>0.36</v>
      </c>
      <c r="Q24" s="355">
        <f t="shared" si="6"/>
        <v>0.1</v>
      </c>
      <c r="R24" s="355">
        <f t="shared" si="6"/>
        <v>0</v>
      </c>
      <c r="S24" s="355">
        <f t="shared" si="6"/>
        <v>3.4000000000000004</v>
      </c>
      <c r="T24" s="355">
        <f t="shared" si="6"/>
        <v>2.1800000000000002</v>
      </c>
      <c r="U24" s="355">
        <f t="shared" si="6"/>
        <v>75.87621</v>
      </c>
      <c r="V24" s="356"/>
      <c r="W24" s="356" t="s">
        <v>370</v>
      </c>
      <c r="X24" s="357">
        <f>SUM(X7:X23)</f>
        <v>1169.44</v>
      </c>
      <c r="Y24" s="262">
        <f>SUM(Y7:Y23)</f>
        <v>2070.3799999999997</v>
      </c>
      <c r="Z24" s="357">
        <f>SUM(Z7:Z23)</f>
        <v>2326.9724999999999</v>
      </c>
      <c r="AA24" s="357">
        <f>SUM(AA7:AA23)</f>
        <v>1157.5325000000003</v>
      </c>
      <c r="AB24" s="357">
        <f>SUM(AB7:AB23)</f>
        <v>256.59249999999986</v>
      </c>
    </row>
    <row r="25" spans="1:28" ht="15.75" hidden="1">
      <c r="I25" s="74">
        <f>'TONG TP'!AE69</f>
        <v>2326.9724999999994</v>
      </c>
      <c r="U25" s="74">
        <f>'TONG TP'!BN37</f>
        <v>76.456210000000013</v>
      </c>
      <c r="Z25" s="354">
        <f>'TONG TP'!BN34</f>
        <v>2326.9724999999994</v>
      </c>
    </row>
    <row r="26" spans="1:28">
      <c r="I26" s="354">
        <f>I24-I25</f>
        <v>0</v>
      </c>
    </row>
    <row r="27" spans="1:28">
      <c r="C27" s="177">
        <f>C24-H24</f>
        <v>2092.5825000000004</v>
      </c>
    </row>
    <row r="28" spans="1:28">
      <c r="I28" s="354">
        <f>'TONG TP'!BN34</f>
        <v>2326.9724999999994</v>
      </c>
    </row>
    <row r="29" spans="1:28">
      <c r="I29" s="177">
        <f>I24-I28</f>
        <v>0</v>
      </c>
    </row>
  </sheetData>
  <mergeCells count="27">
    <mergeCell ref="AA5:AA6"/>
    <mergeCell ref="AB5:AB6"/>
    <mergeCell ref="Y4:Y6"/>
    <mergeCell ref="Z4:Z6"/>
    <mergeCell ref="AA4:AB4"/>
    <mergeCell ref="J2:U2"/>
    <mergeCell ref="J3:U3"/>
    <mergeCell ref="T4:U4"/>
    <mergeCell ref="J5:J6"/>
    <mergeCell ref="K5:K6"/>
    <mergeCell ref="L5:L6"/>
    <mergeCell ref="M5:S5"/>
    <mergeCell ref="V4:V6"/>
    <mergeCell ref="W4:W6"/>
    <mergeCell ref="X4:X6"/>
    <mergeCell ref="T5:T6"/>
    <mergeCell ref="U5:U6"/>
    <mergeCell ref="A2:I2"/>
    <mergeCell ref="A3:I3"/>
    <mergeCell ref="H4:I4"/>
    <mergeCell ref="A5:A6"/>
    <mergeCell ref="B5:B6"/>
    <mergeCell ref="C5:C6"/>
    <mergeCell ref="D5:D6"/>
    <mergeCell ref="E5:G5"/>
    <mergeCell ref="H5:H6"/>
    <mergeCell ref="I5:I6"/>
  </mergeCells>
  <printOptions horizontalCentered="1"/>
  <pageMargins left="1.05" right="0.2" top="0.25" bottom="0.25" header="0.3" footer="0.3"/>
  <pageSetup paperSize="9" scale="80"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filterMode="1"/>
  <dimension ref="A1:P30"/>
  <sheetViews>
    <sheetView showZeros="0" workbookViewId="0">
      <selection activeCell="A4" sqref="A4:I24"/>
    </sheetView>
  </sheetViews>
  <sheetFormatPr defaultRowHeight="12.75"/>
  <cols>
    <col min="1" max="1" width="6.7109375" customWidth="1"/>
    <col min="2" max="2" width="22.42578125" customWidth="1"/>
    <col min="3" max="3" width="10.42578125" customWidth="1"/>
    <col min="4" max="4" width="11.140625" customWidth="1"/>
    <col min="5" max="5" width="6.85546875" hidden="1" customWidth="1"/>
    <col min="6" max="6" width="6.140625" style="255" hidden="1" customWidth="1"/>
    <col min="7" max="7" width="6.42578125" style="389" hidden="1" customWidth="1"/>
    <col min="8" max="8" width="11.28515625" customWidth="1"/>
    <col min="9" max="9" width="12" customWidth="1"/>
    <col min="10" max="10" width="7.28515625" customWidth="1"/>
    <col min="11" max="11" width="21.140625" customWidth="1"/>
  </cols>
  <sheetData>
    <row r="1" spans="1:16" ht="21" customHeight="1">
      <c r="A1" s="342" t="s">
        <v>642</v>
      </c>
    </row>
    <row r="2" spans="1:16" ht="48.75" customHeight="1">
      <c r="A2" s="1420" t="s">
        <v>767</v>
      </c>
      <c r="B2" s="1420"/>
      <c r="C2" s="1420"/>
      <c r="D2" s="1420"/>
      <c r="E2" s="1420"/>
      <c r="F2" s="1420"/>
      <c r="G2" s="1420"/>
      <c r="H2" s="1420"/>
      <c r="I2" s="1420"/>
    </row>
    <row r="3" spans="1:16" ht="23.25" customHeight="1">
      <c r="H3" s="1278" t="s">
        <v>138</v>
      </c>
      <c r="I3" s="1278"/>
    </row>
    <row r="4" spans="1:16" ht="24" customHeight="1">
      <c r="A4" s="1280" t="s">
        <v>368</v>
      </c>
      <c r="B4" s="1280" t="s">
        <v>985</v>
      </c>
      <c r="C4" s="1280" t="s">
        <v>989</v>
      </c>
      <c r="D4" s="1280" t="s">
        <v>457</v>
      </c>
      <c r="E4" s="1404"/>
      <c r="F4" s="1404"/>
      <c r="G4" s="1379"/>
      <c r="H4" s="1280" t="s">
        <v>459</v>
      </c>
      <c r="I4" s="1280" t="s">
        <v>988</v>
      </c>
      <c r="J4" s="1301" t="s">
        <v>0</v>
      </c>
      <c r="K4" s="1301" t="s">
        <v>369</v>
      </c>
      <c r="L4" s="1301" t="s">
        <v>494</v>
      </c>
      <c r="M4" s="1391" t="s">
        <v>495</v>
      </c>
      <c r="N4" s="1391" t="s">
        <v>496</v>
      </c>
      <c r="O4" s="1390" t="s">
        <v>497</v>
      </c>
      <c r="P4" s="1390"/>
    </row>
    <row r="5" spans="1:16" ht="15" customHeight="1">
      <c r="A5" s="1280"/>
      <c r="B5" s="1280"/>
      <c r="C5" s="1280"/>
      <c r="D5" s="1280"/>
      <c r="E5" s="1301"/>
      <c r="F5" s="1408"/>
      <c r="G5" s="1408"/>
      <c r="H5" s="1280"/>
      <c r="I5" s="1280"/>
      <c r="J5" s="1301"/>
      <c r="K5" s="1301"/>
      <c r="L5" s="1301"/>
      <c r="M5" s="1391"/>
      <c r="N5" s="1391"/>
      <c r="O5" s="1301" t="s">
        <v>498</v>
      </c>
      <c r="P5" s="1301" t="s">
        <v>344</v>
      </c>
    </row>
    <row r="6" spans="1:16" ht="15" customHeight="1">
      <c r="A6" s="1280"/>
      <c r="B6" s="1280"/>
      <c r="C6" s="1280"/>
      <c r="D6" s="1280"/>
      <c r="E6" s="1301"/>
      <c r="F6" s="1413"/>
      <c r="G6" s="1413"/>
      <c r="H6" s="1280"/>
      <c r="I6" s="1280"/>
      <c r="J6" s="1301"/>
      <c r="K6" s="1301"/>
      <c r="L6" s="1301"/>
      <c r="M6" s="1391"/>
      <c r="N6" s="1391"/>
      <c r="O6" s="1301"/>
      <c r="P6" s="1301"/>
    </row>
    <row r="7" spans="1:16" ht="22.5" hidden="1" customHeight="1">
      <c r="A7" s="54" t="s">
        <v>235</v>
      </c>
      <c r="B7" s="475" t="s">
        <v>744</v>
      </c>
      <c r="C7" s="397">
        <f>'PHỤ LUC HT'!C5</f>
        <v>0</v>
      </c>
      <c r="D7" s="397">
        <f>'Bac Son'!AF67</f>
        <v>0</v>
      </c>
      <c r="E7" s="397"/>
      <c r="F7" s="350"/>
      <c r="G7" s="350"/>
      <c r="H7" s="397">
        <f>'PHỤ LUC HT'!E5</f>
        <v>0</v>
      </c>
      <c r="I7" s="397">
        <f t="shared" ref="I7:I23" si="0">C7+D7-H7</f>
        <v>0</v>
      </c>
      <c r="J7" s="41" t="s">
        <v>235</v>
      </c>
      <c r="K7" s="475" t="s">
        <v>744</v>
      </c>
      <c r="L7" s="270">
        <v>0.82</v>
      </c>
      <c r="M7" s="270">
        <v>10.62</v>
      </c>
      <c r="N7" s="270">
        <f>I7</f>
        <v>0</v>
      </c>
      <c r="O7" s="270">
        <f>N7-L7</f>
        <v>-0.82</v>
      </c>
      <c r="P7" s="270">
        <f>N7-M7</f>
        <v>-10.62</v>
      </c>
    </row>
    <row r="8" spans="1:16" ht="22.5" hidden="1" customHeight="1">
      <c r="A8" s="126" t="s">
        <v>236</v>
      </c>
      <c r="B8" s="476" t="s">
        <v>745</v>
      </c>
      <c r="C8" s="271">
        <f>'PHỤ LUC HT'!C6</f>
        <v>0</v>
      </c>
      <c r="D8" s="397">
        <f>'Hai Son'!AF67</f>
        <v>0</v>
      </c>
      <c r="E8" s="271"/>
      <c r="F8" s="292"/>
      <c r="G8" s="292"/>
      <c r="H8" s="271">
        <f>'PHỤ LUC HT'!E6</f>
        <v>0</v>
      </c>
      <c r="I8" s="271">
        <f t="shared" si="0"/>
        <v>0</v>
      </c>
      <c r="J8" s="42" t="s">
        <v>236</v>
      </c>
      <c r="K8" s="476" t="s">
        <v>745</v>
      </c>
      <c r="L8" s="271">
        <v>1.72</v>
      </c>
      <c r="M8" s="271">
        <v>1.72</v>
      </c>
      <c r="N8" s="271">
        <f t="shared" ref="N8:N23" si="1">I8</f>
        <v>0</v>
      </c>
      <c r="O8" s="271">
        <f t="shared" ref="O8:O23" si="2">N8-L8</f>
        <v>-1.72</v>
      </c>
      <c r="P8" s="271">
        <f t="shared" ref="P8:P23" si="3">N8-M8</f>
        <v>-1.72</v>
      </c>
    </row>
    <row r="9" spans="1:16" ht="22.5" customHeight="1">
      <c r="A9" s="126" t="s">
        <v>237</v>
      </c>
      <c r="B9" s="476" t="s">
        <v>746</v>
      </c>
      <c r="C9" s="271">
        <f>'PHỤ LUC HT'!C7</f>
        <v>0.22</v>
      </c>
      <c r="D9" s="397">
        <f>'Quang Nghia'!AF67</f>
        <v>0</v>
      </c>
      <c r="E9" s="271"/>
      <c r="F9" s="292"/>
      <c r="G9" s="292"/>
      <c r="H9" s="271">
        <f>'PHỤ LUC HT'!E7</f>
        <v>0</v>
      </c>
      <c r="I9" s="271">
        <f t="shared" si="0"/>
        <v>0.22</v>
      </c>
      <c r="J9" s="42" t="s">
        <v>237</v>
      </c>
      <c r="K9" s="476" t="s">
        <v>746</v>
      </c>
      <c r="L9" s="271">
        <v>1.26</v>
      </c>
      <c r="M9" s="271">
        <v>19.3</v>
      </c>
      <c r="N9" s="271">
        <f t="shared" si="1"/>
        <v>0.22</v>
      </c>
      <c r="O9" s="271">
        <f t="shared" si="2"/>
        <v>-1.04</v>
      </c>
      <c r="P9" s="271">
        <f t="shared" si="3"/>
        <v>-19.080000000000002</v>
      </c>
    </row>
    <row r="10" spans="1:16" ht="22.5" customHeight="1">
      <c r="A10" s="126" t="s">
        <v>238</v>
      </c>
      <c r="B10" s="476" t="s">
        <v>747</v>
      </c>
      <c r="C10" s="271">
        <f>'PHỤ LUC HT'!C8</f>
        <v>0.23</v>
      </c>
      <c r="D10" s="397">
        <f>'Hai Dong'!AF67</f>
        <v>0</v>
      </c>
      <c r="E10" s="271"/>
      <c r="F10" s="292"/>
      <c r="G10" s="292"/>
      <c r="H10" s="271">
        <f>'PHỤ LUC HT'!E8</f>
        <v>0</v>
      </c>
      <c r="I10" s="271">
        <f t="shared" si="0"/>
        <v>0.23</v>
      </c>
      <c r="J10" s="42" t="s">
        <v>238</v>
      </c>
      <c r="K10" s="476" t="s">
        <v>747</v>
      </c>
      <c r="L10" s="271">
        <v>0.36</v>
      </c>
      <c r="M10" s="271">
        <v>0.36</v>
      </c>
      <c r="N10" s="271">
        <f t="shared" si="1"/>
        <v>0.23</v>
      </c>
      <c r="O10" s="271">
        <f t="shared" si="2"/>
        <v>-0.12999999999999998</v>
      </c>
      <c r="P10" s="271">
        <f t="shared" si="3"/>
        <v>-0.12999999999999998</v>
      </c>
    </row>
    <row r="11" spans="1:16" ht="22.5" customHeight="1">
      <c r="A11" s="126" t="s">
        <v>239</v>
      </c>
      <c r="B11" s="476" t="s">
        <v>748</v>
      </c>
      <c r="C11" s="271">
        <f>'PHỤ LUC HT'!C9</f>
        <v>0.6</v>
      </c>
      <c r="D11" s="397">
        <f>'Hai Tien'!AF67</f>
        <v>0</v>
      </c>
      <c r="E11" s="271"/>
      <c r="F11" s="292"/>
      <c r="G11" s="292"/>
      <c r="H11" s="271">
        <f>'PHỤ LUC HT'!E9</f>
        <v>0</v>
      </c>
      <c r="I11" s="271">
        <f t="shared" si="0"/>
        <v>0.6</v>
      </c>
      <c r="J11" s="42" t="s">
        <v>239</v>
      </c>
      <c r="K11" s="476" t="s">
        <v>748</v>
      </c>
      <c r="L11" s="271">
        <v>0.21</v>
      </c>
      <c r="M11" s="271">
        <v>0.17</v>
      </c>
      <c r="N11" s="271">
        <f t="shared" si="1"/>
        <v>0.6</v>
      </c>
      <c r="O11" s="271">
        <f t="shared" si="2"/>
        <v>0.39</v>
      </c>
      <c r="P11" s="271">
        <f t="shared" si="3"/>
        <v>0.42999999999999994</v>
      </c>
    </row>
    <row r="12" spans="1:16" ht="22.5" customHeight="1">
      <c r="A12" s="126" t="s">
        <v>240</v>
      </c>
      <c r="B12" s="476" t="s">
        <v>749</v>
      </c>
      <c r="C12" s="271">
        <f>'PHỤ LUC HT'!C10</f>
        <v>4.9850000000000003</v>
      </c>
      <c r="D12" s="397">
        <f>'Hai Xuan'!AF67</f>
        <v>0</v>
      </c>
      <c r="E12" s="271"/>
      <c r="F12" s="292"/>
      <c r="G12" s="292"/>
      <c r="H12" s="271">
        <f>'PHỤ LUC HT'!E10</f>
        <v>0</v>
      </c>
      <c r="I12" s="271">
        <f t="shared" si="0"/>
        <v>4.9850000000000003</v>
      </c>
      <c r="J12" s="42" t="s">
        <v>240</v>
      </c>
      <c r="K12" s="476" t="s">
        <v>749</v>
      </c>
      <c r="L12" s="271">
        <v>0.27</v>
      </c>
      <c r="M12" s="271">
        <v>0.27</v>
      </c>
      <c r="N12" s="271">
        <f t="shared" si="1"/>
        <v>4.9850000000000003</v>
      </c>
      <c r="O12" s="271">
        <f t="shared" si="2"/>
        <v>4.7149999999999999</v>
      </c>
      <c r="P12" s="271">
        <f t="shared" si="3"/>
        <v>4.7149999999999999</v>
      </c>
    </row>
    <row r="13" spans="1:16" ht="22.5" hidden="1" customHeight="1">
      <c r="A13" s="126" t="s">
        <v>241</v>
      </c>
      <c r="B13" s="476" t="s">
        <v>750</v>
      </c>
      <c r="C13" s="271">
        <f>'PHỤ LUC HT'!C11</f>
        <v>0</v>
      </c>
      <c r="D13" s="397">
        <f>'Van Ninh'!AF68</f>
        <v>0</v>
      </c>
      <c r="E13" s="271"/>
      <c r="F13" s="292"/>
      <c r="G13" s="292"/>
      <c r="H13" s="271">
        <f>'PHỤ LUC HT'!E11</f>
        <v>0</v>
      </c>
      <c r="I13" s="271">
        <f t="shared" si="0"/>
        <v>0</v>
      </c>
      <c r="J13" s="42" t="s">
        <v>241</v>
      </c>
      <c r="K13" s="476" t="s">
        <v>750</v>
      </c>
      <c r="L13" s="271">
        <v>0.19</v>
      </c>
      <c r="M13" s="271">
        <v>29.04</v>
      </c>
      <c r="N13" s="271">
        <f t="shared" si="1"/>
        <v>0</v>
      </c>
      <c r="O13" s="271">
        <f t="shared" si="2"/>
        <v>-0.19</v>
      </c>
      <c r="P13" s="271">
        <f t="shared" si="3"/>
        <v>-29.04</v>
      </c>
    </row>
    <row r="14" spans="1:16" ht="22.5" customHeight="1">
      <c r="A14" s="126" t="s">
        <v>242</v>
      </c>
      <c r="B14" s="476" t="s">
        <v>751</v>
      </c>
      <c r="C14" s="271">
        <f>'PHỤ LUC HT'!C12</f>
        <v>0.08</v>
      </c>
      <c r="D14" s="397">
        <f>'Vinh Trung'!AF68</f>
        <v>0</v>
      </c>
      <c r="E14" s="271"/>
      <c r="F14" s="292"/>
      <c r="G14" s="292"/>
      <c r="H14" s="271">
        <f>'PHỤ LUC HT'!E12</f>
        <v>0</v>
      </c>
      <c r="I14" s="271">
        <f t="shared" si="0"/>
        <v>0.08</v>
      </c>
      <c r="J14" s="42" t="s">
        <v>242</v>
      </c>
      <c r="K14" s="476" t="s">
        <v>751</v>
      </c>
      <c r="L14" s="271">
        <v>0.44</v>
      </c>
      <c r="M14" s="271">
        <v>10.29</v>
      </c>
      <c r="N14" s="271">
        <f t="shared" si="1"/>
        <v>0.08</v>
      </c>
      <c r="O14" s="271">
        <f t="shared" si="2"/>
        <v>-0.36</v>
      </c>
      <c r="P14" s="271">
        <f t="shared" si="3"/>
        <v>-10.209999999999999</v>
      </c>
    </row>
    <row r="15" spans="1:16" ht="22.5" customHeight="1">
      <c r="A15" s="126" t="s">
        <v>243</v>
      </c>
      <c r="B15" s="476" t="s">
        <v>752</v>
      </c>
      <c r="C15" s="271">
        <f>'PHỤ LUC HT'!C13</f>
        <v>0.08</v>
      </c>
      <c r="D15" s="397">
        <f>'Vinh Thuc'!AF67</f>
        <v>0</v>
      </c>
      <c r="E15" s="271"/>
      <c r="F15" s="292"/>
      <c r="G15" s="292"/>
      <c r="H15" s="271">
        <f>'PHỤ LUC HT'!E13</f>
        <v>0</v>
      </c>
      <c r="I15" s="271">
        <f t="shared" si="0"/>
        <v>0.08</v>
      </c>
      <c r="J15" s="42" t="s">
        <v>243</v>
      </c>
      <c r="K15" s="476" t="s">
        <v>752</v>
      </c>
      <c r="L15" s="271">
        <v>0.18</v>
      </c>
      <c r="M15" s="271">
        <v>5.18</v>
      </c>
      <c r="N15" s="271">
        <f t="shared" si="1"/>
        <v>0.08</v>
      </c>
      <c r="O15" s="271">
        <f t="shared" si="2"/>
        <v>-9.9999999999999992E-2</v>
      </c>
      <c r="P15" s="271">
        <f t="shared" si="3"/>
        <v>-5.0999999999999996</v>
      </c>
    </row>
    <row r="16" spans="1:16" ht="22.5" customHeight="1">
      <c r="A16" s="126" t="s">
        <v>244</v>
      </c>
      <c r="B16" s="476" t="s">
        <v>753</v>
      </c>
      <c r="C16" s="271">
        <f>'PHỤ LUC HT'!C14</f>
        <v>1.1200000000000001</v>
      </c>
      <c r="D16" s="397">
        <f>'Hai Yen'!AF68</f>
        <v>0.31000000000000005</v>
      </c>
      <c r="E16" s="271"/>
      <c r="F16" s="292"/>
      <c r="G16" s="292"/>
      <c r="H16" s="271">
        <f>'PHỤ LUC HT'!E14</f>
        <v>0.04</v>
      </c>
      <c r="I16" s="271">
        <f t="shared" si="0"/>
        <v>1.3900000000000001</v>
      </c>
      <c r="J16" s="42" t="s">
        <v>244</v>
      </c>
      <c r="K16" s="476" t="s">
        <v>753</v>
      </c>
      <c r="L16" s="271">
        <v>0.14000000000000001</v>
      </c>
      <c r="M16" s="271">
        <v>0.12</v>
      </c>
      <c r="N16" s="271">
        <f t="shared" si="1"/>
        <v>1.3900000000000001</v>
      </c>
      <c r="O16" s="271">
        <f t="shared" si="2"/>
        <v>1.25</v>
      </c>
      <c r="P16" s="271">
        <f t="shared" si="3"/>
        <v>1.27</v>
      </c>
    </row>
    <row r="17" spans="1:16" ht="22.5" customHeight="1">
      <c r="A17" s="126" t="s">
        <v>245</v>
      </c>
      <c r="B17" s="476" t="s">
        <v>754</v>
      </c>
      <c r="C17" s="271">
        <f>'PHỤ LUC HT'!C15</f>
        <v>0.39500000000000002</v>
      </c>
      <c r="D17" s="397">
        <f>'Ka Long'!AF67</f>
        <v>0</v>
      </c>
      <c r="E17" s="271"/>
      <c r="F17" s="292"/>
      <c r="G17" s="292"/>
      <c r="H17" s="271">
        <f>'PHỤ LUC HT'!E15</f>
        <v>0</v>
      </c>
      <c r="I17" s="271">
        <f t="shared" si="0"/>
        <v>0.39500000000000002</v>
      </c>
      <c r="J17" s="42" t="s">
        <v>245</v>
      </c>
      <c r="K17" s="476" t="s">
        <v>754</v>
      </c>
      <c r="L17" s="271">
        <v>0.35</v>
      </c>
      <c r="M17" s="271">
        <v>0.34</v>
      </c>
      <c r="N17" s="271">
        <f t="shared" si="1"/>
        <v>0.39500000000000002</v>
      </c>
      <c r="O17" s="271">
        <f t="shared" si="2"/>
        <v>4.500000000000004E-2</v>
      </c>
      <c r="P17" s="271">
        <f t="shared" si="3"/>
        <v>5.4999999999999993E-2</v>
      </c>
    </row>
    <row r="18" spans="1:16" ht="22.5" customHeight="1">
      <c r="A18" s="126" t="s">
        <v>246</v>
      </c>
      <c r="B18" s="476" t="s">
        <v>755</v>
      </c>
      <c r="C18" s="271">
        <f>'PHỤ LUC HT'!C16</f>
        <v>0</v>
      </c>
      <c r="D18" s="397">
        <f>'Ninh Duong'!AF67</f>
        <v>0.58000000000000007</v>
      </c>
      <c r="E18" s="271"/>
      <c r="F18" s="292"/>
      <c r="G18" s="292"/>
      <c r="H18" s="271">
        <f>'PHỤ LUC HT'!E16</f>
        <v>0</v>
      </c>
      <c r="I18" s="271">
        <f t="shared" si="0"/>
        <v>0.58000000000000007</v>
      </c>
      <c r="J18" s="42" t="s">
        <v>246</v>
      </c>
      <c r="K18" s="476" t="s">
        <v>755</v>
      </c>
      <c r="L18" s="271">
        <v>0.68</v>
      </c>
      <c r="M18" s="271">
        <v>0.68</v>
      </c>
      <c r="N18" s="271">
        <f t="shared" si="1"/>
        <v>0.58000000000000007</v>
      </c>
      <c r="O18" s="271">
        <f t="shared" si="2"/>
        <v>-9.9999999999999978E-2</v>
      </c>
      <c r="P18" s="271">
        <f t="shared" si="3"/>
        <v>-9.9999999999999978E-2</v>
      </c>
    </row>
    <row r="19" spans="1:16" ht="22.5" customHeight="1">
      <c r="A19" s="126" t="s">
        <v>247</v>
      </c>
      <c r="B19" s="476" t="s">
        <v>756</v>
      </c>
      <c r="C19" s="271">
        <f>'PHỤ LUC HT'!C17</f>
        <v>2.35</v>
      </c>
      <c r="D19" s="397">
        <f>'Hoa Lac'!AF67</f>
        <v>0</v>
      </c>
      <c r="E19" s="271"/>
      <c r="F19" s="292"/>
      <c r="G19" s="292"/>
      <c r="H19" s="271">
        <f>'PHỤ LUC HT'!E17</f>
        <v>0</v>
      </c>
      <c r="I19" s="271">
        <f t="shared" si="0"/>
        <v>2.35</v>
      </c>
      <c r="J19" s="42" t="s">
        <v>247</v>
      </c>
      <c r="K19" s="476" t="s">
        <v>756</v>
      </c>
      <c r="L19" s="271">
        <v>1.42</v>
      </c>
      <c r="M19" s="271">
        <v>1.42</v>
      </c>
      <c r="N19" s="271">
        <f t="shared" si="1"/>
        <v>2.35</v>
      </c>
      <c r="O19" s="271">
        <f t="shared" si="2"/>
        <v>0.93000000000000016</v>
      </c>
      <c r="P19" s="271">
        <f t="shared" si="3"/>
        <v>0.93000000000000016</v>
      </c>
    </row>
    <row r="20" spans="1:16" ht="22.5" customHeight="1">
      <c r="A20" s="126" t="s">
        <v>248</v>
      </c>
      <c r="B20" s="476" t="s">
        <v>757</v>
      </c>
      <c r="C20" s="271">
        <f>'PHỤ LUC HT'!C18</f>
        <v>0.05</v>
      </c>
      <c r="D20" s="397">
        <f>'Tran Phu'!AF67</f>
        <v>0</v>
      </c>
      <c r="E20" s="271"/>
      <c r="F20" s="292"/>
      <c r="G20" s="292"/>
      <c r="H20" s="271">
        <f>'PHỤ LUC HT'!E18</f>
        <v>0</v>
      </c>
      <c r="I20" s="271">
        <f t="shared" si="0"/>
        <v>0.05</v>
      </c>
      <c r="J20" s="42" t="s">
        <v>248</v>
      </c>
      <c r="K20" s="476" t="s">
        <v>757</v>
      </c>
      <c r="L20" s="271">
        <v>0.19</v>
      </c>
      <c r="M20" s="271">
        <v>97.57</v>
      </c>
      <c r="N20" s="271">
        <f t="shared" si="1"/>
        <v>0.05</v>
      </c>
      <c r="O20" s="271">
        <f t="shared" si="2"/>
        <v>-0.14000000000000001</v>
      </c>
      <c r="P20" s="271">
        <f t="shared" si="3"/>
        <v>-97.52</v>
      </c>
    </row>
    <row r="21" spans="1:16" ht="22.5" customHeight="1">
      <c r="A21" s="126" t="s">
        <v>249</v>
      </c>
      <c r="B21" s="476" t="s">
        <v>758</v>
      </c>
      <c r="C21" s="271">
        <f>'PHỤ LUC HT'!C19</f>
        <v>0.08</v>
      </c>
      <c r="D21" s="397">
        <f>'Hai Hoa'!AF67</f>
        <v>0.82000000000000006</v>
      </c>
      <c r="E21" s="271"/>
      <c r="F21" s="292"/>
      <c r="G21" s="292"/>
      <c r="H21" s="271">
        <f>'PHỤ LUC HT'!E19</f>
        <v>0.01</v>
      </c>
      <c r="I21" s="271">
        <f t="shared" si="0"/>
        <v>0.89</v>
      </c>
      <c r="J21" s="42" t="s">
        <v>249</v>
      </c>
      <c r="K21" s="476" t="s">
        <v>758</v>
      </c>
      <c r="L21" s="271">
        <v>0.51</v>
      </c>
      <c r="M21" s="271">
        <v>0.51</v>
      </c>
      <c r="N21" s="271">
        <f t="shared" si="1"/>
        <v>0.89</v>
      </c>
      <c r="O21" s="271">
        <f t="shared" si="2"/>
        <v>0.38</v>
      </c>
      <c r="P21" s="271">
        <f t="shared" si="3"/>
        <v>0.38</v>
      </c>
    </row>
    <row r="22" spans="1:16" ht="22.5" customHeight="1">
      <c r="A22" s="126" t="s">
        <v>250</v>
      </c>
      <c r="B22" s="476" t="s">
        <v>759</v>
      </c>
      <c r="C22" s="271">
        <f>'PHỤ LUC HT'!C20</f>
        <v>5.64</v>
      </c>
      <c r="D22" s="397">
        <f>'Tra Co'!AF67</f>
        <v>0</v>
      </c>
      <c r="E22" s="271"/>
      <c r="F22" s="292"/>
      <c r="G22" s="292"/>
      <c r="H22" s="271">
        <f>'PHỤ LUC HT'!E20</f>
        <v>0.16</v>
      </c>
      <c r="I22" s="271">
        <f t="shared" si="0"/>
        <v>5.4799999999999995</v>
      </c>
      <c r="J22" s="42" t="s">
        <v>250</v>
      </c>
      <c r="K22" s="476" t="s">
        <v>759</v>
      </c>
      <c r="L22" s="271">
        <v>0.27</v>
      </c>
      <c r="M22" s="271">
        <v>0.27</v>
      </c>
      <c r="N22" s="271">
        <f t="shared" si="1"/>
        <v>5.4799999999999995</v>
      </c>
      <c r="O22" s="271">
        <f t="shared" si="2"/>
        <v>5.2099999999999991</v>
      </c>
      <c r="P22" s="271">
        <f t="shared" si="3"/>
        <v>5.2099999999999991</v>
      </c>
    </row>
    <row r="23" spans="1:16" ht="22.5" customHeight="1">
      <c r="A23" s="126" t="s">
        <v>251</v>
      </c>
      <c r="B23" s="476" t="s">
        <v>760</v>
      </c>
      <c r="C23" s="271">
        <f>'PHỤ LUC HT'!C21</f>
        <v>0.6</v>
      </c>
      <c r="D23" s="397">
        <f>'Binh Ngoc'!AF67</f>
        <v>0</v>
      </c>
      <c r="E23" s="271"/>
      <c r="F23" s="292"/>
      <c r="G23" s="292"/>
      <c r="H23" s="271">
        <f>'PHỤ LUC HT'!E21</f>
        <v>0</v>
      </c>
      <c r="I23" s="271">
        <f t="shared" si="0"/>
        <v>0.6</v>
      </c>
      <c r="J23" s="42" t="s">
        <v>251</v>
      </c>
      <c r="K23" s="476" t="s">
        <v>760</v>
      </c>
      <c r="L23" s="271">
        <v>0.17</v>
      </c>
      <c r="M23" s="271">
        <v>0.09</v>
      </c>
      <c r="N23" s="271">
        <f t="shared" si="1"/>
        <v>0.6</v>
      </c>
      <c r="O23" s="271">
        <f t="shared" si="2"/>
        <v>0.42999999999999994</v>
      </c>
      <c r="P23" s="271">
        <f t="shared" si="3"/>
        <v>0.51</v>
      </c>
    </row>
    <row r="24" spans="1:16" ht="29.25" customHeight="1">
      <c r="A24" s="328"/>
      <c r="B24" s="328" t="s">
        <v>370</v>
      </c>
      <c r="C24" s="269">
        <f t="shared" ref="C24:I24" si="4">SUM(C7:C23)</f>
        <v>16.430000000000003</v>
      </c>
      <c r="D24" s="269">
        <f t="shared" si="4"/>
        <v>1.7100000000000002</v>
      </c>
      <c r="E24" s="269">
        <f t="shared" si="4"/>
        <v>0</v>
      </c>
      <c r="F24" s="269">
        <f t="shared" si="4"/>
        <v>0</v>
      </c>
      <c r="G24" s="269">
        <f t="shared" si="4"/>
        <v>0</v>
      </c>
      <c r="H24" s="269">
        <f t="shared" si="4"/>
        <v>0.21000000000000002</v>
      </c>
      <c r="I24" s="269">
        <f t="shared" si="4"/>
        <v>17.930000000000003</v>
      </c>
      <c r="J24" s="51"/>
      <c r="K24" s="51" t="s">
        <v>370</v>
      </c>
      <c r="L24" s="268">
        <f>SUM(L7:L23)</f>
        <v>9.1799999999999979</v>
      </c>
      <c r="M24" s="268">
        <f>SUM(M7:M23)</f>
        <v>177.95000000000005</v>
      </c>
      <c r="N24" s="268">
        <f>SUM(N7:N23)</f>
        <v>17.930000000000003</v>
      </c>
      <c r="O24" s="268">
        <f>SUM(O7:O23)</f>
        <v>8.7499999999999982</v>
      </c>
      <c r="P24" s="268">
        <f>SUM(P7:P23)</f>
        <v>-160.01999999999998</v>
      </c>
    </row>
    <row r="25" spans="1:16" ht="15.75">
      <c r="I25" s="176">
        <f>'TONG TP'!BN35</f>
        <v>17.930000000000003</v>
      </c>
    </row>
    <row r="26" spans="1:16">
      <c r="I26">
        <f>'TONG TP'!BN35</f>
        <v>17.930000000000003</v>
      </c>
    </row>
    <row r="29" spans="1:16" hidden="1">
      <c r="I29">
        <f>'TONG TP'!BN35</f>
        <v>17.930000000000003</v>
      </c>
    </row>
    <row r="30" spans="1:16">
      <c r="C30" s="177">
        <f>C24-H24</f>
        <v>16.220000000000002</v>
      </c>
      <c r="I30" s="177">
        <f>I24-I29</f>
        <v>0</v>
      </c>
    </row>
  </sheetData>
  <autoFilter ref="A6:P26">
    <filterColumn colId="8">
      <customFilters>
        <customFilter operator="notEqual" val=" "/>
      </customFilters>
    </filterColumn>
  </autoFilter>
  <mergeCells count="20">
    <mergeCell ref="E5:E6"/>
    <mergeCell ref="A2:I2"/>
    <mergeCell ref="A4:A6"/>
    <mergeCell ref="B4:B6"/>
    <mergeCell ref="C4:C6"/>
    <mergeCell ref="D4:D6"/>
    <mergeCell ref="H4:H6"/>
    <mergeCell ref="I4:I6"/>
    <mergeCell ref="H3:I3"/>
    <mergeCell ref="F5:F6"/>
    <mergeCell ref="E4:G4"/>
    <mergeCell ref="G5:G6"/>
    <mergeCell ref="O4:P4"/>
    <mergeCell ref="O5:O6"/>
    <mergeCell ref="P5:P6"/>
    <mergeCell ref="J4:J6"/>
    <mergeCell ref="K4:K6"/>
    <mergeCell ref="L4:L6"/>
    <mergeCell ref="M4:M6"/>
    <mergeCell ref="N4:N6"/>
  </mergeCells>
  <phoneticPr fontId="4" type="noConversion"/>
  <printOptions horizontalCentered="1"/>
  <pageMargins left="1" right="0.25" top="0.25" bottom="0.25" header="0.5" footer="0.5"/>
  <pageSetup paperSize="9" orientation="portrait"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dimension ref="A1:P30"/>
  <sheetViews>
    <sheetView showZeros="0" topLeftCell="A10" workbookViewId="0">
      <selection activeCell="A5" sqref="A5:I25"/>
    </sheetView>
  </sheetViews>
  <sheetFormatPr defaultRowHeight="12.75"/>
  <cols>
    <col min="1" max="1" width="6.28515625" customWidth="1"/>
    <col min="2" max="2" width="24" customWidth="1"/>
    <col min="3" max="3" width="12.7109375" customWidth="1"/>
    <col min="4" max="4" width="11.85546875" customWidth="1"/>
    <col min="5" max="5" width="5.7109375" style="256" hidden="1" customWidth="1"/>
    <col min="6" max="6" width="6.140625" hidden="1" customWidth="1"/>
    <col min="7" max="7" width="5.85546875" style="256" hidden="1" customWidth="1"/>
    <col min="8" max="8" width="12.5703125" customWidth="1"/>
    <col min="9" max="9" width="12" customWidth="1"/>
    <col min="10" max="10" width="7" customWidth="1"/>
    <col min="11" max="11" width="20.85546875" customWidth="1"/>
    <col min="15" max="15" width="9.85546875" customWidth="1"/>
    <col min="16" max="16" width="11.28515625" customWidth="1"/>
  </cols>
  <sheetData>
    <row r="1" spans="1:16" ht="19.5" customHeight="1">
      <c r="A1" s="327" t="s">
        <v>643</v>
      </c>
    </row>
    <row r="2" spans="1:16" ht="23.25" customHeight="1">
      <c r="A2" s="1354" t="s">
        <v>713</v>
      </c>
      <c r="B2" s="1354"/>
      <c r="C2" s="1354"/>
      <c r="D2" s="1354"/>
      <c r="E2" s="1354"/>
      <c r="F2" s="1354"/>
      <c r="G2" s="1354"/>
      <c r="H2" s="1354"/>
      <c r="I2" s="1354"/>
    </row>
    <row r="3" spans="1:16" ht="21.75" customHeight="1">
      <c r="A3" s="1354" t="s">
        <v>766</v>
      </c>
      <c r="B3" s="1354"/>
      <c r="C3" s="1354"/>
      <c r="D3" s="1354"/>
      <c r="E3" s="1354"/>
      <c r="F3" s="1354"/>
      <c r="G3" s="1354"/>
      <c r="H3" s="1354"/>
      <c r="I3" s="1354"/>
    </row>
    <row r="4" spans="1:16" ht="16.5" customHeight="1">
      <c r="H4" s="1278" t="s">
        <v>138</v>
      </c>
      <c r="I4" s="1278"/>
    </row>
    <row r="5" spans="1:16" ht="18" customHeight="1">
      <c r="A5" s="1280" t="s">
        <v>368</v>
      </c>
      <c r="B5" s="1280" t="s">
        <v>983</v>
      </c>
      <c r="C5" s="1280" t="s">
        <v>456</v>
      </c>
      <c r="D5" s="1280" t="s">
        <v>457</v>
      </c>
      <c r="E5" s="1404"/>
      <c r="F5" s="1404"/>
      <c r="G5" s="1379"/>
      <c r="H5" s="1280" t="s">
        <v>459</v>
      </c>
      <c r="I5" s="1280" t="s">
        <v>460</v>
      </c>
      <c r="J5" s="1301" t="s">
        <v>0</v>
      </c>
      <c r="K5" s="1301" t="s">
        <v>369</v>
      </c>
      <c r="L5" s="1301" t="s">
        <v>494</v>
      </c>
      <c r="M5" s="1391" t="s">
        <v>495</v>
      </c>
      <c r="N5" s="1391" t="s">
        <v>496</v>
      </c>
      <c r="O5" s="1390" t="s">
        <v>497</v>
      </c>
      <c r="P5" s="1390"/>
    </row>
    <row r="6" spans="1:16" ht="12.75" customHeight="1">
      <c r="A6" s="1280"/>
      <c r="B6" s="1280"/>
      <c r="C6" s="1280"/>
      <c r="D6" s="1280"/>
      <c r="E6" s="1409"/>
      <c r="F6" s="1280"/>
      <c r="G6" s="1409"/>
      <c r="H6" s="1280"/>
      <c r="I6" s="1280"/>
      <c r="J6" s="1301"/>
      <c r="K6" s="1301"/>
      <c r="L6" s="1301"/>
      <c r="M6" s="1391"/>
      <c r="N6" s="1391"/>
      <c r="O6" s="1301" t="s">
        <v>498</v>
      </c>
      <c r="P6" s="1301" t="s">
        <v>344</v>
      </c>
    </row>
    <row r="7" spans="1:16" ht="12" customHeight="1">
      <c r="A7" s="1280"/>
      <c r="B7" s="1280"/>
      <c r="C7" s="1280"/>
      <c r="D7" s="1280"/>
      <c r="E7" s="1410"/>
      <c r="F7" s="1280"/>
      <c r="G7" s="1410"/>
      <c r="H7" s="1280"/>
      <c r="I7" s="1280"/>
      <c r="J7" s="1301"/>
      <c r="K7" s="1301"/>
      <c r="L7" s="1301"/>
      <c r="M7" s="1391"/>
      <c r="N7" s="1391"/>
      <c r="O7" s="1301"/>
      <c r="P7" s="1301"/>
    </row>
    <row r="8" spans="1:16" ht="18.75" customHeight="1">
      <c r="A8" s="54" t="s">
        <v>235</v>
      </c>
      <c r="B8" s="475" t="s">
        <v>744</v>
      </c>
      <c r="C8" s="54">
        <f>'PHỤ LUC HT'!C29</f>
        <v>0.25</v>
      </c>
      <c r="D8" s="173">
        <f>'Bac Son'!AG67</f>
        <v>0</v>
      </c>
      <c r="E8" s="54"/>
      <c r="F8" s="54"/>
      <c r="G8" s="54"/>
      <c r="H8" s="54">
        <f>'PHỤ LUC HT'!E29</f>
        <v>0</v>
      </c>
      <c r="I8" s="54">
        <f t="shared" ref="I8:I24" si="0">C8+D8-H8</f>
        <v>0.25</v>
      </c>
      <c r="J8" s="41" t="s">
        <v>235</v>
      </c>
      <c r="K8" s="475" t="s">
        <v>744</v>
      </c>
      <c r="L8" s="270">
        <v>1.2</v>
      </c>
      <c r="M8" s="270">
        <v>1.1299999999999999</v>
      </c>
      <c r="N8" s="270">
        <f>I8</f>
        <v>0.25</v>
      </c>
      <c r="O8" s="270">
        <f>N8-L8</f>
        <v>-0.95</v>
      </c>
      <c r="P8" s="270">
        <f>N8-M8</f>
        <v>-0.87999999999999989</v>
      </c>
    </row>
    <row r="9" spans="1:16" ht="18.75" customHeight="1">
      <c r="A9" s="48" t="s">
        <v>236</v>
      </c>
      <c r="B9" s="476" t="s">
        <v>745</v>
      </c>
      <c r="C9" s="48">
        <f>'PHỤ LUC HT'!C30</f>
        <v>0.2</v>
      </c>
      <c r="D9" s="173">
        <f>'Hai Son'!AG67</f>
        <v>0</v>
      </c>
      <c r="E9" s="126"/>
      <c r="F9" s="48"/>
      <c r="G9" s="126"/>
      <c r="H9" s="48">
        <f>'PHỤ LUC HT'!E30</f>
        <v>0</v>
      </c>
      <c r="I9" s="48">
        <f t="shared" si="0"/>
        <v>0.2</v>
      </c>
      <c r="J9" s="42" t="s">
        <v>236</v>
      </c>
      <c r="K9" s="476" t="s">
        <v>745</v>
      </c>
      <c r="L9" s="271">
        <v>2.04</v>
      </c>
      <c r="M9" s="271">
        <v>2.04</v>
      </c>
      <c r="N9" s="271">
        <f t="shared" ref="N9:N24" si="1">I9</f>
        <v>0.2</v>
      </c>
      <c r="O9" s="271">
        <f t="shared" ref="O9:O24" si="2">N9-L9</f>
        <v>-1.84</v>
      </c>
      <c r="P9" s="271">
        <f t="shared" ref="P9:P24" si="3">N9-M9</f>
        <v>-1.84</v>
      </c>
    </row>
    <row r="10" spans="1:16" ht="18.75" customHeight="1">
      <c r="A10" s="48" t="s">
        <v>237</v>
      </c>
      <c r="B10" s="476" t="s">
        <v>746</v>
      </c>
      <c r="C10" s="48">
        <f>'PHỤ LUC HT'!C31</f>
        <v>0.12</v>
      </c>
      <c r="D10" s="173">
        <f>'Quang Nghia'!AG67</f>
        <v>0</v>
      </c>
      <c r="E10" s="126"/>
      <c r="F10" s="48"/>
      <c r="G10" s="126"/>
      <c r="H10" s="48">
        <f>'PHỤ LUC HT'!E31</f>
        <v>0</v>
      </c>
      <c r="I10" s="48">
        <f t="shared" si="0"/>
        <v>0.12</v>
      </c>
      <c r="J10" s="42" t="s">
        <v>237</v>
      </c>
      <c r="K10" s="476" t="s">
        <v>746</v>
      </c>
      <c r="L10" s="271">
        <v>2.9</v>
      </c>
      <c r="M10" s="271">
        <v>2.9</v>
      </c>
      <c r="N10" s="271">
        <f t="shared" si="1"/>
        <v>0.12</v>
      </c>
      <c r="O10" s="271">
        <f t="shared" si="2"/>
        <v>-2.78</v>
      </c>
      <c r="P10" s="271">
        <f t="shared" si="3"/>
        <v>-2.78</v>
      </c>
    </row>
    <row r="11" spans="1:16" ht="18.75" customHeight="1">
      <c r="A11" s="48" t="s">
        <v>238</v>
      </c>
      <c r="B11" s="476" t="s">
        <v>747</v>
      </c>
      <c r="C11" s="48">
        <f>'PHỤ LUC HT'!C32</f>
        <v>0.16</v>
      </c>
      <c r="D11" s="173">
        <f>'Hai Dong'!AG67</f>
        <v>0</v>
      </c>
      <c r="E11" s="126"/>
      <c r="F11" s="48"/>
      <c r="G11" s="126"/>
      <c r="H11" s="48">
        <f>'PHỤ LUC HT'!E32</f>
        <v>0</v>
      </c>
      <c r="I11" s="48">
        <f t="shared" si="0"/>
        <v>0.16</v>
      </c>
      <c r="J11" s="42" t="s">
        <v>238</v>
      </c>
      <c r="K11" s="476" t="s">
        <v>747</v>
      </c>
      <c r="L11" s="271">
        <v>0.13</v>
      </c>
      <c r="M11" s="271">
        <v>0.13</v>
      </c>
      <c r="N11" s="271">
        <f t="shared" si="1"/>
        <v>0.16</v>
      </c>
      <c r="O11" s="271">
        <f t="shared" si="2"/>
        <v>0.03</v>
      </c>
      <c r="P11" s="271">
        <f t="shared" si="3"/>
        <v>0.03</v>
      </c>
    </row>
    <row r="12" spans="1:16" ht="18.75" customHeight="1">
      <c r="A12" s="48" t="s">
        <v>239</v>
      </c>
      <c r="B12" s="476" t="s">
        <v>748</v>
      </c>
      <c r="C12" s="48">
        <f>'PHỤ LUC HT'!C33</f>
        <v>0.08</v>
      </c>
      <c r="D12" s="173">
        <f>'Hai Tien'!AG67</f>
        <v>0</v>
      </c>
      <c r="E12" s="126"/>
      <c r="F12" s="48"/>
      <c r="G12" s="126"/>
      <c r="H12" s="48">
        <f>'PHỤ LUC HT'!E33</f>
        <v>0</v>
      </c>
      <c r="I12" s="48">
        <f t="shared" si="0"/>
        <v>0.08</v>
      </c>
      <c r="J12" s="42" t="s">
        <v>239</v>
      </c>
      <c r="K12" s="476" t="s">
        <v>748</v>
      </c>
      <c r="L12" s="271">
        <v>7.0000000000000007E-2</v>
      </c>
      <c r="M12" s="271">
        <v>0.14000000000000001</v>
      </c>
      <c r="N12" s="271">
        <f t="shared" si="1"/>
        <v>0.08</v>
      </c>
      <c r="O12" s="271">
        <f t="shared" si="2"/>
        <v>9.999999999999995E-3</v>
      </c>
      <c r="P12" s="271">
        <f t="shared" si="3"/>
        <v>-6.0000000000000012E-2</v>
      </c>
    </row>
    <row r="13" spans="1:16" ht="18.75" customHeight="1">
      <c r="A13" s="48" t="s">
        <v>240</v>
      </c>
      <c r="B13" s="476" t="s">
        <v>749</v>
      </c>
      <c r="C13" s="48">
        <f>'PHỤ LUC HT'!C34</f>
        <v>0.08</v>
      </c>
      <c r="D13" s="173">
        <f>'Hai Xuan'!AG67</f>
        <v>0</v>
      </c>
      <c r="E13" s="126"/>
      <c r="F13" s="48"/>
      <c r="G13" s="126"/>
      <c r="H13" s="48">
        <f>'PHỤ LUC HT'!E34</f>
        <v>0</v>
      </c>
      <c r="I13" s="48">
        <f t="shared" si="0"/>
        <v>0.08</v>
      </c>
      <c r="J13" s="42" t="s">
        <v>240</v>
      </c>
      <c r="K13" s="476" t="s">
        <v>749</v>
      </c>
      <c r="L13" s="271">
        <v>0.11</v>
      </c>
      <c r="M13" s="271">
        <v>0.23</v>
      </c>
      <c r="N13" s="271">
        <f t="shared" si="1"/>
        <v>0.08</v>
      </c>
      <c r="O13" s="271">
        <f t="shared" si="2"/>
        <v>-0.03</v>
      </c>
      <c r="P13" s="271">
        <f t="shared" si="3"/>
        <v>-0.15000000000000002</v>
      </c>
    </row>
    <row r="14" spans="1:16" ht="18.75" customHeight="1">
      <c r="A14" s="48" t="s">
        <v>241</v>
      </c>
      <c r="B14" s="476" t="s">
        <v>750</v>
      </c>
      <c r="C14" s="48">
        <f>'PHỤ LUC HT'!C35</f>
        <v>0.1</v>
      </c>
      <c r="D14" s="173">
        <f>'Van Ninh'!AG68</f>
        <v>0</v>
      </c>
      <c r="E14" s="126"/>
      <c r="F14" s="48"/>
      <c r="G14" s="126"/>
      <c r="H14" s="48">
        <f>'PHỤ LUC HT'!E35</f>
        <v>0</v>
      </c>
      <c r="I14" s="48">
        <f t="shared" si="0"/>
        <v>0.1</v>
      </c>
      <c r="J14" s="42" t="s">
        <v>241</v>
      </c>
      <c r="K14" s="476" t="s">
        <v>750</v>
      </c>
      <c r="L14" s="271">
        <v>0.08</v>
      </c>
      <c r="M14" s="271">
        <v>0.83</v>
      </c>
      <c r="N14" s="271">
        <f t="shared" si="1"/>
        <v>0.1</v>
      </c>
      <c r="O14" s="271">
        <f t="shared" si="2"/>
        <v>2.0000000000000004E-2</v>
      </c>
      <c r="P14" s="271">
        <f t="shared" si="3"/>
        <v>-0.73</v>
      </c>
    </row>
    <row r="15" spans="1:16" ht="18.75" customHeight="1">
      <c r="A15" s="48" t="s">
        <v>242</v>
      </c>
      <c r="B15" s="476" t="s">
        <v>751</v>
      </c>
      <c r="C15" s="48">
        <f>'PHỤ LUC HT'!C36</f>
        <v>0.13</v>
      </c>
      <c r="D15" s="173">
        <f>'Vinh Trung'!AG68</f>
        <v>0</v>
      </c>
      <c r="E15" s="126"/>
      <c r="F15" s="48"/>
      <c r="G15" s="126"/>
      <c r="H15" s="48">
        <f>'PHỤ LUC HT'!E36</f>
        <v>0</v>
      </c>
      <c r="I15" s="48">
        <f t="shared" si="0"/>
        <v>0.13</v>
      </c>
      <c r="J15" s="42" t="s">
        <v>242</v>
      </c>
      <c r="K15" s="476" t="s">
        <v>751</v>
      </c>
      <c r="L15" s="271">
        <v>0.12</v>
      </c>
      <c r="M15" s="271">
        <v>0.12</v>
      </c>
      <c r="N15" s="271">
        <f t="shared" si="1"/>
        <v>0.13</v>
      </c>
      <c r="O15" s="271">
        <f t="shared" si="2"/>
        <v>1.0000000000000009E-2</v>
      </c>
      <c r="P15" s="271">
        <f t="shared" si="3"/>
        <v>1.0000000000000009E-2</v>
      </c>
    </row>
    <row r="16" spans="1:16" ht="18.75" customHeight="1">
      <c r="A16" s="48" t="s">
        <v>243</v>
      </c>
      <c r="B16" s="476" t="s">
        <v>752</v>
      </c>
      <c r="C16" s="48">
        <f>'PHỤ LUC HT'!C37</f>
        <v>0.2</v>
      </c>
      <c r="D16" s="173">
        <f>'Vinh Thuc'!AG67</f>
        <v>0</v>
      </c>
      <c r="E16" s="126"/>
      <c r="F16" s="48"/>
      <c r="G16" s="126"/>
      <c r="H16" s="48">
        <f>'PHỤ LUC HT'!E37</f>
        <v>0</v>
      </c>
      <c r="I16" s="48">
        <f t="shared" si="0"/>
        <v>0.2</v>
      </c>
      <c r="J16" s="42" t="s">
        <v>243</v>
      </c>
      <c r="K16" s="476" t="s">
        <v>752</v>
      </c>
      <c r="L16" s="271">
        <v>0.13</v>
      </c>
      <c r="M16" s="271">
        <v>0.16</v>
      </c>
      <c r="N16" s="271">
        <f t="shared" si="1"/>
        <v>0.2</v>
      </c>
      <c r="O16" s="271">
        <f t="shared" si="2"/>
        <v>7.0000000000000007E-2</v>
      </c>
      <c r="P16" s="271">
        <f t="shared" si="3"/>
        <v>4.0000000000000008E-2</v>
      </c>
    </row>
    <row r="17" spans="1:16" ht="18.75" customHeight="1">
      <c r="A17" s="48" t="s">
        <v>244</v>
      </c>
      <c r="B17" s="476" t="s">
        <v>753</v>
      </c>
      <c r="C17" s="48">
        <f>'PHỤ LUC HT'!C38</f>
        <v>0.18</v>
      </c>
      <c r="D17" s="173">
        <f>'Hai Yen'!AG68</f>
        <v>0</v>
      </c>
      <c r="E17" s="126"/>
      <c r="F17" s="48"/>
      <c r="G17" s="126"/>
      <c r="H17" s="48">
        <f>'PHỤ LUC HT'!E38</f>
        <v>0</v>
      </c>
      <c r="I17" s="48">
        <f t="shared" si="0"/>
        <v>0.18</v>
      </c>
      <c r="J17" s="42" t="s">
        <v>244</v>
      </c>
      <c r="K17" s="476" t="s">
        <v>753</v>
      </c>
      <c r="L17" s="271">
        <v>7.0000000000000007E-2</v>
      </c>
      <c r="M17" s="271">
        <v>0.61</v>
      </c>
      <c r="N17" s="271">
        <f t="shared" si="1"/>
        <v>0.18</v>
      </c>
      <c r="O17" s="271">
        <f t="shared" si="2"/>
        <v>0.10999999999999999</v>
      </c>
      <c r="P17" s="271">
        <f t="shared" si="3"/>
        <v>-0.43</v>
      </c>
    </row>
    <row r="18" spans="1:16" ht="18.75" customHeight="1">
      <c r="A18" s="48" t="s">
        <v>245</v>
      </c>
      <c r="B18" s="476" t="s">
        <v>754</v>
      </c>
      <c r="C18" s="48">
        <f>'PHỤ LUC HT'!C39</f>
        <v>0.03</v>
      </c>
      <c r="D18" s="173">
        <f>'Ka Long'!AG67</f>
        <v>0</v>
      </c>
      <c r="E18" s="126"/>
      <c r="F18" s="48"/>
      <c r="G18" s="126"/>
      <c r="H18" s="48">
        <f>'PHỤ LUC HT'!E39</f>
        <v>0</v>
      </c>
      <c r="I18" s="48">
        <f t="shared" si="0"/>
        <v>0.03</v>
      </c>
      <c r="J18" s="42" t="s">
        <v>245</v>
      </c>
      <c r="K18" s="476" t="s">
        <v>754</v>
      </c>
      <c r="L18" s="271">
        <v>0.73</v>
      </c>
      <c r="M18" s="271">
        <v>0.73</v>
      </c>
      <c r="N18" s="271">
        <f t="shared" si="1"/>
        <v>0.03</v>
      </c>
      <c r="O18" s="271">
        <f t="shared" si="2"/>
        <v>-0.7</v>
      </c>
      <c r="P18" s="271">
        <f t="shared" si="3"/>
        <v>-0.7</v>
      </c>
    </row>
    <row r="19" spans="1:16" ht="18.75" customHeight="1">
      <c r="A19" s="48" t="s">
        <v>246</v>
      </c>
      <c r="B19" s="476" t="s">
        <v>755</v>
      </c>
      <c r="C19" s="61">
        <f>'PHỤ LUC HT'!C40</f>
        <v>5.7237</v>
      </c>
      <c r="D19" s="173">
        <f>'Ninh Duong'!AG67</f>
        <v>0</v>
      </c>
      <c r="E19" s="61"/>
      <c r="F19" s="61"/>
      <c r="G19" s="61"/>
      <c r="H19" s="61">
        <f>'PHỤ LUC HT'!E40</f>
        <v>0</v>
      </c>
      <c r="I19" s="61">
        <f t="shared" si="0"/>
        <v>5.7237</v>
      </c>
      <c r="J19" s="42" t="s">
        <v>246</v>
      </c>
      <c r="K19" s="476" t="s">
        <v>755</v>
      </c>
      <c r="L19" s="271">
        <v>0.35</v>
      </c>
      <c r="M19" s="271">
        <v>0.53</v>
      </c>
      <c r="N19" s="271">
        <f t="shared" si="1"/>
        <v>5.7237</v>
      </c>
      <c r="O19" s="271">
        <f t="shared" si="2"/>
        <v>5.3737000000000004</v>
      </c>
      <c r="P19" s="271">
        <f t="shared" si="3"/>
        <v>5.1936999999999998</v>
      </c>
    </row>
    <row r="20" spans="1:16" ht="18.75" customHeight="1">
      <c r="A20" s="48" t="s">
        <v>247</v>
      </c>
      <c r="B20" s="476" t="s">
        <v>756</v>
      </c>
      <c r="C20" s="48">
        <f>'PHỤ LUC HT'!C41</f>
        <v>0.02</v>
      </c>
      <c r="D20" s="173">
        <f>'Hoa Lac'!AG67</f>
        <v>0</v>
      </c>
      <c r="E20" s="126"/>
      <c r="F20" s="48"/>
      <c r="G20" s="126"/>
      <c r="H20" s="48">
        <f>'PHỤ LUC HT'!E41</f>
        <v>0</v>
      </c>
      <c r="I20" s="48">
        <f t="shared" si="0"/>
        <v>0.02</v>
      </c>
      <c r="J20" s="42" t="s">
        <v>247</v>
      </c>
      <c r="K20" s="476" t="s">
        <v>756</v>
      </c>
      <c r="L20" s="271">
        <v>0.28000000000000003</v>
      </c>
      <c r="M20" s="271">
        <v>5.28</v>
      </c>
      <c r="N20" s="271">
        <f t="shared" si="1"/>
        <v>0.02</v>
      </c>
      <c r="O20" s="271">
        <f t="shared" si="2"/>
        <v>-0.26</v>
      </c>
      <c r="P20" s="271">
        <f t="shared" si="3"/>
        <v>-5.2600000000000007</v>
      </c>
    </row>
    <row r="21" spans="1:16" ht="18.75" customHeight="1">
      <c r="A21" s="48" t="s">
        <v>248</v>
      </c>
      <c r="B21" s="476" t="s">
        <v>757</v>
      </c>
      <c r="C21" s="48">
        <f>'PHỤ LUC HT'!C42</f>
        <v>0.1</v>
      </c>
      <c r="D21" s="173">
        <f>'Tran Phu'!AG67</f>
        <v>0</v>
      </c>
      <c r="E21" s="126"/>
      <c r="F21" s="48"/>
      <c r="G21" s="126"/>
      <c r="H21" s="48">
        <f>'PHỤ LUC HT'!E42</f>
        <v>0</v>
      </c>
      <c r="I21" s="48">
        <f t="shared" si="0"/>
        <v>0.1</v>
      </c>
      <c r="J21" s="42" t="s">
        <v>248</v>
      </c>
      <c r="K21" s="476" t="s">
        <v>757</v>
      </c>
      <c r="L21" s="271">
        <v>0.1</v>
      </c>
      <c r="M21" s="271">
        <v>0.1</v>
      </c>
      <c r="N21" s="271">
        <f t="shared" si="1"/>
        <v>0.1</v>
      </c>
      <c r="O21" s="271">
        <f t="shared" si="2"/>
        <v>0</v>
      </c>
      <c r="P21" s="271">
        <f t="shared" si="3"/>
        <v>0</v>
      </c>
    </row>
    <row r="22" spans="1:16" ht="18.75" customHeight="1">
      <c r="A22" s="48" t="s">
        <v>249</v>
      </c>
      <c r="B22" s="476" t="s">
        <v>758</v>
      </c>
      <c r="C22" s="48">
        <f>'PHỤ LUC HT'!C43</f>
        <v>0.25</v>
      </c>
      <c r="D22" s="173">
        <f>'Hai Hoa'!AG67</f>
        <v>0</v>
      </c>
      <c r="E22" s="126"/>
      <c r="F22" s="48"/>
      <c r="G22" s="126"/>
      <c r="H22" s="48">
        <f>'PHỤ LUC HT'!E43</f>
        <v>0</v>
      </c>
      <c r="I22" s="48">
        <f t="shared" si="0"/>
        <v>0.25</v>
      </c>
      <c r="J22" s="42" t="s">
        <v>249</v>
      </c>
      <c r="K22" s="476" t="s">
        <v>758</v>
      </c>
      <c r="L22" s="271">
        <v>0.16</v>
      </c>
      <c r="M22" s="271">
        <v>0.25</v>
      </c>
      <c r="N22" s="271">
        <f t="shared" si="1"/>
        <v>0.25</v>
      </c>
      <c r="O22" s="271">
        <f t="shared" si="2"/>
        <v>0.09</v>
      </c>
      <c r="P22" s="271">
        <f t="shared" si="3"/>
        <v>0</v>
      </c>
    </row>
    <row r="23" spans="1:16" ht="18.75" customHeight="1">
      <c r="A23" s="48" t="s">
        <v>250</v>
      </c>
      <c r="B23" s="476" t="s">
        <v>759</v>
      </c>
      <c r="C23" s="48">
        <f>'PHỤ LUC HT'!C44</f>
        <v>0.18</v>
      </c>
      <c r="D23" s="173">
        <f>'Tra Co'!AG67</f>
        <v>0</v>
      </c>
      <c r="E23" s="126">
        <f>'Tra Co'!AG21</f>
        <v>0</v>
      </c>
      <c r="F23" s="48">
        <f>'Tra Co'!AG22</f>
        <v>0</v>
      </c>
      <c r="G23" s="126">
        <f>'Tra Co'!AG41</f>
        <v>0</v>
      </c>
      <c r="H23" s="48">
        <f>'PHỤ LUC HT'!E44</f>
        <v>0</v>
      </c>
      <c r="I23" s="48">
        <f t="shared" si="0"/>
        <v>0.18</v>
      </c>
      <c r="J23" s="42" t="s">
        <v>250</v>
      </c>
      <c r="K23" s="476" t="s">
        <v>759</v>
      </c>
      <c r="L23" s="271">
        <v>0.18</v>
      </c>
      <c r="M23" s="271">
        <v>0.18</v>
      </c>
      <c r="N23" s="271">
        <f t="shared" si="1"/>
        <v>0.18</v>
      </c>
      <c r="O23" s="271">
        <f t="shared" si="2"/>
        <v>0</v>
      </c>
      <c r="P23" s="271">
        <f t="shared" si="3"/>
        <v>0</v>
      </c>
    </row>
    <row r="24" spans="1:16" ht="18.75" customHeight="1">
      <c r="A24" s="48" t="s">
        <v>251</v>
      </c>
      <c r="B24" s="476" t="s">
        <v>760</v>
      </c>
      <c r="C24" s="48">
        <f>'PHỤ LUC HT'!C45</f>
        <v>0.13</v>
      </c>
      <c r="D24" s="173">
        <f>'Binh Ngoc'!AG67</f>
        <v>0</v>
      </c>
      <c r="E24" s="126">
        <f>'Binh Ngoc'!AG21</f>
        <v>0</v>
      </c>
      <c r="F24" s="48">
        <f>'Binh Ngoc'!AG22</f>
        <v>0</v>
      </c>
      <c r="G24" s="126">
        <f>'Binh Ngoc'!AG41</f>
        <v>0</v>
      </c>
      <c r="H24" s="48">
        <f>'PHỤ LUC HT'!E45</f>
        <v>0</v>
      </c>
      <c r="I24" s="48">
        <f t="shared" si="0"/>
        <v>0.13</v>
      </c>
      <c r="J24" s="42" t="s">
        <v>251</v>
      </c>
      <c r="K24" s="476" t="s">
        <v>760</v>
      </c>
      <c r="L24" s="271">
        <v>0.14000000000000001</v>
      </c>
      <c r="M24" s="271">
        <v>0.14000000000000001</v>
      </c>
      <c r="N24" s="271">
        <f t="shared" si="1"/>
        <v>0.13</v>
      </c>
      <c r="O24" s="271">
        <f t="shared" si="2"/>
        <v>-1.0000000000000009E-2</v>
      </c>
      <c r="P24" s="271">
        <f t="shared" si="3"/>
        <v>-1.0000000000000009E-2</v>
      </c>
    </row>
    <row r="25" spans="1:16" s="2" customFormat="1" ht="21.75" customHeight="1">
      <c r="A25" s="65"/>
      <c r="B25" s="65" t="s">
        <v>370</v>
      </c>
      <c r="C25" s="75">
        <f t="shared" ref="C25:I25" si="4">SUM(C8:C24)</f>
        <v>7.9336999999999991</v>
      </c>
      <c r="D25" s="65">
        <f t="shared" si="4"/>
        <v>0</v>
      </c>
      <c r="E25" s="258">
        <f t="shared" si="4"/>
        <v>0</v>
      </c>
      <c r="F25" s="258">
        <f t="shared" si="4"/>
        <v>0</v>
      </c>
      <c r="G25" s="258">
        <f t="shared" si="4"/>
        <v>0</v>
      </c>
      <c r="H25" s="258">
        <f t="shared" si="4"/>
        <v>0</v>
      </c>
      <c r="I25" s="75">
        <f t="shared" si="4"/>
        <v>7.9336999999999991</v>
      </c>
      <c r="J25" s="31"/>
      <c r="K25" s="31" t="s">
        <v>370</v>
      </c>
      <c r="L25" s="269">
        <f>SUM(L8:L24)</f>
        <v>8.7900000000000009</v>
      </c>
      <c r="M25" s="269">
        <f>SUM(M8:M24)</f>
        <v>15.500000000000002</v>
      </c>
      <c r="N25" s="269">
        <f>SUM(N8:N24)</f>
        <v>7.9336999999999991</v>
      </c>
      <c r="O25" s="269">
        <f>SUM(O8:O24)</f>
        <v>-0.85630000000000039</v>
      </c>
      <c r="P25" s="269">
        <f>SUM(P8:P24)</f>
        <v>-7.5663000000000009</v>
      </c>
    </row>
    <row r="26" spans="1:16" ht="15.75" hidden="1">
      <c r="I26" s="68">
        <f>'TONG TP'!BN36</f>
        <v>7.9336999999999991</v>
      </c>
    </row>
    <row r="29" spans="1:16">
      <c r="I29">
        <f>'TONG TP'!BN36</f>
        <v>7.9336999999999991</v>
      </c>
    </row>
    <row r="30" spans="1:16">
      <c r="I30">
        <f>I25-I29</f>
        <v>0</v>
      </c>
    </row>
  </sheetData>
  <mergeCells count="21">
    <mergeCell ref="O5:P5"/>
    <mergeCell ref="O6:O7"/>
    <mergeCell ref="P6:P7"/>
    <mergeCell ref="F6:F7"/>
    <mergeCell ref="J5:J7"/>
    <mergeCell ref="K5:K7"/>
    <mergeCell ref="L5:L7"/>
    <mergeCell ref="M5:M7"/>
    <mergeCell ref="N5:N7"/>
    <mergeCell ref="A2:I2"/>
    <mergeCell ref="A3:I3"/>
    <mergeCell ref="A5:A7"/>
    <mergeCell ref="B5:B7"/>
    <mergeCell ref="C5:C7"/>
    <mergeCell ref="D5:D7"/>
    <mergeCell ref="H5:H7"/>
    <mergeCell ref="I5:I7"/>
    <mergeCell ref="H4:I4"/>
    <mergeCell ref="E6:E7"/>
    <mergeCell ref="E5:G5"/>
    <mergeCell ref="G6:G7"/>
  </mergeCells>
  <phoneticPr fontId="4" type="noConversion"/>
  <printOptions horizontalCentered="1"/>
  <pageMargins left="1" right="0.25" top="0.3" bottom="0.25" header="0.5" footer="0.5"/>
  <pageSetup paperSize="9" orientation="portrait"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dimension ref="A1:P29"/>
  <sheetViews>
    <sheetView showZeros="0" topLeftCell="A16" workbookViewId="0">
      <selection activeCell="A5" sqref="A5:I24"/>
    </sheetView>
  </sheetViews>
  <sheetFormatPr defaultRowHeight="12.75"/>
  <cols>
    <col min="1" max="1" width="8.42578125" customWidth="1"/>
    <col min="2" max="2" width="22.7109375" customWidth="1"/>
    <col min="3" max="3" width="12" customWidth="1"/>
    <col min="4" max="4" width="11.28515625" customWidth="1"/>
    <col min="5" max="6" width="7.28515625" style="256" hidden="1" customWidth="1"/>
    <col min="7" max="7" width="2" hidden="1" customWidth="1"/>
    <col min="8" max="8" width="11" customWidth="1"/>
    <col min="9" max="9" width="13.140625" customWidth="1"/>
    <col min="10" max="10" width="7.140625" customWidth="1"/>
    <col min="11" max="11" width="21.42578125" customWidth="1"/>
  </cols>
  <sheetData>
    <row r="1" spans="1:16" ht="17.25" customHeight="1">
      <c r="A1" s="342" t="s">
        <v>644</v>
      </c>
    </row>
    <row r="2" spans="1:16" ht="20.25" customHeight="1">
      <c r="A2" s="1385" t="s">
        <v>714</v>
      </c>
      <c r="B2" s="1385"/>
      <c r="C2" s="1385"/>
      <c r="D2" s="1385"/>
      <c r="E2" s="1385"/>
      <c r="F2" s="1385"/>
      <c r="G2" s="1385"/>
      <c r="H2" s="1385"/>
      <c r="I2" s="1385"/>
    </row>
    <row r="3" spans="1:16" ht="20.25" customHeight="1">
      <c r="A3" s="1385" t="s">
        <v>766</v>
      </c>
      <c r="B3" s="1385"/>
      <c r="C3" s="1385"/>
      <c r="D3" s="1385"/>
      <c r="E3" s="1385"/>
      <c r="F3" s="1385"/>
      <c r="G3" s="1385"/>
      <c r="H3" s="1385"/>
      <c r="I3" s="1385"/>
    </row>
    <row r="4" spans="1:16" ht="18" customHeight="1">
      <c r="H4" s="1278" t="s">
        <v>138</v>
      </c>
      <c r="I4" s="1278"/>
      <c r="J4" s="1301" t="s">
        <v>0</v>
      </c>
      <c r="K4" s="1301" t="s">
        <v>369</v>
      </c>
      <c r="L4" s="1301" t="s">
        <v>494</v>
      </c>
      <c r="M4" s="1391" t="s">
        <v>495</v>
      </c>
      <c r="N4" s="1391" t="s">
        <v>496</v>
      </c>
      <c r="O4" s="1390" t="s">
        <v>497</v>
      </c>
      <c r="P4" s="1390"/>
    </row>
    <row r="5" spans="1:16" ht="24" customHeight="1">
      <c r="A5" s="1280" t="s">
        <v>368</v>
      </c>
      <c r="B5" s="1280" t="s">
        <v>986</v>
      </c>
      <c r="C5" s="1280" t="s">
        <v>456</v>
      </c>
      <c r="D5" s="1280" t="s">
        <v>457</v>
      </c>
      <c r="E5" s="1280"/>
      <c r="F5" s="1280"/>
      <c r="G5" s="1280"/>
      <c r="H5" s="1280" t="s">
        <v>459</v>
      </c>
      <c r="I5" s="1280" t="s">
        <v>460</v>
      </c>
      <c r="J5" s="1301"/>
      <c r="K5" s="1301"/>
      <c r="L5" s="1301"/>
      <c r="M5" s="1391"/>
      <c r="N5" s="1391"/>
      <c r="O5" s="1301" t="s">
        <v>498</v>
      </c>
      <c r="P5" s="1301" t="s">
        <v>344</v>
      </c>
    </row>
    <row r="6" spans="1:16" ht="14.25" customHeight="1">
      <c r="A6" s="1280"/>
      <c r="B6" s="1280"/>
      <c r="C6" s="1280"/>
      <c r="D6" s="1280"/>
      <c r="E6" s="257"/>
      <c r="F6" s="257"/>
      <c r="G6" s="38"/>
      <c r="H6" s="1280"/>
      <c r="I6" s="1280"/>
      <c r="J6" s="1301"/>
      <c r="K6" s="1301"/>
      <c r="L6" s="1301"/>
      <c r="M6" s="1391"/>
      <c r="N6" s="1391"/>
      <c r="O6" s="1301"/>
      <c r="P6" s="1301"/>
    </row>
    <row r="7" spans="1:16" ht="21" customHeight="1">
      <c r="A7" s="70" t="s">
        <v>235</v>
      </c>
      <c r="B7" s="475" t="s">
        <v>744</v>
      </c>
      <c r="C7" s="99">
        <f>'PHỤ LUC HT'!C53</f>
        <v>2.1495000000000002</v>
      </c>
      <c r="D7" s="99">
        <f>'Bac Son'!AH67</f>
        <v>0</v>
      </c>
      <c r="E7" s="99"/>
      <c r="F7" s="99"/>
      <c r="G7" s="99"/>
      <c r="H7" s="99">
        <f>'PHỤ LUC HT'!E53</f>
        <v>0.37</v>
      </c>
      <c r="I7" s="99">
        <f t="shared" ref="I7:I23" si="0">C7+D7-H7</f>
        <v>1.7795000000000001</v>
      </c>
      <c r="J7" s="41" t="s">
        <v>235</v>
      </c>
      <c r="K7" s="475" t="s">
        <v>744</v>
      </c>
      <c r="L7" s="270">
        <v>6.35</v>
      </c>
      <c r="M7" s="270">
        <v>11.98</v>
      </c>
      <c r="N7" s="270">
        <f>I7</f>
        <v>1.7795000000000001</v>
      </c>
      <c r="O7" s="270">
        <f>N7-L7</f>
        <v>-4.5704999999999991</v>
      </c>
      <c r="P7" s="270">
        <f>N7-M7</f>
        <v>-10.2005</v>
      </c>
    </row>
    <row r="8" spans="1:16" ht="21" customHeight="1">
      <c r="A8" s="5" t="s">
        <v>236</v>
      </c>
      <c r="B8" s="476" t="s">
        <v>745</v>
      </c>
      <c r="C8" s="100">
        <f>'PHỤ LUC HT'!C54</f>
        <v>2.2867100000000002</v>
      </c>
      <c r="D8" s="100">
        <f>'Hai Son'!AH67</f>
        <v>0</v>
      </c>
      <c r="E8" s="100"/>
      <c r="F8" s="100"/>
      <c r="G8" s="100"/>
      <c r="H8" s="100">
        <f>'PHỤ LUC HT'!E54</f>
        <v>0.15</v>
      </c>
      <c r="I8" s="100">
        <f t="shared" si="0"/>
        <v>2.1367100000000003</v>
      </c>
      <c r="J8" s="42" t="s">
        <v>236</v>
      </c>
      <c r="K8" s="476" t="s">
        <v>745</v>
      </c>
      <c r="L8" s="271">
        <v>2.27</v>
      </c>
      <c r="M8" s="271">
        <v>4.3499999999999996</v>
      </c>
      <c r="N8" s="271">
        <f t="shared" ref="N8:N23" si="1">I8</f>
        <v>2.1367100000000003</v>
      </c>
      <c r="O8" s="271">
        <f t="shared" ref="O8:O23" si="2">N8-L8</f>
        <v>-0.13328999999999969</v>
      </c>
      <c r="P8" s="271">
        <f t="shared" ref="P8:P23" si="3">N8-M8</f>
        <v>-2.2132899999999993</v>
      </c>
    </row>
    <row r="9" spans="1:16" ht="21" customHeight="1">
      <c r="A9" s="5" t="s">
        <v>237</v>
      </c>
      <c r="B9" s="476" t="s">
        <v>746</v>
      </c>
      <c r="C9" s="100">
        <f>'PHỤ LUC HT'!C55</f>
        <v>3.33</v>
      </c>
      <c r="D9" s="100">
        <f>'Quang Nghia'!AH67</f>
        <v>0</v>
      </c>
      <c r="E9" s="100"/>
      <c r="F9" s="100"/>
      <c r="G9" s="100"/>
      <c r="H9" s="100">
        <f>'PHỤ LUC HT'!E55</f>
        <v>0</v>
      </c>
      <c r="I9" s="100">
        <f t="shared" si="0"/>
        <v>3.33</v>
      </c>
      <c r="J9" s="42" t="s">
        <v>237</v>
      </c>
      <c r="K9" s="476" t="s">
        <v>746</v>
      </c>
      <c r="L9" s="271">
        <v>70.5</v>
      </c>
      <c r="M9" s="271">
        <v>101.94</v>
      </c>
      <c r="N9" s="271">
        <f t="shared" si="1"/>
        <v>3.33</v>
      </c>
      <c r="O9" s="271">
        <f t="shared" si="2"/>
        <v>-67.17</v>
      </c>
      <c r="P9" s="271">
        <f t="shared" si="3"/>
        <v>-98.61</v>
      </c>
    </row>
    <row r="10" spans="1:16" ht="21" customHeight="1">
      <c r="A10" s="5" t="s">
        <v>238</v>
      </c>
      <c r="B10" s="476" t="s">
        <v>747</v>
      </c>
      <c r="C10" s="100">
        <f>'PHỤ LUC HT'!C56</f>
        <v>3.77</v>
      </c>
      <c r="D10" s="100">
        <f>'Hai Dong'!AH67</f>
        <v>0</v>
      </c>
      <c r="E10" s="100"/>
      <c r="F10" s="100"/>
      <c r="G10" s="100"/>
      <c r="H10" s="100">
        <f>'PHỤ LUC HT'!E56</f>
        <v>0.03</v>
      </c>
      <c r="I10" s="100">
        <f t="shared" si="0"/>
        <v>3.74</v>
      </c>
      <c r="J10" s="42" t="s">
        <v>238</v>
      </c>
      <c r="K10" s="476" t="s">
        <v>747</v>
      </c>
      <c r="L10" s="271">
        <v>1.85</v>
      </c>
      <c r="M10" s="271">
        <v>2.0299999999999998</v>
      </c>
      <c r="N10" s="271">
        <f t="shared" si="1"/>
        <v>3.74</v>
      </c>
      <c r="O10" s="271">
        <f t="shared" si="2"/>
        <v>1.8900000000000001</v>
      </c>
      <c r="P10" s="271">
        <f t="shared" si="3"/>
        <v>1.7100000000000004</v>
      </c>
    </row>
    <row r="11" spans="1:16" ht="21" customHeight="1">
      <c r="A11" s="5" t="s">
        <v>239</v>
      </c>
      <c r="B11" s="476" t="s">
        <v>748</v>
      </c>
      <c r="C11" s="100">
        <f>'PHỤ LUC HT'!C57</f>
        <v>5.32</v>
      </c>
      <c r="D11" s="100">
        <f>'Hai Tien'!AH67</f>
        <v>0</v>
      </c>
      <c r="E11" s="100"/>
      <c r="F11" s="100"/>
      <c r="G11" s="100"/>
      <c r="H11" s="100">
        <f>'PHỤ LUC HT'!E57</f>
        <v>0.32</v>
      </c>
      <c r="I11" s="100">
        <f t="shared" si="0"/>
        <v>5</v>
      </c>
      <c r="J11" s="42" t="s">
        <v>239</v>
      </c>
      <c r="K11" s="476" t="s">
        <v>748</v>
      </c>
      <c r="L11" s="271">
        <v>1.44</v>
      </c>
      <c r="M11" s="271">
        <v>3.3</v>
      </c>
      <c r="N11" s="271">
        <f t="shared" si="1"/>
        <v>5</v>
      </c>
      <c r="O11" s="271">
        <f t="shared" si="2"/>
        <v>3.56</v>
      </c>
      <c r="P11" s="271">
        <f t="shared" si="3"/>
        <v>1.7000000000000002</v>
      </c>
    </row>
    <row r="12" spans="1:16" ht="21" customHeight="1">
      <c r="A12" s="5" t="s">
        <v>240</v>
      </c>
      <c r="B12" s="476" t="s">
        <v>749</v>
      </c>
      <c r="C12" s="100">
        <f>'PHỤ LUC HT'!C58</f>
        <v>3.56</v>
      </c>
      <c r="D12" s="100">
        <f>'Hai Xuan'!AH67</f>
        <v>0</v>
      </c>
      <c r="E12" s="100"/>
      <c r="F12" s="100"/>
      <c r="G12" s="100"/>
      <c r="H12" s="100">
        <f>'PHỤ LUC HT'!E58</f>
        <v>0.37</v>
      </c>
      <c r="I12" s="100">
        <f t="shared" si="0"/>
        <v>3.19</v>
      </c>
      <c r="J12" s="42" t="s">
        <v>240</v>
      </c>
      <c r="K12" s="476" t="s">
        <v>749</v>
      </c>
      <c r="L12" s="271">
        <v>2.2799999999999998</v>
      </c>
      <c r="M12" s="271">
        <v>4.8099999999999996</v>
      </c>
      <c r="N12" s="271">
        <f t="shared" si="1"/>
        <v>3.19</v>
      </c>
      <c r="O12" s="271">
        <f t="shared" si="2"/>
        <v>0.91000000000000014</v>
      </c>
      <c r="P12" s="271">
        <f t="shared" si="3"/>
        <v>-1.6199999999999997</v>
      </c>
    </row>
    <row r="13" spans="1:16" ht="21" customHeight="1">
      <c r="A13" s="5" t="s">
        <v>241</v>
      </c>
      <c r="B13" s="476" t="s">
        <v>750</v>
      </c>
      <c r="C13" s="100">
        <f>'PHỤ LUC HT'!C59</f>
        <v>3.81</v>
      </c>
      <c r="D13" s="100">
        <f>'Van Ninh'!AH68</f>
        <v>0</v>
      </c>
      <c r="E13" s="100"/>
      <c r="F13" s="100"/>
      <c r="G13" s="100"/>
      <c r="H13" s="100">
        <f>'PHỤ LUC HT'!E59</f>
        <v>0.15</v>
      </c>
      <c r="I13" s="100">
        <f t="shared" si="0"/>
        <v>3.66</v>
      </c>
      <c r="J13" s="42" t="s">
        <v>241</v>
      </c>
      <c r="K13" s="476" t="s">
        <v>750</v>
      </c>
      <c r="L13" s="271">
        <v>1.95</v>
      </c>
      <c r="M13" s="271">
        <v>2.12</v>
      </c>
      <c r="N13" s="271">
        <f t="shared" si="1"/>
        <v>3.66</v>
      </c>
      <c r="O13" s="271">
        <f t="shared" si="2"/>
        <v>1.7100000000000002</v>
      </c>
      <c r="P13" s="271">
        <f t="shared" si="3"/>
        <v>1.54</v>
      </c>
    </row>
    <row r="14" spans="1:16" ht="21" customHeight="1">
      <c r="A14" s="5" t="s">
        <v>242</v>
      </c>
      <c r="B14" s="476" t="s">
        <v>751</v>
      </c>
      <c r="C14" s="100">
        <f>'PHỤ LUC HT'!C60</f>
        <v>1.37</v>
      </c>
      <c r="D14" s="100">
        <f>'Vinh Trung'!AH68</f>
        <v>0</v>
      </c>
      <c r="E14" s="100"/>
      <c r="F14" s="100"/>
      <c r="G14" s="100"/>
      <c r="H14" s="100">
        <f>'PHỤ LUC HT'!E60</f>
        <v>0</v>
      </c>
      <c r="I14" s="100">
        <f t="shared" si="0"/>
        <v>1.37</v>
      </c>
      <c r="J14" s="42" t="s">
        <v>242</v>
      </c>
      <c r="K14" s="476" t="s">
        <v>751</v>
      </c>
      <c r="L14" s="271">
        <v>1.98</v>
      </c>
      <c r="M14" s="271">
        <v>2.72</v>
      </c>
      <c r="N14" s="271">
        <f t="shared" si="1"/>
        <v>1.37</v>
      </c>
      <c r="O14" s="271">
        <f t="shared" si="2"/>
        <v>-0.60999999999999988</v>
      </c>
      <c r="P14" s="271">
        <f t="shared" si="3"/>
        <v>-1.35</v>
      </c>
    </row>
    <row r="15" spans="1:16" ht="21" customHeight="1">
      <c r="A15" s="5" t="s">
        <v>243</v>
      </c>
      <c r="B15" s="476" t="s">
        <v>752</v>
      </c>
      <c r="C15" s="100">
        <f>'PHỤ LUC HT'!C61</f>
        <v>1.74</v>
      </c>
      <c r="D15" s="100">
        <f>'Vinh Thuc'!AH67</f>
        <v>0</v>
      </c>
      <c r="E15" s="100"/>
      <c r="F15" s="100"/>
      <c r="G15" s="100"/>
      <c r="H15" s="100">
        <f>'PHỤ LUC HT'!E61</f>
        <v>0</v>
      </c>
      <c r="I15" s="100">
        <f t="shared" si="0"/>
        <v>1.74</v>
      </c>
      <c r="J15" s="42" t="s">
        <v>243</v>
      </c>
      <c r="K15" s="476" t="s">
        <v>752</v>
      </c>
      <c r="L15" s="271">
        <v>1.74</v>
      </c>
      <c r="M15" s="271">
        <v>3.13</v>
      </c>
      <c r="N15" s="271">
        <f t="shared" si="1"/>
        <v>1.74</v>
      </c>
      <c r="O15" s="271">
        <f t="shared" si="2"/>
        <v>0</v>
      </c>
      <c r="P15" s="271">
        <f t="shared" si="3"/>
        <v>-1.39</v>
      </c>
    </row>
    <row r="16" spans="1:16" ht="21" customHeight="1">
      <c r="A16" s="5" t="s">
        <v>244</v>
      </c>
      <c r="B16" s="476" t="s">
        <v>753</v>
      </c>
      <c r="C16" s="100">
        <f>'PHỤ LUC HT'!C62</f>
        <v>14.77</v>
      </c>
      <c r="D16" s="100">
        <f>'Hai Yen'!AH68</f>
        <v>4.6899999999999995</v>
      </c>
      <c r="E16" s="100"/>
      <c r="F16" s="100"/>
      <c r="G16" s="100"/>
      <c r="H16" s="100">
        <f>'PHỤ LUC HT'!E62</f>
        <v>0.05</v>
      </c>
      <c r="I16" s="100">
        <f t="shared" si="0"/>
        <v>19.41</v>
      </c>
      <c r="J16" s="42" t="s">
        <v>244</v>
      </c>
      <c r="K16" s="476" t="s">
        <v>753</v>
      </c>
      <c r="L16" s="271">
        <v>1.75</v>
      </c>
      <c r="M16" s="271">
        <v>2.4300000000000002</v>
      </c>
      <c r="N16" s="271">
        <f t="shared" si="1"/>
        <v>19.41</v>
      </c>
      <c r="O16" s="271">
        <f t="shared" si="2"/>
        <v>17.66</v>
      </c>
      <c r="P16" s="271">
        <f t="shared" si="3"/>
        <v>16.98</v>
      </c>
    </row>
    <row r="17" spans="1:16" ht="21" customHeight="1">
      <c r="A17" s="5" t="s">
        <v>245</v>
      </c>
      <c r="B17" s="476" t="s">
        <v>754</v>
      </c>
      <c r="C17" s="100">
        <f>'PHỤ LUC HT'!C63</f>
        <v>5.71</v>
      </c>
      <c r="D17" s="100">
        <f>'Ka Long'!AH67</f>
        <v>0</v>
      </c>
      <c r="E17" s="100"/>
      <c r="F17" s="100"/>
      <c r="G17" s="100"/>
      <c r="H17" s="100">
        <f>'PHỤ LUC HT'!E63</f>
        <v>0</v>
      </c>
      <c r="I17" s="100">
        <f t="shared" si="0"/>
        <v>5.71</v>
      </c>
      <c r="J17" s="42" t="s">
        <v>245</v>
      </c>
      <c r="K17" s="476" t="s">
        <v>754</v>
      </c>
      <c r="L17" s="271">
        <v>1.57</v>
      </c>
      <c r="M17" s="271">
        <v>2.59</v>
      </c>
      <c r="N17" s="271">
        <f t="shared" si="1"/>
        <v>5.71</v>
      </c>
      <c r="O17" s="271">
        <f t="shared" si="2"/>
        <v>4.1399999999999997</v>
      </c>
      <c r="P17" s="271">
        <f t="shared" si="3"/>
        <v>3.12</v>
      </c>
    </row>
    <row r="18" spans="1:16" ht="21" customHeight="1">
      <c r="A18" s="5" t="s">
        <v>246</v>
      </c>
      <c r="B18" s="476" t="s">
        <v>755</v>
      </c>
      <c r="C18" s="100">
        <f>'PHỤ LUC HT'!C64</f>
        <v>7.7</v>
      </c>
      <c r="D18" s="100">
        <f>'Ninh Duong'!AH67</f>
        <v>0.63000000000000012</v>
      </c>
      <c r="E18" s="100"/>
      <c r="F18" s="100"/>
      <c r="G18" s="100"/>
      <c r="H18" s="100">
        <f>'PHỤ LUC HT'!E64</f>
        <v>0.45</v>
      </c>
      <c r="I18" s="100">
        <f t="shared" si="0"/>
        <v>7.88</v>
      </c>
      <c r="J18" s="42" t="s">
        <v>246</v>
      </c>
      <c r="K18" s="476" t="s">
        <v>755</v>
      </c>
      <c r="L18" s="271">
        <v>3.59</v>
      </c>
      <c r="M18" s="271">
        <v>6.18</v>
      </c>
      <c r="N18" s="271">
        <f t="shared" si="1"/>
        <v>7.88</v>
      </c>
      <c r="O18" s="271">
        <f t="shared" si="2"/>
        <v>4.29</v>
      </c>
      <c r="P18" s="271">
        <f t="shared" si="3"/>
        <v>1.7000000000000002</v>
      </c>
    </row>
    <row r="19" spans="1:16" ht="21" customHeight="1">
      <c r="A19" s="5" t="s">
        <v>247</v>
      </c>
      <c r="B19" s="476" t="s">
        <v>756</v>
      </c>
      <c r="C19" s="100">
        <f>'PHỤ LUC HT'!C65</f>
        <v>1.95</v>
      </c>
      <c r="D19" s="100">
        <f>'Hoa Lac'!AH67</f>
        <v>0</v>
      </c>
      <c r="E19" s="100"/>
      <c r="F19" s="100"/>
      <c r="G19" s="100"/>
      <c r="H19" s="100">
        <f>'PHỤ LUC HT'!E65</f>
        <v>0</v>
      </c>
      <c r="I19" s="100">
        <f t="shared" si="0"/>
        <v>1.95</v>
      </c>
      <c r="J19" s="42" t="s">
        <v>247</v>
      </c>
      <c r="K19" s="476" t="s">
        <v>756</v>
      </c>
      <c r="L19" s="271">
        <v>4.57</v>
      </c>
      <c r="M19" s="271">
        <v>5.58</v>
      </c>
      <c r="N19" s="271">
        <f t="shared" si="1"/>
        <v>1.95</v>
      </c>
      <c r="O19" s="271">
        <f t="shared" si="2"/>
        <v>-2.62</v>
      </c>
      <c r="P19" s="271">
        <f t="shared" si="3"/>
        <v>-3.63</v>
      </c>
    </row>
    <row r="20" spans="1:16" ht="21" customHeight="1">
      <c r="A20" s="5" t="s">
        <v>248</v>
      </c>
      <c r="B20" s="476" t="s">
        <v>757</v>
      </c>
      <c r="C20" s="100">
        <f>'PHỤ LUC HT'!C66</f>
        <v>3.36</v>
      </c>
      <c r="D20" s="100">
        <f>'Tran Phu'!AH67</f>
        <v>0</v>
      </c>
      <c r="E20" s="100"/>
      <c r="F20" s="100"/>
      <c r="G20" s="100"/>
      <c r="H20" s="100">
        <f>'PHỤ LUC HT'!E66</f>
        <v>0</v>
      </c>
      <c r="I20" s="100">
        <f t="shared" si="0"/>
        <v>3.36</v>
      </c>
      <c r="J20" s="42" t="s">
        <v>248</v>
      </c>
      <c r="K20" s="476" t="s">
        <v>757</v>
      </c>
      <c r="L20" s="271">
        <v>1.39</v>
      </c>
      <c r="M20" s="271">
        <v>1.51</v>
      </c>
      <c r="N20" s="271">
        <f t="shared" si="1"/>
        <v>3.36</v>
      </c>
      <c r="O20" s="271">
        <f t="shared" si="2"/>
        <v>1.97</v>
      </c>
      <c r="P20" s="271">
        <f t="shared" si="3"/>
        <v>1.8499999999999999</v>
      </c>
    </row>
    <row r="21" spans="1:16" ht="21" customHeight="1">
      <c r="A21" s="5" t="s">
        <v>249</v>
      </c>
      <c r="B21" s="476" t="s">
        <v>758</v>
      </c>
      <c r="C21" s="100">
        <f>'PHỤ LUC HT'!C67</f>
        <v>6.17</v>
      </c>
      <c r="D21" s="100">
        <f>'Hai Hoa'!AH67</f>
        <v>0</v>
      </c>
      <c r="E21" s="100"/>
      <c r="F21" s="100"/>
      <c r="G21" s="100"/>
      <c r="H21" s="100">
        <f>'PHỤ LUC HT'!E67</f>
        <v>0</v>
      </c>
      <c r="I21" s="100">
        <f t="shared" si="0"/>
        <v>6.17</v>
      </c>
      <c r="J21" s="42" t="s">
        <v>249</v>
      </c>
      <c r="K21" s="476" t="s">
        <v>758</v>
      </c>
      <c r="L21" s="271">
        <v>1.44</v>
      </c>
      <c r="M21" s="271">
        <v>2.34</v>
      </c>
      <c r="N21" s="271">
        <f t="shared" si="1"/>
        <v>6.17</v>
      </c>
      <c r="O21" s="271">
        <f t="shared" si="2"/>
        <v>4.7300000000000004</v>
      </c>
      <c r="P21" s="271">
        <f t="shared" si="3"/>
        <v>3.83</v>
      </c>
    </row>
    <row r="22" spans="1:16" ht="21" customHeight="1">
      <c r="A22" s="5" t="s">
        <v>250</v>
      </c>
      <c r="B22" s="476" t="s">
        <v>759</v>
      </c>
      <c r="C22" s="100">
        <f>'PHỤ LUC HT'!C68</f>
        <v>2.5499999999999998</v>
      </c>
      <c r="D22" s="100">
        <f>'Tra Co'!AH67</f>
        <v>0</v>
      </c>
      <c r="E22" s="100"/>
      <c r="F22" s="100"/>
      <c r="G22" s="100"/>
      <c r="H22" s="100">
        <f>'PHỤ LUC HT'!E68</f>
        <v>0.05</v>
      </c>
      <c r="I22" s="100">
        <f t="shared" si="0"/>
        <v>2.5</v>
      </c>
      <c r="J22" s="42" t="s">
        <v>250</v>
      </c>
      <c r="K22" s="476" t="s">
        <v>759</v>
      </c>
      <c r="L22" s="271">
        <v>2.46</v>
      </c>
      <c r="M22" s="271">
        <v>2.91</v>
      </c>
      <c r="N22" s="271">
        <f t="shared" si="1"/>
        <v>2.5</v>
      </c>
      <c r="O22" s="271">
        <f t="shared" si="2"/>
        <v>4.0000000000000036E-2</v>
      </c>
      <c r="P22" s="271">
        <f t="shared" si="3"/>
        <v>-0.41000000000000014</v>
      </c>
    </row>
    <row r="23" spans="1:16" ht="21" customHeight="1">
      <c r="A23" s="5" t="s">
        <v>251</v>
      </c>
      <c r="B23" s="476" t="s">
        <v>760</v>
      </c>
      <c r="C23" s="100">
        <f>'PHỤ LUC HT'!C69</f>
        <v>2.4300000000000002</v>
      </c>
      <c r="D23" s="100">
        <f>'Binh Ngoc'!AH67</f>
        <v>1.34</v>
      </c>
      <c r="E23" s="100"/>
      <c r="F23" s="100"/>
      <c r="G23" s="100"/>
      <c r="H23" s="100">
        <f>'PHỤ LUC HT'!E69</f>
        <v>0.24</v>
      </c>
      <c r="I23" s="100">
        <f t="shared" si="0"/>
        <v>3.5300000000000002</v>
      </c>
      <c r="J23" s="42" t="s">
        <v>251</v>
      </c>
      <c r="K23" s="476" t="s">
        <v>760</v>
      </c>
      <c r="L23" s="271">
        <v>3.73</v>
      </c>
      <c r="M23" s="271">
        <v>5.05</v>
      </c>
      <c r="N23" s="271">
        <f t="shared" si="1"/>
        <v>3.5300000000000002</v>
      </c>
      <c r="O23" s="271">
        <f t="shared" si="2"/>
        <v>-0.19999999999999973</v>
      </c>
      <c r="P23" s="271">
        <f t="shared" si="3"/>
        <v>-1.5199999999999996</v>
      </c>
    </row>
    <row r="24" spans="1:16" ht="26.25" customHeight="1">
      <c r="A24" s="65"/>
      <c r="B24" s="65" t="s">
        <v>370</v>
      </c>
      <c r="C24" s="75">
        <f t="shared" ref="C24:I24" si="4">SUM(C7:C23)</f>
        <v>71.976210000000009</v>
      </c>
      <c r="D24" s="75">
        <f t="shared" si="4"/>
        <v>6.6599999999999993</v>
      </c>
      <c r="E24" s="75">
        <f t="shared" si="4"/>
        <v>0</v>
      </c>
      <c r="F24" s="75">
        <f t="shared" si="4"/>
        <v>0</v>
      </c>
      <c r="G24" s="75">
        <f t="shared" si="4"/>
        <v>0</v>
      </c>
      <c r="H24" s="75">
        <f t="shared" si="4"/>
        <v>2.1800000000000002</v>
      </c>
      <c r="I24" s="75">
        <f t="shared" si="4"/>
        <v>76.456210000000013</v>
      </c>
      <c r="J24" s="31"/>
      <c r="K24" s="31" t="s">
        <v>370</v>
      </c>
      <c r="L24" s="269">
        <f>SUM(L7:L23)</f>
        <v>110.86</v>
      </c>
      <c r="M24" s="269">
        <f>SUM(M7:M23)</f>
        <v>164.97000000000003</v>
      </c>
      <c r="N24" s="269">
        <f>SUM(N7:N23)</f>
        <v>76.456210000000013</v>
      </c>
      <c r="O24" s="269">
        <f>SUM(O7:O23)</f>
        <v>-34.403790000000008</v>
      </c>
      <c r="P24" s="269">
        <f>SUM(P7:P23)</f>
        <v>-88.513789999999972</v>
      </c>
    </row>
    <row r="25" spans="1:16" ht="15.75" hidden="1">
      <c r="I25" s="74">
        <f>'TONG TP'!BN37</f>
        <v>76.456210000000013</v>
      </c>
    </row>
    <row r="28" spans="1:16">
      <c r="I28">
        <f>'TONG TP'!BN37</f>
        <v>76.456210000000013</v>
      </c>
    </row>
    <row r="29" spans="1:16">
      <c r="I29">
        <f>I24-I28</f>
        <v>0</v>
      </c>
    </row>
  </sheetData>
  <mergeCells count="18">
    <mergeCell ref="M4:M6"/>
    <mergeCell ref="N4:N6"/>
    <mergeCell ref="O4:P4"/>
    <mergeCell ref="O5:O6"/>
    <mergeCell ref="P5:P6"/>
    <mergeCell ref="J4:J6"/>
    <mergeCell ref="K4:K6"/>
    <mergeCell ref="L4:L6"/>
    <mergeCell ref="A2:I2"/>
    <mergeCell ref="A3:I3"/>
    <mergeCell ref="A5:A6"/>
    <mergeCell ref="B5:B6"/>
    <mergeCell ref="C5:C6"/>
    <mergeCell ref="D5:D6"/>
    <mergeCell ref="E5:G5"/>
    <mergeCell ref="H5:H6"/>
    <mergeCell ref="I5:I6"/>
    <mergeCell ref="H4:I4"/>
  </mergeCells>
  <phoneticPr fontId="4" type="noConversion"/>
  <printOptions horizontalCentered="1"/>
  <pageMargins left="1" right="0.25" top="0.3" bottom="0.25" header="0.5" footer="0.5"/>
  <pageSetup paperSize="9" scale="90" orientation="portrait"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5" filterMode="1"/>
  <dimension ref="A1:P30"/>
  <sheetViews>
    <sheetView showZeros="0" topLeftCell="A8" workbookViewId="0">
      <selection activeCell="A5" sqref="A5:I24"/>
    </sheetView>
  </sheetViews>
  <sheetFormatPr defaultRowHeight="12.75"/>
  <cols>
    <col min="1" max="1" width="7.140625" customWidth="1"/>
    <col min="2" max="2" width="21" customWidth="1"/>
    <col min="3" max="3" width="14.42578125" customWidth="1"/>
    <col min="4" max="4" width="13.7109375" customWidth="1"/>
    <col min="5" max="5" width="6" hidden="1" customWidth="1"/>
    <col min="6" max="6" width="6.28515625" hidden="1" customWidth="1"/>
    <col min="7" max="7" width="5.85546875" style="381" hidden="1" customWidth="1"/>
    <col min="8" max="8" width="12.140625" customWidth="1"/>
    <col min="9" max="9" width="16.85546875" customWidth="1"/>
    <col min="10" max="10" width="6.85546875" customWidth="1"/>
    <col min="11" max="11" width="21" customWidth="1"/>
    <col min="13" max="13" width="10.42578125" customWidth="1"/>
  </cols>
  <sheetData>
    <row r="1" spans="1:16" ht="17.25" customHeight="1">
      <c r="A1" s="327" t="s">
        <v>645</v>
      </c>
    </row>
    <row r="2" spans="1:16" ht="20.25" customHeight="1">
      <c r="A2" s="1354" t="s">
        <v>715</v>
      </c>
      <c r="B2" s="1354"/>
      <c r="C2" s="1354"/>
      <c r="D2" s="1354"/>
      <c r="E2" s="1354"/>
      <c r="F2" s="1354"/>
      <c r="G2" s="1354"/>
      <c r="H2" s="1354"/>
      <c r="I2" s="1354"/>
    </row>
    <row r="3" spans="1:16" ht="20.25" customHeight="1">
      <c r="A3" s="1354" t="s">
        <v>766</v>
      </c>
      <c r="B3" s="1354"/>
      <c r="C3" s="1354"/>
      <c r="D3" s="1354"/>
      <c r="E3" s="1354"/>
      <c r="F3" s="1354"/>
      <c r="G3" s="1354"/>
      <c r="H3" s="1354"/>
      <c r="I3" s="1354"/>
    </row>
    <row r="4" spans="1:16" ht="18" customHeight="1">
      <c r="H4" s="1278" t="s">
        <v>138</v>
      </c>
      <c r="I4" s="1278"/>
      <c r="J4" s="1301" t="s">
        <v>0</v>
      </c>
      <c r="K4" s="1301" t="s">
        <v>369</v>
      </c>
      <c r="L4" s="1301" t="s">
        <v>494</v>
      </c>
      <c r="M4" s="1391" t="s">
        <v>495</v>
      </c>
      <c r="N4" s="1391" t="s">
        <v>496</v>
      </c>
      <c r="O4" s="1390" t="s">
        <v>497</v>
      </c>
      <c r="P4" s="1390"/>
    </row>
    <row r="5" spans="1:16" ht="20.25" customHeight="1">
      <c r="A5" s="1280" t="s">
        <v>368</v>
      </c>
      <c r="B5" s="1280" t="s">
        <v>987</v>
      </c>
      <c r="C5" s="1280" t="s">
        <v>456</v>
      </c>
      <c r="D5" s="1280" t="s">
        <v>457</v>
      </c>
      <c r="E5" s="1404"/>
      <c r="F5" s="1404"/>
      <c r="G5" s="1379"/>
      <c r="H5" s="1280" t="s">
        <v>459</v>
      </c>
      <c r="I5" s="1280" t="s">
        <v>460</v>
      </c>
      <c r="J5" s="1301"/>
      <c r="K5" s="1301"/>
      <c r="L5" s="1301"/>
      <c r="M5" s="1391"/>
      <c r="N5" s="1391"/>
      <c r="O5" s="1301" t="s">
        <v>498</v>
      </c>
      <c r="P5" s="1301" t="s">
        <v>344</v>
      </c>
    </row>
    <row r="6" spans="1:16" ht="20.25" customHeight="1">
      <c r="A6" s="1280"/>
      <c r="B6" s="1280"/>
      <c r="C6" s="1280"/>
      <c r="D6" s="1280"/>
      <c r="E6" s="38"/>
      <c r="F6" s="38"/>
      <c r="G6" s="380"/>
      <c r="H6" s="1280"/>
      <c r="I6" s="1280"/>
      <c r="J6" s="1301"/>
      <c r="K6" s="1301"/>
      <c r="L6" s="1301"/>
      <c r="M6" s="1391"/>
      <c r="N6" s="1391"/>
      <c r="O6" s="1301"/>
      <c r="P6" s="1301"/>
    </row>
    <row r="7" spans="1:16" ht="18.75" customHeight="1">
      <c r="A7" s="70" t="s">
        <v>235</v>
      </c>
      <c r="B7" s="475" t="s">
        <v>744</v>
      </c>
      <c r="C7" s="99">
        <f>'PHỤ LUC HT'!C77</f>
        <v>0.55000000000000004</v>
      </c>
      <c r="D7" s="99">
        <f>'Bac Son'!AI67</f>
        <v>0.21000000000000002</v>
      </c>
      <c r="E7" s="99"/>
      <c r="F7" s="99"/>
      <c r="G7" s="99"/>
      <c r="H7" s="99">
        <f>'PHỤ LUC HT'!E77</f>
        <v>0</v>
      </c>
      <c r="I7" s="99">
        <f t="shared" ref="I7:I23" si="0">C7+D7-H7</f>
        <v>0.76</v>
      </c>
      <c r="J7" s="41" t="s">
        <v>235</v>
      </c>
      <c r="K7" s="475" t="s">
        <v>744</v>
      </c>
      <c r="L7" s="270">
        <v>0.68</v>
      </c>
      <c r="M7" s="270">
        <v>3.45</v>
      </c>
      <c r="N7" s="270">
        <f>I7</f>
        <v>0.76</v>
      </c>
      <c r="O7" s="270">
        <f>N7-L7</f>
        <v>7.999999999999996E-2</v>
      </c>
      <c r="P7" s="270">
        <f>N7-M7</f>
        <v>-2.6900000000000004</v>
      </c>
    </row>
    <row r="8" spans="1:16" ht="18.75" customHeight="1">
      <c r="A8" s="5" t="s">
        <v>236</v>
      </c>
      <c r="B8" s="476" t="s">
        <v>745</v>
      </c>
      <c r="C8" s="100">
        <f>'PHỤ LUC HT'!C78</f>
        <v>0.49</v>
      </c>
      <c r="D8" s="99">
        <f>'Hai Son'!AI67</f>
        <v>0</v>
      </c>
      <c r="E8" s="100"/>
      <c r="F8" s="100"/>
      <c r="G8" s="100"/>
      <c r="H8" s="100">
        <f>'PHỤ LUC HT'!E78</f>
        <v>0</v>
      </c>
      <c r="I8" s="100">
        <f t="shared" si="0"/>
        <v>0.49</v>
      </c>
      <c r="J8" s="42" t="s">
        <v>236</v>
      </c>
      <c r="K8" s="476" t="s">
        <v>745</v>
      </c>
      <c r="L8" s="271"/>
      <c r="M8" s="271"/>
      <c r="N8" s="271">
        <f t="shared" ref="N8:N23" si="1">I8</f>
        <v>0.49</v>
      </c>
      <c r="O8" s="271">
        <f t="shared" ref="O8:O23" si="2">N8-L8</f>
        <v>0.49</v>
      </c>
      <c r="P8" s="271">
        <f t="shared" ref="P8:P23" si="3">N8-M8</f>
        <v>0.49</v>
      </c>
    </row>
    <row r="9" spans="1:16" ht="18.75" customHeight="1">
      <c r="A9" s="5" t="s">
        <v>237</v>
      </c>
      <c r="B9" s="476" t="s">
        <v>746</v>
      </c>
      <c r="C9" s="100">
        <f>'PHỤ LUC HT'!C79</f>
        <v>1.0794999999999999</v>
      </c>
      <c r="D9" s="99">
        <f>'Quang Nghia'!AI67</f>
        <v>0</v>
      </c>
      <c r="E9" s="100"/>
      <c r="F9" s="100"/>
      <c r="G9" s="100"/>
      <c r="H9" s="100">
        <f>'PHỤ LUC HT'!E79</f>
        <v>0</v>
      </c>
      <c r="I9" s="100">
        <f t="shared" si="0"/>
        <v>1.0794999999999999</v>
      </c>
      <c r="J9" s="42" t="s">
        <v>237</v>
      </c>
      <c r="K9" s="476" t="s">
        <v>746</v>
      </c>
      <c r="L9" s="271">
        <v>0.74</v>
      </c>
      <c r="M9" s="271">
        <v>3.74</v>
      </c>
      <c r="N9" s="271">
        <f t="shared" si="1"/>
        <v>1.0794999999999999</v>
      </c>
      <c r="O9" s="271">
        <f t="shared" si="2"/>
        <v>0.33949999999999991</v>
      </c>
      <c r="P9" s="271">
        <f t="shared" si="3"/>
        <v>-2.6605000000000003</v>
      </c>
    </row>
    <row r="10" spans="1:16" ht="18.75" customHeight="1">
      <c r="A10" s="5" t="s">
        <v>238</v>
      </c>
      <c r="B10" s="476" t="s">
        <v>747</v>
      </c>
      <c r="C10" s="100">
        <f>'PHỤ LUC HT'!C80</f>
        <v>1.92</v>
      </c>
      <c r="D10" s="99">
        <f>'Hai Dong'!AI67</f>
        <v>0</v>
      </c>
      <c r="E10" s="100"/>
      <c r="F10" s="100"/>
      <c r="G10" s="100"/>
      <c r="H10" s="100">
        <f>'PHỤ LUC HT'!E80</f>
        <v>0</v>
      </c>
      <c r="I10" s="100">
        <f t="shared" si="0"/>
        <v>1.92</v>
      </c>
      <c r="J10" s="42" t="s">
        <v>238</v>
      </c>
      <c r="K10" s="476" t="s">
        <v>747</v>
      </c>
      <c r="L10" s="271">
        <v>0.43</v>
      </c>
      <c r="M10" s="271">
        <v>0.43</v>
      </c>
      <c r="N10" s="271">
        <f t="shared" si="1"/>
        <v>1.92</v>
      </c>
      <c r="O10" s="271">
        <f t="shared" si="2"/>
        <v>1.49</v>
      </c>
      <c r="P10" s="271">
        <f t="shared" si="3"/>
        <v>1.49</v>
      </c>
    </row>
    <row r="11" spans="1:16" ht="18.75" customHeight="1">
      <c r="A11" s="5" t="s">
        <v>239</v>
      </c>
      <c r="B11" s="476" t="s">
        <v>748</v>
      </c>
      <c r="C11" s="100">
        <f>'PHỤ LUC HT'!C81</f>
        <v>1.57</v>
      </c>
      <c r="D11" s="99">
        <f>'Hai Tien'!AI67</f>
        <v>0</v>
      </c>
      <c r="E11" s="100"/>
      <c r="F11" s="100"/>
      <c r="G11" s="100"/>
      <c r="H11" s="100">
        <f>'PHỤ LUC HT'!E81</f>
        <v>0</v>
      </c>
      <c r="I11" s="100">
        <f t="shared" si="0"/>
        <v>1.57</v>
      </c>
      <c r="J11" s="42" t="s">
        <v>239</v>
      </c>
      <c r="K11" s="476" t="s">
        <v>748</v>
      </c>
      <c r="L11" s="271">
        <v>0.64</v>
      </c>
      <c r="M11" s="271">
        <v>0.64</v>
      </c>
      <c r="N11" s="271">
        <f t="shared" si="1"/>
        <v>1.57</v>
      </c>
      <c r="O11" s="271">
        <f t="shared" si="2"/>
        <v>0.93</v>
      </c>
      <c r="P11" s="271">
        <f t="shared" si="3"/>
        <v>0.93</v>
      </c>
    </row>
    <row r="12" spans="1:16" ht="18.75" customHeight="1">
      <c r="A12" s="5" t="s">
        <v>240</v>
      </c>
      <c r="B12" s="476" t="s">
        <v>749</v>
      </c>
      <c r="C12" s="100">
        <f>'PHỤ LUC HT'!C82</f>
        <v>0.01</v>
      </c>
      <c r="D12" s="99">
        <f>'Hai Xuan'!AI67</f>
        <v>0</v>
      </c>
      <c r="E12" s="100"/>
      <c r="F12" s="100"/>
      <c r="G12" s="100"/>
      <c r="H12" s="100">
        <f>'PHỤ LUC HT'!E82</f>
        <v>0</v>
      </c>
      <c r="I12" s="100">
        <f t="shared" si="0"/>
        <v>0.01</v>
      </c>
      <c r="J12" s="42" t="s">
        <v>240</v>
      </c>
      <c r="K12" s="476" t="s">
        <v>749</v>
      </c>
      <c r="L12" s="271">
        <v>0.24</v>
      </c>
      <c r="M12" s="271">
        <v>0.24</v>
      </c>
      <c r="N12" s="271">
        <f t="shared" si="1"/>
        <v>0.01</v>
      </c>
      <c r="O12" s="271">
        <f t="shared" si="2"/>
        <v>-0.22999999999999998</v>
      </c>
      <c r="P12" s="271">
        <f t="shared" si="3"/>
        <v>-0.22999999999999998</v>
      </c>
    </row>
    <row r="13" spans="1:16" ht="18.75" customHeight="1">
      <c r="A13" s="5" t="s">
        <v>241</v>
      </c>
      <c r="B13" s="476" t="s">
        <v>750</v>
      </c>
      <c r="C13" s="100">
        <f>'PHỤ LUC HT'!C83</f>
        <v>2.0499999999999998</v>
      </c>
      <c r="D13" s="99">
        <f>'Van Ninh'!AI68</f>
        <v>0</v>
      </c>
      <c r="E13" s="100"/>
      <c r="F13" s="100"/>
      <c r="G13" s="100"/>
      <c r="H13" s="100">
        <f>'PHỤ LUC HT'!E83</f>
        <v>0</v>
      </c>
      <c r="I13" s="100">
        <f t="shared" si="0"/>
        <v>2.0499999999999998</v>
      </c>
      <c r="J13" s="42" t="s">
        <v>241</v>
      </c>
      <c r="K13" s="476" t="s">
        <v>750</v>
      </c>
      <c r="L13" s="271">
        <v>0.22</v>
      </c>
      <c r="M13" s="271">
        <v>0.22</v>
      </c>
      <c r="N13" s="271">
        <f t="shared" si="1"/>
        <v>2.0499999999999998</v>
      </c>
      <c r="O13" s="271">
        <f t="shared" si="2"/>
        <v>1.8299999999999998</v>
      </c>
      <c r="P13" s="271">
        <f t="shared" si="3"/>
        <v>1.8299999999999998</v>
      </c>
    </row>
    <row r="14" spans="1:16" ht="18.75" customHeight="1">
      <c r="A14" s="5" t="s">
        <v>242</v>
      </c>
      <c r="B14" s="476" t="s">
        <v>751</v>
      </c>
      <c r="C14" s="100">
        <f>'PHỤ LUC HT'!C84</f>
        <v>1.6194999999999999</v>
      </c>
      <c r="D14" s="99">
        <f>'Vinh Trung'!AI68</f>
        <v>0</v>
      </c>
      <c r="E14" s="100"/>
      <c r="F14" s="100"/>
      <c r="G14" s="100"/>
      <c r="H14" s="100">
        <f>'PHỤ LUC HT'!E84</f>
        <v>0</v>
      </c>
      <c r="I14" s="100">
        <f t="shared" si="0"/>
        <v>1.6194999999999999</v>
      </c>
      <c r="J14" s="42" t="s">
        <v>242</v>
      </c>
      <c r="K14" s="476" t="s">
        <v>751</v>
      </c>
      <c r="L14" s="271">
        <v>0.14000000000000001</v>
      </c>
      <c r="M14" s="271">
        <v>0.14000000000000001</v>
      </c>
      <c r="N14" s="271">
        <f t="shared" si="1"/>
        <v>1.6194999999999999</v>
      </c>
      <c r="O14" s="271">
        <f t="shared" si="2"/>
        <v>1.4794999999999998</v>
      </c>
      <c r="P14" s="271">
        <f t="shared" si="3"/>
        <v>1.4794999999999998</v>
      </c>
    </row>
    <row r="15" spans="1:16" ht="18.75" customHeight="1">
      <c r="A15" s="5" t="s">
        <v>243</v>
      </c>
      <c r="B15" s="476" t="s">
        <v>752</v>
      </c>
      <c r="C15" s="100">
        <f>'PHỤ LUC HT'!C85</f>
        <v>2.21</v>
      </c>
      <c r="D15" s="99">
        <f>'Vinh Thuc'!AI67</f>
        <v>0</v>
      </c>
      <c r="E15" s="100"/>
      <c r="F15" s="100"/>
      <c r="G15" s="100"/>
      <c r="H15" s="100">
        <f>'PHỤ LUC HT'!E85</f>
        <v>0</v>
      </c>
      <c r="I15" s="100">
        <f t="shared" si="0"/>
        <v>2.21</v>
      </c>
      <c r="J15" s="42" t="s">
        <v>243</v>
      </c>
      <c r="K15" s="476" t="s">
        <v>752</v>
      </c>
      <c r="L15" s="271">
        <v>0.41</v>
      </c>
      <c r="M15" s="271">
        <v>0.41</v>
      </c>
      <c r="N15" s="271">
        <f t="shared" si="1"/>
        <v>2.21</v>
      </c>
      <c r="O15" s="271">
        <f t="shared" si="2"/>
        <v>1.8</v>
      </c>
      <c r="P15" s="271">
        <f t="shared" si="3"/>
        <v>1.8</v>
      </c>
    </row>
    <row r="16" spans="1:16" ht="18.75" customHeight="1">
      <c r="A16" s="5" t="s">
        <v>244</v>
      </c>
      <c r="B16" s="476" t="s">
        <v>753</v>
      </c>
      <c r="C16" s="100">
        <f>'PHỤ LUC HT'!C86</f>
        <v>0.54</v>
      </c>
      <c r="D16" s="99">
        <f>'Hai Yen'!AI68</f>
        <v>0</v>
      </c>
      <c r="E16" s="100"/>
      <c r="F16" s="100"/>
      <c r="G16" s="100"/>
      <c r="H16" s="100">
        <f>'PHỤ LUC HT'!E86</f>
        <v>0</v>
      </c>
      <c r="I16" s="100">
        <f t="shared" si="0"/>
        <v>0.54</v>
      </c>
      <c r="J16" s="42" t="s">
        <v>244</v>
      </c>
      <c r="K16" s="476" t="s">
        <v>753</v>
      </c>
      <c r="L16" s="271"/>
      <c r="M16" s="271"/>
      <c r="N16" s="271">
        <f t="shared" si="1"/>
        <v>0.54</v>
      </c>
      <c r="O16" s="271">
        <f t="shared" si="2"/>
        <v>0.54</v>
      </c>
      <c r="P16" s="271">
        <f t="shared" si="3"/>
        <v>0.54</v>
      </c>
    </row>
    <row r="17" spans="1:16" ht="18.75" hidden="1" customHeight="1">
      <c r="A17" s="5" t="s">
        <v>245</v>
      </c>
      <c r="B17" s="476" t="s">
        <v>754</v>
      </c>
      <c r="C17" s="100">
        <f>'PHỤ LUC HT'!C87</f>
        <v>0</v>
      </c>
      <c r="D17" s="99">
        <f>'Ka Long'!AI67</f>
        <v>0</v>
      </c>
      <c r="E17" s="100"/>
      <c r="F17" s="100"/>
      <c r="G17" s="100"/>
      <c r="H17" s="100">
        <f>'PHỤ LUC HT'!E87</f>
        <v>0</v>
      </c>
      <c r="I17" s="100">
        <f t="shared" si="0"/>
        <v>0</v>
      </c>
      <c r="J17" s="42" t="s">
        <v>245</v>
      </c>
      <c r="K17" s="476" t="s">
        <v>754</v>
      </c>
      <c r="L17" s="271"/>
      <c r="M17" s="271"/>
      <c r="N17" s="271">
        <f t="shared" si="1"/>
        <v>0</v>
      </c>
      <c r="O17" s="271">
        <f t="shared" si="2"/>
        <v>0</v>
      </c>
      <c r="P17" s="271">
        <f t="shared" si="3"/>
        <v>0</v>
      </c>
    </row>
    <row r="18" spans="1:16" ht="18.75" customHeight="1">
      <c r="A18" s="5" t="s">
        <v>246</v>
      </c>
      <c r="B18" s="476" t="s">
        <v>755</v>
      </c>
      <c r="C18" s="100">
        <f>'PHỤ LUC HT'!C88</f>
        <v>2.9895</v>
      </c>
      <c r="D18" s="99">
        <f>'Ninh Duong'!AI67</f>
        <v>0.02</v>
      </c>
      <c r="E18" s="100"/>
      <c r="F18" s="100"/>
      <c r="G18" s="100"/>
      <c r="H18" s="100">
        <f>'PHỤ LUC HT'!E88</f>
        <v>7.0000000000000007E-2</v>
      </c>
      <c r="I18" s="100">
        <f t="shared" si="0"/>
        <v>2.9395000000000002</v>
      </c>
      <c r="J18" s="42" t="s">
        <v>246</v>
      </c>
      <c r="K18" s="476" t="s">
        <v>755</v>
      </c>
      <c r="L18" s="271">
        <v>0.95</v>
      </c>
      <c r="M18" s="271">
        <v>0.95</v>
      </c>
      <c r="N18" s="271">
        <f t="shared" si="1"/>
        <v>2.9395000000000002</v>
      </c>
      <c r="O18" s="271">
        <f t="shared" si="2"/>
        <v>1.9895000000000003</v>
      </c>
      <c r="P18" s="271">
        <f t="shared" si="3"/>
        <v>1.9895000000000003</v>
      </c>
    </row>
    <row r="19" spans="1:16" ht="18.75" customHeight="1">
      <c r="A19" s="5" t="s">
        <v>247</v>
      </c>
      <c r="B19" s="476" t="s">
        <v>756</v>
      </c>
      <c r="C19" s="100">
        <f>'PHỤ LUC HT'!C89</f>
        <v>0.37</v>
      </c>
      <c r="D19" s="99">
        <f>'Hoa Lac'!AI67</f>
        <v>0</v>
      </c>
      <c r="E19" s="100"/>
      <c r="F19" s="100"/>
      <c r="G19" s="100"/>
      <c r="H19" s="100">
        <f>'PHỤ LUC HT'!E89</f>
        <v>0</v>
      </c>
      <c r="I19" s="100">
        <f t="shared" si="0"/>
        <v>0.37</v>
      </c>
      <c r="J19" s="42" t="s">
        <v>247</v>
      </c>
      <c r="K19" s="476" t="s">
        <v>756</v>
      </c>
      <c r="L19" s="271">
        <v>1.66</v>
      </c>
      <c r="M19" s="271">
        <v>1.65</v>
      </c>
      <c r="N19" s="271">
        <f t="shared" si="1"/>
        <v>0.37</v>
      </c>
      <c r="O19" s="271">
        <f t="shared" si="2"/>
        <v>-1.29</v>
      </c>
      <c r="P19" s="271">
        <f t="shared" si="3"/>
        <v>-1.2799999999999998</v>
      </c>
    </row>
    <row r="20" spans="1:16" ht="18.75" customHeight="1">
      <c r="A20" s="5" t="s">
        <v>248</v>
      </c>
      <c r="B20" s="476" t="s">
        <v>757</v>
      </c>
      <c r="C20" s="100">
        <f>'PHỤ LUC HT'!C90</f>
        <v>0.41</v>
      </c>
      <c r="D20" s="99">
        <f>'Tran Phu'!AI67</f>
        <v>0</v>
      </c>
      <c r="E20" s="100"/>
      <c r="F20" s="100"/>
      <c r="G20" s="100"/>
      <c r="H20" s="100">
        <f>'PHỤ LUC HT'!E90</f>
        <v>0</v>
      </c>
      <c r="I20" s="100">
        <f t="shared" si="0"/>
        <v>0.41</v>
      </c>
      <c r="J20" s="42" t="s">
        <v>248</v>
      </c>
      <c r="K20" s="476" t="s">
        <v>757</v>
      </c>
      <c r="L20" s="271">
        <v>0.77</v>
      </c>
      <c r="M20" s="271">
        <v>226.98</v>
      </c>
      <c r="N20" s="271">
        <f t="shared" si="1"/>
        <v>0.41</v>
      </c>
      <c r="O20" s="271">
        <f t="shared" si="2"/>
        <v>-0.36000000000000004</v>
      </c>
      <c r="P20" s="271">
        <f t="shared" si="3"/>
        <v>-226.57</v>
      </c>
    </row>
    <row r="21" spans="1:16" ht="18.75" customHeight="1">
      <c r="A21" s="5" t="s">
        <v>249</v>
      </c>
      <c r="B21" s="476" t="s">
        <v>758</v>
      </c>
      <c r="C21" s="100">
        <f>'PHỤ LUC HT'!C91</f>
        <v>0.92</v>
      </c>
      <c r="D21" s="99">
        <f>'Hai Hoa'!AI67</f>
        <v>0</v>
      </c>
      <c r="E21" s="100"/>
      <c r="F21" s="100"/>
      <c r="G21" s="100"/>
      <c r="H21" s="100">
        <f>'PHỤ LUC HT'!E91</f>
        <v>0</v>
      </c>
      <c r="I21" s="100">
        <f t="shared" si="0"/>
        <v>0.92</v>
      </c>
      <c r="J21" s="42" t="s">
        <v>249</v>
      </c>
      <c r="K21" s="476" t="s">
        <v>758</v>
      </c>
      <c r="L21" s="271">
        <v>0.65</v>
      </c>
      <c r="M21" s="271">
        <v>0.65</v>
      </c>
      <c r="N21" s="271">
        <f t="shared" si="1"/>
        <v>0.92</v>
      </c>
      <c r="O21" s="271">
        <f t="shared" si="2"/>
        <v>0.27</v>
      </c>
      <c r="P21" s="271">
        <f t="shared" si="3"/>
        <v>0.27</v>
      </c>
    </row>
    <row r="22" spans="1:16" ht="18.75" customHeight="1">
      <c r="A22" s="5" t="s">
        <v>250</v>
      </c>
      <c r="B22" s="476" t="s">
        <v>759</v>
      </c>
      <c r="C22" s="100">
        <f>'PHỤ LUC HT'!C92</f>
        <v>96.149500000000003</v>
      </c>
      <c r="D22" s="99">
        <f>'Tra Co'!AI67</f>
        <v>0</v>
      </c>
      <c r="E22" s="100"/>
      <c r="F22" s="100"/>
      <c r="G22" s="100"/>
      <c r="H22" s="100">
        <f>'PHỤ LUC HT'!E92</f>
        <v>0</v>
      </c>
      <c r="I22" s="100">
        <f t="shared" si="0"/>
        <v>96.149500000000003</v>
      </c>
      <c r="J22" s="42" t="s">
        <v>250</v>
      </c>
      <c r="K22" s="476" t="s">
        <v>759</v>
      </c>
      <c r="L22" s="271">
        <v>0.27</v>
      </c>
      <c r="M22" s="271">
        <v>0.27</v>
      </c>
      <c r="N22" s="271">
        <f t="shared" si="1"/>
        <v>96.149500000000003</v>
      </c>
      <c r="O22" s="271">
        <f t="shared" si="2"/>
        <v>95.879500000000007</v>
      </c>
      <c r="P22" s="271">
        <f t="shared" si="3"/>
        <v>95.879500000000007</v>
      </c>
    </row>
    <row r="23" spans="1:16" ht="18.75" customHeight="1">
      <c r="A23" s="5" t="s">
        <v>251</v>
      </c>
      <c r="B23" s="476" t="s">
        <v>760</v>
      </c>
      <c r="C23" s="100">
        <f>'PHỤ LUC HT'!C93</f>
        <v>0.86</v>
      </c>
      <c r="D23" s="99">
        <f>'Binh Ngoc'!AI67</f>
        <v>0</v>
      </c>
      <c r="E23" s="100"/>
      <c r="F23" s="100"/>
      <c r="G23" s="100"/>
      <c r="H23" s="100">
        <f>'PHỤ LUC HT'!E93</f>
        <v>0</v>
      </c>
      <c r="I23" s="100">
        <f t="shared" si="0"/>
        <v>0.86</v>
      </c>
      <c r="J23" s="42" t="s">
        <v>251</v>
      </c>
      <c r="K23" s="476" t="s">
        <v>760</v>
      </c>
      <c r="L23" s="271">
        <v>0.5</v>
      </c>
      <c r="M23" s="271">
        <v>0.5</v>
      </c>
      <c r="N23" s="271">
        <f t="shared" si="1"/>
        <v>0.86</v>
      </c>
      <c r="O23" s="271">
        <f t="shared" si="2"/>
        <v>0.36</v>
      </c>
      <c r="P23" s="271">
        <f t="shared" si="3"/>
        <v>0.36</v>
      </c>
    </row>
    <row r="24" spans="1:16" ht="24" customHeight="1">
      <c r="A24" s="65"/>
      <c r="B24" s="65" t="s">
        <v>370</v>
      </c>
      <c r="C24" s="75">
        <f t="shared" ref="C24:I24" si="4">SUM(C7:C23)</f>
        <v>113.738</v>
      </c>
      <c r="D24" s="75">
        <f t="shared" si="4"/>
        <v>0.23</v>
      </c>
      <c r="E24" s="75">
        <f t="shared" si="4"/>
        <v>0</v>
      </c>
      <c r="F24" s="75">
        <f t="shared" si="4"/>
        <v>0</v>
      </c>
      <c r="G24" s="75">
        <f t="shared" si="4"/>
        <v>0</v>
      </c>
      <c r="H24" s="75">
        <f t="shared" si="4"/>
        <v>7.0000000000000007E-2</v>
      </c>
      <c r="I24" s="75">
        <f t="shared" si="4"/>
        <v>113.89800000000001</v>
      </c>
      <c r="J24" s="31"/>
      <c r="K24" s="31" t="s">
        <v>370</v>
      </c>
      <c r="L24" s="269">
        <f>SUM(L7:L23)</f>
        <v>8.3000000000000007</v>
      </c>
      <c r="M24" s="269">
        <f>SUM(M7:M23)</f>
        <v>240.27</v>
      </c>
      <c r="N24" s="269">
        <f>SUM(N7:N23)</f>
        <v>113.89800000000001</v>
      </c>
      <c r="O24" s="269">
        <f>SUM(O7:O23)</f>
        <v>105.598</v>
      </c>
      <c r="P24" s="269">
        <f>SUM(P7:P23)</f>
        <v>-126.37199999999997</v>
      </c>
    </row>
    <row r="25" spans="1:16" ht="15.75">
      <c r="I25" s="74">
        <f>'TONG TP'!BN38</f>
        <v>113.898</v>
      </c>
    </row>
    <row r="28" spans="1:16">
      <c r="I28">
        <f>'TONG TP'!BN38</f>
        <v>113.898</v>
      </c>
    </row>
    <row r="29" spans="1:16">
      <c r="I29" s="177">
        <f>I24-I28</f>
        <v>0</v>
      </c>
    </row>
    <row r="30" spans="1:16">
      <c r="C30" s="177">
        <f>C24-H24</f>
        <v>113.66800000000001</v>
      </c>
    </row>
  </sheetData>
  <autoFilter ref="A6:P25">
    <filterColumn colId="8">
      <customFilters>
        <customFilter operator="notEqual" val=" "/>
      </customFilters>
    </filterColumn>
  </autoFilter>
  <mergeCells count="18">
    <mergeCell ref="O4:P4"/>
    <mergeCell ref="O5:O6"/>
    <mergeCell ref="P5:P6"/>
    <mergeCell ref="J4:J6"/>
    <mergeCell ref="K4:K6"/>
    <mergeCell ref="L4:L6"/>
    <mergeCell ref="M4:M6"/>
    <mergeCell ref="N4:N6"/>
    <mergeCell ref="A2:I2"/>
    <mergeCell ref="A3:I3"/>
    <mergeCell ref="A5:A6"/>
    <mergeCell ref="B5:B6"/>
    <mergeCell ref="C5:C6"/>
    <mergeCell ref="D5:D6"/>
    <mergeCell ref="H5:H6"/>
    <mergeCell ref="I5:I6"/>
    <mergeCell ref="H4:I4"/>
    <mergeCell ref="E5:G5"/>
  </mergeCells>
  <phoneticPr fontId="4" type="noConversion"/>
  <printOptions horizontalCentered="1"/>
  <pageMargins left="1" right="0.25" top="0.3" bottom="0.25" header="0.5" footer="0.5"/>
  <pageSetup paperSize="9" orientation="portrait"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6"/>
  <dimension ref="A1:P31"/>
  <sheetViews>
    <sheetView showZeros="0" topLeftCell="A11" zoomScaleNormal="100" workbookViewId="0">
      <selection activeCell="A5" sqref="A5:I24"/>
    </sheetView>
  </sheetViews>
  <sheetFormatPr defaultRowHeight="12.75"/>
  <cols>
    <col min="1" max="1" width="6.140625" customWidth="1"/>
    <col min="2" max="2" width="23.28515625" customWidth="1"/>
    <col min="3" max="3" width="12.42578125" customWidth="1"/>
    <col min="4" max="4" width="13.42578125" customWidth="1"/>
    <col min="5" max="5" width="7.7109375" hidden="1" customWidth="1"/>
    <col min="6" max="6" width="5.28515625" style="275" hidden="1" customWidth="1"/>
    <col min="7" max="7" width="0.140625" hidden="1" customWidth="1"/>
    <col min="8" max="8" width="13.5703125" customWidth="1"/>
    <col min="9" max="9" width="14" customWidth="1"/>
    <col min="10" max="10" width="7.42578125" customWidth="1"/>
    <col min="11" max="11" width="22.85546875" customWidth="1"/>
    <col min="12" max="12" width="9.28515625" bestFit="1" customWidth="1"/>
    <col min="13" max="15" width="9.5703125" bestFit="1" customWidth="1"/>
    <col min="16" max="16" width="9.28515625" bestFit="1" customWidth="1"/>
  </cols>
  <sheetData>
    <row r="1" spans="1:16" ht="17.25" customHeight="1">
      <c r="A1" s="342" t="s">
        <v>646</v>
      </c>
    </row>
    <row r="2" spans="1:16" ht="20.25" customHeight="1">
      <c r="A2" s="1354" t="s">
        <v>716</v>
      </c>
      <c r="B2" s="1354"/>
      <c r="C2" s="1354"/>
      <c r="D2" s="1354"/>
      <c r="E2" s="1354"/>
      <c r="F2" s="1354"/>
      <c r="G2" s="1354"/>
      <c r="H2" s="1354"/>
      <c r="I2" s="1354"/>
    </row>
    <row r="3" spans="1:16" ht="20.25" customHeight="1">
      <c r="A3" s="1354" t="s">
        <v>766</v>
      </c>
      <c r="B3" s="1354"/>
      <c r="C3" s="1354"/>
      <c r="D3" s="1354"/>
      <c r="E3" s="1354"/>
      <c r="F3" s="1354"/>
      <c r="G3" s="1354"/>
      <c r="H3" s="1354"/>
      <c r="I3" s="1354"/>
    </row>
    <row r="4" spans="1:16" ht="18" customHeight="1">
      <c r="H4" s="1377" t="s">
        <v>138</v>
      </c>
      <c r="I4" s="1377"/>
      <c r="J4" s="1301" t="s">
        <v>0</v>
      </c>
      <c r="K4" s="1301" t="s">
        <v>369</v>
      </c>
      <c r="L4" s="1301" t="s">
        <v>494</v>
      </c>
      <c r="M4" s="1391" t="s">
        <v>495</v>
      </c>
      <c r="N4" s="1391" t="s">
        <v>496</v>
      </c>
      <c r="O4" s="1390" t="s">
        <v>497</v>
      </c>
      <c r="P4" s="1390"/>
    </row>
    <row r="5" spans="1:16" ht="24" customHeight="1">
      <c r="A5" s="1280" t="s">
        <v>368</v>
      </c>
      <c r="B5" s="1280" t="s">
        <v>983</v>
      </c>
      <c r="C5" s="1280" t="s">
        <v>456</v>
      </c>
      <c r="D5" s="1280" t="s">
        <v>457</v>
      </c>
      <c r="E5" s="1280"/>
      <c r="F5" s="1280"/>
      <c r="G5" s="1280"/>
      <c r="H5" s="1280" t="s">
        <v>459</v>
      </c>
      <c r="I5" s="1280" t="s">
        <v>460</v>
      </c>
      <c r="J5" s="1301"/>
      <c r="K5" s="1301"/>
      <c r="L5" s="1301"/>
      <c r="M5" s="1391"/>
      <c r="N5" s="1391"/>
      <c r="O5" s="1301" t="s">
        <v>498</v>
      </c>
      <c r="P5" s="1301" t="s">
        <v>344</v>
      </c>
    </row>
    <row r="6" spans="1:16" ht="24" customHeight="1">
      <c r="A6" s="1280"/>
      <c r="B6" s="1280"/>
      <c r="C6" s="1280"/>
      <c r="D6" s="1280"/>
      <c r="E6" s="351"/>
      <c r="F6" s="351"/>
      <c r="G6" s="351"/>
      <c r="H6" s="1280"/>
      <c r="I6" s="1280"/>
      <c r="J6" s="1301"/>
      <c r="K6" s="1301"/>
      <c r="L6" s="1301"/>
      <c r="M6" s="1391"/>
      <c r="N6" s="1391"/>
      <c r="O6" s="1301"/>
      <c r="P6" s="1301"/>
    </row>
    <row r="7" spans="1:16" ht="21.75" customHeight="1">
      <c r="A7" s="70" t="s">
        <v>235</v>
      </c>
      <c r="B7" s="475" t="s">
        <v>744</v>
      </c>
      <c r="C7" s="350">
        <f>'PHỤ LUC HT'!C101</f>
        <v>86.98</v>
      </c>
      <c r="D7" s="350">
        <f>'Bac Son'!AL67</f>
        <v>2.13</v>
      </c>
      <c r="E7" s="350"/>
      <c r="F7" s="350"/>
      <c r="G7" s="350"/>
      <c r="H7" s="350">
        <f>'PHỤ LUC HT'!E101</f>
        <v>0.11</v>
      </c>
      <c r="I7" s="350">
        <f t="shared" ref="I7:I23" si="0">C7+D7-H7</f>
        <v>89</v>
      </c>
      <c r="J7" s="41" t="s">
        <v>235</v>
      </c>
      <c r="K7" s="475" t="s">
        <v>744</v>
      </c>
      <c r="L7" s="281">
        <v>52.39</v>
      </c>
      <c r="M7" s="281">
        <v>72.16</v>
      </c>
      <c r="N7" s="281">
        <f>I7</f>
        <v>89</v>
      </c>
      <c r="O7" s="281">
        <f>N7-L7</f>
        <v>36.61</v>
      </c>
      <c r="P7" s="281">
        <f>N7-M7</f>
        <v>16.840000000000003</v>
      </c>
    </row>
    <row r="8" spans="1:16" ht="21.75" customHeight="1">
      <c r="A8" s="5" t="s">
        <v>236</v>
      </c>
      <c r="B8" s="476" t="s">
        <v>745</v>
      </c>
      <c r="C8" s="292">
        <f>'PHỤ LUC HT'!C102</f>
        <v>44.97099</v>
      </c>
      <c r="D8" s="292">
        <f>'Hai Son'!AL67</f>
        <v>0</v>
      </c>
      <c r="E8" s="292"/>
      <c r="F8" s="292"/>
      <c r="G8" s="292"/>
      <c r="H8" s="292">
        <f>'PHỤ LUC HT'!E102</f>
        <v>0.01</v>
      </c>
      <c r="I8" s="292">
        <f t="shared" si="0"/>
        <v>44.960990000000002</v>
      </c>
      <c r="J8" s="42" t="s">
        <v>236</v>
      </c>
      <c r="K8" s="476" t="s">
        <v>745</v>
      </c>
      <c r="L8" s="100">
        <v>74.28</v>
      </c>
      <c r="M8" s="100">
        <v>104.62</v>
      </c>
      <c r="N8" s="100">
        <f t="shared" ref="N8:N23" si="1">I8</f>
        <v>44.960990000000002</v>
      </c>
      <c r="O8" s="100">
        <f t="shared" ref="O8:O23" si="2">N8-L8</f>
        <v>-29.319009999999999</v>
      </c>
      <c r="P8" s="100">
        <f t="shared" ref="P8:P23" si="3">N8-M8</f>
        <v>-59.659010000000002</v>
      </c>
    </row>
    <row r="9" spans="1:16" ht="21.75" customHeight="1">
      <c r="A9" s="5" t="s">
        <v>237</v>
      </c>
      <c r="B9" s="476" t="s">
        <v>746</v>
      </c>
      <c r="C9" s="292">
        <f>'PHỤ LUC HT'!C103</f>
        <v>161.41</v>
      </c>
      <c r="D9" s="292">
        <f>'Quang Nghia'!AL67</f>
        <v>27.070000000000007</v>
      </c>
      <c r="E9" s="292"/>
      <c r="F9" s="292"/>
      <c r="G9" s="292"/>
      <c r="H9" s="292">
        <f>'PHỤ LUC HT'!E103</f>
        <v>2.12</v>
      </c>
      <c r="I9" s="292">
        <f t="shared" si="0"/>
        <v>186.36</v>
      </c>
      <c r="J9" s="42" t="s">
        <v>237</v>
      </c>
      <c r="K9" s="476" t="s">
        <v>746</v>
      </c>
      <c r="L9" s="100">
        <v>48</v>
      </c>
      <c r="M9" s="100">
        <v>114.95</v>
      </c>
      <c r="N9" s="100">
        <f t="shared" si="1"/>
        <v>186.36</v>
      </c>
      <c r="O9" s="100">
        <f t="shared" si="2"/>
        <v>138.36000000000001</v>
      </c>
      <c r="P9" s="100">
        <f t="shared" si="3"/>
        <v>71.410000000000011</v>
      </c>
    </row>
    <row r="10" spans="1:16" ht="21.75" customHeight="1">
      <c r="A10" s="5" t="s">
        <v>238</v>
      </c>
      <c r="B10" s="476" t="s">
        <v>747</v>
      </c>
      <c r="C10" s="292">
        <f>'PHỤ LUC HT'!C104</f>
        <v>105.35</v>
      </c>
      <c r="D10" s="292">
        <f>'Hai Dong'!AL67</f>
        <v>7.73</v>
      </c>
      <c r="E10" s="292"/>
      <c r="F10" s="292"/>
      <c r="G10" s="292"/>
      <c r="H10" s="292">
        <f>'PHỤ LUC HT'!E104</f>
        <v>0.02</v>
      </c>
      <c r="I10" s="292">
        <f t="shared" si="0"/>
        <v>113.06</v>
      </c>
      <c r="J10" s="42" t="s">
        <v>238</v>
      </c>
      <c r="K10" s="476" t="s">
        <v>747</v>
      </c>
      <c r="L10" s="100">
        <v>58.27</v>
      </c>
      <c r="M10" s="100">
        <v>61.77</v>
      </c>
      <c r="N10" s="100">
        <f t="shared" si="1"/>
        <v>113.06</v>
      </c>
      <c r="O10" s="100">
        <f t="shared" si="2"/>
        <v>54.79</v>
      </c>
      <c r="P10" s="100">
        <f t="shared" si="3"/>
        <v>51.29</v>
      </c>
    </row>
    <row r="11" spans="1:16" ht="21.75" customHeight="1">
      <c r="A11" s="5" t="s">
        <v>239</v>
      </c>
      <c r="B11" s="476" t="s">
        <v>748</v>
      </c>
      <c r="C11" s="292">
        <f>'PHỤ LUC HT'!C105</f>
        <v>124.55</v>
      </c>
      <c r="D11" s="292">
        <f>'Hai Tien'!AL67</f>
        <v>14.100000000000001</v>
      </c>
      <c r="E11" s="292"/>
      <c r="F11" s="292"/>
      <c r="G11" s="292"/>
      <c r="H11" s="292">
        <f>'PHỤ LUC HT'!E105</f>
        <v>0.56999999999999995</v>
      </c>
      <c r="I11" s="292">
        <f t="shared" si="0"/>
        <v>138.08000000000001</v>
      </c>
      <c r="J11" s="42" t="s">
        <v>239</v>
      </c>
      <c r="K11" s="476" t="s">
        <v>748</v>
      </c>
      <c r="L11" s="100">
        <v>30.3</v>
      </c>
      <c r="M11" s="100">
        <v>48.35</v>
      </c>
      <c r="N11" s="100">
        <f t="shared" si="1"/>
        <v>138.08000000000001</v>
      </c>
      <c r="O11" s="100">
        <f t="shared" si="2"/>
        <v>107.78000000000002</v>
      </c>
      <c r="P11" s="100">
        <f t="shared" si="3"/>
        <v>89.730000000000018</v>
      </c>
    </row>
    <row r="12" spans="1:16" ht="21.75" customHeight="1">
      <c r="A12" s="5" t="s">
        <v>240</v>
      </c>
      <c r="B12" s="476" t="s">
        <v>749</v>
      </c>
      <c r="C12" s="292">
        <f>'PHỤ LUC HT'!C106</f>
        <v>111.82</v>
      </c>
      <c r="D12" s="292">
        <f>'Hai Xuan'!AL67</f>
        <v>10.85</v>
      </c>
      <c r="E12" s="292"/>
      <c r="F12" s="292"/>
      <c r="G12" s="292"/>
      <c r="H12" s="292">
        <f>'PHỤ LUC HT'!E106</f>
        <v>0.81</v>
      </c>
      <c r="I12" s="292">
        <f t="shared" si="0"/>
        <v>121.85999999999999</v>
      </c>
      <c r="J12" s="42" t="s">
        <v>240</v>
      </c>
      <c r="K12" s="476" t="s">
        <v>749</v>
      </c>
      <c r="L12" s="100">
        <v>25.41</v>
      </c>
      <c r="M12" s="100">
        <v>31.49</v>
      </c>
      <c r="N12" s="100">
        <f t="shared" si="1"/>
        <v>121.85999999999999</v>
      </c>
      <c r="O12" s="100">
        <f t="shared" si="2"/>
        <v>96.449999999999989</v>
      </c>
      <c r="P12" s="100">
        <f t="shared" si="3"/>
        <v>90.36999999999999</v>
      </c>
    </row>
    <row r="13" spans="1:16" ht="21.75" customHeight="1">
      <c r="A13" s="5" t="s">
        <v>241</v>
      </c>
      <c r="B13" s="476" t="s">
        <v>750</v>
      </c>
      <c r="C13" s="292">
        <f>'PHỤ LUC HT'!C107</f>
        <v>47.68</v>
      </c>
      <c r="D13" s="292">
        <f>'Van Ninh'!AL68</f>
        <v>18.29</v>
      </c>
      <c r="E13" s="292"/>
      <c r="F13" s="292"/>
      <c r="G13" s="292"/>
      <c r="H13" s="292">
        <f>'PHỤ LUC HT'!E107</f>
        <v>0.01</v>
      </c>
      <c r="I13" s="292">
        <f t="shared" si="0"/>
        <v>65.959999999999994</v>
      </c>
      <c r="J13" s="42" t="s">
        <v>241</v>
      </c>
      <c r="K13" s="476" t="s">
        <v>750</v>
      </c>
      <c r="L13" s="100">
        <v>15.87</v>
      </c>
      <c r="M13" s="100">
        <v>23.56</v>
      </c>
      <c r="N13" s="100">
        <f t="shared" si="1"/>
        <v>65.959999999999994</v>
      </c>
      <c r="O13" s="100">
        <f t="shared" si="2"/>
        <v>50.089999999999996</v>
      </c>
      <c r="P13" s="100">
        <f t="shared" si="3"/>
        <v>42.399999999999991</v>
      </c>
    </row>
    <row r="14" spans="1:16" ht="21.75" customHeight="1">
      <c r="A14" s="5" t="s">
        <v>242</v>
      </c>
      <c r="B14" s="476" t="s">
        <v>751</v>
      </c>
      <c r="C14" s="292">
        <f>'PHỤ LUC HT'!C108</f>
        <v>63.69</v>
      </c>
      <c r="D14" s="292">
        <f>'Vinh Trung'!AL68</f>
        <v>0</v>
      </c>
      <c r="E14" s="292"/>
      <c r="F14" s="292"/>
      <c r="G14" s="292"/>
      <c r="H14" s="292">
        <f>'PHỤ LUC HT'!E108</f>
        <v>0.04</v>
      </c>
      <c r="I14" s="292">
        <f t="shared" si="0"/>
        <v>63.65</v>
      </c>
      <c r="J14" s="42" t="s">
        <v>242</v>
      </c>
      <c r="K14" s="476" t="s">
        <v>751</v>
      </c>
      <c r="L14" s="100">
        <v>10.64</v>
      </c>
      <c r="M14" s="100">
        <v>20.97</v>
      </c>
      <c r="N14" s="100">
        <f t="shared" si="1"/>
        <v>63.65</v>
      </c>
      <c r="O14" s="100">
        <f t="shared" si="2"/>
        <v>53.01</v>
      </c>
      <c r="P14" s="100">
        <f t="shared" si="3"/>
        <v>42.68</v>
      </c>
    </row>
    <row r="15" spans="1:16" ht="21.75" customHeight="1">
      <c r="A15" s="5" t="s">
        <v>243</v>
      </c>
      <c r="B15" s="476" t="s">
        <v>752</v>
      </c>
      <c r="C15" s="292">
        <f>'PHỤ LUC HT'!C109</f>
        <v>47.15</v>
      </c>
      <c r="D15" s="292">
        <f>'Vinh Thuc'!AL67</f>
        <v>0.55000000000000004</v>
      </c>
      <c r="E15" s="292"/>
      <c r="F15" s="292"/>
      <c r="G15" s="292"/>
      <c r="H15" s="292">
        <f>'PHỤ LUC HT'!E109</f>
        <v>2.77</v>
      </c>
      <c r="I15" s="292">
        <f t="shared" si="0"/>
        <v>44.929999999999993</v>
      </c>
      <c r="J15" s="42" t="s">
        <v>243</v>
      </c>
      <c r="K15" s="476" t="s">
        <v>752</v>
      </c>
      <c r="L15" s="100">
        <v>16.239999999999998</v>
      </c>
      <c r="M15" s="100">
        <v>34.92</v>
      </c>
      <c r="N15" s="100">
        <f t="shared" si="1"/>
        <v>44.929999999999993</v>
      </c>
      <c r="O15" s="100">
        <f t="shared" si="2"/>
        <v>28.689999999999994</v>
      </c>
      <c r="P15" s="100">
        <f t="shared" si="3"/>
        <v>10.009999999999991</v>
      </c>
    </row>
    <row r="16" spans="1:16" ht="21.75" customHeight="1">
      <c r="A16" s="5" t="s">
        <v>244</v>
      </c>
      <c r="B16" s="476" t="s">
        <v>753</v>
      </c>
      <c r="C16" s="292">
        <f>'PHỤ LUC HT'!C110</f>
        <v>157.30519999999999</v>
      </c>
      <c r="D16" s="292">
        <f>'Hai Yen'!AL68</f>
        <v>44.31</v>
      </c>
      <c r="E16" s="292"/>
      <c r="F16" s="292"/>
      <c r="G16" s="292"/>
      <c r="H16" s="292">
        <f>'PHỤ LUC HT'!E110</f>
        <v>1.8199999999999998</v>
      </c>
      <c r="I16" s="292">
        <f t="shared" si="0"/>
        <v>199.79519999999999</v>
      </c>
      <c r="J16" s="42" t="s">
        <v>244</v>
      </c>
      <c r="K16" s="476" t="s">
        <v>753</v>
      </c>
      <c r="L16" s="100">
        <v>11.53</v>
      </c>
      <c r="M16" s="100">
        <v>30.57</v>
      </c>
      <c r="N16" s="100">
        <f t="shared" si="1"/>
        <v>199.79519999999999</v>
      </c>
      <c r="O16" s="100">
        <f t="shared" si="2"/>
        <v>188.26519999999999</v>
      </c>
      <c r="P16" s="100">
        <f t="shared" si="3"/>
        <v>169.2252</v>
      </c>
    </row>
    <row r="17" spans="1:16" ht="21.75" customHeight="1">
      <c r="A17" s="5" t="s">
        <v>245</v>
      </c>
      <c r="B17" s="476" t="s">
        <v>754</v>
      </c>
      <c r="C17" s="292">
        <f>'PHỤ LUC HT'!C111</f>
        <v>52.232900000000001</v>
      </c>
      <c r="D17" s="292">
        <f>'Ka Long'!AL67</f>
        <v>0</v>
      </c>
      <c r="E17" s="292"/>
      <c r="F17" s="292"/>
      <c r="G17" s="292"/>
      <c r="H17" s="292">
        <f>'PHỤ LUC HT'!E111</f>
        <v>0</v>
      </c>
      <c r="I17" s="292">
        <f t="shared" si="0"/>
        <v>52.232900000000001</v>
      </c>
      <c r="J17" s="42" t="s">
        <v>245</v>
      </c>
      <c r="K17" s="476" t="s">
        <v>754</v>
      </c>
      <c r="L17" s="100">
        <v>12.41</v>
      </c>
      <c r="M17" s="100">
        <v>35.71</v>
      </c>
      <c r="N17" s="100">
        <f t="shared" si="1"/>
        <v>52.232900000000001</v>
      </c>
      <c r="O17" s="100">
        <f t="shared" si="2"/>
        <v>39.822900000000004</v>
      </c>
      <c r="P17" s="100">
        <f t="shared" si="3"/>
        <v>16.5229</v>
      </c>
    </row>
    <row r="18" spans="1:16" ht="21.75" customHeight="1">
      <c r="A18" s="5" t="s">
        <v>246</v>
      </c>
      <c r="B18" s="476" t="s">
        <v>755</v>
      </c>
      <c r="C18" s="292">
        <f>'PHỤ LUC HT'!C112</f>
        <v>89.673500000000004</v>
      </c>
      <c r="D18" s="292">
        <f>'Ninh Duong'!AL67</f>
        <v>14.099999999999998</v>
      </c>
      <c r="E18" s="292"/>
      <c r="F18" s="292"/>
      <c r="G18" s="292"/>
      <c r="H18" s="292">
        <f>'PHỤ LUC HT'!E112</f>
        <v>0.22000000000000003</v>
      </c>
      <c r="I18" s="292">
        <f t="shared" si="0"/>
        <v>103.5535</v>
      </c>
      <c r="J18" s="42" t="s">
        <v>246</v>
      </c>
      <c r="K18" s="476" t="s">
        <v>755</v>
      </c>
      <c r="L18" s="100">
        <v>78.17</v>
      </c>
      <c r="M18" s="100">
        <v>88.23</v>
      </c>
      <c r="N18" s="100">
        <f t="shared" si="1"/>
        <v>103.5535</v>
      </c>
      <c r="O18" s="100">
        <f t="shared" si="2"/>
        <v>25.383499999999998</v>
      </c>
      <c r="P18" s="100">
        <f t="shared" si="3"/>
        <v>15.323499999999996</v>
      </c>
    </row>
    <row r="19" spans="1:16" ht="21.75" customHeight="1">
      <c r="A19" s="5" t="s">
        <v>247</v>
      </c>
      <c r="B19" s="476" t="s">
        <v>756</v>
      </c>
      <c r="C19" s="292">
        <f>'PHỤ LUC HT'!C113</f>
        <v>22.84</v>
      </c>
      <c r="D19" s="292">
        <f>'Hoa Lac'!AL67</f>
        <v>0</v>
      </c>
      <c r="E19" s="292"/>
      <c r="F19" s="292"/>
      <c r="G19" s="292"/>
      <c r="H19" s="292">
        <f>'PHỤ LUC HT'!E113</f>
        <v>0</v>
      </c>
      <c r="I19" s="292">
        <f t="shared" si="0"/>
        <v>22.84</v>
      </c>
      <c r="J19" s="42" t="s">
        <v>247</v>
      </c>
      <c r="K19" s="476" t="s">
        <v>756</v>
      </c>
      <c r="L19" s="100">
        <v>49.04</v>
      </c>
      <c r="M19" s="100">
        <v>65.260000000000005</v>
      </c>
      <c r="N19" s="100">
        <f t="shared" si="1"/>
        <v>22.84</v>
      </c>
      <c r="O19" s="100">
        <f t="shared" si="2"/>
        <v>-26.2</v>
      </c>
      <c r="P19" s="100">
        <f t="shared" si="3"/>
        <v>-42.42</v>
      </c>
    </row>
    <row r="20" spans="1:16" ht="21.75" customHeight="1">
      <c r="A20" s="5" t="s">
        <v>248</v>
      </c>
      <c r="B20" s="476" t="s">
        <v>757</v>
      </c>
      <c r="C20" s="292">
        <f>'PHỤ LUC HT'!C114</f>
        <v>31.29</v>
      </c>
      <c r="D20" s="292">
        <f>'Tran Phu'!AL67</f>
        <v>0.04</v>
      </c>
      <c r="E20" s="292"/>
      <c r="F20" s="292"/>
      <c r="G20" s="292"/>
      <c r="H20" s="292">
        <f>'PHỤ LUC HT'!E114</f>
        <v>0.04</v>
      </c>
      <c r="I20" s="292">
        <f t="shared" si="0"/>
        <v>31.29</v>
      </c>
      <c r="J20" s="42" t="s">
        <v>248</v>
      </c>
      <c r="K20" s="476" t="s">
        <v>757</v>
      </c>
      <c r="L20" s="100">
        <v>19.34</v>
      </c>
      <c r="M20" s="100">
        <v>111.37</v>
      </c>
      <c r="N20" s="100">
        <f t="shared" si="1"/>
        <v>31.29</v>
      </c>
      <c r="O20" s="100">
        <f t="shared" si="2"/>
        <v>11.95</v>
      </c>
      <c r="P20" s="100">
        <f t="shared" si="3"/>
        <v>-80.080000000000013</v>
      </c>
    </row>
    <row r="21" spans="1:16" ht="21.75" customHeight="1">
      <c r="A21" s="5" t="s">
        <v>249</v>
      </c>
      <c r="B21" s="476" t="s">
        <v>758</v>
      </c>
      <c r="C21" s="292">
        <f>'PHỤ LUC HT'!C115</f>
        <v>145.22999999999999</v>
      </c>
      <c r="D21" s="292">
        <f>'Hai Hoa'!AL67</f>
        <v>79.580000000000013</v>
      </c>
      <c r="E21" s="292"/>
      <c r="F21" s="292"/>
      <c r="G21" s="292"/>
      <c r="H21" s="292">
        <f>'PHỤ LUC HT'!E115</f>
        <v>9.379999999999999</v>
      </c>
      <c r="I21" s="292">
        <f t="shared" si="0"/>
        <v>215.43</v>
      </c>
      <c r="J21" s="42" t="s">
        <v>249</v>
      </c>
      <c r="K21" s="476" t="s">
        <v>758</v>
      </c>
      <c r="L21" s="100">
        <v>37.49</v>
      </c>
      <c r="M21" s="100">
        <v>37.49</v>
      </c>
      <c r="N21" s="100">
        <f t="shared" si="1"/>
        <v>215.43</v>
      </c>
      <c r="O21" s="100">
        <f t="shared" si="2"/>
        <v>177.94</v>
      </c>
      <c r="P21" s="100">
        <f t="shared" si="3"/>
        <v>177.94</v>
      </c>
    </row>
    <row r="22" spans="1:16" ht="21.75" customHeight="1">
      <c r="A22" s="5" t="s">
        <v>250</v>
      </c>
      <c r="B22" s="476" t="s">
        <v>759</v>
      </c>
      <c r="C22" s="292">
        <f>'PHỤ LUC HT'!C116</f>
        <v>46.87</v>
      </c>
      <c r="D22" s="292">
        <f>'Tra Co'!AL67</f>
        <v>3.7</v>
      </c>
      <c r="E22" s="292"/>
      <c r="F22" s="292"/>
      <c r="G22" s="292"/>
      <c r="H22" s="292">
        <f>'PHỤ LUC HT'!E116</f>
        <v>0</v>
      </c>
      <c r="I22" s="292">
        <f t="shared" si="0"/>
        <v>50.57</v>
      </c>
      <c r="J22" s="42" t="s">
        <v>250</v>
      </c>
      <c r="K22" s="476" t="s">
        <v>759</v>
      </c>
      <c r="L22" s="100">
        <v>10.87</v>
      </c>
      <c r="M22" s="100">
        <v>18.48</v>
      </c>
      <c r="N22" s="100">
        <f t="shared" si="1"/>
        <v>50.57</v>
      </c>
      <c r="O22" s="100">
        <f t="shared" si="2"/>
        <v>39.700000000000003</v>
      </c>
      <c r="P22" s="100">
        <f t="shared" si="3"/>
        <v>32.090000000000003</v>
      </c>
    </row>
    <row r="23" spans="1:16" ht="21.75" customHeight="1">
      <c r="A23" s="5" t="s">
        <v>251</v>
      </c>
      <c r="B23" s="476" t="s">
        <v>760</v>
      </c>
      <c r="C23" s="292">
        <f>'PHỤ LUC HT'!C117</f>
        <v>64.599999999999994</v>
      </c>
      <c r="D23" s="292">
        <f>'Binh Ngoc'!AL67</f>
        <v>0</v>
      </c>
      <c r="E23" s="292"/>
      <c r="F23" s="292"/>
      <c r="G23" s="292"/>
      <c r="H23" s="292">
        <f>'PHỤ LUC HT'!E117</f>
        <v>0</v>
      </c>
      <c r="I23" s="292">
        <f t="shared" si="0"/>
        <v>64.599999999999994</v>
      </c>
      <c r="J23" s="42" t="s">
        <v>251</v>
      </c>
      <c r="K23" s="476" t="s">
        <v>760</v>
      </c>
      <c r="L23" s="100">
        <v>16.55</v>
      </c>
      <c r="M23" s="100">
        <v>38.08</v>
      </c>
      <c r="N23" s="100">
        <f t="shared" si="1"/>
        <v>64.599999999999994</v>
      </c>
      <c r="O23" s="100">
        <f t="shared" si="2"/>
        <v>48.05</v>
      </c>
      <c r="P23" s="100">
        <f t="shared" si="3"/>
        <v>26.519999999999996</v>
      </c>
    </row>
    <row r="24" spans="1:16" ht="21.75" customHeight="1">
      <c r="A24" s="65"/>
      <c r="B24" s="65" t="s">
        <v>370</v>
      </c>
      <c r="C24" s="269">
        <f t="shared" ref="C24:I24" si="4">SUM(C7:C23)</f>
        <v>1403.6425899999995</v>
      </c>
      <c r="D24" s="269">
        <f t="shared" si="4"/>
        <v>222.45000000000002</v>
      </c>
      <c r="E24" s="269">
        <f t="shared" si="4"/>
        <v>0</v>
      </c>
      <c r="F24" s="269">
        <f t="shared" si="4"/>
        <v>0</v>
      </c>
      <c r="G24" s="269">
        <f t="shared" si="4"/>
        <v>0</v>
      </c>
      <c r="H24" s="269">
        <f t="shared" si="4"/>
        <v>17.919999999999998</v>
      </c>
      <c r="I24" s="269">
        <f t="shared" si="4"/>
        <v>1608.1725899999997</v>
      </c>
      <c r="J24" s="31"/>
      <c r="K24" s="31" t="s">
        <v>370</v>
      </c>
      <c r="L24" s="75">
        <f>SUM(L7:L23)</f>
        <v>566.79999999999995</v>
      </c>
      <c r="M24" s="75">
        <f>SUM(M7:M23)</f>
        <v>937.98000000000013</v>
      </c>
      <c r="N24" s="75">
        <f>SUM(N7:N23)</f>
        <v>1608.1725899999997</v>
      </c>
      <c r="O24" s="75">
        <f>SUM(O7:O23)</f>
        <v>1041.3725899999999</v>
      </c>
      <c r="P24" s="75">
        <f>SUM(P7:P23)</f>
        <v>670.19259</v>
      </c>
    </row>
    <row r="25" spans="1:16" ht="18.75" hidden="1" customHeight="1">
      <c r="I25" s="398">
        <f>'TONG TP'!BN41</f>
        <v>1608.1725899999994</v>
      </c>
    </row>
    <row r="26" spans="1:16">
      <c r="I26">
        <f>I24-I25</f>
        <v>0</v>
      </c>
    </row>
    <row r="28" spans="1:16">
      <c r="C28" s="177">
        <f>C24-H24</f>
        <v>1385.7225899999994</v>
      </c>
    </row>
    <row r="29" spans="1:16">
      <c r="I29" s="177"/>
    </row>
    <row r="31" spans="1:16">
      <c r="I31">
        <f>'TONG TP'!BN41</f>
        <v>1608.1725899999994</v>
      </c>
    </row>
  </sheetData>
  <mergeCells count="18">
    <mergeCell ref="O4:P4"/>
    <mergeCell ref="O5:O6"/>
    <mergeCell ref="P5:P6"/>
    <mergeCell ref="J4:J6"/>
    <mergeCell ref="K4:K6"/>
    <mergeCell ref="L4:L6"/>
    <mergeCell ref="M4:M6"/>
    <mergeCell ref="N4:N6"/>
    <mergeCell ref="A2:I2"/>
    <mergeCell ref="A3:I3"/>
    <mergeCell ref="A5:A6"/>
    <mergeCell ref="B5:B6"/>
    <mergeCell ref="C5:C6"/>
    <mergeCell ref="D5:D6"/>
    <mergeCell ref="E5:G5"/>
    <mergeCell ref="H5:H6"/>
    <mergeCell ref="I5:I6"/>
    <mergeCell ref="H4:I4"/>
  </mergeCells>
  <phoneticPr fontId="4" type="noConversion"/>
  <printOptions horizontalCentered="1"/>
  <pageMargins left="1.1499999999999999" right="0.3" top="0.25" bottom="0.25" header="0.5" footer="0.5"/>
  <pageSetup paperSize="9" scale="78" orientation="portrait"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tabColor rgb="FFFF0000"/>
  </sheetPr>
  <dimension ref="A1:AX63"/>
  <sheetViews>
    <sheetView showZeros="0" zoomScale="75" workbookViewId="0">
      <selection sqref="A1:XFD1048576"/>
    </sheetView>
  </sheetViews>
  <sheetFormatPr defaultRowHeight="24.95" customHeight="1"/>
  <cols>
    <col min="1" max="1" width="6.42578125" customWidth="1"/>
    <col min="2" max="2" width="40" customWidth="1"/>
    <col min="3" max="3" width="8.7109375" customWidth="1"/>
    <col min="4" max="4" width="14.28515625" customWidth="1"/>
    <col min="5" max="5" width="12.42578125" customWidth="1"/>
    <col min="6" max="6" width="11.140625" customWidth="1"/>
    <col min="7" max="7" width="8.140625" customWidth="1"/>
    <col min="8" max="8" width="9.28515625" customWidth="1"/>
    <col min="9" max="9" width="9" customWidth="1"/>
    <col min="10" max="10" width="9.28515625" customWidth="1"/>
    <col min="11" max="11" width="10.28515625" customWidth="1"/>
    <col min="12" max="13" width="9.7109375" customWidth="1"/>
    <col min="14" max="14" width="8" customWidth="1"/>
    <col min="15" max="15" width="10.140625" customWidth="1"/>
    <col min="16" max="16" width="8.140625" customWidth="1"/>
    <col min="17" max="17" width="8.28515625" customWidth="1"/>
    <col min="18" max="19" width="8" customWidth="1"/>
    <col min="20" max="20" width="9.42578125" customWidth="1"/>
    <col min="21" max="21" width="8.140625" customWidth="1"/>
    <col min="22" max="22" width="10" customWidth="1"/>
    <col min="23" max="23" width="8.28515625" customWidth="1"/>
    <col min="24" max="24" width="8.7109375" customWidth="1"/>
    <col min="25" max="25" width="7.7109375" customWidth="1"/>
    <col min="26" max="26" width="7.140625" customWidth="1"/>
    <col min="27" max="27" width="8.28515625" customWidth="1"/>
    <col min="28" max="28" width="8.7109375" customWidth="1"/>
    <col min="29" max="29" width="8.5703125" customWidth="1"/>
    <col min="30" max="30" width="10.85546875" customWidth="1"/>
    <col min="31" max="31" width="8.5703125" customWidth="1"/>
    <col min="32" max="41" width="9.85546875" customWidth="1"/>
    <col min="42" max="42" width="11.42578125" customWidth="1"/>
    <col min="43" max="43" width="12" customWidth="1"/>
    <col min="44" max="44" width="10.42578125" customWidth="1"/>
    <col min="45" max="45" width="12.85546875" customWidth="1"/>
    <col min="46" max="46" width="13.42578125" customWidth="1"/>
    <col min="47" max="47" width="13.5703125" hidden="1" customWidth="1"/>
    <col min="48" max="48" width="10.7109375" style="59" hidden="1" customWidth="1"/>
    <col min="49" max="49" width="12.7109375" hidden="1" customWidth="1"/>
    <col min="50" max="50" width="11.42578125" customWidth="1"/>
  </cols>
  <sheetData>
    <row r="1" spans="1:50" ht="19.5" customHeight="1">
      <c r="A1" s="1284" t="s">
        <v>545</v>
      </c>
      <c r="B1" s="1284"/>
    </row>
    <row r="2" spans="1:50" ht="31.5" customHeight="1">
      <c r="A2" s="1282" t="s">
        <v>762</v>
      </c>
      <c r="B2" s="1282"/>
      <c r="C2" s="1282"/>
      <c r="D2" s="1282"/>
      <c r="E2" s="1282"/>
      <c r="F2" s="1282"/>
      <c r="G2" s="1282"/>
      <c r="H2" s="1282"/>
      <c r="I2" s="1282"/>
      <c r="J2" s="1282"/>
      <c r="K2" s="1282"/>
      <c r="L2" s="1282"/>
      <c r="M2" s="1282"/>
      <c r="N2" s="1282"/>
      <c r="O2" s="1282"/>
      <c r="P2" s="1282"/>
      <c r="Q2" s="1282"/>
      <c r="R2" s="1282"/>
      <c r="S2" s="1282"/>
      <c r="T2" s="1282"/>
      <c r="U2" s="1282"/>
      <c r="V2" s="1282"/>
      <c r="W2" s="1282"/>
      <c r="X2" s="1282"/>
      <c r="Y2" s="1282"/>
      <c r="Z2" s="1282"/>
      <c r="AA2" s="1282"/>
      <c r="AB2" s="1282"/>
      <c r="AC2" s="1282"/>
      <c r="AD2" s="1282"/>
      <c r="AE2" s="1282"/>
      <c r="AF2" s="1282"/>
      <c r="AG2" s="1282"/>
      <c r="AH2" s="1282"/>
      <c r="AI2" s="1282"/>
      <c r="AJ2" s="1282"/>
      <c r="AK2" s="1282"/>
      <c r="AL2" s="1282"/>
      <c r="AM2" s="1282"/>
      <c r="AN2" s="1282"/>
      <c r="AO2" s="1282"/>
      <c r="AP2" s="1282"/>
      <c r="AQ2" s="1282"/>
      <c r="AR2" s="1282"/>
      <c r="AS2" s="1282"/>
      <c r="AT2" s="1282"/>
    </row>
    <row r="3" spans="1:50" ht="27" customHeight="1">
      <c r="AS3" s="1278" t="s">
        <v>507</v>
      </c>
      <c r="AT3" s="1278"/>
    </row>
    <row r="4" spans="1:50" ht="31.5" customHeight="1">
      <c r="A4" s="1280" t="s">
        <v>136</v>
      </c>
      <c r="B4" s="1280" t="s">
        <v>469</v>
      </c>
      <c r="C4" s="1280" t="s">
        <v>13</v>
      </c>
      <c r="D4" s="1280" t="s">
        <v>503</v>
      </c>
      <c r="E4" s="1280" t="s">
        <v>654</v>
      </c>
      <c r="F4" s="1280"/>
      <c r="G4" s="1280"/>
      <c r="H4" s="1280"/>
      <c r="I4" s="1280"/>
      <c r="J4" s="1280"/>
      <c r="K4" s="1280"/>
      <c r="L4" s="1280"/>
      <c r="M4" s="1280"/>
      <c r="N4" s="1280"/>
      <c r="O4" s="1280"/>
      <c r="P4" s="1280"/>
      <c r="Q4" s="1280"/>
      <c r="R4" s="1280"/>
      <c r="S4" s="1280"/>
      <c r="T4" s="1280"/>
      <c r="U4" s="1280"/>
      <c r="V4" s="1280"/>
      <c r="W4" s="1280"/>
      <c r="X4" s="1280"/>
      <c r="Y4" s="1280"/>
      <c r="Z4" s="1280"/>
      <c r="AA4" s="1280"/>
      <c r="AB4" s="1280"/>
      <c r="AC4" s="1280"/>
      <c r="AD4" s="1280"/>
      <c r="AE4" s="1280"/>
      <c r="AF4" s="1280"/>
      <c r="AG4" s="1280"/>
      <c r="AH4" s="1280"/>
      <c r="AI4" s="1280"/>
      <c r="AJ4" s="1280"/>
      <c r="AK4" s="1280"/>
      <c r="AL4" s="1280"/>
      <c r="AM4" s="1280"/>
      <c r="AN4" s="1280"/>
      <c r="AO4" s="1280"/>
      <c r="AP4" s="1280"/>
      <c r="AQ4" s="1280" t="s">
        <v>504</v>
      </c>
      <c r="AR4" s="1280" t="s">
        <v>191</v>
      </c>
      <c r="AS4" s="1280" t="s">
        <v>505</v>
      </c>
      <c r="AT4" s="1280" t="s">
        <v>366</v>
      </c>
    </row>
    <row r="5" spans="1:50" ht="33" customHeight="1">
      <c r="A5" s="1280"/>
      <c r="B5" s="1280"/>
      <c r="C5" s="1280"/>
      <c r="D5" s="1280"/>
      <c r="E5" s="76" t="s">
        <v>15</v>
      </c>
      <c r="F5" s="76" t="s">
        <v>18</v>
      </c>
      <c r="G5" s="76" t="s">
        <v>23</v>
      </c>
      <c r="H5" s="76" t="s">
        <v>26</v>
      </c>
      <c r="I5" s="76" t="s">
        <v>29</v>
      </c>
      <c r="J5" s="76" t="s">
        <v>32</v>
      </c>
      <c r="K5" s="76" t="s">
        <v>35</v>
      </c>
      <c r="L5" s="76" t="s">
        <v>38</v>
      </c>
      <c r="M5" s="76" t="s">
        <v>41</v>
      </c>
      <c r="N5" s="76" t="s">
        <v>44</v>
      </c>
      <c r="O5" s="76" t="s">
        <v>46</v>
      </c>
      <c r="P5" s="76" t="s">
        <v>49</v>
      </c>
      <c r="Q5" s="76" t="s">
        <v>52</v>
      </c>
      <c r="R5" s="76" t="s">
        <v>55</v>
      </c>
      <c r="S5" s="76" t="s">
        <v>58</v>
      </c>
      <c r="T5" s="76" t="s">
        <v>61</v>
      </c>
      <c r="U5" s="76" t="s">
        <v>64</v>
      </c>
      <c r="V5" s="76" t="s">
        <v>67</v>
      </c>
      <c r="W5" s="76" t="s">
        <v>70</v>
      </c>
      <c r="X5" s="76" t="s">
        <v>72</v>
      </c>
      <c r="Y5" s="76" t="s">
        <v>75</v>
      </c>
      <c r="Z5" s="76" t="s">
        <v>78</v>
      </c>
      <c r="AA5" s="76" t="s">
        <v>81</v>
      </c>
      <c r="AB5" s="76" t="s">
        <v>84</v>
      </c>
      <c r="AC5" s="76" t="s">
        <v>87</v>
      </c>
      <c r="AD5" s="76" t="s">
        <v>90</v>
      </c>
      <c r="AE5" s="76" t="s">
        <v>93</v>
      </c>
      <c r="AF5" s="76" t="s">
        <v>96</v>
      </c>
      <c r="AG5" s="76" t="s">
        <v>99</v>
      </c>
      <c r="AH5" s="76" t="s">
        <v>101</v>
      </c>
      <c r="AI5" s="76" t="s">
        <v>104</v>
      </c>
      <c r="AJ5" s="76" t="s">
        <v>107</v>
      </c>
      <c r="AK5" s="76" t="s">
        <v>110</v>
      </c>
      <c r="AL5" s="76" t="s">
        <v>113</v>
      </c>
      <c r="AM5" s="76" t="s">
        <v>116</v>
      </c>
      <c r="AN5" s="76" t="s">
        <v>119</v>
      </c>
      <c r="AO5" s="76" t="s">
        <v>122</v>
      </c>
      <c r="AP5" s="76" t="s">
        <v>124</v>
      </c>
      <c r="AQ5" s="1280"/>
      <c r="AR5" s="1280"/>
      <c r="AS5" s="1280"/>
      <c r="AT5" s="1280"/>
      <c r="AU5" s="177">
        <v>30184.85</v>
      </c>
      <c r="AV5" s="248">
        <v>0</v>
      </c>
    </row>
    <row r="6" spans="1:50" ht="22.5" customHeight="1">
      <c r="A6" s="77">
        <v>1</v>
      </c>
      <c r="B6" s="77">
        <v>2</v>
      </c>
      <c r="C6" s="77">
        <v>3</v>
      </c>
      <c r="D6" s="77">
        <v>4</v>
      </c>
      <c r="E6" s="77">
        <v>5</v>
      </c>
      <c r="F6" s="77">
        <v>6</v>
      </c>
      <c r="G6" s="77">
        <v>7</v>
      </c>
      <c r="H6" s="77">
        <v>8</v>
      </c>
      <c r="I6" s="77">
        <v>9</v>
      </c>
      <c r="J6" s="77">
        <v>10</v>
      </c>
      <c r="K6" s="77">
        <v>11</v>
      </c>
      <c r="L6" s="77">
        <v>12</v>
      </c>
      <c r="M6" s="77"/>
      <c r="N6" s="77">
        <v>13</v>
      </c>
      <c r="O6" s="77">
        <v>14</v>
      </c>
      <c r="P6" s="77">
        <v>15</v>
      </c>
      <c r="Q6" s="77">
        <v>16</v>
      </c>
      <c r="R6" s="77">
        <v>17</v>
      </c>
      <c r="S6" s="77"/>
      <c r="T6" s="77">
        <v>18</v>
      </c>
      <c r="U6" s="77">
        <v>19</v>
      </c>
      <c r="V6" s="77">
        <v>20</v>
      </c>
      <c r="W6" s="77">
        <v>21</v>
      </c>
      <c r="X6" s="77">
        <v>22</v>
      </c>
      <c r="Y6" s="77">
        <v>23</v>
      </c>
      <c r="Z6" s="77">
        <v>24</v>
      </c>
      <c r="AA6" s="77">
        <v>25</v>
      </c>
      <c r="AB6" s="77">
        <v>26</v>
      </c>
      <c r="AC6" s="77">
        <v>27</v>
      </c>
      <c r="AD6" s="77">
        <v>28</v>
      </c>
      <c r="AE6" s="77">
        <v>29</v>
      </c>
      <c r="AF6" s="77">
        <v>30</v>
      </c>
      <c r="AG6" s="77"/>
      <c r="AH6" s="77"/>
      <c r="AI6" s="77"/>
      <c r="AJ6" s="77"/>
      <c r="AK6" s="77"/>
      <c r="AL6" s="77"/>
      <c r="AM6" s="77"/>
      <c r="AN6" s="77"/>
      <c r="AO6" s="77"/>
      <c r="AP6" s="77">
        <v>31</v>
      </c>
      <c r="AQ6" s="77">
        <v>32</v>
      </c>
      <c r="AR6" s="77">
        <v>33</v>
      </c>
      <c r="AS6" s="77">
        <v>34</v>
      </c>
      <c r="AT6" s="77">
        <v>35</v>
      </c>
      <c r="AU6" s="68">
        <v>2015</v>
      </c>
      <c r="AV6" s="68">
        <v>2020</v>
      </c>
    </row>
    <row r="7" spans="1:50" s="67" customFormat="1" ht="29.25" customHeight="1">
      <c r="A7" s="85"/>
      <c r="B7" s="85" t="s">
        <v>502</v>
      </c>
      <c r="C7" s="85"/>
      <c r="D7" s="235">
        <v>31419.989999999998</v>
      </c>
      <c r="E7" s="234">
        <v>17625.449999999997</v>
      </c>
      <c r="F7" s="234">
        <v>5111.5600000000004</v>
      </c>
      <c r="G7" s="234">
        <v>287.71999999999997</v>
      </c>
      <c r="H7" s="234">
        <v>860.03000000000009</v>
      </c>
      <c r="I7" s="234">
        <v>1187.3100000000002</v>
      </c>
      <c r="J7" s="234">
        <v>23</v>
      </c>
      <c r="K7" s="234">
        <v>1901.23</v>
      </c>
      <c r="L7" s="234">
        <v>8229.7199999999993</v>
      </c>
      <c r="M7" s="234">
        <v>0</v>
      </c>
      <c r="N7" s="234">
        <v>34.089999999999996</v>
      </c>
      <c r="O7" s="234">
        <v>7518.6400000000012</v>
      </c>
      <c r="P7" s="234">
        <v>127.64999999999999</v>
      </c>
      <c r="Q7" s="234">
        <v>1.03</v>
      </c>
      <c r="R7" s="234">
        <v>10.370000000000033</v>
      </c>
      <c r="S7" s="234">
        <v>0</v>
      </c>
      <c r="T7" s="234">
        <v>0</v>
      </c>
      <c r="U7" s="234">
        <v>9.52</v>
      </c>
      <c r="V7" s="234">
        <v>357.04000000000008</v>
      </c>
      <c r="W7" s="234">
        <v>0</v>
      </c>
      <c r="X7" s="234">
        <v>1399.64</v>
      </c>
      <c r="Y7" s="234">
        <v>7.59</v>
      </c>
      <c r="Z7" s="234">
        <v>0</v>
      </c>
      <c r="AA7" s="234">
        <v>4.5199999999999996</v>
      </c>
      <c r="AB7" s="234">
        <v>505.85</v>
      </c>
      <c r="AC7" s="234">
        <v>593.61</v>
      </c>
      <c r="AD7" s="234">
        <v>9.3500000000000014</v>
      </c>
      <c r="AE7" s="234">
        <v>3.5</v>
      </c>
      <c r="AF7" s="234">
        <v>0</v>
      </c>
      <c r="AG7" s="234">
        <v>12.33</v>
      </c>
      <c r="AH7" s="234">
        <v>124.68</v>
      </c>
      <c r="AI7" s="234">
        <v>103.94</v>
      </c>
      <c r="AJ7" s="234">
        <v>9.91</v>
      </c>
      <c r="AK7" s="234">
        <v>2.96</v>
      </c>
      <c r="AL7" s="234">
        <v>6.8999999999999995</v>
      </c>
      <c r="AM7" s="234">
        <v>4075.2300000000005</v>
      </c>
      <c r="AN7" s="234">
        <v>153.0200000000001</v>
      </c>
      <c r="AO7" s="234">
        <v>0</v>
      </c>
      <c r="AP7" s="234">
        <v>777.69</v>
      </c>
      <c r="AQ7" s="234">
        <v>5498.2099999999991</v>
      </c>
      <c r="AR7" s="234"/>
      <c r="AS7" s="234">
        <v>-1235.1400000000001</v>
      </c>
      <c r="AT7" s="234">
        <v>30184.850000000002</v>
      </c>
      <c r="AU7" s="67">
        <v>51953.306899999996</v>
      </c>
      <c r="AV7" s="191">
        <v>51988.946900000003</v>
      </c>
      <c r="AW7" s="247">
        <v>-1235.1399999999958</v>
      </c>
      <c r="AX7" s="247"/>
    </row>
    <row r="8" spans="1:50" s="67" customFormat="1" ht="23.25" customHeight="1">
      <c r="A8" s="86">
        <v>1</v>
      </c>
      <c r="B8" s="87" t="s">
        <v>14</v>
      </c>
      <c r="C8" s="86" t="s">
        <v>15</v>
      </c>
      <c r="D8" s="219">
        <v>19116.87</v>
      </c>
      <c r="E8" s="236">
        <v>17365.649999999998</v>
      </c>
      <c r="F8" s="219">
        <v>5088.1000000000004</v>
      </c>
      <c r="G8" s="219">
        <v>280.52</v>
      </c>
      <c r="H8" s="219">
        <v>858.04000000000008</v>
      </c>
      <c r="I8" s="219">
        <v>1187.3100000000002</v>
      </c>
      <c r="J8" s="219">
        <v>23</v>
      </c>
      <c r="K8" s="219">
        <v>1873.4</v>
      </c>
      <c r="L8" s="219">
        <v>8035.24</v>
      </c>
      <c r="M8" s="219">
        <v>0</v>
      </c>
      <c r="N8" s="219">
        <v>27.740000000000002</v>
      </c>
      <c r="O8" s="219">
        <v>190.77000000000004</v>
      </c>
      <c r="P8" s="219">
        <v>0</v>
      </c>
      <c r="Q8" s="219">
        <v>0</v>
      </c>
      <c r="R8" s="219">
        <v>0</v>
      </c>
      <c r="S8" s="219">
        <v>0</v>
      </c>
      <c r="T8" s="219">
        <v>0</v>
      </c>
      <c r="U8" s="219">
        <v>0.99999999999999989</v>
      </c>
      <c r="V8" s="219">
        <v>28.189999999999998</v>
      </c>
      <c r="W8" s="219">
        <v>0</v>
      </c>
      <c r="X8" s="219">
        <v>112.83000000000001</v>
      </c>
      <c r="Y8" s="219">
        <v>0</v>
      </c>
      <c r="Z8" s="219">
        <v>0</v>
      </c>
      <c r="AA8" s="219">
        <v>0</v>
      </c>
      <c r="AB8" s="219">
        <v>12.19</v>
      </c>
      <c r="AC8" s="219">
        <v>21.09</v>
      </c>
      <c r="AD8" s="219">
        <v>0.47</v>
      </c>
      <c r="AE8" s="219">
        <v>0</v>
      </c>
      <c r="AF8" s="219">
        <v>0</v>
      </c>
      <c r="AG8" s="219">
        <v>1.28</v>
      </c>
      <c r="AH8" s="219">
        <v>3.6199999999999997</v>
      </c>
      <c r="AI8" s="219">
        <v>5.34</v>
      </c>
      <c r="AJ8" s="219">
        <v>2.9999999999999996</v>
      </c>
      <c r="AK8" s="219">
        <v>1.7600000000000002</v>
      </c>
      <c r="AL8" s="219">
        <v>0</v>
      </c>
      <c r="AM8" s="219">
        <v>0</v>
      </c>
      <c r="AN8" s="219">
        <v>0</v>
      </c>
      <c r="AO8" s="219">
        <v>0</v>
      </c>
      <c r="AP8" s="219">
        <v>122.47999999999999</v>
      </c>
      <c r="AQ8" s="219">
        <v>1437.9699999999998</v>
      </c>
      <c r="AR8" s="219">
        <v>1751.2199999999998</v>
      </c>
      <c r="AS8" s="219">
        <v>627.57000000000062</v>
      </c>
      <c r="AT8" s="219">
        <v>19752.140000000003</v>
      </c>
      <c r="AU8" s="67">
        <v>38448.142589999996</v>
      </c>
      <c r="AV8" s="191">
        <v>37673.372589999999</v>
      </c>
      <c r="AW8" s="247">
        <v>635.27000000000407</v>
      </c>
    </row>
    <row r="9" spans="1:50" s="2" customFormat="1" ht="23.25" customHeight="1">
      <c r="A9" s="5" t="s">
        <v>16</v>
      </c>
      <c r="B9" s="72" t="s">
        <v>17</v>
      </c>
      <c r="C9" s="5" t="s">
        <v>18</v>
      </c>
      <c r="D9" s="100">
        <v>5239.24</v>
      </c>
      <c r="E9" s="100">
        <v>5090.1400000000003</v>
      </c>
      <c r="F9" s="237">
        <v>5081.75</v>
      </c>
      <c r="G9" s="100">
        <v>7.52</v>
      </c>
      <c r="H9" s="100"/>
      <c r="I9" s="100"/>
      <c r="J9" s="100"/>
      <c r="K9" s="100"/>
      <c r="L9" s="100">
        <v>0.74</v>
      </c>
      <c r="M9" s="100"/>
      <c r="N9" s="100">
        <v>0.13</v>
      </c>
      <c r="O9" s="100">
        <v>93.750000000000014</v>
      </c>
      <c r="P9" s="100"/>
      <c r="Q9" s="100"/>
      <c r="R9" s="100"/>
      <c r="S9" s="100"/>
      <c r="T9" s="100"/>
      <c r="U9" s="100">
        <v>0.99999999999999989</v>
      </c>
      <c r="V9" s="100">
        <v>2.54</v>
      </c>
      <c r="W9" s="100"/>
      <c r="X9" s="100">
        <v>57.71</v>
      </c>
      <c r="Y9" s="100"/>
      <c r="Z9" s="100"/>
      <c r="AA9" s="100"/>
      <c r="AB9" s="100">
        <v>8.43</v>
      </c>
      <c r="AC9" s="100">
        <v>18.47</v>
      </c>
      <c r="AD9" s="100">
        <v>0.47</v>
      </c>
      <c r="AE9" s="100"/>
      <c r="AF9" s="100"/>
      <c r="AG9" s="100">
        <v>1.28</v>
      </c>
      <c r="AH9" s="100">
        <v>0.34</v>
      </c>
      <c r="AI9" s="100"/>
      <c r="AJ9" s="100">
        <v>2.9299999999999997</v>
      </c>
      <c r="AK9" s="100">
        <v>0.57999999999999996</v>
      </c>
      <c r="AL9" s="100"/>
      <c r="AM9" s="100"/>
      <c r="AN9" s="100"/>
      <c r="AO9" s="100"/>
      <c r="AP9" s="100">
        <v>56.09</v>
      </c>
      <c r="AQ9" s="100"/>
      <c r="AR9" s="100">
        <v>157.49</v>
      </c>
      <c r="AS9" s="100">
        <v>76.289999999999964</v>
      </c>
      <c r="AT9" s="100">
        <v>5315.53</v>
      </c>
      <c r="AU9" s="2">
        <v>3246.9302499999999</v>
      </c>
      <c r="AV9" s="191">
        <v>3079.4102499999999</v>
      </c>
      <c r="AW9" s="247">
        <v>76.289999999999964</v>
      </c>
    </row>
    <row r="10" spans="1:50" s="2" customFormat="1" ht="23.25" customHeight="1">
      <c r="A10" s="5" t="s">
        <v>21</v>
      </c>
      <c r="B10" s="72" t="s">
        <v>22</v>
      </c>
      <c r="C10" s="5" t="s">
        <v>23</v>
      </c>
      <c r="D10" s="100">
        <v>291.89999999999998</v>
      </c>
      <c r="E10" s="100">
        <v>286.36</v>
      </c>
      <c r="F10" s="100"/>
      <c r="G10" s="237">
        <v>273</v>
      </c>
      <c r="H10" s="100"/>
      <c r="I10" s="100"/>
      <c r="J10" s="100"/>
      <c r="K10" s="100"/>
      <c r="L10" s="100">
        <v>1</v>
      </c>
      <c r="M10" s="100"/>
      <c r="N10" s="100">
        <v>12.36</v>
      </c>
      <c r="O10" s="100">
        <v>6.5399999999999991</v>
      </c>
      <c r="P10" s="100"/>
      <c r="Q10" s="100"/>
      <c r="R10" s="100"/>
      <c r="S10" s="100"/>
      <c r="T10" s="100"/>
      <c r="U10" s="100"/>
      <c r="V10" s="100">
        <v>0.63</v>
      </c>
      <c r="W10" s="100"/>
      <c r="X10" s="100">
        <v>3.05</v>
      </c>
      <c r="Y10" s="100"/>
      <c r="Z10" s="100"/>
      <c r="AA10" s="100"/>
      <c r="AB10" s="100">
        <v>1.44</v>
      </c>
      <c r="AC10" s="100">
        <v>0.85000000000000009</v>
      </c>
      <c r="AD10" s="100"/>
      <c r="AE10" s="100"/>
      <c r="AF10" s="100"/>
      <c r="AG10" s="100"/>
      <c r="AH10" s="100"/>
      <c r="AI10" s="100"/>
      <c r="AJ10" s="100">
        <v>7.0000000000000007E-2</v>
      </c>
      <c r="AK10" s="100">
        <v>0.5</v>
      </c>
      <c r="AL10" s="100"/>
      <c r="AM10" s="100"/>
      <c r="AN10" s="100"/>
      <c r="AO10" s="100"/>
      <c r="AP10" s="100">
        <v>5.96</v>
      </c>
      <c r="AQ10" s="100"/>
      <c r="AR10" s="100">
        <v>18.899999999999999</v>
      </c>
      <c r="AS10" s="100">
        <v>86.140000000000015</v>
      </c>
      <c r="AT10" s="100">
        <v>378.03999999999996</v>
      </c>
      <c r="AU10" s="2">
        <v>1015.3142999999999</v>
      </c>
      <c r="AV10" s="191">
        <v>977.34429999999986</v>
      </c>
      <c r="AW10" s="247">
        <v>86.139999999999986</v>
      </c>
    </row>
    <row r="11" spans="1:50" s="2" customFormat="1" ht="23.25" customHeight="1">
      <c r="A11" s="5" t="s">
        <v>24</v>
      </c>
      <c r="B11" s="72" t="s">
        <v>25</v>
      </c>
      <c r="C11" s="5" t="s">
        <v>26</v>
      </c>
      <c r="D11" s="100">
        <v>860.47</v>
      </c>
      <c r="E11" s="100">
        <v>858.04000000000008</v>
      </c>
      <c r="F11" s="100"/>
      <c r="G11" s="100"/>
      <c r="H11" s="237">
        <v>858.04000000000008</v>
      </c>
      <c r="I11" s="100"/>
      <c r="J11" s="100"/>
      <c r="K11" s="100"/>
      <c r="L11" s="100"/>
      <c r="M11" s="100"/>
      <c r="N11" s="100"/>
      <c r="O11" s="100">
        <v>2.31</v>
      </c>
      <c r="P11" s="100"/>
      <c r="Q11" s="100"/>
      <c r="R11" s="100"/>
      <c r="S11" s="100"/>
      <c r="T11" s="100"/>
      <c r="U11" s="100"/>
      <c r="V11" s="100"/>
      <c r="W11" s="100"/>
      <c r="X11" s="100">
        <v>0.88</v>
      </c>
      <c r="Y11" s="100"/>
      <c r="Z11" s="100"/>
      <c r="AA11" s="100"/>
      <c r="AB11" s="100">
        <v>0.48</v>
      </c>
      <c r="AC11" s="100">
        <v>0.27</v>
      </c>
      <c r="AD11" s="100"/>
      <c r="AE11" s="100"/>
      <c r="AF11" s="100"/>
      <c r="AG11" s="100"/>
      <c r="AH11" s="100"/>
      <c r="AI11" s="100"/>
      <c r="AJ11" s="100"/>
      <c r="AK11" s="100">
        <v>0.68</v>
      </c>
      <c r="AL11" s="100"/>
      <c r="AM11" s="100"/>
      <c r="AN11" s="100"/>
      <c r="AO11" s="100"/>
      <c r="AP11" s="100">
        <v>0.12</v>
      </c>
      <c r="AQ11" s="100"/>
      <c r="AR11" s="100">
        <v>2.4300000000000002</v>
      </c>
      <c r="AS11" s="100">
        <v>659.73000000000013</v>
      </c>
      <c r="AT11" s="100">
        <v>1520.2000000000003</v>
      </c>
      <c r="AU11" s="2">
        <v>1840.0419399999998</v>
      </c>
      <c r="AV11" s="191">
        <v>1737.3819399999998</v>
      </c>
      <c r="AW11" s="247">
        <v>659.73000000000025</v>
      </c>
    </row>
    <row r="12" spans="1:50" s="2" customFormat="1" ht="24.75" customHeight="1">
      <c r="A12" s="5" t="s">
        <v>27</v>
      </c>
      <c r="B12" s="72" t="s">
        <v>28</v>
      </c>
      <c r="C12" s="5" t="s">
        <v>29</v>
      </c>
      <c r="D12" s="100">
        <v>2020.25</v>
      </c>
      <c r="E12" s="100">
        <v>864.86000000000013</v>
      </c>
      <c r="F12" s="100"/>
      <c r="G12" s="100"/>
      <c r="H12" s="100"/>
      <c r="I12" s="237">
        <v>864.86000000000013</v>
      </c>
      <c r="J12" s="100"/>
      <c r="K12" s="100"/>
      <c r="L12" s="100"/>
      <c r="M12" s="100"/>
      <c r="N12" s="100"/>
      <c r="O12" s="100">
        <v>0.28000000000000003</v>
      </c>
      <c r="P12" s="100"/>
      <c r="Q12" s="100"/>
      <c r="R12" s="100"/>
      <c r="S12" s="100"/>
      <c r="T12" s="100"/>
      <c r="U12" s="100"/>
      <c r="V12" s="100">
        <v>0.26</v>
      </c>
      <c r="W12" s="100"/>
      <c r="X12" s="100">
        <v>0.02</v>
      </c>
      <c r="Y12" s="100"/>
      <c r="Z12" s="100"/>
      <c r="AA12" s="100"/>
      <c r="AB12" s="100"/>
      <c r="AC12" s="100"/>
      <c r="AD12" s="100"/>
      <c r="AE12" s="100"/>
      <c r="AF12" s="100"/>
      <c r="AG12" s="100"/>
      <c r="AH12" s="100"/>
      <c r="AI12" s="100"/>
      <c r="AJ12" s="100"/>
      <c r="AK12" s="100"/>
      <c r="AL12" s="100"/>
      <c r="AM12" s="100"/>
      <c r="AN12" s="100"/>
      <c r="AO12" s="100"/>
      <c r="AP12" s="100"/>
      <c r="AQ12" s="100">
        <v>1155.1099999999999</v>
      </c>
      <c r="AR12" s="100">
        <v>1155.3899999999999</v>
      </c>
      <c r="AS12" s="100">
        <v>-832.93999999999983</v>
      </c>
      <c r="AT12" s="100">
        <v>1187.3100000000002</v>
      </c>
      <c r="AU12" s="2">
        <v>15177.190000000002</v>
      </c>
      <c r="AV12" s="191">
        <v>15105.260000000002</v>
      </c>
      <c r="AW12" s="247">
        <v>-832.93999999999983</v>
      </c>
    </row>
    <row r="13" spans="1:50" s="2" customFormat="1" ht="24.75" customHeight="1">
      <c r="A13" s="5" t="s">
        <v>30</v>
      </c>
      <c r="B13" s="72" t="s">
        <v>31</v>
      </c>
      <c r="C13" s="5" t="s">
        <v>32</v>
      </c>
      <c r="D13" s="100">
        <v>23</v>
      </c>
      <c r="E13" s="100">
        <v>23</v>
      </c>
      <c r="F13" s="100"/>
      <c r="G13" s="100"/>
      <c r="H13" s="100"/>
      <c r="I13" s="100"/>
      <c r="J13" s="237">
        <v>23</v>
      </c>
      <c r="K13" s="100"/>
      <c r="L13" s="100"/>
      <c r="M13" s="100"/>
      <c r="N13" s="100"/>
      <c r="O13" s="100">
        <v>0</v>
      </c>
      <c r="P13" s="100"/>
      <c r="Q13" s="100"/>
      <c r="R13" s="100"/>
      <c r="S13" s="100"/>
      <c r="T13" s="100"/>
      <c r="U13" s="100"/>
      <c r="V13" s="100"/>
      <c r="W13" s="100"/>
      <c r="X13" s="100"/>
      <c r="Y13" s="100"/>
      <c r="Z13" s="100"/>
      <c r="AA13" s="100"/>
      <c r="AB13" s="100"/>
      <c r="AC13" s="100"/>
      <c r="AD13" s="100"/>
      <c r="AE13" s="100"/>
      <c r="AF13" s="100"/>
      <c r="AG13" s="100"/>
      <c r="AH13" s="100"/>
      <c r="AI13" s="100"/>
      <c r="AJ13" s="100"/>
      <c r="AK13" s="100"/>
      <c r="AL13" s="100"/>
      <c r="AM13" s="100"/>
      <c r="AN13" s="100"/>
      <c r="AO13" s="100"/>
      <c r="AP13" s="100"/>
      <c r="AQ13" s="100"/>
      <c r="AR13" s="100">
        <v>0</v>
      </c>
      <c r="AS13" s="100">
        <v>11.18</v>
      </c>
      <c r="AT13" s="100">
        <v>34.18</v>
      </c>
      <c r="AU13" s="2">
        <v>0</v>
      </c>
      <c r="AV13" s="191">
        <v>0</v>
      </c>
      <c r="AW13" s="247">
        <v>11.18</v>
      </c>
    </row>
    <row r="14" spans="1:50" s="2" customFormat="1" ht="24.75" customHeight="1">
      <c r="A14" s="5" t="s">
        <v>33</v>
      </c>
      <c r="B14" s="72" t="s">
        <v>34</v>
      </c>
      <c r="C14" s="5" t="s">
        <v>35</v>
      </c>
      <c r="D14" s="100">
        <v>2533.96</v>
      </c>
      <c r="E14" s="100">
        <v>2195.85</v>
      </c>
      <c r="F14" s="100"/>
      <c r="G14" s="100"/>
      <c r="H14" s="100"/>
      <c r="I14" s="100">
        <v>322.45</v>
      </c>
      <c r="J14" s="100"/>
      <c r="K14" s="237">
        <v>1873.4</v>
      </c>
      <c r="L14" s="100"/>
      <c r="M14" s="100"/>
      <c r="N14" s="100"/>
      <c r="O14" s="100">
        <v>21.82</v>
      </c>
      <c r="P14" s="100"/>
      <c r="Q14" s="100"/>
      <c r="R14" s="100"/>
      <c r="S14" s="100"/>
      <c r="T14" s="100"/>
      <c r="U14" s="100"/>
      <c r="V14" s="100">
        <v>9.93</v>
      </c>
      <c r="W14" s="100"/>
      <c r="X14" s="100">
        <v>3.27</v>
      </c>
      <c r="Y14" s="100"/>
      <c r="Z14" s="100"/>
      <c r="AA14" s="100"/>
      <c r="AB14" s="100"/>
      <c r="AC14" s="100"/>
      <c r="AD14" s="100"/>
      <c r="AE14" s="100"/>
      <c r="AF14" s="100"/>
      <c r="AG14" s="100"/>
      <c r="AH14" s="100">
        <v>3.28</v>
      </c>
      <c r="AI14" s="100">
        <v>5.34</v>
      </c>
      <c r="AJ14" s="100"/>
      <c r="AK14" s="100"/>
      <c r="AL14" s="100"/>
      <c r="AM14" s="100"/>
      <c r="AN14" s="100"/>
      <c r="AO14" s="100"/>
      <c r="AP14" s="100">
        <v>33.43</v>
      </c>
      <c r="AQ14" s="100">
        <v>282.85999999999996</v>
      </c>
      <c r="AR14" s="100">
        <v>660.55999999999983</v>
      </c>
      <c r="AS14" s="100">
        <v>-632.72999999999979</v>
      </c>
      <c r="AT14" s="100">
        <v>1901.2300000000002</v>
      </c>
      <c r="AU14" s="2">
        <v>13541.636099999998</v>
      </c>
      <c r="AV14" s="191">
        <v>13158.796099999998</v>
      </c>
      <c r="AW14" s="247">
        <v>-632.72999999999979</v>
      </c>
    </row>
    <row r="15" spans="1:50" s="2" customFormat="1" ht="23.25" customHeight="1">
      <c r="A15" s="5" t="s">
        <v>36</v>
      </c>
      <c r="B15" s="72" t="s">
        <v>37</v>
      </c>
      <c r="C15" s="5" t="s">
        <v>38</v>
      </c>
      <c r="D15" s="100">
        <v>8132.8</v>
      </c>
      <c r="E15" s="100">
        <v>8039.85</v>
      </c>
      <c r="F15" s="100">
        <v>6.35</v>
      </c>
      <c r="G15" s="100"/>
      <c r="H15" s="100"/>
      <c r="I15" s="100"/>
      <c r="J15" s="100"/>
      <c r="K15" s="100"/>
      <c r="L15" s="237">
        <v>8033.5</v>
      </c>
      <c r="M15" s="100"/>
      <c r="N15" s="100"/>
      <c r="O15" s="100">
        <v>66.070000000000007</v>
      </c>
      <c r="P15" s="100"/>
      <c r="Q15" s="100"/>
      <c r="R15" s="100"/>
      <c r="S15" s="100"/>
      <c r="T15" s="100"/>
      <c r="U15" s="100"/>
      <c r="V15" s="100">
        <v>14.83</v>
      </c>
      <c r="W15" s="100"/>
      <c r="X15" s="100">
        <v>47.900000000000006</v>
      </c>
      <c r="Y15" s="100"/>
      <c r="Z15" s="100"/>
      <c r="AA15" s="100"/>
      <c r="AB15" s="100">
        <v>1.8399999999999999</v>
      </c>
      <c r="AC15" s="100">
        <v>1.5</v>
      </c>
      <c r="AD15" s="100"/>
      <c r="AE15" s="100"/>
      <c r="AF15" s="100"/>
      <c r="AG15" s="100"/>
      <c r="AH15" s="100"/>
      <c r="AI15" s="100"/>
      <c r="AJ15" s="100"/>
      <c r="AK15" s="100"/>
      <c r="AL15" s="100"/>
      <c r="AM15" s="100"/>
      <c r="AN15" s="100"/>
      <c r="AO15" s="100"/>
      <c r="AP15" s="100">
        <v>26.88</v>
      </c>
      <c r="AQ15" s="100"/>
      <c r="AR15" s="100">
        <v>99.3</v>
      </c>
      <c r="AS15" s="100">
        <v>1248.7600000000002</v>
      </c>
      <c r="AT15" s="100">
        <v>9381.5600000000013</v>
      </c>
      <c r="AU15" s="2">
        <v>3586.9500000000003</v>
      </c>
      <c r="AV15" s="191">
        <v>3575.1000000000004</v>
      </c>
      <c r="AW15" s="247">
        <v>1248.7600000000011</v>
      </c>
    </row>
    <row r="16" spans="1:50" s="2" customFormat="1" ht="23.25" customHeight="1">
      <c r="A16" s="5" t="s">
        <v>39</v>
      </c>
      <c r="B16" s="72" t="s">
        <v>40</v>
      </c>
      <c r="C16" s="5" t="s">
        <v>41</v>
      </c>
      <c r="D16" s="100"/>
      <c r="E16" s="100">
        <v>0</v>
      </c>
      <c r="F16" s="100"/>
      <c r="G16" s="100"/>
      <c r="H16" s="100"/>
      <c r="I16" s="100"/>
      <c r="J16" s="100"/>
      <c r="K16" s="100"/>
      <c r="L16" s="100"/>
      <c r="M16" s="237">
        <v>0</v>
      </c>
      <c r="N16" s="100"/>
      <c r="O16" s="100">
        <v>0</v>
      </c>
      <c r="P16" s="100"/>
      <c r="Q16" s="100"/>
      <c r="R16" s="100"/>
      <c r="S16" s="100"/>
      <c r="T16" s="100"/>
      <c r="U16" s="100"/>
      <c r="V16" s="100"/>
      <c r="W16" s="100"/>
      <c r="X16" s="100"/>
      <c r="Y16" s="100"/>
      <c r="Z16" s="100"/>
      <c r="AA16" s="100"/>
      <c r="AB16" s="100"/>
      <c r="AC16" s="100"/>
      <c r="AD16" s="100"/>
      <c r="AE16" s="100"/>
      <c r="AF16" s="100"/>
      <c r="AG16" s="100"/>
      <c r="AH16" s="100"/>
      <c r="AI16" s="100"/>
      <c r="AJ16" s="100"/>
      <c r="AK16" s="100"/>
      <c r="AL16" s="100"/>
      <c r="AM16" s="100"/>
      <c r="AN16" s="100"/>
      <c r="AO16" s="100"/>
      <c r="AP16" s="100"/>
      <c r="AQ16" s="100"/>
      <c r="AR16" s="100">
        <v>0</v>
      </c>
      <c r="AS16" s="100">
        <v>0</v>
      </c>
      <c r="AT16" s="100">
        <v>0</v>
      </c>
      <c r="AV16" s="191">
        <v>0</v>
      </c>
      <c r="AW16" s="247">
        <v>0</v>
      </c>
    </row>
    <row r="17" spans="1:49" s="2" customFormat="1" ht="23.25" customHeight="1">
      <c r="A17" s="5">
        <v>2</v>
      </c>
      <c r="B17" s="72" t="s">
        <v>43</v>
      </c>
      <c r="C17" s="5" t="s">
        <v>44</v>
      </c>
      <c r="D17" s="100">
        <v>15.25</v>
      </c>
      <c r="E17" s="100">
        <v>15.25</v>
      </c>
      <c r="F17" s="100"/>
      <c r="G17" s="100"/>
      <c r="H17" s="100"/>
      <c r="I17" s="100"/>
      <c r="J17" s="100"/>
      <c r="K17" s="100"/>
      <c r="L17" s="100"/>
      <c r="M17" s="100"/>
      <c r="N17" s="237">
        <v>15.25</v>
      </c>
      <c r="O17" s="100">
        <v>0</v>
      </c>
      <c r="P17" s="100"/>
      <c r="Q17" s="100"/>
      <c r="R17" s="100"/>
      <c r="S17" s="100"/>
      <c r="T17" s="100"/>
      <c r="U17" s="100"/>
      <c r="V17" s="100"/>
      <c r="W17" s="100"/>
      <c r="X17" s="100"/>
      <c r="Y17" s="100"/>
      <c r="Z17" s="100"/>
      <c r="AA17" s="100"/>
      <c r="AB17" s="100"/>
      <c r="AC17" s="100"/>
      <c r="AD17" s="100"/>
      <c r="AE17" s="100"/>
      <c r="AF17" s="100"/>
      <c r="AG17" s="100"/>
      <c r="AH17" s="100"/>
      <c r="AI17" s="100"/>
      <c r="AJ17" s="100"/>
      <c r="AK17" s="100"/>
      <c r="AL17" s="100"/>
      <c r="AM17" s="100"/>
      <c r="AN17" s="100"/>
      <c r="AO17" s="100"/>
      <c r="AP17" s="100"/>
      <c r="AQ17" s="100"/>
      <c r="AR17" s="100">
        <v>0</v>
      </c>
      <c r="AS17" s="100">
        <v>18.839999999999996</v>
      </c>
      <c r="AT17" s="100">
        <v>34.089999999999996</v>
      </c>
      <c r="AU17" s="2">
        <v>40.08</v>
      </c>
      <c r="AV17" s="191">
        <v>40.08</v>
      </c>
      <c r="AW17" s="247">
        <v>18.839999999999996</v>
      </c>
    </row>
    <row r="18" spans="1:49" s="67" customFormat="1" ht="24" customHeight="1">
      <c r="A18" s="86">
        <v>2</v>
      </c>
      <c r="B18" s="87" t="s">
        <v>45</v>
      </c>
      <c r="C18" s="86" t="s">
        <v>46</v>
      </c>
      <c r="D18" s="219">
        <v>11555.41</v>
      </c>
      <c r="E18" s="219">
        <v>199.17000000000002</v>
      </c>
      <c r="F18" s="219">
        <v>7.0000000000000007E-2</v>
      </c>
      <c r="G18" s="219">
        <v>0</v>
      </c>
      <c r="H18" s="219">
        <v>0</v>
      </c>
      <c r="I18" s="219">
        <v>0</v>
      </c>
      <c r="J18" s="219">
        <v>0</v>
      </c>
      <c r="K18" s="219">
        <v>2.84</v>
      </c>
      <c r="L18" s="219">
        <v>191.42000000000002</v>
      </c>
      <c r="M18" s="219">
        <v>0</v>
      </c>
      <c r="N18" s="219">
        <v>4.84</v>
      </c>
      <c r="O18" s="236">
        <v>7292.27</v>
      </c>
      <c r="P18" s="219">
        <v>127.64999999999999</v>
      </c>
      <c r="Q18" s="219">
        <v>1.03</v>
      </c>
      <c r="R18" s="219">
        <v>10.370000000000033</v>
      </c>
      <c r="S18" s="219">
        <v>0</v>
      </c>
      <c r="T18" s="219">
        <v>0</v>
      </c>
      <c r="U18" s="219">
        <v>8.52</v>
      </c>
      <c r="V18" s="219">
        <v>293.38000000000005</v>
      </c>
      <c r="W18" s="219">
        <v>0</v>
      </c>
      <c r="X18" s="219">
        <v>1286.7000000000003</v>
      </c>
      <c r="Y18" s="219">
        <v>7.59</v>
      </c>
      <c r="Z18" s="219">
        <v>0</v>
      </c>
      <c r="AA18" s="219">
        <v>4.5</v>
      </c>
      <c r="AB18" s="219">
        <v>493.66</v>
      </c>
      <c r="AC18" s="219">
        <v>572.52</v>
      </c>
      <c r="AD18" s="219">
        <v>8.8800000000000008</v>
      </c>
      <c r="AE18" s="219">
        <v>3.5</v>
      </c>
      <c r="AF18" s="219">
        <v>0</v>
      </c>
      <c r="AG18" s="219">
        <v>11.05</v>
      </c>
      <c r="AH18" s="219">
        <v>121.06</v>
      </c>
      <c r="AI18" s="219">
        <v>98.6</v>
      </c>
      <c r="AJ18" s="219">
        <v>6.91</v>
      </c>
      <c r="AK18" s="219">
        <v>1.2</v>
      </c>
      <c r="AL18" s="219">
        <v>6.8999999999999995</v>
      </c>
      <c r="AM18" s="219">
        <v>4075.2300000000005</v>
      </c>
      <c r="AN18" s="219">
        <v>153.0200000000001</v>
      </c>
      <c r="AO18" s="219">
        <v>0</v>
      </c>
      <c r="AP18" s="219">
        <v>3.73</v>
      </c>
      <c r="AQ18" s="219">
        <v>4060.24</v>
      </c>
      <c r="AR18" s="219">
        <v>4263.1399999999994</v>
      </c>
      <c r="AS18" s="219">
        <v>-3667.2999999999993</v>
      </c>
      <c r="AT18" s="219">
        <v>7888.1100000000006</v>
      </c>
      <c r="AU18" s="67">
        <v>7712.7726700000003</v>
      </c>
      <c r="AV18" s="191">
        <v>8600.8026700000009</v>
      </c>
      <c r="AW18" s="247">
        <v>-3667.2999999999993</v>
      </c>
    </row>
    <row r="19" spans="1:49" s="2" customFormat="1" ht="24" customHeight="1">
      <c r="A19" s="5" t="s">
        <v>47</v>
      </c>
      <c r="B19" s="72" t="s">
        <v>48</v>
      </c>
      <c r="C19" s="5" t="s">
        <v>49</v>
      </c>
      <c r="D19" s="100">
        <v>231.17</v>
      </c>
      <c r="E19" s="100">
        <v>0</v>
      </c>
      <c r="F19" s="100"/>
      <c r="G19" s="100"/>
      <c r="H19" s="100"/>
      <c r="I19" s="100"/>
      <c r="J19" s="100"/>
      <c r="K19" s="100"/>
      <c r="L19" s="100"/>
      <c r="M19" s="100"/>
      <c r="N19" s="100"/>
      <c r="O19" s="100">
        <v>127.50999999999999</v>
      </c>
      <c r="P19" s="237">
        <v>127.50999999999999</v>
      </c>
      <c r="Q19" s="100"/>
      <c r="R19" s="100"/>
      <c r="S19" s="100"/>
      <c r="T19" s="100"/>
      <c r="U19" s="100"/>
      <c r="V19" s="100"/>
      <c r="W19" s="100"/>
      <c r="X19" s="100"/>
      <c r="Y19" s="100"/>
      <c r="Z19" s="100"/>
      <c r="AA19" s="100"/>
      <c r="AB19" s="100"/>
      <c r="AC19" s="100"/>
      <c r="AD19" s="100"/>
      <c r="AE19" s="100"/>
      <c r="AF19" s="100"/>
      <c r="AG19" s="100"/>
      <c r="AH19" s="100"/>
      <c r="AI19" s="100"/>
      <c r="AJ19" s="100"/>
      <c r="AK19" s="100"/>
      <c r="AL19" s="100"/>
      <c r="AM19" s="100"/>
      <c r="AN19" s="100"/>
      <c r="AO19" s="100"/>
      <c r="AP19" s="100"/>
      <c r="AQ19" s="100">
        <v>103.66</v>
      </c>
      <c r="AR19" s="100">
        <v>103.66</v>
      </c>
      <c r="AS19" s="100">
        <v>-103.52</v>
      </c>
      <c r="AT19" s="100">
        <v>127.64999999999999</v>
      </c>
      <c r="AU19" s="2">
        <v>285.92867000000001</v>
      </c>
      <c r="AV19" s="191">
        <v>287.20866999999998</v>
      </c>
      <c r="AW19" s="247">
        <v>-103.52</v>
      </c>
    </row>
    <row r="20" spans="1:49" s="2" customFormat="1" ht="24" customHeight="1">
      <c r="A20" s="5" t="s">
        <v>50</v>
      </c>
      <c r="B20" s="72" t="s">
        <v>51</v>
      </c>
      <c r="C20" s="5" t="s">
        <v>52</v>
      </c>
      <c r="D20" s="100">
        <v>0.37</v>
      </c>
      <c r="E20" s="100">
        <v>0</v>
      </c>
      <c r="F20" s="100"/>
      <c r="G20" s="100"/>
      <c r="H20" s="100"/>
      <c r="I20" s="100"/>
      <c r="J20" s="100"/>
      <c r="K20" s="100"/>
      <c r="L20" s="100"/>
      <c r="M20" s="100"/>
      <c r="N20" s="100"/>
      <c r="O20" s="100">
        <v>0.37</v>
      </c>
      <c r="P20" s="100"/>
      <c r="Q20" s="237">
        <v>0.37</v>
      </c>
      <c r="R20" s="100"/>
      <c r="S20" s="100"/>
      <c r="T20" s="100"/>
      <c r="U20" s="100"/>
      <c r="V20" s="100"/>
      <c r="W20" s="100"/>
      <c r="X20" s="100"/>
      <c r="Y20" s="100"/>
      <c r="Z20" s="100"/>
      <c r="AA20" s="100"/>
      <c r="AB20" s="100"/>
      <c r="AC20" s="100"/>
      <c r="AD20" s="100"/>
      <c r="AE20" s="100"/>
      <c r="AF20" s="100"/>
      <c r="AG20" s="100"/>
      <c r="AH20" s="100"/>
      <c r="AI20" s="100"/>
      <c r="AJ20" s="100"/>
      <c r="AK20" s="100"/>
      <c r="AL20" s="100"/>
      <c r="AM20" s="100"/>
      <c r="AN20" s="100"/>
      <c r="AO20" s="100"/>
      <c r="AP20" s="100"/>
      <c r="AQ20" s="100"/>
      <c r="AR20" s="100">
        <v>0</v>
      </c>
      <c r="AS20" s="100">
        <v>4.47</v>
      </c>
      <c r="AT20" s="100">
        <v>4.84</v>
      </c>
      <c r="AU20" s="2">
        <v>9.83</v>
      </c>
      <c r="AV20" s="191">
        <v>9.83</v>
      </c>
      <c r="AW20" s="247">
        <v>4.47</v>
      </c>
    </row>
    <row r="21" spans="1:49" s="2" customFormat="1" ht="24" customHeight="1">
      <c r="A21" s="5" t="s">
        <v>53</v>
      </c>
      <c r="B21" s="72" t="s">
        <v>54</v>
      </c>
      <c r="C21" s="5" t="s">
        <v>55</v>
      </c>
      <c r="D21" s="100">
        <v>147.28000000000003</v>
      </c>
      <c r="E21" s="100">
        <v>0</v>
      </c>
      <c r="F21" s="100"/>
      <c r="G21" s="100"/>
      <c r="H21" s="100"/>
      <c r="I21" s="100"/>
      <c r="J21" s="100"/>
      <c r="K21" s="100"/>
      <c r="L21" s="100"/>
      <c r="M21" s="100"/>
      <c r="N21" s="100"/>
      <c r="O21" s="100">
        <v>10.370000000000033</v>
      </c>
      <c r="P21" s="100"/>
      <c r="Q21" s="100"/>
      <c r="R21" s="237">
        <v>10.370000000000033</v>
      </c>
      <c r="S21" s="100"/>
      <c r="T21" s="100"/>
      <c r="U21" s="100"/>
      <c r="V21" s="100"/>
      <c r="W21" s="100"/>
      <c r="X21" s="100"/>
      <c r="Y21" s="100"/>
      <c r="Z21" s="100"/>
      <c r="AA21" s="100"/>
      <c r="AB21" s="100"/>
      <c r="AC21" s="100"/>
      <c r="AD21" s="100"/>
      <c r="AE21" s="100"/>
      <c r="AF21" s="100"/>
      <c r="AG21" s="100"/>
      <c r="AH21" s="100"/>
      <c r="AI21" s="100"/>
      <c r="AJ21" s="100"/>
      <c r="AK21" s="100"/>
      <c r="AL21" s="100"/>
      <c r="AM21" s="100"/>
      <c r="AN21" s="100"/>
      <c r="AO21" s="100"/>
      <c r="AP21" s="100"/>
      <c r="AQ21" s="100">
        <v>136.91</v>
      </c>
      <c r="AR21" s="100">
        <v>136.91</v>
      </c>
      <c r="AS21" s="100">
        <v>-136.91</v>
      </c>
      <c r="AT21" s="100">
        <v>10.370000000000033</v>
      </c>
      <c r="AU21" s="190">
        <v>79.59</v>
      </c>
      <c r="AV21" s="191">
        <v>117.81</v>
      </c>
      <c r="AW21" s="247">
        <v>-136.91</v>
      </c>
    </row>
    <row r="22" spans="1:49" s="2" customFormat="1" ht="24" customHeight="1">
      <c r="A22" s="5" t="s">
        <v>56</v>
      </c>
      <c r="B22" s="72" t="s">
        <v>57</v>
      </c>
      <c r="C22" s="5" t="s">
        <v>58</v>
      </c>
      <c r="D22" s="100"/>
      <c r="E22" s="100">
        <v>0</v>
      </c>
      <c r="F22" s="100"/>
      <c r="G22" s="100"/>
      <c r="H22" s="100"/>
      <c r="I22" s="100"/>
      <c r="J22" s="100"/>
      <c r="K22" s="100"/>
      <c r="L22" s="100"/>
      <c r="M22" s="100"/>
      <c r="N22" s="100"/>
      <c r="O22" s="100">
        <v>0</v>
      </c>
      <c r="P22" s="100"/>
      <c r="Q22" s="100"/>
      <c r="R22" s="100"/>
      <c r="S22" s="237">
        <v>0</v>
      </c>
      <c r="T22" s="100"/>
      <c r="U22" s="100"/>
      <c r="V22" s="100"/>
      <c r="W22" s="100"/>
      <c r="X22" s="100"/>
      <c r="Y22" s="100"/>
      <c r="Z22" s="100"/>
      <c r="AA22" s="100"/>
      <c r="AB22" s="100"/>
      <c r="AC22" s="100"/>
      <c r="AD22" s="100"/>
      <c r="AE22" s="100"/>
      <c r="AF22" s="100"/>
      <c r="AG22" s="100"/>
      <c r="AH22" s="100"/>
      <c r="AI22" s="100"/>
      <c r="AJ22" s="100"/>
      <c r="AK22" s="100"/>
      <c r="AL22" s="100"/>
      <c r="AM22" s="100"/>
      <c r="AN22" s="100"/>
      <c r="AO22" s="100"/>
      <c r="AP22" s="100"/>
      <c r="AQ22" s="100"/>
      <c r="AR22" s="100">
        <v>0</v>
      </c>
      <c r="AS22" s="100">
        <v>0</v>
      </c>
      <c r="AT22" s="100">
        <v>0</v>
      </c>
      <c r="AU22" s="190">
        <v>0</v>
      </c>
      <c r="AV22" s="191">
        <v>0</v>
      </c>
      <c r="AW22" s="247">
        <v>0</v>
      </c>
    </row>
    <row r="23" spans="1:49" s="2" customFormat="1" ht="29.25" customHeight="1">
      <c r="A23" s="5" t="s">
        <v>59</v>
      </c>
      <c r="B23" s="72" t="s">
        <v>60</v>
      </c>
      <c r="C23" s="5" t="s">
        <v>61</v>
      </c>
      <c r="D23" s="100">
        <v>160.88999999999999</v>
      </c>
      <c r="E23" s="100">
        <v>40.43</v>
      </c>
      <c r="F23" s="100"/>
      <c r="G23" s="100"/>
      <c r="H23" s="100"/>
      <c r="I23" s="100"/>
      <c r="J23" s="100"/>
      <c r="K23" s="100"/>
      <c r="L23" s="100">
        <v>40.43</v>
      </c>
      <c r="M23" s="100"/>
      <c r="N23" s="100"/>
      <c r="O23" s="100">
        <v>109.61</v>
      </c>
      <c r="P23" s="100"/>
      <c r="Q23" s="100"/>
      <c r="R23" s="100"/>
      <c r="S23" s="100"/>
      <c r="T23" s="237">
        <v>0</v>
      </c>
      <c r="U23" s="100"/>
      <c r="V23" s="100">
        <v>109.61</v>
      </c>
      <c r="W23" s="100"/>
      <c r="X23" s="100"/>
      <c r="Y23" s="100"/>
      <c r="Z23" s="100"/>
      <c r="AA23" s="100"/>
      <c r="AB23" s="100"/>
      <c r="AC23" s="100"/>
      <c r="AD23" s="100"/>
      <c r="AE23" s="100"/>
      <c r="AF23" s="100"/>
      <c r="AG23" s="100"/>
      <c r="AH23" s="100"/>
      <c r="AI23" s="100"/>
      <c r="AJ23" s="100"/>
      <c r="AK23" s="100"/>
      <c r="AL23" s="100"/>
      <c r="AM23" s="100"/>
      <c r="AN23" s="100"/>
      <c r="AO23" s="100"/>
      <c r="AP23" s="100"/>
      <c r="AQ23" s="100">
        <v>10.85</v>
      </c>
      <c r="AR23" s="100">
        <v>160.88999999999999</v>
      </c>
      <c r="AS23" s="100">
        <v>-160.88999999999999</v>
      </c>
      <c r="AT23" s="100">
        <v>0</v>
      </c>
      <c r="AU23" s="190">
        <v>0</v>
      </c>
      <c r="AV23" s="191">
        <v>199.79</v>
      </c>
      <c r="AW23" s="247">
        <v>-160.88999999999999</v>
      </c>
    </row>
    <row r="24" spans="1:49" s="2" customFormat="1" ht="24" customHeight="1">
      <c r="A24" s="5" t="s">
        <v>62</v>
      </c>
      <c r="B24" s="72" t="s">
        <v>63</v>
      </c>
      <c r="C24" s="5" t="s">
        <v>64</v>
      </c>
      <c r="D24" s="100"/>
      <c r="E24" s="100">
        <v>0</v>
      </c>
      <c r="F24" s="100"/>
      <c r="G24" s="100"/>
      <c r="H24" s="100"/>
      <c r="I24" s="100"/>
      <c r="J24" s="100"/>
      <c r="K24" s="100"/>
      <c r="L24" s="100"/>
      <c r="M24" s="100"/>
      <c r="N24" s="100"/>
      <c r="O24" s="100">
        <v>0</v>
      </c>
      <c r="P24" s="100"/>
      <c r="Q24" s="100"/>
      <c r="R24" s="100"/>
      <c r="S24" s="100"/>
      <c r="T24" s="100"/>
      <c r="U24" s="237">
        <v>0</v>
      </c>
      <c r="V24" s="100"/>
      <c r="W24" s="100"/>
      <c r="X24" s="100"/>
      <c r="Y24" s="100"/>
      <c r="Z24" s="100"/>
      <c r="AA24" s="100"/>
      <c r="AB24" s="100"/>
      <c r="AC24" s="100"/>
      <c r="AD24" s="100"/>
      <c r="AE24" s="100"/>
      <c r="AF24" s="100"/>
      <c r="AG24" s="100"/>
      <c r="AH24" s="100"/>
      <c r="AI24" s="100"/>
      <c r="AJ24" s="100"/>
      <c r="AK24" s="100"/>
      <c r="AL24" s="100"/>
      <c r="AM24" s="100"/>
      <c r="AN24" s="100"/>
      <c r="AO24" s="100"/>
      <c r="AP24" s="100"/>
      <c r="AQ24" s="100"/>
      <c r="AR24" s="100">
        <v>0</v>
      </c>
      <c r="AS24" s="100">
        <v>11.53</v>
      </c>
      <c r="AT24" s="100">
        <v>11.53</v>
      </c>
      <c r="AU24" s="190">
        <v>349.95717000000002</v>
      </c>
      <c r="AV24" s="191">
        <v>439.70717000000002</v>
      </c>
      <c r="AW24" s="247">
        <v>11.53</v>
      </c>
    </row>
    <row r="25" spans="1:49" s="2" customFormat="1" ht="24" customHeight="1">
      <c r="A25" s="5" t="s">
        <v>65</v>
      </c>
      <c r="B25" s="72" t="s">
        <v>66</v>
      </c>
      <c r="C25" s="5" t="s">
        <v>67</v>
      </c>
      <c r="D25" s="100">
        <v>215.35000000000002</v>
      </c>
      <c r="E25" s="100">
        <v>0</v>
      </c>
      <c r="F25" s="100"/>
      <c r="G25" s="100"/>
      <c r="H25" s="100"/>
      <c r="I25" s="100"/>
      <c r="J25" s="100"/>
      <c r="K25" s="100"/>
      <c r="L25" s="100"/>
      <c r="M25" s="100"/>
      <c r="N25" s="100"/>
      <c r="O25" s="100">
        <v>192.35000000000002</v>
      </c>
      <c r="P25" s="100"/>
      <c r="Q25" s="100"/>
      <c r="R25" s="100"/>
      <c r="S25" s="100"/>
      <c r="T25" s="100"/>
      <c r="U25" s="100">
        <v>8.52</v>
      </c>
      <c r="V25" s="237">
        <v>180.98000000000002</v>
      </c>
      <c r="W25" s="100"/>
      <c r="X25" s="100">
        <v>2.75</v>
      </c>
      <c r="Y25" s="100"/>
      <c r="Z25" s="100"/>
      <c r="AA25" s="100"/>
      <c r="AB25" s="100"/>
      <c r="AC25" s="100">
        <v>0.1</v>
      </c>
      <c r="AD25" s="100"/>
      <c r="AE25" s="100"/>
      <c r="AF25" s="100"/>
      <c r="AG25" s="100"/>
      <c r="AH25" s="100"/>
      <c r="AI25" s="100"/>
      <c r="AJ25" s="100"/>
      <c r="AK25" s="100"/>
      <c r="AL25" s="100"/>
      <c r="AM25" s="100"/>
      <c r="AN25" s="100"/>
      <c r="AO25" s="100"/>
      <c r="AP25" s="100">
        <v>1.06</v>
      </c>
      <c r="AQ25" s="100">
        <v>21.939999999999998</v>
      </c>
      <c r="AR25" s="100">
        <v>34.369999999999997</v>
      </c>
      <c r="AS25" s="100">
        <v>141.69000000000003</v>
      </c>
      <c r="AT25" s="100">
        <v>357.04000000000008</v>
      </c>
      <c r="AU25" s="190">
        <v>126.12</v>
      </c>
      <c r="AV25" s="191">
        <v>230.09</v>
      </c>
      <c r="AW25" s="247">
        <v>141.69000000000005</v>
      </c>
    </row>
    <row r="26" spans="1:49" s="2" customFormat="1" ht="24" customHeight="1">
      <c r="A26" s="5" t="s">
        <v>68</v>
      </c>
      <c r="B26" s="72" t="s">
        <v>69</v>
      </c>
      <c r="C26" s="5" t="s">
        <v>70</v>
      </c>
      <c r="D26" s="100">
        <v>2.84</v>
      </c>
      <c r="E26" s="100">
        <v>2.84</v>
      </c>
      <c r="F26" s="100"/>
      <c r="G26" s="100"/>
      <c r="H26" s="100"/>
      <c r="I26" s="100"/>
      <c r="J26" s="100"/>
      <c r="K26" s="100">
        <v>2.84</v>
      </c>
      <c r="L26" s="100"/>
      <c r="M26" s="100"/>
      <c r="N26" s="100"/>
      <c r="O26" s="100">
        <v>0</v>
      </c>
      <c r="P26" s="100"/>
      <c r="Q26" s="100"/>
      <c r="R26" s="100"/>
      <c r="S26" s="100"/>
      <c r="T26" s="100"/>
      <c r="U26" s="100"/>
      <c r="V26" s="100"/>
      <c r="W26" s="237">
        <v>0</v>
      </c>
      <c r="X26" s="100"/>
      <c r="Y26" s="100"/>
      <c r="Z26" s="100"/>
      <c r="AA26" s="100"/>
      <c r="AB26" s="100"/>
      <c r="AC26" s="100"/>
      <c r="AD26" s="100"/>
      <c r="AE26" s="100"/>
      <c r="AF26" s="100"/>
      <c r="AG26" s="100"/>
      <c r="AH26" s="100"/>
      <c r="AI26" s="100"/>
      <c r="AJ26" s="100"/>
      <c r="AK26" s="100"/>
      <c r="AL26" s="100"/>
      <c r="AM26" s="100"/>
      <c r="AN26" s="100"/>
      <c r="AO26" s="100"/>
      <c r="AP26" s="100"/>
      <c r="AQ26" s="100"/>
      <c r="AR26" s="100">
        <v>2.84</v>
      </c>
      <c r="AS26" s="100">
        <v>-2.84</v>
      </c>
      <c r="AT26" s="100">
        <v>0</v>
      </c>
      <c r="AU26" s="190">
        <v>0</v>
      </c>
      <c r="AV26" s="191">
        <v>0</v>
      </c>
      <c r="AW26" s="247">
        <v>-2.84</v>
      </c>
    </row>
    <row r="27" spans="1:49" s="2" customFormat="1" ht="36.75" customHeight="1">
      <c r="A27" s="5" t="s">
        <v>71</v>
      </c>
      <c r="B27" s="72" t="s">
        <v>135</v>
      </c>
      <c r="C27" s="5" t="s">
        <v>72</v>
      </c>
      <c r="D27" s="100">
        <v>1264.2</v>
      </c>
      <c r="E27" s="100">
        <v>0.21</v>
      </c>
      <c r="F27" s="100"/>
      <c r="G27" s="100"/>
      <c r="H27" s="100"/>
      <c r="I27" s="100"/>
      <c r="J27" s="100"/>
      <c r="K27" s="100"/>
      <c r="L27" s="100">
        <v>0.21</v>
      </c>
      <c r="M27" s="100"/>
      <c r="N27" s="100"/>
      <c r="O27" s="100">
        <v>1263.9900000000002</v>
      </c>
      <c r="P27" s="100"/>
      <c r="Q27" s="100">
        <v>0.66</v>
      </c>
      <c r="R27" s="100"/>
      <c r="S27" s="100"/>
      <c r="T27" s="100"/>
      <c r="U27" s="100"/>
      <c r="V27" s="100">
        <v>2.2400000000000002</v>
      </c>
      <c r="W27" s="100"/>
      <c r="X27" s="237">
        <v>1252.6600000000001</v>
      </c>
      <c r="Y27" s="100"/>
      <c r="Z27" s="100"/>
      <c r="AA27" s="100"/>
      <c r="AB27" s="100"/>
      <c r="AC27" s="100">
        <v>0.26</v>
      </c>
      <c r="AD27" s="100"/>
      <c r="AE27" s="100"/>
      <c r="AF27" s="100"/>
      <c r="AG27" s="100"/>
      <c r="AH27" s="100"/>
      <c r="AI27" s="100"/>
      <c r="AJ27" s="100">
        <v>6.91</v>
      </c>
      <c r="AK27" s="100">
        <v>1.2</v>
      </c>
      <c r="AL27" s="100">
        <v>0.06</v>
      </c>
      <c r="AM27" s="100"/>
      <c r="AN27" s="100"/>
      <c r="AO27" s="100"/>
      <c r="AP27" s="100"/>
      <c r="AQ27" s="100"/>
      <c r="AR27" s="100">
        <v>11.540000000000001</v>
      </c>
      <c r="AS27" s="100">
        <v>401.34000000000003</v>
      </c>
      <c r="AT27" s="100">
        <v>1665.54</v>
      </c>
      <c r="AU27" s="190">
        <v>2144.3125000000005</v>
      </c>
      <c r="AV27" s="191">
        <v>2326.9724999999994</v>
      </c>
      <c r="AW27" s="247">
        <v>401.33999999999992</v>
      </c>
    </row>
    <row r="28" spans="1:49" s="2" customFormat="1" ht="22.5" customHeight="1">
      <c r="A28" s="5" t="s">
        <v>73</v>
      </c>
      <c r="B28" s="72" t="s">
        <v>74</v>
      </c>
      <c r="C28" s="5" t="s">
        <v>75</v>
      </c>
      <c r="D28" s="100">
        <v>16.32</v>
      </c>
      <c r="E28" s="100">
        <v>0</v>
      </c>
      <c r="F28" s="100"/>
      <c r="G28" s="100"/>
      <c r="H28" s="100"/>
      <c r="I28" s="100"/>
      <c r="J28" s="100"/>
      <c r="K28" s="100"/>
      <c r="L28" s="100"/>
      <c r="M28" s="100"/>
      <c r="N28" s="100"/>
      <c r="O28" s="100">
        <v>7.59</v>
      </c>
      <c r="P28" s="100"/>
      <c r="Q28" s="100"/>
      <c r="R28" s="100"/>
      <c r="S28" s="100"/>
      <c r="T28" s="100"/>
      <c r="U28" s="100"/>
      <c r="V28" s="100"/>
      <c r="W28" s="100"/>
      <c r="X28" s="100"/>
      <c r="Y28" s="237">
        <v>7.59</v>
      </c>
      <c r="Z28" s="100"/>
      <c r="AA28" s="100"/>
      <c r="AB28" s="100"/>
      <c r="AC28" s="100"/>
      <c r="AD28" s="100"/>
      <c r="AE28" s="100"/>
      <c r="AF28" s="100"/>
      <c r="AG28" s="100"/>
      <c r="AH28" s="100"/>
      <c r="AI28" s="100"/>
      <c r="AJ28" s="100"/>
      <c r="AK28" s="100"/>
      <c r="AL28" s="100"/>
      <c r="AM28" s="100"/>
      <c r="AN28" s="100"/>
      <c r="AO28" s="100"/>
      <c r="AP28" s="100"/>
      <c r="AQ28" s="100">
        <v>8.73</v>
      </c>
      <c r="AR28" s="100">
        <v>8.73</v>
      </c>
      <c r="AS28" s="100">
        <v>-8.73</v>
      </c>
      <c r="AT28" s="100">
        <v>7.59</v>
      </c>
      <c r="AU28" s="190">
        <v>0.24000000000000002</v>
      </c>
      <c r="AV28" s="191">
        <v>0.24000000000000002</v>
      </c>
      <c r="AW28" s="247">
        <v>-8.73</v>
      </c>
    </row>
    <row r="29" spans="1:49" s="2" customFormat="1" ht="22.5" customHeight="1">
      <c r="A29" s="5" t="s">
        <v>76</v>
      </c>
      <c r="B29" s="72" t="s">
        <v>77</v>
      </c>
      <c r="C29" s="5" t="s">
        <v>78</v>
      </c>
      <c r="D29" s="100"/>
      <c r="E29" s="100">
        <v>0</v>
      </c>
      <c r="F29" s="100"/>
      <c r="G29" s="100"/>
      <c r="H29" s="100"/>
      <c r="I29" s="100"/>
      <c r="J29" s="100"/>
      <c r="K29" s="100"/>
      <c r="L29" s="100"/>
      <c r="M29" s="100"/>
      <c r="N29" s="100"/>
      <c r="O29" s="100">
        <v>0</v>
      </c>
      <c r="P29" s="100"/>
      <c r="Q29" s="100"/>
      <c r="R29" s="100"/>
      <c r="S29" s="100"/>
      <c r="T29" s="100"/>
      <c r="U29" s="100"/>
      <c r="V29" s="100"/>
      <c r="W29" s="100"/>
      <c r="X29" s="100"/>
      <c r="Y29" s="100"/>
      <c r="Z29" s="237">
        <v>0</v>
      </c>
      <c r="AA29" s="100"/>
      <c r="AB29" s="100"/>
      <c r="AC29" s="100"/>
      <c r="AD29" s="100"/>
      <c r="AE29" s="100"/>
      <c r="AF29" s="100"/>
      <c r="AG29" s="100"/>
      <c r="AH29" s="100"/>
      <c r="AI29" s="100"/>
      <c r="AJ29" s="100"/>
      <c r="AK29" s="100"/>
      <c r="AL29" s="100"/>
      <c r="AM29" s="100"/>
      <c r="AN29" s="100"/>
      <c r="AO29" s="100"/>
      <c r="AP29" s="100"/>
      <c r="AQ29" s="100"/>
      <c r="AR29" s="100">
        <v>0</v>
      </c>
      <c r="AS29" s="100">
        <v>0</v>
      </c>
      <c r="AT29" s="100">
        <v>0</v>
      </c>
      <c r="AU29" s="190">
        <v>0</v>
      </c>
      <c r="AV29" s="191">
        <v>0</v>
      </c>
      <c r="AW29" s="247">
        <v>0</v>
      </c>
    </row>
    <row r="30" spans="1:49" s="2" customFormat="1" ht="22.5" customHeight="1">
      <c r="A30" s="5" t="s">
        <v>79</v>
      </c>
      <c r="B30" s="72" t="s">
        <v>80</v>
      </c>
      <c r="C30" s="5" t="s">
        <v>81</v>
      </c>
      <c r="D30" s="100">
        <v>5.77</v>
      </c>
      <c r="E30" s="100">
        <v>0</v>
      </c>
      <c r="F30" s="100"/>
      <c r="G30" s="100"/>
      <c r="H30" s="100"/>
      <c r="I30" s="100"/>
      <c r="J30" s="100"/>
      <c r="K30" s="100"/>
      <c r="L30" s="100"/>
      <c r="M30" s="100"/>
      <c r="N30" s="100"/>
      <c r="O30" s="100">
        <v>4.5</v>
      </c>
      <c r="P30" s="100"/>
      <c r="Q30" s="100"/>
      <c r="R30" s="100"/>
      <c r="S30" s="100"/>
      <c r="T30" s="100"/>
      <c r="U30" s="100"/>
      <c r="V30" s="100"/>
      <c r="W30" s="100"/>
      <c r="X30" s="100"/>
      <c r="Y30" s="100"/>
      <c r="Z30" s="100"/>
      <c r="AA30" s="237">
        <v>4.5</v>
      </c>
      <c r="AB30" s="100"/>
      <c r="AC30" s="100"/>
      <c r="AD30" s="100"/>
      <c r="AE30" s="100"/>
      <c r="AF30" s="100"/>
      <c r="AG30" s="100"/>
      <c r="AH30" s="100"/>
      <c r="AI30" s="100"/>
      <c r="AJ30" s="100"/>
      <c r="AK30" s="100"/>
      <c r="AL30" s="100"/>
      <c r="AM30" s="100"/>
      <c r="AN30" s="100"/>
      <c r="AO30" s="100"/>
      <c r="AP30" s="100"/>
      <c r="AQ30" s="100">
        <v>1.27</v>
      </c>
      <c r="AR30" s="100">
        <v>1.27</v>
      </c>
      <c r="AS30" s="100">
        <v>-1.25</v>
      </c>
      <c r="AT30" s="100">
        <v>4.5199999999999996</v>
      </c>
      <c r="AU30" s="190">
        <v>44.33</v>
      </c>
      <c r="AV30" s="191">
        <v>55.85</v>
      </c>
      <c r="AW30" s="247">
        <v>-1.25</v>
      </c>
    </row>
    <row r="31" spans="1:49" s="2" customFormat="1" ht="22.5" customHeight="1">
      <c r="A31" s="5" t="s">
        <v>82</v>
      </c>
      <c r="B31" s="72" t="s">
        <v>83</v>
      </c>
      <c r="C31" s="5" t="s">
        <v>84</v>
      </c>
      <c r="D31" s="100">
        <v>963.83</v>
      </c>
      <c r="E31" s="100">
        <v>0.04</v>
      </c>
      <c r="F31" s="100">
        <v>0.04</v>
      </c>
      <c r="G31" s="100"/>
      <c r="H31" s="100"/>
      <c r="I31" s="100"/>
      <c r="J31" s="100"/>
      <c r="K31" s="100"/>
      <c r="L31" s="100"/>
      <c r="M31" s="100"/>
      <c r="N31" s="100"/>
      <c r="O31" s="100">
        <v>947.04</v>
      </c>
      <c r="P31" s="100"/>
      <c r="Q31" s="100"/>
      <c r="R31" s="100"/>
      <c r="S31" s="100"/>
      <c r="T31" s="100"/>
      <c r="U31" s="100"/>
      <c r="V31" s="100"/>
      <c r="W31" s="100"/>
      <c r="X31" s="100">
        <v>2.78</v>
      </c>
      <c r="Y31" s="100"/>
      <c r="Z31" s="100"/>
      <c r="AA31" s="100"/>
      <c r="AB31" s="237">
        <v>493.66</v>
      </c>
      <c r="AC31" s="100">
        <v>450.6</v>
      </c>
      <c r="AD31" s="100"/>
      <c r="AE31" s="100"/>
      <c r="AF31" s="100"/>
      <c r="AG31" s="100"/>
      <c r="AH31" s="100"/>
      <c r="AI31" s="100"/>
      <c r="AJ31" s="100"/>
      <c r="AK31" s="100"/>
      <c r="AL31" s="100"/>
      <c r="AM31" s="100"/>
      <c r="AN31" s="100"/>
      <c r="AO31" s="100"/>
      <c r="AP31" s="100"/>
      <c r="AQ31" s="100">
        <v>16.749999999999986</v>
      </c>
      <c r="AR31" s="100">
        <v>470.17</v>
      </c>
      <c r="AS31" s="100">
        <v>-457.98</v>
      </c>
      <c r="AT31" s="100">
        <v>505.85</v>
      </c>
      <c r="AU31" s="190">
        <v>312.20955000000004</v>
      </c>
      <c r="AV31" s="191">
        <v>324.78955000000002</v>
      </c>
      <c r="AW31" s="247">
        <v>-457.98</v>
      </c>
    </row>
    <row r="32" spans="1:49" s="2" customFormat="1" ht="22.5" customHeight="1">
      <c r="A32" s="5" t="s">
        <v>85</v>
      </c>
      <c r="B32" s="72" t="s">
        <v>86</v>
      </c>
      <c r="C32" s="5" t="s">
        <v>87</v>
      </c>
      <c r="D32" s="100">
        <v>120.22</v>
      </c>
      <c r="E32" s="100">
        <v>0.03</v>
      </c>
      <c r="F32" s="100">
        <v>0.03</v>
      </c>
      <c r="G32" s="100"/>
      <c r="H32" s="100"/>
      <c r="I32" s="100"/>
      <c r="J32" s="100"/>
      <c r="K32" s="100"/>
      <c r="L32" s="100"/>
      <c r="M32" s="100"/>
      <c r="N32" s="100"/>
      <c r="O32" s="100">
        <v>120.19</v>
      </c>
      <c r="P32" s="100"/>
      <c r="Q32" s="100"/>
      <c r="R32" s="100"/>
      <c r="S32" s="100"/>
      <c r="T32" s="100"/>
      <c r="U32" s="100"/>
      <c r="V32" s="100"/>
      <c r="W32" s="100"/>
      <c r="X32" s="100">
        <v>0.16</v>
      </c>
      <c r="Y32" s="100"/>
      <c r="Z32" s="100"/>
      <c r="AA32" s="100"/>
      <c r="AB32" s="100"/>
      <c r="AC32" s="237">
        <v>120.03</v>
      </c>
      <c r="AD32" s="100"/>
      <c r="AE32" s="100"/>
      <c r="AF32" s="100"/>
      <c r="AG32" s="100"/>
      <c r="AH32" s="100"/>
      <c r="AI32" s="100"/>
      <c r="AJ32" s="100"/>
      <c r="AK32" s="100"/>
      <c r="AL32" s="100"/>
      <c r="AM32" s="100"/>
      <c r="AN32" s="100"/>
      <c r="AO32" s="100"/>
      <c r="AP32" s="100"/>
      <c r="AQ32" s="100"/>
      <c r="AR32" s="100">
        <v>0.19</v>
      </c>
      <c r="AS32" s="100">
        <v>489.90000000000003</v>
      </c>
      <c r="AT32" s="100">
        <v>610.12</v>
      </c>
      <c r="AU32" s="190">
        <v>360.37450000000001</v>
      </c>
      <c r="AV32" s="191">
        <v>372.24450000000002</v>
      </c>
      <c r="AW32" s="247">
        <v>489.9</v>
      </c>
    </row>
    <row r="33" spans="1:49" s="2" customFormat="1" ht="22.5" customHeight="1">
      <c r="A33" s="5" t="s">
        <v>88</v>
      </c>
      <c r="B33" s="72" t="s">
        <v>89</v>
      </c>
      <c r="C33" s="5" t="s">
        <v>90</v>
      </c>
      <c r="D33" s="100">
        <v>16.350000000000001</v>
      </c>
      <c r="E33" s="100">
        <v>0</v>
      </c>
      <c r="F33" s="100"/>
      <c r="G33" s="100"/>
      <c r="H33" s="100"/>
      <c r="I33" s="100"/>
      <c r="J33" s="100"/>
      <c r="K33" s="100"/>
      <c r="L33" s="100"/>
      <c r="M33" s="100"/>
      <c r="N33" s="100"/>
      <c r="O33" s="100">
        <v>8.8800000000000008</v>
      </c>
      <c r="P33" s="100"/>
      <c r="Q33" s="100"/>
      <c r="R33" s="100"/>
      <c r="S33" s="100"/>
      <c r="T33" s="100"/>
      <c r="U33" s="100"/>
      <c r="V33" s="100"/>
      <c r="W33" s="100"/>
      <c r="X33" s="100"/>
      <c r="Y33" s="100"/>
      <c r="Z33" s="100"/>
      <c r="AA33" s="100"/>
      <c r="AB33" s="100"/>
      <c r="AC33" s="100"/>
      <c r="AD33" s="237">
        <v>8.8800000000000008</v>
      </c>
      <c r="AE33" s="100"/>
      <c r="AF33" s="100"/>
      <c r="AG33" s="100"/>
      <c r="AH33" s="100"/>
      <c r="AI33" s="100"/>
      <c r="AJ33" s="100"/>
      <c r="AK33" s="100"/>
      <c r="AL33" s="100"/>
      <c r="AM33" s="100"/>
      <c r="AN33" s="100"/>
      <c r="AO33" s="100"/>
      <c r="AP33" s="100"/>
      <c r="AQ33" s="100">
        <v>7.4700000000000006</v>
      </c>
      <c r="AR33" s="100">
        <v>7.4700000000000006</v>
      </c>
      <c r="AS33" s="100">
        <v>-7.0000000000000009</v>
      </c>
      <c r="AT33" s="100">
        <v>9.3500000000000014</v>
      </c>
      <c r="AU33" s="190">
        <v>36.990279999999998</v>
      </c>
      <c r="AV33" s="191">
        <v>55.850279999999998</v>
      </c>
      <c r="AW33" s="247">
        <v>-7</v>
      </c>
    </row>
    <row r="34" spans="1:49" s="2" customFormat="1" ht="27" customHeight="1">
      <c r="A34" s="5" t="s">
        <v>91</v>
      </c>
      <c r="B34" s="72" t="s">
        <v>92</v>
      </c>
      <c r="C34" s="5" t="s">
        <v>93</v>
      </c>
      <c r="D34" s="100">
        <v>3.5</v>
      </c>
      <c r="E34" s="100">
        <v>0</v>
      </c>
      <c r="F34" s="100"/>
      <c r="G34" s="100"/>
      <c r="H34" s="100"/>
      <c r="I34" s="100"/>
      <c r="J34" s="100"/>
      <c r="K34" s="100"/>
      <c r="L34" s="100"/>
      <c r="M34" s="100"/>
      <c r="N34" s="100"/>
      <c r="O34" s="100">
        <v>3.5</v>
      </c>
      <c r="P34" s="100"/>
      <c r="Q34" s="100"/>
      <c r="R34" s="100"/>
      <c r="S34" s="100"/>
      <c r="T34" s="100"/>
      <c r="U34" s="100"/>
      <c r="V34" s="100"/>
      <c r="W34" s="100"/>
      <c r="X34" s="100"/>
      <c r="Y34" s="100"/>
      <c r="Z34" s="100"/>
      <c r="AA34" s="100"/>
      <c r="AB34" s="100"/>
      <c r="AC34" s="100"/>
      <c r="AD34" s="100"/>
      <c r="AE34" s="237">
        <v>3.5</v>
      </c>
      <c r="AF34" s="100"/>
      <c r="AG34" s="100"/>
      <c r="AH34" s="100"/>
      <c r="AI34" s="100"/>
      <c r="AJ34" s="100"/>
      <c r="AK34" s="100"/>
      <c r="AL34" s="100"/>
      <c r="AM34" s="100"/>
      <c r="AN34" s="100"/>
      <c r="AO34" s="100"/>
      <c r="AP34" s="100"/>
      <c r="AQ34" s="100"/>
      <c r="AR34" s="100">
        <v>0</v>
      </c>
      <c r="AS34" s="100">
        <v>2.56</v>
      </c>
      <c r="AT34" s="100">
        <v>6.0600000000000005</v>
      </c>
      <c r="AU34" s="190">
        <v>0.67</v>
      </c>
      <c r="AV34" s="191">
        <v>0.67</v>
      </c>
      <c r="AW34" s="247">
        <v>2.5600000000000005</v>
      </c>
    </row>
    <row r="35" spans="1:49" s="2" customFormat="1" ht="25.5" customHeight="1">
      <c r="A35" s="5" t="s">
        <v>94</v>
      </c>
      <c r="B35" s="72" t="s">
        <v>95</v>
      </c>
      <c r="C35" s="5" t="s">
        <v>96</v>
      </c>
      <c r="D35" s="100"/>
      <c r="E35" s="100">
        <v>0</v>
      </c>
      <c r="F35" s="100"/>
      <c r="G35" s="100"/>
      <c r="H35" s="100"/>
      <c r="I35" s="100"/>
      <c r="J35" s="100"/>
      <c r="K35" s="100"/>
      <c r="L35" s="100"/>
      <c r="M35" s="100"/>
      <c r="N35" s="100"/>
      <c r="O35" s="100">
        <v>0</v>
      </c>
      <c r="P35" s="100"/>
      <c r="Q35" s="100"/>
      <c r="R35" s="100"/>
      <c r="S35" s="100"/>
      <c r="T35" s="100"/>
      <c r="U35" s="100"/>
      <c r="V35" s="100"/>
      <c r="W35" s="100"/>
      <c r="X35" s="100"/>
      <c r="Y35" s="100"/>
      <c r="Z35" s="100"/>
      <c r="AA35" s="100"/>
      <c r="AB35" s="100"/>
      <c r="AC35" s="100"/>
      <c r="AD35" s="100"/>
      <c r="AE35" s="100"/>
      <c r="AF35" s="237">
        <v>0</v>
      </c>
      <c r="AG35" s="100"/>
      <c r="AH35" s="100"/>
      <c r="AI35" s="100"/>
      <c r="AJ35" s="100"/>
      <c r="AK35" s="100"/>
      <c r="AL35" s="100"/>
      <c r="AM35" s="100"/>
      <c r="AN35" s="100"/>
      <c r="AO35" s="100"/>
      <c r="AP35" s="100"/>
      <c r="AQ35" s="100"/>
      <c r="AR35" s="100">
        <v>0</v>
      </c>
      <c r="AS35" s="100">
        <v>0</v>
      </c>
      <c r="AT35" s="100">
        <v>0</v>
      </c>
      <c r="AU35" s="190">
        <v>0</v>
      </c>
      <c r="AV35" s="191">
        <v>0</v>
      </c>
      <c r="AW35" s="247">
        <v>0</v>
      </c>
    </row>
    <row r="36" spans="1:49" s="2" customFormat="1" ht="25.5" customHeight="1">
      <c r="A36" s="5" t="s">
        <v>97</v>
      </c>
      <c r="B36" s="72" t="s">
        <v>98</v>
      </c>
      <c r="C36" s="5" t="s">
        <v>99</v>
      </c>
      <c r="D36" s="100">
        <v>11.05</v>
      </c>
      <c r="E36" s="100">
        <v>0</v>
      </c>
      <c r="F36" s="100"/>
      <c r="G36" s="100"/>
      <c r="H36" s="100"/>
      <c r="I36" s="100"/>
      <c r="J36" s="100"/>
      <c r="K36" s="100"/>
      <c r="L36" s="100"/>
      <c r="M36" s="100"/>
      <c r="N36" s="100"/>
      <c r="O36" s="100">
        <v>11.05</v>
      </c>
      <c r="P36" s="100"/>
      <c r="Q36" s="100"/>
      <c r="R36" s="100"/>
      <c r="S36" s="100"/>
      <c r="T36" s="100"/>
      <c r="U36" s="100"/>
      <c r="V36" s="100"/>
      <c r="W36" s="100"/>
      <c r="X36" s="100"/>
      <c r="Y36" s="100"/>
      <c r="Z36" s="100"/>
      <c r="AA36" s="100"/>
      <c r="AB36" s="100"/>
      <c r="AC36" s="100"/>
      <c r="AD36" s="100"/>
      <c r="AE36" s="100"/>
      <c r="AF36" s="100"/>
      <c r="AG36" s="237">
        <v>11.05</v>
      </c>
      <c r="AH36" s="100"/>
      <c r="AI36" s="100"/>
      <c r="AJ36" s="100"/>
      <c r="AK36" s="100"/>
      <c r="AL36" s="100"/>
      <c r="AM36" s="100"/>
      <c r="AN36" s="100"/>
      <c r="AO36" s="100"/>
      <c r="AP36" s="100"/>
      <c r="AQ36" s="100"/>
      <c r="AR36" s="100">
        <v>0</v>
      </c>
      <c r="AS36" s="100">
        <v>7.4600000000000009</v>
      </c>
      <c r="AT36" s="100">
        <v>18.510000000000002</v>
      </c>
      <c r="AU36" s="190">
        <v>10.77</v>
      </c>
      <c r="AV36" s="191">
        <v>12.12</v>
      </c>
      <c r="AW36" s="247">
        <v>7.4600000000000009</v>
      </c>
    </row>
    <row r="37" spans="1:49" s="2" customFormat="1" ht="36.75" customHeight="1">
      <c r="A37" s="5" t="s">
        <v>100</v>
      </c>
      <c r="B37" s="72" t="s">
        <v>134</v>
      </c>
      <c r="C37" s="5" t="s">
        <v>101</v>
      </c>
      <c r="D37" s="100">
        <v>121.08</v>
      </c>
      <c r="E37" s="100">
        <v>0</v>
      </c>
      <c r="F37" s="100"/>
      <c r="G37" s="100"/>
      <c r="H37" s="100"/>
      <c r="I37" s="100"/>
      <c r="J37" s="100"/>
      <c r="K37" s="100"/>
      <c r="L37" s="100"/>
      <c r="M37" s="100"/>
      <c r="N37" s="100"/>
      <c r="O37" s="100">
        <v>121.08</v>
      </c>
      <c r="P37" s="100"/>
      <c r="Q37" s="100"/>
      <c r="R37" s="100"/>
      <c r="S37" s="100"/>
      <c r="T37" s="100"/>
      <c r="U37" s="100"/>
      <c r="V37" s="100"/>
      <c r="W37" s="100"/>
      <c r="X37" s="100">
        <v>0.02</v>
      </c>
      <c r="Y37" s="100"/>
      <c r="Z37" s="100"/>
      <c r="AA37" s="100"/>
      <c r="AB37" s="100"/>
      <c r="AC37" s="100"/>
      <c r="AD37" s="100"/>
      <c r="AE37" s="100"/>
      <c r="AF37" s="100"/>
      <c r="AG37" s="100"/>
      <c r="AH37" s="237">
        <v>121.06</v>
      </c>
      <c r="AI37" s="100"/>
      <c r="AJ37" s="100"/>
      <c r="AK37" s="100"/>
      <c r="AL37" s="100"/>
      <c r="AM37" s="100"/>
      <c r="AN37" s="100"/>
      <c r="AO37" s="100"/>
      <c r="AP37" s="100"/>
      <c r="AQ37" s="100"/>
      <c r="AR37" s="100">
        <v>0.02</v>
      </c>
      <c r="AS37" s="100">
        <v>34.659999999999997</v>
      </c>
      <c r="AT37" s="100">
        <v>155.74</v>
      </c>
      <c r="AU37" s="190">
        <v>239.16000000000003</v>
      </c>
      <c r="AV37" s="191">
        <v>237.46000000000004</v>
      </c>
      <c r="AW37" s="247">
        <v>34.660000000000011</v>
      </c>
    </row>
    <row r="38" spans="1:49" s="2" customFormat="1" ht="32.25" customHeight="1">
      <c r="A38" s="5" t="s">
        <v>102</v>
      </c>
      <c r="B38" s="72" t="s">
        <v>103</v>
      </c>
      <c r="C38" s="5" t="s">
        <v>104</v>
      </c>
      <c r="D38" s="100">
        <v>98.6</v>
      </c>
      <c r="E38" s="100">
        <v>0</v>
      </c>
      <c r="F38" s="100"/>
      <c r="G38" s="100"/>
      <c r="H38" s="100"/>
      <c r="I38" s="100"/>
      <c r="J38" s="100"/>
      <c r="K38" s="100"/>
      <c r="L38" s="100"/>
      <c r="M38" s="100"/>
      <c r="N38" s="100"/>
      <c r="O38" s="100">
        <v>98.6</v>
      </c>
      <c r="P38" s="100"/>
      <c r="Q38" s="100"/>
      <c r="R38" s="100"/>
      <c r="S38" s="100"/>
      <c r="T38" s="100"/>
      <c r="U38" s="100"/>
      <c r="V38" s="100"/>
      <c r="W38" s="100"/>
      <c r="X38" s="100"/>
      <c r="Y38" s="100"/>
      <c r="Z38" s="100"/>
      <c r="AA38" s="100"/>
      <c r="AB38" s="100"/>
      <c r="AC38" s="100"/>
      <c r="AD38" s="100"/>
      <c r="AE38" s="100"/>
      <c r="AF38" s="100"/>
      <c r="AG38" s="100"/>
      <c r="AH38" s="100"/>
      <c r="AI38" s="237">
        <v>98.6</v>
      </c>
      <c r="AJ38" s="100"/>
      <c r="AK38" s="100"/>
      <c r="AL38" s="100"/>
      <c r="AM38" s="100"/>
      <c r="AN38" s="100"/>
      <c r="AO38" s="100"/>
      <c r="AP38" s="100"/>
      <c r="AQ38" s="100"/>
      <c r="AR38" s="100">
        <v>0</v>
      </c>
      <c r="AS38" s="100">
        <v>30.79</v>
      </c>
      <c r="AT38" s="100">
        <v>129.38999999999999</v>
      </c>
      <c r="AU38" s="190">
        <v>18.010399999999997</v>
      </c>
      <c r="AV38" s="191">
        <v>313.13039999999995</v>
      </c>
      <c r="AW38" s="247">
        <v>30.789999999999992</v>
      </c>
    </row>
    <row r="39" spans="1:49" s="2" customFormat="1" ht="22.5" customHeight="1">
      <c r="A39" s="5" t="s">
        <v>105</v>
      </c>
      <c r="B39" s="72" t="s">
        <v>106</v>
      </c>
      <c r="C39" s="5" t="s">
        <v>107</v>
      </c>
      <c r="D39" s="100"/>
      <c r="E39" s="100">
        <v>0</v>
      </c>
      <c r="F39" s="100"/>
      <c r="G39" s="100"/>
      <c r="H39" s="100"/>
      <c r="I39" s="100"/>
      <c r="J39" s="100"/>
      <c r="K39" s="100"/>
      <c r="L39" s="100"/>
      <c r="M39" s="100"/>
      <c r="N39" s="100"/>
      <c r="O39" s="100">
        <v>0</v>
      </c>
      <c r="P39" s="100"/>
      <c r="Q39" s="100"/>
      <c r="R39" s="100"/>
      <c r="S39" s="100"/>
      <c r="T39" s="100"/>
      <c r="U39" s="100"/>
      <c r="V39" s="100"/>
      <c r="W39" s="100"/>
      <c r="X39" s="100"/>
      <c r="Y39" s="100"/>
      <c r="Z39" s="100"/>
      <c r="AA39" s="100"/>
      <c r="AB39" s="100"/>
      <c r="AC39" s="100"/>
      <c r="AD39" s="100"/>
      <c r="AE39" s="100"/>
      <c r="AF39" s="100"/>
      <c r="AG39" s="100"/>
      <c r="AH39" s="100"/>
      <c r="AI39" s="100"/>
      <c r="AJ39" s="237">
        <v>0</v>
      </c>
      <c r="AK39" s="100"/>
      <c r="AL39" s="100"/>
      <c r="AM39" s="100"/>
      <c r="AN39" s="100"/>
      <c r="AO39" s="100"/>
      <c r="AP39" s="100"/>
      <c r="AQ39" s="100"/>
      <c r="AR39" s="100">
        <v>0</v>
      </c>
      <c r="AS39" s="100">
        <v>9.91</v>
      </c>
      <c r="AT39" s="100">
        <v>9.91</v>
      </c>
      <c r="AU39" s="190">
        <v>12.949599999999998</v>
      </c>
      <c r="AV39" s="191">
        <v>12.339599999999999</v>
      </c>
      <c r="AW39" s="247">
        <v>9.91</v>
      </c>
    </row>
    <row r="40" spans="1:49" s="2" customFormat="1" ht="22.5" customHeight="1">
      <c r="A40" s="5" t="s">
        <v>108</v>
      </c>
      <c r="B40" s="72" t="s">
        <v>109</v>
      </c>
      <c r="C40" s="5" t="s">
        <v>110</v>
      </c>
      <c r="D40" s="100"/>
      <c r="E40" s="100">
        <v>0</v>
      </c>
      <c r="F40" s="100"/>
      <c r="G40" s="100"/>
      <c r="H40" s="100"/>
      <c r="I40" s="100"/>
      <c r="J40" s="100"/>
      <c r="K40" s="100"/>
      <c r="L40" s="100"/>
      <c r="M40" s="100"/>
      <c r="N40" s="100"/>
      <c r="O40" s="100">
        <v>0</v>
      </c>
      <c r="P40" s="100"/>
      <c r="Q40" s="100"/>
      <c r="R40" s="100"/>
      <c r="S40" s="100"/>
      <c r="T40" s="100"/>
      <c r="U40" s="100"/>
      <c r="V40" s="100"/>
      <c r="W40" s="100"/>
      <c r="X40" s="100"/>
      <c r="Y40" s="100"/>
      <c r="Z40" s="100"/>
      <c r="AA40" s="100"/>
      <c r="AB40" s="100"/>
      <c r="AC40" s="100"/>
      <c r="AD40" s="100"/>
      <c r="AE40" s="100"/>
      <c r="AF40" s="100"/>
      <c r="AG40" s="100"/>
      <c r="AH40" s="100"/>
      <c r="AI40" s="100"/>
      <c r="AJ40" s="100"/>
      <c r="AK40" s="237">
        <v>0</v>
      </c>
      <c r="AL40" s="100"/>
      <c r="AM40" s="100"/>
      <c r="AN40" s="100"/>
      <c r="AO40" s="100"/>
      <c r="AP40" s="100"/>
      <c r="AQ40" s="100"/>
      <c r="AR40" s="100">
        <v>0</v>
      </c>
      <c r="AS40" s="100">
        <v>2.96</v>
      </c>
      <c r="AT40" s="100">
        <v>2.96</v>
      </c>
      <c r="AU40" s="190">
        <v>12.29</v>
      </c>
      <c r="AV40" s="191">
        <v>27.279999999999998</v>
      </c>
      <c r="AW40" s="247">
        <v>2.96</v>
      </c>
    </row>
    <row r="41" spans="1:49" s="2" customFormat="1" ht="22.5" customHeight="1">
      <c r="A41" s="5" t="s">
        <v>111</v>
      </c>
      <c r="B41" s="72" t="s">
        <v>112</v>
      </c>
      <c r="C41" s="5" t="s">
        <v>113</v>
      </c>
      <c r="D41" s="100">
        <v>6.84</v>
      </c>
      <c r="E41" s="100">
        <v>0</v>
      </c>
      <c r="F41" s="100"/>
      <c r="G41" s="100"/>
      <c r="H41" s="100"/>
      <c r="I41" s="100"/>
      <c r="J41" s="100"/>
      <c r="K41" s="100"/>
      <c r="L41" s="100"/>
      <c r="M41" s="100"/>
      <c r="N41" s="100"/>
      <c r="O41" s="100">
        <v>6.84</v>
      </c>
      <c r="P41" s="100"/>
      <c r="Q41" s="100"/>
      <c r="R41" s="100"/>
      <c r="S41" s="100"/>
      <c r="T41" s="100"/>
      <c r="U41" s="100"/>
      <c r="V41" s="100"/>
      <c r="W41" s="100"/>
      <c r="X41" s="100"/>
      <c r="Y41" s="100"/>
      <c r="Z41" s="100"/>
      <c r="AA41" s="100"/>
      <c r="AB41" s="100"/>
      <c r="AC41" s="100"/>
      <c r="AD41" s="100"/>
      <c r="AE41" s="100"/>
      <c r="AF41" s="100"/>
      <c r="AG41" s="100"/>
      <c r="AH41" s="100"/>
      <c r="AI41" s="100"/>
      <c r="AJ41" s="100"/>
      <c r="AK41" s="100"/>
      <c r="AL41" s="237">
        <v>6.84</v>
      </c>
      <c r="AM41" s="100"/>
      <c r="AN41" s="100"/>
      <c r="AO41" s="100"/>
      <c r="AP41" s="100"/>
      <c r="AQ41" s="100"/>
      <c r="AR41" s="100">
        <v>0</v>
      </c>
      <c r="AS41" s="100">
        <v>15.960000000000003</v>
      </c>
      <c r="AT41" s="100">
        <v>22.800000000000004</v>
      </c>
      <c r="AU41" s="190">
        <v>10.530000000000003</v>
      </c>
      <c r="AV41" s="191">
        <v>10.440000000000003</v>
      </c>
      <c r="AW41" s="247">
        <v>15.960000000000004</v>
      </c>
    </row>
    <row r="42" spans="1:49" s="2" customFormat="1" ht="22.5" customHeight="1">
      <c r="A42" s="5" t="s">
        <v>114</v>
      </c>
      <c r="B42" s="72" t="s">
        <v>115</v>
      </c>
      <c r="C42" s="5" t="s">
        <v>116</v>
      </c>
      <c r="D42" s="100">
        <v>7245.02</v>
      </c>
      <c r="E42" s="100">
        <v>155.62</v>
      </c>
      <c r="F42" s="100"/>
      <c r="G42" s="100"/>
      <c r="H42" s="100"/>
      <c r="I42" s="100"/>
      <c r="J42" s="100"/>
      <c r="K42" s="100"/>
      <c r="L42" s="100">
        <v>150.78</v>
      </c>
      <c r="M42" s="100"/>
      <c r="N42" s="100">
        <v>4.84</v>
      </c>
      <c r="O42" s="100">
        <v>4103.38</v>
      </c>
      <c r="P42" s="100">
        <v>0.14000000000000001</v>
      </c>
      <c r="Q42" s="100"/>
      <c r="R42" s="100"/>
      <c r="S42" s="100"/>
      <c r="T42" s="100"/>
      <c r="U42" s="100"/>
      <c r="V42" s="100">
        <v>0.55000000000000004</v>
      </c>
      <c r="W42" s="100"/>
      <c r="X42" s="100">
        <v>25.93</v>
      </c>
      <c r="Y42" s="100"/>
      <c r="Z42" s="100"/>
      <c r="AA42" s="100"/>
      <c r="AB42" s="100"/>
      <c r="AC42" s="100">
        <v>1.5299999999999998</v>
      </c>
      <c r="AD42" s="100"/>
      <c r="AE42" s="100"/>
      <c r="AF42" s="100"/>
      <c r="AG42" s="100"/>
      <c r="AH42" s="100"/>
      <c r="AI42" s="100"/>
      <c r="AJ42" s="100"/>
      <c r="AK42" s="100"/>
      <c r="AL42" s="100"/>
      <c r="AM42" s="237">
        <v>4075.2300000000005</v>
      </c>
      <c r="AN42" s="100"/>
      <c r="AO42" s="100"/>
      <c r="AP42" s="100">
        <v>2.67</v>
      </c>
      <c r="AQ42" s="100">
        <v>2983.35</v>
      </c>
      <c r="AR42" s="100">
        <v>3169.79</v>
      </c>
      <c r="AS42" s="100">
        <v>-3169.79</v>
      </c>
      <c r="AT42" s="100">
        <v>4075.2300000000005</v>
      </c>
      <c r="AU42" s="190">
        <v>2540.5800000000004</v>
      </c>
      <c r="AV42" s="191">
        <v>2479.7200000000003</v>
      </c>
      <c r="AW42" s="247">
        <v>-3169.79</v>
      </c>
    </row>
    <row r="43" spans="1:49" s="2" customFormat="1" ht="22.5" customHeight="1">
      <c r="A43" s="5" t="s">
        <v>117</v>
      </c>
      <c r="B43" s="72" t="s">
        <v>118</v>
      </c>
      <c r="C43" s="5" t="s">
        <v>119</v>
      </c>
      <c r="D43" s="100">
        <v>924.73</v>
      </c>
      <c r="E43" s="100">
        <v>0</v>
      </c>
      <c r="F43" s="100"/>
      <c r="G43" s="100"/>
      <c r="H43" s="100"/>
      <c r="I43" s="100"/>
      <c r="J43" s="100"/>
      <c r="K43" s="100"/>
      <c r="L43" s="100"/>
      <c r="M43" s="100"/>
      <c r="N43" s="100"/>
      <c r="O43" s="100">
        <v>155.4200000000001</v>
      </c>
      <c r="P43" s="100"/>
      <c r="Q43" s="100"/>
      <c r="R43" s="100"/>
      <c r="S43" s="100"/>
      <c r="T43" s="100"/>
      <c r="U43" s="100"/>
      <c r="V43" s="100"/>
      <c r="W43" s="100"/>
      <c r="X43" s="100">
        <v>2.4</v>
      </c>
      <c r="Y43" s="100"/>
      <c r="Z43" s="100"/>
      <c r="AA43" s="100"/>
      <c r="AB43" s="100"/>
      <c r="AC43" s="100"/>
      <c r="AD43" s="100"/>
      <c r="AE43" s="100"/>
      <c r="AF43" s="100"/>
      <c r="AG43" s="100"/>
      <c r="AH43" s="100"/>
      <c r="AI43" s="100"/>
      <c r="AJ43" s="100"/>
      <c r="AK43" s="100"/>
      <c r="AL43" s="100"/>
      <c r="AM43" s="100"/>
      <c r="AN43" s="237">
        <v>153.0200000000001</v>
      </c>
      <c r="AO43" s="100"/>
      <c r="AP43" s="100"/>
      <c r="AQ43" s="100">
        <v>769.31</v>
      </c>
      <c r="AR43" s="100">
        <v>771.70999999999992</v>
      </c>
      <c r="AS43" s="100">
        <v>-771.70999999999992</v>
      </c>
      <c r="AT43" s="100">
        <v>153.0200000000001</v>
      </c>
      <c r="AU43" s="190">
        <v>1115.8399999999999</v>
      </c>
      <c r="AV43" s="191">
        <v>1085.1699999999998</v>
      </c>
      <c r="AW43" s="247">
        <v>-771.70999999999992</v>
      </c>
    </row>
    <row r="44" spans="1:49" s="2" customFormat="1" ht="22.5" customHeight="1">
      <c r="A44" s="5" t="s">
        <v>120</v>
      </c>
      <c r="B44" s="72" t="s">
        <v>121</v>
      </c>
      <c r="C44" s="5" t="s">
        <v>122</v>
      </c>
      <c r="D44" s="100"/>
      <c r="E44" s="100">
        <v>0</v>
      </c>
      <c r="F44" s="100"/>
      <c r="G44" s="100"/>
      <c r="H44" s="100"/>
      <c r="I44" s="100"/>
      <c r="J44" s="100"/>
      <c r="K44" s="100"/>
      <c r="L44" s="100"/>
      <c r="M44" s="100"/>
      <c r="N44" s="100"/>
      <c r="O44" s="100">
        <v>0</v>
      </c>
      <c r="P44" s="100"/>
      <c r="Q44" s="100"/>
      <c r="R44" s="100"/>
      <c r="S44" s="100"/>
      <c r="T44" s="100"/>
      <c r="U44" s="100"/>
      <c r="V44" s="100"/>
      <c r="W44" s="100"/>
      <c r="X44" s="100"/>
      <c r="Y44" s="100"/>
      <c r="Z44" s="100"/>
      <c r="AA44" s="100"/>
      <c r="AB44" s="100"/>
      <c r="AC44" s="100"/>
      <c r="AD44" s="100"/>
      <c r="AE44" s="100"/>
      <c r="AF44" s="100"/>
      <c r="AG44" s="100"/>
      <c r="AH44" s="100"/>
      <c r="AI44" s="100"/>
      <c r="AJ44" s="100"/>
      <c r="AK44" s="100"/>
      <c r="AL44" s="100"/>
      <c r="AM44" s="100"/>
      <c r="AN44" s="100"/>
      <c r="AO44" s="237">
        <v>0</v>
      </c>
      <c r="AP44" s="100"/>
      <c r="AQ44" s="100"/>
      <c r="AR44" s="100">
        <v>0</v>
      </c>
      <c r="AS44" s="100">
        <v>0.09</v>
      </c>
      <c r="AT44" s="100">
        <v>0.09</v>
      </c>
      <c r="AU44" s="190">
        <v>2.09</v>
      </c>
      <c r="AV44" s="191">
        <v>2.09</v>
      </c>
      <c r="AW44" s="247">
        <v>0.09</v>
      </c>
    </row>
    <row r="45" spans="1:49" s="67" customFormat="1" ht="25.5" customHeight="1">
      <c r="A45" s="88">
        <v>3</v>
      </c>
      <c r="B45" s="89" t="s">
        <v>123</v>
      </c>
      <c r="C45" s="88" t="s">
        <v>124</v>
      </c>
      <c r="D45" s="238">
        <v>747.71</v>
      </c>
      <c r="E45" s="238">
        <v>60.629999999999995</v>
      </c>
      <c r="F45" s="238">
        <v>23.39</v>
      </c>
      <c r="G45" s="238">
        <v>7.2</v>
      </c>
      <c r="H45" s="238">
        <v>1.99</v>
      </c>
      <c r="I45" s="238"/>
      <c r="J45" s="238"/>
      <c r="K45" s="238">
        <v>24.99</v>
      </c>
      <c r="L45" s="238">
        <v>3.06</v>
      </c>
      <c r="M45" s="238"/>
      <c r="N45" s="238"/>
      <c r="O45" s="238">
        <v>35.6</v>
      </c>
      <c r="P45" s="238"/>
      <c r="Q45" s="238"/>
      <c r="R45" s="238"/>
      <c r="S45" s="238"/>
      <c r="T45" s="238"/>
      <c r="U45" s="238"/>
      <c r="V45" s="238">
        <v>35.47</v>
      </c>
      <c r="W45" s="238"/>
      <c r="X45" s="238">
        <v>0.11</v>
      </c>
      <c r="Y45" s="238"/>
      <c r="Z45" s="238"/>
      <c r="AA45" s="238">
        <v>0.02</v>
      </c>
      <c r="AB45" s="238"/>
      <c r="AC45" s="238"/>
      <c r="AD45" s="238"/>
      <c r="AE45" s="238"/>
      <c r="AF45" s="238"/>
      <c r="AG45" s="238"/>
      <c r="AH45" s="238"/>
      <c r="AI45" s="238"/>
      <c r="AJ45" s="238"/>
      <c r="AK45" s="238"/>
      <c r="AL45" s="238"/>
      <c r="AM45" s="238"/>
      <c r="AN45" s="238"/>
      <c r="AO45" s="238"/>
      <c r="AP45" s="239">
        <v>651.48</v>
      </c>
      <c r="AQ45" s="238"/>
      <c r="AR45" s="238">
        <v>96.22999999999999</v>
      </c>
      <c r="AS45" s="238">
        <v>1796.8899999999999</v>
      </c>
      <c r="AT45" s="238">
        <v>2544.6</v>
      </c>
      <c r="AU45" s="190">
        <v>5792.391639999998</v>
      </c>
      <c r="AV45" s="191">
        <v>5714.7716399999981</v>
      </c>
      <c r="AW45" s="247">
        <v>1796.8899999999999</v>
      </c>
    </row>
    <row r="46" spans="1:49" s="67" customFormat="1" ht="25.5" customHeight="1">
      <c r="A46" s="79"/>
      <c r="B46" s="79" t="s">
        <v>501</v>
      </c>
      <c r="C46" s="79"/>
      <c r="D46" s="75">
        <v>4255.37</v>
      </c>
      <c r="E46" s="75">
        <v>2118.9900000000002</v>
      </c>
      <c r="F46" s="75">
        <v>203.96999999999997</v>
      </c>
      <c r="G46" s="75">
        <v>90.320000000000007</v>
      </c>
      <c r="H46" s="75">
        <v>660.17000000000007</v>
      </c>
      <c r="I46" s="75"/>
      <c r="J46" s="75">
        <v>11.18</v>
      </c>
      <c r="K46" s="75"/>
      <c r="L46" s="75">
        <v>1151.8400000000001</v>
      </c>
      <c r="M46" s="75"/>
      <c r="N46" s="75">
        <v>1.5099999999999998</v>
      </c>
      <c r="O46" s="75">
        <v>369.46999999999997</v>
      </c>
      <c r="P46" s="75"/>
      <c r="Q46" s="75">
        <v>3.81</v>
      </c>
      <c r="R46" s="75"/>
      <c r="S46" s="75"/>
      <c r="T46" s="75"/>
      <c r="U46" s="75">
        <v>2.0099999999999998</v>
      </c>
      <c r="V46" s="75"/>
      <c r="W46" s="75"/>
      <c r="X46" s="75">
        <v>265.90000000000003</v>
      </c>
      <c r="Y46" s="75"/>
      <c r="Z46" s="75"/>
      <c r="AA46" s="75"/>
      <c r="AB46" s="75"/>
      <c r="AC46" s="75">
        <v>16.510000000000005</v>
      </c>
      <c r="AD46" s="75"/>
      <c r="AE46" s="75">
        <v>2.56</v>
      </c>
      <c r="AF46" s="75"/>
      <c r="AG46" s="75">
        <v>6.1800000000000006</v>
      </c>
      <c r="AH46" s="75">
        <v>31.060000000000002</v>
      </c>
      <c r="AI46" s="75">
        <v>25.45</v>
      </c>
      <c r="AJ46" s="75"/>
      <c r="AK46" s="75"/>
      <c r="AL46" s="75">
        <v>15.900000000000002</v>
      </c>
      <c r="AM46" s="75"/>
      <c r="AN46" s="75"/>
      <c r="AO46" s="75">
        <v>0.09</v>
      </c>
      <c r="AP46" s="75">
        <v>1766.9099999999999</v>
      </c>
      <c r="AQ46" s="75"/>
      <c r="AR46" s="75"/>
      <c r="AS46" s="75"/>
      <c r="AT46" s="75"/>
      <c r="AV46" s="191"/>
      <c r="AW46" s="247">
        <v>-4255.37</v>
      </c>
    </row>
    <row r="47" spans="1:49" s="67" customFormat="1" ht="25.5" customHeight="1">
      <c r="A47" s="79"/>
      <c r="B47" s="79" t="s">
        <v>190</v>
      </c>
      <c r="C47" s="79"/>
      <c r="D47" s="75"/>
      <c r="E47" s="75">
        <v>2378.7900000000004</v>
      </c>
      <c r="F47" s="75">
        <v>233.77999999999997</v>
      </c>
      <c r="G47" s="75">
        <v>105.04</v>
      </c>
      <c r="H47" s="75">
        <v>662.16000000000008</v>
      </c>
      <c r="I47" s="75">
        <v>322.45</v>
      </c>
      <c r="J47" s="75">
        <v>11.18</v>
      </c>
      <c r="K47" s="75">
        <v>27.83</v>
      </c>
      <c r="L47" s="75">
        <v>1348.0600000000002</v>
      </c>
      <c r="M47" s="75">
        <v>0</v>
      </c>
      <c r="N47" s="75">
        <v>18.839999999999996</v>
      </c>
      <c r="O47" s="75">
        <v>595.84</v>
      </c>
      <c r="P47" s="75">
        <v>0.14000000000000001</v>
      </c>
      <c r="Q47" s="75">
        <v>4.47</v>
      </c>
      <c r="R47" s="75">
        <v>0</v>
      </c>
      <c r="S47" s="75">
        <v>0</v>
      </c>
      <c r="T47" s="75">
        <v>0</v>
      </c>
      <c r="U47" s="75">
        <v>11.53</v>
      </c>
      <c r="V47" s="75">
        <v>176.06000000000003</v>
      </c>
      <c r="W47" s="75">
        <v>0</v>
      </c>
      <c r="X47" s="75">
        <v>412.88000000000005</v>
      </c>
      <c r="Y47" s="75">
        <v>0</v>
      </c>
      <c r="Z47" s="75">
        <v>0</v>
      </c>
      <c r="AA47" s="75">
        <v>0.02</v>
      </c>
      <c r="AB47" s="75">
        <v>12.19</v>
      </c>
      <c r="AC47" s="75">
        <v>490.09000000000003</v>
      </c>
      <c r="AD47" s="75">
        <v>0.47</v>
      </c>
      <c r="AE47" s="75">
        <v>2.56</v>
      </c>
      <c r="AF47" s="75">
        <v>0</v>
      </c>
      <c r="AG47" s="75">
        <v>7.4600000000000009</v>
      </c>
      <c r="AH47" s="75">
        <v>34.68</v>
      </c>
      <c r="AI47" s="75">
        <v>30.79</v>
      </c>
      <c r="AJ47" s="75">
        <v>9.91</v>
      </c>
      <c r="AK47" s="75">
        <v>2.96</v>
      </c>
      <c r="AL47" s="75">
        <v>15.960000000000003</v>
      </c>
      <c r="AM47" s="75">
        <v>0</v>
      </c>
      <c r="AN47" s="75">
        <v>0</v>
      </c>
      <c r="AO47" s="75">
        <v>0.09</v>
      </c>
      <c r="AP47" s="75">
        <v>1893.12</v>
      </c>
      <c r="AQ47" s="75"/>
      <c r="AR47" s="75"/>
      <c r="AS47" s="75"/>
      <c r="AT47" s="75"/>
      <c r="AV47" s="191"/>
      <c r="AW47" s="247">
        <v>0</v>
      </c>
    </row>
    <row r="48" spans="1:49" s="67" customFormat="1" ht="36.75" customHeight="1">
      <c r="A48" s="79"/>
      <c r="B48" s="79" t="s">
        <v>366</v>
      </c>
      <c r="C48" s="79"/>
      <c r="D48" s="75">
        <v>30184.850000000002</v>
      </c>
      <c r="E48" s="75">
        <v>19752.140000000003</v>
      </c>
      <c r="F48" s="75">
        <v>5315.53</v>
      </c>
      <c r="G48" s="75">
        <v>378.03999999999996</v>
      </c>
      <c r="H48" s="75">
        <v>1520.2000000000003</v>
      </c>
      <c r="I48" s="75">
        <v>1187.3100000000002</v>
      </c>
      <c r="J48" s="75">
        <v>34.18</v>
      </c>
      <c r="K48" s="75">
        <v>1901.2300000000002</v>
      </c>
      <c r="L48" s="75">
        <v>9381.5600000000013</v>
      </c>
      <c r="M48" s="75">
        <v>0</v>
      </c>
      <c r="N48" s="75">
        <v>34.089999999999996</v>
      </c>
      <c r="O48" s="75">
        <v>7888.1100000000006</v>
      </c>
      <c r="P48" s="75">
        <v>127.64999999999999</v>
      </c>
      <c r="Q48" s="75">
        <v>4.84</v>
      </c>
      <c r="R48" s="75">
        <v>10.370000000000033</v>
      </c>
      <c r="S48" s="75">
        <v>0</v>
      </c>
      <c r="T48" s="75">
        <v>0</v>
      </c>
      <c r="U48" s="75">
        <v>11.53</v>
      </c>
      <c r="V48" s="75">
        <v>357.04000000000008</v>
      </c>
      <c r="W48" s="75">
        <v>0</v>
      </c>
      <c r="X48" s="75">
        <v>1665.54</v>
      </c>
      <c r="Y48" s="75">
        <v>7.59</v>
      </c>
      <c r="Z48" s="75">
        <v>0</v>
      </c>
      <c r="AA48" s="75">
        <v>4.5199999999999996</v>
      </c>
      <c r="AB48" s="75">
        <v>505.85</v>
      </c>
      <c r="AC48" s="75">
        <v>610.12</v>
      </c>
      <c r="AD48" s="75">
        <v>9.3500000000000014</v>
      </c>
      <c r="AE48" s="75">
        <v>6.0600000000000005</v>
      </c>
      <c r="AF48" s="75">
        <v>0</v>
      </c>
      <c r="AG48" s="75">
        <v>18.510000000000002</v>
      </c>
      <c r="AH48" s="75">
        <v>155.74</v>
      </c>
      <c r="AI48" s="75">
        <v>129.38999999999999</v>
      </c>
      <c r="AJ48" s="75">
        <v>9.91</v>
      </c>
      <c r="AK48" s="75">
        <v>2.96</v>
      </c>
      <c r="AL48" s="75">
        <v>22.800000000000004</v>
      </c>
      <c r="AM48" s="75">
        <v>4075.2300000000005</v>
      </c>
      <c r="AN48" s="75">
        <v>153.0200000000001</v>
      </c>
      <c r="AO48" s="75">
        <v>0.09</v>
      </c>
      <c r="AP48" s="75">
        <v>2544.6</v>
      </c>
      <c r="AQ48" s="75"/>
      <c r="AR48" s="75"/>
      <c r="AS48" s="75"/>
      <c r="AT48" s="75"/>
      <c r="AV48" s="191"/>
    </row>
    <row r="49" spans="2:28" customFormat="1" ht="24.95" customHeight="1">
      <c r="X49">
        <v>678.78000000000009</v>
      </c>
      <c r="AB49">
        <v>12.19</v>
      </c>
    </row>
    <row r="50" spans="2:28" customFormat="1" ht="24.95" customHeight="1">
      <c r="B50" t="s">
        <v>423</v>
      </c>
      <c r="D50">
        <v>228.09</v>
      </c>
    </row>
    <row r="51" spans="2:28" customFormat="1" ht="24.95" customHeight="1">
      <c r="B51" t="s">
        <v>424</v>
      </c>
      <c r="D51">
        <v>2.62</v>
      </c>
    </row>
    <row r="52" spans="2:28" customFormat="1" ht="24.95" customHeight="1">
      <c r="B52" t="s">
        <v>425</v>
      </c>
      <c r="D52">
        <v>180.35</v>
      </c>
    </row>
    <row r="53" spans="2:28" customFormat="1" ht="24.95" customHeight="1">
      <c r="B53" t="s">
        <v>426</v>
      </c>
      <c r="D53">
        <v>79.17</v>
      </c>
    </row>
    <row r="54" spans="2:28" customFormat="1" ht="24.95" customHeight="1">
      <c r="B54" t="s">
        <v>427</v>
      </c>
      <c r="D54">
        <v>32.67</v>
      </c>
    </row>
    <row r="55" spans="2:28" customFormat="1" ht="24.95" customHeight="1">
      <c r="D55">
        <v>522.9</v>
      </c>
    </row>
    <row r="56" spans="2:28" customFormat="1" ht="24.95" customHeight="1">
      <c r="B56" t="s">
        <v>428</v>
      </c>
      <c r="D56">
        <v>2811.4</v>
      </c>
    </row>
    <row r="57" spans="2:28" customFormat="1" ht="24.95" customHeight="1">
      <c r="B57" t="s">
        <v>429</v>
      </c>
      <c r="D57">
        <v>462.7</v>
      </c>
    </row>
    <row r="58" spans="2:28" customFormat="1" ht="24.95" customHeight="1">
      <c r="B58" t="s">
        <v>430</v>
      </c>
      <c r="D58">
        <v>2544</v>
      </c>
    </row>
    <row r="59" spans="2:28" customFormat="1" ht="24.95" customHeight="1">
      <c r="D59">
        <v>5818.1</v>
      </c>
    </row>
    <row r="63" spans="2:28" customFormat="1" ht="24.95" customHeight="1">
      <c r="D63">
        <v>523.53</v>
      </c>
    </row>
  </sheetData>
  <mergeCells count="12">
    <mergeCell ref="AT4:AT5"/>
    <mergeCell ref="D4:D5"/>
    <mergeCell ref="A1:B1"/>
    <mergeCell ref="A4:A5"/>
    <mergeCell ref="B4:B5"/>
    <mergeCell ref="C4:C5"/>
    <mergeCell ref="A2:AT2"/>
    <mergeCell ref="AS3:AT3"/>
    <mergeCell ref="E4:AP4"/>
    <mergeCell ref="AQ4:AQ5"/>
    <mergeCell ref="AR4:AR5"/>
    <mergeCell ref="AS4:AS5"/>
  </mergeCells>
  <phoneticPr fontId="4" type="noConversion"/>
  <pageMargins left="1.2" right="0.75" top="0.5" bottom="0.5" header="0.5" footer="0.5"/>
  <pageSetup paperSize="258" scale="65" orientation="landscape" r:id="rId1"/>
  <headerFooter alignWithMargins="0"/>
  <legacy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7" filterMode="1"/>
  <dimension ref="A1:M29"/>
  <sheetViews>
    <sheetView showZeros="0" workbookViewId="0">
      <selection activeCell="A5" sqref="A5:F24"/>
    </sheetView>
  </sheetViews>
  <sheetFormatPr defaultRowHeight="12.75"/>
  <cols>
    <col min="1" max="1" width="7.28515625" customWidth="1"/>
    <col min="2" max="2" width="21.140625" customWidth="1"/>
    <col min="3" max="3" width="11.5703125" customWidth="1"/>
    <col min="4" max="4" width="11.7109375" customWidth="1"/>
    <col min="5" max="5" width="11.5703125" customWidth="1"/>
    <col min="6" max="6" width="13.5703125" customWidth="1"/>
    <col min="7" max="7" width="6.85546875" customWidth="1"/>
    <col min="8" max="8" width="21.140625" customWidth="1"/>
  </cols>
  <sheetData>
    <row r="1" spans="1:13" ht="17.25" customHeight="1">
      <c r="A1" s="342" t="s">
        <v>647</v>
      </c>
    </row>
    <row r="2" spans="1:13" ht="20.25" customHeight="1">
      <c r="A2" s="1252" t="s">
        <v>717</v>
      </c>
      <c r="B2" s="1252"/>
      <c r="C2" s="1252"/>
      <c r="D2" s="1252"/>
      <c r="E2" s="1252"/>
      <c r="F2" s="1252"/>
    </row>
    <row r="3" spans="1:13" ht="20.25" customHeight="1">
      <c r="A3" s="1252" t="s">
        <v>766</v>
      </c>
      <c r="B3" s="1252"/>
      <c r="C3" s="1252"/>
      <c r="D3" s="1252"/>
      <c r="E3" s="1252"/>
      <c r="F3" s="1252"/>
    </row>
    <row r="4" spans="1:13" ht="18" customHeight="1">
      <c r="E4" s="1377" t="s">
        <v>138</v>
      </c>
      <c r="F4" s="1377"/>
      <c r="G4" s="1301" t="s">
        <v>0</v>
      </c>
      <c r="H4" s="1301" t="s">
        <v>369</v>
      </c>
      <c r="I4" s="1301" t="s">
        <v>494</v>
      </c>
      <c r="J4" s="1391" t="s">
        <v>495</v>
      </c>
      <c r="K4" s="1391" t="s">
        <v>496</v>
      </c>
      <c r="L4" s="1390" t="s">
        <v>497</v>
      </c>
      <c r="M4" s="1390"/>
    </row>
    <row r="5" spans="1:13" ht="19.5" customHeight="1">
      <c r="A5" s="1280" t="s">
        <v>368</v>
      </c>
      <c r="B5" s="1280" t="s">
        <v>980</v>
      </c>
      <c r="C5" s="1280" t="s">
        <v>456</v>
      </c>
      <c r="D5" s="1280" t="s">
        <v>457</v>
      </c>
      <c r="E5" s="1280" t="s">
        <v>459</v>
      </c>
      <c r="F5" s="1280" t="s">
        <v>460</v>
      </c>
      <c r="G5" s="1301"/>
      <c r="H5" s="1301"/>
      <c r="I5" s="1301"/>
      <c r="J5" s="1391"/>
      <c r="K5" s="1391"/>
      <c r="L5" s="1301" t="s">
        <v>498</v>
      </c>
      <c r="M5" s="1301" t="s">
        <v>344</v>
      </c>
    </row>
    <row r="6" spans="1:13" ht="19.5" customHeight="1">
      <c r="A6" s="1280"/>
      <c r="B6" s="1280"/>
      <c r="C6" s="1280"/>
      <c r="D6" s="1280"/>
      <c r="E6" s="1280"/>
      <c r="F6" s="1280"/>
      <c r="G6" s="1301"/>
      <c r="H6" s="1301"/>
      <c r="I6" s="1301"/>
      <c r="J6" s="1391"/>
      <c r="K6" s="1391"/>
      <c r="L6" s="1301"/>
      <c r="M6" s="1301"/>
    </row>
    <row r="7" spans="1:13" ht="18.75" customHeight="1">
      <c r="A7" s="70" t="s">
        <v>235</v>
      </c>
      <c r="B7" s="475" t="s">
        <v>744</v>
      </c>
      <c r="C7" s="99">
        <f>'PHỤ LUC HT'!C125</f>
        <v>2.96</v>
      </c>
      <c r="D7" s="99">
        <f>'Bac Son'!AM67</f>
        <v>0</v>
      </c>
      <c r="E7" s="99">
        <f>'PHỤ LUC HT'!E125</f>
        <v>0</v>
      </c>
      <c r="F7" s="99">
        <f t="shared" ref="F7:F23" si="0">C7+D7-E7</f>
        <v>2.96</v>
      </c>
      <c r="G7" s="41" t="s">
        <v>235</v>
      </c>
      <c r="H7" s="475" t="s">
        <v>744</v>
      </c>
      <c r="I7" s="60">
        <v>20.12</v>
      </c>
      <c r="J7" s="60">
        <v>19.53</v>
      </c>
      <c r="K7" s="60">
        <f>F7</f>
        <v>2.96</v>
      </c>
      <c r="L7" s="60">
        <f>K7-I7</f>
        <v>-17.16</v>
      </c>
      <c r="M7" s="60">
        <f>K7-J7</f>
        <v>-16.57</v>
      </c>
    </row>
    <row r="8" spans="1:13" ht="18.75" customHeight="1">
      <c r="A8" s="5" t="s">
        <v>236</v>
      </c>
      <c r="B8" s="476" t="s">
        <v>745</v>
      </c>
      <c r="C8" s="100">
        <f>'PHỤ LUC HT'!C126</f>
        <v>10.05673</v>
      </c>
      <c r="D8" s="99">
        <f>'Hai Son'!AM67</f>
        <v>0.15000000000000002</v>
      </c>
      <c r="E8" s="100">
        <f>'PHỤ LUC HT'!E126</f>
        <v>0</v>
      </c>
      <c r="F8" s="100">
        <f t="shared" si="0"/>
        <v>10.20673</v>
      </c>
      <c r="G8" s="42" t="s">
        <v>236</v>
      </c>
      <c r="H8" s="476" t="s">
        <v>745</v>
      </c>
      <c r="I8" s="61">
        <v>33.07</v>
      </c>
      <c r="J8" s="61">
        <v>30.76</v>
      </c>
      <c r="K8" s="61">
        <f t="shared" ref="K8:K23" si="1">F8</f>
        <v>10.20673</v>
      </c>
      <c r="L8" s="61">
        <f t="shared" ref="L8:L23" si="2">K8-I8</f>
        <v>-22.86327</v>
      </c>
      <c r="M8" s="61">
        <f t="shared" ref="M8:M23" si="3">K8-J8</f>
        <v>-20.553270000000001</v>
      </c>
    </row>
    <row r="9" spans="1:13" ht="18.75" customHeight="1">
      <c r="A9" s="5" t="s">
        <v>237</v>
      </c>
      <c r="B9" s="476" t="s">
        <v>746</v>
      </c>
      <c r="C9" s="100">
        <f>'PHỤ LUC HT'!C127</f>
        <v>27.83</v>
      </c>
      <c r="D9" s="99">
        <f>'Quang Nghia'!AM67</f>
        <v>0</v>
      </c>
      <c r="E9" s="100">
        <f>'PHỤ LUC HT'!E127</f>
        <v>0.43000000000000005</v>
      </c>
      <c r="F9" s="100">
        <f t="shared" si="0"/>
        <v>27.4</v>
      </c>
      <c r="G9" s="42" t="s">
        <v>237</v>
      </c>
      <c r="H9" s="476" t="s">
        <v>746</v>
      </c>
      <c r="I9" s="61">
        <v>27.86</v>
      </c>
      <c r="J9" s="61">
        <v>26.83</v>
      </c>
      <c r="K9" s="61">
        <f t="shared" si="1"/>
        <v>27.4</v>
      </c>
      <c r="L9" s="61">
        <f t="shared" si="2"/>
        <v>-0.46000000000000085</v>
      </c>
      <c r="M9" s="61">
        <f t="shared" si="3"/>
        <v>0.57000000000000028</v>
      </c>
    </row>
    <row r="10" spans="1:13" ht="18.75" customHeight="1">
      <c r="A10" s="5" t="s">
        <v>238</v>
      </c>
      <c r="B10" s="476" t="s">
        <v>747</v>
      </c>
      <c r="C10" s="100">
        <f>'PHỤ LUC HT'!C128</f>
        <v>52.164999999999999</v>
      </c>
      <c r="D10" s="99">
        <f>'Hai Dong'!AM67</f>
        <v>0.48000000000000004</v>
      </c>
      <c r="E10" s="100">
        <f>'PHỤ LUC HT'!E128</f>
        <v>0.53</v>
      </c>
      <c r="F10" s="100">
        <f t="shared" si="0"/>
        <v>52.114999999999995</v>
      </c>
      <c r="G10" s="42" t="s">
        <v>238</v>
      </c>
      <c r="H10" s="476" t="s">
        <v>747</v>
      </c>
      <c r="I10" s="61">
        <v>41.09</v>
      </c>
      <c r="J10" s="61">
        <v>41.09</v>
      </c>
      <c r="K10" s="61">
        <f t="shared" si="1"/>
        <v>52.114999999999995</v>
      </c>
      <c r="L10" s="61">
        <f t="shared" si="2"/>
        <v>11.024999999999991</v>
      </c>
      <c r="M10" s="61">
        <f t="shared" si="3"/>
        <v>11.024999999999991</v>
      </c>
    </row>
    <row r="11" spans="1:13" ht="18.75" customHeight="1">
      <c r="A11" s="5" t="s">
        <v>239</v>
      </c>
      <c r="B11" s="476" t="s">
        <v>748</v>
      </c>
      <c r="C11" s="100">
        <f>'PHỤ LUC HT'!C129</f>
        <v>17.32</v>
      </c>
      <c r="D11" s="99">
        <f>'Hai Tien'!AM67</f>
        <v>0</v>
      </c>
      <c r="E11" s="100">
        <f>'PHỤ LUC HT'!E129</f>
        <v>0.03</v>
      </c>
      <c r="F11" s="100">
        <f t="shared" si="0"/>
        <v>17.29</v>
      </c>
      <c r="G11" s="42" t="s">
        <v>239</v>
      </c>
      <c r="H11" s="476" t="s">
        <v>748</v>
      </c>
      <c r="I11" s="61">
        <v>10.82</v>
      </c>
      <c r="J11" s="61">
        <v>12.18</v>
      </c>
      <c r="K11" s="61">
        <f t="shared" si="1"/>
        <v>17.29</v>
      </c>
      <c r="L11" s="61">
        <f t="shared" si="2"/>
        <v>6.4699999999999989</v>
      </c>
      <c r="M11" s="61">
        <f t="shared" si="3"/>
        <v>5.1099999999999994</v>
      </c>
    </row>
    <row r="12" spans="1:13" ht="18.75" customHeight="1">
      <c r="A12" s="5" t="s">
        <v>240</v>
      </c>
      <c r="B12" s="476" t="s">
        <v>749</v>
      </c>
      <c r="C12" s="100">
        <f>'PHỤ LUC HT'!C130</f>
        <v>38.11</v>
      </c>
      <c r="D12" s="99">
        <f>'Hai Xuan'!AM67</f>
        <v>0</v>
      </c>
      <c r="E12" s="100">
        <f>'PHỤ LUC HT'!E130</f>
        <v>11.36</v>
      </c>
      <c r="F12" s="100">
        <f t="shared" si="0"/>
        <v>26.75</v>
      </c>
      <c r="G12" s="42" t="s">
        <v>240</v>
      </c>
      <c r="H12" s="476" t="s">
        <v>749</v>
      </c>
      <c r="I12" s="61">
        <v>48.58</v>
      </c>
      <c r="J12" s="61">
        <v>47.11</v>
      </c>
      <c r="K12" s="61">
        <f t="shared" si="1"/>
        <v>26.75</v>
      </c>
      <c r="L12" s="61">
        <f t="shared" si="2"/>
        <v>-21.83</v>
      </c>
      <c r="M12" s="61">
        <f t="shared" si="3"/>
        <v>-20.36</v>
      </c>
    </row>
    <row r="13" spans="1:13" ht="18.75" customHeight="1">
      <c r="A13" s="5" t="s">
        <v>241</v>
      </c>
      <c r="B13" s="476" t="s">
        <v>750</v>
      </c>
      <c r="C13" s="100">
        <f>'PHỤ LUC HT'!C131</f>
        <v>103.69</v>
      </c>
      <c r="D13" s="99">
        <f>'Van Ninh'!AM68</f>
        <v>0</v>
      </c>
      <c r="E13" s="100">
        <f>'PHỤ LUC HT'!E131</f>
        <v>6.64</v>
      </c>
      <c r="F13" s="100">
        <f t="shared" si="0"/>
        <v>97.05</v>
      </c>
      <c r="G13" s="42" t="s">
        <v>241</v>
      </c>
      <c r="H13" s="476" t="s">
        <v>750</v>
      </c>
      <c r="I13" s="61">
        <v>5.63</v>
      </c>
      <c r="J13" s="61">
        <v>5.85</v>
      </c>
      <c r="K13" s="61">
        <f t="shared" si="1"/>
        <v>97.05</v>
      </c>
      <c r="L13" s="61">
        <f t="shared" si="2"/>
        <v>91.42</v>
      </c>
      <c r="M13" s="61">
        <f t="shared" si="3"/>
        <v>91.2</v>
      </c>
    </row>
    <row r="14" spans="1:13" ht="18.75" customHeight="1">
      <c r="A14" s="5" t="s">
        <v>242</v>
      </c>
      <c r="B14" s="476" t="s">
        <v>751</v>
      </c>
      <c r="C14" s="100">
        <f>'PHỤ LUC HT'!C132</f>
        <v>7.85</v>
      </c>
      <c r="D14" s="99">
        <f>'Vinh Trung'!AM68</f>
        <v>0.45999999999999996</v>
      </c>
      <c r="E14" s="100">
        <f>'PHỤ LUC HT'!E132</f>
        <v>0</v>
      </c>
      <c r="F14" s="100">
        <f t="shared" si="0"/>
        <v>8.3099999999999987</v>
      </c>
      <c r="G14" s="42" t="s">
        <v>242</v>
      </c>
      <c r="H14" s="476" t="s">
        <v>751</v>
      </c>
      <c r="I14" s="61">
        <v>31.88</v>
      </c>
      <c r="J14" s="61">
        <v>32.700000000000003</v>
      </c>
      <c r="K14" s="61">
        <f t="shared" si="1"/>
        <v>8.3099999999999987</v>
      </c>
      <c r="L14" s="61">
        <f t="shared" si="2"/>
        <v>-23.57</v>
      </c>
      <c r="M14" s="61">
        <f t="shared" si="3"/>
        <v>-24.390000000000004</v>
      </c>
    </row>
    <row r="15" spans="1:13" ht="18.75" customHeight="1">
      <c r="A15" s="5" t="s">
        <v>243</v>
      </c>
      <c r="B15" s="476" t="s">
        <v>752</v>
      </c>
      <c r="C15" s="100">
        <f>'PHỤ LUC HT'!C133</f>
        <v>35.22</v>
      </c>
      <c r="D15" s="99">
        <f>'Vinh Thuc'!AM67</f>
        <v>0</v>
      </c>
      <c r="E15" s="100">
        <f>'PHỤ LUC HT'!E133</f>
        <v>0</v>
      </c>
      <c r="F15" s="100">
        <f t="shared" si="0"/>
        <v>35.22</v>
      </c>
      <c r="G15" s="42" t="s">
        <v>243</v>
      </c>
      <c r="H15" s="476" t="s">
        <v>752</v>
      </c>
      <c r="I15" s="61">
        <v>69.069999999999993</v>
      </c>
      <c r="J15" s="61">
        <v>70.47</v>
      </c>
      <c r="K15" s="61">
        <f t="shared" si="1"/>
        <v>35.22</v>
      </c>
      <c r="L15" s="61">
        <f t="shared" si="2"/>
        <v>-33.849999999999994</v>
      </c>
      <c r="M15" s="61">
        <f t="shared" si="3"/>
        <v>-35.25</v>
      </c>
    </row>
    <row r="16" spans="1:13" ht="18.75" customHeight="1">
      <c r="A16" s="5" t="s">
        <v>244</v>
      </c>
      <c r="B16" s="476" t="s">
        <v>753</v>
      </c>
      <c r="C16" s="100">
        <f>'PHỤ LUC HT'!C134</f>
        <v>71.5</v>
      </c>
      <c r="D16" s="99">
        <f>'Hai Yen'!AM68</f>
        <v>0</v>
      </c>
      <c r="E16" s="100">
        <f>'PHỤ LUC HT'!E134</f>
        <v>2.4499999999999997</v>
      </c>
      <c r="F16" s="100">
        <f t="shared" si="0"/>
        <v>69.05</v>
      </c>
      <c r="G16" s="42" t="s">
        <v>244</v>
      </c>
      <c r="H16" s="476" t="s">
        <v>753</v>
      </c>
      <c r="I16" s="61">
        <v>17.170000000000002</v>
      </c>
      <c r="J16" s="61">
        <v>17.82</v>
      </c>
      <c r="K16" s="61">
        <f t="shared" si="1"/>
        <v>69.05</v>
      </c>
      <c r="L16" s="61">
        <f t="shared" si="2"/>
        <v>51.879999999999995</v>
      </c>
      <c r="M16" s="61">
        <f t="shared" si="3"/>
        <v>51.23</v>
      </c>
    </row>
    <row r="17" spans="1:13" ht="18.75" customHeight="1">
      <c r="A17" s="5" t="s">
        <v>245</v>
      </c>
      <c r="B17" s="476" t="s">
        <v>754</v>
      </c>
      <c r="C17" s="100">
        <f>'PHỤ LUC HT'!C135</f>
        <v>1.52</v>
      </c>
      <c r="D17" s="99">
        <f>'Ka Long'!AM67</f>
        <v>0</v>
      </c>
      <c r="E17" s="100">
        <f>'PHỤ LUC HT'!E135</f>
        <v>0</v>
      </c>
      <c r="F17" s="100">
        <f t="shared" si="0"/>
        <v>1.52</v>
      </c>
      <c r="G17" s="42" t="s">
        <v>245</v>
      </c>
      <c r="H17" s="476" t="s">
        <v>754</v>
      </c>
      <c r="I17" s="61">
        <v>9.64</v>
      </c>
      <c r="J17" s="61">
        <v>9.94</v>
      </c>
      <c r="K17" s="61">
        <f t="shared" si="1"/>
        <v>1.52</v>
      </c>
      <c r="L17" s="61">
        <f t="shared" si="2"/>
        <v>-8.120000000000001</v>
      </c>
      <c r="M17" s="61">
        <f t="shared" si="3"/>
        <v>-8.42</v>
      </c>
    </row>
    <row r="18" spans="1:13" ht="18.75" customHeight="1">
      <c r="A18" s="5" t="s">
        <v>246</v>
      </c>
      <c r="B18" s="476" t="s">
        <v>755</v>
      </c>
      <c r="C18" s="100">
        <f>'PHỤ LUC HT'!C136</f>
        <v>12.956100000000001</v>
      </c>
      <c r="D18" s="99">
        <f>'Ninh Duong'!AM67</f>
        <v>1.82</v>
      </c>
      <c r="E18" s="100">
        <f>'PHỤ LUC HT'!E136</f>
        <v>0.24000000000000002</v>
      </c>
      <c r="F18" s="100">
        <f t="shared" si="0"/>
        <v>14.536100000000001</v>
      </c>
      <c r="G18" s="42" t="s">
        <v>246</v>
      </c>
      <c r="H18" s="476" t="s">
        <v>755</v>
      </c>
      <c r="I18" s="61">
        <v>10.52</v>
      </c>
      <c r="J18" s="61">
        <v>11.15</v>
      </c>
      <c r="K18" s="61">
        <f t="shared" si="1"/>
        <v>14.536100000000001</v>
      </c>
      <c r="L18" s="61">
        <f t="shared" si="2"/>
        <v>4.0161000000000016</v>
      </c>
      <c r="M18" s="61">
        <f t="shared" si="3"/>
        <v>3.3861000000000008</v>
      </c>
    </row>
    <row r="19" spans="1:13" ht="18.75" customHeight="1">
      <c r="A19" s="5" t="s">
        <v>247</v>
      </c>
      <c r="B19" s="476" t="s">
        <v>756</v>
      </c>
      <c r="C19" s="100">
        <f>'PHỤ LUC HT'!C137</f>
        <v>1.66</v>
      </c>
      <c r="D19" s="99">
        <f>'Hoa Lac'!AM67</f>
        <v>0</v>
      </c>
      <c r="E19" s="100">
        <f>'PHỤ LUC HT'!E137</f>
        <v>0</v>
      </c>
      <c r="F19" s="100">
        <f t="shared" si="0"/>
        <v>1.66</v>
      </c>
      <c r="G19" s="42" t="s">
        <v>247</v>
      </c>
      <c r="H19" s="476" t="s">
        <v>756</v>
      </c>
      <c r="I19" s="61">
        <v>16.13</v>
      </c>
      <c r="J19" s="61">
        <v>16.95</v>
      </c>
      <c r="K19" s="61">
        <f t="shared" si="1"/>
        <v>1.66</v>
      </c>
      <c r="L19" s="61">
        <f t="shared" si="2"/>
        <v>-14.469999999999999</v>
      </c>
      <c r="M19" s="61">
        <f t="shared" si="3"/>
        <v>-15.29</v>
      </c>
    </row>
    <row r="20" spans="1:13" ht="18.75" hidden="1" customHeight="1">
      <c r="A20" s="5" t="s">
        <v>248</v>
      </c>
      <c r="B20" s="476" t="s">
        <v>757</v>
      </c>
      <c r="C20" s="100">
        <f>'PHỤ LUC HT'!C138</f>
        <v>0</v>
      </c>
      <c r="D20" s="99">
        <f>'Tran Phu'!AM67</f>
        <v>0</v>
      </c>
      <c r="E20" s="100">
        <f>'PHỤ LUC HT'!E138</f>
        <v>0</v>
      </c>
      <c r="F20" s="100">
        <f t="shared" si="0"/>
        <v>0</v>
      </c>
      <c r="G20" s="42" t="s">
        <v>248</v>
      </c>
      <c r="H20" s="476" t="s">
        <v>757</v>
      </c>
      <c r="I20" s="61">
        <v>19.97</v>
      </c>
      <c r="J20" s="61">
        <v>23.32</v>
      </c>
      <c r="K20" s="61">
        <f t="shared" si="1"/>
        <v>0</v>
      </c>
      <c r="L20" s="61">
        <f t="shared" si="2"/>
        <v>-19.97</v>
      </c>
      <c r="M20" s="61">
        <f t="shared" si="3"/>
        <v>-23.32</v>
      </c>
    </row>
    <row r="21" spans="1:13" ht="18.75" customHeight="1">
      <c r="A21" s="5" t="s">
        <v>249</v>
      </c>
      <c r="B21" s="476" t="s">
        <v>758</v>
      </c>
      <c r="C21" s="100">
        <f>'PHỤ LUC HT'!C139</f>
        <v>69.819999999999993</v>
      </c>
      <c r="D21" s="99">
        <f>'Hai Hoa'!AM67</f>
        <v>0.55000000000000004</v>
      </c>
      <c r="E21" s="100">
        <f>'PHỤ LUC HT'!E139</f>
        <v>13.680000000000001</v>
      </c>
      <c r="F21" s="100">
        <f t="shared" si="0"/>
        <v>56.689999999999991</v>
      </c>
      <c r="G21" s="42" t="s">
        <v>249</v>
      </c>
      <c r="H21" s="476" t="s">
        <v>758</v>
      </c>
      <c r="I21" s="61">
        <v>25.34</v>
      </c>
      <c r="J21" s="61">
        <v>26.66</v>
      </c>
      <c r="K21" s="61">
        <f t="shared" si="1"/>
        <v>56.689999999999991</v>
      </c>
      <c r="L21" s="61">
        <f t="shared" si="2"/>
        <v>31.349999999999991</v>
      </c>
      <c r="M21" s="61">
        <f t="shared" si="3"/>
        <v>30.02999999999999</v>
      </c>
    </row>
    <row r="22" spans="1:13" ht="18.75" customHeight="1">
      <c r="A22" s="5" t="s">
        <v>250</v>
      </c>
      <c r="B22" s="476" t="s">
        <v>759</v>
      </c>
      <c r="C22" s="100">
        <f>'PHỤ LUC HT'!C140</f>
        <v>12.96</v>
      </c>
      <c r="D22" s="99">
        <f>'Tra Co'!AM67</f>
        <v>0</v>
      </c>
      <c r="E22" s="100">
        <f>'PHỤ LUC HT'!E140</f>
        <v>0.01</v>
      </c>
      <c r="F22" s="100">
        <f t="shared" si="0"/>
        <v>12.950000000000001</v>
      </c>
      <c r="G22" s="42" t="s">
        <v>250</v>
      </c>
      <c r="H22" s="476" t="s">
        <v>759</v>
      </c>
      <c r="I22" s="61">
        <v>11.7</v>
      </c>
      <c r="J22" s="61">
        <v>12.15</v>
      </c>
      <c r="K22" s="61">
        <f t="shared" si="1"/>
        <v>12.950000000000001</v>
      </c>
      <c r="L22" s="61">
        <f t="shared" si="2"/>
        <v>1.2500000000000018</v>
      </c>
      <c r="M22" s="61">
        <f t="shared" si="3"/>
        <v>0.80000000000000071</v>
      </c>
    </row>
    <row r="23" spans="1:13" ht="18.75" customHeight="1">
      <c r="A23" s="5" t="s">
        <v>251</v>
      </c>
      <c r="B23" s="476" t="s">
        <v>760</v>
      </c>
      <c r="C23" s="100">
        <f>'PHỤ LUC HT'!C141</f>
        <v>48.96</v>
      </c>
      <c r="D23" s="99">
        <f>'Binh Ngoc'!AM67</f>
        <v>0</v>
      </c>
      <c r="E23" s="100">
        <f>'PHỤ LUC HT'!E141</f>
        <v>0</v>
      </c>
      <c r="F23" s="100">
        <f t="shared" si="0"/>
        <v>48.96</v>
      </c>
      <c r="G23" s="42" t="s">
        <v>251</v>
      </c>
      <c r="H23" s="476" t="s">
        <v>760</v>
      </c>
      <c r="I23" s="61">
        <v>57.61</v>
      </c>
      <c r="J23" s="61">
        <v>57.11</v>
      </c>
      <c r="K23" s="61">
        <f t="shared" si="1"/>
        <v>48.96</v>
      </c>
      <c r="L23" s="61">
        <f t="shared" si="2"/>
        <v>-8.6499999999999986</v>
      </c>
      <c r="M23" s="61">
        <f t="shared" si="3"/>
        <v>-8.1499999999999986</v>
      </c>
    </row>
    <row r="24" spans="1:13" ht="26.25" customHeight="1">
      <c r="A24" s="328"/>
      <c r="B24" s="328" t="s">
        <v>370</v>
      </c>
      <c r="C24" s="75">
        <f t="shared" ref="C24:F24" si="4">SUM(C7:C23)</f>
        <v>514.57782999999995</v>
      </c>
      <c r="D24" s="75">
        <f t="shared" si="4"/>
        <v>3.46</v>
      </c>
      <c r="E24" s="75">
        <f t="shared" si="4"/>
        <v>35.369999999999997</v>
      </c>
      <c r="F24" s="75">
        <f t="shared" si="4"/>
        <v>482.66782999999998</v>
      </c>
      <c r="G24" s="31"/>
      <c r="H24" s="31" t="s">
        <v>370</v>
      </c>
      <c r="I24" s="75">
        <f>SUM(I7:I23)</f>
        <v>456.19999999999993</v>
      </c>
      <c r="J24" s="75">
        <f>SUM(J7:J23)</f>
        <v>461.61999999999995</v>
      </c>
      <c r="K24" s="75">
        <f>SUM(K7:K23)</f>
        <v>482.66782999999998</v>
      </c>
      <c r="L24" s="75">
        <f>SUM(L7:L23)</f>
        <v>26.467829999999985</v>
      </c>
      <c r="M24" s="75">
        <f>SUM(M7:M23)</f>
        <v>21.047829999999976</v>
      </c>
    </row>
    <row r="25" spans="1:13" ht="15.75">
      <c r="F25" s="68">
        <f>'TONG TP'!BN42</f>
        <v>482.66782999999998</v>
      </c>
    </row>
    <row r="26" spans="1:13" hidden="1">
      <c r="F26">
        <f>F24-F25</f>
        <v>0</v>
      </c>
    </row>
    <row r="28" spans="1:13">
      <c r="F28">
        <f>'TONG TP'!BN42</f>
        <v>482.66782999999998</v>
      </c>
    </row>
    <row r="29" spans="1:13">
      <c r="C29" s="177">
        <f>C24-E24</f>
        <v>479.20782999999994</v>
      </c>
      <c r="F29">
        <f>F24-F28</f>
        <v>0</v>
      </c>
    </row>
  </sheetData>
  <autoFilter ref="A6:M26">
    <filterColumn colId="5">
      <customFilters>
        <customFilter operator="notEqual" val=" "/>
      </customFilters>
    </filterColumn>
  </autoFilter>
  <mergeCells count="17">
    <mergeCell ref="L4:M4"/>
    <mergeCell ref="L5:L6"/>
    <mergeCell ref="M5:M6"/>
    <mergeCell ref="G4:G6"/>
    <mergeCell ref="H4:H6"/>
    <mergeCell ref="I4:I6"/>
    <mergeCell ref="J4:J6"/>
    <mergeCell ref="K4:K6"/>
    <mergeCell ref="A2:F2"/>
    <mergeCell ref="A3:F3"/>
    <mergeCell ref="A5:A6"/>
    <mergeCell ref="B5:B6"/>
    <mergeCell ref="C5:C6"/>
    <mergeCell ref="D5:D6"/>
    <mergeCell ref="E5:E6"/>
    <mergeCell ref="F5:F6"/>
    <mergeCell ref="E4:F4"/>
  </mergeCells>
  <phoneticPr fontId="4" type="noConversion"/>
  <printOptions horizontalCentered="1"/>
  <pageMargins left="1" right="0.25" top="0.3" bottom="0.25" header="0.5" footer="0.5"/>
  <pageSetup paperSize="9" scale="95" orientation="portrait"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8"/>
  <dimension ref="A1:P29"/>
  <sheetViews>
    <sheetView showZeros="0" topLeftCell="A10" workbookViewId="0">
      <selection activeCell="A5" sqref="A5:I24"/>
    </sheetView>
  </sheetViews>
  <sheetFormatPr defaultRowHeight="12.75"/>
  <cols>
    <col min="1" max="1" width="5.7109375" customWidth="1"/>
    <col min="2" max="2" width="21.28515625" customWidth="1"/>
    <col min="3" max="3" width="8.85546875" customWidth="1"/>
    <col min="4" max="4" width="7.5703125" customWidth="1"/>
    <col min="5" max="7" width="6.5703125" style="275" customWidth="1"/>
    <col min="8" max="8" width="8.5703125" customWidth="1"/>
    <col min="9" max="9" width="10" customWidth="1"/>
    <col min="10" max="10" width="7.5703125" customWidth="1"/>
    <col min="11" max="11" width="21.7109375" customWidth="1"/>
  </cols>
  <sheetData>
    <row r="1" spans="1:16" ht="17.25" customHeight="1">
      <c r="A1" s="342" t="s">
        <v>648</v>
      </c>
    </row>
    <row r="2" spans="1:16" ht="20.25" customHeight="1">
      <c r="A2" s="1385" t="s">
        <v>718</v>
      </c>
      <c r="B2" s="1385"/>
      <c r="C2" s="1385"/>
      <c r="D2" s="1385"/>
      <c r="E2" s="1385"/>
      <c r="F2" s="1385"/>
      <c r="G2" s="1385"/>
      <c r="H2" s="1385"/>
      <c r="I2" s="1385"/>
    </row>
    <row r="3" spans="1:16" ht="20.25" customHeight="1">
      <c r="A3" s="1385" t="s">
        <v>766</v>
      </c>
      <c r="B3" s="1385"/>
      <c r="C3" s="1385"/>
      <c r="D3" s="1385"/>
      <c r="E3" s="1385"/>
      <c r="F3" s="1385"/>
      <c r="G3" s="1385"/>
      <c r="H3" s="1385"/>
      <c r="I3" s="1385"/>
    </row>
    <row r="4" spans="1:16" ht="18" customHeight="1">
      <c r="H4" s="1377" t="s">
        <v>138</v>
      </c>
      <c r="I4" s="1377"/>
      <c r="J4" s="1301" t="s">
        <v>0</v>
      </c>
      <c r="K4" s="1301" t="s">
        <v>369</v>
      </c>
      <c r="L4" s="1301" t="s">
        <v>494</v>
      </c>
      <c r="M4" s="1391" t="s">
        <v>495</v>
      </c>
      <c r="N4" s="1391" t="s">
        <v>496</v>
      </c>
      <c r="O4" s="1390" t="s">
        <v>497</v>
      </c>
      <c r="P4" s="1390"/>
    </row>
    <row r="5" spans="1:16" ht="27" customHeight="1">
      <c r="A5" s="1280" t="s">
        <v>368</v>
      </c>
      <c r="B5" s="1280" t="s">
        <v>985</v>
      </c>
      <c r="C5" s="1280" t="s">
        <v>456</v>
      </c>
      <c r="D5" s="1280" t="s">
        <v>457</v>
      </c>
      <c r="E5" s="1404"/>
      <c r="F5" s="1404"/>
      <c r="G5" s="1379"/>
      <c r="H5" s="1280" t="s">
        <v>459</v>
      </c>
      <c r="I5" s="1280" t="s">
        <v>460</v>
      </c>
      <c r="J5" s="1301"/>
      <c r="K5" s="1301"/>
      <c r="L5" s="1301"/>
      <c r="M5" s="1391"/>
      <c r="N5" s="1391"/>
      <c r="O5" s="1301" t="s">
        <v>498</v>
      </c>
      <c r="P5" s="1301" t="s">
        <v>344</v>
      </c>
    </row>
    <row r="6" spans="1:16" ht="23.25" customHeight="1">
      <c r="A6" s="1280"/>
      <c r="B6" s="1280"/>
      <c r="C6" s="1280"/>
      <c r="D6" s="1280"/>
      <c r="E6" s="276"/>
      <c r="F6" s="276"/>
      <c r="G6" s="276"/>
      <c r="H6" s="1280"/>
      <c r="I6" s="1280"/>
      <c r="J6" s="1301"/>
      <c r="K6" s="1301"/>
      <c r="L6" s="1301"/>
      <c r="M6" s="1391"/>
      <c r="N6" s="1391"/>
      <c r="O6" s="1301"/>
      <c r="P6" s="1301"/>
    </row>
    <row r="7" spans="1:16" ht="18.75" customHeight="1">
      <c r="A7" s="70" t="s">
        <v>235</v>
      </c>
      <c r="B7" s="475" t="s">
        <v>744</v>
      </c>
      <c r="C7" s="70">
        <f>'PHỤ LUC HT'!C149</f>
        <v>0.12</v>
      </c>
      <c r="D7" s="99">
        <f>'Bac Son'!AN67</f>
        <v>0</v>
      </c>
      <c r="E7" s="70">
        <f>'Bac Son'!AN42</f>
        <v>0</v>
      </c>
      <c r="F7" s="70">
        <f>'Bac Son'!AN60</f>
        <v>0</v>
      </c>
      <c r="G7" s="70">
        <f>'Bac Son'!AN64</f>
        <v>0</v>
      </c>
      <c r="H7" s="70">
        <f>'PHỤ LUC HT'!E149</f>
        <v>0</v>
      </c>
      <c r="I7" s="70">
        <f t="shared" ref="I7:I23" si="0">C7+D7-H7</f>
        <v>0.12</v>
      </c>
      <c r="J7" s="41" t="s">
        <v>235</v>
      </c>
      <c r="K7" s="475" t="s">
        <v>744</v>
      </c>
      <c r="L7" s="60"/>
      <c r="M7" s="60"/>
      <c r="N7" s="60">
        <f>I7</f>
        <v>0.12</v>
      </c>
      <c r="O7" s="60">
        <f>N7-L7</f>
        <v>0.12</v>
      </c>
      <c r="P7" s="60">
        <f>N7-M7</f>
        <v>0.12</v>
      </c>
    </row>
    <row r="8" spans="1:16" ht="18.75" customHeight="1">
      <c r="A8" s="5" t="s">
        <v>236</v>
      </c>
      <c r="B8" s="476" t="s">
        <v>745</v>
      </c>
      <c r="C8" s="5">
        <f>'PHỤ LUC HT'!C150</f>
        <v>0.01</v>
      </c>
      <c r="D8" s="99">
        <f>'Hai Son'!AN67</f>
        <v>0</v>
      </c>
      <c r="E8" s="5">
        <f>'Hai Son'!AN42</f>
        <v>0</v>
      </c>
      <c r="F8" s="5">
        <f>'Hai Son'!AN60</f>
        <v>0</v>
      </c>
      <c r="G8" s="5">
        <f>'Hai Son'!AN64</f>
        <v>0</v>
      </c>
      <c r="H8" s="5">
        <f>'PHỤ LUC HT'!E150</f>
        <v>0</v>
      </c>
      <c r="I8" s="5">
        <f t="shared" si="0"/>
        <v>0.01</v>
      </c>
      <c r="J8" s="42" t="s">
        <v>236</v>
      </c>
      <c r="K8" s="476" t="s">
        <v>745</v>
      </c>
      <c r="L8" s="61">
        <v>0.91</v>
      </c>
      <c r="M8" s="61">
        <v>4.41</v>
      </c>
      <c r="N8" s="61">
        <f t="shared" ref="N8:N23" si="1">I8</f>
        <v>0.01</v>
      </c>
      <c r="O8" s="61">
        <f t="shared" ref="O8:O23" si="2">N8-L8</f>
        <v>-0.9</v>
      </c>
      <c r="P8" s="61">
        <f t="shared" ref="P8:P23" si="3">N8-M8</f>
        <v>-4.4000000000000004</v>
      </c>
    </row>
    <row r="9" spans="1:16" ht="18.75" customHeight="1">
      <c r="A9" s="5" t="s">
        <v>237</v>
      </c>
      <c r="B9" s="476" t="s">
        <v>746</v>
      </c>
      <c r="C9" s="5">
        <f>'PHỤ LUC HT'!C151</f>
        <v>0.03</v>
      </c>
      <c r="D9" s="99">
        <f>'Quang Nghia'!AN67</f>
        <v>0</v>
      </c>
      <c r="E9" s="5">
        <f>'Quang Nghia'!AN42</f>
        <v>0</v>
      </c>
      <c r="F9" s="5">
        <f>'Quang Nghia'!AN60</f>
        <v>0</v>
      </c>
      <c r="G9" s="5">
        <f>'Quang Nghia'!AN64</f>
        <v>0</v>
      </c>
      <c r="H9" s="5">
        <f>'PHỤ LUC HT'!E151</f>
        <v>0</v>
      </c>
      <c r="I9" s="5">
        <f t="shared" si="0"/>
        <v>0.03</v>
      </c>
      <c r="J9" s="42" t="s">
        <v>237</v>
      </c>
      <c r="K9" s="476" t="s">
        <v>746</v>
      </c>
      <c r="L9" s="61">
        <v>0.09</v>
      </c>
      <c r="M9" s="61">
        <v>18.29</v>
      </c>
      <c r="N9" s="61">
        <f t="shared" si="1"/>
        <v>0.03</v>
      </c>
      <c r="O9" s="61">
        <f t="shared" si="2"/>
        <v>-0.06</v>
      </c>
      <c r="P9" s="61">
        <f t="shared" si="3"/>
        <v>-18.259999999999998</v>
      </c>
    </row>
    <row r="10" spans="1:16" ht="18.75" customHeight="1">
      <c r="A10" s="5" t="s">
        <v>238</v>
      </c>
      <c r="B10" s="476" t="s">
        <v>747</v>
      </c>
      <c r="C10" s="5">
        <f>'PHỤ LUC HT'!C152</f>
        <v>0.62</v>
      </c>
      <c r="D10" s="99">
        <f>'Hai Dong'!AN67</f>
        <v>0</v>
      </c>
      <c r="E10" s="5">
        <f>'Hai Dong'!AN42</f>
        <v>0</v>
      </c>
      <c r="F10" s="5">
        <f>'Hai Dong'!AN60</f>
        <v>0</v>
      </c>
      <c r="G10" s="5">
        <f>'Hai Dong'!AN64</f>
        <v>0</v>
      </c>
      <c r="H10" s="5">
        <f>'PHỤ LUC HT'!E152</f>
        <v>0</v>
      </c>
      <c r="I10" s="5">
        <f t="shared" si="0"/>
        <v>0.62</v>
      </c>
      <c r="J10" s="42" t="s">
        <v>238</v>
      </c>
      <c r="K10" s="476" t="s">
        <v>747</v>
      </c>
      <c r="L10" s="61">
        <v>0.03</v>
      </c>
      <c r="M10" s="61">
        <v>0.03</v>
      </c>
      <c r="N10" s="61">
        <f t="shared" si="1"/>
        <v>0.62</v>
      </c>
      <c r="O10" s="61">
        <f t="shared" si="2"/>
        <v>0.59</v>
      </c>
      <c r="P10" s="61">
        <f t="shared" si="3"/>
        <v>0.59</v>
      </c>
    </row>
    <row r="11" spans="1:16" ht="18.75" customHeight="1">
      <c r="A11" s="5" t="s">
        <v>239</v>
      </c>
      <c r="B11" s="476" t="s">
        <v>748</v>
      </c>
      <c r="C11" s="5">
        <f>'PHỤ LUC HT'!C153</f>
        <v>0.03</v>
      </c>
      <c r="D11" s="99">
        <f>'Hai Tien'!AN67</f>
        <v>0</v>
      </c>
      <c r="E11" s="5">
        <f>'Hai Tien'!AN42</f>
        <v>0</v>
      </c>
      <c r="F11" s="5">
        <f>'Hai Tien'!AN60</f>
        <v>0</v>
      </c>
      <c r="G11" s="5">
        <f>'Hai Tien'!AN64</f>
        <v>0</v>
      </c>
      <c r="H11" s="5">
        <f>'PHỤ LUC HT'!E153</f>
        <v>0</v>
      </c>
      <c r="I11" s="5">
        <f t="shared" si="0"/>
        <v>0.03</v>
      </c>
      <c r="J11" s="42" t="s">
        <v>239</v>
      </c>
      <c r="K11" s="476" t="s">
        <v>748</v>
      </c>
      <c r="L11" s="61"/>
      <c r="M11" s="61"/>
      <c r="N11" s="61">
        <f t="shared" si="1"/>
        <v>0.03</v>
      </c>
      <c r="O11" s="61">
        <f t="shared" si="2"/>
        <v>0.03</v>
      </c>
      <c r="P11" s="61">
        <f t="shared" si="3"/>
        <v>0.03</v>
      </c>
    </row>
    <row r="12" spans="1:16" ht="18.75" customHeight="1">
      <c r="A12" s="5" t="s">
        <v>240</v>
      </c>
      <c r="B12" s="476" t="s">
        <v>749</v>
      </c>
      <c r="C12" s="5">
        <f>'PHỤ LUC HT'!C154</f>
        <v>0.03</v>
      </c>
      <c r="D12" s="99">
        <f>'Hai Xuan'!AN67</f>
        <v>0</v>
      </c>
      <c r="E12" s="5">
        <f>'Hai Xuan'!AN42</f>
        <v>0</v>
      </c>
      <c r="F12" s="5">
        <f>'Hai Xuan'!AN60</f>
        <v>0</v>
      </c>
      <c r="G12" s="5">
        <f>'Hai Xuan'!AN64</f>
        <v>0</v>
      </c>
      <c r="H12" s="5">
        <f>'PHỤ LUC HT'!E154</f>
        <v>0</v>
      </c>
      <c r="I12" s="5">
        <f t="shared" si="0"/>
        <v>0.03</v>
      </c>
      <c r="J12" s="42" t="s">
        <v>240</v>
      </c>
      <c r="K12" s="476" t="s">
        <v>749</v>
      </c>
      <c r="L12" s="61"/>
      <c r="M12" s="61"/>
      <c r="N12" s="61">
        <f t="shared" si="1"/>
        <v>0.03</v>
      </c>
      <c r="O12" s="61">
        <f t="shared" si="2"/>
        <v>0.03</v>
      </c>
      <c r="P12" s="61">
        <f t="shared" si="3"/>
        <v>0.03</v>
      </c>
    </row>
    <row r="13" spans="1:16" ht="18.75" customHeight="1">
      <c r="A13" s="5" t="s">
        <v>241</v>
      </c>
      <c r="B13" s="476" t="s">
        <v>750</v>
      </c>
      <c r="C13" s="5">
        <f>'PHỤ LUC HT'!C155</f>
        <v>0.06</v>
      </c>
      <c r="D13" s="99">
        <f>'Van Ninh'!AN68</f>
        <v>0</v>
      </c>
      <c r="E13" s="5">
        <f>'Van Ninh'!AN42</f>
        <v>0</v>
      </c>
      <c r="F13" s="5">
        <f>'Van Ninh'!AN60</f>
        <v>0</v>
      </c>
      <c r="G13" s="5">
        <f>'Van Ninh'!AN64</f>
        <v>0</v>
      </c>
      <c r="H13" s="5">
        <f>'PHỤ LUC HT'!E155</f>
        <v>0</v>
      </c>
      <c r="I13" s="5">
        <f t="shared" si="0"/>
        <v>0.06</v>
      </c>
      <c r="J13" s="42" t="s">
        <v>241</v>
      </c>
      <c r="K13" s="476" t="s">
        <v>750</v>
      </c>
      <c r="L13" s="61"/>
      <c r="M13" s="61">
        <v>1.2</v>
      </c>
      <c r="N13" s="61">
        <f t="shared" si="1"/>
        <v>0.06</v>
      </c>
      <c r="O13" s="61">
        <f t="shared" si="2"/>
        <v>0.06</v>
      </c>
      <c r="P13" s="61">
        <f t="shared" si="3"/>
        <v>-1.1399999999999999</v>
      </c>
    </row>
    <row r="14" spans="1:16" ht="18.75" customHeight="1">
      <c r="A14" s="5" t="s">
        <v>242</v>
      </c>
      <c r="B14" s="476" t="s">
        <v>751</v>
      </c>
      <c r="C14" s="5">
        <f>'PHỤ LUC HT'!C156</f>
        <v>0</v>
      </c>
      <c r="D14" s="99">
        <f>'Vinh Trung'!AN68</f>
        <v>0</v>
      </c>
      <c r="E14" s="5">
        <f>'Vinh Trung'!AN42</f>
        <v>0</v>
      </c>
      <c r="F14" s="5">
        <f>'Vinh Trung'!AN60</f>
        <v>0</v>
      </c>
      <c r="G14" s="5">
        <f>'Vinh Trung'!AN64</f>
        <v>0</v>
      </c>
      <c r="H14" s="5">
        <f>'PHỤ LUC HT'!E156</f>
        <v>0</v>
      </c>
      <c r="I14" s="5">
        <f t="shared" si="0"/>
        <v>0</v>
      </c>
      <c r="J14" s="42" t="s">
        <v>242</v>
      </c>
      <c r="K14" s="476" t="s">
        <v>751</v>
      </c>
      <c r="L14" s="61"/>
      <c r="M14" s="61">
        <v>1.3</v>
      </c>
      <c r="N14" s="61">
        <f t="shared" si="1"/>
        <v>0</v>
      </c>
      <c r="O14" s="61">
        <f t="shared" si="2"/>
        <v>0</v>
      </c>
      <c r="P14" s="61">
        <f t="shared" si="3"/>
        <v>-1.3</v>
      </c>
    </row>
    <row r="15" spans="1:16" ht="18.75" customHeight="1">
      <c r="A15" s="5" t="s">
        <v>243</v>
      </c>
      <c r="B15" s="476" t="s">
        <v>752</v>
      </c>
      <c r="C15" s="5">
        <f>'PHỤ LUC HT'!C157</f>
        <v>0</v>
      </c>
      <c r="D15" s="99">
        <f>'Vinh Thuc'!AN67</f>
        <v>0</v>
      </c>
      <c r="E15" s="5">
        <f>'Vinh Thuc'!AN42</f>
        <v>0</v>
      </c>
      <c r="F15" s="5">
        <f>'Vinh Thuc'!AN60</f>
        <v>0</v>
      </c>
      <c r="G15" s="5">
        <f>'Vinh Thuc'!AN64</f>
        <v>0</v>
      </c>
      <c r="H15" s="5">
        <f>'PHỤ LUC HT'!E157</f>
        <v>0</v>
      </c>
      <c r="I15" s="5">
        <f t="shared" si="0"/>
        <v>0</v>
      </c>
      <c r="J15" s="42" t="s">
        <v>243</v>
      </c>
      <c r="K15" s="476" t="s">
        <v>752</v>
      </c>
      <c r="L15" s="61"/>
      <c r="M15" s="61">
        <v>1.2</v>
      </c>
      <c r="N15" s="61">
        <f t="shared" si="1"/>
        <v>0</v>
      </c>
      <c r="O15" s="61">
        <f t="shared" si="2"/>
        <v>0</v>
      </c>
      <c r="P15" s="61">
        <f t="shared" si="3"/>
        <v>-1.2</v>
      </c>
    </row>
    <row r="16" spans="1:16" ht="18.75" customHeight="1">
      <c r="A16" s="5" t="s">
        <v>244</v>
      </c>
      <c r="B16" s="476" t="s">
        <v>753</v>
      </c>
      <c r="C16" s="5">
        <f>'PHỤ LUC HT'!C158</f>
        <v>0</v>
      </c>
      <c r="D16" s="99">
        <f>'Hai Yen'!AN68</f>
        <v>0</v>
      </c>
      <c r="E16" s="5">
        <f>'Hai Yen'!AN42</f>
        <v>0</v>
      </c>
      <c r="F16" s="5">
        <f>'Hai Yen'!AN60</f>
        <v>0</v>
      </c>
      <c r="G16" s="5">
        <f>'Hai Yen'!AN64</f>
        <v>0</v>
      </c>
      <c r="H16" s="5">
        <f>'PHỤ LUC HT'!E158</f>
        <v>0</v>
      </c>
      <c r="I16" s="5">
        <f t="shared" si="0"/>
        <v>0</v>
      </c>
      <c r="J16" s="42" t="s">
        <v>244</v>
      </c>
      <c r="K16" s="476" t="s">
        <v>753</v>
      </c>
      <c r="L16" s="61"/>
      <c r="M16" s="61">
        <v>0.85</v>
      </c>
      <c r="N16" s="61">
        <f t="shared" si="1"/>
        <v>0</v>
      </c>
      <c r="O16" s="61">
        <f t="shared" si="2"/>
        <v>0</v>
      </c>
      <c r="P16" s="61">
        <f t="shared" si="3"/>
        <v>-0.85</v>
      </c>
    </row>
    <row r="17" spans="1:16" ht="18.75" customHeight="1">
      <c r="A17" s="5" t="s">
        <v>245</v>
      </c>
      <c r="B17" s="476" t="s">
        <v>754</v>
      </c>
      <c r="C17" s="5">
        <f>'PHỤ LUC HT'!C159</f>
        <v>0.01</v>
      </c>
      <c r="D17" s="99">
        <f>'Ka Long'!AN67</f>
        <v>0</v>
      </c>
      <c r="E17" s="5">
        <f>'Ka Long'!AN42</f>
        <v>0</v>
      </c>
      <c r="F17" s="5">
        <f>'Ka Long'!AN60</f>
        <v>0</v>
      </c>
      <c r="G17" s="5">
        <f>'Ka Long'!AN64</f>
        <v>0</v>
      </c>
      <c r="H17" s="5">
        <f>'PHỤ LUC HT'!E159</f>
        <v>0</v>
      </c>
      <c r="I17" s="5">
        <f t="shared" si="0"/>
        <v>0.01</v>
      </c>
      <c r="J17" s="42" t="s">
        <v>245</v>
      </c>
      <c r="K17" s="476" t="s">
        <v>754</v>
      </c>
      <c r="L17" s="61">
        <v>0.11</v>
      </c>
      <c r="M17" s="61">
        <v>0.11</v>
      </c>
      <c r="N17" s="61">
        <f t="shared" si="1"/>
        <v>0.01</v>
      </c>
      <c r="O17" s="61">
        <f t="shared" si="2"/>
        <v>-0.1</v>
      </c>
      <c r="P17" s="61">
        <f t="shared" si="3"/>
        <v>-0.1</v>
      </c>
    </row>
    <row r="18" spans="1:16" ht="18.75" customHeight="1">
      <c r="A18" s="5" t="s">
        <v>246</v>
      </c>
      <c r="B18" s="476" t="s">
        <v>755</v>
      </c>
      <c r="C18" s="5">
        <f>'PHỤ LUC HT'!C160</f>
        <v>1.4</v>
      </c>
      <c r="D18" s="99">
        <f>'Ninh Duong'!AN67</f>
        <v>0</v>
      </c>
      <c r="E18" s="5">
        <f>'Ninh Duong'!AN42</f>
        <v>0</v>
      </c>
      <c r="F18" s="5">
        <f>'Ninh Duong'!AN60</f>
        <v>0</v>
      </c>
      <c r="G18" s="5">
        <f>'Ninh Duong'!AN64</f>
        <v>0</v>
      </c>
      <c r="H18" s="5">
        <f>'PHỤ LUC HT'!E160</f>
        <v>0</v>
      </c>
      <c r="I18" s="5">
        <f t="shared" si="0"/>
        <v>1.4</v>
      </c>
      <c r="J18" s="42" t="s">
        <v>246</v>
      </c>
      <c r="K18" s="476" t="s">
        <v>755</v>
      </c>
      <c r="L18" s="61"/>
      <c r="M18" s="61">
        <v>10</v>
      </c>
      <c r="N18" s="61">
        <f t="shared" si="1"/>
        <v>1.4</v>
      </c>
      <c r="O18" s="61">
        <f t="shared" si="2"/>
        <v>1.4</v>
      </c>
      <c r="P18" s="61">
        <f t="shared" si="3"/>
        <v>-8.6</v>
      </c>
    </row>
    <row r="19" spans="1:16" ht="18.75" customHeight="1">
      <c r="A19" s="5" t="s">
        <v>247</v>
      </c>
      <c r="B19" s="476" t="s">
        <v>756</v>
      </c>
      <c r="C19" s="5">
        <f>'PHỤ LUC HT'!C161</f>
        <v>0</v>
      </c>
      <c r="D19" s="99">
        <f>'Hoa Lac'!AN67</f>
        <v>0</v>
      </c>
      <c r="E19" s="5">
        <f>'Hoa Lac'!AN42</f>
        <v>0</v>
      </c>
      <c r="F19" s="5">
        <f>'Hoa Lac'!AN60</f>
        <v>0</v>
      </c>
      <c r="G19" s="5">
        <f>'Hoa Lac'!AN64</f>
        <v>0</v>
      </c>
      <c r="H19" s="5">
        <f>'PHỤ LUC HT'!E161</f>
        <v>0</v>
      </c>
      <c r="I19" s="5">
        <f t="shared" si="0"/>
        <v>0</v>
      </c>
      <c r="J19" s="42" t="s">
        <v>247</v>
      </c>
      <c r="K19" s="476" t="s">
        <v>756</v>
      </c>
      <c r="L19" s="61">
        <v>0.05</v>
      </c>
      <c r="M19" s="61">
        <v>0.05</v>
      </c>
      <c r="N19" s="61">
        <f t="shared" si="1"/>
        <v>0</v>
      </c>
      <c r="O19" s="61">
        <f t="shared" si="2"/>
        <v>-0.05</v>
      </c>
      <c r="P19" s="61">
        <f t="shared" si="3"/>
        <v>-0.05</v>
      </c>
    </row>
    <row r="20" spans="1:16" ht="18.75" customHeight="1">
      <c r="A20" s="5" t="s">
        <v>248</v>
      </c>
      <c r="B20" s="476" t="s">
        <v>757</v>
      </c>
      <c r="C20" s="5">
        <f>'PHỤ LUC HT'!C162</f>
        <v>0.11</v>
      </c>
      <c r="D20" s="99">
        <f>'Tran Phu'!AN67</f>
        <v>0</v>
      </c>
      <c r="E20" s="5">
        <f>'Tran Phu'!AN42</f>
        <v>0</v>
      </c>
      <c r="F20" s="5">
        <f>'Tran Phu'!AN60</f>
        <v>0</v>
      </c>
      <c r="G20" s="5">
        <f>'Tran Phu'!AN64</f>
        <v>0</v>
      </c>
      <c r="H20" s="5">
        <f>'PHỤ LUC HT'!E162</f>
        <v>0</v>
      </c>
      <c r="I20" s="5">
        <f t="shared" si="0"/>
        <v>0.11</v>
      </c>
      <c r="J20" s="42" t="s">
        <v>248</v>
      </c>
      <c r="K20" s="476" t="s">
        <v>757</v>
      </c>
      <c r="L20" s="61"/>
      <c r="M20" s="61"/>
      <c r="N20" s="61">
        <f t="shared" si="1"/>
        <v>0.11</v>
      </c>
      <c r="O20" s="61">
        <f t="shared" si="2"/>
        <v>0.11</v>
      </c>
      <c r="P20" s="61">
        <f t="shared" si="3"/>
        <v>0.11</v>
      </c>
    </row>
    <row r="21" spans="1:16" ht="18.75" customHeight="1">
      <c r="A21" s="5" t="s">
        <v>249</v>
      </c>
      <c r="B21" s="476" t="s">
        <v>758</v>
      </c>
      <c r="C21" s="5">
        <f>'PHỤ LUC HT'!C163</f>
        <v>0.06</v>
      </c>
      <c r="D21" s="99">
        <f>'Hai Hoa'!AN67</f>
        <v>0</v>
      </c>
      <c r="E21" s="5">
        <f>'Hai Hoa'!AN42</f>
        <v>0</v>
      </c>
      <c r="F21" s="5">
        <f>'Hai Hoa'!AN60</f>
        <v>0</v>
      </c>
      <c r="G21" s="5">
        <f>'Hai Hoa'!AN64</f>
        <v>0</v>
      </c>
      <c r="H21" s="5">
        <f>'PHỤ LUC HT'!E163</f>
        <v>0</v>
      </c>
      <c r="I21" s="5">
        <f t="shared" si="0"/>
        <v>0.06</v>
      </c>
      <c r="J21" s="42" t="s">
        <v>249</v>
      </c>
      <c r="K21" s="476" t="s">
        <v>758</v>
      </c>
      <c r="L21" s="61"/>
      <c r="M21" s="61">
        <v>4</v>
      </c>
      <c r="N21" s="61">
        <f t="shared" si="1"/>
        <v>0.06</v>
      </c>
      <c r="O21" s="61">
        <f t="shared" si="2"/>
        <v>0.06</v>
      </c>
      <c r="P21" s="61">
        <f t="shared" si="3"/>
        <v>-3.94</v>
      </c>
    </row>
    <row r="22" spans="1:16" ht="18.75" customHeight="1">
      <c r="A22" s="5" t="s">
        <v>250</v>
      </c>
      <c r="B22" s="476" t="s">
        <v>759</v>
      </c>
      <c r="C22" s="5">
        <f>'PHỤ LUC HT'!C164</f>
        <v>0.01</v>
      </c>
      <c r="D22" s="99">
        <f>'Tra Co'!AN67</f>
        <v>0</v>
      </c>
      <c r="E22" s="5">
        <f>'Tra Co'!AN42</f>
        <v>0</v>
      </c>
      <c r="F22" s="5">
        <f>'Tra Co'!AN60</f>
        <v>0</v>
      </c>
      <c r="G22" s="5">
        <f>'Tra Co'!AN64</f>
        <v>0</v>
      </c>
      <c r="H22" s="5">
        <f>'PHỤ LUC HT'!E164</f>
        <v>0</v>
      </c>
      <c r="I22" s="5">
        <f t="shared" si="0"/>
        <v>0.01</v>
      </c>
      <c r="J22" s="42" t="s">
        <v>250</v>
      </c>
      <c r="K22" s="476" t="s">
        <v>759</v>
      </c>
      <c r="L22" s="61"/>
      <c r="M22" s="61">
        <v>0.26</v>
      </c>
      <c r="N22" s="61">
        <f t="shared" si="1"/>
        <v>0.01</v>
      </c>
      <c r="O22" s="61">
        <f t="shared" si="2"/>
        <v>0.01</v>
      </c>
      <c r="P22" s="61">
        <f t="shared" si="3"/>
        <v>-0.25</v>
      </c>
    </row>
    <row r="23" spans="1:16" ht="18.75" customHeight="1">
      <c r="A23" s="5" t="s">
        <v>251</v>
      </c>
      <c r="B23" s="476" t="s">
        <v>760</v>
      </c>
      <c r="C23" s="5">
        <f>'PHỤ LUC HT'!C165</f>
        <v>0.01</v>
      </c>
      <c r="D23" s="99">
        <f>'Binh Ngoc'!AN67</f>
        <v>0</v>
      </c>
      <c r="E23" s="5">
        <f>'Binh Ngoc'!AN42</f>
        <v>0</v>
      </c>
      <c r="F23" s="5">
        <f>'Binh Ngoc'!AN60</f>
        <v>0</v>
      </c>
      <c r="G23" s="5">
        <f>'Binh Ngoc'!AN64</f>
        <v>0</v>
      </c>
      <c r="H23" s="5">
        <f>'PHỤ LUC HT'!E165</f>
        <v>0</v>
      </c>
      <c r="I23" s="5">
        <f t="shared" si="0"/>
        <v>0.01</v>
      </c>
      <c r="J23" s="42" t="s">
        <v>251</v>
      </c>
      <c r="K23" s="476" t="s">
        <v>760</v>
      </c>
      <c r="L23" s="61">
        <v>0.32</v>
      </c>
      <c r="M23" s="61">
        <v>0.32</v>
      </c>
      <c r="N23" s="61">
        <f t="shared" si="1"/>
        <v>0.01</v>
      </c>
      <c r="O23" s="61">
        <f t="shared" si="2"/>
        <v>-0.31</v>
      </c>
      <c r="P23" s="61">
        <f t="shared" si="3"/>
        <v>-0.31</v>
      </c>
    </row>
    <row r="24" spans="1:16" ht="25.5" customHeight="1">
      <c r="A24" s="328"/>
      <c r="B24" s="328" t="s">
        <v>370</v>
      </c>
      <c r="C24" s="328">
        <f t="shared" ref="C24:I24" si="4">SUM(C7:C23)</f>
        <v>2.4999999999999996</v>
      </c>
      <c r="D24" s="328">
        <f t="shared" si="4"/>
        <v>0</v>
      </c>
      <c r="E24" s="328">
        <f t="shared" si="4"/>
        <v>0</v>
      </c>
      <c r="F24" s="328">
        <f t="shared" si="4"/>
        <v>0</v>
      </c>
      <c r="G24" s="328">
        <f t="shared" si="4"/>
        <v>0</v>
      </c>
      <c r="H24" s="328">
        <f t="shared" si="4"/>
        <v>0</v>
      </c>
      <c r="I24" s="328">
        <f t="shared" si="4"/>
        <v>2.4999999999999996</v>
      </c>
      <c r="J24" s="278"/>
      <c r="K24" s="278" t="s">
        <v>370</v>
      </c>
      <c r="L24" s="75">
        <f>SUM(L7:L23)</f>
        <v>1.5100000000000002</v>
      </c>
      <c r="M24" s="75">
        <f>SUM(M7:M23)</f>
        <v>42.019999999999996</v>
      </c>
      <c r="N24" s="75">
        <f>SUM(N7:N23)</f>
        <v>2.4999999999999996</v>
      </c>
      <c r="O24" s="75">
        <f>SUM(O7:O23)</f>
        <v>0.98999999999999977</v>
      </c>
      <c r="P24" s="75">
        <f>SUM(P7:P23)</f>
        <v>-39.519999999999996</v>
      </c>
    </row>
    <row r="25" spans="1:16" ht="15.75" hidden="1">
      <c r="I25" s="68">
        <f>'TONG TP'!BN43</f>
        <v>2.4999999999999996</v>
      </c>
    </row>
    <row r="26" spans="1:16">
      <c r="I26">
        <f>I24-I25</f>
        <v>0</v>
      </c>
    </row>
    <row r="28" spans="1:16">
      <c r="I28">
        <f>'TONG TP'!BN43</f>
        <v>2.4999999999999996</v>
      </c>
    </row>
    <row r="29" spans="1:16">
      <c r="I29">
        <f>I24-I28</f>
        <v>0</v>
      </c>
    </row>
  </sheetData>
  <mergeCells count="18">
    <mergeCell ref="A2:I2"/>
    <mergeCell ref="A3:I3"/>
    <mergeCell ref="A5:A6"/>
    <mergeCell ref="B5:B6"/>
    <mergeCell ref="C5:C6"/>
    <mergeCell ref="D5:D6"/>
    <mergeCell ref="H5:H6"/>
    <mergeCell ref="I5:I6"/>
    <mergeCell ref="H4:I4"/>
    <mergeCell ref="O4:P4"/>
    <mergeCell ref="O5:O6"/>
    <mergeCell ref="P5:P6"/>
    <mergeCell ref="E5:G5"/>
    <mergeCell ref="J4:J6"/>
    <mergeCell ref="K4:K6"/>
    <mergeCell ref="L4:L6"/>
    <mergeCell ref="M4:M6"/>
    <mergeCell ref="N4:N6"/>
  </mergeCells>
  <phoneticPr fontId="4" type="noConversion"/>
  <printOptions horizontalCentered="1"/>
  <pageMargins left="0.95" right="0.2" top="0.3" bottom="0.25" header="0.5" footer="0.5"/>
  <pageSetup paperSize="9" orientation="portrait"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9"/>
  <dimension ref="A1:O28"/>
  <sheetViews>
    <sheetView showZeros="0" topLeftCell="A10" workbookViewId="0">
      <selection activeCell="A4" sqref="A4:H23"/>
    </sheetView>
  </sheetViews>
  <sheetFormatPr defaultRowHeight="12.75"/>
  <cols>
    <col min="1" max="1" width="6.42578125" customWidth="1"/>
    <col min="2" max="2" width="21.140625" customWidth="1"/>
    <col min="3" max="3" width="10.140625" customWidth="1"/>
    <col min="4" max="4" width="8.85546875" customWidth="1"/>
    <col min="5" max="5" width="7.42578125" customWidth="1"/>
    <col min="6" max="6" width="7.7109375" customWidth="1"/>
    <col min="7" max="8" width="8.140625" customWidth="1"/>
    <col min="9" max="9" width="7.5703125" style="275" customWidth="1"/>
    <col min="10" max="10" width="21.7109375" style="275" customWidth="1"/>
    <col min="11" max="15" width="9.140625" style="275"/>
  </cols>
  <sheetData>
    <row r="1" spans="1:15" ht="17.25" customHeight="1">
      <c r="A1" s="342" t="s">
        <v>649</v>
      </c>
    </row>
    <row r="2" spans="1:15" ht="43.5" customHeight="1">
      <c r="A2" s="1420" t="s">
        <v>768</v>
      </c>
      <c r="B2" s="1420"/>
      <c r="C2" s="1420"/>
      <c r="D2" s="1420"/>
      <c r="E2" s="1420"/>
      <c r="F2" s="1420"/>
      <c r="G2" s="1420"/>
      <c r="H2" s="1420"/>
    </row>
    <row r="3" spans="1:15" ht="18" customHeight="1">
      <c r="G3" s="1377" t="s">
        <v>138</v>
      </c>
      <c r="H3" s="1377"/>
    </row>
    <row r="4" spans="1:15" ht="27.75" customHeight="1">
      <c r="A4" s="1280" t="s">
        <v>368</v>
      </c>
      <c r="B4" s="1280" t="s">
        <v>983</v>
      </c>
      <c r="C4" s="1280" t="s">
        <v>456</v>
      </c>
      <c r="D4" s="1280" t="s">
        <v>457</v>
      </c>
      <c r="E4" s="1280" t="s">
        <v>458</v>
      </c>
      <c r="F4" s="1280"/>
      <c r="G4" s="1280" t="s">
        <v>459</v>
      </c>
      <c r="H4" s="1280" t="s">
        <v>460</v>
      </c>
      <c r="I4" s="1301" t="s">
        <v>0</v>
      </c>
      <c r="J4" s="1301" t="s">
        <v>369</v>
      </c>
      <c r="K4" s="1301" t="s">
        <v>494</v>
      </c>
      <c r="L4" s="1391" t="s">
        <v>495</v>
      </c>
      <c r="M4" s="1391" t="s">
        <v>496</v>
      </c>
      <c r="N4" s="1390" t="s">
        <v>497</v>
      </c>
      <c r="O4" s="1390"/>
    </row>
    <row r="5" spans="1:15" ht="23.25" customHeight="1">
      <c r="A5" s="1280"/>
      <c r="B5" s="1280"/>
      <c r="C5" s="1280"/>
      <c r="D5" s="1280"/>
      <c r="E5" s="57"/>
      <c r="F5" s="57"/>
      <c r="G5" s="1280"/>
      <c r="H5" s="1280"/>
      <c r="I5" s="1301"/>
      <c r="J5" s="1301"/>
      <c r="K5" s="1301"/>
      <c r="L5" s="1391"/>
      <c r="M5" s="1391"/>
      <c r="N5" s="1301" t="s">
        <v>498</v>
      </c>
      <c r="O5" s="1301" t="s">
        <v>344</v>
      </c>
    </row>
    <row r="6" spans="1:15" ht="17.25" customHeight="1">
      <c r="A6" s="70" t="s">
        <v>235</v>
      </c>
      <c r="B6" s="475" t="s">
        <v>744</v>
      </c>
      <c r="C6" s="70">
        <f>'PHỤ LUC HT'!C173</f>
        <v>0.09</v>
      </c>
      <c r="D6" s="70">
        <f t="shared" ref="D6:D22" si="0">SUM(E6:F6)</f>
        <v>0</v>
      </c>
      <c r="E6" s="70">
        <f>'Bac Son'!AO12</f>
        <v>0</v>
      </c>
      <c r="F6" s="70">
        <f>'Bac Son'!AO22</f>
        <v>0</v>
      </c>
      <c r="G6" s="70">
        <f>'PHỤ LUC HT'!E173</f>
        <v>0</v>
      </c>
      <c r="H6" s="70">
        <f t="shared" ref="H6:H22" si="1">C6+D6-G6</f>
        <v>0.09</v>
      </c>
      <c r="I6" s="1301"/>
      <c r="J6" s="1301"/>
      <c r="K6" s="1301"/>
      <c r="L6" s="1391"/>
      <c r="M6" s="1391"/>
      <c r="N6" s="1301"/>
      <c r="O6" s="1301"/>
    </row>
    <row r="7" spans="1:15" ht="17.25" customHeight="1">
      <c r="A7" s="5" t="s">
        <v>236</v>
      </c>
      <c r="B7" s="476" t="s">
        <v>745</v>
      </c>
      <c r="C7" s="100">
        <f>'PHỤ LUC HT'!C174</f>
        <v>1.255E-2</v>
      </c>
      <c r="D7" s="100">
        <f t="shared" si="0"/>
        <v>0</v>
      </c>
      <c r="E7" s="100">
        <f>'Hai Son'!AO12</f>
        <v>0</v>
      </c>
      <c r="F7" s="100">
        <f>'Hai Son'!AO22</f>
        <v>0</v>
      </c>
      <c r="G7" s="100">
        <f>'PHỤ LUC HT'!E174</f>
        <v>0</v>
      </c>
      <c r="H7" s="100">
        <f t="shared" si="1"/>
        <v>1.255E-2</v>
      </c>
      <c r="I7" s="41" t="s">
        <v>235</v>
      </c>
      <c r="J7" s="475" t="s">
        <v>744</v>
      </c>
      <c r="K7" s="60">
        <v>0.08</v>
      </c>
      <c r="L7" s="60">
        <v>0.08</v>
      </c>
      <c r="M7" s="60">
        <f>H6</f>
        <v>0.09</v>
      </c>
      <c r="N7" s="60">
        <f>M7-K7</f>
        <v>9.999999999999995E-3</v>
      </c>
      <c r="O7" s="60">
        <f>M7-L7</f>
        <v>9.999999999999995E-3</v>
      </c>
    </row>
    <row r="8" spans="1:15" ht="17.25" customHeight="1">
      <c r="A8" s="5" t="s">
        <v>237</v>
      </c>
      <c r="B8" s="476" t="s">
        <v>746</v>
      </c>
      <c r="C8" s="5">
        <f>'PHỤ LUC HT'!C175</f>
        <v>0.02</v>
      </c>
      <c r="D8" s="5">
        <f t="shared" si="0"/>
        <v>0</v>
      </c>
      <c r="E8" s="5">
        <f>'Quang Nghia'!AO12</f>
        <v>0</v>
      </c>
      <c r="F8" s="5">
        <f>'Quang Nghia'!AO22</f>
        <v>0</v>
      </c>
      <c r="G8" s="5">
        <f>'PHỤ LUC HT'!E175</f>
        <v>0</v>
      </c>
      <c r="H8" s="5">
        <f t="shared" si="1"/>
        <v>0.02</v>
      </c>
      <c r="I8" s="42" t="s">
        <v>236</v>
      </c>
      <c r="J8" s="476" t="s">
        <v>745</v>
      </c>
      <c r="K8" s="61">
        <v>0.12</v>
      </c>
      <c r="L8" s="61">
        <v>0.12</v>
      </c>
      <c r="M8" s="61">
        <f t="shared" ref="M8:M22" si="2">H7</f>
        <v>1.255E-2</v>
      </c>
      <c r="N8" s="61">
        <f t="shared" ref="N8:N23" si="3">M8-K8</f>
        <v>-0.10744999999999999</v>
      </c>
      <c r="O8" s="61">
        <f t="shared" ref="O8:O23" si="4">M8-L8</f>
        <v>-0.10744999999999999</v>
      </c>
    </row>
    <row r="9" spans="1:15" ht="17.25" customHeight="1">
      <c r="A9" s="5" t="s">
        <v>238</v>
      </c>
      <c r="B9" s="476" t="s">
        <v>747</v>
      </c>
      <c r="C9" s="5">
        <f>'PHỤ LUC HT'!C176</f>
        <v>0.11</v>
      </c>
      <c r="D9" s="5">
        <f t="shared" si="0"/>
        <v>0</v>
      </c>
      <c r="E9" s="5">
        <f>'Hai Dong'!AO12</f>
        <v>0</v>
      </c>
      <c r="F9" s="5">
        <f>'Hai Dong'!AO22</f>
        <v>0</v>
      </c>
      <c r="G9" s="5">
        <f>'PHỤ LUC HT'!E176</f>
        <v>0</v>
      </c>
      <c r="H9" s="5">
        <f t="shared" si="1"/>
        <v>0.11</v>
      </c>
      <c r="I9" s="42" t="s">
        <v>237</v>
      </c>
      <c r="J9" s="476" t="s">
        <v>746</v>
      </c>
      <c r="K9" s="61">
        <v>0.06</v>
      </c>
      <c r="L9" s="61">
        <v>0.66</v>
      </c>
      <c r="M9" s="61">
        <f t="shared" si="2"/>
        <v>0.02</v>
      </c>
      <c r="N9" s="61">
        <f t="shared" si="3"/>
        <v>-3.9999999999999994E-2</v>
      </c>
      <c r="O9" s="61">
        <f t="shared" si="4"/>
        <v>-0.64</v>
      </c>
    </row>
    <row r="10" spans="1:15" ht="17.25" customHeight="1">
      <c r="A10" s="5" t="s">
        <v>239</v>
      </c>
      <c r="B10" s="476" t="s">
        <v>748</v>
      </c>
      <c r="C10" s="5">
        <f>'PHỤ LUC HT'!C177</f>
        <v>0.51</v>
      </c>
      <c r="D10" s="5">
        <f t="shared" si="0"/>
        <v>0</v>
      </c>
      <c r="E10" s="5">
        <f>'Hai Tien'!AO12</f>
        <v>0</v>
      </c>
      <c r="F10" s="5">
        <f>'Hai Tien'!AO22</f>
        <v>0</v>
      </c>
      <c r="G10" s="5">
        <f>'PHỤ LUC HT'!E177</f>
        <v>0</v>
      </c>
      <c r="H10" s="5">
        <f t="shared" si="1"/>
        <v>0.51</v>
      </c>
      <c r="I10" s="42" t="s">
        <v>238</v>
      </c>
      <c r="J10" s="476" t="s">
        <v>747</v>
      </c>
      <c r="K10" s="61">
        <v>0.04</v>
      </c>
      <c r="L10" s="61">
        <v>0.04</v>
      </c>
      <c r="M10" s="61">
        <f t="shared" si="2"/>
        <v>0.11</v>
      </c>
      <c r="N10" s="61">
        <f t="shared" si="3"/>
        <v>7.0000000000000007E-2</v>
      </c>
      <c r="O10" s="61">
        <f t="shared" si="4"/>
        <v>7.0000000000000007E-2</v>
      </c>
    </row>
    <row r="11" spans="1:15" ht="17.25" customHeight="1">
      <c r="A11" s="5" t="s">
        <v>240</v>
      </c>
      <c r="B11" s="476" t="s">
        <v>749</v>
      </c>
      <c r="C11" s="5">
        <f>'PHỤ LUC HT'!C178</f>
        <v>0.04</v>
      </c>
      <c r="D11" s="5">
        <f t="shared" si="0"/>
        <v>0</v>
      </c>
      <c r="E11" s="5">
        <f>'Hai Xuan'!AO12</f>
        <v>0</v>
      </c>
      <c r="F11" s="5">
        <f>'Hai Xuan'!AO22</f>
        <v>0</v>
      </c>
      <c r="G11" s="5">
        <f>'PHỤ LUC HT'!E178</f>
        <v>0</v>
      </c>
      <c r="H11" s="5">
        <f t="shared" si="1"/>
        <v>0.04</v>
      </c>
      <c r="I11" s="42" t="s">
        <v>239</v>
      </c>
      <c r="J11" s="476" t="s">
        <v>748</v>
      </c>
      <c r="K11" s="61">
        <v>0.01</v>
      </c>
      <c r="L11" s="61">
        <v>0.04</v>
      </c>
      <c r="M11" s="61">
        <f t="shared" si="2"/>
        <v>0.51</v>
      </c>
      <c r="N11" s="61">
        <f t="shared" si="3"/>
        <v>0.5</v>
      </c>
      <c r="O11" s="61">
        <f t="shared" si="4"/>
        <v>0.47000000000000003</v>
      </c>
    </row>
    <row r="12" spans="1:15" ht="17.25" customHeight="1">
      <c r="A12" s="5" t="s">
        <v>241</v>
      </c>
      <c r="B12" s="476" t="s">
        <v>750</v>
      </c>
      <c r="C12" s="5">
        <f>'PHỤ LUC HT'!C179</f>
        <v>0.04</v>
      </c>
      <c r="D12" s="5">
        <f t="shared" si="0"/>
        <v>0</v>
      </c>
      <c r="E12" s="5">
        <f>'Van Ninh'!AO12</f>
        <v>0</v>
      </c>
      <c r="F12" s="5">
        <f>'Van Ninh'!AO22</f>
        <v>0</v>
      </c>
      <c r="G12" s="5">
        <f>'PHỤ LUC HT'!E179</f>
        <v>0</v>
      </c>
      <c r="H12" s="5">
        <f t="shared" si="1"/>
        <v>0.04</v>
      </c>
      <c r="I12" s="42" t="s">
        <v>240</v>
      </c>
      <c r="J12" s="476" t="s">
        <v>749</v>
      </c>
      <c r="K12" s="61">
        <v>0.01</v>
      </c>
      <c r="L12" s="61">
        <v>0.01</v>
      </c>
      <c r="M12" s="61">
        <f t="shared" si="2"/>
        <v>0.04</v>
      </c>
      <c r="N12" s="61">
        <f t="shared" si="3"/>
        <v>0.03</v>
      </c>
      <c r="O12" s="61">
        <f t="shared" si="4"/>
        <v>0.03</v>
      </c>
    </row>
    <row r="13" spans="1:15" ht="17.25" customHeight="1">
      <c r="A13" s="5" t="s">
        <v>242</v>
      </c>
      <c r="B13" s="476" t="s">
        <v>751</v>
      </c>
      <c r="C13" s="5">
        <f>'PHỤ LUC HT'!C180</f>
        <v>0.06</v>
      </c>
      <c r="D13" s="5">
        <f t="shared" si="0"/>
        <v>0</v>
      </c>
      <c r="E13" s="5">
        <f>'Vinh Trung'!AO12</f>
        <v>0</v>
      </c>
      <c r="F13" s="5">
        <f>'Vinh Trung'!AO22</f>
        <v>0</v>
      </c>
      <c r="G13" s="5">
        <f>'PHỤ LUC HT'!E180</f>
        <v>0</v>
      </c>
      <c r="H13" s="5">
        <f t="shared" si="1"/>
        <v>0.06</v>
      </c>
      <c r="I13" s="42" t="s">
        <v>241</v>
      </c>
      <c r="J13" s="476" t="s">
        <v>750</v>
      </c>
      <c r="K13" s="61">
        <v>0.01</v>
      </c>
      <c r="L13" s="61">
        <v>7.0000000000000007E-2</v>
      </c>
      <c r="M13" s="61">
        <f t="shared" si="2"/>
        <v>0.04</v>
      </c>
      <c r="N13" s="61">
        <f t="shared" si="3"/>
        <v>0.03</v>
      </c>
      <c r="O13" s="61">
        <f t="shared" si="4"/>
        <v>-3.0000000000000006E-2</v>
      </c>
    </row>
    <row r="14" spans="1:15" ht="17.25" customHeight="1">
      <c r="A14" s="5" t="s">
        <v>243</v>
      </c>
      <c r="B14" s="476" t="s">
        <v>752</v>
      </c>
      <c r="C14" s="5">
        <f>'PHỤ LUC HT'!C181</f>
        <v>0.11</v>
      </c>
      <c r="D14" s="5">
        <f t="shared" si="0"/>
        <v>0</v>
      </c>
      <c r="E14" s="5">
        <f>'Vinh Thuc'!AO12</f>
        <v>0</v>
      </c>
      <c r="F14" s="5">
        <f>'Vinh Thuc'!AO22</f>
        <v>0</v>
      </c>
      <c r="G14" s="5">
        <f>'PHỤ LUC HT'!E181</f>
        <v>0</v>
      </c>
      <c r="H14" s="5">
        <f t="shared" si="1"/>
        <v>0.11</v>
      </c>
      <c r="I14" s="42" t="s">
        <v>242</v>
      </c>
      <c r="J14" s="476" t="s">
        <v>751</v>
      </c>
      <c r="K14" s="61">
        <v>0.01</v>
      </c>
      <c r="L14" s="61">
        <v>0.01</v>
      </c>
      <c r="M14" s="61">
        <f t="shared" si="2"/>
        <v>0.06</v>
      </c>
      <c r="N14" s="61">
        <f t="shared" si="3"/>
        <v>4.9999999999999996E-2</v>
      </c>
      <c r="O14" s="61">
        <f t="shared" si="4"/>
        <v>4.9999999999999996E-2</v>
      </c>
    </row>
    <row r="15" spans="1:15" ht="17.25" customHeight="1">
      <c r="A15" s="5" t="s">
        <v>244</v>
      </c>
      <c r="B15" s="476" t="s">
        <v>753</v>
      </c>
      <c r="C15" s="5">
        <f>'PHỤ LUC HT'!C182</f>
        <v>0.03</v>
      </c>
      <c r="D15" s="5">
        <f t="shared" si="0"/>
        <v>0</v>
      </c>
      <c r="E15" s="5">
        <f>'Hai Yen'!AO12</f>
        <v>0</v>
      </c>
      <c r="F15" s="5">
        <f>'Hai Yen'!AO22</f>
        <v>0</v>
      </c>
      <c r="G15" s="5">
        <f>'PHỤ LUC HT'!E182</f>
        <v>0</v>
      </c>
      <c r="H15" s="5">
        <f t="shared" si="1"/>
        <v>0.03</v>
      </c>
      <c r="I15" s="42" t="s">
        <v>243</v>
      </c>
      <c r="J15" s="476" t="s">
        <v>752</v>
      </c>
      <c r="K15" s="61"/>
      <c r="L15" s="61">
        <v>0.14000000000000001</v>
      </c>
      <c r="M15" s="61">
        <f t="shared" si="2"/>
        <v>0.11</v>
      </c>
      <c r="N15" s="61">
        <f t="shared" si="3"/>
        <v>0.11</v>
      </c>
      <c r="O15" s="61">
        <f t="shared" si="4"/>
        <v>-3.0000000000000013E-2</v>
      </c>
    </row>
    <row r="16" spans="1:15" ht="17.25" customHeight="1">
      <c r="A16" s="5" t="s">
        <v>245</v>
      </c>
      <c r="B16" s="476" t="s">
        <v>754</v>
      </c>
      <c r="C16" s="5">
        <f>'PHỤ LUC HT'!C183</f>
        <v>0</v>
      </c>
      <c r="D16" s="5">
        <f t="shared" si="0"/>
        <v>0</v>
      </c>
      <c r="E16" s="5">
        <f>'Ka Long'!AO12</f>
        <v>0</v>
      </c>
      <c r="F16" s="5">
        <f>'Ka Long'!AO22</f>
        <v>0</v>
      </c>
      <c r="G16" s="5">
        <f>'PHỤ LUC HT'!E183</f>
        <v>0</v>
      </c>
      <c r="H16" s="5">
        <f t="shared" si="1"/>
        <v>0</v>
      </c>
      <c r="I16" s="42" t="s">
        <v>244</v>
      </c>
      <c r="J16" s="476" t="s">
        <v>753</v>
      </c>
      <c r="K16" s="61">
        <v>0.01</v>
      </c>
      <c r="L16" s="61">
        <v>0.15</v>
      </c>
      <c r="M16" s="61">
        <f t="shared" si="2"/>
        <v>0.03</v>
      </c>
      <c r="N16" s="61">
        <f t="shared" si="3"/>
        <v>1.9999999999999997E-2</v>
      </c>
      <c r="O16" s="61">
        <f t="shared" si="4"/>
        <v>-0.12</v>
      </c>
    </row>
    <row r="17" spans="1:15" ht="17.25" customHeight="1">
      <c r="A17" s="5" t="s">
        <v>246</v>
      </c>
      <c r="B17" s="476" t="s">
        <v>755</v>
      </c>
      <c r="C17" s="5">
        <f>'PHỤ LUC HT'!C184</f>
        <v>0.01</v>
      </c>
      <c r="D17" s="5">
        <f t="shared" si="0"/>
        <v>0</v>
      </c>
      <c r="E17" s="5">
        <f>'Ninh Duong'!AO12</f>
        <v>0</v>
      </c>
      <c r="F17" s="5">
        <f>'Ninh Duong'!AO22</f>
        <v>0</v>
      </c>
      <c r="G17" s="5">
        <f>'PHỤ LUC HT'!E184</f>
        <v>0</v>
      </c>
      <c r="H17" s="5">
        <f t="shared" si="1"/>
        <v>0.01</v>
      </c>
      <c r="I17" s="42" t="s">
        <v>245</v>
      </c>
      <c r="J17" s="476" t="s">
        <v>754</v>
      </c>
      <c r="K17" s="61"/>
      <c r="L17" s="61">
        <v>0.1</v>
      </c>
      <c r="M17" s="61">
        <f t="shared" si="2"/>
        <v>0</v>
      </c>
      <c r="N17" s="61">
        <f t="shared" si="3"/>
        <v>0</v>
      </c>
      <c r="O17" s="61">
        <f t="shared" si="4"/>
        <v>-0.1</v>
      </c>
    </row>
    <row r="18" spans="1:15" ht="17.25" customHeight="1">
      <c r="A18" s="5" t="s">
        <v>247</v>
      </c>
      <c r="B18" s="476" t="s">
        <v>756</v>
      </c>
      <c r="C18" s="5">
        <f>'PHỤ LUC HT'!C185</f>
        <v>0.17</v>
      </c>
      <c r="D18" s="5">
        <f t="shared" si="0"/>
        <v>0</v>
      </c>
      <c r="E18" s="5">
        <f>'Hoa Lac'!AO12</f>
        <v>0</v>
      </c>
      <c r="F18" s="5">
        <f>'Hoa Lac'!AO22</f>
        <v>0</v>
      </c>
      <c r="G18" s="5">
        <f>'PHỤ LUC HT'!E185</f>
        <v>0</v>
      </c>
      <c r="H18" s="5">
        <f t="shared" si="1"/>
        <v>0.17</v>
      </c>
      <c r="I18" s="42" t="s">
        <v>246</v>
      </c>
      <c r="J18" s="476" t="s">
        <v>755</v>
      </c>
      <c r="K18" s="61">
        <v>0.02</v>
      </c>
      <c r="L18" s="61">
        <v>0.55000000000000004</v>
      </c>
      <c r="M18" s="61">
        <f t="shared" si="2"/>
        <v>0.01</v>
      </c>
      <c r="N18" s="61">
        <f t="shared" si="3"/>
        <v>-0.01</v>
      </c>
      <c r="O18" s="61">
        <f t="shared" si="4"/>
        <v>-0.54</v>
      </c>
    </row>
    <row r="19" spans="1:15" ht="17.25" customHeight="1">
      <c r="A19" s="5" t="s">
        <v>248</v>
      </c>
      <c r="B19" s="476" t="s">
        <v>757</v>
      </c>
      <c r="C19" s="5">
        <f>'PHỤ LUC HT'!C186</f>
        <v>0</v>
      </c>
      <c r="D19" s="5">
        <f t="shared" si="0"/>
        <v>0</v>
      </c>
      <c r="E19" s="5">
        <f>'Tran Phu'!AO12</f>
        <v>0</v>
      </c>
      <c r="F19" s="5">
        <f>'Tran Phu'!AO22</f>
        <v>0</v>
      </c>
      <c r="G19" s="5">
        <f>'PHỤ LUC HT'!E186</f>
        <v>0</v>
      </c>
      <c r="H19" s="5">
        <f t="shared" si="1"/>
        <v>0</v>
      </c>
      <c r="I19" s="42" t="s">
        <v>247</v>
      </c>
      <c r="J19" s="476" t="s">
        <v>756</v>
      </c>
      <c r="K19" s="61"/>
      <c r="L19" s="61"/>
      <c r="M19" s="61">
        <f t="shared" si="2"/>
        <v>0.17</v>
      </c>
      <c r="N19" s="61">
        <f t="shared" si="3"/>
        <v>0.17</v>
      </c>
      <c r="O19" s="61">
        <f t="shared" si="4"/>
        <v>0.17</v>
      </c>
    </row>
    <row r="20" spans="1:15" ht="17.25" customHeight="1">
      <c r="A20" s="5" t="s">
        <v>249</v>
      </c>
      <c r="B20" s="476" t="s">
        <v>758</v>
      </c>
      <c r="C20" s="5">
        <f>'PHỤ LUC HT'!C187</f>
        <v>0.02</v>
      </c>
      <c r="D20" s="5">
        <f t="shared" si="0"/>
        <v>0</v>
      </c>
      <c r="E20" s="5">
        <f>'Hai Hoa'!AO12</f>
        <v>0</v>
      </c>
      <c r="F20" s="5">
        <f>'Hai Hoa'!AO22</f>
        <v>0</v>
      </c>
      <c r="G20" s="5">
        <f>'PHỤ LUC HT'!E187</f>
        <v>0</v>
      </c>
      <c r="H20" s="5">
        <f t="shared" si="1"/>
        <v>0.02</v>
      </c>
      <c r="I20" s="42" t="s">
        <v>248</v>
      </c>
      <c r="J20" s="476" t="s">
        <v>757</v>
      </c>
      <c r="K20" s="61">
        <v>0.01</v>
      </c>
      <c r="L20" s="61">
        <v>0.01</v>
      </c>
      <c r="M20" s="61">
        <f t="shared" si="2"/>
        <v>0</v>
      </c>
      <c r="N20" s="61">
        <f t="shared" si="3"/>
        <v>-0.01</v>
      </c>
      <c r="O20" s="61">
        <f t="shared" si="4"/>
        <v>-0.01</v>
      </c>
    </row>
    <row r="21" spans="1:15" ht="17.25" customHeight="1">
      <c r="A21" s="5" t="s">
        <v>250</v>
      </c>
      <c r="B21" s="476" t="s">
        <v>759</v>
      </c>
      <c r="C21" s="5">
        <f>'PHỤ LUC HT'!C188</f>
        <v>0.25</v>
      </c>
      <c r="D21" s="5">
        <f t="shared" si="0"/>
        <v>0</v>
      </c>
      <c r="E21" s="5">
        <f>'Tra Co'!AO12</f>
        <v>0</v>
      </c>
      <c r="F21" s="5">
        <f>'Tra Co'!AO22</f>
        <v>0</v>
      </c>
      <c r="G21" s="5">
        <f>'PHỤ LUC HT'!E188</f>
        <v>0</v>
      </c>
      <c r="H21" s="5">
        <f t="shared" si="1"/>
        <v>0.25</v>
      </c>
      <c r="I21" s="42" t="s">
        <v>249</v>
      </c>
      <c r="J21" s="476" t="s">
        <v>758</v>
      </c>
      <c r="K21" s="61">
        <v>0.02</v>
      </c>
      <c r="L21" s="61">
        <v>0.03</v>
      </c>
      <c r="M21" s="61">
        <f t="shared" si="2"/>
        <v>0.02</v>
      </c>
      <c r="N21" s="61">
        <f t="shared" si="3"/>
        <v>0</v>
      </c>
      <c r="O21" s="61">
        <f t="shared" si="4"/>
        <v>-9.9999999999999985E-3</v>
      </c>
    </row>
    <row r="22" spans="1:15" ht="17.25" customHeight="1">
      <c r="A22" s="5" t="s">
        <v>251</v>
      </c>
      <c r="B22" s="476" t="s">
        <v>760</v>
      </c>
      <c r="C22" s="5">
        <f>'PHỤ LUC HT'!C189</f>
        <v>0.02</v>
      </c>
      <c r="D22" s="5">
        <f t="shared" si="0"/>
        <v>0</v>
      </c>
      <c r="E22" s="5">
        <f>'Binh Ngoc'!AO12</f>
        <v>0</v>
      </c>
      <c r="F22" s="5">
        <f>'Binh Ngoc'!AO22</f>
        <v>0</v>
      </c>
      <c r="G22" s="5">
        <f>'PHỤ LUC HT'!E189</f>
        <v>0</v>
      </c>
      <c r="H22" s="5">
        <f t="shared" si="1"/>
        <v>0.02</v>
      </c>
      <c r="I22" s="42" t="s">
        <v>250</v>
      </c>
      <c r="J22" s="476" t="s">
        <v>759</v>
      </c>
      <c r="K22" s="61">
        <v>0.01</v>
      </c>
      <c r="L22" s="61">
        <v>0.04</v>
      </c>
      <c r="M22" s="61">
        <f t="shared" si="2"/>
        <v>0.25</v>
      </c>
      <c r="N22" s="61">
        <f t="shared" si="3"/>
        <v>0.24</v>
      </c>
      <c r="O22" s="61">
        <f t="shared" si="4"/>
        <v>0.21</v>
      </c>
    </row>
    <row r="23" spans="1:15" ht="24.75" customHeight="1">
      <c r="A23" s="328"/>
      <c r="B23" s="328" t="s">
        <v>370</v>
      </c>
      <c r="C23" s="75">
        <f t="shared" ref="C23:H23" si="5">SUM(C6:C22)</f>
        <v>1.49255</v>
      </c>
      <c r="D23" s="328">
        <f t="shared" si="5"/>
        <v>0</v>
      </c>
      <c r="E23" s="328">
        <f t="shared" si="5"/>
        <v>0</v>
      </c>
      <c r="F23" s="328">
        <f t="shared" si="5"/>
        <v>0</v>
      </c>
      <c r="G23" s="328">
        <f t="shared" si="5"/>
        <v>0</v>
      </c>
      <c r="H23" s="75">
        <f t="shared" si="5"/>
        <v>1.49255</v>
      </c>
      <c r="I23" s="45" t="s">
        <v>253</v>
      </c>
      <c r="J23" s="46" t="s">
        <v>394</v>
      </c>
      <c r="K23" s="63">
        <v>0.02</v>
      </c>
      <c r="L23" s="63">
        <v>0.02</v>
      </c>
      <c r="M23" s="210" t="e">
        <f>#REF!</f>
        <v>#REF!</v>
      </c>
      <c r="N23" s="210" t="e">
        <f t="shared" si="3"/>
        <v>#REF!</v>
      </c>
      <c r="O23" s="210" t="e">
        <f t="shared" si="4"/>
        <v>#REF!</v>
      </c>
    </row>
    <row r="24" spans="1:15" ht="16.5" hidden="1">
      <c r="H24" s="68">
        <f>'TONG TP'!BN44</f>
        <v>1.49255</v>
      </c>
      <c r="I24" s="278"/>
      <c r="J24" s="278" t="s">
        <v>370</v>
      </c>
      <c r="K24" s="75">
        <f>SUM(K7:K23)</f>
        <v>0.4300000000000001</v>
      </c>
      <c r="L24" s="75">
        <f>SUM(L7:L23)</f>
        <v>2.0700000000000003</v>
      </c>
      <c r="M24" s="75" t="e">
        <f>SUM(M7:M23)</f>
        <v>#REF!</v>
      </c>
      <c r="N24" s="75" t="e">
        <f>SUM(N7:N23)</f>
        <v>#REF!</v>
      </c>
      <c r="O24" s="75" t="e">
        <f>SUM(O7:O23)</f>
        <v>#REF!</v>
      </c>
    </row>
    <row r="27" spans="1:15">
      <c r="H27">
        <f>'TONG TP'!BN44</f>
        <v>1.49255</v>
      </c>
    </row>
    <row r="28" spans="1:15">
      <c r="H28">
        <f>H23-H27</f>
        <v>0</v>
      </c>
    </row>
  </sheetData>
  <mergeCells count="17">
    <mergeCell ref="A2:H2"/>
    <mergeCell ref="A4:A5"/>
    <mergeCell ref="B4:B5"/>
    <mergeCell ref="C4:C5"/>
    <mergeCell ref="D4:D5"/>
    <mergeCell ref="E4:F4"/>
    <mergeCell ref="G4:G5"/>
    <mergeCell ref="H4:H5"/>
    <mergeCell ref="G3:H3"/>
    <mergeCell ref="N4:O4"/>
    <mergeCell ref="N5:N6"/>
    <mergeCell ref="O5:O6"/>
    <mergeCell ref="I4:I6"/>
    <mergeCell ref="J4:J6"/>
    <mergeCell ref="K4:K6"/>
    <mergeCell ref="L4:L6"/>
    <mergeCell ref="M4:M6"/>
  </mergeCells>
  <phoneticPr fontId="4" type="noConversion"/>
  <printOptions horizontalCentered="1"/>
  <pageMargins left="0.9" right="0.3" top="0.25" bottom="0.25" header="0.5" footer="0.5"/>
  <pageSetup paperSize="9"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dimension ref="A1:P29"/>
  <sheetViews>
    <sheetView showZeros="0" workbookViewId="0">
      <selection activeCell="D13" sqref="D13"/>
    </sheetView>
  </sheetViews>
  <sheetFormatPr defaultRowHeight="12.75"/>
  <cols>
    <col min="1" max="1" width="7.140625" customWidth="1"/>
    <col min="2" max="2" width="21.140625" customWidth="1"/>
    <col min="3" max="3" width="8.85546875" customWidth="1"/>
    <col min="4" max="4" width="8.42578125" customWidth="1"/>
    <col min="5" max="7" width="6.28515625" style="275" customWidth="1"/>
    <col min="8" max="8" width="8.7109375" customWidth="1"/>
    <col min="9" max="9" width="10.7109375" customWidth="1"/>
    <col min="10" max="10" width="7.5703125" style="275" customWidth="1"/>
    <col min="11" max="11" width="21.7109375" style="275" customWidth="1"/>
    <col min="12" max="16" width="9.140625" style="275"/>
  </cols>
  <sheetData>
    <row r="1" spans="1:16" ht="17.25" customHeight="1">
      <c r="A1" s="342" t="s">
        <v>650</v>
      </c>
    </row>
    <row r="2" spans="1:16" ht="20.25" customHeight="1">
      <c r="A2" s="1354" t="s">
        <v>719</v>
      </c>
      <c r="B2" s="1354"/>
      <c r="C2" s="1354"/>
      <c r="D2" s="1354"/>
      <c r="E2" s="1354"/>
      <c r="F2" s="1354"/>
      <c r="G2" s="1354"/>
      <c r="H2" s="1354"/>
      <c r="I2" s="1354"/>
    </row>
    <row r="3" spans="1:16" ht="20.25" customHeight="1">
      <c r="A3" s="1354" t="s">
        <v>766</v>
      </c>
      <c r="B3" s="1354"/>
      <c r="C3" s="1354"/>
      <c r="D3" s="1354"/>
      <c r="E3" s="1354"/>
      <c r="F3" s="1354"/>
      <c r="G3" s="1354"/>
      <c r="H3" s="1354"/>
      <c r="I3" s="1354"/>
    </row>
    <row r="4" spans="1:16" ht="18" customHeight="1">
      <c r="H4" s="1377" t="s">
        <v>138</v>
      </c>
      <c r="I4" s="1377"/>
      <c r="J4" s="1301" t="s">
        <v>0</v>
      </c>
      <c r="K4" s="1301" t="s">
        <v>369</v>
      </c>
      <c r="L4" s="1301" t="s">
        <v>494</v>
      </c>
      <c r="M4" s="1391" t="s">
        <v>495</v>
      </c>
      <c r="N4" s="1391" t="s">
        <v>496</v>
      </c>
      <c r="O4" s="1390" t="s">
        <v>497</v>
      </c>
      <c r="P4" s="1390"/>
    </row>
    <row r="5" spans="1:16" ht="30.75" customHeight="1">
      <c r="A5" s="1280" t="s">
        <v>368</v>
      </c>
      <c r="B5" s="1280" t="s">
        <v>983</v>
      </c>
      <c r="C5" s="1280" t="s">
        <v>456</v>
      </c>
      <c r="D5" s="1280" t="s">
        <v>457</v>
      </c>
      <c r="E5" s="1404"/>
      <c r="F5" s="1404"/>
      <c r="G5" s="1379"/>
      <c r="H5" s="1280" t="s">
        <v>459</v>
      </c>
      <c r="I5" s="1280" t="s">
        <v>460</v>
      </c>
      <c r="J5" s="1301"/>
      <c r="K5" s="1301"/>
      <c r="L5" s="1301"/>
      <c r="M5" s="1391"/>
      <c r="N5" s="1391"/>
      <c r="O5" s="1301" t="s">
        <v>498</v>
      </c>
      <c r="P5" s="1301" t="s">
        <v>344</v>
      </c>
    </row>
    <row r="6" spans="1:16" ht="29.25" customHeight="1">
      <c r="A6" s="1280"/>
      <c r="B6" s="1280"/>
      <c r="C6" s="1280"/>
      <c r="D6" s="1280"/>
      <c r="E6" s="276"/>
      <c r="F6" s="276"/>
      <c r="G6" s="276"/>
      <c r="H6" s="1280"/>
      <c r="I6" s="1280"/>
      <c r="J6" s="1301"/>
      <c r="K6" s="1301"/>
      <c r="L6" s="1301"/>
      <c r="M6" s="1391"/>
      <c r="N6" s="1391"/>
      <c r="O6" s="1301"/>
      <c r="P6" s="1301"/>
    </row>
    <row r="7" spans="1:16" ht="18.75" customHeight="1">
      <c r="A7" s="70" t="s">
        <v>235</v>
      </c>
      <c r="B7" s="475" t="s">
        <v>744</v>
      </c>
      <c r="C7" s="70">
        <f>'PHỤ LUC HT'!C197</f>
        <v>1.01</v>
      </c>
      <c r="D7" s="99">
        <f>'Bac Son'!AP67</f>
        <v>1</v>
      </c>
      <c r="E7" s="70">
        <f>'Bac Son'!AP48</f>
        <v>0</v>
      </c>
      <c r="F7" s="70">
        <f>'Bac Son'!AP55</f>
        <v>0</v>
      </c>
      <c r="G7" s="70">
        <f>'Bac Son'!AP60</f>
        <v>0</v>
      </c>
      <c r="H7" s="70">
        <f>'PHỤ LUC HT'!E197</f>
        <v>0</v>
      </c>
      <c r="I7" s="70">
        <f t="shared" ref="I7:I23" si="0">C7+D7-H7</f>
        <v>2.0099999999999998</v>
      </c>
      <c r="J7" s="41" t="s">
        <v>235</v>
      </c>
      <c r="K7" s="475" t="s">
        <v>744</v>
      </c>
      <c r="L7" s="60">
        <v>1.17</v>
      </c>
      <c r="M7" s="60">
        <v>1.1499999999999999</v>
      </c>
      <c r="N7" s="60">
        <f>I7</f>
        <v>2.0099999999999998</v>
      </c>
      <c r="O7" s="60">
        <f>N7-L7</f>
        <v>0.83999999999999986</v>
      </c>
      <c r="P7" s="60">
        <f>N7-M7</f>
        <v>0.85999999999999988</v>
      </c>
    </row>
    <row r="8" spans="1:16" ht="18.75" customHeight="1">
      <c r="A8" s="5" t="s">
        <v>236</v>
      </c>
      <c r="B8" s="476" t="s">
        <v>745</v>
      </c>
      <c r="C8" s="100">
        <f>'PHỤ LUC HT'!C198</f>
        <v>0.22162000000000001</v>
      </c>
      <c r="D8" s="99">
        <f>'Hai Son'!AP67</f>
        <v>0</v>
      </c>
      <c r="E8" s="100">
        <f>'Hai Son'!AP48</f>
        <v>0</v>
      </c>
      <c r="F8" s="100">
        <f>'Hai Son'!AP55</f>
        <v>0</v>
      </c>
      <c r="G8" s="100">
        <f>'Hai Son'!AP60</f>
        <v>0</v>
      </c>
      <c r="H8" s="100">
        <f>'PHỤ LUC HT'!E198</f>
        <v>0</v>
      </c>
      <c r="I8" s="100">
        <f t="shared" si="0"/>
        <v>0.22162000000000001</v>
      </c>
      <c r="J8" s="42" t="s">
        <v>236</v>
      </c>
      <c r="K8" s="476" t="s">
        <v>745</v>
      </c>
      <c r="L8" s="61"/>
      <c r="M8" s="61"/>
      <c r="N8" s="61">
        <f t="shared" ref="N8:N23" si="1">I8</f>
        <v>0.22162000000000001</v>
      </c>
      <c r="O8" s="61">
        <f t="shared" ref="O8:O23" si="2">N8-L8</f>
        <v>0.22162000000000001</v>
      </c>
      <c r="P8" s="61">
        <f t="shared" ref="P8:P23" si="3">N8-M8</f>
        <v>0.22162000000000001</v>
      </c>
    </row>
    <row r="9" spans="1:16" ht="18.75" customHeight="1">
      <c r="A9" s="5" t="s">
        <v>237</v>
      </c>
      <c r="B9" s="476" t="s">
        <v>746</v>
      </c>
      <c r="C9" s="5">
        <f>'PHỤ LUC HT'!C199</f>
        <v>0.36</v>
      </c>
      <c r="D9" s="99">
        <f>'Quang Nghia'!AP67</f>
        <v>0</v>
      </c>
      <c r="E9" s="5">
        <f>'Quang Nghia'!AP48</f>
        <v>0</v>
      </c>
      <c r="F9" s="5">
        <f>'Quang Nghia'!AP55</f>
        <v>0</v>
      </c>
      <c r="G9" s="5">
        <f>'Quang Nghia'!AP60</f>
        <v>0</v>
      </c>
      <c r="H9" s="5">
        <f>'PHỤ LUC HT'!E199</f>
        <v>0</v>
      </c>
      <c r="I9" s="5">
        <f t="shared" si="0"/>
        <v>0.36</v>
      </c>
      <c r="J9" s="42" t="s">
        <v>237</v>
      </c>
      <c r="K9" s="476" t="s">
        <v>746</v>
      </c>
      <c r="L9" s="61">
        <v>3.37</v>
      </c>
      <c r="M9" s="61">
        <v>3.37</v>
      </c>
      <c r="N9" s="61">
        <f t="shared" si="1"/>
        <v>0.36</v>
      </c>
      <c r="O9" s="61">
        <f t="shared" si="2"/>
        <v>-3.0100000000000002</v>
      </c>
      <c r="P9" s="61">
        <f t="shared" si="3"/>
        <v>-3.0100000000000002</v>
      </c>
    </row>
    <row r="10" spans="1:16" ht="18.75" customHeight="1">
      <c r="A10" s="5" t="s">
        <v>238</v>
      </c>
      <c r="B10" s="476" t="s">
        <v>747</v>
      </c>
      <c r="C10" s="5">
        <f>'PHỤ LUC HT'!C200</f>
        <v>3.45</v>
      </c>
      <c r="D10" s="99">
        <f>'Hai Dong'!AP67</f>
        <v>2.9</v>
      </c>
      <c r="E10" s="5">
        <f>'Hai Dong'!AP48</f>
        <v>0</v>
      </c>
      <c r="F10" s="5">
        <f>'Hai Dong'!AP55</f>
        <v>0</v>
      </c>
      <c r="G10" s="5">
        <f>'Hai Dong'!AP60</f>
        <v>0</v>
      </c>
      <c r="H10" s="5">
        <f>'PHỤ LUC HT'!E200</f>
        <v>0</v>
      </c>
      <c r="I10" s="5">
        <f t="shared" si="0"/>
        <v>6.35</v>
      </c>
      <c r="J10" s="42" t="s">
        <v>238</v>
      </c>
      <c r="K10" s="476" t="s">
        <v>747</v>
      </c>
      <c r="L10" s="61">
        <v>0.44</v>
      </c>
      <c r="M10" s="61">
        <v>0.44</v>
      </c>
      <c r="N10" s="61">
        <f t="shared" si="1"/>
        <v>6.35</v>
      </c>
      <c r="O10" s="61">
        <f t="shared" si="2"/>
        <v>5.9099999999999993</v>
      </c>
      <c r="P10" s="61">
        <f t="shared" si="3"/>
        <v>5.9099999999999993</v>
      </c>
    </row>
    <row r="11" spans="1:16" ht="18.75" customHeight="1">
      <c r="A11" s="5" t="s">
        <v>239</v>
      </c>
      <c r="B11" s="476" t="s">
        <v>748</v>
      </c>
      <c r="C11" s="5">
        <f>'PHỤ LUC HT'!C201</f>
        <v>0</v>
      </c>
      <c r="D11" s="99">
        <f>'Hai Tien'!AP67</f>
        <v>0</v>
      </c>
      <c r="E11" s="5">
        <f>'Hai Tien'!AP48</f>
        <v>0</v>
      </c>
      <c r="F11" s="5">
        <f>'Hai Tien'!AP55</f>
        <v>0</v>
      </c>
      <c r="G11" s="5">
        <f>'Hai Tien'!AP60</f>
        <v>0</v>
      </c>
      <c r="H11" s="5">
        <f>'PHỤ LUC HT'!E201</f>
        <v>0</v>
      </c>
      <c r="I11" s="5">
        <f t="shared" si="0"/>
        <v>0</v>
      </c>
      <c r="J11" s="42" t="s">
        <v>239</v>
      </c>
      <c r="K11" s="476" t="s">
        <v>748</v>
      </c>
      <c r="L11" s="61">
        <v>0.15</v>
      </c>
      <c r="M11" s="61">
        <v>0.15</v>
      </c>
      <c r="N11" s="61">
        <f t="shared" si="1"/>
        <v>0</v>
      </c>
      <c r="O11" s="61">
        <f t="shared" si="2"/>
        <v>-0.15</v>
      </c>
      <c r="P11" s="61">
        <f t="shared" si="3"/>
        <v>-0.15</v>
      </c>
    </row>
    <row r="12" spans="1:16" ht="18.75" customHeight="1">
      <c r="A12" s="5" t="s">
        <v>240</v>
      </c>
      <c r="B12" s="476" t="s">
        <v>749</v>
      </c>
      <c r="C12" s="5">
        <f>'PHỤ LUC HT'!C202</f>
        <v>0.19</v>
      </c>
      <c r="D12" s="99">
        <f>'Hai Xuan'!AP67</f>
        <v>0</v>
      </c>
      <c r="E12" s="5">
        <f>'Hai Xuan'!AP48</f>
        <v>0</v>
      </c>
      <c r="F12" s="5">
        <f>'Hai Xuan'!AP55</f>
        <v>0</v>
      </c>
      <c r="G12" s="5">
        <f>'Hai Xuan'!AP60</f>
        <v>0</v>
      </c>
      <c r="H12" s="5">
        <f>'PHỤ LUC HT'!E202</f>
        <v>0</v>
      </c>
      <c r="I12" s="5">
        <f t="shared" si="0"/>
        <v>0.19</v>
      </c>
      <c r="J12" s="42" t="s">
        <v>240</v>
      </c>
      <c r="K12" s="476" t="s">
        <v>749</v>
      </c>
      <c r="L12" s="61">
        <v>0.32</v>
      </c>
      <c r="M12" s="61">
        <v>0.32</v>
      </c>
      <c r="N12" s="61">
        <f t="shared" si="1"/>
        <v>0.19</v>
      </c>
      <c r="O12" s="61">
        <f t="shared" si="2"/>
        <v>-0.13</v>
      </c>
      <c r="P12" s="61">
        <f t="shared" si="3"/>
        <v>-0.13</v>
      </c>
    </row>
    <row r="13" spans="1:16" ht="18.75" customHeight="1">
      <c r="A13" s="5" t="s">
        <v>241</v>
      </c>
      <c r="B13" s="476" t="s">
        <v>750</v>
      </c>
      <c r="C13" s="5">
        <f>'PHỤ LUC HT'!C203</f>
        <v>0</v>
      </c>
      <c r="D13" s="99">
        <f>'Van Ninh'!AP68</f>
        <v>0</v>
      </c>
      <c r="E13" s="5">
        <f>'Van Ninh'!AP48</f>
        <v>0</v>
      </c>
      <c r="F13" s="5">
        <f>'Van Ninh'!AP55</f>
        <v>0</v>
      </c>
      <c r="G13" s="5">
        <f>'Van Ninh'!AP60</f>
        <v>0</v>
      </c>
      <c r="H13" s="5">
        <f>'PHỤ LUC HT'!E203</f>
        <v>0</v>
      </c>
      <c r="I13" s="5">
        <f t="shared" si="0"/>
        <v>0</v>
      </c>
      <c r="J13" s="42" t="s">
        <v>241</v>
      </c>
      <c r="K13" s="476" t="s">
        <v>750</v>
      </c>
      <c r="L13" s="61"/>
      <c r="M13" s="61"/>
      <c r="N13" s="61">
        <f t="shared" si="1"/>
        <v>0</v>
      </c>
      <c r="O13" s="61">
        <f t="shared" si="2"/>
        <v>0</v>
      </c>
      <c r="P13" s="61">
        <f t="shared" si="3"/>
        <v>0</v>
      </c>
    </row>
    <row r="14" spans="1:16" ht="18.75" customHeight="1">
      <c r="A14" s="5" t="s">
        <v>242</v>
      </c>
      <c r="B14" s="476" t="s">
        <v>751</v>
      </c>
      <c r="C14" s="5">
        <f>'PHỤ LUC HT'!C204</f>
        <v>0</v>
      </c>
      <c r="D14" s="99">
        <f>'Vinh Trung'!AP68</f>
        <v>0</v>
      </c>
      <c r="E14" s="5">
        <f>'Vinh Trung'!AP48</f>
        <v>0</v>
      </c>
      <c r="F14" s="5">
        <f>'Vinh Trung'!AP55</f>
        <v>0</v>
      </c>
      <c r="G14" s="5">
        <f>'Vinh Trung'!AP60</f>
        <v>0</v>
      </c>
      <c r="H14" s="5">
        <f>'PHỤ LUC HT'!E204</f>
        <v>0</v>
      </c>
      <c r="I14" s="5">
        <f t="shared" si="0"/>
        <v>0</v>
      </c>
      <c r="J14" s="42" t="s">
        <v>242</v>
      </c>
      <c r="K14" s="476" t="s">
        <v>751</v>
      </c>
      <c r="L14" s="61">
        <v>0.38</v>
      </c>
      <c r="M14" s="61">
        <v>0.38</v>
      </c>
      <c r="N14" s="61">
        <f t="shared" si="1"/>
        <v>0</v>
      </c>
      <c r="O14" s="61">
        <f t="shared" si="2"/>
        <v>-0.38</v>
      </c>
      <c r="P14" s="61">
        <f t="shared" si="3"/>
        <v>-0.38</v>
      </c>
    </row>
    <row r="15" spans="1:16" ht="18.75" customHeight="1">
      <c r="A15" s="5" t="s">
        <v>243</v>
      </c>
      <c r="B15" s="476" t="s">
        <v>752</v>
      </c>
      <c r="C15" s="5">
        <f>'PHỤ LUC HT'!C205</f>
        <v>0</v>
      </c>
      <c r="D15" s="99">
        <f>'Vinh Thuc'!AP67</f>
        <v>0</v>
      </c>
      <c r="E15" s="5">
        <f>'Vinh Thuc'!AP48</f>
        <v>0</v>
      </c>
      <c r="F15" s="5">
        <f>'Vinh Thuc'!AP55</f>
        <v>0</v>
      </c>
      <c r="G15" s="5">
        <f>'Vinh Thuc'!AP60</f>
        <v>0</v>
      </c>
      <c r="H15" s="5">
        <f>'PHỤ LUC HT'!E205</f>
        <v>0</v>
      </c>
      <c r="I15" s="5">
        <f t="shared" si="0"/>
        <v>0</v>
      </c>
      <c r="J15" s="42" t="s">
        <v>243</v>
      </c>
      <c r="K15" s="476" t="s">
        <v>752</v>
      </c>
      <c r="L15" s="61">
        <v>0.27</v>
      </c>
      <c r="M15" s="61">
        <v>0.27</v>
      </c>
      <c r="N15" s="61">
        <f t="shared" si="1"/>
        <v>0</v>
      </c>
      <c r="O15" s="61">
        <f t="shared" si="2"/>
        <v>-0.27</v>
      </c>
      <c r="P15" s="61">
        <f t="shared" si="3"/>
        <v>-0.27</v>
      </c>
    </row>
    <row r="16" spans="1:16" ht="18.75" customHeight="1">
      <c r="A16" s="5" t="s">
        <v>244</v>
      </c>
      <c r="B16" s="476" t="s">
        <v>753</v>
      </c>
      <c r="C16" s="5">
        <f>'PHỤ LUC HT'!C206</f>
        <v>0.28000000000000003</v>
      </c>
      <c r="D16" s="99">
        <f>'Hai Yen'!AP68</f>
        <v>0</v>
      </c>
      <c r="E16" s="5">
        <f>'Hai Yen'!AP48</f>
        <v>0</v>
      </c>
      <c r="F16" s="5">
        <f>'Hai Yen'!AP55</f>
        <v>0</v>
      </c>
      <c r="G16" s="5">
        <f>'Hai Yen'!AP60</f>
        <v>0</v>
      </c>
      <c r="H16" s="5">
        <f>'PHỤ LUC HT'!E206</f>
        <v>0</v>
      </c>
      <c r="I16" s="5">
        <f t="shared" si="0"/>
        <v>0.28000000000000003</v>
      </c>
      <c r="J16" s="42" t="s">
        <v>244</v>
      </c>
      <c r="K16" s="476" t="s">
        <v>753</v>
      </c>
      <c r="L16" s="61">
        <v>0.23</v>
      </c>
      <c r="M16" s="61">
        <v>0.23</v>
      </c>
      <c r="N16" s="61">
        <f t="shared" si="1"/>
        <v>0.28000000000000003</v>
      </c>
      <c r="O16" s="61">
        <f t="shared" si="2"/>
        <v>5.0000000000000017E-2</v>
      </c>
      <c r="P16" s="61">
        <f t="shared" si="3"/>
        <v>5.0000000000000017E-2</v>
      </c>
    </row>
    <row r="17" spans="1:16" ht="18.75" customHeight="1">
      <c r="A17" s="5" t="s">
        <v>245</v>
      </c>
      <c r="B17" s="476" t="s">
        <v>754</v>
      </c>
      <c r="C17" s="5">
        <f>'PHỤ LUC HT'!C207</f>
        <v>0.85</v>
      </c>
      <c r="D17" s="99">
        <f>'Ka Long'!AP67</f>
        <v>0</v>
      </c>
      <c r="E17" s="5">
        <f>'Ka Long'!AP48</f>
        <v>0</v>
      </c>
      <c r="F17" s="5">
        <f>'Ka Long'!AP55</f>
        <v>0</v>
      </c>
      <c r="G17" s="5">
        <f>'Ka Long'!AP60</f>
        <v>0</v>
      </c>
      <c r="H17" s="5">
        <f>'PHỤ LUC HT'!E207</f>
        <v>0</v>
      </c>
      <c r="I17" s="5">
        <f t="shared" si="0"/>
        <v>0.85</v>
      </c>
      <c r="J17" s="42" t="s">
        <v>245</v>
      </c>
      <c r="K17" s="476" t="s">
        <v>754</v>
      </c>
      <c r="L17" s="61"/>
      <c r="M17" s="61"/>
      <c r="N17" s="61">
        <f t="shared" si="1"/>
        <v>0.85</v>
      </c>
      <c r="O17" s="61">
        <f t="shared" si="2"/>
        <v>0.85</v>
      </c>
      <c r="P17" s="61">
        <f t="shared" si="3"/>
        <v>0.85</v>
      </c>
    </row>
    <row r="18" spans="1:16" ht="18.75" customHeight="1">
      <c r="A18" s="5" t="s">
        <v>246</v>
      </c>
      <c r="B18" s="476" t="s">
        <v>755</v>
      </c>
      <c r="C18" s="5">
        <f>'PHỤ LUC HT'!C208</f>
        <v>0.43</v>
      </c>
      <c r="D18" s="99">
        <f>'Ninh Duong'!AP67</f>
        <v>0</v>
      </c>
      <c r="E18" s="5">
        <f>'Ninh Duong'!AP48</f>
        <v>0</v>
      </c>
      <c r="F18" s="5">
        <f>'Ninh Duong'!AP55</f>
        <v>0</v>
      </c>
      <c r="G18" s="5">
        <f>'Ninh Duong'!AP60</f>
        <v>0</v>
      </c>
      <c r="H18" s="5">
        <f>'PHỤ LUC HT'!E208</f>
        <v>0</v>
      </c>
      <c r="I18" s="5">
        <f t="shared" si="0"/>
        <v>0.43</v>
      </c>
      <c r="J18" s="42" t="s">
        <v>246</v>
      </c>
      <c r="K18" s="476" t="s">
        <v>755</v>
      </c>
      <c r="L18" s="61">
        <v>0.16</v>
      </c>
      <c r="M18" s="61">
        <v>0.16</v>
      </c>
      <c r="N18" s="61">
        <f t="shared" si="1"/>
        <v>0.43</v>
      </c>
      <c r="O18" s="61">
        <f t="shared" si="2"/>
        <v>0.27</v>
      </c>
      <c r="P18" s="61">
        <f t="shared" si="3"/>
        <v>0.27</v>
      </c>
    </row>
    <row r="19" spans="1:16" ht="18.75" customHeight="1">
      <c r="A19" s="5" t="s">
        <v>247</v>
      </c>
      <c r="B19" s="476" t="s">
        <v>756</v>
      </c>
      <c r="C19" s="5">
        <f>'PHỤ LUC HT'!C209</f>
        <v>0.6</v>
      </c>
      <c r="D19" s="99">
        <f>'Hoa Lac'!AP67</f>
        <v>0</v>
      </c>
      <c r="E19" s="5">
        <f>'Hoa Lac'!AP48</f>
        <v>0</v>
      </c>
      <c r="F19" s="5">
        <f>'Hoa Lac'!AP55</f>
        <v>0</v>
      </c>
      <c r="G19" s="5">
        <f>'Hoa Lac'!AP60</f>
        <v>0</v>
      </c>
      <c r="H19" s="5">
        <f>'PHỤ LUC HT'!E209</f>
        <v>0</v>
      </c>
      <c r="I19" s="5">
        <f t="shared" si="0"/>
        <v>0.6</v>
      </c>
      <c r="J19" s="42" t="s">
        <v>247</v>
      </c>
      <c r="K19" s="476" t="s">
        <v>756</v>
      </c>
      <c r="L19" s="61">
        <v>0.63</v>
      </c>
      <c r="M19" s="61">
        <v>0.63</v>
      </c>
      <c r="N19" s="61">
        <f t="shared" si="1"/>
        <v>0.6</v>
      </c>
      <c r="O19" s="61">
        <f t="shared" si="2"/>
        <v>-3.0000000000000027E-2</v>
      </c>
      <c r="P19" s="61">
        <f t="shared" si="3"/>
        <v>-3.0000000000000027E-2</v>
      </c>
    </row>
    <row r="20" spans="1:16" ht="18.75" customHeight="1">
      <c r="A20" s="5" t="s">
        <v>248</v>
      </c>
      <c r="B20" s="476" t="s">
        <v>757</v>
      </c>
      <c r="C20" s="5">
        <f>'PHỤ LUC HT'!C210</f>
        <v>4.42</v>
      </c>
      <c r="D20" s="99">
        <f>'Tran Phu'!AP67</f>
        <v>0</v>
      </c>
      <c r="E20" s="5">
        <f>'Tran Phu'!AP48</f>
        <v>0</v>
      </c>
      <c r="F20" s="5">
        <f>'Tran Phu'!AP55</f>
        <v>0</v>
      </c>
      <c r="G20" s="5">
        <f>'Tran Phu'!AP60</f>
        <v>0</v>
      </c>
      <c r="H20" s="5">
        <f>'PHỤ LUC HT'!E210</f>
        <v>0</v>
      </c>
      <c r="I20" s="5">
        <f t="shared" si="0"/>
        <v>4.42</v>
      </c>
      <c r="J20" s="42" t="s">
        <v>248</v>
      </c>
      <c r="K20" s="476" t="s">
        <v>757</v>
      </c>
      <c r="L20" s="61"/>
      <c r="M20" s="61"/>
      <c r="N20" s="61">
        <f t="shared" si="1"/>
        <v>4.42</v>
      </c>
      <c r="O20" s="61">
        <f t="shared" si="2"/>
        <v>4.42</v>
      </c>
      <c r="P20" s="61">
        <f t="shared" si="3"/>
        <v>4.42</v>
      </c>
    </row>
    <row r="21" spans="1:16" ht="18.75" customHeight="1">
      <c r="A21" s="5" t="s">
        <v>249</v>
      </c>
      <c r="B21" s="476" t="s">
        <v>758</v>
      </c>
      <c r="C21" s="5">
        <f>'PHỤ LUC HT'!C211</f>
        <v>0.09</v>
      </c>
      <c r="D21" s="99">
        <f>'Hai Hoa'!AP67</f>
        <v>0</v>
      </c>
      <c r="E21" s="5">
        <f>'Hai Hoa'!AP48</f>
        <v>0</v>
      </c>
      <c r="F21" s="5">
        <f>'Hai Hoa'!AP55</f>
        <v>0</v>
      </c>
      <c r="G21" s="5">
        <f>'Hai Hoa'!AP60</f>
        <v>0</v>
      </c>
      <c r="H21" s="5">
        <f>'PHỤ LUC HT'!E211</f>
        <v>0</v>
      </c>
      <c r="I21" s="5">
        <f t="shared" si="0"/>
        <v>0.09</v>
      </c>
      <c r="J21" s="42" t="s">
        <v>249</v>
      </c>
      <c r="K21" s="476" t="s">
        <v>758</v>
      </c>
      <c r="L21" s="61">
        <v>0.12</v>
      </c>
      <c r="M21" s="61">
        <v>0.12</v>
      </c>
      <c r="N21" s="61">
        <f t="shared" si="1"/>
        <v>0.09</v>
      </c>
      <c r="O21" s="61">
        <f t="shared" si="2"/>
        <v>-0.03</v>
      </c>
      <c r="P21" s="61">
        <f t="shared" si="3"/>
        <v>-0.03</v>
      </c>
    </row>
    <row r="22" spans="1:16" ht="18.75" customHeight="1">
      <c r="A22" s="5" t="s">
        <v>250</v>
      </c>
      <c r="B22" s="476" t="s">
        <v>759</v>
      </c>
      <c r="C22" s="5">
        <f>'PHỤ LUC HT'!C212</f>
        <v>0</v>
      </c>
      <c r="D22" s="99">
        <f>'Tra Co'!AP67</f>
        <v>0</v>
      </c>
      <c r="E22" s="5">
        <f>'Tra Co'!AP48</f>
        <v>0</v>
      </c>
      <c r="F22" s="5">
        <f>'Tra Co'!AP55</f>
        <v>0</v>
      </c>
      <c r="G22" s="5">
        <f>'Tra Co'!AP60</f>
        <v>0</v>
      </c>
      <c r="H22" s="5">
        <f>'PHỤ LUC HT'!E212</f>
        <v>0</v>
      </c>
      <c r="I22" s="5">
        <f t="shared" si="0"/>
        <v>0</v>
      </c>
      <c r="J22" s="42" t="s">
        <v>250</v>
      </c>
      <c r="K22" s="476" t="s">
        <v>759</v>
      </c>
      <c r="L22" s="61">
        <v>0.02</v>
      </c>
      <c r="M22" s="61">
        <v>0.02</v>
      </c>
      <c r="N22" s="61">
        <f t="shared" si="1"/>
        <v>0</v>
      </c>
      <c r="O22" s="61">
        <f t="shared" si="2"/>
        <v>-0.02</v>
      </c>
      <c r="P22" s="61">
        <f t="shared" si="3"/>
        <v>-0.02</v>
      </c>
    </row>
    <row r="23" spans="1:16" ht="18.75" customHeight="1">
      <c r="A23" s="5" t="s">
        <v>251</v>
      </c>
      <c r="B23" s="476" t="s">
        <v>760</v>
      </c>
      <c r="C23" s="5">
        <f>'PHỤ LUC HT'!C213</f>
        <v>0.08</v>
      </c>
      <c r="D23" s="99">
        <f>'Binh Ngoc'!AP67</f>
        <v>0</v>
      </c>
      <c r="E23" s="5">
        <f>'Binh Ngoc'!AP48</f>
        <v>0</v>
      </c>
      <c r="F23" s="5">
        <f>'Binh Ngoc'!AP55</f>
        <v>0</v>
      </c>
      <c r="G23" s="5">
        <f>'Binh Ngoc'!AP60</f>
        <v>0</v>
      </c>
      <c r="H23" s="5">
        <f>'PHỤ LUC HT'!E213</f>
        <v>0</v>
      </c>
      <c r="I23" s="5">
        <f t="shared" si="0"/>
        <v>0.08</v>
      </c>
      <c r="J23" s="42" t="s">
        <v>251</v>
      </c>
      <c r="K23" s="476" t="s">
        <v>760</v>
      </c>
      <c r="L23" s="61">
        <v>0.12</v>
      </c>
      <c r="M23" s="61">
        <v>0.12</v>
      </c>
      <c r="N23" s="61">
        <f t="shared" si="1"/>
        <v>0.08</v>
      </c>
      <c r="O23" s="61">
        <f t="shared" si="2"/>
        <v>-3.9999999999999994E-2</v>
      </c>
      <c r="P23" s="61">
        <f t="shared" si="3"/>
        <v>-3.9999999999999994E-2</v>
      </c>
    </row>
    <row r="24" spans="1:16" ht="24" customHeight="1">
      <c r="A24" s="66"/>
      <c r="B24" s="66" t="s">
        <v>370</v>
      </c>
      <c r="C24" s="75">
        <f t="shared" ref="C24:I24" si="4">SUM(C7:C23)</f>
        <v>11.981619999999999</v>
      </c>
      <c r="D24" s="75">
        <f t="shared" si="4"/>
        <v>3.9</v>
      </c>
      <c r="E24" s="75">
        <f t="shared" si="4"/>
        <v>0</v>
      </c>
      <c r="F24" s="75">
        <f t="shared" si="4"/>
        <v>0</v>
      </c>
      <c r="G24" s="75">
        <f t="shared" si="4"/>
        <v>0</v>
      </c>
      <c r="H24" s="75">
        <f t="shared" si="4"/>
        <v>0</v>
      </c>
      <c r="I24" s="75">
        <f t="shared" si="4"/>
        <v>15.881619999999998</v>
      </c>
      <c r="J24" s="278"/>
      <c r="K24" s="278" t="s">
        <v>370</v>
      </c>
      <c r="L24" s="75">
        <f>SUM(L7:L23)</f>
        <v>7.3800000000000017</v>
      </c>
      <c r="M24" s="75">
        <f>SUM(M7:M23)</f>
        <v>7.36</v>
      </c>
      <c r="N24" s="75">
        <f>SUM(N7:N23)</f>
        <v>15.881619999999998</v>
      </c>
      <c r="O24" s="75">
        <f>SUM(O7:O23)</f>
        <v>8.5016200000000008</v>
      </c>
      <c r="P24" s="75">
        <f>SUM(P7:P23)</f>
        <v>8.5216200000000004</v>
      </c>
    </row>
    <row r="25" spans="1:16" ht="15.75" hidden="1">
      <c r="I25" s="74">
        <f>'TONG TP'!BN45</f>
        <v>15.88162</v>
      </c>
    </row>
    <row r="26" spans="1:16">
      <c r="I26">
        <f>I24-I25</f>
        <v>0</v>
      </c>
    </row>
    <row r="28" spans="1:16">
      <c r="I28">
        <f>'TONG TP'!BN45</f>
        <v>15.88162</v>
      </c>
    </row>
    <row r="29" spans="1:16">
      <c r="I29">
        <f>I24-I28</f>
        <v>0</v>
      </c>
    </row>
  </sheetData>
  <mergeCells count="18">
    <mergeCell ref="A2:I2"/>
    <mergeCell ref="A3:I3"/>
    <mergeCell ref="A5:A6"/>
    <mergeCell ref="B5:B6"/>
    <mergeCell ref="C5:C6"/>
    <mergeCell ref="D5:D6"/>
    <mergeCell ref="H5:H6"/>
    <mergeCell ref="I5:I6"/>
    <mergeCell ref="H4:I4"/>
    <mergeCell ref="O4:P4"/>
    <mergeCell ref="O5:O6"/>
    <mergeCell ref="P5:P6"/>
    <mergeCell ref="E5:G5"/>
    <mergeCell ref="J4:J6"/>
    <mergeCell ref="K4:K6"/>
    <mergeCell ref="L4:L6"/>
    <mergeCell ref="M4:M6"/>
    <mergeCell ref="N4:N6"/>
  </mergeCells>
  <phoneticPr fontId="4" type="noConversion"/>
  <printOptions horizontalCentered="1"/>
  <pageMargins left="1.1000000000000001" right="0.25" top="0.25" bottom="0.25" header="0.5" footer="0.5"/>
  <pageSetup paperSize="9" scale="95" orientation="portrait"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dimension ref="A1:V32"/>
  <sheetViews>
    <sheetView showZeros="0" workbookViewId="0">
      <selection activeCell="D10" sqref="D10"/>
    </sheetView>
  </sheetViews>
  <sheetFormatPr defaultRowHeight="12.75"/>
  <cols>
    <col min="1" max="1" width="7.42578125" customWidth="1"/>
    <col min="2" max="2" width="21.7109375" customWidth="1"/>
    <col min="3" max="3" width="10" customWidth="1"/>
    <col min="4" max="4" width="9.85546875" customWidth="1"/>
    <col min="5" max="5" width="8.5703125" hidden="1" customWidth="1"/>
    <col min="6" max="8" width="7.42578125" hidden="1" customWidth="1"/>
    <col min="9" max="9" width="7.42578125" style="263" hidden="1" customWidth="1"/>
    <col min="10" max="10" width="7.42578125" hidden="1" customWidth="1"/>
    <col min="11" max="13" width="7.42578125" style="263" hidden="1" customWidth="1"/>
    <col min="14" max="14" width="9" customWidth="1"/>
    <col min="15" max="15" width="11.42578125" customWidth="1"/>
    <col min="16" max="16" width="7.42578125" customWidth="1"/>
    <col min="17" max="17" width="21.28515625" customWidth="1"/>
    <col min="19" max="20" width="11.28515625" customWidth="1"/>
    <col min="22" max="22" width="10.7109375" customWidth="1"/>
  </cols>
  <sheetData>
    <row r="1" spans="1:22" ht="17.25" customHeight="1">
      <c r="A1" s="342" t="s">
        <v>657</v>
      </c>
    </row>
    <row r="2" spans="1:22" ht="20.25" customHeight="1">
      <c r="A2" s="1385" t="s">
        <v>720</v>
      </c>
      <c r="B2" s="1385"/>
      <c r="C2" s="1385"/>
      <c r="D2" s="1385"/>
      <c r="E2" s="1385"/>
      <c r="F2" s="1385"/>
      <c r="G2" s="1385"/>
      <c r="H2" s="1385"/>
      <c r="I2" s="1385"/>
      <c r="J2" s="1385"/>
      <c r="K2" s="1385"/>
      <c r="L2" s="1385"/>
      <c r="M2" s="1385"/>
      <c r="N2" s="1385"/>
      <c r="O2" s="1385"/>
    </row>
    <row r="3" spans="1:22" ht="20.25" customHeight="1">
      <c r="A3" s="1385" t="s">
        <v>766</v>
      </c>
      <c r="B3" s="1385"/>
      <c r="C3" s="1385"/>
      <c r="D3" s="1385"/>
      <c r="E3" s="1385"/>
      <c r="F3" s="1385"/>
      <c r="G3" s="1385"/>
      <c r="H3" s="1385"/>
      <c r="I3" s="1385"/>
      <c r="J3" s="1385"/>
      <c r="K3" s="1385"/>
      <c r="L3" s="1385"/>
      <c r="M3" s="1385"/>
      <c r="N3" s="1385"/>
      <c r="O3" s="1385"/>
    </row>
    <row r="4" spans="1:22" ht="18" customHeight="1">
      <c r="N4" s="1278" t="s">
        <v>138</v>
      </c>
      <c r="O4" s="1278"/>
    </row>
    <row r="5" spans="1:22" ht="23.25" customHeight="1">
      <c r="A5" s="1280" t="s">
        <v>368</v>
      </c>
      <c r="B5" s="1280" t="s">
        <v>979</v>
      </c>
      <c r="C5" s="1280" t="s">
        <v>456</v>
      </c>
      <c r="D5" s="1280" t="s">
        <v>457</v>
      </c>
      <c r="E5" s="1415" t="s">
        <v>458</v>
      </c>
      <c r="F5" s="1404"/>
      <c r="G5" s="1404"/>
      <c r="H5" s="1404"/>
      <c r="I5" s="1404"/>
      <c r="J5" s="1404"/>
      <c r="K5" s="1404"/>
      <c r="L5" s="1404"/>
      <c r="M5" s="1379"/>
      <c r="N5" s="1280" t="s">
        <v>459</v>
      </c>
      <c r="O5" s="1280" t="s">
        <v>460</v>
      </c>
      <c r="P5" s="1406" t="s">
        <v>0</v>
      </c>
      <c r="Q5" s="1301" t="s">
        <v>369</v>
      </c>
      <c r="R5" s="1301" t="s">
        <v>494</v>
      </c>
      <c r="S5" s="1391" t="s">
        <v>495</v>
      </c>
      <c r="T5" s="1391" t="s">
        <v>496</v>
      </c>
      <c r="U5" s="1301" t="s">
        <v>497</v>
      </c>
      <c r="V5" s="1301"/>
    </row>
    <row r="6" spans="1:22" ht="33" customHeight="1">
      <c r="A6" s="1280"/>
      <c r="B6" s="1280"/>
      <c r="C6" s="1280"/>
      <c r="D6" s="1280"/>
      <c r="E6" s="38" t="s">
        <v>20</v>
      </c>
      <c r="F6" s="38" t="s">
        <v>35</v>
      </c>
      <c r="G6" s="38" t="s">
        <v>38</v>
      </c>
      <c r="H6" s="38" t="s">
        <v>199</v>
      </c>
      <c r="I6" s="264" t="s">
        <v>200</v>
      </c>
      <c r="J6" s="38" t="s">
        <v>87</v>
      </c>
      <c r="K6" s="264" t="s">
        <v>101</v>
      </c>
      <c r="L6" s="264" t="s">
        <v>113</v>
      </c>
      <c r="M6" s="264" t="s">
        <v>116</v>
      </c>
      <c r="N6" s="1280"/>
      <c r="O6" s="1280"/>
      <c r="P6" s="1406"/>
      <c r="Q6" s="1301"/>
      <c r="R6" s="1301"/>
      <c r="S6" s="1391"/>
      <c r="T6" s="1391"/>
      <c r="U6" s="50" t="s">
        <v>498</v>
      </c>
      <c r="V6" s="50" t="s">
        <v>344</v>
      </c>
    </row>
    <row r="7" spans="1:22" ht="18.75" customHeight="1">
      <c r="A7" s="70" t="s">
        <v>235</v>
      </c>
      <c r="B7" s="475" t="s">
        <v>744</v>
      </c>
      <c r="C7" s="70">
        <f>'PHỤ LỤC PNN'!C155</f>
        <v>0</v>
      </c>
      <c r="D7" s="70">
        <f>SUM(E7:M7)</f>
        <v>0</v>
      </c>
      <c r="E7" s="70">
        <f>'Bac Son'!AQ12</f>
        <v>0</v>
      </c>
      <c r="F7" s="70">
        <f>'Bac Son'!AQ21</f>
        <v>0</v>
      </c>
      <c r="G7" s="70">
        <f>'Bac Son'!AQ22</f>
        <v>0</v>
      </c>
      <c r="H7" s="70">
        <f>'Bac Son'!AQ41</f>
        <v>0</v>
      </c>
      <c r="I7" s="70">
        <f>'Bac Son'!AQ42</f>
        <v>0</v>
      </c>
      <c r="J7" s="70">
        <f>'Bac Son'!AQ50</f>
        <v>0</v>
      </c>
      <c r="K7" s="70">
        <f>'Bac Son'!AQ55</f>
        <v>0</v>
      </c>
      <c r="L7" s="70">
        <f>'Bac Son'!AQ59</f>
        <v>0</v>
      </c>
      <c r="M7" s="70">
        <f>'Bac Son'!AQ60</f>
        <v>0</v>
      </c>
      <c r="N7" s="70">
        <f>'PHỤ LỤC PNN'!E155</f>
        <v>0</v>
      </c>
      <c r="O7" s="70">
        <f t="shared" ref="O7:O25" si="0">C7+D7-N7</f>
        <v>0</v>
      </c>
      <c r="P7" s="41" t="s">
        <v>235</v>
      </c>
      <c r="Q7" s="475" t="s">
        <v>744</v>
      </c>
      <c r="R7" s="259"/>
      <c r="S7" s="270">
        <v>0.05</v>
      </c>
      <c r="T7" s="270">
        <f>O7</f>
        <v>0</v>
      </c>
      <c r="U7" s="270">
        <f>T7-R7</f>
        <v>0</v>
      </c>
      <c r="V7" s="270">
        <f>T7-S7</f>
        <v>-0.05</v>
      </c>
    </row>
    <row r="8" spans="1:22" ht="18.75" customHeight="1">
      <c r="A8" s="5" t="s">
        <v>236</v>
      </c>
      <c r="B8" s="476" t="s">
        <v>745</v>
      </c>
      <c r="C8" s="5">
        <f>'PHỤ LỤC PNN'!C156</f>
        <v>0</v>
      </c>
      <c r="D8" s="70">
        <f t="shared" ref="D8:D25" si="1">SUM(E8:M8)</f>
        <v>0</v>
      </c>
      <c r="E8" s="5">
        <f>'Hai Son'!AQ12</f>
        <v>0</v>
      </c>
      <c r="F8" s="5">
        <f>'Hai Son'!AQ21</f>
        <v>0</v>
      </c>
      <c r="G8" s="5">
        <f>'Hai Son'!AQ22</f>
        <v>0</v>
      </c>
      <c r="H8" s="5">
        <f>'Hai Son'!AQ41</f>
        <v>0</v>
      </c>
      <c r="I8" s="5">
        <f>'Hai Son'!AQ42</f>
        <v>0</v>
      </c>
      <c r="J8" s="5">
        <f>'Hai Son'!AQ50</f>
        <v>0</v>
      </c>
      <c r="K8" s="5">
        <f>'Hai Son'!AQ55</f>
        <v>0</v>
      </c>
      <c r="L8" s="5">
        <f>'Hai Son'!AQ59</f>
        <v>0</v>
      </c>
      <c r="M8" s="5">
        <f>'Hai Son'!AQ60</f>
        <v>0</v>
      </c>
      <c r="N8" s="5">
        <f>'PHỤ LỤC PNN'!E156</f>
        <v>0</v>
      </c>
      <c r="O8" s="5">
        <f t="shared" si="0"/>
        <v>0</v>
      </c>
      <c r="P8" s="42" t="s">
        <v>236</v>
      </c>
      <c r="Q8" s="476" t="s">
        <v>745</v>
      </c>
      <c r="R8" s="260"/>
      <c r="S8" s="271">
        <v>3.5</v>
      </c>
      <c r="T8" s="271">
        <f t="shared" ref="T8:T25" si="2">O8</f>
        <v>0</v>
      </c>
      <c r="U8" s="271">
        <f t="shared" ref="U8:U25" si="3">T8-R8</f>
        <v>0</v>
      </c>
      <c r="V8" s="271">
        <f t="shared" ref="V8:V25" si="4">T8-S8</f>
        <v>-3.5</v>
      </c>
    </row>
    <row r="9" spans="1:22" ht="18.75" customHeight="1">
      <c r="A9" s="5" t="s">
        <v>237</v>
      </c>
      <c r="B9" s="476" t="s">
        <v>746</v>
      </c>
      <c r="C9" s="5">
        <f>'PHỤ LỤC PNN'!C157</f>
        <v>0</v>
      </c>
      <c r="D9" s="70">
        <f t="shared" si="1"/>
        <v>0</v>
      </c>
      <c r="E9" s="5">
        <f>'Quang Nghia'!AQ12</f>
        <v>0</v>
      </c>
      <c r="F9" s="5">
        <f>'Quang Nghia'!AQ21</f>
        <v>0</v>
      </c>
      <c r="G9" s="5">
        <f>'Quang Nghia'!AQ22</f>
        <v>0</v>
      </c>
      <c r="H9" s="5">
        <f>'Quang Nghia'!AQ41</f>
        <v>0</v>
      </c>
      <c r="I9" s="5">
        <f>'Quang Nghia'!AQ42</f>
        <v>0</v>
      </c>
      <c r="J9" s="5">
        <f>'Quang Nghia'!AQ50</f>
        <v>0</v>
      </c>
      <c r="K9" s="5">
        <f>'Quang Nghia'!AQ55</f>
        <v>0</v>
      </c>
      <c r="L9" s="5">
        <f>'Quang Nghia'!AQ59</f>
        <v>0</v>
      </c>
      <c r="M9" s="5">
        <f>'Quang Nghia'!AQ60</f>
        <v>0</v>
      </c>
      <c r="N9" s="5">
        <f>'PHỤ LỤC PNN'!E157</f>
        <v>0</v>
      </c>
      <c r="O9" s="5">
        <f t="shared" si="0"/>
        <v>0</v>
      </c>
      <c r="P9" s="42" t="s">
        <v>237</v>
      </c>
      <c r="Q9" s="476" t="s">
        <v>746</v>
      </c>
      <c r="R9" s="271">
        <v>2</v>
      </c>
      <c r="S9" s="271">
        <v>7.05</v>
      </c>
      <c r="T9" s="271">
        <f t="shared" si="2"/>
        <v>0</v>
      </c>
      <c r="U9" s="271">
        <f t="shared" si="3"/>
        <v>-2</v>
      </c>
      <c r="V9" s="271">
        <f t="shared" si="4"/>
        <v>-7.05</v>
      </c>
    </row>
    <row r="10" spans="1:22" ht="18.75" customHeight="1">
      <c r="A10" s="5" t="s">
        <v>238</v>
      </c>
      <c r="B10" s="476" t="s">
        <v>747</v>
      </c>
      <c r="C10" s="5">
        <f>'PHỤ LỤC PNN'!C158</f>
        <v>0</v>
      </c>
      <c r="D10" s="70">
        <f t="shared" si="1"/>
        <v>0</v>
      </c>
      <c r="E10" s="5">
        <f>'Hai Dong'!AQ12</f>
        <v>0</v>
      </c>
      <c r="F10" s="5">
        <f>'Hai Dong'!AQ21</f>
        <v>0</v>
      </c>
      <c r="G10" s="5">
        <f>'Hai Dong'!AQ22</f>
        <v>0</v>
      </c>
      <c r="H10" s="5">
        <f>'Hai Dong'!AQ41</f>
        <v>0</v>
      </c>
      <c r="I10" s="5">
        <f>'Hai Dong'!AQ42</f>
        <v>0</v>
      </c>
      <c r="J10" s="5">
        <f>'Hai Dong'!AQ50</f>
        <v>0</v>
      </c>
      <c r="K10" s="5">
        <f>'Hai Dong'!AQ55</f>
        <v>0</v>
      </c>
      <c r="L10" s="5">
        <f>'Hai Dong'!AQ59</f>
        <v>0</v>
      </c>
      <c r="M10" s="5">
        <f>'Hai Dong'!AQ60</f>
        <v>0</v>
      </c>
      <c r="N10" s="5">
        <f>'PHỤ LỤC PNN'!E158</f>
        <v>0</v>
      </c>
      <c r="O10" s="5">
        <f t="shared" si="0"/>
        <v>0</v>
      </c>
      <c r="P10" s="42" t="s">
        <v>238</v>
      </c>
      <c r="Q10" s="476" t="s">
        <v>747</v>
      </c>
      <c r="R10" s="271"/>
      <c r="S10" s="271">
        <v>1</v>
      </c>
      <c r="T10" s="271">
        <f t="shared" si="2"/>
        <v>0</v>
      </c>
      <c r="U10" s="271">
        <f t="shared" si="3"/>
        <v>0</v>
      </c>
      <c r="V10" s="271">
        <f t="shared" si="4"/>
        <v>-1</v>
      </c>
    </row>
    <row r="11" spans="1:22" ht="18.75" customHeight="1">
      <c r="A11" s="5" t="s">
        <v>239</v>
      </c>
      <c r="B11" s="476" t="s">
        <v>748</v>
      </c>
      <c r="C11" s="5">
        <f>'PHỤ LỤC PNN'!C159</f>
        <v>0</v>
      </c>
      <c r="D11" s="70">
        <f t="shared" si="1"/>
        <v>0</v>
      </c>
      <c r="E11" s="5">
        <f>'Hai Tien'!AQ12</f>
        <v>0</v>
      </c>
      <c r="F11" s="5">
        <f>'Hai Tien'!AQ21</f>
        <v>0</v>
      </c>
      <c r="G11" s="5">
        <f>'Hai Tien'!AQ22</f>
        <v>0</v>
      </c>
      <c r="H11" s="5">
        <f>'Hai Tien'!AQ41</f>
        <v>0</v>
      </c>
      <c r="I11" s="5">
        <f>'Hai Tien'!AQ42</f>
        <v>0</v>
      </c>
      <c r="J11" s="5">
        <f>'Hai Tien'!AQ50</f>
        <v>0</v>
      </c>
      <c r="K11" s="5">
        <f>'Hai Tien'!AQ55</f>
        <v>0</v>
      </c>
      <c r="L11" s="5">
        <f>'Hai Tien'!AQ59</f>
        <v>0</v>
      </c>
      <c r="M11" s="5">
        <f>'Hai Tien'!AQ60</f>
        <v>0</v>
      </c>
      <c r="N11" s="5">
        <f>'PHỤ LỤC PNN'!E159</f>
        <v>0</v>
      </c>
      <c r="O11" s="5">
        <f t="shared" si="0"/>
        <v>0</v>
      </c>
      <c r="P11" s="42" t="s">
        <v>239</v>
      </c>
      <c r="Q11" s="476" t="s">
        <v>748</v>
      </c>
      <c r="R11" s="271"/>
      <c r="S11" s="271"/>
      <c r="T11" s="271">
        <f t="shared" si="2"/>
        <v>0</v>
      </c>
      <c r="U11" s="271">
        <f t="shared" si="3"/>
        <v>0</v>
      </c>
      <c r="V11" s="271">
        <f t="shared" si="4"/>
        <v>0</v>
      </c>
    </row>
    <row r="12" spans="1:22" ht="18.75" customHeight="1">
      <c r="A12" s="5" t="s">
        <v>240</v>
      </c>
      <c r="B12" s="476" t="s">
        <v>749</v>
      </c>
      <c r="C12" s="5">
        <f>'PHỤ LỤC PNN'!C160</f>
        <v>0</v>
      </c>
      <c r="D12" s="70">
        <f t="shared" si="1"/>
        <v>0</v>
      </c>
      <c r="E12" s="5">
        <f>'Hai Xuan'!AQ12</f>
        <v>0</v>
      </c>
      <c r="F12" s="5">
        <f>'Hai Xuan'!AQ21</f>
        <v>0</v>
      </c>
      <c r="G12" s="5">
        <f>'Hai Xuan'!AQ22</f>
        <v>0</v>
      </c>
      <c r="H12" s="5">
        <f>'Hai Xuan'!AQ41</f>
        <v>0</v>
      </c>
      <c r="I12" s="5">
        <f>'Hai Xuan'!AQ42</f>
        <v>0</v>
      </c>
      <c r="J12" s="5">
        <f>'Hai Xuan'!AQ50</f>
        <v>0</v>
      </c>
      <c r="K12" s="5">
        <f>'Hai Xuan'!AQ55</f>
        <v>0</v>
      </c>
      <c r="L12" s="5">
        <f>'Hai Xuan'!AQ59</f>
        <v>0</v>
      </c>
      <c r="M12" s="5">
        <f>'Hai Xuan'!AQ60</f>
        <v>0</v>
      </c>
      <c r="N12" s="5">
        <f>'PHỤ LỤC PNN'!E160</f>
        <v>0</v>
      </c>
      <c r="O12" s="5">
        <f t="shared" si="0"/>
        <v>0</v>
      </c>
      <c r="P12" s="42" t="s">
        <v>240</v>
      </c>
      <c r="Q12" s="476" t="s">
        <v>749</v>
      </c>
      <c r="R12" s="271"/>
      <c r="S12" s="271"/>
      <c r="T12" s="271">
        <f t="shared" si="2"/>
        <v>0</v>
      </c>
      <c r="U12" s="271">
        <f t="shared" si="3"/>
        <v>0</v>
      </c>
      <c r="V12" s="271">
        <f t="shared" si="4"/>
        <v>0</v>
      </c>
    </row>
    <row r="13" spans="1:22" ht="18.75" customHeight="1">
      <c r="A13" s="5" t="s">
        <v>241</v>
      </c>
      <c r="B13" s="476" t="s">
        <v>750</v>
      </c>
      <c r="C13" s="5">
        <f>'PHỤ LỤC PNN'!C161</f>
        <v>7.0000000000000007E-2</v>
      </c>
      <c r="D13" s="70">
        <f t="shared" si="1"/>
        <v>0</v>
      </c>
      <c r="E13" s="5">
        <f>'Van Ninh'!AQ12</f>
        <v>0</v>
      </c>
      <c r="F13" s="5">
        <f>'Van Ninh'!AQ21</f>
        <v>0</v>
      </c>
      <c r="G13" s="5">
        <f>'Van Ninh'!AQ22</f>
        <v>0</v>
      </c>
      <c r="H13" s="5">
        <f>'Van Ninh'!AQ41</f>
        <v>0</v>
      </c>
      <c r="I13" s="5">
        <f>'Van Ninh'!AQ42</f>
        <v>0</v>
      </c>
      <c r="J13" s="5">
        <f>'Van Ninh'!AQ50</f>
        <v>0</v>
      </c>
      <c r="K13" s="5">
        <f>'Van Ninh'!AQ55</f>
        <v>0</v>
      </c>
      <c r="L13" s="5">
        <f>'Van Ninh'!AQ59</f>
        <v>0</v>
      </c>
      <c r="M13" s="5">
        <f>'Van Ninh'!AQ60</f>
        <v>0</v>
      </c>
      <c r="N13" s="5">
        <f>'PHỤ LỤC PNN'!E161</f>
        <v>0</v>
      </c>
      <c r="O13" s="5">
        <f t="shared" si="0"/>
        <v>7.0000000000000007E-2</v>
      </c>
      <c r="P13" s="42" t="s">
        <v>241</v>
      </c>
      <c r="Q13" s="476" t="s">
        <v>750</v>
      </c>
      <c r="R13" s="271">
        <v>3.14</v>
      </c>
      <c r="S13" s="271">
        <v>21.14</v>
      </c>
      <c r="T13" s="271">
        <f t="shared" si="2"/>
        <v>7.0000000000000007E-2</v>
      </c>
      <c r="U13" s="271">
        <f t="shared" si="3"/>
        <v>-3.0700000000000003</v>
      </c>
      <c r="V13" s="271">
        <f t="shared" si="4"/>
        <v>-21.07</v>
      </c>
    </row>
    <row r="14" spans="1:22" ht="18.75" customHeight="1">
      <c r="A14" s="5" t="s">
        <v>242</v>
      </c>
      <c r="B14" s="476" t="s">
        <v>751</v>
      </c>
      <c r="C14" s="5">
        <f>'PHỤ LỤC PNN'!C162</f>
        <v>0</v>
      </c>
      <c r="D14" s="70">
        <f t="shared" si="1"/>
        <v>0</v>
      </c>
      <c r="E14" s="5">
        <f>'Vinh Trung'!AQ12</f>
        <v>0</v>
      </c>
      <c r="F14" s="5">
        <f>'Vinh Trung'!AQ21</f>
        <v>0</v>
      </c>
      <c r="G14" s="5">
        <f>'Vinh Trung'!AQ22</f>
        <v>0</v>
      </c>
      <c r="H14" s="5">
        <f>'Vinh Trung'!AQ41</f>
        <v>0</v>
      </c>
      <c r="I14" s="5">
        <f>'Vinh Trung'!AQ42</f>
        <v>0</v>
      </c>
      <c r="J14" s="5">
        <f>'Vinh Trung'!AQ50</f>
        <v>0</v>
      </c>
      <c r="K14" s="5">
        <f>'Vinh Trung'!AQ55</f>
        <v>0</v>
      </c>
      <c r="L14" s="5">
        <f>'Vinh Trung'!AQ59</f>
        <v>0</v>
      </c>
      <c r="M14" s="5">
        <f>'Vinh Trung'!AQ60</f>
        <v>0</v>
      </c>
      <c r="N14" s="5">
        <f>'PHỤ LỤC PNN'!E162</f>
        <v>0</v>
      </c>
      <c r="O14" s="5">
        <f t="shared" si="0"/>
        <v>0</v>
      </c>
      <c r="P14" s="42" t="s">
        <v>242</v>
      </c>
      <c r="Q14" s="476" t="s">
        <v>751</v>
      </c>
      <c r="R14" s="271">
        <v>0.3</v>
      </c>
      <c r="S14" s="271">
        <v>21</v>
      </c>
      <c r="T14" s="271">
        <f t="shared" si="2"/>
        <v>0</v>
      </c>
      <c r="U14" s="271">
        <f t="shared" si="3"/>
        <v>-0.3</v>
      </c>
      <c r="V14" s="271">
        <f t="shared" si="4"/>
        <v>-21</v>
      </c>
    </row>
    <row r="15" spans="1:22" ht="18.75" customHeight="1">
      <c r="A15" s="5" t="s">
        <v>243</v>
      </c>
      <c r="B15" s="476" t="s">
        <v>752</v>
      </c>
      <c r="C15" s="5">
        <f>'PHỤ LỤC PNN'!C163</f>
        <v>0</v>
      </c>
      <c r="D15" s="70">
        <f t="shared" si="1"/>
        <v>0</v>
      </c>
      <c r="E15" s="5">
        <f>'Vinh Thuc'!AQ12</f>
        <v>0</v>
      </c>
      <c r="F15" s="5">
        <f>'Vinh Thuc'!AQ21</f>
        <v>0</v>
      </c>
      <c r="G15" s="5">
        <f>'Vinh Thuc'!AQ22</f>
        <v>0</v>
      </c>
      <c r="H15" s="5">
        <f>'Vinh Thuc'!AQ41</f>
        <v>0</v>
      </c>
      <c r="I15" s="5">
        <f>'Vinh Thuc'!AQ42</f>
        <v>0</v>
      </c>
      <c r="J15" s="5">
        <f>'Vinh Thuc'!AQ50</f>
        <v>0</v>
      </c>
      <c r="K15" s="5">
        <f>'Vinh Thuc'!AQ55</f>
        <v>0</v>
      </c>
      <c r="L15" s="5">
        <f>'Vinh Thuc'!AQ59</f>
        <v>0</v>
      </c>
      <c r="M15" s="5">
        <f>'Vinh Thuc'!AQ60</f>
        <v>0</v>
      </c>
      <c r="N15" s="5">
        <f>'PHỤ LỤC PNN'!E163</f>
        <v>0</v>
      </c>
      <c r="O15" s="5">
        <f t="shared" si="0"/>
        <v>0</v>
      </c>
      <c r="P15" s="42" t="s">
        <v>243</v>
      </c>
      <c r="Q15" s="476" t="s">
        <v>752</v>
      </c>
      <c r="R15" s="271">
        <v>0.74</v>
      </c>
      <c r="S15" s="271">
        <v>1.35</v>
      </c>
      <c r="T15" s="271">
        <f t="shared" si="2"/>
        <v>0</v>
      </c>
      <c r="U15" s="271">
        <f t="shared" si="3"/>
        <v>-0.74</v>
      </c>
      <c r="V15" s="271">
        <f t="shared" si="4"/>
        <v>-1.35</v>
      </c>
    </row>
    <row r="16" spans="1:22" ht="18.75" customHeight="1">
      <c r="A16" s="5" t="s">
        <v>244</v>
      </c>
      <c r="B16" s="476" t="s">
        <v>753</v>
      </c>
      <c r="C16" s="5">
        <f>'PHỤ LỤC PNN'!C164</f>
        <v>0</v>
      </c>
      <c r="D16" s="70">
        <f t="shared" si="1"/>
        <v>0</v>
      </c>
      <c r="E16" s="5">
        <f>'Hai Yen'!AQ12</f>
        <v>0</v>
      </c>
      <c r="F16" s="5">
        <f>'Hai Yen'!AQ21</f>
        <v>0</v>
      </c>
      <c r="G16" s="5">
        <f>'Hai Yen'!AQ22</f>
        <v>0</v>
      </c>
      <c r="H16" s="5">
        <f>'Hai Yen'!AQ41</f>
        <v>0</v>
      </c>
      <c r="I16" s="5">
        <f>'Hai Yen'!AQ42</f>
        <v>0</v>
      </c>
      <c r="J16" s="5">
        <f>'Hai Yen'!AQ50</f>
        <v>0</v>
      </c>
      <c r="K16" s="5">
        <f>'Hai Yen'!AQ55</f>
        <v>0</v>
      </c>
      <c r="L16" s="5">
        <f>'Hai Yen'!AQ59</f>
        <v>0</v>
      </c>
      <c r="M16" s="5">
        <f>'Hai Yen'!AQ60</f>
        <v>0</v>
      </c>
      <c r="N16" s="5">
        <f>'PHỤ LỤC PNN'!E164</f>
        <v>0</v>
      </c>
      <c r="O16" s="5">
        <f t="shared" si="0"/>
        <v>0</v>
      </c>
      <c r="P16" s="42" t="s">
        <v>244</v>
      </c>
      <c r="Q16" s="476" t="s">
        <v>753</v>
      </c>
      <c r="R16" s="271">
        <v>1.35</v>
      </c>
      <c r="S16" s="271">
        <v>2.96</v>
      </c>
      <c r="T16" s="271">
        <f t="shared" si="2"/>
        <v>0</v>
      </c>
      <c r="U16" s="271">
        <f t="shared" si="3"/>
        <v>-1.35</v>
      </c>
      <c r="V16" s="271">
        <f t="shared" si="4"/>
        <v>-2.96</v>
      </c>
    </row>
    <row r="17" spans="1:22" ht="18.75" customHeight="1">
      <c r="A17" s="5" t="s">
        <v>245</v>
      </c>
      <c r="B17" s="476" t="s">
        <v>754</v>
      </c>
      <c r="C17" s="5">
        <f>'PHỤ LỤC PNN'!C165</f>
        <v>0</v>
      </c>
      <c r="D17" s="70">
        <f t="shared" si="1"/>
        <v>0</v>
      </c>
      <c r="E17" s="5">
        <f>'Ka Long'!AQ12</f>
        <v>0</v>
      </c>
      <c r="F17" s="5">
        <f>'Ka Long'!AQ21</f>
        <v>0</v>
      </c>
      <c r="G17" s="5">
        <f>'Ka Long'!AQ22</f>
        <v>0</v>
      </c>
      <c r="H17" s="5">
        <f>'Ka Long'!AQ41</f>
        <v>0</v>
      </c>
      <c r="I17" s="5">
        <f>'Ka Long'!AQ42</f>
        <v>0</v>
      </c>
      <c r="J17" s="5">
        <f>'Ka Long'!AQ50</f>
        <v>0</v>
      </c>
      <c r="K17" s="5">
        <f>'Ka Long'!AQ55</f>
        <v>0</v>
      </c>
      <c r="L17" s="5">
        <f>'Ka Long'!AQ59</f>
        <v>0</v>
      </c>
      <c r="M17" s="5">
        <f>'Ka Long'!AQ60</f>
        <v>0</v>
      </c>
      <c r="N17" s="5">
        <f>'PHỤ LỤC PNN'!E165</f>
        <v>0</v>
      </c>
      <c r="O17" s="5">
        <f t="shared" si="0"/>
        <v>0</v>
      </c>
      <c r="P17" s="42" t="s">
        <v>245</v>
      </c>
      <c r="Q17" s="476" t="s">
        <v>754</v>
      </c>
      <c r="R17" s="271">
        <v>0.04</v>
      </c>
      <c r="S17" s="271">
        <v>0.04</v>
      </c>
      <c r="T17" s="271">
        <f t="shared" si="2"/>
        <v>0</v>
      </c>
      <c r="U17" s="271">
        <f t="shared" si="3"/>
        <v>-0.04</v>
      </c>
      <c r="V17" s="271">
        <f t="shared" si="4"/>
        <v>-0.04</v>
      </c>
    </row>
    <row r="18" spans="1:22" ht="18.75" customHeight="1">
      <c r="A18" s="5" t="s">
        <v>246</v>
      </c>
      <c r="B18" s="476" t="s">
        <v>755</v>
      </c>
      <c r="C18" s="5">
        <f>'PHỤ LỤC PNN'!C166</f>
        <v>0</v>
      </c>
      <c r="D18" s="70">
        <f t="shared" si="1"/>
        <v>0</v>
      </c>
      <c r="E18" s="5">
        <f>'Ninh Duong'!AQ12</f>
        <v>0</v>
      </c>
      <c r="F18" s="5">
        <f>'Ninh Duong'!AQ21</f>
        <v>0</v>
      </c>
      <c r="G18" s="5">
        <f>'Ninh Duong'!AQ22</f>
        <v>0</v>
      </c>
      <c r="H18" s="5">
        <f>'Ninh Duong'!AQ41</f>
        <v>0</v>
      </c>
      <c r="I18" s="5">
        <f>'Ninh Duong'!AQ42</f>
        <v>0</v>
      </c>
      <c r="J18" s="5">
        <f>'Ninh Duong'!AQ50</f>
        <v>0</v>
      </c>
      <c r="K18" s="5">
        <f>'Ninh Duong'!AQ55</f>
        <v>0</v>
      </c>
      <c r="L18" s="5">
        <f>'Ninh Duong'!AQ59</f>
        <v>0</v>
      </c>
      <c r="M18" s="5">
        <f>'Ninh Duong'!AQ60</f>
        <v>0</v>
      </c>
      <c r="N18" s="5">
        <f>'PHỤ LỤC PNN'!E166</f>
        <v>0</v>
      </c>
      <c r="O18" s="5">
        <f t="shared" si="0"/>
        <v>0</v>
      </c>
      <c r="P18" s="42" t="s">
        <v>246</v>
      </c>
      <c r="Q18" s="476" t="s">
        <v>755</v>
      </c>
      <c r="R18" s="271"/>
      <c r="S18" s="271"/>
      <c r="T18" s="271">
        <f t="shared" si="2"/>
        <v>0</v>
      </c>
      <c r="U18" s="271">
        <f t="shared" si="3"/>
        <v>0</v>
      </c>
      <c r="V18" s="271">
        <f t="shared" si="4"/>
        <v>0</v>
      </c>
    </row>
    <row r="19" spans="1:22" ht="18.75" customHeight="1">
      <c r="A19" s="5" t="s">
        <v>247</v>
      </c>
      <c r="B19" s="476" t="s">
        <v>756</v>
      </c>
      <c r="C19" s="5">
        <f>'PHỤ LỤC PNN'!C167</f>
        <v>0</v>
      </c>
      <c r="D19" s="70">
        <f t="shared" si="1"/>
        <v>0</v>
      </c>
      <c r="E19" s="5">
        <f>'Hoa Lac'!AQ12</f>
        <v>0</v>
      </c>
      <c r="F19" s="5">
        <f>'Hoa Lac'!AQ21</f>
        <v>0</v>
      </c>
      <c r="G19" s="5">
        <f>'Hoa Lac'!AQ22</f>
        <v>0</v>
      </c>
      <c r="H19" s="5">
        <f>'Hoa Lac'!AQ41</f>
        <v>0</v>
      </c>
      <c r="I19" s="5">
        <f>'Hoa Lac'!AQ42</f>
        <v>0</v>
      </c>
      <c r="J19" s="5">
        <f>'Hoa Lac'!AQ50</f>
        <v>0</v>
      </c>
      <c r="K19" s="5">
        <f>'Hoa Lac'!AQ55</f>
        <v>0</v>
      </c>
      <c r="L19" s="5">
        <f>'Hoa Lac'!AQ59</f>
        <v>0</v>
      </c>
      <c r="M19" s="5">
        <f>'Hoa Lac'!AQ60</f>
        <v>0</v>
      </c>
      <c r="N19" s="5">
        <f>'PHỤ LỤC PNN'!E167</f>
        <v>0</v>
      </c>
      <c r="O19" s="5">
        <f t="shared" si="0"/>
        <v>0</v>
      </c>
      <c r="P19" s="42" t="s">
        <v>247</v>
      </c>
      <c r="Q19" s="476" t="s">
        <v>756</v>
      </c>
      <c r="R19" s="271">
        <v>0.88</v>
      </c>
      <c r="S19" s="271">
        <v>0.88</v>
      </c>
      <c r="T19" s="271">
        <f t="shared" si="2"/>
        <v>0</v>
      </c>
      <c r="U19" s="271">
        <f t="shared" si="3"/>
        <v>-0.88</v>
      </c>
      <c r="V19" s="271">
        <f t="shared" si="4"/>
        <v>-0.88</v>
      </c>
    </row>
    <row r="20" spans="1:22" ht="18.75" customHeight="1">
      <c r="A20" s="5" t="s">
        <v>248</v>
      </c>
      <c r="B20" s="476" t="s">
        <v>757</v>
      </c>
      <c r="C20" s="5">
        <f>'PHỤ LỤC PNN'!C168</f>
        <v>0</v>
      </c>
      <c r="D20" s="70">
        <f t="shared" si="1"/>
        <v>0</v>
      </c>
      <c r="E20" s="5">
        <f>'Tran Phu'!AQ12</f>
        <v>0</v>
      </c>
      <c r="F20" s="5">
        <f>'Tran Phu'!AQ21</f>
        <v>0</v>
      </c>
      <c r="G20" s="5">
        <f>'Tran Phu'!AQ22</f>
        <v>0</v>
      </c>
      <c r="H20" s="5">
        <f>'Tran Phu'!AQ41</f>
        <v>0</v>
      </c>
      <c r="I20" s="5">
        <f>'Tran Phu'!AQ42</f>
        <v>0</v>
      </c>
      <c r="J20" s="5">
        <f>'Tran Phu'!AQ50</f>
        <v>0</v>
      </c>
      <c r="K20" s="5">
        <f>'Tran Phu'!AQ55</f>
        <v>0</v>
      </c>
      <c r="L20" s="5">
        <f>'Tran Phu'!AQ59</f>
        <v>0</v>
      </c>
      <c r="M20" s="5">
        <f>'Tran Phu'!AQ60</f>
        <v>0</v>
      </c>
      <c r="N20" s="5">
        <f>'PHỤ LỤC PNN'!E168</f>
        <v>0</v>
      </c>
      <c r="O20" s="5">
        <f t="shared" si="0"/>
        <v>0</v>
      </c>
      <c r="P20" s="42" t="s">
        <v>248</v>
      </c>
      <c r="Q20" s="476" t="s">
        <v>757</v>
      </c>
      <c r="R20" s="271">
        <v>4.5</v>
      </c>
      <c r="S20" s="271">
        <v>4.5</v>
      </c>
      <c r="T20" s="271">
        <f t="shared" si="2"/>
        <v>0</v>
      </c>
      <c r="U20" s="271">
        <f t="shared" si="3"/>
        <v>-4.5</v>
      </c>
      <c r="V20" s="271">
        <f t="shared" si="4"/>
        <v>-4.5</v>
      </c>
    </row>
    <row r="21" spans="1:22" ht="18.75" customHeight="1">
      <c r="A21" s="5" t="s">
        <v>249</v>
      </c>
      <c r="B21" s="476" t="s">
        <v>758</v>
      </c>
      <c r="C21" s="5">
        <f>'PHỤ LỤC PNN'!C169</f>
        <v>0</v>
      </c>
      <c r="D21" s="70">
        <f t="shared" si="1"/>
        <v>0</v>
      </c>
      <c r="E21" s="5">
        <f>'Hai Hoa'!AQ12</f>
        <v>0</v>
      </c>
      <c r="F21" s="5">
        <f>'Hai Hoa'!AQ21</f>
        <v>0</v>
      </c>
      <c r="G21" s="5">
        <f>'Hai Hoa'!AQ22</f>
        <v>0</v>
      </c>
      <c r="H21" s="5">
        <f>'Hai Hoa'!AQ41</f>
        <v>0</v>
      </c>
      <c r="I21" s="5">
        <f>'Hai Hoa'!AQ42</f>
        <v>0</v>
      </c>
      <c r="J21" s="5">
        <f>'Hai Hoa'!AQ50</f>
        <v>0</v>
      </c>
      <c r="K21" s="5">
        <f>'Hai Hoa'!AQ55</f>
        <v>0</v>
      </c>
      <c r="L21" s="5">
        <f>'Hai Hoa'!AQ59</f>
        <v>0</v>
      </c>
      <c r="M21" s="5">
        <f>'Hai Hoa'!AQ60</f>
        <v>0</v>
      </c>
      <c r="N21" s="5">
        <f>'PHỤ LỤC PNN'!E169</f>
        <v>0</v>
      </c>
      <c r="O21" s="5">
        <f t="shared" si="0"/>
        <v>0</v>
      </c>
      <c r="P21" s="42" t="s">
        <v>249</v>
      </c>
      <c r="Q21" s="476" t="s">
        <v>758</v>
      </c>
      <c r="R21" s="271"/>
      <c r="S21" s="271"/>
      <c r="T21" s="271">
        <f t="shared" si="2"/>
        <v>0</v>
      </c>
      <c r="U21" s="271">
        <f t="shared" si="3"/>
        <v>0</v>
      </c>
      <c r="V21" s="271">
        <f t="shared" si="4"/>
        <v>0</v>
      </c>
    </row>
    <row r="22" spans="1:22" ht="18.75" customHeight="1">
      <c r="A22" s="5" t="s">
        <v>250</v>
      </c>
      <c r="B22" s="476" t="s">
        <v>759</v>
      </c>
      <c r="C22" s="5">
        <f>'PHỤ LỤC PNN'!C170</f>
        <v>0.17</v>
      </c>
      <c r="D22" s="70">
        <f t="shared" si="1"/>
        <v>0</v>
      </c>
      <c r="E22" s="5">
        <f>'Tra Co'!AQ12</f>
        <v>0</v>
      </c>
      <c r="F22" s="5">
        <f>'Tra Co'!AQ21</f>
        <v>0</v>
      </c>
      <c r="G22" s="5">
        <f>'Tra Co'!AQ22</f>
        <v>0</v>
      </c>
      <c r="H22" s="5">
        <f>'Tra Co'!AQ41</f>
        <v>0</v>
      </c>
      <c r="I22" s="5">
        <f>'Tra Co'!AQ42</f>
        <v>0</v>
      </c>
      <c r="J22" s="5">
        <f>'Tra Co'!AQ50</f>
        <v>0</v>
      </c>
      <c r="K22" s="5">
        <f>'Tra Co'!AQ55</f>
        <v>0</v>
      </c>
      <c r="L22" s="5">
        <f>'Tra Co'!AQ59</f>
        <v>0</v>
      </c>
      <c r="M22" s="5">
        <f>'Tra Co'!AQ60</f>
        <v>0</v>
      </c>
      <c r="N22" s="5">
        <f>'PHỤ LỤC PNN'!E170</f>
        <v>0</v>
      </c>
      <c r="O22" s="5">
        <f t="shared" si="0"/>
        <v>0.17</v>
      </c>
      <c r="P22" s="42" t="s">
        <v>250</v>
      </c>
      <c r="Q22" s="476" t="s">
        <v>759</v>
      </c>
      <c r="R22" s="271">
        <v>1.4</v>
      </c>
      <c r="S22" s="271">
        <v>2.2200000000000002</v>
      </c>
      <c r="T22" s="271">
        <f t="shared" si="2"/>
        <v>0.17</v>
      </c>
      <c r="U22" s="271">
        <f t="shared" si="3"/>
        <v>-1.23</v>
      </c>
      <c r="V22" s="271">
        <f t="shared" si="4"/>
        <v>-2.0500000000000003</v>
      </c>
    </row>
    <row r="23" spans="1:22" ht="18.75" customHeight="1">
      <c r="A23" s="5" t="s">
        <v>251</v>
      </c>
      <c r="B23" s="476" t="s">
        <v>760</v>
      </c>
      <c r="C23" s="5">
        <f>'PHỤ LỤC PNN'!C171</f>
        <v>0</v>
      </c>
      <c r="D23" s="70">
        <f t="shared" si="1"/>
        <v>0</v>
      </c>
      <c r="E23" s="5">
        <f>'Binh Ngoc'!AQ12</f>
        <v>0</v>
      </c>
      <c r="F23" s="5">
        <f>'Binh Ngoc'!AQ21</f>
        <v>0</v>
      </c>
      <c r="G23" s="5">
        <f>'Binh Ngoc'!AQ22</f>
        <v>0</v>
      </c>
      <c r="H23" s="5">
        <f>'Binh Ngoc'!AQ41</f>
        <v>0</v>
      </c>
      <c r="I23" s="5">
        <f>'Binh Ngoc'!AQ42</f>
        <v>0</v>
      </c>
      <c r="J23" s="5">
        <f>'Binh Ngoc'!AQ50</f>
        <v>0</v>
      </c>
      <c r="K23" s="5">
        <f>'Binh Ngoc'!AQ55</f>
        <v>0</v>
      </c>
      <c r="L23" s="5">
        <f>'Binh Ngoc'!AQ59</f>
        <v>0</v>
      </c>
      <c r="M23" s="5">
        <f>'Binh Ngoc'!AQ60</f>
        <v>0</v>
      </c>
      <c r="N23" s="5">
        <f>'PHỤ LỤC PNN'!E171</f>
        <v>0</v>
      </c>
      <c r="O23" s="5">
        <f t="shared" si="0"/>
        <v>0</v>
      </c>
      <c r="P23" s="42" t="s">
        <v>251</v>
      </c>
      <c r="Q23" s="476" t="s">
        <v>760</v>
      </c>
      <c r="R23" s="271">
        <v>0.71</v>
      </c>
      <c r="S23" s="271">
        <v>2.0499999999999998</v>
      </c>
      <c r="T23" s="271">
        <f t="shared" si="2"/>
        <v>0</v>
      </c>
      <c r="U23" s="271">
        <f t="shared" si="3"/>
        <v>-0.71</v>
      </c>
      <c r="V23" s="271">
        <f t="shared" si="4"/>
        <v>-2.0499999999999998</v>
      </c>
    </row>
    <row r="24" spans="1:22" ht="18.75" customHeight="1">
      <c r="A24" s="5" t="s">
        <v>252</v>
      </c>
      <c r="B24" s="81" t="s">
        <v>393</v>
      </c>
      <c r="C24" s="5">
        <f>'PHỤ LỤC PNN'!C172</f>
        <v>0</v>
      </c>
      <c r="D24" s="70">
        <f t="shared" si="1"/>
        <v>0</v>
      </c>
      <c r="E24" s="5">
        <f>'Lien vị'!AQ12</f>
        <v>0</v>
      </c>
      <c r="F24" s="5">
        <f>'Lien vị'!AQ21</f>
        <v>0</v>
      </c>
      <c r="G24" s="5">
        <f>'Lien vị'!AQ22</f>
        <v>0</v>
      </c>
      <c r="H24" s="5">
        <f>'Lien vị'!AQ41</f>
        <v>0</v>
      </c>
      <c r="I24" s="5">
        <f>'Lien vị'!AQ42</f>
        <v>0</v>
      </c>
      <c r="J24" s="5">
        <f>'Lien vị'!AQ50</f>
        <v>0</v>
      </c>
      <c r="K24" s="5">
        <f>'Lien vị'!AQ55</f>
        <v>0</v>
      </c>
      <c r="L24" s="5">
        <f>'Lien vị'!AQ59</f>
        <v>0</v>
      </c>
      <c r="M24" s="5">
        <f>'Lien vị'!AQ60</f>
        <v>0</v>
      </c>
      <c r="N24" s="5">
        <f>'PHỤ LỤC PNN'!E172</f>
        <v>0</v>
      </c>
      <c r="O24" s="5">
        <f t="shared" si="0"/>
        <v>0</v>
      </c>
      <c r="P24" s="42" t="s">
        <v>252</v>
      </c>
      <c r="Q24" s="44" t="s">
        <v>393</v>
      </c>
      <c r="R24" s="271">
        <v>1.26</v>
      </c>
      <c r="S24" s="271">
        <v>1.26</v>
      </c>
      <c r="T24" s="271">
        <f t="shared" si="2"/>
        <v>0</v>
      </c>
      <c r="U24" s="271">
        <f t="shared" si="3"/>
        <v>-1.26</v>
      </c>
      <c r="V24" s="271">
        <f t="shared" si="4"/>
        <v>-1.26</v>
      </c>
    </row>
    <row r="25" spans="1:22" ht="18.75" customHeight="1">
      <c r="A25" s="9" t="s">
        <v>253</v>
      </c>
      <c r="B25" s="82" t="s">
        <v>394</v>
      </c>
      <c r="C25" s="9">
        <f>'PHỤ LỤC PNN'!C173</f>
        <v>0</v>
      </c>
      <c r="D25" s="70">
        <f t="shared" si="1"/>
        <v>0</v>
      </c>
      <c r="E25" s="9">
        <f>'Tien Phong'!AQ12</f>
        <v>0</v>
      </c>
      <c r="F25" s="9">
        <f>'Tien Phong'!AQ21</f>
        <v>0</v>
      </c>
      <c r="G25" s="9">
        <f>'Tien Phong'!AQ22</f>
        <v>0</v>
      </c>
      <c r="H25" s="9">
        <f>'Tien Phong'!AQ41</f>
        <v>0</v>
      </c>
      <c r="I25" s="9">
        <f>'Tien Phong'!AQ42</f>
        <v>0</v>
      </c>
      <c r="J25" s="9">
        <f>'Tien Phong'!AQ50</f>
        <v>0</v>
      </c>
      <c r="K25" s="9">
        <f>'Tien Phong'!AQ55</f>
        <v>0</v>
      </c>
      <c r="L25" s="9">
        <f>'Tien Phong'!AQ59</f>
        <v>0</v>
      </c>
      <c r="M25" s="9">
        <f>'Tien Phong'!AQ60</f>
        <v>0</v>
      </c>
      <c r="N25" s="9">
        <f>'PHỤ LỤC PNN'!E173</f>
        <v>0</v>
      </c>
      <c r="O25" s="9">
        <f t="shared" si="0"/>
        <v>0</v>
      </c>
      <c r="P25" s="45" t="s">
        <v>253</v>
      </c>
      <c r="Q25" s="46" t="s">
        <v>394</v>
      </c>
      <c r="R25" s="272"/>
      <c r="S25" s="272"/>
      <c r="T25" s="273">
        <f t="shared" si="2"/>
        <v>0</v>
      </c>
      <c r="U25" s="273">
        <f t="shared" si="3"/>
        <v>0</v>
      </c>
      <c r="V25" s="273">
        <f t="shared" si="4"/>
        <v>0</v>
      </c>
    </row>
    <row r="26" spans="1:22" ht="24.75" customHeight="1">
      <c r="A26" s="66"/>
      <c r="B26" s="331" t="s">
        <v>370</v>
      </c>
      <c r="C26" s="331">
        <f t="shared" ref="C26:O26" si="5">SUM(C7:C25)</f>
        <v>0.24000000000000002</v>
      </c>
      <c r="D26" s="331">
        <f t="shared" si="5"/>
        <v>0</v>
      </c>
      <c r="E26" s="331">
        <f t="shared" si="5"/>
        <v>0</v>
      </c>
      <c r="F26" s="331">
        <f t="shared" si="5"/>
        <v>0</v>
      </c>
      <c r="G26" s="331">
        <f t="shared" si="5"/>
        <v>0</v>
      </c>
      <c r="H26" s="331">
        <f t="shared" si="5"/>
        <v>0</v>
      </c>
      <c r="I26" s="331">
        <f t="shared" si="5"/>
        <v>0</v>
      </c>
      <c r="J26" s="331">
        <f t="shared" si="5"/>
        <v>0</v>
      </c>
      <c r="K26" s="331">
        <f t="shared" si="5"/>
        <v>0</v>
      </c>
      <c r="L26" s="331">
        <f t="shared" si="5"/>
        <v>0</v>
      </c>
      <c r="M26" s="331">
        <f t="shared" si="5"/>
        <v>0</v>
      </c>
      <c r="N26" s="331">
        <f t="shared" si="5"/>
        <v>0</v>
      </c>
      <c r="O26" s="331">
        <f t="shared" si="5"/>
        <v>0.24000000000000002</v>
      </c>
      <c r="P26" s="51"/>
      <c r="Q26" s="51" t="s">
        <v>370</v>
      </c>
      <c r="R26" s="268">
        <f>SUM(R7:R25)</f>
        <v>16.320000000000004</v>
      </c>
      <c r="S26" s="268">
        <f t="shared" ref="S26:V26" si="6">SUM(S7:S25)</f>
        <v>69.000000000000014</v>
      </c>
      <c r="T26" s="268">
        <f t="shared" si="6"/>
        <v>0.24000000000000002</v>
      </c>
      <c r="U26" s="268">
        <f t="shared" si="6"/>
        <v>-16.080000000000002</v>
      </c>
      <c r="V26" s="268">
        <f t="shared" si="6"/>
        <v>-68.760000000000005</v>
      </c>
    </row>
    <row r="27" spans="1:22" ht="15.75" hidden="1">
      <c r="C27">
        <f>'TONG TP'!D46</f>
        <v>0.24000000000000002</v>
      </c>
      <c r="O27" s="69">
        <f>'TONG TP'!BN46</f>
        <v>0.24000000000000002</v>
      </c>
    </row>
    <row r="31" spans="1:22">
      <c r="O31">
        <f>'TONG TP'!BN46</f>
        <v>0.24000000000000002</v>
      </c>
    </row>
    <row r="32" spans="1:22">
      <c r="O32">
        <f>O26-O31</f>
        <v>0</v>
      </c>
    </row>
  </sheetData>
  <mergeCells count="16">
    <mergeCell ref="A2:O2"/>
    <mergeCell ref="A3:O3"/>
    <mergeCell ref="A5:A6"/>
    <mergeCell ref="B5:B6"/>
    <mergeCell ref="C5:C6"/>
    <mergeCell ref="D5:D6"/>
    <mergeCell ref="N5:N6"/>
    <mergeCell ref="O5:O6"/>
    <mergeCell ref="N4:O4"/>
    <mergeCell ref="E5:M5"/>
    <mergeCell ref="U5:V5"/>
    <mergeCell ref="P5:P6"/>
    <mergeCell ref="Q5:Q6"/>
    <mergeCell ref="R5:R6"/>
    <mergeCell ref="S5:S6"/>
    <mergeCell ref="T5:T6"/>
  </mergeCells>
  <phoneticPr fontId="4" type="noConversion"/>
  <pageMargins left="0.6" right="0.5" top="0.3" bottom="1" header="0.5" footer="0.5"/>
  <pageSetup paperSize="9" orientation="landscape"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2" filterMode="1"/>
  <dimension ref="A1:P28"/>
  <sheetViews>
    <sheetView showZeros="0" topLeftCell="A2" workbookViewId="0">
      <selection activeCell="D24" sqref="D24"/>
    </sheetView>
  </sheetViews>
  <sheetFormatPr defaultRowHeight="12.75"/>
  <cols>
    <col min="1" max="1" width="6.5703125" customWidth="1"/>
    <col min="2" max="2" width="21.85546875" customWidth="1"/>
    <col min="3" max="3" width="12.5703125" customWidth="1"/>
    <col min="4" max="4" width="11.28515625" customWidth="1"/>
    <col min="5" max="6" width="5.42578125" style="263" hidden="1" customWidth="1"/>
    <col min="7" max="7" width="5.42578125" hidden="1" customWidth="1"/>
    <col min="8" max="8" width="10.5703125" customWidth="1"/>
    <col min="9" max="9" width="13.42578125" customWidth="1"/>
    <col min="10" max="10" width="7.140625" customWidth="1"/>
    <col min="11" max="11" width="21.7109375" customWidth="1"/>
    <col min="13" max="13" width="10.140625" customWidth="1"/>
    <col min="14" max="14" width="9.85546875" customWidth="1"/>
  </cols>
  <sheetData>
    <row r="1" spans="1:16" ht="17.25" customHeight="1">
      <c r="A1" s="342" t="s">
        <v>634</v>
      </c>
    </row>
    <row r="2" spans="1:16" ht="40.5" customHeight="1">
      <c r="A2" s="1420" t="s">
        <v>769</v>
      </c>
      <c r="B2" s="1420"/>
      <c r="C2" s="1420"/>
      <c r="D2" s="1420"/>
      <c r="E2" s="1420"/>
      <c r="F2" s="1420"/>
      <c r="G2" s="1420"/>
      <c r="H2" s="1420"/>
      <c r="I2" s="1420"/>
    </row>
    <row r="3" spans="1:16" ht="18" customHeight="1">
      <c r="H3" s="1278" t="s">
        <v>138</v>
      </c>
      <c r="I3" s="1278"/>
    </row>
    <row r="4" spans="1:16" ht="18.75" customHeight="1">
      <c r="A4" s="1280" t="s">
        <v>368</v>
      </c>
      <c r="B4" s="1280" t="s">
        <v>980</v>
      </c>
      <c r="C4" s="1280" t="s">
        <v>456</v>
      </c>
      <c r="D4" s="1280" t="s">
        <v>457</v>
      </c>
      <c r="E4" s="1280"/>
      <c r="F4" s="1280"/>
      <c r="G4" s="1280"/>
      <c r="H4" s="1280" t="s">
        <v>459</v>
      </c>
      <c r="I4" s="1280" t="s">
        <v>460</v>
      </c>
      <c r="J4" s="1406" t="s">
        <v>0</v>
      </c>
      <c r="K4" s="1301" t="s">
        <v>369</v>
      </c>
      <c r="L4" s="1301" t="s">
        <v>494</v>
      </c>
      <c r="M4" s="1391" t="s">
        <v>495</v>
      </c>
      <c r="N4" s="1391" t="s">
        <v>496</v>
      </c>
      <c r="O4" s="1301" t="s">
        <v>497</v>
      </c>
      <c r="P4" s="1301"/>
    </row>
    <row r="5" spans="1:16" ht="18.75" customHeight="1">
      <c r="A5" s="1280"/>
      <c r="B5" s="1280"/>
      <c r="C5" s="1280"/>
      <c r="D5" s="1280"/>
      <c r="E5" s="264"/>
      <c r="F5" s="264"/>
      <c r="G5" s="38"/>
      <c r="H5" s="1280"/>
      <c r="I5" s="1280"/>
      <c r="J5" s="1406"/>
      <c r="K5" s="1301"/>
      <c r="L5" s="1301"/>
      <c r="M5" s="1391"/>
      <c r="N5" s="1391"/>
      <c r="O5" s="50" t="s">
        <v>498</v>
      </c>
      <c r="P5" s="50" t="s">
        <v>344</v>
      </c>
    </row>
    <row r="6" spans="1:16" ht="18.75" hidden="1" customHeight="1">
      <c r="A6" s="333" t="s">
        <v>235</v>
      </c>
      <c r="B6" s="475" t="s">
        <v>744</v>
      </c>
      <c r="C6" s="333">
        <f>'PHỤ LỤC PNN'!C180</f>
        <v>0</v>
      </c>
      <c r="D6" s="281">
        <f>'Bac Son'!AS67</f>
        <v>0</v>
      </c>
      <c r="E6" s="333"/>
      <c r="F6" s="333"/>
      <c r="G6" s="333"/>
      <c r="H6" s="333">
        <f>'PHỤ LỤC PNN'!E180</f>
        <v>0</v>
      </c>
      <c r="I6" s="333">
        <f t="shared" ref="I6:I22" si="0">C6+D6-H6</f>
        <v>0</v>
      </c>
      <c r="J6" s="41" t="s">
        <v>235</v>
      </c>
      <c r="K6" s="475" t="s">
        <v>744</v>
      </c>
      <c r="L6" s="259">
        <v>0.05</v>
      </c>
      <c r="M6" s="259">
        <v>0.05</v>
      </c>
      <c r="N6" s="259">
        <f>I6</f>
        <v>0</v>
      </c>
      <c r="O6" s="259">
        <f>N6-L6</f>
        <v>-0.05</v>
      </c>
      <c r="P6" s="259">
        <f>N6-M6</f>
        <v>-0.05</v>
      </c>
    </row>
    <row r="7" spans="1:16" ht="18.75" hidden="1" customHeight="1">
      <c r="A7" s="5" t="s">
        <v>236</v>
      </c>
      <c r="B7" s="476" t="s">
        <v>745</v>
      </c>
      <c r="C7" s="5">
        <f>'PHỤ LỤC PNN'!C181</f>
        <v>0</v>
      </c>
      <c r="D7" s="100">
        <f>'Hai Son'!AS67</f>
        <v>0</v>
      </c>
      <c r="E7" s="5"/>
      <c r="F7" s="5"/>
      <c r="G7" s="5"/>
      <c r="H7" s="5">
        <f>'PHỤ LỤC PNN'!E181</f>
        <v>0</v>
      </c>
      <c r="I7" s="5">
        <f t="shared" si="0"/>
        <v>0</v>
      </c>
      <c r="J7" s="42" t="s">
        <v>236</v>
      </c>
      <c r="K7" s="476" t="s">
        <v>745</v>
      </c>
      <c r="L7" s="260"/>
      <c r="M7" s="260"/>
      <c r="N7" s="260">
        <f t="shared" ref="N7:N22" si="1">I7</f>
        <v>0</v>
      </c>
      <c r="O7" s="260">
        <f t="shared" ref="O7:O22" si="2">N7-L7</f>
        <v>0</v>
      </c>
      <c r="P7" s="260">
        <f t="shared" ref="P7:P22" si="3">N7-M7</f>
        <v>0</v>
      </c>
    </row>
    <row r="8" spans="1:16" ht="18.75" customHeight="1">
      <c r="A8" s="5" t="s">
        <v>237</v>
      </c>
      <c r="B8" s="476" t="s">
        <v>746</v>
      </c>
      <c r="C8" s="5">
        <f>'PHỤ LỤC PNN'!C182</f>
        <v>35.369999999999997</v>
      </c>
      <c r="D8" s="100">
        <f>'Quang Nghia'!AS67</f>
        <v>0.78</v>
      </c>
      <c r="E8" s="5"/>
      <c r="F8" s="5"/>
      <c r="G8" s="5"/>
      <c r="H8" s="5">
        <f>'PHỤ LỤC PNN'!E182</f>
        <v>0</v>
      </c>
      <c r="I8" s="5">
        <f t="shared" si="0"/>
        <v>36.15</v>
      </c>
      <c r="J8" s="42" t="s">
        <v>237</v>
      </c>
      <c r="K8" s="476" t="s">
        <v>746</v>
      </c>
      <c r="L8" s="266"/>
      <c r="M8" s="260"/>
      <c r="N8" s="260">
        <f t="shared" si="1"/>
        <v>36.15</v>
      </c>
      <c r="O8" s="260">
        <f t="shared" si="2"/>
        <v>36.15</v>
      </c>
      <c r="P8" s="260">
        <f t="shared" si="3"/>
        <v>36.15</v>
      </c>
    </row>
    <row r="9" spans="1:16" ht="18.75" customHeight="1">
      <c r="A9" s="5" t="s">
        <v>238</v>
      </c>
      <c r="B9" s="476" t="s">
        <v>747</v>
      </c>
      <c r="C9" s="5">
        <f>'PHỤ LỤC PNN'!C183</f>
        <v>0</v>
      </c>
      <c r="D9" s="100">
        <f>'Hai Dong'!AS67</f>
        <v>1.29</v>
      </c>
      <c r="E9" s="5"/>
      <c r="F9" s="5"/>
      <c r="G9" s="5"/>
      <c r="H9" s="5">
        <f>'PHỤ LỤC PNN'!E183</f>
        <v>0</v>
      </c>
      <c r="I9" s="5">
        <f t="shared" si="0"/>
        <v>1.29</v>
      </c>
      <c r="J9" s="42" t="s">
        <v>238</v>
      </c>
      <c r="K9" s="476" t="s">
        <v>747</v>
      </c>
      <c r="L9" s="260">
        <v>1.02</v>
      </c>
      <c r="M9" s="260">
        <v>2.52</v>
      </c>
      <c r="N9" s="260">
        <f t="shared" si="1"/>
        <v>1.29</v>
      </c>
      <c r="O9" s="260">
        <f t="shared" si="2"/>
        <v>0.27</v>
      </c>
      <c r="P9" s="260">
        <f t="shared" si="3"/>
        <v>-1.23</v>
      </c>
    </row>
    <row r="10" spans="1:16" ht="18.75" customHeight="1">
      <c r="A10" s="5" t="s">
        <v>239</v>
      </c>
      <c r="B10" s="476" t="s">
        <v>748</v>
      </c>
      <c r="C10" s="5">
        <f>'PHỤ LỤC PNN'!C184</f>
        <v>0</v>
      </c>
      <c r="D10" s="100">
        <f>'Hai Tien'!AS67</f>
        <v>4.6000000000000005</v>
      </c>
      <c r="E10" s="5"/>
      <c r="F10" s="5"/>
      <c r="G10" s="5"/>
      <c r="H10" s="5">
        <f>'PHỤ LỤC PNN'!E184</f>
        <v>0</v>
      </c>
      <c r="I10" s="5">
        <f t="shared" si="0"/>
        <v>4.6000000000000005</v>
      </c>
      <c r="J10" s="42" t="s">
        <v>239</v>
      </c>
      <c r="K10" s="476" t="s">
        <v>748</v>
      </c>
      <c r="L10" s="260">
        <v>0.1</v>
      </c>
      <c r="M10" s="260">
        <v>0.1</v>
      </c>
      <c r="N10" s="260">
        <f t="shared" si="1"/>
        <v>4.6000000000000005</v>
      </c>
      <c r="O10" s="260">
        <f t="shared" si="2"/>
        <v>4.5000000000000009</v>
      </c>
      <c r="P10" s="260">
        <f t="shared" si="3"/>
        <v>4.5000000000000009</v>
      </c>
    </row>
    <row r="11" spans="1:16" ht="18.75" customHeight="1">
      <c r="A11" s="5" t="s">
        <v>240</v>
      </c>
      <c r="B11" s="476" t="s">
        <v>749</v>
      </c>
      <c r="C11" s="5">
        <f>'PHỤ LỤC PNN'!C185</f>
        <v>2.65</v>
      </c>
      <c r="D11" s="100">
        <f>'Hai Xuan'!AS67</f>
        <v>3.73</v>
      </c>
      <c r="E11" s="5"/>
      <c r="F11" s="5"/>
      <c r="G11" s="5"/>
      <c r="H11" s="5">
        <f>'PHỤ LỤC PNN'!E185</f>
        <v>0</v>
      </c>
      <c r="I11" s="5">
        <f t="shared" si="0"/>
        <v>6.38</v>
      </c>
      <c r="J11" s="42" t="s">
        <v>240</v>
      </c>
      <c r="K11" s="476" t="s">
        <v>749</v>
      </c>
      <c r="L11" s="260">
        <v>0.01</v>
      </c>
      <c r="M11" s="260">
        <v>0.01</v>
      </c>
      <c r="N11" s="260">
        <f t="shared" si="1"/>
        <v>6.38</v>
      </c>
      <c r="O11" s="260">
        <f t="shared" si="2"/>
        <v>6.37</v>
      </c>
      <c r="P11" s="260">
        <f t="shared" si="3"/>
        <v>6.37</v>
      </c>
    </row>
    <row r="12" spans="1:16" ht="18.75" customHeight="1">
      <c r="A12" s="5" t="s">
        <v>241</v>
      </c>
      <c r="B12" s="476" t="s">
        <v>750</v>
      </c>
      <c r="C12" s="5">
        <f>'PHỤ LỤC PNN'!C186</f>
        <v>0.01</v>
      </c>
      <c r="D12" s="100">
        <f>'Van Ninh'!AS68</f>
        <v>1.22</v>
      </c>
      <c r="E12" s="5"/>
      <c r="F12" s="5"/>
      <c r="G12" s="5"/>
      <c r="H12" s="5">
        <f>'PHỤ LỤC PNN'!E186</f>
        <v>0</v>
      </c>
      <c r="I12" s="5">
        <f t="shared" si="0"/>
        <v>1.23</v>
      </c>
      <c r="J12" s="42" t="s">
        <v>241</v>
      </c>
      <c r="K12" s="476" t="s">
        <v>750</v>
      </c>
      <c r="L12" s="260"/>
      <c r="M12" s="260"/>
      <c r="N12" s="260">
        <f t="shared" si="1"/>
        <v>1.23</v>
      </c>
      <c r="O12" s="260">
        <f t="shared" si="2"/>
        <v>1.23</v>
      </c>
      <c r="P12" s="260">
        <f t="shared" si="3"/>
        <v>1.23</v>
      </c>
    </row>
    <row r="13" spans="1:16" ht="18.75" customHeight="1">
      <c r="A13" s="5" t="s">
        <v>242</v>
      </c>
      <c r="B13" s="476" t="s">
        <v>751</v>
      </c>
      <c r="C13" s="5">
        <f>'PHỤ LỤC PNN'!C187</f>
        <v>0.16</v>
      </c>
      <c r="D13" s="100">
        <f>'Vinh Trung'!AS68</f>
        <v>0</v>
      </c>
      <c r="E13" s="5"/>
      <c r="F13" s="5"/>
      <c r="G13" s="5"/>
      <c r="H13" s="5">
        <f>'PHỤ LỤC PNN'!E187</f>
        <v>0</v>
      </c>
      <c r="I13" s="5">
        <f t="shared" si="0"/>
        <v>0.16</v>
      </c>
      <c r="J13" s="42" t="s">
        <v>242</v>
      </c>
      <c r="K13" s="476" t="s">
        <v>751</v>
      </c>
      <c r="L13" s="260"/>
      <c r="M13" s="260"/>
      <c r="N13" s="260">
        <f t="shared" si="1"/>
        <v>0.16</v>
      </c>
      <c r="O13" s="260">
        <f t="shared" si="2"/>
        <v>0.16</v>
      </c>
      <c r="P13" s="260">
        <f t="shared" si="3"/>
        <v>0.16</v>
      </c>
    </row>
    <row r="14" spans="1:16" ht="18.75" customHeight="1">
      <c r="A14" s="5" t="s">
        <v>243</v>
      </c>
      <c r="B14" s="476" t="s">
        <v>752</v>
      </c>
      <c r="C14" s="5">
        <f>'PHỤ LỤC PNN'!C188</f>
        <v>0.21</v>
      </c>
      <c r="D14" s="100">
        <f>'Vinh Thuc'!AS67</f>
        <v>0</v>
      </c>
      <c r="E14" s="5"/>
      <c r="F14" s="5"/>
      <c r="G14" s="5"/>
      <c r="H14" s="5">
        <f>'PHỤ LỤC PNN'!E188</f>
        <v>0</v>
      </c>
      <c r="I14" s="5">
        <f t="shared" si="0"/>
        <v>0.21</v>
      </c>
      <c r="J14" s="42" t="s">
        <v>243</v>
      </c>
      <c r="K14" s="476" t="s">
        <v>752</v>
      </c>
      <c r="L14" s="260">
        <v>0.02</v>
      </c>
      <c r="M14" s="260">
        <v>0.02</v>
      </c>
      <c r="N14" s="260">
        <f t="shared" si="1"/>
        <v>0.21</v>
      </c>
      <c r="O14" s="260">
        <f t="shared" si="2"/>
        <v>0.19</v>
      </c>
      <c r="P14" s="260">
        <f t="shared" si="3"/>
        <v>0.19</v>
      </c>
    </row>
    <row r="15" spans="1:16" ht="18.75" customHeight="1">
      <c r="A15" s="5" t="s">
        <v>244</v>
      </c>
      <c r="B15" s="476" t="s">
        <v>753</v>
      </c>
      <c r="C15" s="5">
        <f>'PHỤ LỤC PNN'!C189</f>
        <v>3.84</v>
      </c>
      <c r="D15" s="100">
        <f>'Hai Yen'!AS68</f>
        <v>0</v>
      </c>
      <c r="E15" s="5"/>
      <c r="F15" s="5"/>
      <c r="G15" s="5"/>
      <c r="H15" s="5">
        <f>'PHỤ LỤC PNN'!E189</f>
        <v>0</v>
      </c>
      <c r="I15" s="5">
        <f t="shared" si="0"/>
        <v>3.84</v>
      </c>
      <c r="J15" s="42" t="s">
        <v>244</v>
      </c>
      <c r="K15" s="476" t="s">
        <v>753</v>
      </c>
      <c r="L15" s="260">
        <v>7.0000000000000007E-2</v>
      </c>
      <c r="M15" s="260">
        <v>7.0000000000000007E-2</v>
      </c>
      <c r="N15" s="260">
        <f t="shared" si="1"/>
        <v>3.84</v>
      </c>
      <c r="O15" s="260">
        <f t="shared" si="2"/>
        <v>3.77</v>
      </c>
      <c r="P15" s="260">
        <f t="shared" si="3"/>
        <v>3.77</v>
      </c>
    </row>
    <row r="16" spans="1:16" ht="18.75" hidden="1" customHeight="1">
      <c r="A16" s="5" t="s">
        <v>245</v>
      </c>
      <c r="B16" s="476" t="s">
        <v>754</v>
      </c>
      <c r="C16" s="5">
        <f>'PHỤ LỤC PNN'!C190</f>
        <v>0</v>
      </c>
      <c r="D16" s="100">
        <f>'Ka Long'!AS67</f>
        <v>0</v>
      </c>
      <c r="E16" s="5"/>
      <c r="F16" s="5"/>
      <c r="G16" s="5"/>
      <c r="H16" s="5">
        <f>'PHỤ LỤC PNN'!E190</f>
        <v>0</v>
      </c>
      <c r="I16" s="5">
        <f t="shared" si="0"/>
        <v>0</v>
      </c>
      <c r="J16" s="42" t="s">
        <v>245</v>
      </c>
      <c r="K16" s="476" t="s">
        <v>754</v>
      </c>
      <c r="L16" s="260"/>
      <c r="M16" s="260"/>
      <c r="N16" s="260">
        <f t="shared" si="1"/>
        <v>0</v>
      </c>
      <c r="O16" s="260">
        <f t="shared" si="2"/>
        <v>0</v>
      </c>
      <c r="P16" s="260">
        <f t="shared" si="3"/>
        <v>0</v>
      </c>
    </row>
    <row r="17" spans="1:16" ht="18.75" hidden="1" customHeight="1">
      <c r="A17" s="5" t="s">
        <v>246</v>
      </c>
      <c r="B17" s="476" t="s">
        <v>755</v>
      </c>
      <c r="C17" s="5">
        <f>'PHỤ LỤC PNN'!C191</f>
        <v>0</v>
      </c>
      <c r="D17" s="100">
        <f>'Ninh Duong'!AS67</f>
        <v>0</v>
      </c>
      <c r="E17" s="5"/>
      <c r="F17" s="5"/>
      <c r="G17" s="5"/>
      <c r="H17" s="5">
        <f>'PHỤ LỤC PNN'!E191</f>
        <v>0</v>
      </c>
      <c r="I17" s="5">
        <f t="shared" si="0"/>
        <v>0</v>
      </c>
      <c r="J17" s="42" t="s">
        <v>246</v>
      </c>
      <c r="K17" s="476" t="s">
        <v>755</v>
      </c>
      <c r="L17" s="266"/>
      <c r="M17" s="260"/>
      <c r="N17" s="260">
        <f t="shared" si="1"/>
        <v>0</v>
      </c>
      <c r="O17" s="260">
        <f t="shared" si="2"/>
        <v>0</v>
      </c>
      <c r="P17" s="260">
        <f t="shared" si="3"/>
        <v>0</v>
      </c>
    </row>
    <row r="18" spans="1:16" ht="18.75" hidden="1" customHeight="1">
      <c r="A18" s="5" t="s">
        <v>247</v>
      </c>
      <c r="B18" s="476" t="s">
        <v>756</v>
      </c>
      <c r="C18" s="5">
        <f>'PHỤ LỤC PNN'!C192</f>
        <v>0</v>
      </c>
      <c r="D18" s="100">
        <f>'Hoa Lac'!AS67</f>
        <v>0</v>
      </c>
      <c r="E18" s="5"/>
      <c r="F18" s="5"/>
      <c r="G18" s="5"/>
      <c r="H18" s="5">
        <f>'PHỤ LỤC PNN'!E192</f>
        <v>0</v>
      </c>
      <c r="I18" s="5">
        <f t="shared" si="0"/>
        <v>0</v>
      </c>
      <c r="J18" s="42" t="s">
        <v>247</v>
      </c>
      <c r="K18" s="476" t="s">
        <v>756</v>
      </c>
      <c r="L18" s="260">
        <v>4.45</v>
      </c>
      <c r="M18" s="260">
        <v>4.45</v>
      </c>
      <c r="N18" s="260">
        <f t="shared" si="1"/>
        <v>0</v>
      </c>
      <c r="O18" s="260">
        <f t="shared" si="2"/>
        <v>-4.45</v>
      </c>
      <c r="P18" s="260">
        <f t="shared" si="3"/>
        <v>-4.45</v>
      </c>
    </row>
    <row r="19" spans="1:16" ht="18.75" hidden="1" customHeight="1">
      <c r="A19" s="5" t="s">
        <v>248</v>
      </c>
      <c r="B19" s="476" t="s">
        <v>757</v>
      </c>
      <c r="C19" s="5">
        <f>'PHỤ LỤC PNN'!C193</f>
        <v>0</v>
      </c>
      <c r="D19" s="100">
        <f>'Tran Phu'!AS67</f>
        <v>0</v>
      </c>
      <c r="E19" s="5"/>
      <c r="F19" s="5"/>
      <c r="G19" s="5"/>
      <c r="H19" s="5">
        <f>'PHỤ LỤC PNN'!E193</f>
        <v>0</v>
      </c>
      <c r="I19" s="5">
        <f t="shared" si="0"/>
        <v>0</v>
      </c>
      <c r="J19" s="42" t="s">
        <v>248</v>
      </c>
      <c r="K19" s="476" t="s">
        <v>757</v>
      </c>
      <c r="L19" s="260"/>
      <c r="M19" s="260"/>
      <c r="N19" s="260">
        <f t="shared" si="1"/>
        <v>0</v>
      </c>
      <c r="O19" s="260">
        <f t="shared" si="2"/>
        <v>0</v>
      </c>
      <c r="P19" s="260">
        <f t="shared" si="3"/>
        <v>0</v>
      </c>
    </row>
    <row r="20" spans="1:16" ht="18.75" customHeight="1">
      <c r="A20" s="5" t="s">
        <v>249</v>
      </c>
      <c r="B20" s="476" t="s">
        <v>758</v>
      </c>
      <c r="C20" s="5">
        <f>'PHỤ LỤC PNN'!C194</f>
        <v>2.09</v>
      </c>
      <c r="D20" s="100">
        <f>'Hai Hoa'!AS67</f>
        <v>0</v>
      </c>
      <c r="E20" s="5"/>
      <c r="F20" s="5"/>
      <c r="G20" s="5"/>
      <c r="H20" s="5">
        <f>'PHỤ LỤC PNN'!E194</f>
        <v>0.1</v>
      </c>
      <c r="I20" s="5">
        <f t="shared" si="0"/>
        <v>1.9899999999999998</v>
      </c>
      <c r="J20" s="42" t="s">
        <v>249</v>
      </c>
      <c r="K20" s="476" t="s">
        <v>758</v>
      </c>
      <c r="L20" s="260">
        <v>0.02</v>
      </c>
      <c r="M20" s="260">
        <v>0.02</v>
      </c>
      <c r="N20" s="260">
        <f t="shared" si="1"/>
        <v>1.9899999999999998</v>
      </c>
      <c r="O20" s="260">
        <f t="shared" si="2"/>
        <v>1.9699999999999998</v>
      </c>
      <c r="P20" s="260">
        <f t="shared" si="3"/>
        <v>1.9699999999999998</v>
      </c>
    </row>
    <row r="21" spans="1:16" ht="18.75" hidden="1" customHeight="1">
      <c r="A21" s="5" t="s">
        <v>250</v>
      </c>
      <c r="B21" s="476" t="s">
        <v>759</v>
      </c>
      <c r="C21" s="5">
        <f>'PHỤ LỤC PNN'!C195</f>
        <v>0</v>
      </c>
      <c r="D21" s="100">
        <f>'Tra Co'!AS67</f>
        <v>0</v>
      </c>
      <c r="E21" s="5"/>
      <c r="F21" s="5"/>
      <c r="G21" s="5"/>
      <c r="H21" s="5">
        <f>'PHỤ LỤC PNN'!E195</f>
        <v>0</v>
      </c>
      <c r="I21" s="5">
        <f t="shared" si="0"/>
        <v>0</v>
      </c>
      <c r="J21" s="42" t="s">
        <v>250</v>
      </c>
      <c r="K21" s="476" t="s">
        <v>759</v>
      </c>
      <c r="L21" s="260">
        <v>0.03</v>
      </c>
      <c r="M21" s="260">
        <v>0.03</v>
      </c>
      <c r="N21" s="260">
        <f t="shared" si="1"/>
        <v>0</v>
      </c>
      <c r="O21" s="260">
        <f t="shared" si="2"/>
        <v>-0.03</v>
      </c>
      <c r="P21" s="260">
        <f t="shared" si="3"/>
        <v>-0.03</v>
      </c>
    </row>
    <row r="22" spans="1:16" ht="18.75" hidden="1" customHeight="1">
      <c r="A22" s="5" t="s">
        <v>251</v>
      </c>
      <c r="B22" s="476" t="s">
        <v>760</v>
      </c>
      <c r="C22" s="5">
        <f>'PHỤ LỤC PNN'!C196</f>
        <v>0</v>
      </c>
      <c r="D22" s="100">
        <f>'Binh Ngoc'!AS67</f>
        <v>0</v>
      </c>
      <c r="E22" s="5"/>
      <c r="F22" s="5"/>
      <c r="G22" s="5"/>
      <c r="H22" s="5">
        <f>'PHỤ LỤC PNN'!E196</f>
        <v>0</v>
      </c>
      <c r="I22" s="5">
        <f t="shared" si="0"/>
        <v>0</v>
      </c>
      <c r="J22" s="42" t="s">
        <v>251</v>
      </c>
      <c r="K22" s="476" t="s">
        <v>760</v>
      </c>
      <c r="L22" s="261"/>
      <c r="M22" s="260"/>
      <c r="N22" s="260">
        <f t="shared" si="1"/>
        <v>0</v>
      </c>
      <c r="O22" s="260">
        <f t="shared" si="2"/>
        <v>0</v>
      </c>
      <c r="P22" s="260">
        <f t="shared" si="3"/>
        <v>0</v>
      </c>
    </row>
    <row r="23" spans="1:16" ht="22.5" customHeight="1">
      <c r="A23" s="331"/>
      <c r="B23" s="331" t="s">
        <v>370</v>
      </c>
      <c r="C23" s="331">
        <f t="shared" ref="C23:I23" si="4">SUM(C6:C22)</f>
        <v>44.33</v>
      </c>
      <c r="D23" s="331">
        <f t="shared" si="4"/>
        <v>11.620000000000001</v>
      </c>
      <c r="E23" s="331">
        <f t="shared" si="4"/>
        <v>0</v>
      </c>
      <c r="F23" s="331">
        <f t="shared" si="4"/>
        <v>0</v>
      </c>
      <c r="G23" s="331">
        <f t="shared" si="4"/>
        <v>0</v>
      </c>
      <c r="H23" s="331">
        <f t="shared" si="4"/>
        <v>0.1</v>
      </c>
      <c r="I23" s="75">
        <f t="shared" si="4"/>
        <v>55.85</v>
      </c>
      <c r="J23" s="51"/>
      <c r="K23" s="51" t="s">
        <v>370</v>
      </c>
      <c r="L23" s="267">
        <f>SUM(L6:L22)</f>
        <v>5.7700000000000005</v>
      </c>
      <c r="M23" s="268">
        <f>SUM(M6:M22)</f>
        <v>7.27</v>
      </c>
      <c r="N23" s="267">
        <f>SUM(N6:N22)</f>
        <v>55.85</v>
      </c>
      <c r="O23" s="267">
        <f>SUM(O6:O22)</f>
        <v>50.079999999999991</v>
      </c>
      <c r="P23" s="267">
        <f>SUM(P6:P22)</f>
        <v>48.579999999999991</v>
      </c>
    </row>
    <row r="24" spans="1:16" ht="15.75">
      <c r="C24">
        <f>'TONG TP'!D48</f>
        <v>44.33</v>
      </c>
      <c r="I24" s="69">
        <f>'TONG TP'!BN48</f>
        <v>55.85</v>
      </c>
    </row>
    <row r="27" spans="1:16">
      <c r="I27">
        <f>'TONG TP'!BN48</f>
        <v>55.85</v>
      </c>
    </row>
    <row r="28" spans="1:16">
      <c r="I28">
        <f>I23-I27</f>
        <v>0</v>
      </c>
    </row>
  </sheetData>
  <autoFilter ref="A5:P24">
    <filterColumn colId="8">
      <customFilters>
        <customFilter operator="notEqual" val=" "/>
      </customFilters>
    </filterColumn>
  </autoFilter>
  <mergeCells count="15">
    <mergeCell ref="O4:P4"/>
    <mergeCell ref="A2:I2"/>
    <mergeCell ref="A4:A5"/>
    <mergeCell ref="B4:B5"/>
    <mergeCell ref="C4:C5"/>
    <mergeCell ref="D4:D5"/>
    <mergeCell ref="E4:G4"/>
    <mergeCell ref="H4:H5"/>
    <mergeCell ref="I4:I5"/>
    <mergeCell ref="H3:I3"/>
    <mergeCell ref="J4:J5"/>
    <mergeCell ref="K4:K5"/>
    <mergeCell ref="L4:L5"/>
    <mergeCell ref="M4:M5"/>
    <mergeCell ref="N4:N5"/>
  </mergeCells>
  <phoneticPr fontId="4" type="noConversion"/>
  <printOptions horizontalCentered="1"/>
  <pageMargins left="1" right="0.25" top="0.4" bottom="0.5" header="0.5" footer="0.5"/>
  <pageSetup paperSize="9" orientation="portrait"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3"/>
  <dimension ref="A1:P21"/>
  <sheetViews>
    <sheetView showZeros="0" topLeftCell="A4" zoomScale="90" workbookViewId="0">
      <selection activeCell="I23" sqref="I23"/>
    </sheetView>
  </sheetViews>
  <sheetFormatPr defaultRowHeight="12.75"/>
  <cols>
    <col min="1" max="1" width="7.42578125" customWidth="1"/>
    <col min="2" max="2" width="22.85546875" customWidth="1"/>
    <col min="3" max="3" width="13.28515625" customWidth="1"/>
    <col min="4" max="4" width="14.42578125" customWidth="1"/>
    <col min="5" max="5" width="6.42578125" hidden="1" customWidth="1"/>
    <col min="6" max="6" width="7.28515625" hidden="1" customWidth="1"/>
    <col min="7" max="7" width="7" hidden="1" customWidth="1"/>
    <col min="8" max="8" width="14.42578125" customWidth="1"/>
    <col min="9" max="9" width="13.7109375" customWidth="1"/>
    <col min="10" max="10" width="7.42578125" customWidth="1"/>
    <col min="11" max="11" width="20.42578125" customWidth="1"/>
    <col min="12" max="14" width="11.85546875" customWidth="1"/>
    <col min="15" max="15" width="11.140625" customWidth="1"/>
    <col min="16" max="16" width="11.85546875" customWidth="1"/>
  </cols>
  <sheetData>
    <row r="1" spans="1:16" ht="17.25" customHeight="1">
      <c r="A1" s="342" t="s">
        <v>635</v>
      </c>
    </row>
    <row r="2" spans="1:16" ht="20.25" customHeight="1">
      <c r="A2" s="1252" t="s">
        <v>721</v>
      </c>
      <c r="B2" s="1252"/>
      <c r="C2" s="1252"/>
      <c r="D2" s="1252"/>
      <c r="E2" s="1252"/>
      <c r="F2" s="1252"/>
      <c r="G2" s="1252"/>
      <c r="H2" s="1252"/>
      <c r="I2" s="1252"/>
    </row>
    <row r="3" spans="1:16" ht="20.25" customHeight="1">
      <c r="A3" s="1252" t="s">
        <v>766</v>
      </c>
      <c r="B3" s="1252"/>
      <c r="C3" s="1252"/>
      <c r="D3" s="1252"/>
      <c r="E3" s="1252"/>
      <c r="F3" s="1252"/>
      <c r="G3" s="1252"/>
      <c r="H3" s="1252"/>
      <c r="I3" s="1252"/>
    </row>
    <row r="4" spans="1:16" ht="18" customHeight="1" thickBot="1">
      <c r="H4" s="1377" t="s">
        <v>138</v>
      </c>
      <c r="I4" s="1377"/>
    </row>
    <row r="5" spans="1:16" ht="30.75" customHeight="1" thickTop="1">
      <c r="A5" s="1392" t="s">
        <v>368</v>
      </c>
      <c r="B5" s="1394" t="s">
        <v>986</v>
      </c>
      <c r="C5" s="1394" t="s">
        <v>456</v>
      </c>
      <c r="D5" s="1394" t="s">
        <v>457</v>
      </c>
      <c r="E5" s="1394"/>
      <c r="F5" s="1394"/>
      <c r="G5" s="1394"/>
      <c r="H5" s="1394" t="s">
        <v>459</v>
      </c>
      <c r="I5" s="1397" t="s">
        <v>460</v>
      </c>
      <c r="J5" s="1421" t="s">
        <v>0</v>
      </c>
      <c r="K5" s="1301" t="s">
        <v>369</v>
      </c>
      <c r="L5" s="1301" t="s">
        <v>494</v>
      </c>
      <c r="M5" s="1391" t="s">
        <v>495</v>
      </c>
      <c r="N5" s="1391" t="s">
        <v>496</v>
      </c>
      <c r="O5" s="1301" t="s">
        <v>497</v>
      </c>
      <c r="P5" s="1301"/>
    </row>
    <row r="6" spans="1:16" ht="29.25" customHeight="1">
      <c r="A6" s="1422"/>
      <c r="B6" s="1395"/>
      <c r="C6" s="1395"/>
      <c r="D6" s="1395"/>
      <c r="E6" s="581"/>
      <c r="F6" s="581"/>
      <c r="G6" s="581"/>
      <c r="H6" s="1395"/>
      <c r="I6" s="1423"/>
      <c r="J6" s="1421"/>
      <c r="K6" s="1301"/>
      <c r="L6" s="1301"/>
      <c r="M6" s="1391"/>
      <c r="N6" s="1391"/>
      <c r="O6" s="50" t="s">
        <v>498</v>
      </c>
      <c r="P6" s="50" t="s">
        <v>344</v>
      </c>
    </row>
    <row r="7" spans="1:16" ht="27" customHeight="1">
      <c r="A7" s="625" t="s">
        <v>235</v>
      </c>
      <c r="B7" s="626" t="s">
        <v>753</v>
      </c>
      <c r="C7" s="580">
        <f>'Hai Yen'!D50</f>
        <v>84.563699999999997</v>
      </c>
      <c r="D7" s="580">
        <f>'Hai Yen'!AU68</f>
        <v>18.939999999999998</v>
      </c>
      <c r="E7" s="581">
        <f>'Ninh Duong'!AT48</f>
        <v>0</v>
      </c>
      <c r="F7" s="581">
        <f>'Ninh Duong'!AT60</f>
        <v>0</v>
      </c>
      <c r="G7" s="581">
        <f>'Ninh Duong'!AT63</f>
        <v>0</v>
      </c>
      <c r="H7" s="580">
        <f>'Hai Yen'!BL50</f>
        <v>3.23</v>
      </c>
      <c r="I7" s="627">
        <f t="shared" ref="I7:I14" si="0">C7+D7-H7</f>
        <v>100.27369999999999</v>
      </c>
      <c r="J7" s="620" t="s">
        <v>235</v>
      </c>
      <c r="K7" s="71"/>
      <c r="L7" s="60"/>
      <c r="M7" s="60"/>
      <c r="N7" s="60"/>
      <c r="O7" s="60"/>
      <c r="P7" s="60"/>
    </row>
    <row r="8" spans="1:16" ht="27" customHeight="1">
      <c r="A8" s="625" t="s">
        <v>236</v>
      </c>
      <c r="B8" s="626" t="s">
        <v>754</v>
      </c>
      <c r="C8" s="580">
        <f>'Ka Long'!D50</f>
        <v>36.459299999999999</v>
      </c>
      <c r="D8" s="580">
        <f>'Ka Long'!AU67</f>
        <v>0.3</v>
      </c>
      <c r="E8" s="581">
        <f>'Hoa Lac'!AT48</f>
        <v>0</v>
      </c>
      <c r="F8" s="581">
        <f>'Hoa Lac'!AT60</f>
        <v>0</v>
      </c>
      <c r="G8" s="581">
        <f>'Hoa Lac'!AT63</f>
        <v>0</v>
      </c>
      <c r="H8" s="580">
        <f>'Ka Long'!BL50</f>
        <v>0</v>
      </c>
      <c r="I8" s="627">
        <f t="shared" si="0"/>
        <v>36.759299999999996</v>
      </c>
      <c r="J8" s="621" t="s">
        <v>236</v>
      </c>
      <c r="K8" s="72"/>
      <c r="L8" s="61"/>
      <c r="M8" s="61"/>
      <c r="N8" s="61"/>
      <c r="O8" s="61"/>
      <c r="P8" s="61"/>
    </row>
    <row r="9" spans="1:16" ht="27" customHeight="1">
      <c r="A9" s="625" t="s">
        <v>237</v>
      </c>
      <c r="B9" s="626" t="s">
        <v>755</v>
      </c>
      <c r="C9" s="580">
        <f>'Ninh Duong'!D50</f>
        <v>52.526499999999999</v>
      </c>
      <c r="D9" s="580">
        <f>'Ninh Duong'!AU67</f>
        <v>10.61</v>
      </c>
      <c r="E9" s="581">
        <f>'Tran Phu'!AT48</f>
        <v>0</v>
      </c>
      <c r="F9" s="581">
        <f>'Tran Phu'!AT60</f>
        <v>0</v>
      </c>
      <c r="G9" s="581">
        <f>'Tran Phu'!AT63</f>
        <v>0</v>
      </c>
      <c r="H9" s="580">
        <f>'Ninh Duong'!BL50</f>
        <v>2.1899999999999995</v>
      </c>
      <c r="I9" s="627">
        <f t="shared" si="0"/>
        <v>60.9465</v>
      </c>
      <c r="J9" s="621" t="s">
        <v>237</v>
      </c>
      <c r="K9" s="72"/>
      <c r="L9" s="61"/>
      <c r="M9" s="61"/>
      <c r="N9" s="61"/>
      <c r="O9" s="61"/>
      <c r="P9" s="61"/>
    </row>
    <row r="10" spans="1:16" ht="27" customHeight="1">
      <c r="A10" s="625" t="s">
        <v>238</v>
      </c>
      <c r="B10" s="626" t="s">
        <v>756</v>
      </c>
      <c r="C10" s="580">
        <f>'Hoa Lac'!D50</f>
        <v>13.67</v>
      </c>
      <c r="D10" s="580">
        <f>'Hoa Lac'!AU67</f>
        <v>0.46</v>
      </c>
      <c r="E10" s="581">
        <f>'Hai Hoa'!AT48</f>
        <v>0</v>
      </c>
      <c r="F10" s="581">
        <f>'Hai Hoa'!AT60</f>
        <v>0</v>
      </c>
      <c r="G10" s="581">
        <f>'Hai Hoa'!AT63</f>
        <v>0</v>
      </c>
      <c r="H10" s="580">
        <f>'Hoa Lac'!BL50</f>
        <v>0</v>
      </c>
      <c r="I10" s="627">
        <f t="shared" si="0"/>
        <v>14.13</v>
      </c>
      <c r="J10" s="621" t="s">
        <v>238</v>
      </c>
      <c r="K10" s="72"/>
      <c r="L10" s="61"/>
      <c r="M10" s="61"/>
      <c r="N10" s="61"/>
      <c r="O10" s="61"/>
      <c r="P10" s="61"/>
    </row>
    <row r="11" spans="1:16" ht="27" customHeight="1">
      <c r="A11" s="625" t="s">
        <v>239</v>
      </c>
      <c r="B11" s="626" t="s">
        <v>757</v>
      </c>
      <c r="C11" s="580">
        <f>'Tran Phu'!D50</f>
        <v>10.565</v>
      </c>
      <c r="D11" s="580">
        <f>'Tran Phu'!AU67</f>
        <v>0.33999999999999997</v>
      </c>
      <c r="E11" s="581">
        <f>'Tra Co'!AT48</f>
        <v>0</v>
      </c>
      <c r="F11" s="581">
        <f>'Tra Co'!AT60</f>
        <v>0</v>
      </c>
      <c r="G11" s="581">
        <f>'Tra Co'!AT63</f>
        <v>0</v>
      </c>
      <c r="H11" s="580">
        <f>'Tran Phu'!BL50</f>
        <v>0</v>
      </c>
      <c r="I11" s="627">
        <f t="shared" si="0"/>
        <v>10.904999999999999</v>
      </c>
      <c r="J11" s="621" t="s">
        <v>239</v>
      </c>
      <c r="K11" s="72"/>
      <c r="L11" s="61"/>
      <c r="M11" s="61"/>
      <c r="N11" s="61"/>
      <c r="O11" s="61"/>
      <c r="P11" s="61"/>
    </row>
    <row r="12" spans="1:16" ht="27" customHeight="1">
      <c r="A12" s="625" t="s">
        <v>240</v>
      </c>
      <c r="B12" s="626" t="s">
        <v>758</v>
      </c>
      <c r="C12" s="580">
        <f>'Hai Hoa'!D50</f>
        <v>100.57</v>
      </c>
      <c r="D12" s="580">
        <f>'Hai Hoa'!AU67</f>
        <v>13.780000000000001</v>
      </c>
      <c r="E12" s="581">
        <f>'Binh Ngoc'!AT48</f>
        <v>0</v>
      </c>
      <c r="F12" s="581">
        <f>'Binh Ngoc'!AT60</f>
        <v>0</v>
      </c>
      <c r="G12" s="581">
        <f>'Binh Ngoc'!AT63</f>
        <v>0</v>
      </c>
      <c r="H12" s="580">
        <f>'Hai Hoa'!BL50</f>
        <v>28.25</v>
      </c>
      <c r="I12" s="627">
        <f t="shared" si="0"/>
        <v>86.1</v>
      </c>
      <c r="J12" s="621" t="s">
        <v>240</v>
      </c>
      <c r="K12" s="72"/>
      <c r="L12" s="61"/>
      <c r="M12" s="61"/>
      <c r="N12" s="61"/>
      <c r="O12" s="61"/>
      <c r="P12" s="61"/>
    </row>
    <row r="13" spans="1:16" ht="27" customHeight="1">
      <c r="A13" s="625" t="s">
        <v>241</v>
      </c>
      <c r="B13" s="626" t="s">
        <v>759</v>
      </c>
      <c r="C13" s="580">
        <f>'Tra Co'!D50</f>
        <v>33.78</v>
      </c>
      <c r="D13" s="580">
        <f>'Tra Co'!AU67</f>
        <v>0.55000000000000004</v>
      </c>
      <c r="E13" s="581">
        <f>'Lien vị'!AT48</f>
        <v>0</v>
      </c>
      <c r="F13" s="581">
        <f>'Lien vị'!AT60</f>
        <v>0</v>
      </c>
      <c r="G13" s="581">
        <f>'Lien vị'!AT63</f>
        <v>0</v>
      </c>
      <c r="H13" s="580">
        <f>'Tra Co'!BL50</f>
        <v>0.18</v>
      </c>
      <c r="I13" s="627">
        <f t="shared" si="0"/>
        <v>34.15</v>
      </c>
      <c r="J13" s="621" t="s">
        <v>241</v>
      </c>
      <c r="K13" s="72"/>
      <c r="L13" s="61"/>
      <c r="M13" s="61"/>
      <c r="N13" s="61"/>
      <c r="O13" s="61"/>
      <c r="P13" s="61"/>
    </row>
    <row r="14" spans="1:16" ht="26.25" customHeight="1">
      <c r="A14" s="625" t="s">
        <v>242</v>
      </c>
      <c r="B14" s="626" t="s">
        <v>760</v>
      </c>
      <c r="C14" s="580">
        <f>'Binh Ngoc'!D50</f>
        <v>28.24</v>
      </c>
      <c r="D14" s="580">
        <f>'Binh Ngoc'!AU67</f>
        <v>0.74</v>
      </c>
      <c r="E14" s="581">
        <f>'Tien Phong'!AT48</f>
        <v>0</v>
      </c>
      <c r="F14" s="581">
        <f>'Tien Phong'!AT60</f>
        <v>0</v>
      </c>
      <c r="G14" s="581">
        <f>'Tien Phong'!AT63</f>
        <v>0</v>
      </c>
      <c r="H14" s="580">
        <f>'Binh Ngoc'!BL50</f>
        <v>0</v>
      </c>
      <c r="I14" s="627">
        <f t="shared" si="0"/>
        <v>28.979999999999997</v>
      </c>
      <c r="J14" s="622" t="s">
        <v>242</v>
      </c>
      <c r="K14" s="73"/>
      <c r="L14" s="63"/>
      <c r="M14" s="63"/>
      <c r="N14" s="210"/>
      <c r="O14" s="210"/>
      <c r="P14" s="210"/>
    </row>
    <row r="15" spans="1:16" s="578" customFormat="1" ht="27" hidden="1" customHeight="1">
      <c r="A15" s="625">
        <v>9</v>
      </c>
      <c r="B15" s="626" t="s">
        <v>991</v>
      </c>
      <c r="C15" s="580"/>
      <c r="D15" s="580">
        <f>'Hai Xuan'!AU67</f>
        <v>0</v>
      </c>
      <c r="E15" s="581"/>
      <c r="F15" s="581"/>
      <c r="G15" s="581"/>
      <c r="H15" s="580"/>
      <c r="I15" s="627">
        <f>C15+D15</f>
        <v>0</v>
      </c>
      <c r="J15" s="623"/>
      <c r="K15" s="617"/>
      <c r="L15" s="618"/>
      <c r="M15" s="618"/>
      <c r="N15" s="619"/>
      <c r="O15" s="619"/>
      <c r="P15" s="619"/>
    </row>
    <row r="16" spans="1:16" s="53" customFormat="1" ht="31.5" customHeight="1" thickBot="1">
      <c r="A16" s="628"/>
      <c r="B16" s="629" t="s">
        <v>370</v>
      </c>
      <c r="C16" s="749">
        <f t="shared" ref="C16:H16" si="1">SUM(C7:C14)</f>
        <v>360.37450000000001</v>
      </c>
      <c r="D16" s="629">
        <f t="shared" si="1"/>
        <v>45.72</v>
      </c>
      <c r="E16" s="629">
        <f t="shared" si="1"/>
        <v>0</v>
      </c>
      <c r="F16" s="629">
        <f t="shared" si="1"/>
        <v>0</v>
      </c>
      <c r="G16" s="629">
        <f t="shared" si="1"/>
        <v>0</v>
      </c>
      <c r="H16" s="629">
        <f t="shared" si="1"/>
        <v>33.85</v>
      </c>
      <c r="I16" s="630">
        <f>SUM(I7:I15)</f>
        <v>372.24449999999996</v>
      </c>
      <c r="J16" s="579"/>
      <c r="K16" s="65"/>
      <c r="L16" s="64"/>
      <c r="M16" s="64"/>
      <c r="N16" s="64"/>
      <c r="O16" s="64"/>
      <c r="P16" s="64"/>
    </row>
    <row r="17" spans="3:9" ht="15.75" hidden="1">
      <c r="C17">
        <f>'TONG TP'!D49</f>
        <v>312.20955000000004</v>
      </c>
      <c r="I17" s="624">
        <f>'TONG TP'!BN49</f>
        <v>324.78955000000002</v>
      </c>
    </row>
    <row r="18" spans="3:9" ht="13.5" thickTop="1"/>
    <row r="20" spans="3:9" hidden="1">
      <c r="I20">
        <f>'TONG TP'!BN49</f>
        <v>324.78955000000002</v>
      </c>
    </row>
    <row r="21" spans="3:9">
      <c r="C21">
        <f>C16-H16</f>
        <v>326.52449999999999</v>
      </c>
      <c r="I21">
        <f>I16-I20</f>
        <v>47.45494999999994</v>
      </c>
    </row>
  </sheetData>
  <mergeCells count="16">
    <mergeCell ref="A2:I2"/>
    <mergeCell ref="A3:I3"/>
    <mergeCell ref="A5:A6"/>
    <mergeCell ref="B5:B6"/>
    <mergeCell ref="C5:C6"/>
    <mergeCell ref="D5:D6"/>
    <mergeCell ref="E5:G5"/>
    <mergeCell ref="H5:H6"/>
    <mergeCell ref="I5:I6"/>
    <mergeCell ref="H4:I4"/>
    <mergeCell ref="O5:P5"/>
    <mergeCell ref="J5:J6"/>
    <mergeCell ref="K5:K6"/>
    <mergeCell ref="L5:L6"/>
    <mergeCell ref="M5:M6"/>
    <mergeCell ref="N5:N6"/>
  </mergeCells>
  <phoneticPr fontId="4" type="noConversion"/>
  <printOptions horizontalCentered="1"/>
  <pageMargins left="0.75" right="0.25" top="0.25" bottom="0.25" header="0.5" footer="0.5"/>
  <pageSetup paperSize="9" orientation="portrait"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4"/>
  <dimension ref="A1:P21"/>
  <sheetViews>
    <sheetView showZeros="0" topLeftCell="A4" workbookViewId="0">
      <selection activeCell="C7" sqref="C7:I16"/>
    </sheetView>
  </sheetViews>
  <sheetFormatPr defaultRowHeight="12.75"/>
  <cols>
    <col min="1" max="1" width="6.42578125" customWidth="1"/>
    <col min="2" max="2" width="20" customWidth="1"/>
    <col min="3" max="3" width="11.85546875" customWidth="1"/>
    <col min="4" max="4" width="13.140625" customWidth="1"/>
    <col min="5" max="5" width="5.5703125" style="275" hidden="1" customWidth="1"/>
    <col min="6" max="6" width="7.7109375" style="381" hidden="1" customWidth="1"/>
    <col min="7" max="7" width="6.28515625" hidden="1" customWidth="1"/>
    <col min="8" max="8" width="12.28515625" customWidth="1"/>
    <col min="9" max="9" width="13.140625" customWidth="1"/>
    <col min="10" max="10" width="8.5703125" customWidth="1"/>
    <col min="11" max="11" width="19.5703125" customWidth="1"/>
    <col min="13" max="14" width="10.85546875" customWidth="1"/>
    <col min="15" max="15" width="10.28515625" customWidth="1"/>
    <col min="16" max="16" width="11.28515625" customWidth="1"/>
  </cols>
  <sheetData>
    <row r="1" spans="1:16" ht="17.25" customHeight="1">
      <c r="A1" s="342" t="s">
        <v>636</v>
      </c>
    </row>
    <row r="2" spans="1:16" ht="20.25" customHeight="1">
      <c r="A2" s="1252" t="s">
        <v>721</v>
      </c>
      <c r="B2" s="1252"/>
      <c r="C2" s="1252"/>
      <c r="D2" s="1252"/>
      <c r="E2" s="1252"/>
      <c r="F2" s="1252"/>
      <c r="G2" s="1252"/>
      <c r="H2" s="1252"/>
      <c r="I2" s="1252"/>
    </row>
    <row r="3" spans="1:16" ht="20.25" customHeight="1">
      <c r="A3" s="1252" t="s">
        <v>766</v>
      </c>
      <c r="B3" s="1252"/>
      <c r="C3" s="1252"/>
      <c r="D3" s="1252"/>
      <c r="E3" s="1252"/>
      <c r="F3" s="1252"/>
      <c r="G3" s="1252"/>
      <c r="H3" s="1252"/>
      <c r="I3" s="1252"/>
    </row>
    <row r="4" spans="1:16" ht="18" customHeight="1">
      <c r="H4" s="1278" t="s">
        <v>138</v>
      </c>
      <c r="I4" s="1278"/>
    </row>
    <row r="5" spans="1:16" ht="25.5" customHeight="1">
      <c r="A5" s="1301" t="s">
        <v>368</v>
      </c>
      <c r="B5" s="1301" t="s">
        <v>985</v>
      </c>
      <c r="C5" s="1301" t="s">
        <v>456</v>
      </c>
      <c r="D5" s="1301" t="s">
        <v>457</v>
      </c>
      <c r="E5" s="1301"/>
      <c r="F5" s="1301"/>
      <c r="G5" s="1301"/>
      <c r="H5" s="1301" t="s">
        <v>459</v>
      </c>
      <c r="I5" s="1301" t="s">
        <v>460</v>
      </c>
      <c r="J5" s="1406" t="s">
        <v>0</v>
      </c>
      <c r="K5" s="1301" t="s">
        <v>369</v>
      </c>
      <c r="L5" s="1301" t="s">
        <v>494</v>
      </c>
      <c r="M5" s="1391" t="s">
        <v>495</v>
      </c>
      <c r="N5" s="1391" t="s">
        <v>496</v>
      </c>
      <c r="O5" s="1301" t="s">
        <v>497</v>
      </c>
      <c r="P5" s="1301"/>
    </row>
    <row r="6" spans="1:16" ht="25.5" customHeight="1">
      <c r="A6" s="1301"/>
      <c r="B6" s="1301"/>
      <c r="C6" s="1301"/>
      <c r="D6" s="1301"/>
      <c r="E6" s="384"/>
      <c r="F6" s="384"/>
      <c r="G6" s="384"/>
      <c r="H6" s="1301"/>
      <c r="I6" s="1301"/>
      <c r="J6" s="1406"/>
      <c r="K6" s="1301"/>
      <c r="L6" s="1301"/>
      <c r="M6" s="1391"/>
      <c r="N6" s="1391"/>
      <c r="O6" s="50" t="s">
        <v>498</v>
      </c>
      <c r="P6" s="50" t="s">
        <v>344</v>
      </c>
    </row>
    <row r="7" spans="1:16" ht="24" customHeight="1">
      <c r="A7" s="192" t="s">
        <v>235</v>
      </c>
      <c r="B7" s="475" t="s">
        <v>744</v>
      </c>
      <c r="C7" s="350">
        <f>'Bac Son'!D49</f>
        <v>12.53</v>
      </c>
      <c r="D7" s="350">
        <f>'Bac Son'!AT67</f>
        <v>0.66999999999999993</v>
      </c>
      <c r="E7" s="350"/>
      <c r="F7" s="350"/>
      <c r="G7" s="350"/>
      <c r="H7" s="350">
        <f>'Bac Son'!BL49</f>
        <v>0.57999999999999996</v>
      </c>
      <c r="I7" s="350">
        <f>C7+D7-H7</f>
        <v>12.62</v>
      </c>
      <c r="J7" s="70" t="s">
        <v>235</v>
      </c>
      <c r="K7" s="71"/>
      <c r="L7" s="259">
        <v>120.22</v>
      </c>
      <c r="M7" s="270">
        <v>163.5</v>
      </c>
      <c r="N7" s="270">
        <f>I7</f>
        <v>12.62</v>
      </c>
      <c r="O7" s="270">
        <f>N7-L7</f>
        <v>-107.6</v>
      </c>
      <c r="P7" s="270">
        <f>N7-M7</f>
        <v>-150.88</v>
      </c>
    </row>
    <row r="8" spans="1:16" ht="24" customHeight="1">
      <c r="A8" s="94" t="s">
        <v>236</v>
      </c>
      <c r="B8" s="476" t="s">
        <v>745</v>
      </c>
      <c r="C8" s="292">
        <f>'Hai Son'!D49</f>
        <v>12.929549999999999</v>
      </c>
      <c r="D8" s="292">
        <f>'Hai Son'!AT67</f>
        <v>0.44999999999999996</v>
      </c>
      <c r="E8" s="292"/>
      <c r="F8" s="292"/>
      <c r="G8" s="292"/>
      <c r="H8" s="292">
        <f>'Hai Son'!BL49</f>
        <v>0</v>
      </c>
      <c r="I8" s="350">
        <f t="shared" ref="I8:I15" si="0">C8+D8-H8</f>
        <v>13.379549999999998</v>
      </c>
      <c r="J8" s="5" t="s">
        <v>236</v>
      </c>
      <c r="K8" s="72"/>
      <c r="L8" s="260"/>
      <c r="M8" s="271">
        <v>47.14</v>
      </c>
      <c r="N8" s="271">
        <f t="shared" ref="N8:N15" si="1">I8</f>
        <v>13.379549999999998</v>
      </c>
      <c r="O8" s="271">
        <f t="shared" ref="O8:O15" si="2">N8-L8</f>
        <v>13.379549999999998</v>
      </c>
      <c r="P8" s="271">
        <f t="shared" ref="P8:P15" si="3">N8-M8</f>
        <v>-33.760450000000006</v>
      </c>
    </row>
    <row r="9" spans="1:16" ht="24" customHeight="1">
      <c r="A9" s="94" t="s">
        <v>237</v>
      </c>
      <c r="B9" s="476" t="s">
        <v>746</v>
      </c>
      <c r="C9" s="292">
        <f>'Quang Nghia'!D49</f>
        <v>22.46</v>
      </c>
      <c r="D9" s="292">
        <f>'Quang Nghia'!AT67</f>
        <v>0.3</v>
      </c>
      <c r="E9" s="292"/>
      <c r="F9" s="292"/>
      <c r="G9" s="292"/>
      <c r="H9" s="292">
        <f>'Quang Nghia'!BL49</f>
        <v>0.31</v>
      </c>
      <c r="I9" s="350">
        <f t="shared" si="0"/>
        <v>22.450000000000003</v>
      </c>
      <c r="J9" s="5" t="s">
        <v>237</v>
      </c>
      <c r="K9" s="72"/>
      <c r="L9" s="260"/>
      <c r="M9" s="271">
        <v>110.13</v>
      </c>
      <c r="N9" s="271">
        <f t="shared" si="1"/>
        <v>22.450000000000003</v>
      </c>
      <c r="O9" s="271">
        <f t="shared" si="2"/>
        <v>22.450000000000003</v>
      </c>
      <c r="P9" s="271">
        <f t="shared" si="3"/>
        <v>-87.679999999999993</v>
      </c>
    </row>
    <row r="10" spans="1:16" ht="24" customHeight="1">
      <c r="A10" s="94" t="s">
        <v>238</v>
      </c>
      <c r="B10" s="476" t="s">
        <v>747</v>
      </c>
      <c r="C10" s="292">
        <f>'Hai Dong'!D49</f>
        <v>56.76</v>
      </c>
      <c r="D10" s="292">
        <f>'Hai Dong'!AT67</f>
        <v>1.82</v>
      </c>
      <c r="E10" s="292"/>
      <c r="F10" s="292"/>
      <c r="G10" s="292"/>
      <c r="H10" s="292">
        <f>'Hai Dong'!BL49</f>
        <v>0</v>
      </c>
      <c r="I10" s="350">
        <f t="shared" si="0"/>
        <v>58.58</v>
      </c>
      <c r="J10" s="5" t="s">
        <v>238</v>
      </c>
      <c r="K10" s="72"/>
      <c r="L10" s="260"/>
      <c r="M10" s="271">
        <v>80</v>
      </c>
      <c r="N10" s="271">
        <f t="shared" si="1"/>
        <v>58.58</v>
      </c>
      <c r="O10" s="271">
        <f t="shared" si="2"/>
        <v>58.58</v>
      </c>
      <c r="P10" s="271">
        <f t="shared" si="3"/>
        <v>-21.42</v>
      </c>
    </row>
    <row r="11" spans="1:16" ht="24" customHeight="1">
      <c r="A11" s="94" t="s">
        <v>239</v>
      </c>
      <c r="B11" s="476" t="s">
        <v>748</v>
      </c>
      <c r="C11" s="292">
        <f>'Hai Tien'!D49</f>
        <v>45.69</v>
      </c>
      <c r="D11" s="292">
        <f>'Hai Tien'!AT67</f>
        <v>4.7300000000000004</v>
      </c>
      <c r="E11" s="292"/>
      <c r="F11" s="292"/>
      <c r="G11" s="292"/>
      <c r="H11" s="292">
        <f>'Hai Tien'!BL49</f>
        <v>0.14000000000000001</v>
      </c>
      <c r="I11" s="350">
        <f t="shared" si="0"/>
        <v>50.28</v>
      </c>
      <c r="J11" s="5" t="s">
        <v>239</v>
      </c>
      <c r="K11" s="72"/>
      <c r="L11" s="260"/>
      <c r="M11" s="271">
        <v>48.71</v>
      </c>
      <c r="N11" s="271">
        <f t="shared" si="1"/>
        <v>50.28</v>
      </c>
      <c r="O11" s="271">
        <f t="shared" si="2"/>
        <v>50.28</v>
      </c>
      <c r="P11" s="271">
        <f t="shared" si="3"/>
        <v>1.5700000000000003</v>
      </c>
    </row>
    <row r="12" spans="1:16" ht="24" customHeight="1">
      <c r="A12" s="94" t="s">
        <v>240</v>
      </c>
      <c r="B12" s="476" t="s">
        <v>749</v>
      </c>
      <c r="C12" s="292">
        <f>'Hai Xuan'!D49</f>
        <v>74.239999999999995</v>
      </c>
      <c r="D12" s="292">
        <f>'Hai Xuan'!AT67</f>
        <v>2.68</v>
      </c>
      <c r="E12" s="292"/>
      <c r="F12" s="292"/>
      <c r="G12" s="292"/>
      <c r="H12" s="292">
        <f>'Hai Xuan'!BL49</f>
        <v>0.23</v>
      </c>
      <c r="I12" s="350">
        <f t="shared" si="0"/>
        <v>76.69</v>
      </c>
      <c r="J12" s="5" t="s">
        <v>240</v>
      </c>
      <c r="K12" s="72"/>
      <c r="L12" s="260"/>
      <c r="M12" s="271">
        <v>94.73</v>
      </c>
      <c r="N12" s="271">
        <f t="shared" si="1"/>
        <v>76.69</v>
      </c>
      <c r="O12" s="271">
        <f t="shared" si="2"/>
        <v>76.69</v>
      </c>
      <c r="P12" s="271">
        <f t="shared" si="3"/>
        <v>-18.040000000000006</v>
      </c>
    </row>
    <row r="13" spans="1:16" ht="24" customHeight="1">
      <c r="A13" s="94" t="s">
        <v>241</v>
      </c>
      <c r="B13" s="476" t="s">
        <v>750</v>
      </c>
      <c r="C13" s="292">
        <f>'Van Ninh'!D49</f>
        <v>49.83</v>
      </c>
      <c r="D13" s="292">
        <f>'Van Ninh'!AT68</f>
        <v>0.95000000000000007</v>
      </c>
      <c r="E13" s="292"/>
      <c r="F13" s="292"/>
      <c r="G13" s="292"/>
      <c r="H13" s="292">
        <f>'Van Ninh'!BL49</f>
        <v>0.28000000000000003</v>
      </c>
      <c r="I13" s="350">
        <f t="shared" si="0"/>
        <v>50.5</v>
      </c>
      <c r="J13" s="5" t="s">
        <v>241</v>
      </c>
      <c r="K13" s="72"/>
      <c r="L13" s="260"/>
      <c r="M13" s="271">
        <v>32.78</v>
      </c>
      <c r="N13" s="271">
        <f t="shared" si="1"/>
        <v>50.5</v>
      </c>
      <c r="O13" s="271">
        <f t="shared" si="2"/>
        <v>50.5</v>
      </c>
      <c r="P13" s="271">
        <f t="shared" si="3"/>
        <v>17.72</v>
      </c>
    </row>
    <row r="14" spans="1:16" ht="24" customHeight="1">
      <c r="A14" s="94" t="s">
        <v>242</v>
      </c>
      <c r="B14" s="476" t="s">
        <v>751</v>
      </c>
      <c r="C14" s="292">
        <f>'Vinh Trung'!D49</f>
        <v>16.100000000000001</v>
      </c>
      <c r="D14" s="292">
        <f>'Vinh Trung'!AT68</f>
        <v>0.5</v>
      </c>
      <c r="E14" s="292"/>
      <c r="F14" s="292"/>
      <c r="G14" s="292"/>
      <c r="H14" s="292">
        <f>'Vinh Trung'!BL49</f>
        <v>0.05</v>
      </c>
      <c r="I14" s="350">
        <f t="shared" si="0"/>
        <v>16.55</v>
      </c>
      <c r="J14" s="5" t="s">
        <v>242</v>
      </c>
      <c r="K14" s="72"/>
      <c r="L14" s="260"/>
      <c r="M14" s="271">
        <v>64.650000000000006</v>
      </c>
      <c r="N14" s="271">
        <f t="shared" si="1"/>
        <v>16.55</v>
      </c>
      <c r="O14" s="271">
        <f t="shared" si="2"/>
        <v>16.55</v>
      </c>
      <c r="P14" s="271">
        <f t="shared" si="3"/>
        <v>-48.100000000000009</v>
      </c>
    </row>
    <row r="15" spans="1:16" ht="24" customHeight="1">
      <c r="A15" s="94" t="s">
        <v>243</v>
      </c>
      <c r="B15" s="476" t="s">
        <v>752</v>
      </c>
      <c r="C15" s="292">
        <f>'Vinh Thuc'!D49</f>
        <v>21.67</v>
      </c>
      <c r="D15" s="292">
        <f>'Vinh Thuc'!AT67</f>
        <v>2.17</v>
      </c>
      <c r="E15" s="292"/>
      <c r="F15" s="292"/>
      <c r="G15" s="292"/>
      <c r="H15" s="292">
        <f>'Vinh Thuc'!BL49</f>
        <v>0.1</v>
      </c>
      <c r="I15" s="350">
        <f t="shared" si="0"/>
        <v>23.740000000000002</v>
      </c>
      <c r="J15" s="5" t="s">
        <v>243</v>
      </c>
      <c r="K15" s="72"/>
      <c r="L15" s="260"/>
      <c r="M15" s="271">
        <v>46.76</v>
      </c>
      <c r="N15" s="272">
        <f t="shared" si="1"/>
        <v>23.740000000000002</v>
      </c>
      <c r="O15" s="272">
        <f t="shared" si="2"/>
        <v>23.740000000000002</v>
      </c>
      <c r="P15" s="271">
        <f t="shared" si="3"/>
        <v>-23.019999999999996</v>
      </c>
    </row>
    <row r="16" spans="1:16" ht="24" customHeight="1">
      <c r="A16" s="438"/>
      <c r="B16" s="438" t="s">
        <v>370</v>
      </c>
      <c r="C16" s="269">
        <f t="shared" ref="C16:I16" si="4">SUM(C7:C15)</f>
        <v>312.20955000000004</v>
      </c>
      <c r="D16" s="269">
        <f t="shared" si="4"/>
        <v>14.27</v>
      </c>
      <c r="E16" s="269">
        <f t="shared" si="4"/>
        <v>0</v>
      </c>
      <c r="F16" s="269">
        <f t="shared" si="4"/>
        <v>0</v>
      </c>
      <c r="G16" s="269">
        <f t="shared" si="4"/>
        <v>0</v>
      </c>
      <c r="H16" s="269">
        <f t="shared" si="4"/>
        <v>1.69</v>
      </c>
      <c r="I16" s="269">
        <f t="shared" si="4"/>
        <v>324.78955000000002</v>
      </c>
      <c r="J16" s="65"/>
      <c r="K16" s="65" t="s">
        <v>370</v>
      </c>
      <c r="L16" s="267">
        <f>SUM(L7:L15)</f>
        <v>120.22</v>
      </c>
      <c r="M16" s="268">
        <f>SUM(M7:M15)</f>
        <v>688.39999999999986</v>
      </c>
      <c r="N16" s="268">
        <f>SUM(N7:N15)</f>
        <v>324.78955000000002</v>
      </c>
      <c r="O16" s="268">
        <f>SUM(O7:O15)</f>
        <v>204.56955000000002</v>
      </c>
      <c r="P16" s="268">
        <f>SUM(P7:P15)</f>
        <v>-363.61045000000001</v>
      </c>
    </row>
    <row r="17" spans="3:9" ht="15.75">
      <c r="I17" s="178"/>
    </row>
    <row r="20" spans="3:9">
      <c r="C20" s="177">
        <f>C16-H16</f>
        <v>310.51955000000004</v>
      </c>
    </row>
    <row r="21" spans="3:9">
      <c r="I21" s="177"/>
    </row>
  </sheetData>
  <mergeCells count="16">
    <mergeCell ref="A2:I2"/>
    <mergeCell ref="A3:I3"/>
    <mergeCell ref="A5:A6"/>
    <mergeCell ref="B5:B6"/>
    <mergeCell ref="C5:C6"/>
    <mergeCell ref="D5:D6"/>
    <mergeCell ref="E5:G5"/>
    <mergeCell ref="H5:H6"/>
    <mergeCell ref="I5:I6"/>
    <mergeCell ref="H4:I4"/>
    <mergeCell ref="O5:P5"/>
    <mergeCell ref="J5:J6"/>
    <mergeCell ref="K5:K6"/>
    <mergeCell ref="L5:L6"/>
    <mergeCell ref="M5:M6"/>
    <mergeCell ref="N5:N6"/>
  </mergeCells>
  <phoneticPr fontId="4" type="noConversion"/>
  <printOptions horizontalCentered="1"/>
  <pageMargins left="0.85" right="0.4" top="0.25" bottom="0.25" header="0.5" footer="0.5"/>
  <pageSetup paperSize="9" scale="90" orientation="portrait"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5"/>
  <dimension ref="A1:P28"/>
  <sheetViews>
    <sheetView showZeros="0" topLeftCell="A8" workbookViewId="0">
      <selection activeCell="I18" sqref="I18:I19"/>
    </sheetView>
  </sheetViews>
  <sheetFormatPr defaultRowHeight="12.75"/>
  <cols>
    <col min="1" max="1" width="6.28515625" customWidth="1"/>
    <col min="2" max="2" width="20.7109375" customWidth="1"/>
    <col min="3" max="3" width="12.5703125" customWidth="1"/>
    <col min="4" max="4" width="12.28515625" customWidth="1"/>
    <col min="5" max="5" width="6.42578125" hidden="1" customWidth="1"/>
    <col min="6" max="6" width="6.42578125" style="263" hidden="1" customWidth="1"/>
    <col min="7" max="7" width="6.42578125" hidden="1" customWidth="1"/>
    <col min="8" max="8" width="11.5703125" customWidth="1"/>
    <col min="9" max="9" width="13.140625" customWidth="1"/>
    <col min="10" max="10" width="7.140625" style="263" customWidth="1"/>
    <col min="11" max="11" width="21.7109375" style="263" customWidth="1"/>
    <col min="12" max="12" width="9.140625" style="263"/>
    <col min="13" max="13" width="10.140625" style="263" customWidth="1"/>
    <col min="14" max="14" width="9.85546875" style="263" customWidth="1"/>
    <col min="15" max="16" width="9.140625" style="263"/>
  </cols>
  <sheetData>
    <row r="1" spans="1:16" ht="17.25" customHeight="1">
      <c r="A1" s="342" t="s">
        <v>637</v>
      </c>
    </row>
    <row r="2" spans="1:16" ht="41.25" customHeight="1">
      <c r="A2" s="1420" t="s">
        <v>770</v>
      </c>
      <c r="B2" s="1420"/>
      <c r="C2" s="1420"/>
      <c r="D2" s="1420"/>
      <c r="E2" s="1420"/>
      <c r="F2" s="1420"/>
      <c r="G2" s="1420"/>
      <c r="H2" s="1420"/>
      <c r="I2" s="1420"/>
    </row>
    <row r="3" spans="1:16" ht="18" customHeight="1">
      <c r="H3" s="1377" t="s">
        <v>138</v>
      </c>
      <c r="I3" s="1377"/>
    </row>
    <row r="4" spans="1:16" ht="17.25" customHeight="1">
      <c r="A4" s="1280" t="s">
        <v>368</v>
      </c>
      <c r="B4" s="1280" t="s">
        <v>986</v>
      </c>
      <c r="C4" s="1280" t="s">
        <v>456</v>
      </c>
      <c r="D4" s="1280" t="s">
        <v>457</v>
      </c>
      <c r="E4" s="1280"/>
      <c r="F4" s="1280"/>
      <c r="G4" s="1280"/>
      <c r="H4" s="1280" t="s">
        <v>459</v>
      </c>
      <c r="I4" s="1280" t="s">
        <v>460</v>
      </c>
      <c r="J4" s="1406" t="s">
        <v>0</v>
      </c>
      <c r="K4" s="1301" t="s">
        <v>369</v>
      </c>
      <c r="L4" s="1301" t="s">
        <v>494</v>
      </c>
      <c r="M4" s="1391" t="s">
        <v>495</v>
      </c>
      <c r="N4" s="1391" t="s">
        <v>496</v>
      </c>
      <c r="O4" s="1301" t="s">
        <v>497</v>
      </c>
      <c r="P4" s="1301"/>
    </row>
    <row r="5" spans="1:16" ht="17.25" customHeight="1">
      <c r="A5" s="1280"/>
      <c r="B5" s="1280"/>
      <c r="C5" s="1280"/>
      <c r="D5" s="1280"/>
      <c r="E5" s="57"/>
      <c r="F5" s="264"/>
      <c r="G5" s="57"/>
      <c r="H5" s="1280"/>
      <c r="I5" s="1280"/>
      <c r="J5" s="1406"/>
      <c r="K5" s="1301"/>
      <c r="L5" s="1301"/>
      <c r="M5" s="1391"/>
      <c r="N5" s="1391"/>
      <c r="O5" s="265" t="s">
        <v>498</v>
      </c>
      <c r="P5" s="265" t="s">
        <v>344</v>
      </c>
    </row>
    <row r="6" spans="1:16" ht="18.75" customHeight="1">
      <c r="A6" s="70" t="s">
        <v>235</v>
      </c>
      <c r="B6" s="475" t="s">
        <v>744</v>
      </c>
      <c r="C6" s="70">
        <f>'PHỤ LỤC PNN'!C255</f>
        <v>2.15</v>
      </c>
      <c r="D6" s="99">
        <f>'Bac Son'!AV67</f>
        <v>0</v>
      </c>
      <c r="E6" s="70"/>
      <c r="F6" s="70"/>
      <c r="G6" s="70"/>
      <c r="H6" s="70">
        <f>'PHỤ LỤC PNN'!E255</f>
        <v>0</v>
      </c>
      <c r="I6" s="70">
        <f t="shared" ref="I6:I22" si="0">C6+D6-H6</f>
        <v>2.15</v>
      </c>
      <c r="J6" s="41" t="s">
        <v>235</v>
      </c>
      <c r="K6" s="475" t="s">
        <v>744</v>
      </c>
      <c r="L6" s="270">
        <v>7.57</v>
      </c>
      <c r="M6" s="270">
        <v>10.69</v>
      </c>
      <c r="N6" s="270">
        <f>I6</f>
        <v>2.15</v>
      </c>
      <c r="O6" s="270">
        <f>N6-L6</f>
        <v>-5.42</v>
      </c>
      <c r="P6" s="270">
        <f>N6-M6</f>
        <v>-8.5399999999999991</v>
      </c>
    </row>
    <row r="7" spans="1:16" ht="18.75" customHeight="1">
      <c r="A7" s="5" t="s">
        <v>236</v>
      </c>
      <c r="B7" s="476" t="s">
        <v>745</v>
      </c>
      <c r="C7" s="100">
        <f>'PHỤ LỤC PNN'!C256</f>
        <v>0.45577999999999996</v>
      </c>
      <c r="D7" s="100">
        <f>'Hai Son'!AV67</f>
        <v>0</v>
      </c>
      <c r="E7" s="100"/>
      <c r="F7" s="100"/>
      <c r="G7" s="100"/>
      <c r="H7" s="100">
        <f>'PHỤ LỤC PNN'!E256</f>
        <v>0</v>
      </c>
      <c r="I7" s="100">
        <f t="shared" si="0"/>
        <v>0.45577999999999996</v>
      </c>
      <c r="J7" s="42" t="s">
        <v>236</v>
      </c>
      <c r="K7" s="476" t="s">
        <v>745</v>
      </c>
      <c r="L7" s="271">
        <v>1.36</v>
      </c>
      <c r="M7" s="271">
        <v>1.36</v>
      </c>
      <c r="N7" s="271">
        <f t="shared" ref="N7:N22" si="1">I7</f>
        <v>0.45577999999999996</v>
      </c>
      <c r="O7" s="271">
        <f t="shared" ref="O7:O22" si="2">N7-L7</f>
        <v>-0.90422000000000013</v>
      </c>
      <c r="P7" s="271">
        <f t="shared" ref="P7:P22" si="3">N7-M7</f>
        <v>-0.90422000000000013</v>
      </c>
    </row>
    <row r="8" spans="1:16" ht="18.75" customHeight="1">
      <c r="A8" s="5" t="s">
        <v>237</v>
      </c>
      <c r="B8" s="476" t="s">
        <v>746</v>
      </c>
      <c r="C8" s="5">
        <f>'PHỤ LỤC PNN'!C257</f>
        <v>0.47</v>
      </c>
      <c r="D8" s="100">
        <f>'Quang Nghia'!AV67</f>
        <v>0</v>
      </c>
      <c r="E8" s="5"/>
      <c r="F8" s="5"/>
      <c r="G8" s="5"/>
      <c r="H8" s="5">
        <f>'PHỤ LỤC PNN'!E257</f>
        <v>0</v>
      </c>
      <c r="I8" s="5">
        <f t="shared" si="0"/>
        <v>0.47</v>
      </c>
      <c r="J8" s="42" t="s">
        <v>237</v>
      </c>
      <c r="K8" s="476" t="s">
        <v>746</v>
      </c>
      <c r="L8" s="271">
        <v>4.63</v>
      </c>
      <c r="M8" s="271">
        <v>4.63</v>
      </c>
      <c r="N8" s="271">
        <f t="shared" si="1"/>
        <v>0.47</v>
      </c>
      <c r="O8" s="271">
        <f t="shared" si="2"/>
        <v>-4.16</v>
      </c>
      <c r="P8" s="271">
        <f t="shared" si="3"/>
        <v>-4.16</v>
      </c>
    </row>
    <row r="9" spans="1:16" ht="18.75" customHeight="1">
      <c r="A9" s="5" t="s">
        <v>238</v>
      </c>
      <c r="B9" s="476" t="s">
        <v>747</v>
      </c>
      <c r="C9" s="5">
        <f>'PHỤ LỤC PNN'!C258</f>
        <v>1.1100000000000001</v>
      </c>
      <c r="D9" s="100">
        <f>'Hai Dong'!AV67</f>
        <v>0</v>
      </c>
      <c r="E9" s="5"/>
      <c r="F9" s="5"/>
      <c r="G9" s="5"/>
      <c r="H9" s="5">
        <f>'PHỤ LỤC PNN'!E258</f>
        <v>0</v>
      </c>
      <c r="I9" s="5">
        <f t="shared" si="0"/>
        <v>1.1100000000000001</v>
      </c>
      <c r="J9" s="42" t="s">
        <v>238</v>
      </c>
      <c r="K9" s="476" t="s">
        <v>747</v>
      </c>
      <c r="L9" s="271">
        <v>0.24</v>
      </c>
      <c r="M9" s="271">
        <v>0.24</v>
      </c>
      <c r="N9" s="271">
        <f t="shared" si="1"/>
        <v>1.1100000000000001</v>
      </c>
      <c r="O9" s="271">
        <f t="shared" si="2"/>
        <v>0.87000000000000011</v>
      </c>
      <c r="P9" s="271">
        <f t="shared" si="3"/>
        <v>0.87000000000000011</v>
      </c>
    </row>
    <row r="10" spans="1:16" ht="18.75" customHeight="1">
      <c r="A10" s="5" t="s">
        <v>239</v>
      </c>
      <c r="B10" s="476" t="s">
        <v>748</v>
      </c>
      <c r="C10" s="5">
        <f>'PHỤ LỤC PNN'!C259</f>
        <v>4.47</v>
      </c>
      <c r="D10" s="100">
        <f>'Hai Tien'!AV67</f>
        <v>0</v>
      </c>
      <c r="E10" s="5"/>
      <c r="F10" s="5"/>
      <c r="G10" s="5"/>
      <c r="H10" s="5">
        <f>'PHỤ LỤC PNN'!E259</f>
        <v>0</v>
      </c>
      <c r="I10" s="5">
        <f t="shared" si="0"/>
        <v>4.47</v>
      </c>
      <c r="J10" s="42" t="s">
        <v>239</v>
      </c>
      <c r="K10" s="476" t="s">
        <v>748</v>
      </c>
      <c r="L10" s="271">
        <v>0.18</v>
      </c>
      <c r="M10" s="271">
        <v>0.17</v>
      </c>
      <c r="N10" s="271">
        <f t="shared" si="1"/>
        <v>4.47</v>
      </c>
      <c r="O10" s="271">
        <f t="shared" si="2"/>
        <v>4.29</v>
      </c>
      <c r="P10" s="271">
        <f t="shared" si="3"/>
        <v>4.3</v>
      </c>
    </row>
    <row r="11" spans="1:16" ht="18.75" customHeight="1">
      <c r="A11" s="5" t="s">
        <v>240</v>
      </c>
      <c r="B11" s="476" t="s">
        <v>749</v>
      </c>
      <c r="C11" s="5">
        <f>'PHỤ LỤC PNN'!C260</f>
        <v>1.1599999999999999</v>
      </c>
      <c r="D11" s="100">
        <f>'Hai Xuan'!AV67</f>
        <v>0</v>
      </c>
      <c r="E11" s="5"/>
      <c r="F11" s="5"/>
      <c r="G11" s="5"/>
      <c r="H11" s="5">
        <f>'PHỤ LỤC PNN'!E260</f>
        <v>0</v>
      </c>
      <c r="I11" s="5">
        <f t="shared" si="0"/>
        <v>1.1599999999999999</v>
      </c>
      <c r="J11" s="42" t="s">
        <v>240</v>
      </c>
      <c r="K11" s="476" t="s">
        <v>749</v>
      </c>
      <c r="L11" s="271">
        <v>0.44</v>
      </c>
      <c r="M11" s="271">
        <v>0.44</v>
      </c>
      <c r="N11" s="271">
        <f t="shared" si="1"/>
        <v>1.1599999999999999</v>
      </c>
      <c r="O11" s="271">
        <f t="shared" si="2"/>
        <v>0.72</v>
      </c>
      <c r="P11" s="271">
        <f t="shared" si="3"/>
        <v>0.72</v>
      </c>
    </row>
    <row r="12" spans="1:16" ht="18.75" customHeight="1">
      <c r="A12" s="5" t="s">
        <v>241</v>
      </c>
      <c r="B12" s="476" t="s">
        <v>750</v>
      </c>
      <c r="C12" s="5">
        <f>'PHỤ LỤC PNN'!C261</f>
        <v>0.91</v>
      </c>
      <c r="D12" s="100">
        <f>'Van Ninh'!AV68</f>
        <v>0</v>
      </c>
      <c r="E12" s="5"/>
      <c r="F12" s="5"/>
      <c r="G12" s="5"/>
      <c r="H12" s="5">
        <f>'PHỤ LỤC PNN'!E261</f>
        <v>0</v>
      </c>
      <c r="I12" s="5">
        <f t="shared" si="0"/>
        <v>0.91</v>
      </c>
      <c r="J12" s="42" t="s">
        <v>241</v>
      </c>
      <c r="K12" s="476" t="s">
        <v>750</v>
      </c>
      <c r="L12" s="271">
        <v>1.33</v>
      </c>
      <c r="M12" s="271">
        <v>1.83</v>
      </c>
      <c r="N12" s="271">
        <f t="shared" si="1"/>
        <v>0.91</v>
      </c>
      <c r="O12" s="271">
        <f t="shared" si="2"/>
        <v>-0.42000000000000004</v>
      </c>
      <c r="P12" s="271">
        <f t="shared" si="3"/>
        <v>-0.92</v>
      </c>
    </row>
    <row r="13" spans="1:16" ht="18.75" customHeight="1">
      <c r="A13" s="5" t="s">
        <v>242</v>
      </c>
      <c r="B13" s="476" t="s">
        <v>751</v>
      </c>
      <c r="C13" s="5">
        <f>'PHỤ LỤC PNN'!C262</f>
        <v>0.65</v>
      </c>
      <c r="D13" s="100">
        <f>'Vinh Trung'!AV68</f>
        <v>0</v>
      </c>
      <c r="E13" s="5"/>
      <c r="F13" s="5"/>
      <c r="G13" s="5"/>
      <c r="H13" s="5">
        <f>'PHỤ LỤC PNN'!E262</f>
        <v>0</v>
      </c>
      <c r="I13" s="5">
        <f t="shared" si="0"/>
        <v>0.65</v>
      </c>
      <c r="J13" s="42" t="s">
        <v>242</v>
      </c>
      <c r="K13" s="476" t="s">
        <v>751</v>
      </c>
      <c r="L13" s="271">
        <v>0.18</v>
      </c>
      <c r="M13" s="271">
        <v>0.18</v>
      </c>
      <c r="N13" s="271">
        <f t="shared" si="1"/>
        <v>0.65</v>
      </c>
      <c r="O13" s="271">
        <f t="shared" si="2"/>
        <v>0.47000000000000003</v>
      </c>
      <c r="P13" s="271">
        <f t="shared" si="3"/>
        <v>0.47000000000000003</v>
      </c>
    </row>
    <row r="14" spans="1:16" ht="18.75" customHeight="1">
      <c r="A14" s="5" t="s">
        <v>243</v>
      </c>
      <c r="B14" s="476" t="s">
        <v>752</v>
      </c>
      <c r="C14" s="5">
        <f>'PHỤ LỤC PNN'!C263</f>
        <v>1.05</v>
      </c>
      <c r="D14" s="100">
        <f>'Vinh Thuc'!AV67</f>
        <v>0</v>
      </c>
      <c r="E14" s="5"/>
      <c r="F14" s="5"/>
      <c r="G14" s="5"/>
      <c r="H14" s="5">
        <f>'PHỤ LỤC PNN'!E263</f>
        <v>0</v>
      </c>
      <c r="I14" s="5">
        <f t="shared" si="0"/>
        <v>1.05</v>
      </c>
      <c r="J14" s="42" t="s">
        <v>243</v>
      </c>
      <c r="K14" s="476" t="s">
        <v>752</v>
      </c>
      <c r="L14" s="271">
        <v>0.28000000000000003</v>
      </c>
      <c r="M14" s="271">
        <v>0.28000000000000003</v>
      </c>
      <c r="N14" s="271">
        <f t="shared" si="1"/>
        <v>1.05</v>
      </c>
      <c r="O14" s="271">
        <f t="shared" si="2"/>
        <v>0.77</v>
      </c>
      <c r="P14" s="271">
        <f t="shared" si="3"/>
        <v>0.77</v>
      </c>
    </row>
    <row r="15" spans="1:16" ht="18.75" customHeight="1">
      <c r="A15" s="5" t="s">
        <v>244</v>
      </c>
      <c r="B15" s="476" t="s">
        <v>753</v>
      </c>
      <c r="C15" s="5">
        <f>'PHỤ LỤC PNN'!C264</f>
        <v>0.77</v>
      </c>
      <c r="D15" s="100">
        <f>'Hai Yen'!AV68</f>
        <v>0</v>
      </c>
      <c r="E15" s="5"/>
      <c r="F15" s="5"/>
      <c r="G15" s="5"/>
      <c r="H15" s="5">
        <f>'PHỤ LỤC PNN'!E264</f>
        <v>6.0000000000000005E-2</v>
      </c>
      <c r="I15" s="5">
        <f t="shared" si="0"/>
        <v>0.71</v>
      </c>
      <c r="J15" s="42" t="s">
        <v>244</v>
      </c>
      <c r="K15" s="476" t="s">
        <v>753</v>
      </c>
      <c r="L15" s="271">
        <v>0.14000000000000001</v>
      </c>
      <c r="M15" s="271">
        <v>0.06</v>
      </c>
      <c r="N15" s="271">
        <f t="shared" si="1"/>
        <v>0.71</v>
      </c>
      <c r="O15" s="271">
        <f t="shared" si="2"/>
        <v>0.56999999999999995</v>
      </c>
      <c r="P15" s="271">
        <f t="shared" si="3"/>
        <v>0.64999999999999991</v>
      </c>
    </row>
    <row r="16" spans="1:16" ht="18.75" customHeight="1">
      <c r="A16" s="5" t="s">
        <v>245</v>
      </c>
      <c r="B16" s="476" t="s">
        <v>754</v>
      </c>
      <c r="C16" s="5">
        <f>'PHỤ LỤC PNN'!C265</f>
        <v>0.81</v>
      </c>
      <c r="D16" s="100">
        <f>'Ka Long'!AV67</f>
        <v>0</v>
      </c>
      <c r="E16" s="5"/>
      <c r="F16" s="5"/>
      <c r="G16" s="5"/>
      <c r="H16" s="5">
        <f>'PHỤ LỤC PNN'!E265</f>
        <v>0</v>
      </c>
      <c r="I16" s="5">
        <f t="shared" si="0"/>
        <v>0.81</v>
      </c>
      <c r="J16" s="42" t="s">
        <v>245</v>
      </c>
      <c r="K16" s="476" t="s">
        <v>754</v>
      </c>
      <c r="L16" s="271">
        <v>0.34</v>
      </c>
      <c r="M16" s="271">
        <v>0.34</v>
      </c>
      <c r="N16" s="271">
        <f t="shared" si="1"/>
        <v>0.81</v>
      </c>
      <c r="O16" s="271">
        <f t="shared" si="2"/>
        <v>0.47000000000000003</v>
      </c>
      <c r="P16" s="271">
        <f t="shared" si="3"/>
        <v>0.47000000000000003</v>
      </c>
    </row>
    <row r="17" spans="1:16" ht="18.75" customHeight="1">
      <c r="A17" s="5" t="s">
        <v>246</v>
      </c>
      <c r="B17" s="476" t="s">
        <v>755</v>
      </c>
      <c r="C17" s="5">
        <f>'PHỤ LỤC PNN'!C266</f>
        <v>0.51</v>
      </c>
      <c r="D17" s="100">
        <f>'Ninh Duong'!AV67</f>
        <v>0</v>
      </c>
      <c r="E17" s="5"/>
      <c r="F17" s="5"/>
      <c r="G17" s="5"/>
      <c r="H17" s="5">
        <f>'PHỤ LỤC PNN'!E266</f>
        <v>0</v>
      </c>
      <c r="I17" s="5">
        <f t="shared" si="0"/>
        <v>0.51</v>
      </c>
      <c r="J17" s="42" t="s">
        <v>246</v>
      </c>
      <c r="K17" s="476" t="s">
        <v>755</v>
      </c>
      <c r="L17" s="271">
        <v>0.2</v>
      </c>
      <c r="M17" s="271">
        <v>0.2</v>
      </c>
      <c r="N17" s="271">
        <f t="shared" si="1"/>
        <v>0.51</v>
      </c>
      <c r="O17" s="271">
        <f t="shared" si="2"/>
        <v>0.31</v>
      </c>
      <c r="P17" s="271">
        <f t="shared" si="3"/>
        <v>0.31</v>
      </c>
    </row>
    <row r="18" spans="1:16" ht="18.75" customHeight="1">
      <c r="A18" s="5" t="s">
        <v>247</v>
      </c>
      <c r="B18" s="476" t="s">
        <v>756</v>
      </c>
      <c r="C18" s="100">
        <f>'PHỤ LỤC PNN'!C267</f>
        <v>4.1695000000000002</v>
      </c>
      <c r="D18" s="100">
        <f>'Hoa Lac'!AV67</f>
        <v>0</v>
      </c>
      <c r="E18" s="5"/>
      <c r="F18" s="5"/>
      <c r="G18" s="5"/>
      <c r="H18" s="5">
        <f>'PHỤ LỤC PNN'!E267</f>
        <v>0.46</v>
      </c>
      <c r="I18" s="100">
        <f t="shared" si="0"/>
        <v>3.7095000000000002</v>
      </c>
      <c r="J18" s="42" t="s">
        <v>247</v>
      </c>
      <c r="K18" s="476" t="s">
        <v>756</v>
      </c>
      <c r="L18" s="271">
        <v>0.88</v>
      </c>
      <c r="M18" s="271">
        <v>0.88</v>
      </c>
      <c r="N18" s="271">
        <f t="shared" si="1"/>
        <v>3.7095000000000002</v>
      </c>
      <c r="O18" s="271">
        <f t="shared" si="2"/>
        <v>2.8295000000000003</v>
      </c>
      <c r="P18" s="271">
        <f t="shared" si="3"/>
        <v>2.8295000000000003</v>
      </c>
    </row>
    <row r="19" spans="1:16" ht="18.75" customHeight="1">
      <c r="A19" s="5" t="s">
        <v>248</v>
      </c>
      <c r="B19" s="476" t="s">
        <v>757</v>
      </c>
      <c r="C19" s="100">
        <f>'PHỤ LỤC PNN'!C268</f>
        <v>4.8949999999999996</v>
      </c>
      <c r="D19" s="100">
        <f>'Tran Phu'!AV67</f>
        <v>0</v>
      </c>
      <c r="E19" s="5"/>
      <c r="F19" s="5"/>
      <c r="G19" s="5"/>
      <c r="H19" s="5">
        <f>'PHỤ LỤC PNN'!E268</f>
        <v>0.01</v>
      </c>
      <c r="I19" s="100">
        <f t="shared" si="0"/>
        <v>4.8849999999999998</v>
      </c>
      <c r="J19" s="42" t="s">
        <v>248</v>
      </c>
      <c r="K19" s="476" t="s">
        <v>757</v>
      </c>
      <c r="L19" s="271">
        <v>0.38</v>
      </c>
      <c r="M19" s="271">
        <v>11.17</v>
      </c>
      <c r="N19" s="271">
        <f t="shared" si="1"/>
        <v>4.8849999999999998</v>
      </c>
      <c r="O19" s="271">
        <f t="shared" si="2"/>
        <v>4.5049999999999999</v>
      </c>
      <c r="P19" s="271">
        <f t="shared" si="3"/>
        <v>-6.2850000000000001</v>
      </c>
    </row>
    <row r="20" spans="1:16" ht="18.75" customHeight="1">
      <c r="A20" s="5" t="s">
        <v>249</v>
      </c>
      <c r="B20" s="476" t="s">
        <v>758</v>
      </c>
      <c r="C20" s="5">
        <f>'PHỤ LỤC PNN'!C269</f>
        <v>12.3</v>
      </c>
      <c r="D20" s="100">
        <f>'Hai Hoa'!AV67</f>
        <v>19.39</v>
      </c>
      <c r="E20" s="5"/>
      <c r="F20" s="5"/>
      <c r="G20" s="5"/>
      <c r="H20" s="5">
        <f>'PHỤ LỤC PNN'!E269</f>
        <v>0</v>
      </c>
      <c r="I20" s="5">
        <f t="shared" si="0"/>
        <v>31.69</v>
      </c>
      <c r="J20" s="42" t="s">
        <v>249</v>
      </c>
      <c r="K20" s="476" t="s">
        <v>758</v>
      </c>
      <c r="L20" s="271">
        <v>0.46</v>
      </c>
      <c r="M20" s="271">
        <v>0.06</v>
      </c>
      <c r="N20" s="271">
        <f t="shared" si="1"/>
        <v>31.69</v>
      </c>
      <c r="O20" s="271">
        <f t="shared" si="2"/>
        <v>31.23</v>
      </c>
      <c r="P20" s="271">
        <f t="shared" si="3"/>
        <v>31.630000000000003</v>
      </c>
    </row>
    <row r="21" spans="1:16" ht="18.75" customHeight="1">
      <c r="A21" s="5" t="s">
        <v>250</v>
      </c>
      <c r="B21" s="476" t="s">
        <v>759</v>
      </c>
      <c r="C21" s="5">
        <f>'PHỤ LỤC PNN'!C270</f>
        <v>0.3</v>
      </c>
      <c r="D21" s="100">
        <f>'Tra Co'!AV67</f>
        <v>0</v>
      </c>
      <c r="E21" s="5"/>
      <c r="F21" s="5"/>
      <c r="G21" s="5"/>
      <c r="H21" s="5">
        <f>'PHỤ LỤC PNN'!E270</f>
        <v>0</v>
      </c>
      <c r="I21" s="5">
        <f t="shared" si="0"/>
        <v>0.3</v>
      </c>
      <c r="J21" s="42" t="s">
        <v>250</v>
      </c>
      <c r="K21" s="476" t="s">
        <v>759</v>
      </c>
      <c r="L21" s="271">
        <v>0.51</v>
      </c>
      <c r="M21" s="271">
        <v>0.51</v>
      </c>
      <c r="N21" s="271">
        <f t="shared" si="1"/>
        <v>0.3</v>
      </c>
      <c r="O21" s="271">
        <f t="shared" si="2"/>
        <v>-0.21000000000000002</v>
      </c>
      <c r="P21" s="271">
        <f t="shared" si="3"/>
        <v>-0.21000000000000002</v>
      </c>
    </row>
    <row r="22" spans="1:16" ht="18.75" customHeight="1">
      <c r="A22" s="5" t="s">
        <v>251</v>
      </c>
      <c r="B22" s="476" t="s">
        <v>760</v>
      </c>
      <c r="C22" s="5">
        <f>'PHỤ LỤC PNN'!C271</f>
        <v>0.81</v>
      </c>
      <c r="D22" s="100">
        <f>'Binh Ngoc'!AV67</f>
        <v>0</v>
      </c>
      <c r="E22" s="5"/>
      <c r="F22" s="5"/>
      <c r="G22" s="5"/>
      <c r="H22" s="5">
        <f>'PHỤ LỤC PNN'!E271</f>
        <v>0</v>
      </c>
      <c r="I22" s="5">
        <f t="shared" si="0"/>
        <v>0.81</v>
      </c>
      <c r="J22" s="42" t="s">
        <v>251</v>
      </c>
      <c r="K22" s="476" t="s">
        <v>760</v>
      </c>
      <c r="L22" s="271">
        <v>0.28000000000000003</v>
      </c>
      <c r="M22" s="271">
        <v>0.28000000000000003</v>
      </c>
      <c r="N22" s="271">
        <f t="shared" si="1"/>
        <v>0.81</v>
      </c>
      <c r="O22" s="271">
        <f t="shared" si="2"/>
        <v>0.53</v>
      </c>
      <c r="P22" s="271">
        <f t="shared" si="3"/>
        <v>0.53</v>
      </c>
    </row>
    <row r="23" spans="1:16" ht="22.5" customHeight="1">
      <c r="A23" s="65"/>
      <c r="B23" s="65" t="s">
        <v>370</v>
      </c>
      <c r="C23" s="75">
        <f t="shared" ref="C23:I23" si="4">SUM(C6:C22)</f>
        <v>36.990279999999998</v>
      </c>
      <c r="D23" s="75">
        <f t="shared" si="4"/>
        <v>19.39</v>
      </c>
      <c r="E23" s="75">
        <f t="shared" si="4"/>
        <v>0</v>
      </c>
      <c r="F23" s="75">
        <f t="shared" si="4"/>
        <v>0</v>
      </c>
      <c r="G23" s="75">
        <f t="shared" si="4"/>
        <v>0</v>
      </c>
      <c r="H23" s="75">
        <f t="shared" si="4"/>
        <v>0.53</v>
      </c>
      <c r="I23" s="75">
        <f t="shared" si="4"/>
        <v>55.850279999999998</v>
      </c>
      <c r="J23" s="51"/>
      <c r="K23" s="51" t="s">
        <v>370</v>
      </c>
      <c r="L23" s="268">
        <f>SUM(L6:L22)</f>
        <v>19.399999999999999</v>
      </c>
      <c r="M23" s="268">
        <f>SUM(M6:M22)</f>
        <v>33.32</v>
      </c>
      <c r="N23" s="268">
        <f>SUM(N6:N22)</f>
        <v>55.850279999999998</v>
      </c>
      <c r="O23" s="268">
        <f>SUM(O6:O22)</f>
        <v>36.450279999999999</v>
      </c>
      <c r="P23" s="268">
        <f>SUM(P6:P22)</f>
        <v>22.530280000000001</v>
      </c>
    </row>
    <row r="24" spans="1:16" ht="15.75" hidden="1">
      <c r="I24" s="178">
        <f>'TONG TP'!BN51</f>
        <v>55.850279999999998</v>
      </c>
    </row>
    <row r="27" spans="1:16">
      <c r="I27">
        <f>'TONG TP'!BN51</f>
        <v>55.850279999999998</v>
      </c>
    </row>
    <row r="28" spans="1:16">
      <c r="I28">
        <f>I23-I27</f>
        <v>0</v>
      </c>
    </row>
  </sheetData>
  <mergeCells count="15">
    <mergeCell ref="O4:P4"/>
    <mergeCell ref="J4:J5"/>
    <mergeCell ref="K4:K5"/>
    <mergeCell ref="L4:L5"/>
    <mergeCell ref="M4:M5"/>
    <mergeCell ref="N4:N5"/>
    <mergeCell ref="A2:I2"/>
    <mergeCell ref="A4:A5"/>
    <mergeCell ref="B4:B5"/>
    <mergeCell ref="C4:C5"/>
    <mergeCell ref="D4:D5"/>
    <mergeCell ref="E4:G4"/>
    <mergeCell ref="H4:H5"/>
    <mergeCell ref="I4:I5"/>
    <mergeCell ref="H3:I3"/>
  </mergeCells>
  <phoneticPr fontId="4" type="noConversion"/>
  <printOptions horizontalCentered="1"/>
  <pageMargins left="1" right="0.25" top="0.3" bottom="0.25" header="0.5" footer="0.5"/>
  <pageSetup paperSize="9" orientation="portrait"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dimension ref="A1:H27"/>
  <sheetViews>
    <sheetView showZeros="0" topLeftCell="A19" workbookViewId="0">
      <selection activeCell="B4" sqref="B4:B5"/>
    </sheetView>
  </sheetViews>
  <sheetFormatPr defaultRowHeight="12.75"/>
  <cols>
    <col min="1" max="1" width="6.85546875" customWidth="1"/>
    <col min="2" max="2" width="22.140625" customWidth="1"/>
    <col min="3" max="3" width="10.42578125" customWidth="1"/>
    <col min="4" max="5" width="8.140625" customWidth="1"/>
    <col min="6" max="6" width="7.140625" customWidth="1"/>
    <col min="7" max="7" width="9.85546875" customWidth="1"/>
    <col min="8" max="8" width="10.85546875" customWidth="1"/>
    <col min="9" max="9" width="10.7109375" bestFit="1" customWidth="1"/>
  </cols>
  <sheetData>
    <row r="1" spans="1:8" ht="17.25" customHeight="1">
      <c r="A1" s="342" t="s">
        <v>638</v>
      </c>
    </row>
    <row r="2" spans="1:8" ht="55.5" customHeight="1">
      <c r="A2" s="1420" t="s">
        <v>771</v>
      </c>
      <c r="B2" s="1420"/>
      <c r="C2" s="1420"/>
      <c r="D2" s="1420"/>
      <c r="E2" s="1420"/>
      <c r="F2" s="1420"/>
      <c r="G2" s="1420"/>
      <c r="H2" s="1420"/>
    </row>
    <row r="3" spans="1:8" ht="18" customHeight="1">
      <c r="G3" s="1377" t="s">
        <v>138</v>
      </c>
      <c r="H3" s="1377"/>
    </row>
    <row r="4" spans="1:8" ht="37.5" customHeight="1">
      <c r="A4" s="1280" t="s">
        <v>368</v>
      </c>
      <c r="B4" s="1280" t="s">
        <v>982</v>
      </c>
      <c r="C4" s="1280" t="s">
        <v>456</v>
      </c>
      <c r="D4" s="1280" t="s">
        <v>457</v>
      </c>
      <c r="E4" s="1280" t="s">
        <v>458</v>
      </c>
      <c r="F4" s="1280"/>
      <c r="G4" s="1280" t="s">
        <v>459</v>
      </c>
      <c r="H4" s="1280" t="s">
        <v>460</v>
      </c>
    </row>
    <row r="5" spans="1:8" ht="29.25" customHeight="1">
      <c r="A5" s="1280"/>
      <c r="B5" s="1280"/>
      <c r="C5" s="1280"/>
      <c r="D5" s="1280"/>
      <c r="E5" s="57" t="s">
        <v>20</v>
      </c>
      <c r="F5" s="57" t="s">
        <v>23</v>
      </c>
      <c r="G5" s="1280"/>
      <c r="H5" s="1280"/>
    </row>
    <row r="6" spans="1:8" ht="25.5" customHeight="1">
      <c r="A6" s="70" t="s">
        <v>235</v>
      </c>
      <c r="B6" s="475" t="s">
        <v>744</v>
      </c>
      <c r="C6" s="99">
        <f>'PHỤ LỤC PNN'!C280</f>
        <v>0</v>
      </c>
      <c r="D6" s="99">
        <f>'Bac Son'!AW67</f>
        <v>0</v>
      </c>
      <c r="E6" s="99">
        <f>'Bac Son'!AW12</f>
        <v>0</v>
      </c>
      <c r="F6" s="99">
        <f>'Bac Son'!AW16</f>
        <v>0</v>
      </c>
      <c r="G6" s="99">
        <f>'PHỤ LỤC PNN'!E280</f>
        <v>0</v>
      </c>
      <c r="H6" s="99">
        <f t="shared" ref="H6:H22" si="0">C6+D6-G6</f>
        <v>0</v>
      </c>
    </row>
    <row r="7" spans="1:8" ht="25.5" customHeight="1">
      <c r="A7" s="5" t="s">
        <v>236</v>
      </c>
      <c r="B7" s="476" t="s">
        <v>745</v>
      </c>
      <c r="C7" s="100">
        <f>'PHỤ LỤC PNN'!C281</f>
        <v>0</v>
      </c>
      <c r="D7" s="100">
        <f>'Hai Son'!AW67</f>
        <v>0</v>
      </c>
      <c r="E7" s="100">
        <f>'Hai Son'!AW12</f>
        <v>0</v>
      </c>
      <c r="F7" s="100">
        <f>'Hai Son'!AW16</f>
        <v>0</v>
      </c>
      <c r="G7" s="100">
        <f>'PHỤ LỤC PNN'!E281</f>
        <v>0</v>
      </c>
      <c r="H7" s="100">
        <f t="shared" si="0"/>
        <v>0</v>
      </c>
    </row>
    <row r="8" spans="1:8" ht="25.5" customHeight="1">
      <c r="A8" s="5" t="s">
        <v>237</v>
      </c>
      <c r="B8" s="476" t="s">
        <v>746</v>
      </c>
      <c r="C8" s="100">
        <f>'PHỤ LỤC PNN'!C282</f>
        <v>0</v>
      </c>
      <c r="D8" s="100">
        <f>'Quang Nghia'!AW67</f>
        <v>0</v>
      </c>
      <c r="E8" s="100">
        <f>'Quang Nghia'!AW12</f>
        <v>0</v>
      </c>
      <c r="F8" s="100">
        <f>'Quang Nghia'!AW16</f>
        <v>0</v>
      </c>
      <c r="G8" s="100">
        <f>'PHỤ LỤC PNN'!E282</f>
        <v>0</v>
      </c>
      <c r="H8" s="100">
        <f t="shared" si="0"/>
        <v>0</v>
      </c>
    </row>
    <row r="9" spans="1:8" ht="25.5" customHeight="1">
      <c r="A9" s="5" t="s">
        <v>238</v>
      </c>
      <c r="B9" s="476" t="s">
        <v>747</v>
      </c>
      <c r="C9" s="100">
        <f>'PHỤ LỤC PNN'!C283</f>
        <v>0</v>
      </c>
      <c r="D9" s="100">
        <f>'Hai Dong'!AW67</f>
        <v>0</v>
      </c>
      <c r="E9" s="100">
        <f>'Hai Dong'!AW12</f>
        <v>0</v>
      </c>
      <c r="F9" s="100">
        <f>'Hai Dong'!AW16</f>
        <v>0</v>
      </c>
      <c r="G9" s="100">
        <f>'PHỤ LỤC PNN'!E283</f>
        <v>0</v>
      </c>
      <c r="H9" s="100">
        <f t="shared" si="0"/>
        <v>0</v>
      </c>
    </row>
    <row r="10" spans="1:8" ht="25.5" customHeight="1">
      <c r="A10" s="5" t="s">
        <v>239</v>
      </c>
      <c r="B10" s="476" t="s">
        <v>748</v>
      </c>
      <c r="C10" s="100">
        <f>'PHỤ LỤC PNN'!C284</f>
        <v>0</v>
      </c>
      <c r="D10" s="100">
        <f>'Hai Tien'!AW67</f>
        <v>0</v>
      </c>
      <c r="E10" s="100">
        <f>'Hai Tien'!AW12</f>
        <v>0</v>
      </c>
      <c r="F10" s="100">
        <f>'Hai Tien'!AW16</f>
        <v>0</v>
      </c>
      <c r="G10" s="100">
        <f>'PHỤ LỤC PNN'!E284</f>
        <v>0</v>
      </c>
      <c r="H10" s="100">
        <f t="shared" si="0"/>
        <v>0</v>
      </c>
    </row>
    <row r="11" spans="1:8" ht="25.5" customHeight="1">
      <c r="A11" s="5" t="s">
        <v>240</v>
      </c>
      <c r="B11" s="476" t="s">
        <v>749</v>
      </c>
      <c r="C11" s="100">
        <f>'PHỤ LỤC PNN'!C285</f>
        <v>0</v>
      </c>
      <c r="D11" s="100">
        <f>'Hai Xuan'!AW67</f>
        <v>0</v>
      </c>
      <c r="E11" s="100">
        <f>'Hai Xuan'!AW12</f>
        <v>0</v>
      </c>
      <c r="F11" s="100">
        <f>'Hai Xuan'!AW16</f>
        <v>0</v>
      </c>
      <c r="G11" s="100">
        <f>'PHỤ LỤC PNN'!E285</f>
        <v>0</v>
      </c>
      <c r="H11" s="100">
        <f t="shared" si="0"/>
        <v>0</v>
      </c>
    </row>
    <row r="12" spans="1:8" ht="25.5" customHeight="1">
      <c r="A12" s="5" t="s">
        <v>241</v>
      </c>
      <c r="B12" s="476" t="s">
        <v>750</v>
      </c>
      <c r="C12" s="100">
        <f>'PHỤ LỤC PNN'!C286</f>
        <v>0</v>
      </c>
      <c r="D12" s="100">
        <f>'Van Ninh'!AW68</f>
        <v>0</v>
      </c>
      <c r="E12" s="100">
        <f>'Van Ninh'!AW12</f>
        <v>0</v>
      </c>
      <c r="F12" s="100">
        <f>'Van Ninh'!AW16</f>
        <v>0</v>
      </c>
      <c r="G12" s="100">
        <f>'PHỤ LỤC PNN'!E286</f>
        <v>0</v>
      </c>
      <c r="H12" s="100">
        <f t="shared" si="0"/>
        <v>0</v>
      </c>
    </row>
    <row r="13" spans="1:8" ht="25.5" customHeight="1">
      <c r="A13" s="5" t="s">
        <v>242</v>
      </c>
      <c r="B13" s="476" t="s">
        <v>751</v>
      </c>
      <c r="C13" s="100">
        <f>'PHỤ LỤC PNN'!C287</f>
        <v>0</v>
      </c>
      <c r="D13" s="100">
        <f>'Vinh Trung'!AW68</f>
        <v>0</v>
      </c>
      <c r="E13" s="100">
        <f>'Vinh Trung'!AW12</f>
        <v>0</v>
      </c>
      <c r="F13" s="100">
        <f>'Vinh Trung'!AW16</f>
        <v>0</v>
      </c>
      <c r="G13" s="100">
        <f>'PHỤ LỤC PNN'!E287</f>
        <v>0</v>
      </c>
      <c r="H13" s="100">
        <f t="shared" si="0"/>
        <v>0</v>
      </c>
    </row>
    <row r="14" spans="1:8" ht="25.5" customHeight="1">
      <c r="A14" s="5" t="s">
        <v>243</v>
      </c>
      <c r="B14" s="476" t="s">
        <v>752</v>
      </c>
      <c r="C14" s="100">
        <f>'PHỤ LỤC PNN'!C288</f>
        <v>0</v>
      </c>
      <c r="D14" s="100">
        <f>'Vinh Thuc'!AW67</f>
        <v>0</v>
      </c>
      <c r="E14" s="100">
        <f>'Vinh Thuc'!AW12</f>
        <v>0</v>
      </c>
      <c r="F14" s="100"/>
      <c r="G14" s="100">
        <f>'PHỤ LỤC PNN'!E288</f>
        <v>0</v>
      </c>
      <c r="H14" s="100">
        <f t="shared" si="0"/>
        <v>0</v>
      </c>
    </row>
    <row r="15" spans="1:8" ht="25.5" customHeight="1">
      <c r="A15" s="5" t="s">
        <v>244</v>
      </c>
      <c r="B15" s="476" t="s">
        <v>753</v>
      </c>
      <c r="C15" s="100">
        <f>'PHỤ LỤC PNN'!C289</f>
        <v>0</v>
      </c>
      <c r="D15" s="100">
        <f>'Hai Yen'!AW68</f>
        <v>0</v>
      </c>
      <c r="E15" s="100">
        <f>'Hai Yen'!AW12</f>
        <v>0</v>
      </c>
      <c r="F15" s="100">
        <f>'Hai Yen'!AW16</f>
        <v>0</v>
      </c>
      <c r="G15" s="100">
        <f>'PHỤ LỤC PNN'!E289</f>
        <v>0</v>
      </c>
      <c r="H15" s="100">
        <f t="shared" si="0"/>
        <v>0</v>
      </c>
    </row>
    <row r="16" spans="1:8" ht="25.5" customHeight="1">
      <c r="A16" s="5" t="s">
        <v>245</v>
      </c>
      <c r="B16" s="476" t="s">
        <v>754</v>
      </c>
      <c r="C16" s="100">
        <f>'PHỤ LỤC PNN'!C290</f>
        <v>0</v>
      </c>
      <c r="D16" s="100">
        <f>'Ka Long'!AW67</f>
        <v>0</v>
      </c>
      <c r="E16" s="100">
        <f>'Ka Long'!AW12</f>
        <v>0</v>
      </c>
      <c r="F16" s="100">
        <f>'Ka Long'!AW16</f>
        <v>0</v>
      </c>
      <c r="G16" s="100">
        <f>'PHỤ LỤC PNN'!E290</f>
        <v>0</v>
      </c>
      <c r="H16" s="100">
        <f t="shared" si="0"/>
        <v>0</v>
      </c>
    </row>
    <row r="17" spans="1:8" ht="25.5" customHeight="1">
      <c r="A17" s="5" t="s">
        <v>246</v>
      </c>
      <c r="B17" s="476" t="s">
        <v>755</v>
      </c>
      <c r="C17" s="100">
        <f>'PHỤ LỤC PNN'!C291</f>
        <v>0.67</v>
      </c>
      <c r="D17" s="100">
        <f>'Ninh Duong'!AW67</f>
        <v>0</v>
      </c>
      <c r="E17" s="100">
        <f>'Ninh Duong'!AW12</f>
        <v>0</v>
      </c>
      <c r="F17" s="100">
        <f>'Ninh Duong'!AW16</f>
        <v>0</v>
      </c>
      <c r="G17" s="100">
        <f>'PHỤ LỤC PNN'!E291</f>
        <v>0</v>
      </c>
      <c r="H17" s="100">
        <f t="shared" si="0"/>
        <v>0.67</v>
      </c>
    </row>
    <row r="18" spans="1:8" ht="25.5" customHeight="1">
      <c r="A18" s="5" t="s">
        <v>247</v>
      </c>
      <c r="B18" s="476" t="s">
        <v>756</v>
      </c>
      <c r="C18" s="100">
        <f>'PHỤ LỤC PNN'!C292</f>
        <v>0</v>
      </c>
      <c r="D18" s="100">
        <f>'Hoa Lac'!AW67</f>
        <v>0</v>
      </c>
      <c r="E18" s="100">
        <f>'Hoa Lac'!AW12</f>
        <v>0</v>
      </c>
      <c r="F18" s="100">
        <f>'Hoa Lac'!AW16</f>
        <v>0</v>
      </c>
      <c r="G18" s="100">
        <f>'PHỤ LỤC PNN'!E292</f>
        <v>0</v>
      </c>
      <c r="H18" s="100">
        <f t="shared" si="0"/>
        <v>0</v>
      </c>
    </row>
    <row r="19" spans="1:8" ht="25.5" customHeight="1">
      <c r="A19" s="5" t="s">
        <v>248</v>
      </c>
      <c r="B19" s="476" t="s">
        <v>757</v>
      </c>
      <c r="C19" s="100">
        <f>'PHỤ LỤC PNN'!C293</f>
        <v>0</v>
      </c>
      <c r="D19" s="100">
        <f>'Tran Phu'!AW67</f>
        <v>0</v>
      </c>
      <c r="E19" s="100">
        <f>'Tran Phu'!AW12</f>
        <v>0</v>
      </c>
      <c r="F19" s="100">
        <f>'Tran Phu'!AW16</f>
        <v>0</v>
      </c>
      <c r="G19" s="100">
        <f>'PHỤ LỤC PNN'!E293</f>
        <v>0</v>
      </c>
      <c r="H19" s="100">
        <f t="shared" si="0"/>
        <v>0</v>
      </c>
    </row>
    <row r="20" spans="1:8" ht="25.5" customHeight="1">
      <c r="A20" s="5" t="s">
        <v>249</v>
      </c>
      <c r="B20" s="476" t="s">
        <v>758</v>
      </c>
      <c r="C20" s="100">
        <f>'PHỤ LỤC PNN'!C294</f>
        <v>0</v>
      </c>
      <c r="D20" s="100">
        <f>'Hai Hoa'!AW67</f>
        <v>0</v>
      </c>
      <c r="E20" s="100">
        <f>'Hai Hoa'!AW12</f>
        <v>0</v>
      </c>
      <c r="F20" s="100">
        <f>'Hai Hoa'!AW16</f>
        <v>0</v>
      </c>
      <c r="G20" s="100">
        <f>'PHỤ LỤC PNN'!E294</f>
        <v>0</v>
      </c>
      <c r="H20" s="100">
        <f t="shared" si="0"/>
        <v>0</v>
      </c>
    </row>
    <row r="21" spans="1:8" ht="25.5" customHeight="1">
      <c r="A21" s="5" t="s">
        <v>250</v>
      </c>
      <c r="B21" s="476" t="s">
        <v>759</v>
      </c>
      <c r="C21" s="100">
        <f>'PHỤ LỤC PNN'!C295</f>
        <v>0</v>
      </c>
      <c r="D21" s="100">
        <f>'Tra Co'!AW67</f>
        <v>0</v>
      </c>
      <c r="E21" s="100">
        <f>'Tra Co'!AW12</f>
        <v>0</v>
      </c>
      <c r="F21" s="100">
        <f>'Tra Co'!AW16</f>
        <v>0</v>
      </c>
      <c r="G21" s="100">
        <f>'PHỤ LỤC PNN'!E295</f>
        <v>0</v>
      </c>
      <c r="H21" s="100">
        <f t="shared" si="0"/>
        <v>0</v>
      </c>
    </row>
    <row r="22" spans="1:8" ht="25.5" customHeight="1">
      <c r="A22" s="5" t="s">
        <v>251</v>
      </c>
      <c r="B22" s="476" t="s">
        <v>760</v>
      </c>
      <c r="C22" s="100">
        <f>'PHỤ LỤC PNN'!C296</f>
        <v>0</v>
      </c>
      <c r="D22" s="100">
        <f>'Binh Ngoc'!AW67</f>
        <v>0</v>
      </c>
      <c r="E22" s="100">
        <f>'Binh Ngoc'!AW12</f>
        <v>0</v>
      </c>
      <c r="F22" s="100">
        <f>'Binh Ngoc'!AW16</f>
        <v>0</v>
      </c>
      <c r="G22" s="100">
        <f>'PHỤ LỤC PNN'!E296</f>
        <v>0</v>
      </c>
      <c r="H22" s="100">
        <f t="shared" si="0"/>
        <v>0</v>
      </c>
    </row>
    <row r="23" spans="1:8" ht="29.25" customHeight="1">
      <c r="A23" s="331"/>
      <c r="B23" s="331" t="s">
        <v>370</v>
      </c>
      <c r="C23" s="75">
        <f t="shared" ref="C23:H23" si="1">SUM(C6:C22)</f>
        <v>0.67</v>
      </c>
      <c r="D23" s="75">
        <f t="shared" si="1"/>
        <v>0</v>
      </c>
      <c r="E23" s="75">
        <f t="shared" si="1"/>
        <v>0</v>
      </c>
      <c r="F23" s="75">
        <f t="shared" si="1"/>
        <v>0</v>
      </c>
      <c r="G23" s="75">
        <f t="shared" si="1"/>
        <v>0</v>
      </c>
      <c r="H23" s="75">
        <f t="shared" si="1"/>
        <v>0.67</v>
      </c>
    </row>
    <row r="24" spans="1:8" ht="15.75" hidden="1">
      <c r="H24" s="69">
        <f>'TONG TP'!BN52</f>
        <v>0.67</v>
      </c>
    </row>
    <row r="27" spans="1:8" hidden="1">
      <c r="H27">
        <f>'TONG TP'!BN52</f>
        <v>0.67</v>
      </c>
    </row>
  </sheetData>
  <mergeCells count="9">
    <mergeCell ref="A2:H2"/>
    <mergeCell ref="A4:A5"/>
    <mergeCell ref="B4:B5"/>
    <mergeCell ref="C4:C5"/>
    <mergeCell ref="D4:D5"/>
    <mergeCell ref="E4:F4"/>
    <mergeCell ref="G4:G5"/>
    <mergeCell ref="H4:H5"/>
    <mergeCell ref="G3:H3"/>
  </mergeCells>
  <phoneticPr fontId="4" type="noConversion"/>
  <pageMargins left="1.25" right="0.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47"/>
  <sheetViews>
    <sheetView workbookViewId="0">
      <selection activeCell="J11" sqref="J11"/>
    </sheetView>
  </sheetViews>
  <sheetFormatPr defaultRowHeight="12.75"/>
  <cols>
    <col min="1" max="1" width="5.7109375" customWidth="1"/>
    <col min="2" max="2" width="26.7109375" customWidth="1"/>
    <col min="3" max="3" width="8" customWidth="1"/>
    <col min="4" max="4" width="10.42578125" customWidth="1"/>
    <col min="5" max="5" width="10.28515625" customWidth="1"/>
    <col min="6" max="6" width="9.140625" customWidth="1"/>
    <col min="7" max="7" width="9.42578125" customWidth="1"/>
  </cols>
  <sheetData>
    <row r="2" spans="1:8" ht="19.5" thickBot="1">
      <c r="A2" s="519" t="s">
        <v>973</v>
      </c>
      <c r="B2" s="1287" t="s">
        <v>1001</v>
      </c>
      <c r="C2" s="1288"/>
      <c r="D2" s="1288"/>
      <c r="E2" s="1288"/>
      <c r="F2" s="1288"/>
      <c r="G2" s="518"/>
    </row>
    <row r="3" spans="1:8" ht="13.5" customHeight="1" thickTop="1">
      <c r="A3" s="1289" t="s">
        <v>974</v>
      </c>
      <c r="B3" s="1291" t="s">
        <v>975</v>
      </c>
      <c r="C3" s="1293" t="s">
        <v>13</v>
      </c>
      <c r="D3" s="1295" t="s">
        <v>976</v>
      </c>
      <c r="E3" s="1295" t="s">
        <v>1010</v>
      </c>
      <c r="F3" s="1297" t="s">
        <v>1002</v>
      </c>
      <c r="G3" s="1285" t="s">
        <v>977</v>
      </c>
    </row>
    <row r="4" spans="1:8">
      <c r="A4" s="1290"/>
      <c r="B4" s="1292"/>
      <c r="C4" s="1294"/>
      <c r="D4" s="1296"/>
      <c r="E4" s="1296"/>
      <c r="F4" s="1298"/>
      <c r="G4" s="1286"/>
    </row>
    <row r="5" spans="1:8">
      <c r="A5" s="520">
        <v>-1</v>
      </c>
      <c r="B5" s="521">
        <v>-2</v>
      </c>
      <c r="C5" s="562">
        <v>-3</v>
      </c>
      <c r="D5" s="562">
        <v>-4</v>
      </c>
      <c r="E5" s="562">
        <v>-6</v>
      </c>
      <c r="F5" s="562">
        <v>-7</v>
      </c>
      <c r="G5" s="563">
        <v>-8</v>
      </c>
    </row>
    <row r="6" spans="1:8" s="53" customFormat="1">
      <c r="A6" s="564"/>
      <c r="B6" s="523" t="s">
        <v>502</v>
      </c>
      <c r="C6" s="523"/>
      <c r="D6" s="742">
        <v>51953.31</v>
      </c>
      <c r="E6" s="743">
        <v>0</v>
      </c>
      <c r="F6" s="742">
        <v>51953.31</v>
      </c>
      <c r="G6" s="744">
        <v>100</v>
      </c>
      <c r="H6" s="310">
        <v>51988.946900000003</v>
      </c>
    </row>
    <row r="7" spans="1:8" s="53" customFormat="1" ht="18" customHeight="1">
      <c r="A7" s="524">
        <v>1</v>
      </c>
      <c r="B7" s="525" t="s">
        <v>14</v>
      </c>
      <c r="C7" s="528" t="s">
        <v>15</v>
      </c>
      <c r="D7" s="745">
        <v>38448.142589999996</v>
      </c>
      <c r="E7" s="743">
        <v>-774.7699999999968</v>
      </c>
      <c r="F7" s="745">
        <v>37673.372589999999</v>
      </c>
      <c r="G7" s="746">
        <v>72.513902559817652</v>
      </c>
    </row>
    <row r="8" spans="1:8" ht="18" customHeight="1">
      <c r="A8" s="522" t="s">
        <v>16</v>
      </c>
      <c r="B8" s="527" t="s">
        <v>17</v>
      </c>
      <c r="C8" s="528" t="s">
        <v>18</v>
      </c>
      <c r="D8" s="745">
        <v>3246.9302499999999</v>
      </c>
      <c r="E8" s="743">
        <v>-167.51999999999998</v>
      </c>
      <c r="F8" s="745">
        <v>3079.4102499999999</v>
      </c>
      <c r="G8" s="746">
        <v>5.9272647883262879</v>
      </c>
    </row>
    <row r="9" spans="1:8" ht="18" customHeight="1">
      <c r="A9" s="522"/>
      <c r="B9" s="529" t="s">
        <v>19</v>
      </c>
      <c r="C9" s="528" t="s">
        <v>20</v>
      </c>
      <c r="D9" s="745">
        <v>1840.3679999999999</v>
      </c>
      <c r="E9" s="743">
        <v>-125.30999999999995</v>
      </c>
      <c r="F9" s="745">
        <v>1715.058</v>
      </c>
      <c r="G9" s="746">
        <v>3.3011525155952528</v>
      </c>
    </row>
    <row r="10" spans="1:8" ht="18" customHeight="1">
      <c r="A10" s="522" t="s">
        <v>21</v>
      </c>
      <c r="B10" s="530" t="s">
        <v>22</v>
      </c>
      <c r="C10" s="528" t="s">
        <v>23</v>
      </c>
      <c r="D10" s="745">
        <v>1015.3142999999999</v>
      </c>
      <c r="E10" s="743">
        <v>-37.970000000000027</v>
      </c>
      <c r="F10" s="745">
        <v>977.34429999999986</v>
      </c>
      <c r="G10" s="746">
        <v>1.8811973674054645</v>
      </c>
    </row>
    <row r="11" spans="1:8" ht="18" customHeight="1">
      <c r="A11" s="522" t="s">
        <v>24</v>
      </c>
      <c r="B11" s="530" t="s">
        <v>25</v>
      </c>
      <c r="C11" s="528" t="s">
        <v>26</v>
      </c>
      <c r="D11" s="745">
        <v>1840.0419399999998</v>
      </c>
      <c r="E11" s="743">
        <v>-102.66000000000008</v>
      </c>
      <c r="F11" s="745">
        <v>1737.3819399999998</v>
      </c>
      <c r="G11" s="746">
        <v>3.3441217508566821</v>
      </c>
    </row>
    <row r="12" spans="1:8" ht="18" customHeight="1">
      <c r="A12" s="522" t="s">
        <v>27</v>
      </c>
      <c r="B12" s="527" t="s">
        <v>28</v>
      </c>
      <c r="C12" s="528" t="s">
        <v>29</v>
      </c>
      <c r="D12" s="745">
        <v>15177.190000000002</v>
      </c>
      <c r="E12" s="743">
        <v>-71.930000000000291</v>
      </c>
      <c r="F12" s="745">
        <v>15105.260000000002</v>
      </c>
      <c r="G12" s="746">
        <v>29.074682633310566</v>
      </c>
    </row>
    <row r="13" spans="1:8" ht="18" customHeight="1">
      <c r="A13" s="531" t="s">
        <v>30</v>
      </c>
      <c r="B13" s="527" t="s">
        <v>31</v>
      </c>
      <c r="C13" s="528" t="s">
        <v>32</v>
      </c>
      <c r="D13" s="745"/>
      <c r="E13" s="743">
        <v>0</v>
      </c>
      <c r="F13" s="745">
        <v>0</v>
      </c>
      <c r="G13" s="746">
        <v>0</v>
      </c>
    </row>
    <row r="14" spans="1:8" ht="18" customHeight="1">
      <c r="A14" s="531" t="s">
        <v>33</v>
      </c>
      <c r="B14" s="530" t="s">
        <v>34</v>
      </c>
      <c r="C14" s="528" t="s">
        <v>35</v>
      </c>
      <c r="D14" s="745">
        <v>13541.636099999998</v>
      </c>
      <c r="E14" s="743">
        <v>-382.84000000000015</v>
      </c>
      <c r="F14" s="745">
        <v>13158.796099999998</v>
      </c>
      <c r="G14" s="746">
        <v>25.328118843630943</v>
      </c>
    </row>
    <row r="15" spans="1:8" ht="18" customHeight="1">
      <c r="A15" s="531" t="s">
        <v>36</v>
      </c>
      <c r="B15" s="530" t="s">
        <v>37</v>
      </c>
      <c r="C15" s="528" t="s">
        <v>38</v>
      </c>
      <c r="D15" s="745">
        <v>3586.9500000000003</v>
      </c>
      <c r="E15" s="743">
        <v>-11.849999999999909</v>
      </c>
      <c r="F15" s="745">
        <v>3575.1000000000004</v>
      </c>
      <c r="G15" s="746">
        <v>6.8813709848323441</v>
      </c>
    </row>
    <row r="16" spans="1:8" ht="18" customHeight="1">
      <c r="A16" s="532">
        <v>1.8</v>
      </c>
      <c r="B16" s="530" t="s">
        <v>43</v>
      </c>
      <c r="C16" s="528" t="s">
        <v>44</v>
      </c>
      <c r="D16" s="745">
        <v>40.08</v>
      </c>
      <c r="E16" s="743">
        <v>0</v>
      </c>
      <c r="F16" s="745">
        <v>40.08</v>
      </c>
      <c r="G16" s="746">
        <v>7.7146191455366372E-2</v>
      </c>
    </row>
    <row r="17" spans="1:7" s="53" customFormat="1" ht="18" customHeight="1">
      <c r="A17" s="533">
        <v>2</v>
      </c>
      <c r="B17" s="534" t="s">
        <v>45</v>
      </c>
      <c r="C17" s="526" t="s">
        <v>46</v>
      </c>
      <c r="D17" s="742">
        <v>7712.7726700000003</v>
      </c>
      <c r="E17" s="743">
        <v>888.03000000000065</v>
      </c>
      <c r="F17" s="742">
        <v>8600.8026700000009</v>
      </c>
      <c r="G17" s="744">
        <v>16.554869497246667</v>
      </c>
    </row>
    <row r="18" spans="1:7" ht="18" customHeight="1">
      <c r="A18" s="522" t="s">
        <v>47</v>
      </c>
      <c r="B18" s="527" t="s">
        <v>48</v>
      </c>
      <c r="C18" s="528" t="s">
        <v>49</v>
      </c>
      <c r="D18" s="745">
        <v>285.92867000000001</v>
      </c>
      <c r="E18" s="743">
        <v>1.2799999999999727</v>
      </c>
      <c r="F18" s="745">
        <v>287.20866999999998</v>
      </c>
      <c r="G18" s="746">
        <v>0.55282073461729386</v>
      </c>
    </row>
    <row r="19" spans="1:7" ht="18" customHeight="1">
      <c r="A19" s="522" t="s">
        <v>50</v>
      </c>
      <c r="B19" s="530" t="s">
        <v>51</v>
      </c>
      <c r="C19" s="528" t="s">
        <v>52</v>
      </c>
      <c r="D19" s="745">
        <v>9.83</v>
      </c>
      <c r="E19" s="743">
        <v>0</v>
      </c>
      <c r="F19" s="745">
        <v>9.83</v>
      </c>
      <c r="G19" s="746">
        <v>1.8920834880395494E-2</v>
      </c>
    </row>
    <row r="20" spans="1:7" ht="18" customHeight="1">
      <c r="A20" s="531" t="s">
        <v>53</v>
      </c>
      <c r="B20" s="530" t="s">
        <v>54</v>
      </c>
      <c r="C20" s="528" t="s">
        <v>55</v>
      </c>
      <c r="D20" s="745">
        <v>79.59</v>
      </c>
      <c r="E20" s="743">
        <v>38.22</v>
      </c>
      <c r="F20" s="745">
        <v>117.81</v>
      </c>
      <c r="G20" s="746">
        <v>0.22676129778834114</v>
      </c>
    </row>
    <row r="21" spans="1:7" ht="18" customHeight="1">
      <c r="A21" s="531" t="s">
        <v>56</v>
      </c>
      <c r="B21" s="527" t="s">
        <v>57</v>
      </c>
      <c r="C21" s="528" t="s">
        <v>58</v>
      </c>
      <c r="D21" s="745"/>
      <c r="E21" s="743">
        <v>0</v>
      </c>
      <c r="F21" s="745">
        <v>0</v>
      </c>
      <c r="G21" s="746">
        <v>0</v>
      </c>
    </row>
    <row r="22" spans="1:7" ht="18" customHeight="1">
      <c r="A22" s="531" t="s">
        <v>59</v>
      </c>
      <c r="B22" s="530" t="s">
        <v>60</v>
      </c>
      <c r="C22" s="528" t="s">
        <v>61</v>
      </c>
      <c r="D22" s="745">
        <v>0</v>
      </c>
      <c r="E22" s="743">
        <v>199.79</v>
      </c>
      <c r="F22" s="745">
        <v>199.79</v>
      </c>
      <c r="G22" s="746">
        <v>0.3845568261194523</v>
      </c>
    </row>
    <row r="23" spans="1:7" ht="18" customHeight="1">
      <c r="A23" s="531" t="s">
        <v>62</v>
      </c>
      <c r="B23" s="535" t="s">
        <v>63</v>
      </c>
      <c r="C23" s="528" t="s">
        <v>64</v>
      </c>
      <c r="D23" s="745">
        <v>349.95717000000002</v>
      </c>
      <c r="E23" s="743">
        <v>89.75</v>
      </c>
      <c r="F23" s="745">
        <v>439.70717000000002</v>
      </c>
      <c r="G23" s="746">
        <v>0.84635063675442446</v>
      </c>
    </row>
    <row r="24" spans="1:7" ht="18" customHeight="1">
      <c r="A24" s="531" t="s">
        <v>65</v>
      </c>
      <c r="B24" s="530" t="s">
        <v>66</v>
      </c>
      <c r="C24" s="528" t="s">
        <v>67</v>
      </c>
      <c r="D24" s="745">
        <v>126.12</v>
      </c>
      <c r="E24" s="743">
        <v>103.97</v>
      </c>
      <c r="F24" s="745">
        <v>230.09</v>
      </c>
      <c r="G24" s="746">
        <v>0.44287842295322472</v>
      </c>
    </row>
    <row r="25" spans="1:7" ht="18" customHeight="1">
      <c r="A25" s="531" t="s">
        <v>68</v>
      </c>
      <c r="B25" s="530" t="s">
        <v>69</v>
      </c>
      <c r="C25" s="528" t="s">
        <v>70</v>
      </c>
      <c r="D25" s="745"/>
      <c r="E25" s="743">
        <v>0</v>
      </c>
      <c r="F25" s="745">
        <v>0</v>
      </c>
      <c r="G25" s="746">
        <v>0</v>
      </c>
    </row>
    <row r="26" spans="1:7" ht="22.5" customHeight="1">
      <c r="A26" s="522" t="s">
        <v>71</v>
      </c>
      <c r="B26" s="536" t="s">
        <v>135</v>
      </c>
      <c r="C26" s="528" t="s">
        <v>72</v>
      </c>
      <c r="D26" s="745">
        <v>2144.3125000000005</v>
      </c>
      <c r="E26" s="743">
        <v>182.65999999999894</v>
      </c>
      <c r="F26" s="745">
        <v>2326.9724999999994</v>
      </c>
      <c r="G26" s="746">
        <v>4.4789687124843427</v>
      </c>
    </row>
    <row r="27" spans="1:7" ht="18" customHeight="1">
      <c r="A27" s="522" t="s">
        <v>73</v>
      </c>
      <c r="B27" s="537" t="s">
        <v>74</v>
      </c>
      <c r="C27" s="528" t="s">
        <v>75</v>
      </c>
      <c r="D27" s="745">
        <v>0.24000000000000002</v>
      </c>
      <c r="E27" s="743">
        <v>0</v>
      </c>
      <c r="F27" s="745">
        <v>0.24000000000000002</v>
      </c>
      <c r="G27" s="746">
        <v>4.6195324224770283E-4</v>
      </c>
    </row>
    <row r="28" spans="1:7" ht="18" customHeight="1">
      <c r="A28" s="522" t="s">
        <v>76</v>
      </c>
      <c r="B28" s="537" t="s">
        <v>77</v>
      </c>
      <c r="C28" s="528" t="s">
        <v>78</v>
      </c>
      <c r="D28" s="745"/>
      <c r="E28" s="743">
        <v>0</v>
      </c>
      <c r="F28" s="745">
        <v>0</v>
      </c>
      <c r="G28" s="746">
        <v>0</v>
      </c>
    </row>
    <row r="29" spans="1:7" ht="18" customHeight="1">
      <c r="A29" s="522" t="s">
        <v>79</v>
      </c>
      <c r="B29" s="538" t="s">
        <v>80</v>
      </c>
      <c r="C29" s="528" t="s">
        <v>81</v>
      </c>
      <c r="D29" s="745">
        <v>44.33</v>
      </c>
      <c r="E29" s="743">
        <v>11.520000000000003</v>
      </c>
      <c r="F29" s="745">
        <v>55.85</v>
      </c>
      <c r="G29" s="746">
        <v>0.10750036908139252</v>
      </c>
    </row>
    <row r="30" spans="1:7" ht="18" customHeight="1">
      <c r="A30" s="522" t="s">
        <v>82</v>
      </c>
      <c r="B30" s="538" t="s">
        <v>83</v>
      </c>
      <c r="C30" s="528" t="s">
        <v>84</v>
      </c>
      <c r="D30" s="745">
        <v>312.20955000000004</v>
      </c>
      <c r="E30" s="743">
        <v>12.579999999999984</v>
      </c>
      <c r="F30" s="745">
        <v>324.78955000000002</v>
      </c>
      <c r="G30" s="746">
        <v>0.62515660696113495</v>
      </c>
    </row>
    <row r="31" spans="1:7" ht="18" customHeight="1">
      <c r="A31" s="522" t="s">
        <v>85</v>
      </c>
      <c r="B31" s="539" t="s">
        <v>86</v>
      </c>
      <c r="C31" s="528" t="s">
        <v>87</v>
      </c>
      <c r="D31" s="745">
        <v>360.37450000000001</v>
      </c>
      <c r="E31" s="743">
        <v>11.870000000000005</v>
      </c>
      <c r="F31" s="745">
        <v>372.24450000000002</v>
      </c>
      <c r="G31" s="746">
        <v>0.71649814034947923</v>
      </c>
    </row>
    <row r="32" spans="1:7" ht="18" customHeight="1">
      <c r="A32" s="522" t="s">
        <v>88</v>
      </c>
      <c r="B32" s="536" t="s">
        <v>89</v>
      </c>
      <c r="C32" s="528" t="s">
        <v>90</v>
      </c>
      <c r="D32" s="745">
        <v>36.990279999999998</v>
      </c>
      <c r="E32" s="743">
        <v>18.86</v>
      </c>
      <c r="F32" s="745">
        <v>55.850279999999998</v>
      </c>
      <c r="G32" s="746">
        <v>0.1075009080268418</v>
      </c>
    </row>
    <row r="33" spans="1:7" ht="18" customHeight="1">
      <c r="A33" s="522" t="s">
        <v>91</v>
      </c>
      <c r="B33" s="537" t="s">
        <v>92</v>
      </c>
      <c r="C33" s="528" t="s">
        <v>93</v>
      </c>
      <c r="D33" s="745">
        <v>0.67</v>
      </c>
      <c r="E33" s="743">
        <v>0</v>
      </c>
      <c r="F33" s="745">
        <v>0.67</v>
      </c>
      <c r="G33" s="746">
        <v>1.2896194679415038E-3</v>
      </c>
    </row>
    <row r="34" spans="1:7" ht="18" customHeight="1">
      <c r="A34" s="522" t="s">
        <v>94</v>
      </c>
      <c r="B34" s="537" t="s">
        <v>95</v>
      </c>
      <c r="C34" s="528" t="s">
        <v>96</v>
      </c>
      <c r="D34" s="745"/>
      <c r="E34" s="743">
        <v>0</v>
      </c>
      <c r="F34" s="745">
        <v>0</v>
      </c>
      <c r="G34" s="746">
        <v>0</v>
      </c>
    </row>
    <row r="35" spans="1:7" ht="18" customHeight="1">
      <c r="A35" s="522" t="s">
        <v>97</v>
      </c>
      <c r="B35" s="537" t="s">
        <v>98</v>
      </c>
      <c r="C35" s="528" t="s">
        <v>99</v>
      </c>
      <c r="D35" s="745">
        <v>10.77</v>
      </c>
      <c r="E35" s="743">
        <v>1.3499999999999996</v>
      </c>
      <c r="F35" s="745">
        <v>12.12</v>
      </c>
      <c r="G35" s="746">
        <v>2.3328638733508988E-2</v>
      </c>
    </row>
    <row r="36" spans="1:7" ht="18" customHeight="1">
      <c r="A36" s="522" t="s">
        <v>100</v>
      </c>
      <c r="B36" s="536" t="s">
        <v>134</v>
      </c>
      <c r="C36" s="528" t="s">
        <v>101</v>
      </c>
      <c r="D36" s="745">
        <v>239.16000000000003</v>
      </c>
      <c r="E36" s="743">
        <v>-1.6999999999999886</v>
      </c>
      <c r="F36" s="745">
        <v>237.46000000000004</v>
      </c>
      <c r="G36" s="746">
        <v>0.45706423710058136</v>
      </c>
    </row>
    <row r="37" spans="1:7" ht="18" customHeight="1">
      <c r="A37" s="522" t="s">
        <v>102</v>
      </c>
      <c r="B37" s="537" t="s">
        <v>103</v>
      </c>
      <c r="C37" s="528" t="s">
        <v>104</v>
      </c>
      <c r="D37" s="745">
        <v>18.010399999999997</v>
      </c>
      <c r="E37" s="743">
        <v>295.11999999999995</v>
      </c>
      <c r="F37" s="745">
        <v>313.13039999999995</v>
      </c>
      <c r="G37" s="746">
        <v>0.60271501469300026</v>
      </c>
    </row>
    <row r="38" spans="1:7" ht="18" customHeight="1">
      <c r="A38" s="540" t="s">
        <v>105</v>
      </c>
      <c r="B38" s="541" t="s">
        <v>106</v>
      </c>
      <c r="C38" s="542" t="s">
        <v>107</v>
      </c>
      <c r="D38" s="745">
        <v>12.949599999999998</v>
      </c>
      <c r="E38" s="743">
        <v>-0.60999999999999943</v>
      </c>
      <c r="F38" s="745">
        <v>12.339599999999999</v>
      </c>
      <c r="G38" s="746">
        <v>2.3751325950165637E-2</v>
      </c>
    </row>
    <row r="39" spans="1:7" ht="18" customHeight="1">
      <c r="A39" s="558" t="s">
        <v>108</v>
      </c>
      <c r="B39" s="537" t="s">
        <v>109</v>
      </c>
      <c r="C39" s="559" t="s">
        <v>110</v>
      </c>
      <c r="D39" s="745">
        <v>12.29</v>
      </c>
      <c r="E39" s="743">
        <v>14.989999999999998</v>
      </c>
      <c r="F39" s="745">
        <v>27.279999999999998</v>
      </c>
      <c r="G39" s="746">
        <v>5.2508685202155542E-2</v>
      </c>
    </row>
    <row r="40" spans="1:7" ht="18" customHeight="1">
      <c r="A40" s="543" t="s">
        <v>111</v>
      </c>
      <c r="B40" s="560" t="s">
        <v>112</v>
      </c>
      <c r="C40" s="561" t="s">
        <v>113</v>
      </c>
      <c r="D40" s="747">
        <v>10.530000000000003</v>
      </c>
      <c r="E40" s="743">
        <v>-8.9999999999999858E-2</v>
      </c>
      <c r="F40" s="748">
        <v>10.440000000000003</v>
      </c>
      <c r="G40" s="746">
        <v>2.0094966037775081E-2</v>
      </c>
    </row>
    <row r="41" spans="1:7" ht="18" customHeight="1">
      <c r="A41" s="544" t="s">
        <v>114</v>
      </c>
      <c r="B41" s="545" t="s">
        <v>115</v>
      </c>
      <c r="C41" s="546" t="s">
        <v>116</v>
      </c>
      <c r="D41" s="548">
        <v>2540.5800000000004</v>
      </c>
      <c r="E41" s="743">
        <v>-60.860000000000127</v>
      </c>
      <c r="F41" s="548">
        <v>2479.7200000000003</v>
      </c>
      <c r="G41" s="746">
        <v>4.7729778911103073</v>
      </c>
    </row>
    <row r="42" spans="1:7" ht="18" customHeight="1">
      <c r="A42" s="544" t="s">
        <v>117</v>
      </c>
      <c r="B42" s="545" t="s">
        <v>118</v>
      </c>
      <c r="C42" s="546" t="s">
        <v>119</v>
      </c>
      <c r="D42" s="548">
        <v>1115.8399999999999</v>
      </c>
      <c r="E42" s="743">
        <v>-30.670000000000073</v>
      </c>
      <c r="F42" s="548">
        <v>1085.1699999999998</v>
      </c>
      <c r="G42" s="746">
        <v>2.0887408328747483</v>
      </c>
    </row>
    <row r="43" spans="1:7" s="519" customFormat="1" ht="18" customHeight="1">
      <c r="A43" s="544" t="s">
        <v>120</v>
      </c>
      <c r="B43" s="545" t="s">
        <v>121</v>
      </c>
      <c r="C43" s="546" t="s">
        <v>122</v>
      </c>
      <c r="D43" s="548">
        <v>2.09</v>
      </c>
      <c r="E43" s="743">
        <v>0</v>
      </c>
      <c r="F43" s="548">
        <v>2.09</v>
      </c>
      <c r="G43" s="746">
        <v>4.0228428179070784E-3</v>
      </c>
    </row>
    <row r="44" spans="1:7" s="53" customFormat="1" ht="18" customHeight="1">
      <c r="A44" s="549">
        <v>3</v>
      </c>
      <c r="B44" s="550" t="s">
        <v>123</v>
      </c>
      <c r="C44" s="551" t="s">
        <v>124</v>
      </c>
      <c r="D44" s="552">
        <v>5792.391639999998</v>
      </c>
      <c r="E44" s="743">
        <v>-77.619999999999891</v>
      </c>
      <c r="F44" s="552">
        <v>5714.7716399999981</v>
      </c>
      <c r="G44" s="744">
        <v>10.999822032513421</v>
      </c>
    </row>
    <row r="45" spans="1:7" ht="18" customHeight="1">
      <c r="A45" s="544">
        <v>4</v>
      </c>
      <c r="B45" s="545" t="s">
        <v>129</v>
      </c>
      <c r="C45" s="546" t="s">
        <v>130</v>
      </c>
      <c r="D45" s="547">
        <v>44199.24</v>
      </c>
      <c r="E45" s="743">
        <v>0</v>
      </c>
      <c r="F45" s="547">
        <v>44199.24</v>
      </c>
      <c r="G45" s="553"/>
    </row>
    <row r="46" spans="1:7" ht="18" customHeight="1" thickBot="1">
      <c r="A46" s="554"/>
      <c r="B46" s="555"/>
      <c r="C46" s="555"/>
      <c r="D46" s="555"/>
      <c r="E46" s="555"/>
      <c r="F46" s="556"/>
      <c r="G46" s="557"/>
    </row>
    <row r="47" spans="1:7" ht="13.5" thickTop="1"/>
  </sheetData>
  <mergeCells count="8">
    <mergeCell ref="G3:G4"/>
    <mergeCell ref="B2:F2"/>
    <mergeCell ref="A3:A4"/>
    <mergeCell ref="B3:B4"/>
    <mergeCell ref="C3:C4"/>
    <mergeCell ref="D3:D4"/>
    <mergeCell ref="E3:E4"/>
    <mergeCell ref="F3:F4"/>
  </mergeCells>
  <printOptions horizontalCentered="1"/>
  <pageMargins left="1.2" right="0.2" top="0.25" bottom="0.25" header="0.3" footer="0.3"/>
  <pageSetup paperSize="9" orientation="portrait" verticalDpi="0"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7"/>
  <dimension ref="A1:P28"/>
  <sheetViews>
    <sheetView showZeros="0" topLeftCell="A13" workbookViewId="0">
      <selection activeCell="B4" sqref="B4:B5"/>
    </sheetView>
  </sheetViews>
  <sheetFormatPr defaultRowHeight="12.75"/>
  <cols>
    <col min="1" max="1" width="6.28515625" customWidth="1"/>
    <col min="2" max="2" width="22.28515625" customWidth="1"/>
    <col min="3" max="3" width="10.42578125" customWidth="1"/>
    <col min="4" max="4" width="9" customWidth="1"/>
    <col min="5" max="7" width="9" style="263" customWidth="1"/>
    <col min="8" max="8" width="9" customWidth="1"/>
    <col min="9" max="9" width="11.42578125" customWidth="1"/>
    <col min="10" max="10" width="7.28515625" customWidth="1"/>
    <col min="11" max="11" width="22" customWidth="1"/>
  </cols>
  <sheetData>
    <row r="1" spans="1:16" ht="17.25" customHeight="1">
      <c r="A1" s="342" t="s">
        <v>653</v>
      </c>
    </row>
    <row r="2" spans="1:16" ht="32.25" customHeight="1">
      <c r="A2" s="1424" t="s">
        <v>772</v>
      </c>
      <c r="B2" s="1424"/>
      <c r="C2" s="1424"/>
      <c r="D2" s="1424"/>
      <c r="E2" s="1424"/>
      <c r="F2" s="1424"/>
      <c r="G2" s="1424"/>
      <c r="H2" s="1424"/>
      <c r="I2" s="1424"/>
    </row>
    <row r="3" spans="1:16" ht="18" customHeight="1">
      <c r="H3" s="1377" t="s">
        <v>138</v>
      </c>
      <c r="I3" s="1377"/>
      <c r="J3" s="1301" t="s">
        <v>0</v>
      </c>
      <c r="K3" s="1301" t="s">
        <v>369</v>
      </c>
      <c r="L3" s="1301" t="s">
        <v>494</v>
      </c>
      <c r="M3" s="1391" t="s">
        <v>495</v>
      </c>
      <c r="N3" s="1391" t="s">
        <v>496</v>
      </c>
      <c r="O3" s="1390" t="s">
        <v>497</v>
      </c>
      <c r="P3" s="1390"/>
    </row>
    <row r="4" spans="1:16" ht="30.75" customHeight="1">
      <c r="A4" s="1280" t="s">
        <v>368</v>
      </c>
      <c r="B4" s="1280" t="s">
        <v>985</v>
      </c>
      <c r="C4" s="1280" t="s">
        <v>456</v>
      </c>
      <c r="D4" s="1280" t="s">
        <v>457</v>
      </c>
      <c r="E4" s="1404"/>
      <c r="F4" s="1404"/>
      <c r="G4" s="1379"/>
      <c r="H4" s="1280" t="s">
        <v>459</v>
      </c>
      <c r="I4" s="1280" t="s">
        <v>460</v>
      </c>
      <c r="J4" s="1301"/>
      <c r="K4" s="1301"/>
      <c r="L4" s="1301"/>
      <c r="M4" s="1391"/>
      <c r="N4" s="1391"/>
      <c r="O4" s="1301" t="s">
        <v>498</v>
      </c>
      <c r="P4" s="1301" t="s">
        <v>344</v>
      </c>
    </row>
    <row r="5" spans="1:16" ht="29.25" customHeight="1">
      <c r="A5" s="1280"/>
      <c r="B5" s="1280"/>
      <c r="C5" s="1280"/>
      <c r="D5" s="1280"/>
      <c r="E5" s="264"/>
      <c r="F5" s="264"/>
      <c r="G5" s="264"/>
      <c r="H5" s="1280"/>
      <c r="I5" s="1280"/>
      <c r="J5" s="1301"/>
      <c r="K5" s="1301"/>
      <c r="L5" s="1301"/>
      <c r="M5" s="1391"/>
      <c r="N5" s="1391"/>
      <c r="O5" s="1301"/>
      <c r="P5" s="1301"/>
    </row>
    <row r="6" spans="1:16" ht="18.75" customHeight="1">
      <c r="A6" s="70" t="s">
        <v>235</v>
      </c>
      <c r="B6" s="475" t="s">
        <v>744</v>
      </c>
      <c r="C6" s="99">
        <f>'PHỤ LỤC PNN'!C305</f>
        <v>0</v>
      </c>
      <c r="D6" s="99">
        <f>'Bac Son'!AY67</f>
        <v>0</v>
      </c>
      <c r="E6" s="99"/>
      <c r="F6" s="99"/>
      <c r="G6" s="99"/>
      <c r="H6" s="99">
        <f>'PHỤ LỤC PNN'!E305</f>
        <v>0</v>
      </c>
      <c r="I6" s="99">
        <f t="shared" ref="I6:I22" si="0">C6+D6-H6</f>
        <v>0</v>
      </c>
      <c r="J6" s="41" t="s">
        <v>235</v>
      </c>
      <c r="K6" s="475" t="s">
        <v>744</v>
      </c>
      <c r="L6" s="60">
        <v>0.92</v>
      </c>
      <c r="M6" s="60">
        <v>0.87</v>
      </c>
      <c r="N6" s="60">
        <f>I6</f>
        <v>0</v>
      </c>
      <c r="O6" s="60">
        <f>N6-L6</f>
        <v>-0.92</v>
      </c>
      <c r="P6" s="60">
        <f>N6-M6</f>
        <v>-0.87</v>
      </c>
    </row>
    <row r="7" spans="1:16" ht="18.75" customHeight="1">
      <c r="A7" s="5" t="s">
        <v>236</v>
      </c>
      <c r="B7" s="476" t="s">
        <v>745</v>
      </c>
      <c r="C7" s="100">
        <f>'PHỤ LỤC PNN'!C306</f>
        <v>0</v>
      </c>
      <c r="D7" s="99">
        <f>'Hai Son'!AY67</f>
        <v>0</v>
      </c>
      <c r="E7" s="100"/>
      <c r="F7" s="100"/>
      <c r="G7" s="100"/>
      <c r="H7" s="100">
        <f>'PHỤ LỤC PNN'!E306</f>
        <v>0</v>
      </c>
      <c r="I7" s="100">
        <f t="shared" si="0"/>
        <v>0</v>
      </c>
      <c r="J7" s="42" t="s">
        <v>236</v>
      </c>
      <c r="K7" s="476" t="s">
        <v>745</v>
      </c>
      <c r="L7" s="61">
        <v>0.33</v>
      </c>
      <c r="M7" s="61">
        <v>0.33</v>
      </c>
      <c r="N7" s="61">
        <f t="shared" ref="N7:N22" si="1">I7</f>
        <v>0</v>
      </c>
      <c r="O7" s="61">
        <f t="shared" ref="O7:O22" si="2">N7-L7</f>
        <v>-0.33</v>
      </c>
      <c r="P7" s="61">
        <f t="shared" ref="P7:P22" si="3">N7-M7</f>
        <v>-0.33</v>
      </c>
    </row>
    <row r="8" spans="1:16" ht="18.75" customHeight="1">
      <c r="A8" s="5" t="s">
        <v>237</v>
      </c>
      <c r="B8" s="476" t="s">
        <v>746</v>
      </c>
      <c r="C8" s="100">
        <f>'PHỤ LỤC PNN'!C307</f>
        <v>0</v>
      </c>
      <c r="D8" s="99">
        <f>'Quang Nghia'!AY67</f>
        <v>0</v>
      </c>
      <c r="E8" s="100"/>
      <c r="F8" s="100"/>
      <c r="G8" s="100"/>
      <c r="H8" s="100">
        <f>'PHỤ LỤC PNN'!E307</f>
        <v>0</v>
      </c>
      <c r="I8" s="100">
        <f t="shared" si="0"/>
        <v>0</v>
      </c>
      <c r="J8" s="42" t="s">
        <v>237</v>
      </c>
      <c r="K8" s="476" t="s">
        <v>746</v>
      </c>
      <c r="L8" s="62">
        <v>4.54</v>
      </c>
      <c r="M8" s="61">
        <v>4.7</v>
      </c>
      <c r="N8" s="61">
        <f t="shared" si="1"/>
        <v>0</v>
      </c>
      <c r="O8" s="61">
        <f t="shared" si="2"/>
        <v>-4.54</v>
      </c>
      <c r="P8" s="61">
        <f t="shared" si="3"/>
        <v>-4.7</v>
      </c>
    </row>
    <row r="9" spans="1:16" ht="18.75" customHeight="1">
      <c r="A9" s="5" t="s">
        <v>238</v>
      </c>
      <c r="B9" s="476" t="s">
        <v>747</v>
      </c>
      <c r="C9" s="100">
        <f>'PHỤ LỤC PNN'!C308</f>
        <v>0</v>
      </c>
      <c r="D9" s="99">
        <f>'Hai Dong'!AY67</f>
        <v>0</v>
      </c>
      <c r="E9" s="100"/>
      <c r="F9" s="100"/>
      <c r="G9" s="100"/>
      <c r="H9" s="100">
        <f>'PHỤ LỤC PNN'!E308</f>
        <v>0</v>
      </c>
      <c r="I9" s="100">
        <f t="shared" si="0"/>
        <v>0</v>
      </c>
      <c r="J9" s="42" t="s">
        <v>238</v>
      </c>
      <c r="K9" s="476" t="s">
        <v>747</v>
      </c>
      <c r="L9" s="61">
        <v>0.6</v>
      </c>
      <c r="M9" s="61">
        <v>0.1</v>
      </c>
      <c r="N9" s="61">
        <f t="shared" si="1"/>
        <v>0</v>
      </c>
      <c r="O9" s="61">
        <f t="shared" si="2"/>
        <v>-0.6</v>
      </c>
      <c r="P9" s="61">
        <f t="shared" si="3"/>
        <v>-0.1</v>
      </c>
    </row>
    <row r="10" spans="1:16" ht="18.75" customHeight="1">
      <c r="A10" s="5" t="s">
        <v>239</v>
      </c>
      <c r="B10" s="476" t="s">
        <v>748</v>
      </c>
      <c r="C10" s="100">
        <f>'PHỤ LỤC PNN'!C309</f>
        <v>0</v>
      </c>
      <c r="D10" s="99">
        <f>'Hai Tien'!AY67</f>
        <v>0</v>
      </c>
      <c r="E10" s="100"/>
      <c r="F10" s="100"/>
      <c r="G10" s="100"/>
      <c r="H10" s="100">
        <f>'PHỤ LỤC PNN'!E309</f>
        <v>0</v>
      </c>
      <c r="I10" s="100">
        <f t="shared" si="0"/>
        <v>0</v>
      </c>
      <c r="J10" s="42" t="s">
        <v>239</v>
      </c>
      <c r="K10" s="476" t="s">
        <v>748</v>
      </c>
      <c r="L10" s="61">
        <v>0.02</v>
      </c>
      <c r="M10" s="61">
        <v>0.02</v>
      </c>
      <c r="N10" s="61">
        <f t="shared" si="1"/>
        <v>0</v>
      </c>
      <c r="O10" s="61">
        <f t="shared" si="2"/>
        <v>-0.02</v>
      </c>
      <c r="P10" s="61">
        <f t="shared" si="3"/>
        <v>-0.02</v>
      </c>
    </row>
    <row r="11" spans="1:16" ht="18.75" customHeight="1">
      <c r="A11" s="5" t="s">
        <v>240</v>
      </c>
      <c r="B11" s="476" t="s">
        <v>749</v>
      </c>
      <c r="C11" s="100">
        <f>'PHỤ LỤC PNN'!C310</f>
        <v>2.3199999999999998</v>
      </c>
      <c r="D11" s="99">
        <f>'Hai Xuan'!AY67</f>
        <v>0</v>
      </c>
      <c r="E11" s="100"/>
      <c r="F11" s="100"/>
      <c r="G11" s="100"/>
      <c r="H11" s="100">
        <f>'PHỤ LỤC PNN'!E310</f>
        <v>0</v>
      </c>
      <c r="I11" s="100">
        <f t="shared" si="0"/>
        <v>2.3199999999999998</v>
      </c>
      <c r="J11" s="42" t="s">
        <v>240</v>
      </c>
      <c r="K11" s="476" t="s">
        <v>749</v>
      </c>
      <c r="L11" s="61"/>
      <c r="M11" s="61"/>
      <c r="N11" s="61">
        <f t="shared" si="1"/>
        <v>2.3199999999999998</v>
      </c>
      <c r="O11" s="61">
        <f t="shared" si="2"/>
        <v>2.3199999999999998</v>
      </c>
      <c r="P11" s="61">
        <f t="shared" si="3"/>
        <v>2.3199999999999998</v>
      </c>
    </row>
    <row r="12" spans="1:16" ht="18.75" customHeight="1">
      <c r="A12" s="5" t="s">
        <v>241</v>
      </c>
      <c r="B12" s="476" t="s">
        <v>750</v>
      </c>
      <c r="C12" s="100">
        <f>'PHỤ LỤC PNN'!C311</f>
        <v>0.71</v>
      </c>
      <c r="D12" s="99">
        <f>'Van Ninh'!AY68</f>
        <v>0</v>
      </c>
      <c r="E12" s="100"/>
      <c r="F12" s="100"/>
      <c r="G12" s="100"/>
      <c r="H12" s="100">
        <f>'PHỤ LỤC PNN'!E311</f>
        <v>0</v>
      </c>
      <c r="I12" s="100">
        <f t="shared" si="0"/>
        <v>0.71</v>
      </c>
      <c r="J12" s="42" t="s">
        <v>241</v>
      </c>
      <c r="K12" s="476" t="s">
        <v>750</v>
      </c>
      <c r="L12" s="61">
        <v>0.09</v>
      </c>
      <c r="M12" s="61">
        <v>0.19</v>
      </c>
      <c r="N12" s="61">
        <f t="shared" si="1"/>
        <v>0.71</v>
      </c>
      <c r="O12" s="61">
        <f t="shared" si="2"/>
        <v>0.62</v>
      </c>
      <c r="P12" s="61">
        <f t="shared" si="3"/>
        <v>0.52</v>
      </c>
    </row>
    <row r="13" spans="1:16" ht="18.75" customHeight="1">
      <c r="A13" s="5" t="s">
        <v>242</v>
      </c>
      <c r="B13" s="476" t="s">
        <v>751</v>
      </c>
      <c r="C13" s="100">
        <f>'PHỤ LỤC PNN'!C312</f>
        <v>0</v>
      </c>
      <c r="D13" s="99">
        <f>'Vinh Trung'!AY68</f>
        <v>0</v>
      </c>
      <c r="E13" s="100"/>
      <c r="F13" s="100"/>
      <c r="G13" s="100"/>
      <c r="H13" s="100">
        <f>'PHỤ LỤC PNN'!E312</f>
        <v>0</v>
      </c>
      <c r="I13" s="100">
        <f t="shared" si="0"/>
        <v>0</v>
      </c>
      <c r="J13" s="42" t="s">
        <v>242</v>
      </c>
      <c r="K13" s="476" t="s">
        <v>751</v>
      </c>
      <c r="L13" s="61">
        <v>1.84</v>
      </c>
      <c r="M13" s="61">
        <v>1.81</v>
      </c>
      <c r="N13" s="61">
        <f t="shared" si="1"/>
        <v>0</v>
      </c>
      <c r="O13" s="61">
        <f t="shared" si="2"/>
        <v>-1.84</v>
      </c>
      <c r="P13" s="61">
        <f t="shared" si="3"/>
        <v>-1.81</v>
      </c>
    </row>
    <row r="14" spans="1:16" ht="18.75" customHeight="1">
      <c r="A14" s="5" t="s">
        <v>243</v>
      </c>
      <c r="B14" s="476" t="s">
        <v>752</v>
      </c>
      <c r="C14" s="100">
        <f>'PHỤ LỤC PNN'!C313</f>
        <v>0</v>
      </c>
      <c r="D14" s="99">
        <f>'Vinh Thuc'!AY67</f>
        <v>0</v>
      </c>
      <c r="E14" s="100"/>
      <c r="F14" s="100"/>
      <c r="G14" s="100"/>
      <c r="H14" s="100">
        <f>'PHỤ LỤC PNN'!E313</f>
        <v>0</v>
      </c>
      <c r="I14" s="100">
        <f t="shared" si="0"/>
        <v>0</v>
      </c>
      <c r="J14" s="42" t="s">
        <v>243</v>
      </c>
      <c r="K14" s="476" t="s">
        <v>752</v>
      </c>
      <c r="L14" s="61">
        <v>0.93</v>
      </c>
      <c r="M14" s="61">
        <v>0.93</v>
      </c>
      <c r="N14" s="61">
        <f t="shared" si="1"/>
        <v>0</v>
      </c>
      <c r="O14" s="61">
        <f t="shared" si="2"/>
        <v>-0.93</v>
      </c>
      <c r="P14" s="61">
        <f t="shared" si="3"/>
        <v>-0.93</v>
      </c>
    </row>
    <row r="15" spans="1:16" ht="18.75" customHeight="1">
      <c r="A15" s="5" t="s">
        <v>244</v>
      </c>
      <c r="B15" s="476" t="s">
        <v>753</v>
      </c>
      <c r="C15" s="100">
        <f>'PHỤ LỤC PNN'!C314</f>
        <v>4.66</v>
      </c>
      <c r="D15" s="99">
        <f>'Hai Yen'!AY68</f>
        <v>1.35</v>
      </c>
      <c r="E15" s="100"/>
      <c r="F15" s="100"/>
      <c r="G15" s="100"/>
      <c r="H15" s="100">
        <f>'PHỤ LỤC PNN'!E314</f>
        <v>0</v>
      </c>
      <c r="I15" s="100">
        <f t="shared" si="0"/>
        <v>6.01</v>
      </c>
      <c r="J15" s="42" t="s">
        <v>244</v>
      </c>
      <c r="K15" s="476" t="s">
        <v>753</v>
      </c>
      <c r="L15" s="61">
        <v>0.34</v>
      </c>
      <c r="M15" s="61">
        <v>0.34</v>
      </c>
      <c r="N15" s="61">
        <f t="shared" si="1"/>
        <v>6.01</v>
      </c>
      <c r="O15" s="61">
        <f t="shared" si="2"/>
        <v>5.67</v>
      </c>
      <c r="P15" s="61">
        <f t="shared" si="3"/>
        <v>5.67</v>
      </c>
    </row>
    <row r="16" spans="1:16" ht="18.75" customHeight="1">
      <c r="A16" s="5" t="s">
        <v>245</v>
      </c>
      <c r="B16" s="476" t="s">
        <v>754</v>
      </c>
      <c r="C16" s="100">
        <f>'PHỤ LỤC PNN'!C315</f>
        <v>0.4</v>
      </c>
      <c r="D16" s="99">
        <f>'Ka Long'!AY67</f>
        <v>0</v>
      </c>
      <c r="E16" s="100"/>
      <c r="F16" s="100"/>
      <c r="G16" s="100"/>
      <c r="H16" s="100">
        <f>'PHỤ LỤC PNN'!E315</f>
        <v>0</v>
      </c>
      <c r="I16" s="100">
        <f t="shared" si="0"/>
        <v>0.4</v>
      </c>
      <c r="J16" s="42" t="s">
        <v>245</v>
      </c>
      <c r="K16" s="476" t="s">
        <v>754</v>
      </c>
      <c r="L16" s="61">
        <v>0.54</v>
      </c>
      <c r="M16" s="61">
        <v>0.64</v>
      </c>
      <c r="N16" s="61">
        <f t="shared" si="1"/>
        <v>0.4</v>
      </c>
      <c r="O16" s="61">
        <f t="shared" si="2"/>
        <v>-0.14000000000000001</v>
      </c>
      <c r="P16" s="61">
        <f t="shared" si="3"/>
        <v>-0.24</v>
      </c>
    </row>
    <row r="17" spans="1:16" ht="18.75" customHeight="1">
      <c r="A17" s="5" t="s">
        <v>246</v>
      </c>
      <c r="B17" s="476" t="s">
        <v>755</v>
      </c>
      <c r="C17" s="100">
        <f>'PHỤ LỤC PNN'!C316</f>
        <v>0.54</v>
      </c>
      <c r="D17" s="99">
        <f>'Ninh Duong'!AY67</f>
        <v>0</v>
      </c>
      <c r="E17" s="100"/>
      <c r="F17" s="100"/>
      <c r="G17" s="100"/>
      <c r="H17" s="100">
        <f>'PHỤ LỤC PNN'!E316</f>
        <v>0</v>
      </c>
      <c r="I17" s="100">
        <f t="shared" si="0"/>
        <v>0.54</v>
      </c>
      <c r="J17" s="42" t="s">
        <v>246</v>
      </c>
      <c r="K17" s="476" t="s">
        <v>755</v>
      </c>
      <c r="L17" s="62">
        <v>0.95</v>
      </c>
      <c r="M17" s="61">
        <v>1.31</v>
      </c>
      <c r="N17" s="61">
        <f t="shared" si="1"/>
        <v>0.54</v>
      </c>
      <c r="O17" s="61">
        <f t="shared" si="2"/>
        <v>-0.40999999999999992</v>
      </c>
      <c r="P17" s="61">
        <f t="shared" si="3"/>
        <v>-0.77</v>
      </c>
    </row>
    <row r="18" spans="1:16" ht="18.75" customHeight="1">
      <c r="A18" s="5" t="s">
        <v>247</v>
      </c>
      <c r="B18" s="476" t="s">
        <v>756</v>
      </c>
      <c r="C18" s="100">
        <f>'PHỤ LỤC PNN'!C317</f>
        <v>0</v>
      </c>
      <c r="D18" s="99">
        <f>'Hoa Lac'!AY67</f>
        <v>0</v>
      </c>
      <c r="E18" s="100"/>
      <c r="F18" s="100"/>
      <c r="G18" s="100"/>
      <c r="H18" s="100">
        <f>'PHỤ LỤC PNN'!E317</f>
        <v>0</v>
      </c>
      <c r="I18" s="100">
        <f t="shared" si="0"/>
        <v>0</v>
      </c>
      <c r="J18" s="42" t="s">
        <v>247</v>
      </c>
      <c r="K18" s="476" t="s">
        <v>756</v>
      </c>
      <c r="L18" s="61">
        <v>0.88</v>
      </c>
      <c r="M18" s="61">
        <v>0.94</v>
      </c>
      <c r="N18" s="61">
        <f t="shared" si="1"/>
        <v>0</v>
      </c>
      <c r="O18" s="61">
        <f t="shared" si="2"/>
        <v>-0.88</v>
      </c>
      <c r="P18" s="61">
        <f t="shared" si="3"/>
        <v>-0.94</v>
      </c>
    </row>
    <row r="19" spans="1:16" ht="18.75" customHeight="1">
      <c r="A19" s="5" t="s">
        <v>248</v>
      </c>
      <c r="B19" s="476" t="s">
        <v>757</v>
      </c>
      <c r="C19" s="100">
        <f>'PHỤ LỤC PNN'!C318</f>
        <v>0</v>
      </c>
      <c r="D19" s="99">
        <f>'Tran Phu'!AY67</f>
        <v>0</v>
      </c>
      <c r="E19" s="100"/>
      <c r="F19" s="100"/>
      <c r="G19" s="100"/>
      <c r="H19" s="100">
        <f>'PHỤ LỤC PNN'!E318</f>
        <v>0</v>
      </c>
      <c r="I19" s="100">
        <f t="shared" si="0"/>
        <v>0</v>
      </c>
      <c r="J19" s="42" t="s">
        <v>248</v>
      </c>
      <c r="K19" s="476" t="s">
        <v>757</v>
      </c>
      <c r="L19" s="61">
        <v>0.02</v>
      </c>
      <c r="M19" s="61">
        <v>0.32</v>
      </c>
      <c r="N19" s="61">
        <f t="shared" si="1"/>
        <v>0</v>
      </c>
      <c r="O19" s="61">
        <f t="shared" si="2"/>
        <v>-0.02</v>
      </c>
      <c r="P19" s="61">
        <f t="shared" si="3"/>
        <v>-0.32</v>
      </c>
    </row>
    <row r="20" spans="1:16" ht="18.75" customHeight="1">
      <c r="A20" s="5" t="s">
        <v>249</v>
      </c>
      <c r="B20" s="476" t="s">
        <v>758</v>
      </c>
      <c r="C20" s="100">
        <f>'PHỤ LỤC PNN'!C319</f>
        <v>0</v>
      </c>
      <c r="D20" s="99">
        <f>'Hai Hoa'!AY67</f>
        <v>0</v>
      </c>
      <c r="E20" s="100"/>
      <c r="F20" s="100"/>
      <c r="G20" s="100"/>
      <c r="H20" s="100">
        <f>'PHỤ LỤC PNN'!E319</f>
        <v>0</v>
      </c>
      <c r="I20" s="100">
        <f t="shared" si="0"/>
        <v>0</v>
      </c>
      <c r="J20" s="42" t="s">
        <v>249</v>
      </c>
      <c r="K20" s="476" t="s">
        <v>758</v>
      </c>
      <c r="L20" s="61">
        <v>2.72</v>
      </c>
      <c r="M20" s="61">
        <v>2.72</v>
      </c>
      <c r="N20" s="61">
        <f t="shared" si="1"/>
        <v>0</v>
      </c>
      <c r="O20" s="61">
        <f t="shared" si="2"/>
        <v>-2.72</v>
      </c>
      <c r="P20" s="61">
        <f t="shared" si="3"/>
        <v>-2.72</v>
      </c>
    </row>
    <row r="21" spans="1:16" ht="18.75" customHeight="1">
      <c r="A21" s="5" t="s">
        <v>250</v>
      </c>
      <c r="B21" s="476" t="s">
        <v>759</v>
      </c>
      <c r="C21" s="100">
        <f>'PHỤ LỤC PNN'!C320</f>
        <v>2</v>
      </c>
      <c r="D21" s="99">
        <f>'Tra Co'!AY67</f>
        <v>0</v>
      </c>
      <c r="E21" s="100"/>
      <c r="F21" s="100"/>
      <c r="G21" s="100"/>
      <c r="H21" s="100">
        <f>'PHỤ LỤC PNN'!E320</f>
        <v>0</v>
      </c>
      <c r="I21" s="100">
        <f t="shared" si="0"/>
        <v>2</v>
      </c>
      <c r="J21" s="42" t="s">
        <v>250</v>
      </c>
      <c r="K21" s="476" t="s">
        <v>759</v>
      </c>
      <c r="L21" s="61">
        <v>0.71</v>
      </c>
      <c r="M21" s="61">
        <v>0.7</v>
      </c>
      <c r="N21" s="61">
        <f t="shared" si="1"/>
        <v>2</v>
      </c>
      <c r="O21" s="61">
        <f t="shared" si="2"/>
        <v>1.29</v>
      </c>
      <c r="P21" s="61">
        <f t="shared" si="3"/>
        <v>1.3</v>
      </c>
    </row>
    <row r="22" spans="1:16" ht="18.75" customHeight="1">
      <c r="A22" s="5" t="s">
        <v>251</v>
      </c>
      <c r="B22" s="476" t="s">
        <v>760</v>
      </c>
      <c r="C22" s="100">
        <f>'PHỤ LỤC PNN'!C321</f>
        <v>0.14000000000000001</v>
      </c>
      <c r="D22" s="99">
        <f>'Binh Ngoc'!AY67</f>
        <v>0</v>
      </c>
      <c r="E22" s="100"/>
      <c r="F22" s="100"/>
      <c r="G22" s="100"/>
      <c r="H22" s="100">
        <f>'PHỤ LỤC PNN'!E321</f>
        <v>0</v>
      </c>
      <c r="I22" s="100">
        <f t="shared" si="0"/>
        <v>0.14000000000000001</v>
      </c>
      <c r="J22" s="42" t="s">
        <v>251</v>
      </c>
      <c r="K22" s="476" t="s">
        <v>760</v>
      </c>
      <c r="L22" s="61">
        <v>2.14</v>
      </c>
      <c r="M22" s="61">
        <v>1.04</v>
      </c>
      <c r="N22" s="61">
        <f t="shared" si="1"/>
        <v>0.14000000000000001</v>
      </c>
      <c r="O22" s="61">
        <f t="shared" si="2"/>
        <v>-2</v>
      </c>
      <c r="P22" s="61">
        <f t="shared" si="3"/>
        <v>-0.9</v>
      </c>
    </row>
    <row r="23" spans="1:16" ht="24.75" customHeight="1">
      <c r="A23" s="66"/>
      <c r="B23" s="66" t="s">
        <v>370</v>
      </c>
      <c r="C23" s="75">
        <f t="shared" ref="C23:I23" si="4">SUM(C6:C22)</f>
        <v>10.77</v>
      </c>
      <c r="D23" s="75">
        <f t="shared" si="4"/>
        <v>1.35</v>
      </c>
      <c r="E23" s="75">
        <f t="shared" si="4"/>
        <v>0</v>
      </c>
      <c r="F23" s="75">
        <f t="shared" si="4"/>
        <v>0</v>
      </c>
      <c r="G23" s="75">
        <f t="shared" si="4"/>
        <v>0</v>
      </c>
      <c r="H23" s="75">
        <f t="shared" si="4"/>
        <v>0</v>
      </c>
      <c r="I23" s="75">
        <f t="shared" si="4"/>
        <v>12.120000000000001</v>
      </c>
      <c r="J23" s="31"/>
      <c r="K23" s="31" t="s">
        <v>370</v>
      </c>
      <c r="L23" s="75">
        <f>SUM(L6:L22)</f>
        <v>17.57</v>
      </c>
      <c r="M23" s="75">
        <f>SUM(M6:M22)</f>
        <v>16.96</v>
      </c>
      <c r="N23" s="75">
        <f>SUM(N6:N22)</f>
        <v>12.120000000000001</v>
      </c>
      <c r="O23" s="75">
        <f>SUM(O6:O22)</f>
        <v>-5.4499999999999993</v>
      </c>
      <c r="P23" s="75">
        <f>SUM(P6:P22)</f>
        <v>-4.8400000000000007</v>
      </c>
    </row>
    <row r="24" spans="1:16" ht="15.75" hidden="1">
      <c r="I24" s="69">
        <f>'TONG TP'!BN54</f>
        <v>12.12</v>
      </c>
    </row>
    <row r="27" spans="1:16">
      <c r="I27">
        <f>'TONG TP'!BN54</f>
        <v>12.12</v>
      </c>
    </row>
    <row r="28" spans="1:16">
      <c r="I28" s="177">
        <f>I23-I27</f>
        <v>0</v>
      </c>
    </row>
  </sheetData>
  <mergeCells count="17">
    <mergeCell ref="O3:P3"/>
    <mergeCell ref="O4:O5"/>
    <mergeCell ref="P4:P5"/>
    <mergeCell ref="J3:J5"/>
    <mergeCell ref="K3:K5"/>
    <mergeCell ref="L3:L5"/>
    <mergeCell ref="M3:M5"/>
    <mergeCell ref="N3:N5"/>
    <mergeCell ref="A2:I2"/>
    <mergeCell ref="A4:A5"/>
    <mergeCell ref="B4:B5"/>
    <mergeCell ref="C4:C5"/>
    <mergeCell ref="D4:D5"/>
    <mergeCell ref="H4:H5"/>
    <mergeCell ref="I4:I5"/>
    <mergeCell ref="H3:I3"/>
    <mergeCell ref="E4:G4"/>
  </mergeCells>
  <phoneticPr fontId="4" type="noConversion"/>
  <pageMargins left="0.4" right="0.4" top="0.3" bottom="1" header="0.5" footer="0.5"/>
  <pageSetup paperSize="9" orientation="landscape"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8"/>
  <dimension ref="A1:P28"/>
  <sheetViews>
    <sheetView showZeros="0" topLeftCell="A10" workbookViewId="0">
      <selection activeCell="A4" sqref="A4:I23"/>
    </sheetView>
  </sheetViews>
  <sheetFormatPr defaultRowHeight="12.75"/>
  <cols>
    <col min="1" max="1" width="5.7109375" customWidth="1"/>
    <col min="2" max="2" width="19.7109375" customWidth="1"/>
    <col min="3" max="3" width="9.140625" customWidth="1"/>
    <col min="4" max="4" width="8.7109375" customWidth="1"/>
    <col min="5" max="5" width="6.5703125" style="263" customWidth="1"/>
    <col min="6" max="6" width="7.42578125" style="263" customWidth="1"/>
    <col min="7" max="7" width="7.42578125" customWidth="1"/>
    <col min="8" max="8" width="8" customWidth="1"/>
    <col min="9" max="9" width="10.42578125" customWidth="1"/>
    <col min="10" max="10" width="6.7109375" customWidth="1"/>
    <col min="11" max="11" width="21.140625" customWidth="1"/>
    <col min="13" max="13" width="10.5703125" customWidth="1"/>
    <col min="14" max="14" width="11.140625" customWidth="1"/>
    <col min="16" max="16" width="10.85546875" customWidth="1"/>
  </cols>
  <sheetData>
    <row r="1" spans="1:16" ht="17.25" customHeight="1">
      <c r="A1" s="353" t="s">
        <v>673</v>
      </c>
    </row>
    <row r="2" spans="1:16" ht="37.5" customHeight="1">
      <c r="A2" s="1420" t="s">
        <v>773</v>
      </c>
      <c r="B2" s="1420"/>
      <c r="C2" s="1420"/>
      <c r="D2" s="1420"/>
      <c r="E2" s="1420"/>
      <c r="F2" s="1420"/>
      <c r="G2" s="1420"/>
      <c r="H2" s="1420"/>
      <c r="I2" s="1420"/>
    </row>
    <row r="3" spans="1:16" ht="18" customHeight="1">
      <c r="H3" s="1278" t="s">
        <v>138</v>
      </c>
      <c r="I3" s="1278"/>
    </row>
    <row r="4" spans="1:16" ht="30.75" customHeight="1">
      <c r="A4" s="1280" t="s">
        <v>368</v>
      </c>
      <c r="B4" s="1280" t="s">
        <v>980</v>
      </c>
      <c r="C4" s="1280" t="s">
        <v>456</v>
      </c>
      <c r="D4" s="1280" t="s">
        <v>457</v>
      </c>
      <c r="E4" s="1280"/>
      <c r="F4" s="1280"/>
      <c r="G4" s="1280"/>
      <c r="H4" s="1280" t="s">
        <v>459</v>
      </c>
      <c r="I4" s="1280" t="s">
        <v>460</v>
      </c>
      <c r="J4" s="1406" t="s">
        <v>0</v>
      </c>
      <c r="K4" s="1301" t="s">
        <v>369</v>
      </c>
      <c r="L4" s="1301" t="s">
        <v>494</v>
      </c>
      <c r="M4" s="1391" t="s">
        <v>495</v>
      </c>
      <c r="N4" s="1391" t="s">
        <v>496</v>
      </c>
      <c r="O4" s="1301" t="s">
        <v>497</v>
      </c>
      <c r="P4" s="1301"/>
    </row>
    <row r="5" spans="1:16" ht="29.25" customHeight="1">
      <c r="A5" s="1280"/>
      <c r="B5" s="1280"/>
      <c r="C5" s="1280"/>
      <c r="D5" s="1280"/>
      <c r="E5" s="264"/>
      <c r="F5" s="264"/>
      <c r="G5" s="38"/>
      <c r="H5" s="1280"/>
      <c r="I5" s="1280"/>
      <c r="J5" s="1406"/>
      <c r="K5" s="1301"/>
      <c r="L5" s="1301"/>
      <c r="M5" s="1391"/>
      <c r="N5" s="1391"/>
      <c r="O5" s="50" t="s">
        <v>498</v>
      </c>
      <c r="P5" s="50" t="s">
        <v>344</v>
      </c>
    </row>
    <row r="6" spans="1:16" ht="18.75" customHeight="1">
      <c r="A6" s="54" t="s">
        <v>235</v>
      </c>
      <c r="B6" s="475" t="s">
        <v>744</v>
      </c>
      <c r="C6" s="99">
        <f>'PHỤ LỤC PNN'!C330</f>
        <v>3.54</v>
      </c>
      <c r="D6" s="99">
        <f>'Bac Son'!AZ67</f>
        <v>0</v>
      </c>
      <c r="E6" s="99">
        <f>'Bac Son'!AZ49</f>
        <v>0</v>
      </c>
      <c r="F6" s="99">
        <f>'Bac Son'!AZ61</f>
        <v>0</v>
      </c>
      <c r="G6" s="99">
        <f>'Bac Son'!AZ64</f>
        <v>0</v>
      </c>
      <c r="H6" s="99">
        <f>'PHỤ LỤC PNN'!E330</f>
        <v>0</v>
      </c>
      <c r="I6" s="99">
        <f t="shared" ref="I6:I22" si="0">C6+D6-H6</f>
        <v>3.54</v>
      </c>
      <c r="J6" s="41" t="s">
        <v>235</v>
      </c>
      <c r="K6" s="475" t="s">
        <v>744</v>
      </c>
      <c r="L6" s="270">
        <v>5.08</v>
      </c>
      <c r="M6" s="270">
        <v>10.84</v>
      </c>
      <c r="N6" s="270">
        <f>I6</f>
        <v>3.54</v>
      </c>
      <c r="O6" s="270">
        <f>N6-L6</f>
        <v>-1.54</v>
      </c>
      <c r="P6" s="270">
        <f>N6-M6</f>
        <v>-7.3</v>
      </c>
    </row>
    <row r="7" spans="1:16" ht="18.75" customHeight="1">
      <c r="A7" s="48" t="s">
        <v>236</v>
      </c>
      <c r="B7" s="476" t="s">
        <v>745</v>
      </c>
      <c r="C7" s="100">
        <f>'PHỤ LỤC PNN'!C331</f>
        <v>0</v>
      </c>
      <c r="D7" s="100">
        <f>'Hai Son'!AZ67</f>
        <v>0</v>
      </c>
      <c r="E7" s="100">
        <f>'Hai Son'!AZ49</f>
        <v>0</v>
      </c>
      <c r="F7" s="100">
        <f>'Hai Son'!AZ61</f>
        <v>0</v>
      </c>
      <c r="G7" s="100">
        <f>'Hai Son'!AZ64</f>
        <v>0</v>
      </c>
      <c r="H7" s="100">
        <f>'PHỤ LỤC PNN'!E331</f>
        <v>0</v>
      </c>
      <c r="I7" s="100">
        <f t="shared" si="0"/>
        <v>0</v>
      </c>
      <c r="J7" s="42" t="s">
        <v>236</v>
      </c>
      <c r="K7" s="476" t="s">
        <v>745</v>
      </c>
      <c r="L7" s="271">
        <v>5.46</v>
      </c>
      <c r="M7" s="271">
        <v>4.76</v>
      </c>
      <c r="N7" s="271">
        <f t="shared" ref="N7:N22" si="1">I7</f>
        <v>0</v>
      </c>
      <c r="O7" s="271">
        <f t="shared" ref="O7:O22" si="2">N7-L7</f>
        <v>-5.46</v>
      </c>
      <c r="P7" s="271">
        <f t="shared" ref="P7:P22" si="3">N7-M7</f>
        <v>-4.76</v>
      </c>
    </row>
    <row r="8" spans="1:16" ht="18.75" customHeight="1">
      <c r="A8" s="48" t="s">
        <v>237</v>
      </c>
      <c r="B8" s="476" t="s">
        <v>746</v>
      </c>
      <c r="C8" s="100">
        <f>'PHỤ LỤC PNN'!C332</f>
        <v>16.78</v>
      </c>
      <c r="D8" s="100">
        <f>'Quang Nghia'!AZ67</f>
        <v>0</v>
      </c>
      <c r="E8" s="100">
        <f>'Quang Nghia'!AZ49</f>
        <v>0</v>
      </c>
      <c r="F8" s="100">
        <f>'Quang Nghia'!AZ61</f>
        <v>0</v>
      </c>
      <c r="G8" s="100">
        <f>'Quang Nghia'!AZ64</f>
        <v>0</v>
      </c>
      <c r="H8" s="100">
        <f>'PHỤ LỤC PNN'!E332</f>
        <v>0.21</v>
      </c>
      <c r="I8" s="100">
        <f t="shared" si="0"/>
        <v>16.57</v>
      </c>
      <c r="J8" s="42" t="s">
        <v>237</v>
      </c>
      <c r="K8" s="476" t="s">
        <v>746</v>
      </c>
      <c r="L8" s="271">
        <v>8.75</v>
      </c>
      <c r="M8" s="271">
        <v>8.48</v>
      </c>
      <c r="N8" s="271">
        <f t="shared" si="1"/>
        <v>16.57</v>
      </c>
      <c r="O8" s="271">
        <f t="shared" si="2"/>
        <v>7.82</v>
      </c>
      <c r="P8" s="271">
        <f t="shared" si="3"/>
        <v>8.09</v>
      </c>
    </row>
    <row r="9" spans="1:16" ht="18.75" customHeight="1">
      <c r="A9" s="48" t="s">
        <v>238</v>
      </c>
      <c r="B9" s="476" t="s">
        <v>747</v>
      </c>
      <c r="C9" s="100">
        <f>'PHỤ LỤC PNN'!C333</f>
        <v>27.25</v>
      </c>
      <c r="D9" s="100">
        <f>'Hai Dong'!AZ67</f>
        <v>0</v>
      </c>
      <c r="E9" s="100">
        <f>'Hai Dong'!AZ49</f>
        <v>0</v>
      </c>
      <c r="F9" s="100">
        <f>'Hai Dong'!AZ61</f>
        <v>0</v>
      </c>
      <c r="G9" s="100">
        <f>'Hai Dong'!AZ64</f>
        <v>0</v>
      </c>
      <c r="H9" s="100">
        <f>'PHỤ LỤC PNN'!E333</f>
        <v>0</v>
      </c>
      <c r="I9" s="100">
        <f t="shared" si="0"/>
        <v>27.25</v>
      </c>
      <c r="J9" s="42" t="s">
        <v>238</v>
      </c>
      <c r="K9" s="476" t="s">
        <v>747</v>
      </c>
      <c r="L9" s="271">
        <v>8.23</v>
      </c>
      <c r="M9" s="271">
        <v>8.23</v>
      </c>
      <c r="N9" s="271">
        <f t="shared" si="1"/>
        <v>27.25</v>
      </c>
      <c r="O9" s="271">
        <f t="shared" si="2"/>
        <v>19.02</v>
      </c>
      <c r="P9" s="271">
        <f t="shared" si="3"/>
        <v>19.02</v>
      </c>
    </row>
    <row r="10" spans="1:16" ht="18.75" customHeight="1">
      <c r="A10" s="48" t="s">
        <v>239</v>
      </c>
      <c r="B10" s="476" t="s">
        <v>748</v>
      </c>
      <c r="C10" s="100">
        <f>'PHỤ LỤC PNN'!C334</f>
        <v>10.59</v>
      </c>
      <c r="D10" s="100">
        <f>'Hai Tien'!AZ67</f>
        <v>0</v>
      </c>
      <c r="E10" s="100">
        <f>'Hai Tien'!AZ49</f>
        <v>0</v>
      </c>
      <c r="F10" s="100">
        <f>'Hai Tien'!AZ61</f>
        <v>0</v>
      </c>
      <c r="G10" s="100">
        <f>'Hai Tien'!AZ64</f>
        <v>0</v>
      </c>
      <c r="H10" s="100">
        <f>'PHỤ LỤC PNN'!E334</f>
        <v>0</v>
      </c>
      <c r="I10" s="100">
        <f t="shared" si="0"/>
        <v>10.59</v>
      </c>
      <c r="J10" s="42" t="s">
        <v>239</v>
      </c>
      <c r="K10" s="476" t="s">
        <v>748</v>
      </c>
      <c r="L10" s="271">
        <v>3.99</v>
      </c>
      <c r="M10" s="271">
        <v>3.99</v>
      </c>
      <c r="N10" s="271">
        <f t="shared" si="1"/>
        <v>10.59</v>
      </c>
      <c r="O10" s="271">
        <f t="shared" si="2"/>
        <v>6.6</v>
      </c>
      <c r="P10" s="271">
        <f t="shared" si="3"/>
        <v>6.6</v>
      </c>
    </row>
    <row r="11" spans="1:16" ht="18.75" customHeight="1">
      <c r="A11" s="48" t="s">
        <v>240</v>
      </c>
      <c r="B11" s="476" t="s">
        <v>749</v>
      </c>
      <c r="C11" s="100">
        <f>'PHỤ LỤC PNN'!C335</f>
        <v>31</v>
      </c>
      <c r="D11" s="100">
        <f>'Hai Xuan'!AZ67</f>
        <v>0</v>
      </c>
      <c r="E11" s="100">
        <f>'Hai Xuan'!AZ49</f>
        <v>0</v>
      </c>
      <c r="F11" s="100">
        <f>'Hai Xuan'!AZ61</f>
        <v>0</v>
      </c>
      <c r="G11" s="100">
        <f>'Hai Xuan'!AZ64</f>
        <v>0</v>
      </c>
      <c r="H11" s="100">
        <f>'PHỤ LỤC PNN'!E335</f>
        <v>0.49</v>
      </c>
      <c r="I11" s="100">
        <f t="shared" si="0"/>
        <v>30.51</v>
      </c>
      <c r="J11" s="42" t="s">
        <v>240</v>
      </c>
      <c r="K11" s="476" t="s">
        <v>749</v>
      </c>
      <c r="L11" s="271">
        <v>3.04</v>
      </c>
      <c r="M11" s="271">
        <v>3.04</v>
      </c>
      <c r="N11" s="271">
        <f t="shared" si="1"/>
        <v>30.51</v>
      </c>
      <c r="O11" s="271">
        <f t="shared" si="2"/>
        <v>27.470000000000002</v>
      </c>
      <c r="P11" s="271">
        <f t="shared" si="3"/>
        <v>27.470000000000002</v>
      </c>
    </row>
    <row r="12" spans="1:16" ht="18.75" customHeight="1">
      <c r="A12" s="48" t="s">
        <v>241</v>
      </c>
      <c r="B12" s="476" t="s">
        <v>750</v>
      </c>
      <c r="C12" s="100">
        <f>'PHỤ LỤC PNN'!C336</f>
        <v>19</v>
      </c>
      <c r="D12" s="100">
        <f>'Van Ninh'!AZ68</f>
        <v>0</v>
      </c>
      <c r="E12" s="100">
        <f>'Van Ninh'!AZ49</f>
        <v>0</v>
      </c>
      <c r="F12" s="100">
        <f>'Van Ninh'!AZ61</f>
        <v>0</v>
      </c>
      <c r="G12" s="100">
        <f>'Van Ninh'!AZ64</f>
        <v>0</v>
      </c>
      <c r="H12" s="100">
        <f>'PHỤ LỤC PNN'!E336</f>
        <v>0</v>
      </c>
      <c r="I12" s="100">
        <f t="shared" si="0"/>
        <v>19</v>
      </c>
      <c r="J12" s="42" t="s">
        <v>241</v>
      </c>
      <c r="K12" s="476" t="s">
        <v>750</v>
      </c>
      <c r="L12" s="271">
        <v>2.88</v>
      </c>
      <c r="M12" s="271">
        <v>2.88</v>
      </c>
      <c r="N12" s="271">
        <f t="shared" si="1"/>
        <v>19</v>
      </c>
      <c r="O12" s="271">
        <f t="shared" si="2"/>
        <v>16.12</v>
      </c>
      <c r="P12" s="271">
        <f t="shared" si="3"/>
        <v>16.12</v>
      </c>
    </row>
    <row r="13" spans="1:16" ht="18.75" customHeight="1">
      <c r="A13" s="48" t="s">
        <v>242</v>
      </c>
      <c r="B13" s="476" t="s">
        <v>751</v>
      </c>
      <c r="C13" s="100">
        <f>'PHỤ LỤC PNN'!C337</f>
        <v>0.52</v>
      </c>
      <c r="D13" s="100">
        <f>'Vinh Trung'!AZ68</f>
        <v>0</v>
      </c>
      <c r="E13" s="100">
        <f>'Vinh Trung'!AZ49</f>
        <v>0</v>
      </c>
      <c r="F13" s="100">
        <f>'Vinh Trung'!AZ61</f>
        <v>0</v>
      </c>
      <c r="G13" s="100">
        <f>'Vinh Trung'!AZ64</f>
        <v>0</v>
      </c>
      <c r="H13" s="100">
        <f>'PHỤ LỤC PNN'!E337</f>
        <v>0</v>
      </c>
      <c r="I13" s="100">
        <f t="shared" si="0"/>
        <v>0.52</v>
      </c>
      <c r="J13" s="42" t="s">
        <v>242</v>
      </c>
      <c r="K13" s="476" t="s">
        <v>751</v>
      </c>
      <c r="L13" s="271">
        <v>3.45</v>
      </c>
      <c r="M13" s="271">
        <v>3.45</v>
      </c>
      <c r="N13" s="271">
        <f t="shared" si="1"/>
        <v>0.52</v>
      </c>
      <c r="O13" s="271">
        <f t="shared" si="2"/>
        <v>-2.93</v>
      </c>
      <c r="P13" s="271">
        <f t="shared" si="3"/>
        <v>-2.93</v>
      </c>
    </row>
    <row r="14" spans="1:16" ht="18.75" customHeight="1">
      <c r="A14" s="48" t="s">
        <v>243</v>
      </c>
      <c r="B14" s="476" t="s">
        <v>752</v>
      </c>
      <c r="C14" s="100">
        <f>'PHỤ LỤC PNN'!C338</f>
        <v>16.600000000000001</v>
      </c>
      <c r="D14" s="100">
        <f>'Vinh Thuc'!AZ67</f>
        <v>0</v>
      </c>
      <c r="E14" s="100">
        <f>'Vinh Thuc'!AZ49</f>
        <v>0</v>
      </c>
      <c r="F14" s="100">
        <f>'Vinh Thuc'!AZ61</f>
        <v>0</v>
      </c>
      <c r="G14" s="100">
        <f>'Vinh Thuc'!AZ64</f>
        <v>0</v>
      </c>
      <c r="H14" s="100">
        <f>'PHỤ LỤC PNN'!E338</f>
        <v>0.01</v>
      </c>
      <c r="I14" s="100">
        <f t="shared" si="0"/>
        <v>16.59</v>
      </c>
      <c r="J14" s="42" t="s">
        <v>243</v>
      </c>
      <c r="K14" s="476" t="s">
        <v>752</v>
      </c>
      <c r="L14" s="271">
        <v>5.35</v>
      </c>
      <c r="M14" s="271">
        <v>5.35</v>
      </c>
      <c r="N14" s="271">
        <f t="shared" si="1"/>
        <v>16.59</v>
      </c>
      <c r="O14" s="271">
        <f t="shared" si="2"/>
        <v>11.24</v>
      </c>
      <c r="P14" s="271">
        <f t="shared" si="3"/>
        <v>11.24</v>
      </c>
    </row>
    <row r="15" spans="1:16" ht="18.75" customHeight="1">
      <c r="A15" s="48" t="s">
        <v>244</v>
      </c>
      <c r="B15" s="476" t="s">
        <v>753</v>
      </c>
      <c r="C15" s="100">
        <f>'PHỤ LỤC PNN'!C339</f>
        <v>27.41</v>
      </c>
      <c r="D15" s="100">
        <f>'Hai Yen'!AZ68</f>
        <v>0</v>
      </c>
      <c r="E15" s="100">
        <f>'Hai Yen'!AZ49</f>
        <v>0</v>
      </c>
      <c r="F15" s="100">
        <f>'Hai Yen'!AZ61</f>
        <v>0</v>
      </c>
      <c r="G15" s="100">
        <f>'Hai Yen'!AZ64</f>
        <v>0</v>
      </c>
      <c r="H15" s="100">
        <f>'PHỤ LỤC PNN'!E339</f>
        <v>0</v>
      </c>
      <c r="I15" s="100">
        <f t="shared" si="0"/>
        <v>27.41</v>
      </c>
      <c r="J15" s="42" t="s">
        <v>244</v>
      </c>
      <c r="K15" s="476" t="s">
        <v>753</v>
      </c>
      <c r="L15" s="271">
        <v>6.3</v>
      </c>
      <c r="M15" s="271">
        <v>5.44</v>
      </c>
      <c r="N15" s="271">
        <f t="shared" si="1"/>
        <v>27.41</v>
      </c>
      <c r="O15" s="271">
        <f t="shared" si="2"/>
        <v>21.11</v>
      </c>
      <c r="P15" s="271">
        <f t="shared" si="3"/>
        <v>21.97</v>
      </c>
    </row>
    <row r="16" spans="1:16" ht="18.75" customHeight="1">
      <c r="A16" s="48" t="s">
        <v>245</v>
      </c>
      <c r="B16" s="476" t="s">
        <v>754</v>
      </c>
      <c r="C16" s="100">
        <f>'PHỤ LỤC PNN'!C340</f>
        <v>0</v>
      </c>
      <c r="D16" s="100">
        <f>'Ka Long'!AZ67</f>
        <v>0</v>
      </c>
      <c r="E16" s="100">
        <f>'Ka Long'!AZ49</f>
        <v>0</v>
      </c>
      <c r="F16" s="100">
        <f>'Ka Long'!AZ61</f>
        <v>0</v>
      </c>
      <c r="G16" s="100">
        <f>'Ka Long'!AZ64</f>
        <v>0</v>
      </c>
      <c r="H16" s="100">
        <f>'PHỤ LỤC PNN'!E340</f>
        <v>0</v>
      </c>
      <c r="I16" s="100">
        <f t="shared" si="0"/>
        <v>0</v>
      </c>
      <c r="J16" s="42" t="s">
        <v>245</v>
      </c>
      <c r="K16" s="476" t="s">
        <v>754</v>
      </c>
      <c r="L16" s="271">
        <v>8.44</v>
      </c>
      <c r="M16" s="271">
        <v>7.68</v>
      </c>
      <c r="N16" s="271">
        <f t="shared" si="1"/>
        <v>0</v>
      </c>
      <c r="O16" s="271">
        <f t="shared" si="2"/>
        <v>-8.44</v>
      </c>
      <c r="P16" s="271">
        <f t="shared" si="3"/>
        <v>-7.68</v>
      </c>
    </row>
    <row r="17" spans="1:16" ht="18.75" customHeight="1">
      <c r="A17" s="48" t="s">
        <v>246</v>
      </c>
      <c r="B17" s="476" t="s">
        <v>755</v>
      </c>
      <c r="C17" s="100">
        <f>'PHỤ LỤC PNN'!C341</f>
        <v>8.11</v>
      </c>
      <c r="D17" s="100">
        <f>'Ninh Duong'!AZ67</f>
        <v>0</v>
      </c>
      <c r="E17" s="100">
        <f>'Ninh Duong'!AZ49</f>
        <v>0</v>
      </c>
      <c r="F17" s="100">
        <f>'Ninh Duong'!AZ61</f>
        <v>0</v>
      </c>
      <c r="G17" s="100">
        <f>'Ninh Duong'!AZ64</f>
        <v>0</v>
      </c>
      <c r="H17" s="100">
        <f>'PHỤ LỤC PNN'!E341</f>
        <v>0.85</v>
      </c>
      <c r="I17" s="100">
        <f t="shared" si="0"/>
        <v>7.26</v>
      </c>
      <c r="J17" s="42" t="s">
        <v>246</v>
      </c>
      <c r="K17" s="476" t="s">
        <v>755</v>
      </c>
      <c r="L17" s="271">
        <v>4.68</v>
      </c>
      <c r="M17" s="271">
        <v>4.68</v>
      </c>
      <c r="N17" s="271">
        <f t="shared" si="1"/>
        <v>7.26</v>
      </c>
      <c r="O17" s="271">
        <f t="shared" si="2"/>
        <v>2.58</v>
      </c>
      <c r="P17" s="271">
        <f t="shared" si="3"/>
        <v>2.58</v>
      </c>
    </row>
    <row r="18" spans="1:16" ht="18.75" customHeight="1">
      <c r="A18" s="48" t="s">
        <v>247</v>
      </c>
      <c r="B18" s="476" t="s">
        <v>756</v>
      </c>
      <c r="C18" s="100">
        <f>'PHỤ LỤC PNN'!C342</f>
        <v>0</v>
      </c>
      <c r="D18" s="100">
        <f>'Hoa Lac'!AZ67</f>
        <v>0</v>
      </c>
      <c r="E18" s="100">
        <f>'Hoa Lac'!AZ49</f>
        <v>0</v>
      </c>
      <c r="F18" s="100">
        <f>'Hoa Lac'!AZ61</f>
        <v>0</v>
      </c>
      <c r="G18" s="100">
        <f>'Hoa Lac'!AZ64</f>
        <v>0</v>
      </c>
      <c r="H18" s="100">
        <f>'PHỤ LỤC PNN'!E342</f>
        <v>0</v>
      </c>
      <c r="I18" s="100">
        <f t="shared" si="0"/>
        <v>0</v>
      </c>
      <c r="J18" s="42" t="s">
        <v>247</v>
      </c>
      <c r="K18" s="476" t="s">
        <v>756</v>
      </c>
      <c r="L18" s="271">
        <v>19.89</v>
      </c>
      <c r="M18" s="271">
        <v>19.89</v>
      </c>
      <c r="N18" s="271">
        <f t="shared" si="1"/>
        <v>0</v>
      </c>
      <c r="O18" s="271">
        <f t="shared" si="2"/>
        <v>-19.89</v>
      </c>
      <c r="P18" s="271">
        <f t="shared" si="3"/>
        <v>-19.89</v>
      </c>
    </row>
    <row r="19" spans="1:16" ht="18.75" customHeight="1">
      <c r="A19" s="48" t="s">
        <v>248</v>
      </c>
      <c r="B19" s="476" t="s">
        <v>757</v>
      </c>
      <c r="C19" s="100">
        <f>'PHỤ LỤC PNN'!C343</f>
        <v>0</v>
      </c>
      <c r="D19" s="100">
        <f>'Tran Phu'!AZ67</f>
        <v>0</v>
      </c>
      <c r="E19" s="100">
        <f>'Tran Phu'!AZ49</f>
        <v>0</v>
      </c>
      <c r="F19" s="100">
        <f>'Tran Phu'!AZ61</f>
        <v>0</v>
      </c>
      <c r="G19" s="100">
        <f>'Tran Phu'!AZ64</f>
        <v>0</v>
      </c>
      <c r="H19" s="100">
        <f>'PHỤ LỤC PNN'!E343</f>
        <v>0</v>
      </c>
      <c r="I19" s="100">
        <f t="shared" si="0"/>
        <v>0</v>
      </c>
      <c r="J19" s="42" t="s">
        <v>248</v>
      </c>
      <c r="K19" s="476" t="s">
        <v>757</v>
      </c>
      <c r="L19" s="271">
        <v>4.6399999999999997</v>
      </c>
      <c r="M19" s="271">
        <v>4.6399999999999997</v>
      </c>
      <c r="N19" s="271">
        <f t="shared" si="1"/>
        <v>0</v>
      </c>
      <c r="O19" s="271">
        <f t="shared" si="2"/>
        <v>-4.6399999999999997</v>
      </c>
      <c r="P19" s="271">
        <f t="shared" si="3"/>
        <v>-4.6399999999999997</v>
      </c>
    </row>
    <row r="20" spans="1:16" ht="18.75" customHeight="1">
      <c r="A20" s="48" t="s">
        <v>249</v>
      </c>
      <c r="B20" s="476" t="s">
        <v>758</v>
      </c>
      <c r="C20" s="100">
        <f>'PHỤ LỤC PNN'!C344</f>
        <v>8.58</v>
      </c>
      <c r="D20" s="100">
        <f>'Hai Hoa'!AZ67</f>
        <v>0</v>
      </c>
      <c r="E20" s="100">
        <f>'Hai Hoa'!AZ49</f>
        <v>0</v>
      </c>
      <c r="F20" s="100">
        <f>'Hai Hoa'!AZ61</f>
        <v>0</v>
      </c>
      <c r="G20" s="100">
        <f>'Hai Hoa'!AZ64</f>
        <v>0</v>
      </c>
      <c r="H20" s="100">
        <f>'PHỤ LỤC PNN'!E344</f>
        <v>0.14000000000000001</v>
      </c>
      <c r="I20" s="100">
        <f t="shared" si="0"/>
        <v>8.44</v>
      </c>
      <c r="J20" s="42" t="s">
        <v>249</v>
      </c>
      <c r="K20" s="476" t="s">
        <v>758</v>
      </c>
      <c r="L20" s="271">
        <v>19.93</v>
      </c>
      <c r="M20" s="271">
        <v>19.75</v>
      </c>
      <c r="N20" s="271">
        <f t="shared" si="1"/>
        <v>8.44</v>
      </c>
      <c r="O20" s="271">
        <f t="shared" si="2"/>
        <v>-11.49</v>
      </c>
      <c r="P20" s="271">
        <f t="shared" si="3"/>
        <v>-11.31</v>
      </c>
    </row>
    <row r="21" spans="1:16" ht="18.75" customHeight="1">
      <c r="A21" s="48" t="s">
        <v>250</v>
      </c>
      <c r="B21" s="476" t="s">
        <v>759</v>
      </c>
      <c r="C21" s="100">
        <f>'PHỤ LỤC PNN'!C345</f>
        <v>34.43</v>
      </c>
      <c r="D21" s="100">
        <f>'Tra Co'!AZ67</f>
        <v>0</v>
      </c>
      <c r="E21" s="100">
        <f>'Tra Co'!AZ49</f>
        <v>0</v>
      </c>
      <c r="F21" s="100">
        <f>'Tra Co'!AZ61</f>
        <v>0</v>
      </c>
      <c r="G21" s="100">
        <f>'Tra Co'!AZ64</f>
        <v>0</v>
      </c>
      <c r="H21" s="100">
        <f>'PHỤ LỤC PNN'!E345</f>
        <v>0</v>
      </c>
      <c r="I21" s="100">
        <f t="shared" si="0"/>
        <v>34.43</v>
      </c>
      <c r="J21" s="42" t="s">
        <v>250</v>
      </c>
      <c r="K21" s="476" t="s">
        <v>759</v>
      </c>
      <c r="L21" s="271">
        <v>2.23</v>
      </c>
      <c r="M21" s="271">
        <v>1.53</v>
      </c>
      <c r="N21" s="271">
        <f t="shared" si="1"/>
        <v>34.43</v>
      </c>
      <c r="O21" s="271">
        <f t="shared" si="2"/>
        <v>32.200000000000003</v>
      </c>
      <c r="P21" s="271">
        <f t="shared" si="3"/>
        <v>32.9</v>
      </c>
    </row>
    <row r="22" spans="1:16" ht="18.75" customHeight="1">
      <c r="A22" s="48" t="s">
        <v>251</v>
      </c>
      <c r="B22" s="476" t="s">
        <v>760</v>
      </c>
      <c r="C22" s="100">
        <f>'PHỤ LỤC PNN'!C346</f>
        <v>35.35</v>
      </c>
      <c r="D22" s="100">
        <f>'Binh Ngoc'!AZ67</f>
        <v>0</v>
      </c>
      <c r="E22" s="100">
        <f>'Binh Ngoc'!AZ49</f>
        <v>0</v>
      </c>
      <c r="F22" s="100">
        <f>'Binh Ngoc'!AZ61</f>
        <v>0</v>
      </c>
      <c r="G22" s="100">
        <f>'Binh Ngoc'!AZ64</f>
        <v>0</v>
      </c>
      <c r="H22" s="100">
        <f>'PHỤ LỤC PNN'!E346</f>
        <v>0</v>
      </c>
      <c r="I22" s="100">
        <f t="shared" si="0"/>
        <v>35.35</v>
      </c>
      <c r="J22" s="42" t="s">
        <v>251</v>
      </c>
      <c r="K22" s="476" t="s">
        <v>760</v>
      </c>
      <c r="L22" s="271">
        <v>5.62</v>
      </c>
      <c r="M22" s="271">
        <v>5.62</v>
      </c>
      <c r="N22" s="271">
        <f t="shared" si="1"/>
        <v>35.35</v>
      </c>
      <c r="O22" s="271">
        <f t="shared" si="2"/>
        <v>29.73</v>
      </c>
      <c r="P22" s="271">
        <f t="shared" si="3"/>
        <v>29.73</v>
      </c>
    </row>
    <row r="23" spans="1:16" ht="18.75" customHeight="1">
      <c r="A23" s="52"/>
      <c r="B23" s="52" t="s">
        <v>370</v>
      </c>
      <c r="C23" s="75">
        <f t="shared" ref="C23:I23" si="4">SUM(C6:C22)</f>
        <v>239.16000000000003</v>
      </c>
      <c r="D23" s="75">
        <f t="shared" si="4"/>
        <v>0</v>
      </c>
      <c r="E23" s="75">
        <f t="shared" si="4"/>
        <v>0</v>
      </c>
      <c r="F23" s="75">
        <f t="shared" si="4"/>
        <v>0</v>
      </c>
      <c r="G23" s="75">
        <f t="shared" si="4"/>
        <v>0</v>
      </c>
      <c r="H23" s="75">
        <f t="shared" si="4"/>
        <v>1.7000000000000002</v>
      </c>
      <c r="I23" s="75">
        <f t="shared" si="4"/>
        <v>237.46</v>
      </c>
      <c r="J23" s="51"/>
      <c r="K23" s="51" t="s">
        <v>370</v>
      </c>
      <c r="L23" s="268">
        <f>SUM(L6:L22)</f>
        <v>117.96000000000002</v>
      </c>
      <c r="M23" s="268">
        <f>SUM(M6:M22)</f>
        <v>120.25000000000003</v>
      </c>
      <c r="N23" s="268">
        <f>SUM(N6:N22)</f>
        <v>237.46</v>
      </c>
      <c r="O23" s="268">
        <f>SUM(O6:O22)</f>
        <v>119.49999999999999</v>
      </c>
      <c r="P23" s="268">
        <f>SUM(P6:P22)</f>
        <v>117.21</v>
      </c>
    </row>
    <row r="24" spans="1:16" ht="15.75" hidden="1">
      <c r="C24">
        <f>'TONG TP'!D55</f>
        <v>239.16000000000003</v>
      </c>
      <c r="I24" s="69">
        <f>'TONG TP'!BN55</f>
        <v>237.46000000000004</v>
      </c>
    </row>
    <row r="27" spans="1:16">
      <c r="I27">
        <f>'TONG TP'!BN55</f>
        <v>237.46000000000004</v>
      </c>
    </row>
    <row r="28" spans="1:16">
      <c r="I28" s="177">
        <f>I23-I27</f>
        <v>0</v>
      </c>
    </row>
  </sheetData>
  <mergeCells count="15">
    <mergeCell ref="A2:I2"/>
    <mergeCell ref="A4:A5"/>
    <mergeCell ref="B4:B5"/>
    <mergeCell ref="C4:C5"/>
    <mergeCell ref="D4:D5"/>
    <mergeCell ref="E4:G4"/>
    <mergeCell ref="H4:H5"/>
    <mergeCell ref="I4:I5"/>
    <mergeCell ref="H3:I3"/>
    <mergeCell ref="O4:P4"/>
    <mergeCell ref="J4:J5"/>
    <mergeCell ref="K4:K5"/>
    <mergeCell ref="L4:L5"/>
    <mergeCell ref="M4:M5"/>
    <mergeCell ref="N4:N5"/>
  </mergeCells>
  <phoneticPr fontId="4" type="noConversion"/>
  <printOptions horizontalCentered="1"/>
  <pageMargins left="0.9" right="0.15" top="0.3" bottom="0.25" header="0.5" footer="0.5"/>
  <pageSetup paperSize="9" orientation="portrait"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9" filterMode="1"/>
  <dimension ref="A1:P28"/>
  <sheetViews>
    <sheetView showZeros="0" workbookViewId="0">
      <selection activeCell="A4" sqref="A4:I23"/>
    </sheetView>
  </sheetViews>
  <sheetFormatPr defaultRowHeight="12.75"/>
  <cols>
    <col min="1" max="1" width="6.5703125" customWidth="1"/>
    <col min="2" max="2" width="22.42578125" customWidth="1"/>
    <col min="3" max="3" width="10.7109375" customWidth="1"/>
    <col min="4" max="4" width="11.140625" customWidth="1"/>
    <col min="5" max="7" width="5.85546875" style="263" hidden="1" customWidth="1"/>
    <col min="8" max="8" width="11.28515625" customWidth="1"/>
    <col min="9" max="9" width="12.28515625" customWidth="1"/>
    <col min="10" max="10" width="7.5703125" customWidth="1"/>
    <col min="11" max="11" width="20.42578125" customWidth="1"/>
    <col min="13" max="13" width="11.5703125" customWidth="1"/>
    <col min="14" max="14" width="10.5703125" customWidth="1"/>
    <col min="16" max="16" width="9.85546875" customWidth="1"/>
  </cols>
  <sheetData>
    <row r="1" spans="1:16" ht="17.25" customHeight="1">
      <c r="A1" s="342" t="s">
        <v>674</v>
      </c>
    </row>
    <row r="2" spans="1:16" ht="42" customHeight="1">
      <c r="A2" s="1420" t="s">
        <v>774</v>
      </c>
      <c r="B2" s="1420"/>
      <c r="C2" s="1420"/>
      <c r="D2" s="1420"/>
      <c r="E2" s="1420"/>
      <c r="F2" s="1420"/>
      <c r="G2" s="1420"/>
      <c r="H2" s="1420"/>
      <c r="I2" s="1420"/>
    </row>
    <row r="3" spans="1:16" ht="18" customHeight="1">
      <c r="H3" s="1278" t="s">
        <v>138</v>
      </c>
      <c r="I3" s="1278"/>
    </row>
    <row r="4" spans="1:16" ht="19.5" customHeight="1">
      <c r="A4" s="1280" t="s">
        <v>368</v>
      </c>
      <c r="B4" s="1280" t="s">
        <v>979</v>
      </c>
      <c r="C4" s="1280" t="s">
        <v>456</v>
      </c>
      <c r="D4" s="1280" t="s">
        <v>457</v>
      </c>
      <c r="E4" s="1404"/>
      <c r="F4" s="1404"/>
      <c r="G4" s="1379"/>
      <c r="H4" s="1280" t="s">
        <v>459</v>
      </c>
      <c r="I4" s="1280" t="s">
        <v>460</v>
      </c>
      <c r="J4" s="1406" t="s">
        <v>0</v>
      </c>
      <c r="K4" s="1301" t="s">
        <v>369</v>
      </c>
      <c r="L4" s="1301" t="s">
        <v>494</v>
      </c>
      <c r="M4" s="1391" t="s">
        <v>495</v>
      </c>
      <c r="N4" s="1391" t="s">
        <v>496</v>
      </c>
      <c r="O4" s="1301" t="s">
        <v>497</v>
      </c>
      <c r="P4" s="1301"/>
    </row>
    <row r="5" spans="1:16" ht="19.5" customHeight="1">
      <c r="A5" s="1280"/>
      <c r="B5" s="1280"/>
      <c r="C5" s="1280"/>
      <c r="D5" s="1280"/>
      <c r="E5" s="264"/>
      <c r="F5" s="264"/>
      <c r="G5" s="264"/>
      <c r="H5" s="1280"/>
      <c r="I5" s="1280"/>
      <c r="J5" s="1406"/>
      <c r="K5" s="1301"/>
      <c r="L5" s="1301"/>
      <c r="M5" s="1391"/>
      <c r="N5" s="1391"/>
      <c r="O5" s="50" t="s">
        <v>498</v>
      </c>
      <c r="P5" s="50" t="s">
        <v>344</v>
      </c>
    </row>
    <row r="6" spans="1:16" ht="18" hidden="1" customHeight="1">
      <c r="A6" s="70" t="s">
        <v>235</v>
      </c>
      <c r="B6" s="475" t="s">
        <v>744</v>
      </c>
      <c r="C6" s="99">
        <f>'PHỤ LỤC PNN'!C355</f>
        <v>0</v>
      </c>
      <c r="D6" s="99">
        <f>'Bac Son'!BA67</f>
        <v>0</v>
      </c>
      <c r="E6" s="99">
        <f>'Bac Son'!BA50</f>
        <v>0</v>
      </c>
      <c r="F6" s="99">
        <f>'Bac Son'!BA55</f>
        <v>0</v>
      </c>
      <c r="G6" s="99">
        <f>'Bac Son'!BA60</f>
        <v>0</v>
      </c>
      <c r="H6" s="99">
        <f>'PHỤ LỤC PNN'!E355</f>
        <v>0</v>
      </c>
      <c r="I6" s="99">
        <f t="shared" ref="I6:I22" si="0">C6+D6-H6</f>
        <v>0</v>
      </c>
      <c r="J6" s="41" t="s">
        <v>235</v>
      </c>
      <c r="K6" s="475" t="s">
        <v>744</v>
      </c>
      <c r="L6" s="259"/>
      <c r="M6" s="259"/>
      <c r="N6" s="259">
        <f>I6</f>
        <v>0</v>
      </c>
      <c r="O6" s="259">
        <f>N6-L6</f>
        <v>0</v>
      </c>
      <c r="P6" s="259">
        <f>N6-M6</f>
        <v>0</v>
      </c>
    </row>
    <row r="7" spans="1:16" ht="18" customHeight="1">
      <c r="A7" s="5" t="s">
        <v>236</v>
      </c>
      <c r="B7" s="476" t="s">
        <v>745</v>
      </c>
      <c r="C7" s="100">
        <f>'PHỤ LỤC PNN'!C356</f>
        <v>0</v>
      </c>
      <c r="D7" s="99">
        <f>'Hai Son'!BA67</f>
        <v>6.4999999999999991</v>
      </c>
      <c r="E7" s="100"/>
      <c r="F7" s="100"/>
      <c r="G7" s="100"/>
      <c r="H7" s="100">
        <f>'PHỤ LỤC PNN'!E356</f>
        <v>0</v>
      </c>
      <c r="I7" s="100">
        <f t="shared" si="0"/>
        <v>6.4999999999999991</v>
      </c>
      <c r="J7" s="42" t="s">
        <v>236</v>
      </c>
      <c r="K7" s="476" t="s">
        <v>745</v>
      </c>
      <c r="L7" s="260">
        <v>4.79</v>
      </c>
      <c r="M7" s="260">
        <v>7.84</v>
      </c>
      <c r="N7" s="260">
        <f t="shared" ref="N7:N22" si="1">I7</f>
        <v>6.4999999999999991</v>
      </c>
      <c r="O7" s="260">
        <f t="shared" ref="O7:O22" si="2">N7-L7</f>
        <v>1.7099999999999991</v>
      </c>
      <c r="P7" s="260">
        <f t="shared" ref="P7:P22" si="3">N7-M7</f>
        <v>-1.3400000000000007</v>
      </c>
    </row>
    <row r="8" spans="1:16" ht="18" customHeight="1">
      <c r="A8" s="5" t="s">
        <v>237</v>
      </c>
      <c r="B8" s="476" t="s">
        <v>746</v>
      </c>
      <c r="C8" s="100">
        <f>'PHỤ LỤC PNN'!C357</f>
        <v>0.36</v>
      </c>
      <c r="D8" s="99">
        <f>'Quang Nghia'!BA67</f>
        <v>271.49</v>
      </c>
      <c r="E8" s="100"/>
      <c r="F8" s="100"/>
      <c r="G8" s="100"/>
      <c r="H8" s="100">
        <f>'PHỤ LỤC PNN'!E357</f>
        <v>0.01</v>
      </c>
      <c r="I8" s="100">
        <f t="shared" si="0"/>
        <v>271.84000000000003</v>
      </c>
      <c r="J8" s="42" t="s">
        <v>237</v>
      </c>
      <c r="K8" s="476" t="s">
        <v>746</v>
      </c>
      <c r="L8" s="260"/>
      <c r="M8" s="260"/>
      <c r="N8" s="260">
        <f t="shared" si="1"/>
        <v>271.84000000000003</v>
      </c>
      <c r="O8" s="260">
        <f t="shared" si="2"/>
        <v>271.84000000000003</v>
      </c>
      <c r="P8" s="260">
        <f t="shared" si="3"/>
        <v>271.84000000000003</v>
      </c>
    </row>
    <row r="9" spans="1:16" ht="18" hidden="1" customHeight="1">
      <c r="A9" s="5" t="s">
        <v>238</v>
      </c>
      <c r="B9" s="476" t="s">
        <v>747</v>
      </c>
      <c r="C9" s="100">
        <f>'PHỤ LỤC PNN'!C358</f>
        <v>0</v>
      </c>
      <c r="D9" s="99">
        <f>'Hai Dong'!BA67</f>
        <v>0</v>
      </c>
      <c r="E9" s="100"/>
      <c r="F9" s="100"/>
      <c r="G9" s="100"/>
      <c r="H9" s="100">
        <f>'PHỤ LỤC PNN'!E358</f>
        <v>0</v>
      </c>
      <c r="I9" s="100">
        <f t="shared" si="0"/>
        <v>0</v>
      </c>
      <c r="J9" s="42" t="s">
        <v>238</v>
      </c>
      <c r="K9" s="476" t="s">
        <v>747</v>
      </c>
      <c r="L9" s="260">
        <v>17</v>
      </c>
      <c r="M9" s="260">
        <v>27</v>
      </c>
      <c r="N9" s="260">
        <f t="shared" si="1"/>
        <v>0</v>
      </c>
      <c r="O9" s="260">
        <f t="shared" si="2"/>
        <v>-17</v>
      </c>
      <c r="P9" s="260">
        <f t="shared" si="3"/>
        <v>-27</v>
      </c>
    </row>
    <row r="10" spans="1:16" ht="18" customHeight="1">
      <c r="A10" s="5" t="s">
        <v>239</v>
      </c>
      <c r="B10" s="476" t="s">
        <v>748</v>
      </c>
      <c r="C10" s="100">
        <f>'PHỤ LỤC PNN'!C359</f>
        <v>5.8895</v>
      </c>
      <c r="D10" s="99">
        <f>'Hai Tien'!BA67</f>
        <v>0.06</v>
      </c>
      <c r="E10" s="100"/>
      <c r="F10" s="100"/>
      <c r="G10" s="100"/>
      <c r="H10" s="100">
        <f>'PHỤ LỤC PNN'!E359</f>
        <v>0</v>
      </c>
      <c r="I10" s="100">
        <f t="shared" si="0"/>
        <v>5.9494999999999996</v>
      </c>
      <c r="J10" s="42" t="s">
        <v>239</v>
      </c>
      <c r="K10" s="476" t="s">
        <v>748</v>
      </c>
      <c r="L10" s="260">
        <v>4.08</v>
      </c>
      <c r="M10" s="260">
        <v>4.08</v>
      </c>
      <c r="N10" s="260">
        <f t="shared" si="1"/>
        <v>5.9494999999999996</v>
      </c>
      <c r="O10" s="260">
        <f t="shared" si="2"/>
        <v>1.8694999999999995</v>
      </c>
      <c r="P10" s="260">
        <f t="shared" si="3"/>
        <v>1.8694999999999995</v>
      </c>
    </row>
    <row r="11" spans="1:16" ht="18" customHeight="1">
      <c r="A11" s="5" t="s">
        <v>240</v>
      </c>
      <c r="B11" s="476" t="s">
        <v>749</v>
      </c>
      <c r="C11" s="100">
        <f>'PHỤ LỤC PNN'!C360</f>
        <v>2.3199999999999998</v>
      </c>
      <c r="D11" s="99">
        <f>'Hai Xuan'!BA67</f>
        <v>0</v>
      </c>
      <c r="E11" s="100"/>
      <c r="F11" s="100"/>
      <c r="G11" s="100"/>
      <c r="H11" s="100">
        <f>'PHỤ LỤC PNN'!E360</f>
        <v>0</v>
      </c>
      <c r="I11" s="100">
        <f t="shared" si="0"/>
        <v>2.3199999999999998</v>
      </c>
      <c r="J11" s="42" t="s">
        <v>240</v>
      </c>
      <c r="K11" s="476" t="s">
        <v>749</v>
      </c>
      <c r="L11" s="260"/>
      <c r="M11" s="260"/>
      <c r="N11" s="260">
        <f t="shared" si="1"/>
        <v>2.3199999999999998</v>
      </c>
      <c r="O11" s="260">
        <f t="shared" si="2"/>
        <v>2.3199999999999998</v>
      </c>
      <c r="P11" s="260">
        <f t="shared" si="3"/>
        <v>2.3199999999999998</v>
      </c>
    </row>
    <row r="12" spans="1:16" ht="18" hidden="1" customHeight="1">
      <c r="A12" s="5" t="s">
        <v>241</v>
      </c>
      <c r="B12" s="476" t="s">
        <v>750</v>
      </c>
      <c r="C12" s="100">
        <f>'PHỤ LỤC PNN'!C361</f>
        <v>0</v>
      </c>
      <c r="D12" s="99">
        <f>'Van Ninh'!BA68</f>
        <v>0</v>
      </c>
      <c r="E12" s="100"/>
      <c r="F12" s="100"/>
      <c r="G12" s="100"/>
      <c r="H12" s="100">
        <f>'PHỤ LỤC PNN'!E361</f>
        <v>0</v>
      </c>
      <c r="I12" s="100">
        <f t="shared" si="0"/>
        <v>0</v>
      </c>
      <c r="J12" s="42" t="s">
        <v>241</v>
      </c>
      <c r="K12" s="476" t="s">
        <v>750</v>
      </c>
      <c r="L12" s="260"/>
      <c r="M12" s="260"/>
      <c r="N12" s="260">
        <f t="shared" si="1"/>
        <v>0</v>
      </c>
      <c r="O12" s="260">
        <f t="shared" si="2"/>
        <v>0</v>
      </c>
      <c r="P12" s="260">
        <f t="shared" si="3"/>
        <v>0</v>
      </c>
    </row>
    <row r="13" spans="1:16" ht="18" hidden="1" customHeight="1">
      <c r="A13" s="5" t="s">
        <v>242</v>
      </c>
      <c r="B13" s="476" t="s">
        <v>751</v>
      </c>
      <c r="C13" s="100">
        <f>'PHỤ LỤC PNN'!C362</f>
        <v>0</v>
      </c>
      <c r="D13" s="99">
        <f>'Vinh Trung'!BA68</f>
        <v>0</v>
      </c>
      <c r="E13" s="100"/>
      <c r="F13" s="100"/>
      <c r="G13" s="100"/>
      <c r="H13" s="100">
        <f>'PHỤ LỤC PNN'!E362</f>
        <v>0</v>
      </c>
      <c r="I13" s="100">
        <f t="shared" si="0"/>
        <v>0</v>
      </c>
      <c r="J13" s="42" t="s">
        <v>242</v>
      </c>
      <c r="K13" s="476" t="s">
        <v>751</v>
      </c>
      <c r="L13" s="260"/>
      <c r="M13" s="260"/>
      <c r="N13" s="260">
        <f t="shared" si="1"/>
        <v>0</v>
      </c>
      <c r="O13" s="260">
        <f t="shared" si="2"/>
        <v>0</v>
      </c>
      <c r="P13" s="260">
        <f t="shared" si="3"/>
        <v>0</v>
      </c>
    </row>
    <row r="14" spans="1:16" ht="18" hidden="1" customHeight="1">
      <c r="A14" s="5" t="s">
        <v>243</v>
      </c>
      <c r="B14" s="476" t="s">
        <v>752</v>
      </c>
      <c r="C14" s="100">
        <f>'PHỤ LỤC PNN'!C363</f>
        <v>0</v>
      </c>
      <c r="D14" s="99">
        <f>'Vinh Thuc'!BA67</f>
        <v>0</v>
      </c>
      <c r="E14" s="100"/>
      <c r="F14" s="100"/>
      <c r="G14" s="100"/>
      <c r="H14" s="100">
        <f>'PHỤ LỤC PNN'!E363</f>
        <v>0</v>
      </c>
      <c r="I14" s="100">
        <f t="shared" si="0"/>
        <v>0</v>
      </c>
      <c r="J14" s="42" t="s">
        <v>243</v>
      </c>
      <c r="K14" s="476" t="s">
        <v>752</v>
      </c>
      <c r="L14" s="260"/>
      <c r="M14" s="260"/>
      <c r="N14" s="260">
        <f t="shared" si="1"/>
        <v>0</v>
      </c>
      <c r="O14" s="260">
        <f t="shared" si="2"/>
        <v>0</v>
      </c>
      <c r="P14" s="260">
        <f t="shared" si="3"/>
        <v>0</v>
      </c>
    </row>
    <row r="15" spans="1:16" ht="18" customHeight="1">
      <c r="A15" s="5" t="s">
        <v>244</v>
      </c>
      <c r="B15" s="476" t="s">
        <v>753</v>
      </c>
      <c r="C15" s="100">
        <f>'PHỤ LỤC PNN'!C364</f>
        <v>8.2899999999999991</v>
      </c>
      <c r="D15" s="99">
        <f>'Hai Yen'!BA68</f>
        <v>14.360000000000001</v>
      </c>
      <c r="E15" s="100"/>
      <c r="F15" s="100"/>
      <c r="G15" s="100"/>
      <c r="H15" s="100">
        <f>'PHỤ LỤC PNN'!E364</f>
        <v>0</v>
      </c>
      <c r="I15" s="100">
        <f t="shared" si="0"/>
        <v>22.65</v>
      </c>
      <c r="J15" s="42" t="s">
        <v>244</v>
      </c>
      <c r="K15" s="476" t="s">
        <v>753</v>
      </c>
      <c r="L15" s="260"/>
      <c r="M15" s="260"/>
      <c r="N15" s="260">
        <f t="shared" si="1"/>
        <v>22.65</v>
      </c>
      <c r="O15" s="260">
        <f t="shared" si="2"/>
        <v>22.65</v>
      </c>
      <c r="P15" s="260">
        <f t="shared" si="3"/>
        <v>22.65</v>
      </c>
    </row>
    <row r="16" spans="1:16" ht="18" hidden="1" customHeight="1">
      <c r="A16" s="5" t="s">
        <v>245</v>
      </c>
      <c r="B16" s="476" t="s">
        <v>754</v>
      </c>
      <c r="C16" s="100">
        <f>'PHỤ LỤC PNN'!C365</f>
        <v>0</v>
      </c>
      <c r="D16" s="99">
        <f>'Ka Long'!BA67</f>
        <v>0</v>
      </c>
      <c r="E16" s="100"/>
      <c r="F16" s="100"/>
      <c r="G16" s="100"/>
      <c r="H16" s="100">
        <f>'PHỤ LỤC PNN'!E365</f>
        <v>0</v>
      </c>
      <c r="I16" s="100">
        <f t="shared" si="0"/>
        <v>0</v>
      </c>
      <c r="J16" s="42" t="s">
        <v>245</v>
      </c>
      <c r="K16" s="476" t="s">
        <v>754</v>
      </c>
      <c r="L16" s="260"/>
      <c r="M16" s="260"/>
      <c r="N16" s="260">
        <f t="shared" si="1"/>
        <v>0</v>
      </c>
      <c r="O16" s="260">
        <f t="shared" si="2"/>
        <v>0</v>
      </c>
      <c r="P16" s="260">
        <f t="shared" si="3"/>
        <v>0</v>
      </c>
    </row>
    <row r="17" spans="1:16" ht="18" customHeight="1">
      <c r="A17" s="5" t="s">
        <v>246</v>
      </c>
      <c r="B17" s="476" t="s">
        <v>755</v>
      </c>
      <c r="C17" s="100">
        <f>'PHỤ LỤC PNN'!C366</f>
        <v>1.0208999999999999</v>
      </c>
      <c r="D17" s="99">
        <f>'Ninh Duong'!BA67</f>
        <v>2.7199999999999998</v>
      </c>
      <c r="E17" s="100"/>
      <c r="F17" s="100"/>
      <c r="G17" s="100"/>
      <c r="H17" s="100">
        <f>'PHỤ LỤC PNN'!E366</f>
        <v>0</v>
      </c>
      <c r="I17" s="100">
        <f t="shared" si="0"/>
        <v>3.7408999999999999</v>
      </c>
      <c r="J17" s="42" t="s">
        <v>246</v>
      </c>
      <c r="K17" s="476" t="s">
        <v>755</v>
      </c>
      <c r="L17" s="260">
        <v>27.73</v>
      </c>
      <c r="M17" s="260">
        <v>35.61</v>
      </c>
      <c r="N17" s="260">
        <f t="shared" si="1"/>
        <v>3.7408999999999999</v>
      </c>
      <c r="O17" s="260">
        <f t="shared" si="2"/>
        <v>-23.989100000000001</v>
      </c>
      <c r="P17" s="260">
        <f t="shared" si="3"/>
        <v>-31.8691</v>
      </c>
    </row>
    <row r="18" spans="1:16" ht="18" hidden="1" customHeight="1">
      <c r="A18" s="5" t="s">
        <v>247</v>
      </c>
      <c r="B18" s="476" t="s">
        <v>756</v>
      </c>
      <c r="C18" s="100">
        <f>'PHỤ LỤC PNN'!C367</f>
        <v>0</v>
      </c>
      <c r="D18" s="99">
        <f>'Hoa Lac'!BA67</f>
        <v>0</v>
      </c>
      <c r="E18" s="100"/>
      <c r="F18" s="100"/>
      <c r="G18" s="100"/>
      <c r="H18" s="100">
        <f>'PHỤ LỤC PNN'!E367</f>
        <v>0</v>
      </c>
      <c r="I18" s="100">
        <f t="shared" si="0"/>
        <v>0</v>
      </c>
      <c r="J18" s="42" t="s">
        <v>247</v>
      </c>
      <c r="K18" s="476" t="s">
        <v>756</v>
      </c>
      <c r="L18" s="260">
        <v>35.21</v>
      </c>
      <c r="M18" s="260">
        <v>35.21</v>
      </c>
      <c r="N18" s="260">
        <f t="shared" si="1"/>
        <v>0</v>
      </c>
      <c r="O18" s="260">
        <f t="shared" si="2"/>
        <v>-35.21</v>
      </c>
      <c r="P18" s="260">
        <f t="shared" si="3"/>
        <v>-35.21</v>
      </c>
    </row>
    <row r="19" spans="1:16" ht="18" hidden="1" customHeight="1">
      <c r="A19" s="5" t="s">
        <v>248</v>
      </c>
      <c r="B19" s="476" t="s">
        <v>757</v>
      </c>
      <c r="C19" s="100">
        <f>'PHỤ LỤC PNN'!C368</f>
        <v>0</v>
      </c>
      <c r="D19" s="99">
        <f>'Tran Phu'!BA67</f>
        <v>0</v>
      </c>
      <c r="E19" s="100"/>
      <c r="F19" s="100"/>
      <c r="G19" s="100"/>
      <c r="H19" s="100">
        <f>'PHỤ LỤC PNN'!E368</f>
        <v>0</v>
      </c>
      <c r="I19" s="100">
        <f t="shared" si="0"/>
        <v>0</v>
      </c>
      <c r="J19" s="42" t="s">
        <v>248</v>
      </c>
      <c r="K19" s="476" t="s">
        <v>757</v>
      </c>
      <c r="L19" s="260">
        <v>9.02</v>
      </c>
      <c r="M19" s="260">
        <v>9.02</v>
      </c>
      <c r="N19" s="260">
        <f t="shared" si="1"/>
        <v>0</v>
      </c>
      <c r="O19" s="260">
        <f t="shared" si="2"/>
        <v>-9.02</v>
      </c>
      <c r="P19" s="260">
        <f t="shared" si="3"/>
        <v>-9.02</v>
      </c>
    </row>
    <row r="20" spans="1:16" ht="18" hidden="1" customHeight="1">
      <c r="A20" s="5" t="s">
        <v>249</v>
      </c>
      <c r="B20" s="476" t="s">
        <v>758</v>
      </c>
      <c r="C20" s="100">
        <f>'PHỤ LỤC PNN'!C369</f>
        <v>0</v>
      </c>
      <c r="D20" s="99">
        <f>'Hai Hoa'!BA67</f>
        <v>0</v>
      </c>
      <c r="E20" s="100"/>
      <c r="F20" s="100"/>
      <c r="G20" s="100"/>
      <c r="H20" s="100">
        <f>'PHỤ LỤC PNN'!E369</f>
        <v>0</v>
      </c>
      <c r="I20" s="100">
        <f t="shared" si="0"/>
        <v>0</v>
      </c>
      <c r="J20" s="42" t="s">
        <v>249</v>
      </c>
      <c r="K20" s="476" t="s">
        <v>758</v>
      </c>
      <c r="L20" s="260">
        <v>0.77</v>
      </c>
      <c r="M20" s="260">
        <v>0.77</v>
      </c>
      <c r="N20" s="260">
        <f t="shared" si="1"/>
        <v>0</v>
      </c>
      <c r="O20" s="260">
        <f t="shared" si="2"/>
        <v>-0.77</v>
      </c>
      <c r="P20" s="260">
        <f t="shared" si="3"/>
        <v>-0.77</v>
      </c>
    </row>
    <row r="21" spans="1:16" ht="18" customHeight="1">
      <c r="A21" s="5" t="s">
        <v>250</v>
      </c>
      <c r="B21" s="476" t="s">
        <v>759</v>
      </c>
      <c r="C21" s="100">
        <f>'PHỤ LỤC PNN'!C370</f>
        <v>0.04</v>
      </c>
      <c r="D21" s="99">
        <f>'Tra Co'!BA67</f>
        <v>0</v>
      </c>
      <c r="E21" s="100"/>
      <c r="F21" s="100"/>
      <c r="G21" s="100"/>
      <c r="H21" s="100">
        <f>'PHỤ LỤC PNN'!E370</f>
        <v>0</v>
      </c>
      <c r="I21" s="100">
        <f t="shared" si="0"/>
        <v>0.04</v>
      </c>
      <c r="J21" s="42" t="s">
        <v>250</v>
      </c>
      <c r="K21" s="476" t="s">
        <v>759</v>
      </c>
      <c r="L21" s="260"/>
      <c r="M21" s="260"/>
      <c r="N21" s="260">
        <f t="shared" si="1"/>
        <v>0.04</v>
      </c>
      <c r="O21" s="260">
        <f t="shared" si="2"/>
        <v>0.04</v>
      </c>
      <c r="P21" s="260">
        <f t="shared" si="3"/>
        <v>0.04</v>
      </c>
    </row>
    <row r="22" spans="1:16" ht="18" customHeight="1">
      <c r="A22" s="5" t="s">
        <v>251</v>
      </c>
      <c r="B22" s="476" t="s">
        <v>760</v>
      </c>
      <c r="C22" s="100">
        <f>'PHỤ LỤC PNN'!C371</f>
        <v>0.09</v>
      </c>
      <c r="D22" s="99">
        <f>'Binh Ngoc'!BA67</f>
        <v>0</v>
      </c>
      <c r="E22" s="100"/>
      <c r="F22" s="100"/>
      <c r="G22" s="100"/>
      <c r="H22" s="100">
        <f>'PHỤ LỤC PNN'!E371</f>
        <v>0</v>
      </c>
      <c r="I22" s="100">
        <f t="shared" si="0"/>
        <v>0.09</v>
      </c>
      <c r="J22" s="42" t="s">
        <v>251</v>
      </c>
      <c r="K22" s="476" t="s">
        <v>760</v>
      </c>
      <c r="L22" s="261"/>
      <c r="M22" s="260"/>
      <c r="N22" s="260">
        <f t="shared" si="1"/>
        <v>0.09</v>
      </c>
      <c r="O22" s="260">
        <f t="shared" si="2"/>
        <v>0.09</v>
      </c>
      <c r="P22" s="260">
        <f t="shared" si="3"/>
        <v>0.09</v>
      </c>
    </row>
    <row r="23" spans="1:16" ht="18" customHeight="1">
      <c r="A23" s="66"/>
      <c r="B23" s="355" t="s">
        <v>370</v>
      </c>
      <c r="C23" s="75">
        <f t="shared" ref="C23:I23" si="4">SUM(C6:C22)</f>
        <v>18.010399999999997</v>
      </c>
      <c r="D23" s="75">
        <f t="shared" si="4"/>
        <v>295.13000000000005</v>
      </c>
      <c r="E23" s="75">
        <f t="shared" si="4"/>
        <v>0</v>
      </c>
      <c r="F23" s="75">
        <f t="shared" si="4"/>
        <v>0</v>
      </c>
      <c r="G23" s="75">
        <f t="shared" si="4"/>
        <v>0</v>
      </c>
      <c r="H23" s="75">
        <f t="shared" si="4"/>
        <v>0.01</v>
      </c>
      <c r="I23" s="75">
        <f t="shared" si="4"/>
        <v>313.13040000000001</v>
      </c>
      <c r="J23" s="51"/>
      <c r="K23" s="51" t="s">
        <v>370</v>
      </c>
      <c r="L23" s="267">
        <f>SUM(L6:L22)</f>
        <v>98.6</v>
      </c>
      <c r="M23" s="268">
        <f>SUM(M6:M22)</f>
        <v>119.53</v>
      </c>
      <c r="N23" s="267">
        <f>SUM(N6:N22)</f>
        <v>313.13040000000001</v>
      </c>
      <c r="O23" s="267">
        <f>SUM(O6:O22)</f>
        <v>214.53039999999996</v>
      </c>
      <c r="P23" s="267">
        <f>SUM(P6:P22)</f>
        <v>193.60040000000001</v>
      </c>
    </row>
    <row r="24" spans="1:16" ht="15.75">
      <c r="C24">
        <f>'TONG TP'!D56</f>
        <v>18.010399999999997</v>
      </c>
      <c r="I24" s="69">
        <f>'TONG TP'!BN56</f>
        <v>313.13039999999995</v>
      </c>
    </row>
    <row r="27" spans="1:16">
      <c r="C27" s="177">
        <f>C23-H23</f>
        <v>18.000399999999996</v>
      </c>
      <c r="I27">
        <f>'TONG TP'!BN56</f>
        <v>313.13039999999995</v>
      </c>
    </row>
    <row r="28" spans="1:16">
      <c r="I28" s="177">
        <f>I23-I27</f>
        <v>0</v>
      </c>
    </row>
  </sheetData>
  <autoFilter ref="A5:P24">
    <filterColumn colId="8">
      <customFilters>
        <customFilter operator="notEqual" val=" "/>
      </customFilters>
    </filterColumn>
  </autoFilter>
  <mergeCells count="15">
    <mergeCell ref="A2:I2"/>
    <mergeCell ref="A4:A5"/>
    <mergeCell ref="B4:B5"/>
    <mergeCell ref="C4:C5"/>
    <mergeCell ref="D4:D5"/>
    <mergeCell ref="H4:H5"/>
    <mergeCell ref="I4:I5"/>
    <mergeCell ref="H3:I3"/>
    <mergeCell ref="E4:G4"/>
    <mergeCell ref="O4:P4"/>
    <mergeCell ref="J4:J5"/>
    <mergeCell ref="K4:K5"/>
    <mergeCell ref="L4:L5"/>
    <mergeCell ref="M4:M5"/>
    <mergeCell ref="N4:N5"/>
  </mergeCells>
  <phoneticPr fontId="4" type="noConversion"/>
  <printOptions horizontalCentered="1"/>
  <pageMargins left="1" right="0.25" top="0.4" bottom="0.25" header="0.5" footer="0.5"/>
  <pageSetup paperSize="9" orientation="portrait"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0"/>
  <dimension ref="A1:I28"/>
  <sheetViews>
    <sheetView showZeros="0" topLeftCell="A13" workbookViewId="0">
      <selection activeCell="A5" sqref="A5:I24"/>
    </sheetView>
  </sheetViews>
  <sheetFormatPr defaultRowHeight="12.75"/>
  <cols>
    <col min="1" max="1" width="6.28515625" customWidth="1"/>
    <col min="2" max="2" width="20.5703125" customWidth="1"/>
    <col min="3" max="3" width="10" customWidth="1"/>
    <col min="4" max="4" width="8.7109375" customWidth="1"/>
    <col min="5" max="5" width="6.28515625" style="275" customWidth="1"/>
    <col min="6" max="6" width="6.28515625" customWidth="1"/>
    <col min="7" max="7" width="6.28515625" style="275" customWidth="1"/>
    <col min="8" max="8" width="8.7109375" customWidth="1"/>
    <col min="9" max="9" width="10.42578125" customWidth="1"/>
    <col min="10" max="10" width="10.7109375" bestFit="1" customWidth="1"/>
  </cols>
  <sheetData>
    <row r="1" spans="1:9" ht="17.25" customHeight="1">
      <c r="A1" s="342" t="s">
        <v>675</v>
      </c>
    </row>
    <row r="2" spans="1:9" ht="20.25" customHeight="1">
      <c r="A2" s="1385" t="s">
        <v>722</v>
      </c>
      <c r="B2" s="1385"/>
      <c r="C2" s="1385"/>
      <c r="D2" s="1385"/>
      <c r="E2" s="1385"/>
      <c r="F2" s="1385"/>
      <c r="G2" s="1385"/>
      <c r="H2" s="1385"/>
      <c r="I2" s="1385"/>
    </row>
    <row r="3" spans="1:9" ht="21.75" customHeight="1">
      <c r="A3" s="1385" t="s">
        <v>761</v>
      </c>
      <c r="B3" s="1385"/>
      <c r="C3" s="1385"/>
      <c r="D3" s="1385"/>
      <c r="E3" s="1385"/>
      <c r="F3" s="1385"/>
      <c r="G3" s="1385"/>
      <c r="H3" s="1385"/>
      <c r="I3" s="1385"/>
    </row>
    <row r="4" spans="1:9" ht="18" customHeight="1">
      <c r="H4" s="1377" t="s">
        <v>138</v>
      </c>
      <c r="I4" s="1377"/>
    </row>
    <row r="5" spans="1:9" ht="30.75" customHeight="1">
      <c r="A5" s="1356" t="s">
        <v>368</v>
      </c>
      <c r="B5" s="1356" t="s">
        <v>985</v>
      </c>
      <c r="C5" s="1356" t="s">
        <v>456</v>
      </c>
      <c r="D5" s="1356" t="s">
        <v>457</v>
      </c>
      <c r="E5" s="1425"/>
      <c r="F5" s="1425"/>
      <c r="G5" s="1426"/>
      <c r="H5" s="1356" t="s">
        <v>459</v>
      </c>
      <c r="I5" s="1356" t="s">
        <v>460</v>
      </c>
    </row>
    <row r="6" spans="1:9" ht="29.25" customHeight="1">
      <c r="A6" s="1356"/>
      <c r="B6" s="1356"/>
      <c r="C6" s="1356"/>
      <c r="D6" s="1356"/>
      <c r="E6" s="279"/>
      <c r="F6" s="58"/>
      <c r="G6" s="279"/>
      <c r="H6" s="1356"/>
      <c r="I6" s="1356"/>
    </row>
    <row r="7" spans="1:9" ht="18.75" customHeight="1">
      <c r="A7" s="41" t="s">
        <v>235</v>
      </c>
      <c r="B7" s="475" t="s">
        <v>744</v>
      </c>
      <c r="C7" s="41">
        <f>'PHỤ LỤC PNN'!C380</f>
        <v>0.47</v>
      </c>
      <c r="D7" s="567">
        <f>'Bac Son'!BB67</f>
        <v>0</v>
      </c>
      <c r="E7" s="41">
        <f>'Bac Son'!BB52</f>
        <v>0</v>
      </c>
      <c r="F7" s="41">
        <f>'Bac Son'!BB60</f>
        <v>0</v>
      </c>
      <c r="G7" s="41">
        <f>'Bac Son'!BB64</f>
        <v>0</v>
      </c>
      <c r="H7" s="41">
        <f>'PHỤ LỤC PNN'!E380</f>
        <v>0</v>
      </c>
      <c r="I7" s="41">
        <f t="shared" ref="I7:I23" si="0">C7+D7-H7</f>
        <v>0.47</v>
      </c>
    </row>
    <row r="8" spans="1:9" ht="18.75" customHeight="1">
      <c r="A8" s="42" t="s">
        <v>236</v>
      </c>
      <c r="B8" s="476" t="s">
        <v>745</v>
      </c>
      <c r="C8" s="42">
        <f>'PHỤ LỤC PNN'!C381</f>
        <v>0.62</v>
      </c>
      <c r="D8" s="567">
        <f>'Hai Son'!BB67</f>
        <v>0</v>
      </c>
      <c r="E8" s="42">
        <f>'Hai Son'!BB52</f>
        <v>0</v>
      </c>
      <c r="F8" s="42">
        <f>'Hai Son'!BB60</f>
        <v>0</v>
      </c>
      <c r="G8" s="42">
        <f>'Hai Son'!BB64</f>
        <v>0</v>
      </c>
      <c r="H8" s="42">
        <f>'PHỤ LỤC PNN'!E381</f>
        <v>0</v>
      </c>
      <c r="I8" s="42">
        <f t="shared" si="0"/>
        <v>0.62</v>
      </c>
    </row>
    <row r="9" spans="1:9" ht="18.75" customHeight="1">
      <c r="A9" s="42" t="s">
        <v>237</v>
      </c>
      <c r="B9" s="476" t="s">
        <v>746</v>
      </c>
      <c r="C9" s="42">
        <f>'PHỤ LỤC PNN'!C382</f>
        <v>0.37</v>
      </c>
      <c r="D9" s="567">
        <f>'Quang Nghia'!BB67</f>
        <v>0</v>
      </c>
      <c r="E9" s="42">
        <f>'Quang Nghia'!BB52</f>
        <v>0</v>
      </c>
      <c r="F9" s="42">
        <f>'Quang Nghia'!BB60</f>
        <v>0</v>
      </c>
      <c r="G9" s="42">
        <f>'Quang Nghia'!BB64</f>
        <v>0</v>
      </c>
      <c r="H9" s="42">
        <f>'PHỤ LỤC PNN'!E382</f>
        <v>0</v>
      </c>
      <c r="I9" s="42">
        <f t="shared" si="0"/>
        <v>0.37</v>
      </c>
    </row>
    <row r="10" spans="1:9" ht="18.75" customHeight="1">
      <c r="A10" s="42" t="s">
        <v>238</v>
      </c>
      <c r="B10" s="476" t="s">
        <v>747</v>
      </c>
      <c r="C10" s="42">
        <f>'PHỤ LỤC PNN'!C383</f>
        <v>0.5</v>
      </c>
      <c r="D10" s="567">
        <f>'Hai Dong'!BB67</f>
        <v>0</v>
      </c>
      <c r="E10" s="42">
        <f>'Hai Dong'!BB52</f>
        <v>0</v>
      </c>
      <c r="F10" s="42">
        <f>'Hai Dong'!BB60</f>
        <v>0</v>
      </c>
      <c r="G10" s="42">
        <f>'Hai Dong'!BB64</f>
        <v>0</v>
      </c>
      <c r="H10" s="42">
        <f>'PHỤ LỤC PNN'!E383</f>
        <v>0</v>
      </c>
      <c r="I10" s="42">
        <f t="shared" si="0"/>
        <v>0.5</v>
      </c>
    </row>
    <row r="11" spans="1:9" ht="18.75" customHeight="1">
      <c r="A11" s="42" t="s">
        <v>239</v>
      </c>
      <c r="B11" s="476" t="s">
        <v>748</v>
      </c>
      <c r="C11" s="42">
        <f>'PHỤ LỤC PNN'!C384</f>
        <v>1.6</v>
      </c>
      <c r="D11" s="567">
        <f>'Hai Tien'!BB67</f>
        <v>0</v>
      </c>
      <c r="E11" s="42">
        <f>'Hai Tien'!BB52</f>
        <v>0</v>
      </c>
      <c r="F11" s="42">
        <f>'Hai Tien'!BB60</f>
        <v>0</v>
      </c>
      <c r="G11" s="42">
        <f>'Hai Tien'!BB64</f>
        <v>0</v>
      </c>
      <c r="H11" s="42">
        <f>'PHỤ LỤC PNN'!E384</f>
        <v>0</v>
      </c>
      <c r="I11" s="42">
        <f t="shared" si="0"/>
        <v>1.6</v>
      </c>
    </row>
    <row r="12" spans="1:9" ht="18.75" customHeight="1">
      <c r="A12" s="42" t="s">
        <v>240</v>
      </c>
      <c r="B12" s="476" t="s">
        <v>749</v>
      </c>
      <c r="C12" s="42">
        <f>'PHỤ LỤC PNN'!C385</f>
        <v>1.1499999999999999</v>
      </c>
      <c r="D12" s="567">
        <f>'Hai Xuan'!BB67</f>
        <v>0</v>
      </c>
      <c r="E12" s="42">
        <f>'Hai Xuan'!BB52</f>
        <v>0</v>
      </c>
      <c r="F12" s="42">
        <f>'Hai Xuan'!BB60</f>
        <v>0</v>
      </c>
      <c r="G12" s="42">
        <f>'Hai Xuan'!BB64</f>
        <v>0</v>
      </c>
      <c r="H12" s="42">
        <f>'PHỤ LỤC PNN'!E385</f>
        <v>0</v>
      </c>
      <c r="I12" s="42">
        <f t="shared" si="0"/>
        <v>1.1499999999999999</v>
      </c>
    </row>
    <row r="13" spans="1:9" ht="18.75" customHeight="1">
      <c r="A13" s="42" t="s">
        <v>241</v>
      </c>
      <c r="B13" s="476" t="s">
        <v>750</v>
      </c>
      <c r="C13" s="42">
        <f>'PHỤ LỤC PNN'!C386</f>
        <v>0.57999999999999996</v>
      </c>
      <c r="D13" s="567">
        <f>'Van Ninh'!BB68</f>
        <v>0</v>
      </c>
      <c r="E13" s="42">
        <f>'Van Ninh'!BB52</f>
        <v>0</v>
      </c>
      <c r="F13" s="42">
        <f>'Van Ninh'!BB60</f>
        <v>0</v>
      </c>
      <c r="G13" s="42">
        <f>'Van Ninh'!BB64</f>
        <v>0</v>
      </c>
      <c r="H13" s="42">
        <f>'PHỤ LỤC PNN'!E386</f>
        <v>0.01</v>
      </c>
      <c r="I13" s="42">
        <f t="shared" si="0"/>
        <v>0.56999999999999995</v>
      </c>
    </row>
    <row r="14" spans="1:9" ht="18.75" customHeight="1">
      <c r="A14" s="42" t="s">
        <v>242</v>
      </c>
      <c r="B14" s="476" t="s">
        <v>751</v>
      </c>
      <c r="C14" s="42">
        <f>'PHỤ LỤC PNN'!C387</f>
        <v>0.34</v>
      </c>
      <c r="D14" s="567">
        <f>'Vinh Trung'!BB68</f>
        <v>0</v>
      </c>
      <c r="E14" s="42">
        <f>'Vinh Trung'!BB52</f>
        <v>0</v>
      </c>
      <c r="F14" s="42">
        <f>'Vinh Trung'!BB60</f>
        <v>0</v>
      </c>
      <c r="G14" s="42">
        <f>'Vinh Trung'!BB64</f>
        <v>0</v>
      </c>
      <c r="H14" s="42">
        <f>'PHỤ LỤC PNN'!E387</f>
        <v>0</v>
      </c>
      <c r="I14" s="42">
        <f t="shared" si="0"/>
        <v>0.34</v>
      </c>
    </row>
    <row r="15" spans="1:9" ht="18.75" customHeight="1">
      <c r="A15" s="42" t="s">
        <v>243</v>
      </c>
      <c r="B15" s="476" t="s">
        <v>752</v>
      </c>
      <c r="C15" s="42">
        <f>'PHỤ LỤC PNN'!C388</f>
        <v>0.62</v>
      </c>
      <c r="D15" s="567">
        <f>'Vinh Thuc'!BB67</f>
        <v>0</v>
      </c>
      <c r="E15" s="42">
        <f>'Vinh Thuc'!BB52</f>
        <v>0</v>
      </c>
      <c r="F15" s="42">
        <f>'Vinh Thuc'!BB60</f>
        <v>0</v>
      </c>
      <c r="G15" s="42">
        <f>'Vinh Thuc'!BB64</f>
        <v>0</v>
      </c>
      <c r="H15" s="42">
        <f>'PHỤ LỤC PNN'!E388</f>
        <v>0</v>
      </c>
      <c r="I15" s="42">
        <f t="shared" si="0"/>
        <v>0.62</v>
      </c>
    </row>
    <row r="16" spans="1:9" ht="18.75" customHeight="1">
      <c r="A16" s="42" t="s">
        <v>244</v>
      </c>
      <c r="B16" s="476" t="s">
        <v>753</v>
      </c>
      <c r="C16" s="568">
        <f>'PHỤ LỤC PNN'!C389</f>
        <v>1.5196000000000001</v>
      </c>
      <c r="D16" s="567">
        <f>'Hai Yen'!BB68</f>
        <v>0</v>
      </c>
      <c r="E16" s="568">
        <f>'Hai Yen'!BB52</f>
        <v>0</v>
      </c>
      <c r="F16" s="568">
        <f>'Hai Yen'!BB60</f>
        <v>0</v>
      </c>
      <c r="G16" s="568">
        <f>'Hai Yen'!BB64</f>
        <v>0</v>
      </c>
      <c r="H16" s="568">
        <f>'PHỤ LỤC PNN'!E389</f>
        <v>0.06</v>
      </c>
      <c r="I16" s="568">
        <f t="shared" si="0"/>
        <v>1.4596</v>
      </c>
    </row>
    <row r="17" spans="1:9" ht="18.75" customHeight="1">
      <c r="A17" s="42" t="s">
        <v>245</v>
      </c>
      <c r="B17" s="476" t="s">
        <v>754</v>
      </c>
      <c r="C17" s="42">
        <f>'PHỤ LỤC PNN'!C390</f>
        <v>0.62</v>
      </c>
      <c r="D17" s="567">
        <f>'Ka Long'!BB67</f>
        <v>0</v>
      </c>
      <c r="E17" s="42">
        <f>'Ka Long'!BB52</f>
        <v>0</v>
      </c>
      <c r="F17" s="42">
        <f>'Ka Long'!BB60</f>
        <v>0</v>
      </c>
      <c r="G17" s="42">
        <f>'Ka Long'!BB64</f>
        <v>0</v>
      </c>
      <c r="H17" s="42">
        <f>'PHỤ LỤC PNN'!E390</f>
        <v>0</v>
      </c>
      <c r="I17" s="42">
        <f t="shared" si="0"/>
        <v>0.62</v>
      </c>
    </row>
    <row r="18" spans="1:9" ht="18.75" customHeight="1">
      <c r="A18" s="42" t="s">
        <v>246</v>
      </c>
      <c r="B18" s="476" t="s">
        <v>755</v>
      </c>
      <c r="C18" s="42">
        <f>'PHỤ LỤC PNN'!C391</f>
        <v>1.0900000000000001</v>
      </c>
      <c r="D18" s="567">
        <f>'Ninh Duong'!BB67</f>
        <v>0</v>
      </c>
      <c r="E18" s="42">
        <f>'Ninh Duong'!BB52</f>
        <v>0</v>
      </c>
      <c r="F18" s="42">
        <f>'Ninh Duong'!BB60</f>
        <v>0</v>
      </c>
      <c r="G18" s="42">
        <f>'Ninh Duong'!BB64</f>
        <v>0</v>
      </c>
      <c r="H18" s="42">
        <f>'PHỤ LỤC PNN'!E391</f>
        <v>0</v>
      </c>
      <c r="I18" s="42">
        <f t="shared" si="0"/>
        <v>1.0900000000000001</v>
      </c>
    </row>
    <row r="19" spans="1:9" ht="18.75" customHeight="1">
      <c r="A19" s="42" t="s">
        <v>247</v>
      </c>
      <c r="B19" s="476" t="s">
        <v>756</v>
      </c>
      <c r="C19" s="42">
        <f>'PHỤ LỤC PNN'!C392</f>
        <v>0.28000000000000003</v>
      </c>
      <c r="D19" s="567">
        <f>'Hoa Lac'!BB67</f>
        <v>0</v>
      </c>
      <c r="E19" s="42">
        <f>'Hoa Lac'!BB52</f>
        <v>0</v>
      </c>
      <c r="F19" s="42">
        <f>'Hoa Lac'!BB60</f>
        <v>0</v>
      </c>
      <c r="G19" s="42">
        <f>'Hoa Lac'!BB64</f>
        <v>0</v>
      </c>
      <c r="H19" s="42">
        <f>'PHỤ LỤC PNN'!E392</f>
        <v>0</v>
      </c>
      <c r="I19" s="42">
        <f t="shared" si="0"/>
        <v>0.28000000000000003</v>
      </c>
    </row>
    <row r="20" spans="1:9" ht="18.75" customHeight="1">
      <c r="A20" s="42" t="s">
        <v>248</v>
      </c>
      <c r="B20" s="476" t="s">
        <v>757</v>
      </c>
      <c r="C20" s="42">
        <f>'PHỤ LỤC PNN'!C393</f>
        <v>0.45</v>
      </c>
      <c r="D20" s="567">
        <f>'Tran Phu'!BB67</f>
        <v>0</v>
      </c>
      <c r="E20" s="42">
        <f>'Tran Phu'!BB52</f>
        <v>0</v>
      </c>
      <c r="F20" s="42">
        <f>'Tran Phu'!BB60</f>
        <v>0</v>
      </c>
      <c r="G20" s="42">
        <f>'Tran Phu'!BB64</f>
        <v>0</v>
      </c>
      <c r="H20" s="42">
        <f>'PHỤ LỤC PNN'!E393</f>
        <v>0</v>
      </c>
      <c r="I20" s="42">
        <f t="shared" si="0"/>
        <v>0.45</v>
      </c>
    </row>
    <row r="21" spans="1:9" ht="18.75" customHeight="1">
      <c r="A21" s="42" t="s">
        <v>249</v>
      </c>
      <c r="B21" s="476" t="s">
        <v>758</v>
      </c>
      <c r="C21" s="42">
        <f>'PHỤ LỤC PNN'!C394</f>
        <v>2.2999999999999998</v>
      </c>
      <c r="D21" s="567">
        <f>'Hai Hoa'!BB67</f>
        <v>0</v>
      </c>
      <c r="E21" s="42">
        <f>'Hai Hoa'!BB52</f>
        <v>0</v>
      </c>
      <c r="F21" s="42">
        <f>'Hai Hoa'!BB60</f>
        <v>0</v>
      </c>
      <c r="G21" s="42">
        <f>'Hai Hoa'!BB64</f>
        <v>0</v>
      </c>
      <c r="H21" s="42">
        <f>'PHỤ LỤC PNN'!E394</f>
        <v>0.54</v>
      </c>
      <c r="I21" s="42">
        <f t="shared" si="0"/>
        <v>1.7599999999999998</v>
      </c>
    </row>
    <row r="22" spans="1:9" ht="18.75" customHeight="1">
      <c r="A22" s="42" t="s">
        <v>250</v>
      </c>
      <c r="B22" s="476" t="s">
        <v>759</v>
      </c>
      <c r="C22" s="42">
        <f>'PHỤ LỤC PNN'!C395</f>
        <v>0.44</v>
      </c>
      <c r="D22" s="567">
        <f>'Tra Co'!BB67</f>
        <v>0</v>
      </c>
      <c r="E22" s="42">
        <f>'Tra Co'!BB52</f>
        <v>0</v>
      </c>
      <c r="F22" s="42">
        <f>'Tra Co'!BB60</f>
        <v>0</v>
      </c>
      <c r="G22" s="42">
        <f>'Tra Co'!BB64</f>
        <v>0</v>
      </c>
      <c r="H22" s="42">
        <f>'PHỤ LỤC PNN'!E395</f>
        <v>0</v>
      </c>
      <c r="I22" s="42">
        <f t="shared" si="0"/>
        <v>0.44</v>
      </c>
    </row>
    <row r="23" spans="1:9" ht="18.75" customHeight="1">
      <c r="A23" s="42" t="s">
        <v>251</v>
      </c>
      <c r="B23" s="476" t="s">
        <v>760</v>
      </c>
      <c r="C23" s="42">
        <f>'PHỤ LỤC PNN'!C396</f>
        <v>0</v>
      </c>
      <c r="D23" s="567">
        <f>'Binh Ngoc'!BB67</f>
        <v>0</v>
      </c>
      <c r="E23" s="42">
        <f>'Binh Ngoc'!BB52</f>
        <v>0</v>
      </c>
      <c r="F23" s="42">
        <f>'Binh Ngoc'!BB60</f>
        <v>0</v>
      </c>
      <c r="G23" s="42">
        <f>'Binh Ngoc'!BB64</f>
        <v>0</v>
      </c>
      <c r="H23" s="42">
        <f>'PHỤ LỤC PNN'!E396</f>
        <v>0</v>
      </c>
      <c r="I23" s="42">
        <f t="shared" si="0"/>
        <v>0</v>
      </c>
    </row>
    <row r="24" spans="1:9" ht="18.75" customHeight="1">
      <c r="A24" s="31"/>
      <c r="B24" s="31" t="s">
        <v>370</v>
      </c>
      <c r="C24" s="188">
        <f t="shared" ref="C24:I24" si="1">SUM(C7:C23)</f>
        <v>12.949599999999998</v>
      </c>
      <c r="D24" s="188">
        <f t="shared" si="1"/>
        <v>0</v>
      </c>
      <c r="E24" s="188">
        <f t="shared" si="1"/>
        <v>0</v>
      </c>
      <c r="F24" s="188">
        <f t="shared" si="1"/>
        <v>0</v>
      </c>
      <c r="G24" s="188">
        <f t="shared" si="1"/>
        <v>0</v>
      </c>
      <c r="H24" s="188">
        <f t="shared" si="1"/>
        <v>0.61</v>
      </c>
      <c r="I24" s="188">
        <f t="shared" si="1"/>
        <v>12.339599999999997</v>
      </c>
    </row>
    <row r="25" spans="1:9" ht="16.5" hidden="1">
      <c r="I25" s="179">
        <f>'TONG TP'!BN57</f>
        <v>12.339599999999999</v>
      </c>
    </row>
    <row r="28" spans="1:9">
      <c r="I28">
        <f>'TONG TP'!BN57</f>
        <v>12.339599999999999</v>
      </c>
    </row>
  </sheetData>
  <mergeCells count="10">
    <mergeCell ref="A2:I2"/>
    <mergeCell ref="A5:A6"/>
    <mergeCell ref="B5:B6"/>
    <mergeCell ref="C5:C6"/>
    <mergeCell ref="D5:D6"/>
    <mergeCell ref="H5:H6"/>
    <mergeCell ref="I5:I6"/>
    <mergeCell ref="A3:I3"/>
    <mergeCell ref="H4:I4"/>
    <mergeCell ref="E5:G5"/>
  </mergeCells>
  <phoneticPr fontId="4" type="noConversion"/>
  <printOptions horizontalCentered="1"/>
  <pageMargins left="1" right="0.25" top="0.3" bottom="0.25" header="0.5" footer="0.5"/>
  <pageSetup paperSize="9" orientation="portrait"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1"/>
  <dimension ref="A1:I29"/>
  <sheetViews>
    <sheetView showZeros="0" topLeftCell="A13" workbookViewId="0">
      <selection activeCell="B5" sqref="B5:B6"/>
    </sheetView>
  </sheetViews>
  <sheetFormatPr defaultRowHeight="12.75"/>
  <cols>
    <col min="1" max="1" width="6.28515625" customWidth="1"/>
    <col min="2" max="2" width="19.140625" customWidth="1"/>
    <col min="3" max="3" width="8.5703125" customWidth="1"/>
    <col min="4" max="4" width="9.7109375" customWidth="1"/>
    <col min="5" max="5" width="6.42578125" style="428" customWidth="1"/>
    <col min="6" max="6" width="8" style="275" customWidth="1"/>
    <col min="7" max="7" width="7.85546875" customWidth="1"/>
    <col min="8" max="8" width="6.85546875" customWidth="1"/>
    <col min="9" max="9" width="8.5703125" customWidth="1"/>
    <col min="10" max="10" width="10.7109375" bestFit="1" customWidth="1"/>
  </cols>
  <sheetData>
    <row r="1" spans="1:9" ht="17.25" customHeight="1">
      <c r="A1" s="342" t="s">
        <v>676</v>
      </c>
    </row>
    <row r="2" spans="1:9" ht="23.25" customHeight="1">
      <c r="A2" s="1354" t="s">
        <v>723</v>
      </c>
      <c r="B2" s="1354"/>
      <c r="C2" s="1354"/>
      <c r="D2" s="1354"/>
      <c r="E2" s="1354"/>
      <c r="F2" s="1354"/>
      <c r="G2" s="1354"/>
      <c r="H2" s="1354"/>
      <c r="I2" s="1354"/>
    </row>
    <row r="3" spans="1:9" ht="23.25" customHeight="1">
      <c r="A3" s="1354" t="s">
        <v>766</v>
      </c>
      <c r="B3" s="1354"/>
      <c r="C3" s="1354"/>
      <c r="D3" s="1354"/>
      <c r="E3" s="1354"/>
      <c r="F3" s="1354"/>
      <c r="G3" s="1354"/>
      <c r="H3" s="1354"/>
      <c r="I3" s="1354"/>
    </row>
    <row r="4" spans="1:9" ht="21" customHeight="1">
      <c r="H4" s="1377" t="s">
        <v>138</v>
      </c>
      <c r="I4" s="1377"/>
    </row>
    <row r="5" spans="1:9" ht="30.75" customHeight="1">
      <c r="A5" s="1280" t="s">
        <v>368</v>
      </c>
      <c r="B5" s="1280" t="s">
        <v>982</v>
      </c>
      <c r="C5" s="1280" t="s">
        <v>456</v>
      </c>
      <c r="D5" s="1280" t="s">
        <v>457</v>
      </c>
      <c r="E5" s="1280"/>
      <c r="F5" s="1280"/>
      <c r="G5" s="1280"/>
      <c r="H5" s="1280" t="s">
        <v>459</v>
      </c>
      <c r="I5" s="1280" t="s">
        <v>460</v>
      </c>
    </row>
    <row r="6" spans="1:9" ht="29.25" customHeight="1">
      <c r="A6" s="1280"/>
      <c r="B6" s="1280"/>
      <c r="C6" s="1280"/>
      <c r="D6" s="1280"/>
      <c r="E6" s="427"/>
      <c r="F6" s="276"/>
      <c r="G6" s="76"/>
      <c r="H6" s="1280"/>
      <c r="I6" s="1280"/>
    </row>
    <row r="7" spans="1:9" ht="21" customHeight="1">
      <c r="A7" s="70" t="s">
        <v>235</v>
      </c>
      <c r="B7" s="475" t="s">
        <v>744</v>
      </c>
      <c r="C7" s="99">
        <f>'PHỤ LỤC PNN'!C405</f>
        <v>0</v>
      </c>
      <c r="D7" s="99">
        <f>'Bac Son'!BC67</f>
        <v>0</v>
      </c>
      <c r="E7" s="99"/>
      <c r="F7" s="99"/>
      <c r="G7" s="99"/>
      <c r="H7" s="99">
        <f>'PHỤ LỤC PNN'!E405</f>
        <v>0</v>
      </c>
      <c r="I7" s="99">
        <f t="shared" ref="I7:I23" si="0">C7+D7-H7</f>
        <v>0</v>
      </c>
    </row>
    <row r="8" spans="1:9" ht="21" customHeight="1">
      <c r="A8" s="5" t="s">
        <v>236</v>
      </c>
      <c r="B8" s="476" t="s">
        <v>745</v>
      </c>
      <c r="C8" s="100">
        <f>'PHỤ LỤC PNN'!C406</f>
        <v>0.08</v>
      </c>
      <c r="D8" s="100">
        <f>'Hai Son'!BC67</f>
        <v>0</v>
      </c>
      <c r="E8" s="100"/>
      <c r="F8" s="100"/>
      <c r="G8" s="100"/>
      <c r="H8" s="100">
        <f>'PHỤ LỤC PNN'!E406</f>
        <v>0</v>
      </c>
      <c r="I8" s="100">
        <f t="shared" si="0"/>
        <v>0.08</v>
      </c>
    </row>
    <row r="9" spans="1:9" ht="21" customHeight="1">
      <c r="A9" s="5" t="s">
        <v>237</v>
      </c>
      <c r="B9" s="476" t="s">
        <v>746</v>
      </c>
      <c r="C9" s="100">
        <f>'PHỤ LỤC PNN'!C407</f>
        <v>0.34</v>
      </c>
      <c r="D9" s="100">
        <f>'Quang Nghia'!BC67</f>
        <v>0</v>
      </c>
      <c r="E9" s="100"/>
      <c r="F9" s="100"/>
      <c r="G9" s="100"/>
      <c r="H9" s="100">
        <f>'PHỤ LỤC PNN'!E407</f>
        <v>0</v>
      </c>
      <c r="I9" s="100">
        <f t="shared" si="0"/>
        <v>0.34</v>
      </c>
    </row>
    <row r="10" spans="1:9" ht="21" customHeight="1">
      <c r="A10" s="5" t="s">
        <v>238</v>
      </c>
      <c r="B10" s="476" t="s">
        <v>747</v>
      </c>
      <c r="C10" s="100">
        <f>'PHỤ LỤC PNN'!C408</f>
        <v>0</v>
      </c>
      <c r="D10" s="100">
        <f>'Hai Dong'!BC67</f>
        <v>0</v>
      </c>
      <c r="E10" s="100"/>
      <c r="F10" s="100"/>
      <c r="G10" s="100"/>
      <c r="H10" s="100">
        <f>'PHỤ LỤC PNN'!E408</f>
        <v>0</v>
      </c>
      <c r="I10" s="100">
        <f t="shared" si="0"/>
        <v>0</v>
      </c>
    </row>
    <row r="11" spans="1:9" ht="21" customHeight="1">
      <c r="A11" s="5" t="s">
        <v>239</v>
      </c>
      <c r="B11" s="476" t="s">
        <v>748</v>
      </c>
      <c r="C11" s="100">
        <f>'PHỤ LỤC PNN'!C409</f>
        <v>0</v>
      </c>
      <c r="D11" s="100">
        <f>'Hai Tien'!BC67</f>
        <v>0</v>
      </c>
      <c r="E11" s="100"/>
      <c r="F11" s="100"/>
      <c r="G11" s="100"/>
      <c r="H11" s="100">
        <f>'PHỤ LỤC PNN'!E409</f>
        <v>0</v>
      </c>
      <c r="I11" s="100">
        <f t="shared" si="0"/>
        <v>0</v>
      </c>
    </row>
    <row r="12" spans="1:9" ht="21" customHeight="1">
      <c r="A12" s="5" t="s">
        <v>240</v>
      </c>
      <c r="B12" s="476" t="s">
        <v>749</v>
      </c>
      <c r="C12" s="100">
        <f>'PHỤ LỤC PNN'!C410</f>
        <v>1.71</v>
      </c>
      <c r="D12" s="100">
        <f>'Hai Xuan'!BC67</f>
        <v>0</v>
      </c>
      <c r="E12" s="100"/>
      <c r="F12" s="100"/>
      <c r="G12" s="100"/>
      <c r="H12" s="100">
        <f>'PHỤ LỤC PNN'!E410</f>
        <v>0</v>
      </c>
      <c r="I12" s="100">
        <f t="shared" si="0"/>
        <v>1.71</v>
      </c>
    </row>
    <row r="13" spans="1:9" ht="21" customHeight="1">
      <c r="A13" s="5" t="s">
        <v>241</v>
      </c>
      <c r="B13" s="476" t="s">
        <v>750</v>
      </c>
      <c r="C13" s="100">
        <f>'PHỤ LỤC PNN'!C411</f>
        <v>0</v>
      </c>
      <c r="D13" s="100">
        <f>'Van Ninh'!BC68</f>
        <v>0</v>
      </c>
      <c r="E13" s="100"/>
      <c r="F13" s="100"/>
      <c r="G13" s="100"/>
      <c r="H13" s="100">
        <f>'PHỤ LỤC PNN'!E411</f>
        <v>0</v>
      </c>
      <c r="I13" s="100">
        <f t="shared" si="0"/>
        <v>0</v>
      </c>
    </row>
    <row r="14" spans="1:9" ht="21" customHeight="1">
      <c r="A14" s="5" t="s">
        <v>242</v>
      </c>
      <c r="B14" s="476" t="s">
        <v>751</v>
      </c>
      <c r="C14" s="100">
        <f>'PHỤ LỤC PNN'!C412</f>
        <v>0.19</v>
      </c>
      <c r="D14" s="100">
        <f>'Vinh Trung'!BC68</f>
        <v>0</v>
      </c>
      <c r="E14" s="100"/>
      <c r="F14" s="100"/>
      <c r="G14" s="100"/>
      <c r="H14" s="100">
        <f>'PHỤ LỤC PNN'!E412</f>
        <v>0</v>
      </c>
      <c r="I14" s="100">
        <f t="shared" si="0"/>
        <v>0.19</v>
      </c>
    </row>
    <row r="15" spans="1:9" ht="21" customHeight="1">
      <c r="A15" s="5" t="s">
        <v>243</v>
      </c>
      <c r="B15" s="476" t="s">
        <v>752</v>
      </c>
      <c r="C15" s="100">
        <f>'PHỤ LỤC PNN'!C413</f>
        <v>0</v>
      </c>
      <c r="D15" s="100">
        <f>'Vinh Thuc'!BC67</f>
        <v>0</v>
      </c>
      <c r="E15" s="100"/>
      <c r="F15" s="100"/>
      <c r="G15" s="100"/>
      <c r="H15" s="100">
        <f>'PHỤ LỤC PNN'!E413</f>
        <v>0</v>
      </c>
      <c r="I15" s="100">
        <f t="shared" si="0"/>
        <v>0</v>
      </c>
    </row>
    <row r="16" spans="1:9" ht="21" customHeight="1">
      <c r="A16" s="5" t="s">
        <v>244</v>
      </c>
      <c r="B16" s="476" t="s">
        <v>753</v>
      </c>
      <c r="C16" s="100">
        <f>'PHỤ LỤC PNN'!C414</f>
        <v>1.27</v>
      </c>
      <c r="D16" s="100">
        <f>'Hai Yen'!BC68</f>
        <v>5.17</v>
      </c>
      <c r="E16" s="100"/>
      <c r="F16" s="100"/>
      <c r="G16" s="100"/>
      <c r="H16" s="100">
        <f>'PHỤ LỤC PNN'!E414</f>
        <v>0</v>
      </c>
      <c r="I16" s="100">
        <f t="shared" si="0"/>
        <v>6.4399999999999995</v>
      </c>
    </row>
    <row r="17" spans="1:9" ht="21" customHeight="1">
      <c r="A17" s="5" t="s">
        <v>245</v>
      </c>
      <c r="B17" s="476" t="s">
        <v>754</v>
      </c>
      <c r="C17" s="100">
        <f>'PHỤ LỤC PNN'!C415</f>
        <v>0.47</v>
      </c>
      <c r="D17" s="100">
        <f>'Ka Long'!BC67</f>
        <v>0</v>
      </c>
      <c r="E17" s="100"/>
      <c r="F17" s="100"/>
      <c r="G17" s="100"/>
      <c r="H17" s="100">
        <f>'PHỤ LỤC PNN'!E415</f>
        <v>0</v>
      </c>
      <c r="I17" s="100">
        <f t="shared" si="0"/>
        <v>0.47</v>
      </c>
    </row>
    <row r="18" spans="1:9" ht="21" customHeight="1">
      <c r="A18" s="5" t="s">
        <v>246</v>
      </c>
      <c r="B18" s="476" t="s">
        <v>755</v>
      </c>
      <c r="C18" s="100">
        <f>'PHỤ LỤC PNN'!C416</f>
        <v>2.02</v>
      </c>
      <c r="D18" s="100">
        <f>'Ninh Duong'!BC67</f>
        <v>0.8</v>
      </c>
      <c r="E18" s="100"/>
      <c r="F18" s="100"/>
      <c r="G18" s="100"/>
      <c r="H18" s="100">
        <f>'PHỤ LỤC PNN'!E416</f>
        <v>0</v>
      </c>
      <c r="I18" s="100">
        <f t="shared" si="0"/>
        <v>2.8200000000000003</v>
      </c>
    </row>
    <row r="19" spans="1:9" ht="21" customHeight="1">
      <c r="A19" s="5" t="s">
        <v>247</v>
      </c>
      <c r="B19" s="476" t="s">
        <v>756</v>
      </c>
      <c r="C19" s="100">
        <f>'PHỤ LỤC PNN'!C417</f>
        <v>5.46</v>
      </c>
      <c r="D19" s="100">
        <f>'Hoa Lac'!BC67</f>
        <v>0</v>
      </c>
      <c r="E19" s="100"/>
      <c r="F19" s="100"/>
      <c r="G19" s="100"/>
      <c r="H19" s="100">
        <f>'PHỤ LỤC PNN'!E417</f>
        <v>0</v>
      </c>
      <c r="I19" s="100">
        <f t="shared" si="0"/>
        <v>5.46</v>
      </c>
    </row>
    <row r="20" spans="1:9" ht="21" customHeight="1">
      <c r="A20" s="5" t="s">
        <v>248</v>
      </c>
      <c r="B20" s="476" t="s">
        <v>757</v>
      </c>
      <c r="C20" s="100">
        <f>'PHỤ LỤC PNN'!C418</f>
        <v>0.53</v>
      </c>
      <c r="D20" s="100">
        <f>'Tran Phu'!BC67</f>
        <v>0</v>
      </c>
      <c r="E20" s="100"/>
      <c r="F20" s="100"/>
      <c r="G20" s="100"/>
      <c r="H20" s="100">
        <f>'PHỤ LỤC PNN'!E418</f>
        <v>0</v>
      </c>
      <c r="I20" s="100">
        <f t="shared" si="0"/>
        <v>0.53</v>
      </c>
    </row>
    <row r="21" spans="1:9" ht="21" customHeight="1">
      <c r="A21" s="5" t="s">
        <v>249</v>
      </c>
      <c r="B21" s="476" t="s">
        <v>758</v>
      </c>
      <c r="C21" s="100">
        <f>'PHỤ LỤC PNN'!C419</f>
        <v>0</v>
      </c>
      <c r="D21" s="100">
        <f>'Hai Hoa'!BC67</f>
        <v>9.02</v>
      </c>
      <c r="E21" s="100"/>
      <c r="F21" s="100"/>
      <c r="G21" s="100"/>
      <c r="H21" s="100">
        <f>'PHỤ LỤC PNN'!E419</f>
        <v>0</v>
      </c>
      <c r="I21" s="100">
        <f t="shared" si="0"/>
        <v>9.02</v>
      </c>
    </row>
    <row r="22" spans="1:9" ht="21" customHeight="1">
      <c r="A22" s="5" t="s">
        <v>250</v>
      </c>
      <c r="B22" s="476" t="s">
        <v>759</v>
      </c>
      <c r="C22" s="100">
        <f>'PHỤ LỤC PNN'!C420</f>
        <v>0</v>
      </c>
      <c r="D22" s="100">
        <f>'Tra Co'!BC67</f>
        <v>0</v>
      </c>
      <c r="E22" s="100"/>
      <c r="F22" s="100"/>
      <c r="G22" s="100"/>
      <c r="H22" s="100">
        <f>'PHỤ LỤC PNN'!E420</f>
        <v>0</v>
      </c>
      <c r="I22" s="100">
        <f t="shared" si="0"/>
        <v>0</v>
      </c>
    </row>
    <row r="23" spans="1:9" ht="21" customHeight="1">
      <c r="A23" s="5" t="s">
        <v>251</v>
      </c>
      <c r="B23" s="476" t="s">
        <v>760</v>
      </c>
      <c r="C23" s="100">
        <f>'PHỤ LỤC PNN'!C421</f>
        <v>0.22</v>
      </c>
      <c r="D23" s="100">
        <f>'Binh Ngoc'!BC67</f>
        <v>0</v>
      </c>
      <c r="E23" s="100">
        <f>'Binh Ngoc'!BC61</f>
        <v>0</v>
      </c>
      <c r="F23" s="100">
        <f>'Binh Ngoc'!BC60</f>
        <v>0</v>
      </c>
      <c r="G23" s="100">
        <f>'Binh Ngoc'!BC63</f>
        <v>0</v>
      </c>
      <c r="H23" s="100">
        <f>'PHỤ LỤC PNN'!E421</f>
        <v>0</v>
      </c>
      <c r="I23" s="100">
        <f t="shared" si="0"/>
        <v>0.22</v>
      </c>
    </row>
    <row r="24" spans="1:9" ht="23.25" customHeight="1">
      <c r="A24" s="79"/>
      <c r="B24" s="79" t="s">
        <v>370</v>
      </c>
      <c r="C24" s="75">
        <f t="shared" ref="C24:I24" si="1">SUM(C7:C23)</f>
        <v>12.29</v>
      </c>
      <c r="D24" s="75">
        <f t="shared" si="1"/>
        <v>14.989999999999998</v>
      </c>
      <c r="E24" s="75">
        <f t="shared" si="1"/>
        <v>0</v>
      </c>
      <c r="F24" s="75">
        <f t="shared" si="1"/>
        <v>0</v>
      </c>
      <c r="G24" s="75">
        <f t="shared" si="1"/>
        <v>0</v>
      </c>
      <c r="H24" s="75">
        <f t="shared" si="1"/>
        <v>0</v>
      </c>
      <c r="I24" s="75">
        <f t="shared" si="1"/>
        <v>27.28</v>
      </c>
    </row>
    <row r="25" spans="1:9" ht="15.75" hidden="1">
      <c r="I25" s="178">
        <f>'TONG TP'!BN58</f>
        <v>27.279999999999998</v>
      </c>
    </row>
    <row r="28" spans="1:9">
      <c r="I28">
        <f>'TONG TP'!BN58</f>
        <v>27.279999999999998</v>
      </c>
    </row>
    <row r="29" spans="1:9">
      <c r="I29" s="177">
        <f>I24-I28</f>
        <v>0</v>
      </c>
    </row>
  </sheetData>
  <mergeCells count="10">
    <mergeCell ref="A2:I2"/>
    <mergeCell ref="A3:I3"/>
    <mergeCell ref="A5:A6"/>
    <mergeCell ref="B5:B6"/>
    <mergeCell ref="C5:C6"/>
    <mergeCell ref="D5:D6"/>
    <mergeCell ref="E5:G5"/>
    <mergeCell ref="H5:H6"/>
    <mergeCell ref="I5:I6"/>
    <mergeCell ref="H4:I4"/>
  </mergeCells>
  <phoneticPr fontId="4" type="noConversion"/>
  <pageMargins left="0.5" right="0.4" top="0.3" bottom="1" header="0.5" footer="0.5"/>
  <pageSetup paperSize="9" scale="88" orientation="landscape"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2"/>
  <dimension ref="A1:H30"/>
  <sheetViews>
    <sheetView showZeros="0" topLeftCell="A16" workbookViewId="0">
      <selection activeCell="B4" sqref="B4:B5"/>
    </sheetView>
  </sheetViews>
  <sheetFormatPr defaultRowHeight="12.75"/>
  <cols>
    <col min="1" max="1" width="6.7109375" customWidth="1"/>
    <col min="2" max="2" width="21.140625" customWidth="1"/>
    <col min="3" max="3" width="9.42578125" customWidth="1"/>
    <col min="4" max="4" width="8.7109375" customWidth="1"/>
    <col min="5" max="5" width="8.5703125" customWidth="1"/>
    <col min="6" max="6" width="8.28515625" customWidth="1"/>
    <col min="7" max="7" width="8.5703125" customWidth="1"/>
    <col min="8" max="8" width="11" customWidth="1"/>
    <col min="9" max="9" width="10.7109375" bestFit="1" customWidth="1"/>
  </cols>
  <sheetData>
    <row r="1" spans="1:8" ht="19.5" customHeight="1">
      <c r="A1" s="342" t="s">
        <v>677</v>
      </c>
    </row>
    <row r="2" spans="1:8" ht="51.75" customHeight="1">
      <c r="A2" s="1427" t="s">
        <v>775</v>
      </c>
      <c r="B2" s="1427"/>
      <c r="C2" s="1427"/>
      <c r="D2" s="1427"/>
      <c r="E2" s="1427"/>
      <c r="F2" s="1427"/>
      <c r="G2" s="1427"/>
      <c r="H2" s="1427"/>
    </row>
    <row r="3" spans="1:8" ht="22.5" customHeight="1">
      <c r="G3" s="1377" t="s">
        <v>138</v>
      </c>
      <c r="H3" s="1377"/>
    </row>
    <row r="4" spans="1:8" ht="38.25" customHeight="1">
      <c r="A4" s="1280" t="s">
        <v>368</v>
      </c>
      <c r="B4" s="1280" t="s">
        <v>985</v>
      </c>
      <c r="C4" s="1280" t="s">
        <v>456</v>
      </c>
      <c r="D4" s="1280" t="s">
        <v>457</v>
      </c>
      <c r="E4" s="1280" t="s">
        <v>464</v>
      </c>
      <c r="F4" s="1280"/>
      <c r="G4" s="1280" t="s">
        <v>459</v>
      </c>
      <c r="H4" s="1280" t="s">
        <v>460</v>
      </c>
    </row>
    <row r="5" spans="1:8" ht="33" customHeight="1">
      <c r="A5" s="1280"/>
      <c r="B5" s="1280"/>
      <c r="C5" s="1280"/>
      <c r="D5" s="1280"/>
      <c r="E5" s="76" t="s">
        <v>20</v>
      </c>
      <c r="F5" s="76" t="s">
        <v>26</v>
      </c>
      <c r="G5" s="1280"/>
      <c r="H5" s="1280"/>
    </row>
    <row r="6" spans="1:8" ht="25.5" customHeight="1">
      <c r="A6" s="70" t="s">
        <v>235</v>
      </c>
      <c r="B6" s="475" t="s">
        <v>744</v>
      </c>
      <c r="C6" s="99">
        <f>'PHỤ LỤC PNN'!C430</f>
        <v>0</v>
      </c>
      <c r="D6" s="99">
        <f>'Bac Son'!BD67</f>
        <v>0</v>
      </c>
      <c r="E6" s="99">
        <f>'Bac Son'!BD12</f>
        <v>0</v>
      </c>
      <c r="F6" s="99">
        <f>'Bac Son'!BD17</f>
        <v>0</v>
      </c>
      <c r="G6" s="99">
        <f>'PHỤ LỤC PNN'!E430</f>
        <v>0</v>
      </c>
      <c r="H6" s="99">
        <f t="shared" ref="H6:H22" si="0">C6+D6-G6</f>
        <v>0</v>
      </c>
    </row>
    <row r="7" spans="1:8" ht="25.5" customHeight="1">
      <c r="A7" s="5" t="s">
        <v>236</v>
      </c>
      <c r="B7" s="476" t="s">
        <v>745</v>
      </c>
      <c r="C7" s="100">
        <f>'PHỤ LỤC PNN'!C431</f>
        <v>0</v>
      </c>
      <c r="D7" s="100">
        <f>'Hai Son'!BD67</f>
        <v>0</v>
      </c>
      <c r="E7" s="100">
        <f>'Hai Son'!BD12</f>
        <v>0</v>
      </c>
      <c r="F7" s="100">
        <f>'Hai Son'!BD17</f>
        <v>0</v>
      </c>
      <c r="G7" s="100">
        <f>'PHỤ LỤC PNN'!E431</f>
        <v>0</v>
      </c>
      <c r="H7" s="100">
        <f t="shared" si="0"/>
        <v>0</v>
      </c>
    </row>
    <row r="8" spans="1:8" ht="25.5" customHeight="1">
      <c r="A8" s="5" t="s">
        <v>237</v>
      </c>
      <c r="B8" s="476" t="s">
        <v>746</v>
      </c>
      <c r="C8" s="100">
        <f>'PHỤ LỤC PNN'!C432</f>
        <v>0.56999999999999995</v>
      </c>
      <c r="D8" s="100">
        <f>'Quang Nghia'!BD67</f>
        <v>0</v>
      </c>
      <c r="E8" s="100">
        <f>'Quang Nghia'!BD12</f>
        <v>0</v>
      </c>
      <c r="F8" s="100">
        <f>'Quang Nghia'!BD17</f>
        <v>0</v>
      </c>
      <c r="G8" s="100">
        <f>'PHỤ LỤC PNN'!E432</f>
        <v>0</v>
      </c>
      <c r="H8" s="100">
        <f t="shared" si="0"/>
        <v>0.56999999999999995</v>
      </c>
    </row>
    <row r="9" spans="1:8" ht="25.5" customHeight="1">
      <c r="A9" s="5" t="s">
        <v>238</v>
      </c>
      <c r="B9" s="476" t="s">
        <v>747</v>
      </c>
      <c r="C9" s="100">
        <f>'PHỤ LỤC PNN'!C433</f>
        <v>0.7</v>
      </c>
      <c r="D9" s="100">
        <f>'Hai Dong'!BD67</f>
        <v>0</v>
      </c>
      <c r="E9" s="100">
        <f>'Hai Dong'!BD12</f>
        <v>0</v>
      </c>
      <c r="F9" s="100">
        <f>'Hai Dong'!BD17</f>
        <v>0</v>
      </c>
      <c r="G9" s="100">
        <f>'PHỤ LỤC PNN'!E433</f>
        <v>0</v>
      </c>
      <c r="H9" s="100">
        <f t="shared" si="0"/>
        <v>0.7</v>
      </c>
    </row>
    <row r="10" spans="1:8" ht="25.5" customHeight="1">
      <c r="A10" s="5" t="s">
        <v>239</v>
      </c>
      <c r="B10" s="476" t="s">
        <v>748</v>
      </c>
      <c r="C10" s="100">
        <f>'PHỤ LỤC PNN'!C434</f>
        <v>0.66</v>
      </c>
      <c r="D10" s="100">
        <f>'Hai Tien'!BD67</f>
        <v>0</v>
      </c>
      <c r="E10" s="100">
        <f>'Hai Tien'!BD12</f>
        <v>0</v>
      </c>
      <c r="F10" s="100">
        <f>'Hai Tien'!BD17</f>
        <v>0</v>
      </c>
      <c r="G10" s="100">
        <f>'PHỤ LỤC PNN'!E434</f>
        <v>0</v>
      </c>
      <c r="H10" s="100">
        <f t="shared" si="0"/>
        <v>0.66</v>
      </c>
    </row>
    <row r="11" spans="1:8" ht="25.5" customHeight="1">
      <c r="A11" s="5" t="s">
        <v>240</v>
      </c>
      <c r="B11" s="476" t="s">
        <v>749</v>
      </c>
      <c r="C11" s="100">
        <f>'PHỤ LỤC PNN'!C435</f>
        <v>1.77</v>
      </c>
      <c r="D11" s="100">
        <f>'Hai Xuan'!BD67</f>
        <v>0</v>
      </c>
      <c r="E11" s="100">
        <f>'Hai Xuan'!BD12</f>
        <v>0</v>
      </c>
      <c r="F11" s="100">
        <f>'Hai Xuan'!BD17</f>
        <v>0</v>
      </c>
      <c r="G11" s="100">
        <f>'PHỤ LỤC PNN'!E435</f>
        <v>0</v>
      </c>
      <c r="H11" s="100">
        <f t="shared" si="0"/>
        <v>1.77</v>
      </c>
    </row>
    <row r="12" spans="1:8" ht="25.5" customHeight="1">
      <c r="A12" s="5" t="s">
        <v>241</v>
      </c>
      <c r="B12" s="476" t="s">
        <v>750</v>
      </c>
      <c r="C12" s="100">
        <f>'PHỤ LỤC PNN'!C436</f>
        <v>1.53</v>
      </c>
      <c r="D12" s="100">
        <f>'Van Ninh'!BD68</f>
        <v>0</v>
      </c>
      <c r="E12" s="100">
        <f>'Van Ninh'!BD12</f>
        <v>0</v>
      </c>
      <c r="F12" s="100">
        <f>'Van Ninh'!BD17</f>
        <v>0</v>
      </c>
      <c r="G12" s="100">
        <f>'PHỤ LỤC PNN'!E436</f>
        <v>0</v>
      </c>
      <c r="H12" s="100">
        <f t="shared" si="0"/>
        <v>1.53</v>
      </c>
    </row>
    <row r="13" spans="1:8" ht="25.5" customHeight="1">
      <c r="A13" s="5" t="s">
        <v>242</v>
      </c>
      <c r="B13" s="476" t="s">
        <v>751</v>
      </c>
      <c r="C13" s="100">
        <f>'PHỤ LỤC PNN'!C437</f>
        <v>0.08</v>
      </c>
      <c r="D13" s="100">
        <f>'Vinh Trung'!BD68</f>
        <v>0</v>
      </c>
      <c r="E13" s="100">
        <f>'Vinh Trung'!BD12</f>
        <v>0</v>
      </c>
      <c r="F13" s="100">
        <f>'Vinh Trung'!BD17</f>
        <v>0</v>
      </c>
      <c r="G13" s="100">
        <f>'PHỤ LỤC PNN'!E437</f>
        <v>0</v>
      </c>
      <c r="H13" s="100">
        <f t="shared" si="0"/>
        <v>0.08</v>
      </c>
    </row>
    <row r="14" spans="1:8" ht="25.5" customHeight="1">
      <c r="A14" s="5" t="s">
        <v>243</v>
      </c>
      <c r="B14" s="476" t="s">
        <v>752</v>
      </c>
      <c r="C14" s="100">
        <f>'PHỤ LỤC PNN'!C438</f>
        <v>0.57999999999999996</v>
      </c>
      <c r="D14" s="100">
        <f>'Vinh Thuc'!BD67</f>
        <v>0</v>
      </c>
      <c r="E14" s="100">
        <f>'Vinh Thuc'!BD12</f>
        <v>0</v>
      </c>
      <c r="F14" s="100">
        <f>'Vinh Thuc'!BD17</f>
        <v>0</v>
      </c>
      <c r="G14" s="100">
        <f>'PHỤ LỤC PNN'!E438</f>
        <v>0</v>
      </c>
      <c r="H14" s="100">
        <f t="shared" si="0"/>
        <v>0.57999999999999996</v>
      </c>
    </row>
    <row r="15" spans="1:8" ht="25.5" customHeight="1">
      <c r="A15" s="5" t="s">
        <v>244</v>
      </c>
      <c r="B15" s="476" t="s">
        <v>753</v>
      </c>
      <c r="C15" s="100">
        <f>'PHỤ LỤC PNN'!C439</f>
        <v>0.41</v>
      </c>
      <c r="D15" s="100">
        <f>'Hai Yen'!BD68</f>
        <v>0</v>
      </c>
      <c r="E15" s="100">
        <f>'Hai Yen'!BD12</f>
        <v>0</v>
      </c>
      <c r="F15" s="100">
        <f>'Hai Yen'!BD17</f>
        <v>0</v>
      </c>
      <c r="G15" s="100">
        <f>'PHỤ LỤC PNN'!E439</f>
        <v>0</v>
      </c>
      <c r="H15" s="100">
        <f t="shared" si="0"/>
        <v>0.41</v>
      </c>
    </row>
    <row r="16" spans="1:8" ht="25.5" customHeight="1">
      <c r="A16" s="5" t="s">
        <v>245</v>
      </c>
      <c r="B16" s="476" t="s">
        <v>754</v>
      </c>
      <c r="C16" s="100">
        <f>'PHỤ LỤC PNN'!C440</f>
        <v>1.23</v>
      </c>
      <c r="D16" s="100">
        <f>'Ka Long'!BD67</f>
        <v>0</v>
      </c>
      <c r="E16" s="100">
        <f>'Ka Long'!BD12</f>
        <v>0</v>
      </c>
      <c r="F16" s="100">
        <f>'Ka Long'!BD17</f>
        <v>0</v>
      </c>
      <c r="G16" s="100">
        <f>'PHỤ LỤC PNN'!E440</f>
        <v>0</v>
      </c>
      <c r="H16" s="100">
        <f t="shared" si="0"/>
        <v>1.23</v>
      </c>
    </row>
    <row r="17" spans="1:8" ht="25.5" customHeight="1">
      <c r="A17" s="5" t="s">
        <v>246</v>
      </c>
      <c r="B17" s="476" t="s">
        <v>755</v>
      </c>
      <c r="C17" s="100">
        <f>'PHỤ LỤC PNN'!C441</f>
        <v>0.16</v>
      </c>
      <c r="D17" s="100">
        <f>'Ninh Duong'!BD67</f>
        <v>0</v>
      </c>
      <c r="E17" s="100">
        <f>'Ninh Duong'!BD12</f>
        <v>0</v>
      </c>
      <c r="F17" s="100">
        <f>'Ninh Duong'!BD17</f>
        <v>0</v>
      </c>
      <c r="G17" s="100">
        <f>'PHỤ LỤC PNN'!E441</f>
        <v>0</v>
      </c>
      <c r="H17" s="100">
        <f t="shared" si="0"/>
        <v>0.16</v>
      </c>
    </row>
    <row r="18" spans="1:8" ht="25.5" customHeight="1">
      <c r="A18" s="5" t="s">
        <v>247</v>
      </c>
      <c r="B18" s="476" t="s">
        <v>756</v>
      </c>
      <c r="C18" s="100">
        <f>'PHỤ LỤC PNN'!C442</f>
        <v>0.01</v>
      </c>
      <c r="D18" s="100">
        <f>'Hoa Lac'!BD67</f>
        <v>0</v>
      </c>
      <c r="E18" s="100">
        <f>'Hoa Lac'!BD12</f>
        <v>0</v>
      </c>
      <c r="F18" s="100">
        <f>'Hoa Lac'!BD17</f>
        <v>0</v>
      </c>
      <c r="G18" s="100">
        <f>'PHỤ LỤC PNN'!E442</f>
        <v>0</v>
      </c>
      <c r="H18" s="100">
        <f t="shared" si="0"/>
        <v>0.01</v>
      </c>
    </row>
    <row r="19" spans="1:8" ht="25.5" customHeight="1">
      <c r="A19" s="5" t="s">
        <v>248</v>
      </c>
      <c r="B19" s="476" t="s">
        <v>757</v>
      </c>
      <c r="C19" s="100">
        <f>'PHỤ LỤC PNN'!C443</f>
        <v>0</v>
      </c>
      <c r="D19" s="100">
        <f>'Tran Phu'!BD67</f>
        <v>0</v>
      </c>
      <c r="E19" s="100">
        <f>'Tran Phu'!BD12</f>
        <v>0</v>
      </c>
      <c r="F19" s="100">
        <f>'Tran Phu'!BD17</f>
        <v>0</v>
      </c>
      <c r="G19" s="100">
        <f>'PHỤ LỤC PNN'!E443</f>
        <v>0</v>
      </c>
      <c r="H19" s="100">
        <f t="shared" si="0"/>
        <v>0</v>
      </c>
    </row>
    <row r="20" spans="1:8" ht="25.5" customHeight="1">
      <c r="A20" s="5" t="s">
        <v>249</v>
      </c>
      <c r="B20" s="476" t="s">
        <v>758</v>
      </c>
      <c r="C20" s="100">
        <f>'PHỤ LỤC PNN'!C444</f>
        <v>0.54</v>
      </c>
      <c r="D20" s="100">
        <f>'Hai Hoa'!BD67</f>
        <v>0</v>
      </c>
      <c r="E20" s="100">
        <f>'Hai Hoa'!BD12</f>
        <v>0</v>
      </c>
      <c r="F20" s="100">
        <f>'Hai Hoa'!BD17</f>
        <v>0</v>
      </c>
      <c r="G20" s="100">
        <f>'PHỤ LỤC PNN'!E444</f>
        <v>0.09</v>
      </c>
      <c r="H20" s="100">
        <f t="shared" si="0"/>
        <v>0.45000000000000007</v>
      </c>
    </row>
    <row r="21" spans="1:8" ht="25.5" customHeight="1">
      <c r="A21" s="5" t="s">
        <v>250</v>
      </c>
      <c r="B21" s="476" t="s">
        <v>759</v>
      </c>
      <c r="C21" s="100">
        <f>'PHỤ LỤC PNN'!C445</f>
        <v>1.65</v>
      </c>
      <c r="D21" s="100">
        <f>'Tra Co'!BD67</f>
        <v>0</v>
      </c>
      <c r="E21" s="100">
        <f>'Tra Co'!BD12</f>
        <v>0</v>
      </c>
      <c r="F21" s="100">
        <f>'Tra Co'!BD17</f>
        <v>0</v>
      </c>
      <c r="G21" s="100">
        <f>'PHỤ LỤC PNN'!E445</f>
        <v>0</v>
      </c>
      <c r="H21" s="100">
        <f t="shared" si="0"/>
        <v>1.65</v>
      </c>
    </row>
    <row r="22" spans="1:8" ht="25.5" customHeight="1">
      <c r="A22" s="5" t="s">
        <v>251</v>
      </c>
      <c r="B22" s="476" t="s">
        <v>760</v>
      </c>
      <c r="C22" s="100">
        <f>'PHỤ LỤC PNN'!C446</f>
        <v>0.64</v>
      </c>
      <c r="D22" s="100">
        <f>'Binh Ngoc'!BD67</f>
        <v>0</v>
      </c>
      <c r="E22" s="100">
        <f>'Binh Ngoc'!BD12</f>
        <v>0</v>
      </c>
      <c r="F22" s="100">
        <f>'Binh Ngoc'!BD17</f>
        <v>0</v>
      </c>
      <c r="G22" s="100">
        <f>'PHỤ LỤC PNN'!E446</f>
        <v>0</v>
      </c>
      <c r="H22" s="100">
        <f t="shared" si="0"/>
        <v>0.64</v>
      </c>
    </row>
    <row r="23" spans="1:8" ht="26.25" customHeight="1">
      <c r="A23" s="79"/>
      <c r="B23" s="79" t="s">
        <v>370</v>
      </c>
      <c r="C23" s="75">
        <f t="shared" ref="C23:H23" si="1">SUM(C6:C22)</f>
        <v>10.530000000000003</v>
      </c>
      <c r="D23" s="75">
        <f t="shared" si="1"/>
        <v>0</v>
      </c>
      <c r="E23" s="75">
        <f t="shared" si="1"/>
        <v>0</v>
      </c>
      <c r="F23" s="75">
        <f t="shared" si="1"/>
        <v>0</v>
      </c>
      <c r="G23" s="75">
        <f t="shared" si="1"/>
        <v>0.09</v>
      </c>
      <c r="H23" s="75">
        <f t="shared" si="1"/>
        <v>10.440000000000001</v>
      </c>
    </row>
    <row r="24" spans="1:8" ht="15.75" hidden="1">
      <c r="H24" s="178">
        <f>'TONG TP'!BN59</f>
        <v>10.440000000000003</v>
      </c>
    </row>
    <row r="30" spans="1:8">
      <c r="H30">
        <f>'TONG TP'!BN59</f>
        <v>10.440000000000003</v>
      </c>
    </row>
  </sheetData>
  <mergeCells count="9">
    <mergeCell ref="A2:H2"/>
    <mergeCell ref="A4:A5"/>
    <mergeCell ref="B4:B5"/>
    <mergeCell ref="C4:C5"/>
    <mergeCell ref="D4:D5"/>
    <mergeCell ref="E4:F4"/>
    <mergeCell ref="G4:G5"/>
    <mergeCell ref="H4:H5"/>
    <mergeCell ref="G3:H3"/>
  </mergeCells>
  <phoneticPr fontId="4" type="noConversion"/>
  <pageMargins left="1.25" right="0.5" top="1" bottom="1" header="0.5" footer="0.5"/>
  <pageSetup paperSize="9" orientation="portrait"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H28"/>
  <sheetViews>
    <sheetView showZeros="0" topLeftCell="A7" workbookViewId="0">
      <selection activeCell="A4" sqref="A4:H23"/>
    </sheetView>
  </sheetViews>
  <sheetFormatPr defaultRowHeight="12.75"/>
  <cols>
    <col min="1" max="1" width="6.7109375" customWidth="1"/>
    <col min="2" max="2" width="21.140625" customWidth="1"/>
    <col min="3" max="3" width="11" customWidth="1"/>
    <col min="4" max="4" width="11.28515625" customWidth="1"/>
    <col min="5" max="5" width="9.140625" hidden="1" customWidth="1"/>
    <col min="6" max="6" width="7.5703125" hidden="1" customWidth="1"/>
    <col min="7" max="7" width="12" customWidth="1"/>
    <col min="8" max="8" width="12.7109375" customWidth="1"/>
    <col min="9" max="9" width="10.7109375" bestFit="1" customWidth="1"/>
  </cols>
  <sheetData>
    <row r="1" spans="1:8" ht="17.25" customHeight="1">
      <c r="A1" t="s">
        <v>463</v>
      </c>
    </row>
    <row r="2" spans="1:8" ht="37.5" customHeight="1">
      <c r="A2" s="1420" t="s">
        <v>776</v>
      </c>
      <c r="B2" s="1420"/>
      <c r="C2" s="1420"/>
      <c r="D2" s="1420"/>
      <c r="E2" s="1420"/>
      <c r="F2" s="1420"/>
      <c r="G2" s="1420"/>
      <c r="H2" s="1420"/>
    </row>
    <row r="3" spans="1:8" ht="18" customHeight="1">
      <c r="G3" s="1377" t="s">
        <v>138</v>
      </c>
      <c r="H3" s="1377"/>
    </row>
    <row r="4" spans="1:8" ht="25.5" customHeight="1">
      <c r="A4" s="1280" t="s">
        <v>368</v>
      </c>
      <c r="B4" s="1280" t="s">
        <v>979</v>
      </c>
      <c r="C4" s="1280" t="s">
        <v>456</v>
      </c>
      <c r="D4" s="1280" t="s">
        <v>457</v>
      </c>
      <c r="E4" s="1280"/>
      <c r="F4" s="1280"/>
      <c r="G4" s="1280" t="s">
        <v>459</v>
      </c>
      <c r="H4" s="1280" t="s">
        <v>460</v>
      </c>
    </row>
    <row r="5" spans="1:8" ht="12" customHeight="1">
      <c r="A5" s="1280"/>
      <c r="B5" s="1280"/>
      <c r="C5" s="1280"/>
      <c r="D5" s="1280"/>
      <c r="E5" s="76"/>
      <c r="F5" s="76"/>
      <c r="G5" s="1280"/>
      <c r="H5" s="1280"/>
    </row>
    <row r="6" spans="1:8" ht="18.75" customHeight="1">
      <c r="A6" s="70" t="s">
        <v>235</v>
      </c>
      <c r="B6" s="475" t="s">
        <v>744</v>
      </c>
      <c r="C6" s="70">
        <f>'PHỤ LỤC PNN'!C455</f>
        <v>106</v>
      </c>
      <c r="D6" s="70">
        <f t="shared" ref="D6:D22" si="0">SUM(E6:F6)</f>
        <v>0</v>
      </c>
      <c r="E6" s="70"/>
      <c r="F6" s="70"/>
      <c r="G6" s="70">
        <f>'PHỤ LỤC PNN'!E455</f>
        <v>0</v>
      </c>
      <c r="H6" s="70">
        <f t="shared" ref="H6:H22" si="1">C6+D6-G6</f>
        <v>106</v>
      </c>
    </row>
    <row r="7" spans="1:8" ht="18.75" customHeight="1">
      <c r="A7" s="5" t="s">
        <v>236</v>
      </c>
      <c r="B7" s="476" t="s">
        <v>745</v>
      </c>
      <c r="C7" s="5">
        <f>'PHỤ LỤC PNN'!C456</f>
        <v>66.81</v>
      </c>
      <c r="D7" s="5">
        <f t="shared" si="0"/>
        <v>0</v>
      </c>
      <c r="E7" s="5"/>
      <c r="F7" s="5"/>
      <c r="G7" s="5">
        <f>'PHỤ LỤC PNN'!E456</f>
        <v>0.02</v>
      </c>
      <c r="H7" s="5">
        <f t="shared" si="1"/>
        <v>66.790000000000006</v>
      </c>
    </row>
    <row r="8" spans="1:8" ht="18.75" customHeight="1">
      <c r="A8" s="5" t="s">
        <v>237</v>
      </c>
      <c r="B8" s="476" t="s">
        <v>746</v>
      </c>
      <c r="C8" s="5">
        <f>'PHỤ LỤC PNN'!C457</f>
        <v>614.94000000000005</v>
      </c>
      <c r="D8" s="5">
        <f t="shared" si="0"/>
        <v>0</v>
      </c>
      <c r="E8" s="5"/>
      <c r="F8" s="5"/>
      <c r="G8" s="5">
        <f>'PHỤ LỤC PNN'!E457</f>
        <v>13.7</v>
      </c>
      <c r="H8" s="5">
        <f t="shared" si="1"/>
        <v>601.24</v>
      </c>
    </row>
    <row r="9" spans="1:8" ht="18.75" customHeight="1">
      <c r="A9" s="5" t="s">
        <v>238</v>
      </c>
      <c r="B9" s="476" t="s">
        <v>747</v>
      </c>
      <c r="C9" s="5">
        <f>'PHỤ LỤC PNN'!C458</f>
        <v>70.38</v>
      </c>
      <c r="D9" s="5">
        <f t="shared" si="0"/>
        <v>0</v>
      </c>
      <c r="E9" s="5"/>
      <c r="F9" s="5"/>
      <c r="G9" s="5">
        <f>'PHỤ LỤC PNN'!E458</f>
        <v>4.34</v>
      </c>
      <c r="H9" s="5">
        <f t="shared" si="1"/>
        <v>66.039999999999992</v>
      </c>
    </row>
    <row r="10" spans="1:8" ht="18.75" customHeight="1">
      <c r="A10" s="5" t="s">
        <v>239</v>
      </c>
      <c r="B10" s="476" t="s">
        <v>748</v>
      </c>
      <c r="C10" s="5">
        <f>'PHỤ LỤC PNN'!C459</f>
        <v>253.2</v>
      </c>
      <c r="D10" s="5">
        <f t="shared" si="0"/>
        <v>0</v>
      </c>
      <c r="E10" s="5"/>
      <c r="F10" s="5"/>
      <c r="G10" s="5">
        <f>'PHỤ LỤC PNN'!E459</f>
        <v>5.4999999999999991</v>
      </c>
      <c r="H10" s="5">
        <f t="shared" si="1"/>
        <v>247.7</v>
      </c>
    </row>
    <row r="11" spans="1:8" ht="18.75" customHeight="1">
      <c r="A11" s="5" t="s">
        <v>240</v>
      </c>
      <c r="B11" s="476" t="s">
        <v>749</v>
      </c>
      <c r="C11" s="5">
        <f>'PHỤ LỤC PNN'!C460</f>
        <v>161.99</v>
      </c>
      <c r="D11" s="5">
        <f t="shared" si="0"/>
        <v>0</v>
      </c>
      <c r="E11" s="5"/>
      <c r="F11" s="5"/>
      <c r="G11" s="5">
        <f>'PHỤ LỤC PNN'!E460</f>
        <v>5.15</v>
      </c>
      <c r="H11" s="5">
        <f t="shared" si="1"/>
        <v>156.84</v>
      </c>
    </row>
    <row r="12" spans="1:8" ht="18.75" customHeight="1">
      <c r="A12" s="5" t="s">
        <v>241</v>
      </c>
      <c r="B12" s="476" t="s">
        <v>750</v>
      </c>
      <c r="C12" s="5">
        <f>'PHỤ LỤC PNN'!C461</f>
        <v>97.99</v>
      </c>
      <c r="D12" s="5">
        <f t="shared" si="0"/>
        <v>0</v>
      </c>
      <c r="E12" s="5"/>
      <c r="F12" s="5"/>
      <c r="G12" s="5">
        <f>'PHỤ LỤC PNN'!E461</f>
        <v>1.8900000000000001</v>
      </c>
      <c r="H12" s="5">
        <f t="shared" si="1"/>
        <v>96.1</v>
      </c>
    </row>
    <row r="13" spans="1:8" ht="18.75" customHeight="1">
      <c r="A13" s="5" t="s">
        <v>242</v>
      </c>
      <c r="B13" s="476" t="s">
        <v>751</v>
      </c>
      <c r="C13" s="5">
        <f>'PHỤ LỤC PNN'!C462</f>
        <v>82.93</v>
      </c>
      <c r="D13" s="5">
        <f t="shared" si="0"/>
        <v>0</v>
      </c>
      <c r="E13" s="5"/>
      <c r="F13" s="5"/>
      <c r="G13" s="5">
        <f>'PHỤ LỤC PNN'!E462</f>
        <v>0</v>
      </c>
      <c r="H13" s="5">
        <f t="shared" si="1"/>
        <v>82.93</v>
      </c>
    </row>
    <row r="14" spans="1:8" ht="18.75" hidden="1" customHeight="1">
      <c r="A14" s="5" t="s">
        <v>243</v>
      </c>
      <c r="B14" s="476" t="s">
        <v>752</v>
      </c>
      <c r="C14" s="5">
        <f>'PHỤ LỤC PNN'!C463</f>
        <v>0</v>
      </c>
      <c r="D14" s="5">
        <f t="shared" si="0"/>
        <v>0</v>
      </c>
      <c r="E14" s="5"/>
      <c r="F14" s="5"/>
      <c r="G14" s="5">
        <f>'PHỤ LỤC PNN'!E463</f>
        <v>0</v>
      </c>
      <c r="H14" s="5">
        <f t="shared" si="1"/>
        <v>0</v>
      </c>
    </row>
    <row r="15" spans="1:8" ht="18.75" customHeight="1">
      <c r="A15" s="5" t="s">
        <v>244</v>
      </c>
      <c r="B15" s="476" t="s">
        <v>753</v>
      </c>
      <c r="C15" s="5">
        <f>'PHỤ LỤC PNN'!C464</f>
        <v>37.96</v>
      </c>
      <c r="D15" s="5">
        <f t="shared" si="0"/>
        <v>0</v>
      </c>
      <c r="E15" s="5"/>
      <c r="F15" s="5"/>
      <c r="G15" s="5">
        <f>'PHỤ LỤC PNN'!E464</f>
        <v>0.44</v>
      </c>
      <c r="H15" s="5">
        <f t="shared" si="1"/>
        <v>37.520000000000003</v>
      </c>
    </row>
    <row r="16" spans="1:8" ht="18.75" customHeight="1">
      <c r="A16" s="5" t="s">
        <v>245</v>
      </c>
      <c r="B16" s="476" t="s">
        <v>754</v>
      </c>
      <c r="C16" s="5">
        <f>'PHỤ LỤC PNN'!C465</f>
        <v>23.46</v>
      </c>
      <c r="D16" s="5">
        <f t="shared" si="0"/>
        <v>0</v>
      </c>
      <c r="E16" s="5"/>
      <c r="F16" s="5"/>
      <c r="G16" s="5">
        <f>'PHỤ LỤC PNN'!E465</f>
        <v>0</v>
      </c>
      <c r="H16" s="5">
        <f t="shared" si="1"/>
        <v>23.46</v>
      </c>
    </row>
    <row r="17" spans="1:8" ht="18.75" customHeight="1">
      <c r="A17" s="5" t="s">
        <v>246</v>
      </c>
      <c r="B17" s="476" t="s">
        <v>755</v>
      </c>
      <c r="C17" s="5">
        <f>'PHỤ LỤC PNN'!C466</f>
        <v>92</v>
      </c>
      <c r="D17" s="5">
        <f t="shared" si="0"/>
        <v>0</v>
      </c>
      <c r="E17" s="5"/>
      <c r="F17" s="5"/>
      <c r="G17" s="5">
        <f>'PHỤ LỤC PNN'!E466</f>
        <v>3.38</v>
      </c>
      <c r="H17" s="5">
        <f t="shared" si="1"/>
        <v>88.62</v>
      </c>
    </row>
    <row r="18" spans="1:8" ht="18.75" customHeight="1">
      <c r="A18" s="5" t="s">
        <v>247</v>
      </c>
      <c r="B18" s="476" t="s">
        <v>756</v>
      </c>
      <c r="C18" s="5">
        <f>'PHỤ LỤC PNN'!C467</f>
        <v>9.67</v>
      </c>
      <c r="D18" s="5">
        <f t="shared" si="0"/>
        <v>0</v>
      </c>
      <c r="E18" s="5"/>
      <c r="F18" s="5"/>
      <c r="G18" s="5">
        <f>'PHỤ LỤC PNN'!E467</f>
        <v>0</v>
      </c>
      <c r="H18" s="5">
        <f t="shared" si="1"/>
        <v>9.67</v>
      </c>
    </row>
    <row r="19" spans="1:8" ht="18.75" customHeight="1">
      <c r="A19" s="5" t="s">
        <v>248</v>
      </c>
      <c r="B19" s="476" t="s">
        <v>757</v>
      </c>
      <c r="C19" s="5">
        <f>'PHỤ LỤC PNN'!C468</f>
        <v>8.2200000000000006</v>
      </c>
      <c r="D19" s="5">
        <f t="shared" si="0"/>
        <v>0</v>
      </c>
      <c r="E19" s="5"/>
      <c r="F19" s="5"/>
      <c r="G19" s="5">
        <f>'PHỤ LỤC PNN'!E468</f>
        <v>0</v>
      </c>
      <c r="H19" s="5">
        <f t="shared" si="1"/>
        <v>8.2200000000000006</v>
      </c>
    </row>
    <row r="20" spans="1:8" ht="18.75" customHeight="1">
      <c r="A20" s="5" t="s">
        <v>249</v>
      </c>
      <c r="B20" s="476" t="s">
        <v>758</v>
      </c>
      <c r="C20" s="5">
        <f>'PHỤ LỤC PNN'!C469</f>
        <v>689.36</v>
      </c>
      <c r="D20" s="5">
        <f t="shared" si="0"/>
        <v>0</v>
      </c>
      <c r="E20" s="5"/>
      <c r="F20" s="5"/>
      <c r="G20" s="5">
        <f>'PHỤ LỤC PNN'!E469</f>
        <v>1.21</v>
      </c>
      <c r="H20" s="5">
        <f t="shared" si="1"/>
        <v>688.15</v>
      </c>
    </row>
    <row r="21" spans="1:8" ht="18.75" customHeight="1">
      <c r="A21" s="5" t="s">
        <v>250</v>
      </c>
      <c r="B21" s="476" t="s">
        <v>759</v>
      </c>
      <c r="C21" s="5">
        <f>'PHỤ LỤC PNN'!C470</f>
        <v>129.85</v>
      </c>
      <c r="D21" s="5">
        <f t="shared" si="0"/>
        <v>0</v>
      </c>
      <c r="E21" s="5"/>
      <c r="F21" s="5"/>
      <c r="G21" s="5">
        <f>'PHỤ LỤC PNN'!E470</f>
        <v>25.23</v>
      </c>
      <c r="H21" s="5">
        <f t="shared" si="1"/>
        <v>104.61999999999999</v>
      </c>
    </row>
    <row r="22" spans="1:8" ht="18.75" customHeight="1">
      <c r="A22" s="5" t="s">
        <v>251</v>
      </c>
      <c r="B22" s="476" t="s">
        <v>760</v>
      </c>
      <c r="C22" s="5">
        <f>'PHỤ LỤC PNN'!C471</f>
        <v>95.82</v>
      </c>
      <c r="D22" s="5">
        <f t="shared" si="0"/>
        <v>0</v>
      </c>
      <c r="E22" s="5"/>
      <c r="F22" s="5"/>
      <c r="G22" s="5">
        <f>'PHỤ LỤC PNN'!E471</f>
        <v>0</v>
      </c>
      <c r="H22" s="5">
        <f t="shared" si="1"/>
        <v>95.82</v>
      </c>
    </row>
    <row r="23" spans="1:8" ht="18.75" customHeight="1">
      <c r="A23" s="79"/>
      <c r="B23" s="79" t="s">
        <v>370</v>
      </c>
      <c r="C23" s="79">
        <f t="shared" ref="C23:H23" si="2">SUM(C6:C22)</f>
        <v>2540.5800000000004</v>
      </c>
      <c r="D23" s="79">
        <f t="shared" si="2"/>
        <v>0</v>
      </c>
      <c r="E23" s="79">
        <f t="shared" si="2"/>
        <v>0</v>
      </c>
      <c r="F23" s="79">
        <f t="shared" si="2"/>
        <v>0</v>
      </c>
      <c r="G23" s="79">
        <f t="shared" si="2"/>
        <v>60.86</v>
      </c>
      <c r="H23" s="79">
        <f t="shared" si="2"/>
        <v>2479.7199999999998</v>
      </c>
    </row>
    <row r="24" spans="1:8" ht="15.75">
      <c r="H24" s="178">
        <f>'TONG TP'!BN60</f>
        <v>2479.7200000000003</v>
      </c>
    </row>
    <row r="28" spans="1:8">
      <c r="H28">
        <f>'TONG TP'!BN60</f>
        <v>2479.7200000000003</v>
      </c>
    </row>
  </sheetData>
  <autoFilter ref="A5:H24">
    <filterColumn colId="7">
      <customFilters>
        <customFilter operator="notEqual" val=" "/>
      </customFilters>
    </filterColumn>
  </autoFilter>
  <mergeCells count="9">
    <mergeCell ref="A2:H2"/>
    <mergeCell ref="A4:A5"/>
    <mergeCell ref="B4:B5"/>
    <mergeCell ref="C4:C5"/>
    <mergeCell ref="D4:D5"/>
    <mergeCell ref="E4:F4"/>
    <mergeCell ref="G4:G5"/>
    <mergeCell ref="H4:H5"/>
    <mergeCell ref="G3:H3"/>
  </mergeCells>
  <phoneticPr fontId="4" type="noConversion"/>
  <printOptions horizontalCentered="1"/>
  <pageMargins left="1" right="0.25" top="0.25" bottom="0.25" header="0.5" footer="0.5"/>
  <pageSetup paperSize="9" orientation="portrait" r:id="rId1"/>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23"/>
  <sheetViews>
    <sheetView workbookViewId="0">
      <selection activeCell="K14" sqref="K14"/>
    </sheetView>
  </sheetViews>
  <sheetFormatPr defaultRowHeight="12.75"/>
  <cols>
    <col min="2" max="2" width="22" customWidth="1"/>
    <col min="3" max="3" width="12.85546875" customWidth="1"/>
    <col min="4" max="4" width="12" customWidth="1"/>
    <col min="5" max="5" width="7.140625" hidden="1" customWidth="1"/>
    <col min="6" max="6" width="7" hidden="1" customWidth="1"/>
    <col min="7" max="7" width="15.42578125" customWidth="1"/>
    <col min="8" max="8" width="15.28515625" customWidth="1"/>
  </cols>
  <sheetData>
    <row r="2" spans="1:8" ht="15.75">
      <c r="A2" s="1420" t="s">
        <v>994</v>
      </c>
      <c r="B2" s="1420"/>
      <c r="C2" s="1420"/>
      <c r="D2" s="1420"/>
      <c r="E2" s="1420"/>
      <c r="F2" s="1420"/>
      <c r="G2" s="1420"/>
      <c r="H2" s="1420"/>
    </row>
    <row r="3" spans="1:8" ht="15.75">
      <c r="A3" s="660"/>
      <c r="B3" s="660"/>
      <c r="C3" s="660"/>
      <c r="D3" s="660"/>
      <c r="E3" s="660"/>
      <c r="F3" s="660"/>
      <c r="G3" s="1377" t="s">
        <v>138</v>
      </c>
      <c r="H3" s="1377"/>
    </row>
    <row r="4" spans="1:8" ht="20.25" customHeight="1">
      <c r="A4" s="1356" t="s">
        <v>368</v>
      </c>
      <c r="B4" s="1356" t="s">
        <v>985</v>
      </c>
      <c r="C4" s="1356" t="s">
        <v>456</v>
      </c>
      <c r="D4" s="1356" t="s">
        <v>457</v>
      </c>
      <c r="E4" s="1356"/>
      <c r="F4" s="1356"/>
      <c r="G4" s="1356" t="s">
        <v>459</v>
      </c>
      <c r="H4" s="1356" t="s">
        <v>460</v>
      </c>
    </row>
    <row r="5" spans="1:8" ht="20.25" customHeight="1">
      <c r="A5" s="1356"/>
      <c r="B5" s="1356"/>
      <c r="C5" s="1356"/>
      <c r="D5" s="1356"/>
      <c r="E5" s="661"/>
      <c r="F5" s="661"/>
      <c r="G5" s="1356"/>
      <c r="H5" s="1356"/>
    </row>
    <row r="6" spans="1:8" ht="20.25" customHeight="1">
      <c r="A6" s="41" t="s">
        <v>235</v>
      </c>
      <c r="B6" s="475" t="s">
        <v>744</v>
      </c>
      <c r="C6" s="567">
        <f>'Bac Son'!D63</f>
        <v>78.92</v>
      </c>
      <c r="D6" s="567"/>
      <c r="E6" s="41"/>
      <c r="F6" s="41"/>
      <c r="G6" s="567">
        <f>'Bac Son'!BL63</f>
        <v>0.03</v>
      </c>
      <c r="H6" s="567">
        <f>C6-G6</f>
        <v>78.89</v>
      </c>
    </row>
    <row r="7" spans="1:8" ht="20.25" customHeight="1">
      <c r="A7" s="42" t="s">
        <v>236</v>
      </c>
      <c r="B7" s="476" t="s">
        <v>745</v>
      </c>
      <c r="C7" s="568">
        <f>'Hai Son'!D63</f>
        <v>75.067039999999992</v>
      </c>
      <c r="D7" s="568"/>
      <c r="E7" s="42"/>
      <c r="F7" s="42"/>
      <c r="G7" s="568">
        <f>'Hai Son'!BL63</f>
        <v>0.08</v>
      </c>
      <c r="H7" s="567">
        <f t="shared" ref="H7:H22" si="0">C7-G7</f>
        <v>74.987039999999993</v>
      </c>
    </row>
    <row r="8" spans="1:8" ht="20.25" customHeight="1">
      <c r="A8" s="42" t="s">
        <v>237</v>
      </c>
      <c r="B8" s="476" t="s">
        <v>746</v>
      </c>
      <c r="C8" s="568">
        <f>'Quang Nghia'!D63</f>
        <v>65.17</v>
      </c>
      <c r="D8" s="568"/>
      <c r="E8" s="42"/>
      <c r="F8" s="42"/>
      <c r="G8" s="568">
        <f>'Quang Nghia'!BL63</f>
        <v>6.04</v>
      </c>
      <c r="H8" s="567">
        <f t="shared" si="0"/>
        <v>59.13</v>
      </c>
    </row>
    <row r="9" spans="1:8" ht="20.25" customHeight="1">
      <c r="A9" s="42" t="s">
        <v>238</v>
      </c>
      <c r="B9" s="476" t="s">
        <v>747</v>
      </c>
      <c r="C9" s="568">
        <f>'Hai Dong'!D63</f>
        <v>562.77</v>
      </c>
      <c r="D9" s="568"/>
      <c r="E9" s="42"/>
      <c r="F9" s="42"/>
      <c r="G9" s="568">
        <f>'Hai Dong'!BL63</f>
        <v>4.5699999999999994</v>
      </c>
      <c r="H9" s="567">
        <f t="shared" si="0"/>
        <v>558.19999999999993</v>
      </c>
    </row>
    <row r="10" spans="1:8" ht="20.25" customHeight="1">
      <c r="A10" s="42" t="s">
        <v>239</v>
      </c>
      <c r="B10" s="476" t="s">
        <v>748</v>
      </c>
      <c r="C10" s="568">
        <f>'Hai Tien'!D63</f>
        <v>438.03</v>
      </c>
      <c r="D10" s="568"/>
      <c r="E10" s="42"/>
      <c r="F10" s="42"/>
      <c r="G10" s="568">
        <f>'Hai Tien'!BL63</f>
        <v>7.38</v>
      </c>
      <c r="H10" s="567">
        <f t="shared" si="0"/>
        <v>430.65</v>
      </c>
    </row>
    <row r="11" spans="1:8" ht="20.25" customHeight="1">
      <c r="A11" s="42" t="s">
        <v>240</v>
      </c>
      <c r="B11" s="476" t="s">
        <v>749</v>
      </c>
      <c r="C11" s="568">
        <f>'Hai Xuan'!D63</f>
        <v>29.27</v>
      </c>
      <c r="D11" s="568"/>
      <c r="E11" s="42"/>
      <c r="F11" s="42"/>
      <c r="G11" s="568">
        <f>'Hai Xuan'!BL63</f>
        <v>0.06</v>
      </c>
      <c r="H11" s="567">
        <f t="shared" si="0"/>
        <v>29.21</v>
      </c>
    </row>
    <row r="12" spans="1:8" ht="20.25" customHeight="1">
      <c r="A12" s="42" t="s">
        <v>241</v>
      </c>
      <c r="B12" s="476" t="s">
        <v>750</v>
      </c>
      <c r="C12" s="568">
        <f>'Van Ninh'!D63</f>
        <v>2853.93</v>
      </c>
      <c r="D12" s="568"/>
      <c r="E12" s="42"/>
      <c r="F12" s="42"/>
      <c r="G12" s="568">
        <f>'Van Ninh'!BL63</f>
        <v>4.75</v>
      </c>
      <c r="H12" s="567">
        <f t="shared" si="0"/>
        <v>2849.18</v>
      </c>
    </row>
    <row r="13" spans="1:8" ht="20.25" customHeight="1">
      <c r="A13" s="42" t="s">
        <v>242</v>
      </c>
      <c r="B13" s="476" t="s">
        <v>751</v>
      </c>
      <c r="C13" s="568">
        <f>'Vinh Trung'!D63</f>
        <v>696.01</v>
      </c>
      <c r="D13" s="568"/>
      <c r="E13" s="42"/>
      <c r="F13" s="42"/>
      <c r="G13" s="568">
        <f>'Vinh Trung'!BL63</f>
        <v>1.41</v>
      </c>
      <c r="H13" s="567">
        <f t="shared" si="0"/>
        <v>694.6</v>
      </c>
    </row>
    <row r="14" spans="1:8" ht="20.25" customHeight="1">
      <c r="A14" s="42" t="s">
        <v>243</v>
      </c>
      <c r="B14" s="476" t="s">
        <v>752</v>
      </c>
      <c r="C14" s="568">
        <f>'Vinh Thuc'!D63</f>
        <v>297.42999999999995</v>
      </c>
      <c r="D14" s="568"/>
      <c r="E14" s="42"/>
      <c r="F14" s="42"/>
      <c r="G14" s="568">
        <f>'Vinh Thuc'!BL63</f>
        <v>0</v>
      </c>
      <c r="H14" s="567">
        <f t="shared" si="0"/>
        <v>297.42999999999995</v>
      </c>
    </row>
    <row r="15" spans="1:8" ht="20.25" customHeight="1">
      <c r="A15" s="42" t="s">
        <v>244</v>
      </c>
      <c r="B15" s="476" t="s">
        <v>753</v>
      </c>
      <c r="C15" s="568">
        <f>'Hai Yen'!D63</f>
        <v>202.63149999999999</v>
      </c>
      <c r="D15" s="568"/>
      <c r="E15" s="42"/>
      <c r="F15" s="42"/>
      <c r="G15" s="568">
        <f>'Hai Yen'!BL63</f>
        <v>35.339999999999996</v>
      </c>
      <c r="H15" s="567">
        <f t="shared" si="0"/>
        <v>167.29149999999998</v>
      </c>
    </row>
    <row r="16" spans="1:8" ht="20.25" customHeight="1">
      <c r="A16" s="42" t="s">
        <v>245</v>
      </c>
      <c r="B16" s="476" t="s">
        <v>754</v>
      </c>
      <c r="C16" s="568">
        <f>'Ka Long'!D63</f>
        <v>2.75</v>
      </c>
      <c r="D16" s="568"/>
      <c r="E16" s="42"/>
      <c r="F16" s="42"/>
      <c r="G16" s="568">
        <f>'Ka Long'!BL63</f>
        <v>0</v>
      </c>
      <c r="H16" s="567">
        <f t="shared" si="0"/>
        <v>2.75</v>
      </c>
    </row>
    <row r="17" spans="1:8" ht="20.25" customHeight="1">
      <c r="A17" s="42" t="s">
        <v>246</v>
      </c>
      <c r="B17" s="476" t="s">
        <v>755</v>
      </c>
      <c r="C17" s="568">
        <f>'Ninh Duong'!D63</f>
        <v>42.9131</v>
      </c>
      <c r="D17" s="568"/>
      <c r="E17" s="42"/>
      <c r="F17" s="42"/>
      <c r="G17" s="568">
        <f>'Ninh Duong'!BL63</f>
        <v>1.8099999999999998</v>
      </c>
      <c r="H17" s="567">
        <f t="shared" si="0"/>
        <v>41.103099999999998</v>
      </c>
    </row>
    <row r="18" spans="1:8" ht="20.25" customHeight="1">
      <c r="A18" s="42" t="s">
        <v>247</v>
      </c>
      <c r="B18" s="476" t="s">
        <v>756</v>
      </c>
      <c r="C18" s="568">
        <f>'Hoa Lac'!D63</f>
        <v>0.62</v>
      </c>
      <c r="D18" s="568"/>
      <c r="E18" s="42"/>
      <c r="F18" s="42"/>
      <c r="G18" s="568">
        <f>'Hoa Lac'!BL63</f>
        <v>0</v>
      </c>
      <c r="H18" s="567">
        <f t="shared" si="0"/>
        <v>0.62</v>
      </c>
    </row>
    <row r="19" spans="1:8" ht="20.25" customHeight="1">
      <c r="A19" s="42" t="s">
        <v>248</v>
      </c>
      <c r="B19" s="476" t="s">
        <v>757</v>
      </c>
      <c r="C19" s="568">
        <f>'Tran Phu'!D63</f>
        <v>0.65</v>
      </c>
      <c r="D19" s="568"/>
      <c r="E19" s="42"/>
      <c r="F19" s="42"/>
      <c r="G19" s="568">
        <f>'Tran Phu'!BL63</f>
        <v>0.32999999999999996</v>
      </c>
      <c r="H19" s="567">
        <f t="shared" si="0"/>
        <v>0.32000000000000006</v>
      </c>
    </row>
    <row r="20" spans="1:8" ht="20.25" customHeight="1">
      <c r="A20" s="42" t="s">
        <v>249</v>
      </c>
      <c r="B20" s="476" t="s">
        <v>758</v>
      </c>
      <c r="C20" s="568">
        <f>'Hai Hoa'!D63</f>
        <v>269.12</v>
      </c>
      <c r="D20" s="568"/>
      <c r="E20" s="42"/>
      <c r="F20" s="42"/>
      <c r="G20" s="568">
        <f>'Hai Hoa'!BL63</f>
        <v>13.43</v>
      </c>
      <c r="H20" s="567">
        <f t="shared" si="0"/>
        <v>255.69</v>
      </c>
    </row>
    <row r="21" spans="1:8" ht="20.25" customHeight="1">
      <c r="A21" s="42" t="s">
        <v>250</v>
      </c>
      <c r="B21" s="476" t="s">
        <v>759</v>
      </c>
      <c r="C21" s="568">
        <f>'Tra Co'!D63</f>
        <v>146.24</v>
      </c>
      <c r="D21" s="568"/>
      <c r="E21" s="42"/>
      <c r="F21" s="42"/>
      <c r="G21" s="568">
        <f>'Tra Co'!BL63</f>
        <v>1.07</v>
      </c>
      <c r="H21" s="567">
        <f t="shared" si="0"/>
        <v>145.17000000000002</v>
      </c>
    </row>
    <row r="22" spans="1:8" ht="20.25" customHeight="1">
      <c r="A22" s="42" t="s">
        <v>251</v>
      </c>
      <c r="B22" s="476" t="s">
        <v>760</v>
      </c>
      <c r="C22" s="568">
        <f>'Binh Ngoc'!D63</f>
        <v>30.87</v>
      </c>
      <c r="D22" s="568"/>
      <c r="E22" s="42"/>
      <c r="F22" s="42"/>
      <c r="G22" s="568">
        <f>'Binh Ngoc'!BL63</f>
        <v>1.32</v>
      </c>
      <c r="H22" s="567">
        <f t="shared" si="0"/>
        <v>29.55</v>
      </c>
    </row>
    <row r="23" spans="1:8" ht="16.5">
      <c r="A23" s="51"/>
      <c r="B23" s="51" t="s">
        <v>370</v>
      </c>
      <c r="C23" s="664">
        <f>SUM(C6:C22)</f>
        <v>5792.3916399999998</v>
      </c>
      <c r="D23" s="51"/>
      <c r="E23" s="51"/>
      <c r="F23" s="51"/>
      <c r="G23" s="664">
        <f>SUM(G6:G22)</f>
        <v>77.619999999999976</v>
      </c>
      <c r="H23" s="664">
        <f>SUM(H6:H22)</f>
        <v>5714.7716399999999</v>
      </c>
    </row>
  </sheetData>
  <mergeCells count="9">
    <mergeCell ref="A2:H2"/>
    <mergeCell ref="G3:H3"/>
    <mergeCell ref="A4:A5"/>
    <mergeCell ref="B4:B5"/>
    <mergeCell ref="C4:C5"/>
    <mergeCell ref="D4:D5"/>
    <mergeCell ref="E4:F4"/>
    <mergeCell ref="G4:G5"/>
    <mergeCell ref="H4:H5"/>
  </mergeCells>
  <printOptions horizontalCentered="1"/>
  <pageMargins left="0.7" right="0.2" top="0.25" bottom="0.25" header="0.3" footer="0.3"/>
  <pageSetup paperSize="9" orientation="portrait" verticalDpi="0"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3" filterMode="1"/>
  <dimension ref="A1:J25"/>
  <sheetViews>
    <sheetView showZeros="0" workbookViewId="0">
      <selection activeCell="M14" sqref="M14"/>
    </sheetView>
  </sheetViews>
  <sheetFormatPr defaultRowHeight="12.75"/>
  <cols>
    <col min="1" max="1" width="6.7109375" customWidth="1"/>
    <col min="2" max="2" width="20.85546875" customWidth="1"/>
    <col min="3" max="3" width="10.42578125" customWidth="1"/>
    <col min="4" max="4" width="10.28515625" customWidth="1"/>
    <col min="5" max="5" width="10.140625" hidden="1" customWidth="1"/>
    <col min="6" max="6" width="11.28515625" hidden="1" customWidth="1"/>
    <col min="7" max="7" width="10.85546875" customWidth="1"/>
    <col min="8" max="8" width="11.42578125" customWidth="1"/>
    <col min="9" max="9" width="10.7109375" bestFit="1" customWidth="1"/>
    <col min="10" max="10" width="9.5703125" bestFit="1" customWidth="1"/>
  </cols>
  <sheetData>
    <row r="1" spans="1:8" ht="17.25" customHeight="1">
      <c r="A1" t="s">
        <v>992</v>
      </c>
    </row>
    <row r="2" spans="1:8" ht="37.5" customHeight="1">
      <c r="A2" s="1420" t="s">
        <v>777</v>
      </c>
      <c r="B2" s="1420"/>
      <c r="C2" s="1420"/>
      <c r="D2" s="1420"/>
      <c r="E2" s="1420"/>
      <c r="F2" s="1420"/>
      <c r="G2" s="1420"/>
      <c r="H2" s="1420"/>
    </row>
    <row r="3" spans="1:8" ht="18" customHeight="1">
      <c r="G3" s="1377" t="s">
        <v>138</v>
      </c>
      <c r="H3" s="1377"/>
    </row>
    <row r="4" spans="1:8" ht="25.5" customHeight="1">
      <c r="A4" s="1356" t="s">
        <v>368</v>
      </c>
      <c r="B4" s="1356" t="s">
        <v>985</v>
      </c>
      <c r="C4" s="1356" t="s">
        <v>456</v>
      </c>
      <c r="D4" s="1356" t="s">
        <v>457</v>
      </c>
      <c r="E4" s="1356"/>
      <c r="F4" s="1356"/>
      <c r="G4" s="1356" t="s">
        <v>459</v>
      </c>
      <c r="H4" s="1356" t="s">
        <v>460</v>
      </c>
    </row>
    <row r="5" spans="1:8" ht="21.75" customHeight="1">
      <c r="A5" s="1356"/>
      <c r="B5" s="1356"/>
      <c r="C5" s="1356"/>
      <c r="D5" s="1356"/>
      <c r="E5" s="58"/>
      <c r="F5" s="58"/>
      <c r="G5" s="1356"/>
      <c r="H5" s="1356"/>
    </row>
    <row r="6" spans="1:8" ht="18.75" customHeight="1">
      <c r="A6" s="41" t="s">
        <v>235</v>
      </c>
      <c r="B6" s="475" t="s">
        <v>744</v>
      </c>
      <c r="C6" s="41">
        <f>'PHỤ LỤC PNN'!C480</f>
        <v>355.57</v>
      </c>
      <c r="D6" s="567">
        <f>'Bac Son'!BF67</f>
        <v>0</v>
      </c>
      <c r="E6" s="41"/>
      <c r="F6" s="41"/>
      <c r="G6" s="41">
        <f>'PHỤ LỤC PNN'!E480</f>
        <v>0</v>
      </c>
      <c r="H6" s="41">
        <f t="shared" ref="H6:H22" si="0">C6+D6-G6</f>
        <v>355.57</v>
      </c>
    </row>
    <row r="7" spans="1:8" ht="18.75" customHeight="1">
      <c r="A7" s="42" t="s">
        <v>236</v>
      </c>
      <c r="B7" s="476" t="s">
        <v>745</v>
      </c>
      <c r="C7" s="42">
        <f>'PHỤ LỤC PNN'!C481</f>
        <v>358.67</v>
      </c>
      <c r="D7" s="568">
        <f>'Hai Son'!BF67</f>
        <v>0</v>
      </c>
      <c r="E7" s="42"/>
      <c r="F7" s="42"/>
      <c r="G7" s="42">
        <f>'PHỤ LỤC PNN'!E481</f>
        <v>0</v>
      </c>
      <c r="H7" s="42">
        <f t="shared" si="0"/>
        <v>358.67</v>
      </c>
    </row>
    <row r="8" spans="1:8" ht="18.75" hidden="1" customHeight="1">
      <c r="A8" s="42" t="s">
        <v>237</v>
      </c>
      <c r="B8" s="476" t="s">
        <v>746</v>
      </c>
      <c r="C8" s="42">
        <f>'PHỤ LỤC PNN'!C482</f>
        <v>0</v>
      </c>
      <c r="D8" s="568">
        <f>'Quang Nghia'!BF67</f>
        <v>0</v>
      </c>
      <c r="E8" s="42"/>
      <c r="F8" s="42"/>
      <c r="G8" s="42">
        <f>'PHỤ LỤC PNN'!E482</f>
        <v>0</v>
      </c>
      <c r="H8" s="42">
        <f t="shared" si="0"/>
        <v>0</v>
      </c>
    </row>
    <row r="9" spans="1:8" ht="18.75" customHeight="1">
      <c r="A9" s="42" t="s">
        <v>238</v>
      </c>
      <c r="B9" s="476" t="s">
        <v>747</v>
      </c>
      <c r="C9" s="42">
        <f>'PHỤ LỤC PNN'!C483</f>
        <v>153.84</v>
      </c>
      <c r="D9" s="568">
        <f>'Hai Dong'!BF67</f>
        <v>0</v>
      </c>
      <c r="E9" s="42"/>
      <c r="F9" s="42"/>
      <c r="G9" s="568">
        <f>'Hai Dong'!BL61</f>
        <v>0</v>
      </c>
      <c r="H9" s="42">
        <f t="shared" si="0"/>
        <v>153.84</v>
      </c>
    </row>
    <row r="10" spans="1:8" ht="18.75" customHeight="1">
      <c r="A10" s="42" t="s">
        <v>239</v>
      </c>
      <c r="B10" s="476" t="s">
        <v>748</v>
      </c>
      <c r="C10" s="42">
        <f>'PHỤ LỤC PNN'!C484</f>
        <v>33.799999999999997</v>
      </c>
      <c r="D10" s="568">
        <f>'Hai Tien'!BF67</f>
        <v>0</v>
      </c>
      <c r="E10" s="42"/>
      <c r="F10" s="42"/>
      <c r="G10" s="568">
        <f>'Hai Tien'!BL61</f>
        <v>0</v>
      </c>
      <c r="H10" s="42">
        <f t="shared" si="0"/>
        <v>33.799999999999997</v>
      </c>
    </row>
    <row r="11" spans="1:8" ht="18.75" hidden="1" customHeight="1">
      <c r="A11" s="42" t="s">
        <v>240</v>
      </c>
      <c r="B11" s="476" t="s">
        <v>749</v>
      </c>
      <c r="C11" s="42">
        <f>'PHỤ LỤC PNN'!C485</f>
        <v>0</v>
      </c>
      <c r="D11" s="568">
        <f>'Hai Xuan'!BF67</f>
        <v>0</v>
      </c>
      <c r="E11" s="42"/>
      <c r="F11" s="42"/>
      <c r="G11" s="42">
        <f>'PHỤ LỤC PNN'!E485</f>
        <v>0</v>
      </c>
      <c r="H11" s="42">
        <f t="shared" si="0"/>
        <v>0</v>
      </c>
    </row>
    <row r="12" spans="1:8" ht="18.75" customHeight="1">
      <c r="A12" s="42" t="s">
        <v>241</v>
      </c>
      <c r="B12" s="476" t="s">
        <v>750</v>
      </c>
      <c r="C12" s="42">
        <f>'PHỤ LỤC PNN'!C486</f>
        <v>59.43</v>
      </c>
      <c r="D12" s="568">
        <f>'Van Ninh'!BF68</f>
        <v>0</v>
      </c>
      <c r="E12" s="42"/>
      <c r="F12" s="42"/>
      <c r="G12" s="568">
        <f>'Van Ninh'!BL61</f>
        <v>33.67</v>
      </c>
      <c r="H12" s="42">
        <f t="shared" si="0"/>
        <v>25.759999999999998</v>
      </c>
    </row>
    <row r="13" spans="1:8" ht="18.75" customHeight="1">
      <c r="A13" s="42" t="s">
        <v>242</v>
      </c>
      <c r="B13" s="476" t="s">
        <v>751</v>
      </c>
      <c r="C13" s="42">
        <f>'PHỤ LỤC PNN'!C487</f>
        <v>27.11</v>
      </c>
      <c r="D13" s="568">
        <f>'Vinh Trung'!BF68</f>
        <v>0</v>
      </c>
      <c r="E13" s="42"/>
      <c r="F13" s="42"/>
      <c r="G13" s="568">
        <f>'Vinh Trung'!BL61</f>
        <v>0</v>
      </c>
      <c r="H13" s="42">
        <f t="shared" si="0"/>
        <v>27.11</v>
      </c>
    </row>
    <row r="14" spans="1:8" ht="18.75" customHeight="1">
      <c r="A14" s="42" t="s">
        <v>243</v>
      </c>
      <c r="B14" s="476" t="s">
        <v>752</v>
      </c>
      <c r="C14" s="42">
        <f>'PHỤ LỤC PNN'!C488</f>
        <v>50.14</v>
      </c>
      <c r="D14" s="568">
        <f>'Vinh Thuc'!BF67</f>
        <v>2.73</v>
      </c>
      <c r="E14" s="42"/>
      <c r="F14" s="42"/>
      <c r="G14" s="568">
        <f>'Vinh Thuc'!BL61</f>
        <v>0</v>
      </c>
      <c r="H14" s="42">
        <f t="shared" si="0"/>
        <v>52.87</v>
      </c>
    </row>
    <row r="15" spans="1:8" ht="18.75" customHeight="1">
      <c r="A15" s="42" t="s">
        <v>244</v>
      </c>
      <c r="B15" s="476" t="s">
        <v>753</v>
      </c>
      <c r="C15" s="42">
        <f>'PHỤ LỤC PNN'!C489</f>
        <v>63.07</v>
      </c>
      <c r="D15" s="568">
        <f>'Hai Yen'!BF68</f>
        <v>2.76</v>
      </c>
      <c r="E15" s="42"/>
      <c r="F15" s="42"/>
      <c r="G15" s="568">
        <f>'Hai Yen'!BL61</f>
        <v>0.02</v>
      </c>
      <c r="H15" s="568">
        <f t="shared" si="0"/>
        <v>65.81</v>
      </c>
    </row>
    <row r="16" spans="1:8" ht="18.75" hidden="1" customHeight="1">
      <c r="A16" s="42" t="s">
        <v>245</v>
      </c>
      <c r="B16" s="476" t="s">
        <v>754</v>
      </c>
      <c r="C16" s="42">
        <f>'PHỤ LỤC PNN'!C490</f>
        <v>0</v>
      </c>
      <c r="D16" s="568">
        <f>'Ka Long'!BF67</f>
        <v>0</v>
      </c>
      <c r="E16" s="42"/>
      <c r="F16" s="42"/>
      <c r="G16" s="42">
        <f>'PHỤ LỤC PNN'!E490</f>
        <v>0</v>
      </c>
      <c r="H16" s="42">
        <f t="shared" si="0"/>
        <v>0</v>
      </c>
    </row>
    <row r="17" spans="1:10" ht="18.75" customHeight="1">
      <c r="A17" s="42" t="s">
        <v>246</v>
      </c>
      <c r="B17" s="476" t="s">
        <v>755</v>
      </c>
      <c r="C17" s="42">
        <f>'PHỤ LỤC PNN'!C491</f>
        <v>14.21</v>
      </c>
      <c r="D17" s="568">
        <f>'Ninh Duong'!BF67</f>
        <v>0.02</v>
      </c>
      <c r="E17" s="42"/>
      <c r="F17" s="42"/>
      <c r="G17" s="568">
        <f>'Ninh Duong'!BL61</f>
        <v>2.4899999999999998</v>
      </c>
      <c r="H17" s="42">
        <f t="shared" si="0"/>
        <v>11.74</v>
      </c>
    </row>
    <row r="18" spans="1:10" ht="18.75" hidden="1" customHeight="1">
      <c r="A18" s="42" t="s">
        <v>247</v>
      </c>
      <c r="B18" s="476" t="s">
        <v>756</v>
      </c>
      <c r="C18" s="42">
        <f>'PHỤ LỤC PNN'!C492</f>
        <v>0</v>
      </c>
      <c r="D18" s="568">
        <f>'Hoa Lac'!BF67</f>
        <v>0</v>
      </c>
      <c r="E18" s="42"/>
      <c r="F18" s="42"/>
      <c r="G18" s="42">
        <f>'PHỤ LỤC PNN'!E492</f>
        <v>0</v>
      </c>
      <c r="H18" s="42">
        <f t="shared" si="0"/>
        <v>0</v>
      </c>
    </row>
    <row r="19" spans="1:10" ht="18.75" hidden="1" customHeight="1">
      <c r="A19" s="42" t="s">
        <v>248</v>
      </c>
      <c r="B19" s="476" t="s">
        <v>757</v>
      </c>
      <c r="C19" s="42">
        <f>'PHỤ LỤC PNN'!C493</f>
        <v>0</v>
      </c>
      <c r="D19" s="568">
        <f>'Tran Phu'!BF67</f>
        <v>0</v>
      </c>
      <c r="E19" s="42"/>
      <c r="F19" s="42"/>
      <c r="G19" s="42">
        <f>'PHỤ LỤC PNN'!E493</f>
        <v>0</v>
      </c>
      <c r="H19" s="42">
        <f t="shared" si="0"/>
        <v>0</v>
      </c>
    </row>
    <row r="20" spans="1:10" ht="18.75" hidden="1" customHeight="1">
      <c r="A20" s="42" t="s">
        <v>249</v>
      </c>
      <c r="B20" s="476" t="s">
        <v>758</v>
      </c>
      <c r="C20" s="42">
        <f>'PHỤ LỤC PNN'!C494</f>
        <v>0</v>
      </c>
      <c r="D20" s="568">
        <f>'Hai Hoa'!BF67</f>
        <v>0</v>
      </c>
      <c r="E20" s="42"/>
      <c r="F20" s="42"/>
      <c r="G20" s="42">
        <f>'PHỤ LỤC PNN'!E494</f>
        <v>0</v>
      </c>
      <c r="H20" s="42">
        <f t="shared" si="0"/>
        <v>0</v>
      </c>
    </row>
    <row r="21" spans="1:10" ht="18.75" hidden="1" customHeight="1">
      <c r="A21" s="42" t="s">
        <v>250</v>
      </c>
      <c r="B21" s="476" t="s">
        <v>759</v>
      </c>
      <c r="C21" s="42">
        <f>'PHỤ LỤC PNN'!C495</f>
        <v>0</v>
      </c>
      <c r="D21" s="568">
        <f>'Tra Co'!BF67</f>
        <v>0</v>
      </c>
      <c r="E21" s="42"/>
      <c r="F21" s="42"/>
      <c r="G21" s="42">
        <f>'PHỤ LỤC PNN'!E495</f>
        <v>0</v>
      </c>
      <c r="H21" s="42">
        <f t="shared" si="0"/>
        <v>0</v>
      </c>
    </row>
    <row r="22" spans="1:10" ht="18.75" hidden="1" customHeight="1">
      <c r="A22" s="42" t="s">
        <v>251</v>
      </c>
      <c r="B22" s="476" t="s">
        <v>760</v>
      </c>
      <c r="C22" s="42">
        <f>'PHỤ LỤC PNN'!C496</f>
        <v>0</v>
      </c>
      <c r="D22" s="568">
        <f>'Binh Ngoc'!BF67</f>
        <v>0</v>
      </c>
      <c r="E22" s="42">
        <f>'Binh Ngoc'!BF12</f>
        <v>0</v>
      </c>
      <c r="F22" s="42">
        <f>'Binh Ngoc'!BF22</f>
        <v>0</v>
      </c>
      <c r="G22" s="42">
        <f>'PHỤ LỤC PNN'!E496</f>
        <v>0</v>
      </c>
      <c r="H22" s="42">
        <f t="shared" si="0"/>
        <v>0</v>
      </c>
    </row>
    <row r="23" spans="1:10" ht="18.75" customHeight="1">
      <c r="A23" s="51"/>
      <c r="B23" s="51" t="s">
        <v>370</v>
      </c>
      <c r="C23" s="51">
        <f t="shared" ref="C23:H23" si="1">SUM(C6:C22)</f>
        <v>1115.8399999999999</v>
      </c>
      <c r="D23" s="51">
        <f t="shared" si="1"/>
        <v>5.51</v>
      </c>
      <c r="E23" s="51">
        <f t="shared" si="1"/>
        <v>0</v>
      </c>
      <c r="F23" s="51">
        <f t="shared" si="1"/>
        <v>0</v>
      </c>
      <c r="G23" s="51">
        <f t="shared" si="1"/>
        <v>36.180000000000007</v>
      </c>
      <c r="H23" s="51">
        <f t="shared" si="1"/>
        <v>1085.17</v>
      </c>
      <c r="J23" s="616">
        <f>C23+D23-G23</f>
        <v>1085.1699999999998</v>
      </c>
    </row>
    <row r="24" spans="1:10" ht="16.5">
      <c r="H24" s="179"/>
    </row>
    <row r="25" spans="1:10">
      <c r="C25">
        <f>C23-G23</f>
        <v>1079.6599999999999</v>
      </c>
    </row>
  </sheetData>
  <autoFilter ref="A5:J23">
    <filterColumn colId="7">
      <customFilters>
        <customFilter operator="notEqual" val=" "/>
      </customFilters>
    </filterColumn>
  </autoFilter>
  <mergeCells count="9">
    <mergeCell ref="A2:H2"/>
    <mergeCell ref="A4:A5"/>
    <mergeCell ref="B4:B5"/>
    <mergeCell ref="C4:C5"/>
    <mergeCell ref="D4:D5"/>
    <mergeCell ref="E4:F4"/>
    <mergeCell ref="G4:G5"/>
    <mergeCell ref="H4:H5"/>
    <mergeCell ref="G3:H3"/>
  </mergeCells>
  <phoneticPr fontId="4" type="noConversion"/>
  <printOptions horizontalCentered="1"/>
  <pageMargins left="1" right="0.25" top="0.25" bottom="0.25" header="0.5" footer="0.5"/>
  <pageSetup orientation="portrait"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G31"/>
  <sheetViews>
    <sheetView topLeftCell="A6" workbookViewId="0">
      <selection activeCell="E6" sqref="E6:G25"/>
    </sheetView>
  </sheetViews>
  <sheetFormatPr defaultRowHeight="12.75"/>
  <cols>
    <col min="1" max="1" width="7.5703125" style="287" customWidth="1"/>
    <col min="2" max="2" width="21.7109375" style="287" customWidth="1"/>
    <col min="3" max="3" width="9.85546875" style="287" customWidth="1"/>
    <col min="4" max="4" width="10.85546875" style="287" customWidth="1"/>
    <col min="5" max="5" width="11.42578125" style="287" customWidth="1"/>
    <col min="6" max="6" width="9.140625" style="287"/>
    <col min="7" max="7" width="9.85546875" style="287" customWidth="1"/>
  </cols>
  <sheetData>
    <row r="4" spans="1:7" ht="15">
      <c r="A4" s="1406" t="s">
        <v>0</v>
      </c>
      <c r="B4" s="1301" t="s">
        <v>369</v>
      </c>
      <c r="C4" s="1301" t="s">
        <v>494</v>
      </c>
      <c r="D4" s="1391" t="s">
        <v>495</v>
      </c>
      <c r="E4" s="1391" t="s">
        <v>496</v>
      </c>
      <c r="F4" s="1301" t="s">
        <v>497</v>
      </c>
      <c r="G4" s="1301"/>
    </row>
    <row r="5" spans="1:7" ht="60">
      <c r="A5" s="1406"/>
      <c r="B5" s="1301"/>
      <c r="C5" s="1301"/>
      <c r="D5" s="1391"/>
      <c r="E5" s="1391"/>
      <c r="F5" s="288" t="s">
        <v>498</v>
      </c>
      <c r="G5" s="288" t="s">
        <v>344</v>
      </c>
    </row>
    <row r="6" spans="1:7" ht="16.5">
      <c r="A6" s="41" t="s">
        <v>235</v>
      </c>
      <c r="B6" s="43" t="s">
        <v>376</v>
      </c>
      <c r="C6" s="60">
        <v>6.86</v>
      </c>
      <c r="D6" s="60"/>
      <c r="E6" s="60">
        <f>'06CH'!G50</f>
        <v>78.89</v>
      </c>
      <c r="F6" s="60">
        <f>E6-C6</f>
        <v>72.03</v>
      </c>
      <c r="G6" s="60">
        <f>E6-D6</f>
        <v>78.89</v>
      </c>
    </row>
    <row r="7" spans="1:7" ht="16.5">
      <c r="A7" s="42" t="s">
        <v>236</v>
      </c>
      <c r="B7" s="44" t="s">
        <v>377</v>
      </c>
      <c r="C7" s="61">
        <v>24.03</v>
      </c>
      <c r="D7" s="61">
        <v>5.63</v>
      </c>
      <c r="E7" s="61">
        <f>'06CH'!H50</f>
        <v>74.987039999999993</v>
      </c>
      <c r="F7" s="61">
        <f t="shared" ref="F7:F24" si="0">E7-C7</f>
        <v>50.957039999999992</v>
      </c>
      <c r="G7" s="61">
        <f t="shared" ref="G7:G24" si="1">E7-D7</f>
        <v>69.357039999999998</v>
      </c>
    </row>
    <row r="8" spans="1:7" ht="16.5">
      <c r="A8" s="42" t="s">
        <v>237</v>
      </c>
      <c r="B8" s="44" t="s">
        <v>378</v>
      </c>
      <c r="C8" s="61">
        <v>406.23</v>
      </c>
      <c r="D8" s="61">
        <v>123.44</v>
      </c>
      <c r="E8" s="61">
        <f>'06CH'!I50</f>
        <v>55.52</v>
      </c>
      <c r="F8" s="61">
        <f t="shared" si="0"/>
        <v>-350.71000000000004</v>
      </c>
      <c r="G8" s="61">
        <f t="shared" si="1"/>
        <v>-67.919999999999987</v>
      </c>
    </row>
    <row r="9" spans="1:7" ht="16.5">
      <c r="A9" s="42" t="s">
        <v>238</v>
      </c>
      <c r="B9" s="44" t="s">
        <v>379</v>
      </c>
      <c r="C9" s="61">
        <v>7.02</v>
      </c>
      <c r="D9" s="61">
        <v>3.75</v>
      </c>
      <c r="E9" s="61">
        <f>'06CH'!J50</f>
        <v>558.19999999999993</v>
      </c>
      <c r="F9" s="61">
        <f t="shared" si="0"/>
        <v>551.17999999999995</v>
      </c>
      <c r="G9" s="61">
        <f t="shared" si="1"/>
        <v>554.44999999999993</v>
      </c>
    </row>
    <row r="10" spans="1:7" ht="16.5">
      <c r="A10" s="42" t="s">
        <v>239</v>
      </c>
      <c r="B10" s="44" t="s">
        <v>380</v>
      </c>
      <c r="C10" s="61">
        <v>45.97</v>
      </c>
      <c r="D10" s="61">
        <v>2.41</v>
      </c>
      <c r="E10" s="61">
        <f>'06CH'!K50</f>
        <v>430.65</v>
      </c>
      <c r="F10" s="61">
        <f t="shared" si="0"/>
        <v>384.67999999999995</v>
      </c>
      <c r="G10" s="61">
        <f t="shared" si="1"/>
        <v>428.23999999999995</v>
      </c>
    </row>
    <row r="11" spans="1:7" ht="16.5">
      <c r="A11" s="42" t="s">
        <v>240</v>
      </c>
      <c r="B11" s="44" t="s">
        <v>381</v>
      </c>
      <c r="C11" s="61">
        <v>13.96</v>
      </c>
      <c r="D11" s="61">
        <v>0.2</v>
      </c>
      <c r="E11" s="61">
        <f>'06CH'!L50</f>
        <v>29.21</v>
      </c>
      <c r="F11" s="61">
        <f t="shared" si="0"/>
        <v>15.25</v>
      </c>
      <c r="G11" s="61">
        <f t="shared" si="1"/>
        <v>29.01</v>
      </c>
    </row>
    <row r="12" spans="1:7" ht="16.5">
      <c r="A12" s="42" t="s">
        <v>241</v>
      </c>
      <c r="B12" s="44" t="s">
        <v>382</v>
      </c>
      <c r="C12" s="61"/>
      <c r="D12" s="61"/>
      <c r="E12" s="61">
        <f>'06CH'!M50</f>
        <v>2849.18</v>
      </c>
      <c r="F12" s="61">
        <f t="shared" si="0"/>
        <v>2849.18</v>
      </c>
      <c r="G12" s="61">
        <f t="shared" si="1"/>
        <v>2849.18</v>
      </c>
    </row>
    <row r="13" spans="1:7" ht="16.5">
      <c r="A13" s="42" t="s">
        <v>242</v>
      </c>
      <c r="B13" s="44" t="s">
        <v>383</v>
      </c>
      <c r="C13" s="61"/>
      <c r="D13" s="61"/>
      <c r="E13" s="61">
        <f>'06CH'!N50</f>
        <v>694.6</v>
      </c>
      <c r="F13" s="61">
        <f t="shared" si="0"/>
        <v>694.6</v>
      </c>
      <c r="G13" s="61">
        <f t="shared" si="1"/>
        <v>694.6</v>
      </c>
    </row>
    <row r="14" spans="1:7" ht="16.5">
      <c r="A14" s="42" t="s">
        <v>243</v>
      </c>
      <c r="B14" s="44" t="s">
        <v>384</v>
      </c>
      <c r="C14" s="61">
        <v>5.7</v>
      </c>
      <c r="D14" s="61">
        <v>4.6100000000000003</v>
      </c>
      <c r="E14" s="61">
        <f>'Vinh Thuc'!BN63</f>
        <v>297.42999999999995</v>
      </c>
      <c r="F14" s="61">
        <f t="shared" si="0"/>
        <v>291.72999999999996</v>
      </c>
      <c r="G14" s="61">
        <f t="shared" si="1"/>
        <v>292.81999999999994</v>
      </c>
    </row>
    <row r="15" spans="1:7" ht="16.5">
      <c r="A15" s="42" t="s">
        <v>244</v>
      </c>
      <c r="B15" s="44" t="s">
        <v>385</v>
      </c>
      <c r="C15" s="61">
        <v>2.08</v>
      </c>
      <c r="D15" s="61"/>
      <c r="E15" s="61">
        <f>'06CH'!P50</f>
        <v>167.29149999999998</v>
      </c>
      <c r="F15" s="61">
        <f t="shared" si="0"/>
        <v>165.21149999999997</v>
      </c>
      <c r="G15" s="61">
        <f t="shared" si="1"/>
        <v>167.29149999999998</v>
      </c>
    </row>
    <row r="16" spans="1:7" ht="16.5">
      <c r="A16" s="42" t="s">
        <v>245</v>
      </c>
      <c r="B16" s="44" t="s">
        <v>386</v>
      </c>
      <c r="C16" s="61">
        <v>8.6999999999999993</v>
      </c>
      <c r="D16" s="61">
        <v>6.8</v>
      </c>
      <c r="E16" s="61">
        <f>'06CH'!Q50</f>
        <v>2.75</v>
      </c>
      <c r="F16" s="61">
        <f t="shared" si="0"/>
        <v>-5.9499999999999993</v>
      </c>
      <c r="G16" s="61">
        <f t="shared" si="1"/>
        <v>-4.05</v>
      </c>
    </row>
    <row r="17" spans="1:7" ht="16.5">
      <c r="A17" s="42" t="s">
        <v>246</v>
      </c>
      <c r="B17" s="44" t="s">
        <v>387</v>
      </c>
      <c r="C17" s="61">
        <v>11.52</v>
      </c>
      <c r="D17" s="61">
        <v>1.55</v>
      </c>
      <c r="E17" s="61">
        <f>'06CH'!R50</f>
        <v>41.103099999999998</v>
      </c>
      <c r="F17" s="61">
        <f t="shared" si="0"/>
        <v>29.583099999999998</v>
      </c>
      <c r="G17" s="61">
        <f t="shared" si="1"/>
        <v>39.553100000000001</v>
      </c>
    </row>
    <row r="18" spans="1:7" ht="16.5">
      <c r="A18" s="42" t="s">
        <v>247</v>
      </c>
      <c r="B18" s="44" t="s">
        <v>388</v>
      </c>
      <c r="C18" s="61">
        <v>37.729999999999997</v>
      </c>
      <c r="D18" s="61">
        <v>3.09</v>
      </c>
      <c r="E18" s="61">
        <f>'06CH'!S50</f>
        <v>0.62</v>
      </c>
      <c r="F18" s="61">
        <f t="shared" si="0"/>
        <v>-37.11</v>
      </c>
      <c r="G18" s="61">
        <f t="shared" si="1"/>
        <v>-2.4699999999999998</v>
      </c>
    </row>
    <row r="19" spans="1:7" ht="16.5">
      <c r="A19" s="42" t="s">
        <v>248</v>
      </c>
      <c r="B19" s="44" t="s">
        <v>389</v>
      </c>
      <c r="C19" s="61">
        <v>134.5</v>
      </c>
      <c r="D19" s="61">
        <v>110.35</v>
      </c>
      <c r="E19" s="61">
        <f>'06CH'!T50</f>
        <v>0.32000000000000006</v>
      </c>
      <c r="F19" s="61">
        <f t="shared" si="0"/>
        <v>-134.18</v>
      </c>
      <c r="G19" s="61">
        <f t="shared" si="1"/>
        <v>-110.03</v>
      </c>
    </row>
    <row r="20" spans="1:7" ht="16.5">
      <c r="A20" s="42" t="s">
        <v>249</v>
      </c>
      <c r="B20" s="44" t="s">
        <v>390</v>
      </c>
      <c r="C20" s="61">
        <v>5.3</v>
      </c>
      <c r="D20" s="61">
        <v>2.63</v>
      </c>
      <c r="E20" s="61">
        <f>'06CH'!U50</f>
        <v>255.69</v>
      </c>
      <c r="F20" s="61">
        <f t="shared" si="0"/>
        <v>250.39</v>
      </c>
      <c r="G20" s="61">
        <f t="shared" si="1"/>
        <v>253.06</v>
      </c>
    </row>
    <row r="21" spans="1:7" ht="16.5">
      <c r="A21" s="42" t="s">
        <v>250</v>
      </c>
      <c r="B21" s="44" t="s">
        <v>391</v>
      </c>
      <c r="C21" s="61"/>
      <c r="D21" s="61"/>
      <c r="E21" s="61">
        <f>'06CH'!V50</f>
        <v>145.17000000000002</v>
      </c>
      <c r="F21" s="61">
        <f t="shared" si="0"/>
        <v>145.17000000000002</v>
      </c>
      <c r="G21" s="61">
        <f t="shared" si="1"/>
        <v>145.17000000000002</v>
      </c>
    </row>
    <row r="22" spans="1:7" ht="16.5">
      <c r="A22" s="42" t="s">
        <v>251</v>
      </c>
      <c r="B22" s="44" t="s">
        <v>392</v>
      </c>
      <c r="C22" s="61">
        <v>3.16</v>
      </c>
      <c r="D22" s="61">
        <v>3.16</v>
      </c>
      <c r="E22" s="61">
        <f>'06CH'!W50</f>
        <v>29.55</v>
      </c>
      <c r="F22" s="61">
        <f t="shared" si="0"/>
        <v>26.39</v>
      </c>
      <c r="G22" s="61">
        <f t="shared" si="1"/>
        <v>26.39</v>
      </c>
    </row>
    <row r="23" spans="1:7" ht="16.5">
      <c r="A23" s="42" t="s">
        <v>252</v>
      </c>
      <c r="B23" s="44" t="s">
        <v>393</v>
      </c>
      <c r="C23" s="61">
        <v>0.75</v>
      </c>
      <c r="D23" s="61">
        <v>0.69</v>
      </c>
      <c r="E23" s="61">
        <f>'06CH'!X50</f>
        <v>0</v>
      </c>
      <c r="F23" s="61">
        <f t="shared" si="0"/>
        <v>-0.75</v>
      </c>
      <c r="G23" s="61">
        <f t="shared" si="1"/>
        <v>-0.69</v>
      </c>
    </row>
    <row r="24" spans="1:7" ht="16.5">
      <c r="A24" s="45" t="s">
        <v>253</v>
      </c>
      <c r="B24" s="46" t="s">
        <v>394</v>
      </c>
      <c r="C24" s="63">
        <v>34.200000000000003</v>
      </c>
      <c r="D24" s="63">
        <v>3.68</v>
      </c>
      <c r="E24" s="210">
        <f>'06CH'!Y50</f>
        <v>0</v>
      </c>
      <c r="F24" s="210">
        <f t="shared" si="0"/>
        <v>-34.200000000000003</v>
      </c>
      <c r="G24" s="210">
        <f t="shared" si="1"/>
        <v>-3.68</v>
      </c>
    </row>
    <row r="25" spans="1:7" ht="16.5">
      <c r="A25" s="51"/>
      <c r="B25" s="51" t="s">
        <v>370</v>
      </c>
      <c r="C25" s="64">
        <f>SUM(C6:C24)</f>
        <v>747.70999999999992</v>
      </c>
      <c r="D25" s="64">
        <f t="shared" ref="D25:G25" si="2">SUM(D6:D24)</f>
        <v>271.99000000000007</v>
      </c>
      <c r="E25" s="64">
        <f t="shared" si="2"/>
        <v>5711.1616400000003</v>
      </c>
      <c r="F25" s="64">
        <f t="shared" si="2"/>
        <v>4963.4516400000011</v>
      </c>
      <c r="G25" s="64">
        <f t="shared" si="2"/>
        <v>5439.1716400000005</v>
      </c>
    </row>
    <row r="30" spans="1:7">
      <c r="D30" s="287">
        <f>'TONG TP'!BN63</f>
        <v>5714.7716399999981</v>
      </c>
    </row>
    <row r="31" spans="1:7">
      <c r="D31" s="177">
        <f>E25-D30</f>
        <v>-3.6099999999978536</v>
      </c>
    </row>
  </sheetData>
  <mergeCells count="6">
    <mergeCell ref="F4:G4"/>
    <mergeCell ref="A4:A5"/>
    <mergeCell ref="B4:B5"/>
    <mergeCell ref="C4:C5"/>
    <mergeCell ref="D4:D5"/>
    <mergeCell ref="E4:E5"/>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B49"/>
  <sheetViews>
    <sheetView showZeros="0" workbookViewId="0">
      <selection activeCell="D13" sqref="D13"/>
    </sheetView>
  </sheetViews>
  <sheetFormatPr defaultRowHeight="12.75"/>
  <cols>
    <col min="1" max="1" width="5.7109375" customWidth="1"/>
    <col min="2" max="2" width="41.85546875" customWidth="1"/>
    <col min="3" max="3" width="6.28515625" customWidth="1"/>
    <col min="4" max="4" width="10.5703125" customWidth="1"/>
    <col min="5" max="21" width="9.7109375" customWidth="1"/>
    <col min="22" max="22" width="8.85546875" hidden="1" customWidth="1"/>
    <col min="23" max="23" width="0" hidden="1" customWidth="1"/>
    <col min="28" max="28" width="9.5703125" bestFit="1" customWidth="1"/>
  </cols>
  <sheetData>
    <row r="1" spans="1:28" ht="18" customHeight="1">
      <c r="A1" s="1299" t="s">
        <v>3</v>
      </c>
      <c r="B1" s="1299"/>
    </row>
    <row r="2" spans="1:28" ht="24" customHeight="1">
      <c r="A2" s="1252" t="s">
        <v>763</v>
      </c>
      <c r="B2" s="1252"/>
      <c r="C2" s="1252"/>
      <c r="D2" s="1252"/>
      <c r="E2" s="1252"/>
      <c r="F2" s="1252"/>
      <c r="G2" s="1252"/>
      <c r="H2" s="1252"/>
      <c r="I2" s="1252"/>
      <c r="J2" s="1252"/>
      <c r="K2" s="1252"/>
      <c r="L2" s="1252"/>
      <c r="M2" s="1252"/>
      <c r="N2" s="1252"/>
      <c r="O2" s="1252"/>
      <c r="P2" s="1252"/>
      <c r="Q2" s="1252"/>
      <c r="R2" s="1252"/>
      <c r="S2" s="1252"/>
      <c r="T2" s="1252"/>
      <c r="U2" s="1252"/>
      <c r="V2" s="1252"/>
      <c r="W2" s="1252"/>
    </row>
    <row r="3" spans="1:28" ht="16.5" customHeight="1">
      <c r="A3" s="1300"/>
      <c r="B3" s="1300"/>
      <c r="C3" s="1300"/>
      <c r="D3" s="1300"/>
      <c r="E3" s="1300"/>
      <c r="F3" s="1300"/>
      <c r="G3" s="1300"/>
      <c r="H3" s="1300"/>
      <c r="I3" s="1300"/>
      <c r="J3" s="1300"/>
      <c r="K3" s="1300"/>
      <c r="L3" s="1300"/>
      <c r="M3" s="1300"/>
      <c r="N3" s="1300"/>
      <c r="O3" s="1300"/>
      <c r="P3" s="1300"/>
      <c r="Q3" s="1300"/>
      <c r="R3" s="1300"/>
      <c r="S3" s="1300"/>
      <c r="T3" s="1300"/>
      <c r="U3" s="1300"/>
      <c r="V3" s="1300"/>
      <c r="W3" s="1300"/>
    </row>
    <row r="4" spans="1:28" ht="21" customHeight="1">
      <c r="A4" s="1301" t="s">
        <v>0</v>
      </c>
      <c r="B4" s="1301" t="s">
        <v>12</v>
      </c>
      <c r="C4" s="1301" t="s">
        <v>13</v>
      </c>
      <c r="D4" s="1301" t="s">
        <v>131</v>
      </c>
      <c r="E4" s="1301" t="s">
        <v>132</v>
      </c>
      <c r="F4" s="1301"/>
      <c r="G4" s="1301"/>
      <c r="H4" s="1301"/>
      <c r="I4" s="1301"/>
      <c r="J4" s="1301"/>
      <c r="K4" s="1301"/>
      <c r="L4" s="1301"/>
      <c r="M4" s="1301"/>
      <c r="N4" s="1301"/>
      <c r="O4" s="1301"/>
      <c r="P4" s="1301"/>
      <c r="Q4" s="1301"/>
      <c r="R4" s="1301"/>
      <c r="S4" s="1301"/>
      <c r="T4" s="1301"/>
      <c r="U4" s="1301"/>
      <c r="V4" s="1301"/>
      <c r="W4" s="1301"/>
    </row>
    <row r="5" spans="1:28" ht="30" customHeight="1">
      <c r="A5" s="1301"/>
      <c r="B5" s="1301"/>
      <c r="C5" s="1301"/>
      <c r="D5" s="1301"/>
      <c r="E5" s="474" t="s">
        <v>725</v>
      </c>
      <c r="F5" s="474" t="s">
        <v>726</v>
      </c>
      <c r="G5" s="474" t="s">
        <v>727</v>
      </c>
      <c r="H5" s="474" t="s">
        <v>728</v>
      </c>
      <c r="I5" s="474" t="s">
        <v>729</v>
      </c>
      <c r="J5" s="474" t="s">
        <v>730</v>
      </c>
      <c r="K5" s="474" t="s">
        <v>731</v>
      </c>
      <c r="L5" s="474" t="s">
        <v>732</v>
      </c>
      <c r="M5" s="474" t="s">
        <v>733</v>
      </c>
      <c r="N5" s="474" t="s">
        <v>734</v>
      </c>
      <c r="O5" s="474" t="s">
        <v>735</v>
      </c>
      <c r="P5" s="474" t="s">
        <v>736</v>
      </c>
      <c r="Q5" s="474" t="s">
        <v>737</v>
      </c>
      <c r="R5" s="474" t="s">
        <v>738</v>
      </c>
      <c r="S5" s="474" t="s">
        <v>739</v>
      </c>
      <c r="T5" s="474" t="s">
        <v>740</v>
      </c>
      <c r="U5" s="474" t="s">
        <v>741</v>
      </c>
      <c r="V5" s="78"/>
      <c r="W5" s="78"/>
      <c r="X5">
        <v>85.074927925329021</v>
      </c>
      <c r="Y5" t="s">
        <v>466</v>
      </c>
      <c r="Z5" t="s">
        <v>467</v>
      </c>
    </row>
    <row r="6" spans="1:28" s="67" customFormat="1" ht="17.25" customHeight="1">
      <c r="A6" s="90"/>
      <c r="B6" s="91" t="s">
        <v>340</v>
      </c>
      <c r="C6" s="90"/>
      <c r="D6" s="295">
        <v>51953.306900000011</v>
      </c>
      <c r="E6" s="295">
        <v>5030.5495000000001</v>
      </c>
      <c r="F6" s="295">
        <v>8173.0599999999995</v>
      </c>
      <c r="G6" s="295">
        <v>5874.6894999999995</v>
      </c>
      <c r="H6" s="295">
        <v>4425.3449999999993</v>
      </c>
      <c r="I6" s="295">
        <v>3442.5194999999994</v>
      </c>
      <c r="J6" s="295">
        <v>1623.425</v>
      </c>
      <c r="K6" s="295">
        <v>5982.15</v>
      </c>
      <c r="L6" s="295">
        <v>2790.9594999999999</v>
      </c>
      <c r="M6" s="295">
        <v>2120.3599999999997</v>
      </c>
      <c r="N6" s="295">
        <v>4577.5753999999997</v>
      </c>
      <c r="O6" s="295">
        <v>158.60500000000002</v>
      </c>
      <c r="P6" s="295">
        <v>1129.7995000000001</v>
      </c>
      <c r="Q6" s="295">
        <v>72.409500000000008</v>
      </c>
      <c r="R6" s="295">
        <v>102.37</v>
      </c>
      <c r="S6" s="295">
        <v>4033.84</v>
      </c>
      <c r="T6" s="295">
        <v>1317.0395000000001</v>
      </c>
      <c r="U6" s="295">
        <v>1098.6099999999999</v>
      </c>
      <c r="V6" s="90">
        <v>0</v>
      </c>
      <c r="W6" s="90">
        <v>0</v>
      </c>
      <c r="X6" s="67">
        <v>44199.238400000002</v>
      </c>
      <c r="Y6" s="67">
        <v>296.45414875279192</v>
      </c>
      <c r="Z6" s="67">
        <v>172.11716109240237</v>
      </c>
    </row>
    <row r="7" spans="1:28" s="67" customFormat="1" ht="17.25" customHeight="1">
      <c r="A7" s="92">
        <v>1</v>
      </c>
      <c r="B7" s="93" t="s">
        <v>14</v>
      </c>
      <c r="C7" s="92" t="s">
        <v>15</v>
      </c>
      <c r="D7" s="291">
        <v>38448.142589999996</v>
      </c>
      <c r="E7" s="291">
        <v>4308.34</v>
      </c>
      <c r="F7" s="291">
        <v>7532.6051899999993</v>
      </c>
      <c r="G7" s="291">
        <v>4919.57</v>
      </c>
      <c r="H7" s="291">
        <v>3376.74</v>
      </c>
      <c r="I7" s="291">
        <v>2476.54</v>
      </c>
      <c r="J7" s="291">
        <v>1146.75</v>
      </c>
      <c r="K7" s="291">
        <v>2732.84</v>
      </c>
      <c r="L7" s="291">
        <v>1886.1399999999999</v>
      </c>
      <c r="M7" s="291">
        <v>1590.57</v>
      </c>
      <c r="N7" s="291">
        <v>3669.4753999999998</v>
      </c>
      <c r="O7" s="291">
        <v>4.2</v>
      </c>
      <c r="P7" s="291">
        <v>701.78200000000004</v>
      </c>
      <c r="Q7" s="291">
        <v>0</v>
      </c>
      <c r="R7" s="291">
        <v>0</v>
      </c>
      <c r="S7" s="291">
        <v>2612.15</v>
      </c>
      <c r="T7" s="291">
        <v>706.80000000000007</v>
      </c>
      <c r="U7" s="291">
        <v>783.6400000000001</v>
      </c>
      <c r="V7" s="92">
        <v>0</v>
      </c>
      <c r="W7" s="92">
        <v>0</v>
      </c>
      <c r="X7" s="67">
        <v>33643.770589999993</v>
      </c>
      <c r="Y7" s="67">
        <v>225.65627219252411</v>
      </c>
      <c r="Z7" s="67">
        <v>127.3756291318327</v>
      </c>
    </row>
    <row r="8" spans="1:28" s="2" customFormat="1" ht="16.5" customHeight="1">
      <c r="A8" s="94" t="s">
        <v>16</v>
      </c>
      <c r="B8" s="95" t="s">
        <v>17</v>
      </c>
      <c r="C8" s="94" t="s">
        <v>18</v>
      </c>
      <c r="D8" s="292">
        <v>3246.9302500000003</v>
      </c>
      <c r="E8" s="292">
        <v>216.71</v>
      </c>
      <c r="F8" s="292">
        <v>140.62225000000001</v>
      </c>
      <c r="G8" s="292">
        <v>234.95</v>
      </c>
      <c r="H8" s="292">
        <v>231.57999999999998</v>
      </c>
      <c r="I8" s="292">
        <v>279.36</v>
      </c>
      <c r="J8" s="292">
        <v>391.48</v>
      </c>
      <c r="K8" s="292">
        <v>223.16</v>
      </c>
      <c r="L8" s="292">
        <v>172.05</v>
      </c>
      <c r="M8" s="292">
        <v>251.77999999999997</v>
      </c>
      <c r="N8" s="292">
        <v>306.83510000000001</v>
      </c>
      <c r="O8" s="292">
        <v>0</v>
      </c>
      <c r="P8" s="292">
        <v>252.77289999999999</v>
      </c>
      <c r="Q8" s="292">
        <v>0</v>
      </c>
      <c r="R8" s="292">
        <v>0</v>
      </c>
      <c r="S8" s="292">
        <v>347.36</v>
      </c>
      <c r="T8" s="292">
        <v>17.09</v>
      </c>
      <c r="U8" s="292">
        <v>181.18</v>
      </c>
      <c r="V8" s="94">
        <v>0</v>
      </c>
      <c r="W8" s="94">
        <v>0</v>
      </c>
      <c r="X8" s="2">
        <v>2448.5273500000003</v>
      </c>
      <c r="Y8" s="2">
        <v>16.422818978758226</v>
      </c>
      <c r="Z8" s="2">
        <v>10.756820888624594</v>
      </c>
    </row>
    <row r="9" spans="1:28" s="2" customFormat="1" ht="16.5" customHeight="1">
      <c r="A9" s="94"/>
      <c r="B9" s="95" t="s">
        <v>19</v>
      </c>
      <c r="C9" s="94" t="s">
        <v>20</v>
      </c>
      <c r="D9" s="292">
        <v>1840.3679999999999</v>
      </c>
      <c r="E9" s="292">
        <v>0</v>
      </c>
      <c r="F9" s="292">
        <v>0</v>
      </c>
      <c r="G9" s="292">
        <v>43.16</v>
      </c>
      <c r="H9" s="292">
        <v>166.66</v>
      </c>
      <c r="I9" s="292">
        <v>190.68</v>
      </c>
      <c r="J9" s="292">
        <v>275.83</v>
      </c>
      <c r="K9" s="292">
        <v>168.84</v>
      </c>
      <c r="L9" s="292">
        <v>23.21</v>
      </c>
      <c r="M9" s="292">
        <v>108.58</v>
      </c>
      <c r="N9" s="292">
        <v>215.92510000000001</v>
      </c>
      <c r="O9" s="292">
        <v>0</v>
      </c>
      <c r="P9" s="292">
        <v>102.16290000000001</v>
      </c>
      <c r="Q9" s="292">
        <v>0</v>
      </c>
      <c r="R9" s="292">
        <v>0</v>
      </c>
      <c r="S9" s="292">
        <v>347.05</v>
      </c>
      <c r="T9" s="292">
        <v>17.09</v>
      </c>
      <c r="U9" s="292">
        <v>181.18</v>
      </c>
      <c r="V9" s="94">
        <v>0</v>
      </c>
      <c r="W9" s="94">
        <v>0</v>
      </c>
      <c r="X9" s="2">
        <v>1192.8851</v>
      </c>
      <c r="Y9" s="2">
        <v>8.0009463891664936</v>
      </c>
      <c r="Z9" s="2">
        <v>6.0969923653753453</v>
      </c>
    </row>
    <row r="10" spans="1:28" s="2" customFormat="1" ht="16.5" customHeight="1">
      <c r="A10" s="94" t="s">
        <v>21</v>
      </c>
      <c r="B10" s="95" t="s">
        <v>22</v>
      </c>
      <c r="C10" s="94" t="s">
        <v>23</v>
      </c>
      <c r="D10" s="292">
        <v>1015.3142999999999</v>
      </c>
      <c r="E10" s="292">
        <v>41.15</v>
      </c>
      <c r="F10" s="292">
        <v>64.004499999999993</v>
      </c>
      <c r="G10" s="292">
        <v>163.37</v>
      </c>
      <c r="H10" s="292">
        <v>157.84</v>
      </c>
      <c r="I10" s="292">
        <v>58.82</v>
      </c>
      <c r="J10" s="292">
        <v>40.520000000000003</v>
      </c>
      <c r="K10" s="292">
        <v>92.42</v>
      </c>
      <c r="L10" s="292">
        <v>50.44</v>
      </c>
      <c r="M10" s="292">
        <v>89.34</v>
      </c>
      <c r="N10" s="292">
        <v>120.8407</v>
      </c>
      <c r="O10" s="292">
        <v>0</v>
      </c>
      <c r="P10" s="292">
        <v>31.289100000000001</v>
      </c>
      <c r="Q10" s="292">
        <v>0</v>
      </c>
      <c r="R10" s="292">
        <v>0</v>
      </c>
      <c r="S10" s="292">
        <v>14.62</v>
      </c>
      <c r="T10" s="292">
        <v>14.13</v>
      </c>
      <c r="U10" s="292">
        <v>76.53</v>
      </c>
      <c r="V10" s="94">
        <v>0</v>
      </c>
      <c r="W10" s="94">
        <v>0</v>
      </c>
      <c r="X10" s="2">
        <v>878.74519999999995</v>
      </c>
      <c r="Y10" s="2">
        <v>5.893940024011858</v>
      </c>
      <c r="Z10" s="2">
        <v>3.3636552773990926</v>
      </c>
    </row>
    <row r="11" spans="1:28" s="2" customFormat="1" ht="16.5" customHeight="1">
      <c r="A11" s="94" t="s">
        <v>24</v>
      </c>
      <c r="B11" s="95" t="s">
        <v>25</v>
      </c>
      <c r="C11" s="94" t="s">
        <v>26</v>
      </c>
      <c r="D11" s="292">
        <v>1840.0419399999998</v>
      </c>
      <c r="E11" s="292">
        <v>198.53</v>
      </c>
      <c r="F11" s="292">
        <v>91.102339999999998</v>
      </c>
      <c r="G11" s="292">
        <v>133.25</v>
      </c>
      <c r="H11" s="292">
        <v>135</v>
      </c>
      <c r="I11" s="292">
        <v>76.13</v>
      </c>
      <c r="J11" s="292">
        <v>141.47</v>
      </c>
      <c r="K11" s="292">
        <v>45.79</v>
      </c>
      <c r="L11" s="292">
        <v>41.48</v>
      </c>
      <c r="M11" s="292">
        <v>55.68</v>
      </c>
      <c r="N11" s="292">
        <v>393.78960000000001</v>
      </c>
      <c r="O11" s="292">
        <v>3.88</v>
      </c>
      <c r="P11" s="292">
        <v>110.37</v>
      </c>
      <c r="Q11" s="292">
        <v>0</v>
      </c>
      <c r="R11" s="292">
        <v>0</v>
      </c>
      <c r="S11" s="292">
        <v>333.56</v>
      </c>
      <c r="T11" s="292">
        <v>27.79</v>
      </c>
      <c r="U11" s="292">
        <v>52.22</v>
      </c>
      <c r="V11" s="94">
        <v>0</v>
      </c>
      <c r="W11" s="94">
        <v>0</v>
      </c>
      <c r="X11" s="2">
        <v>1316.10194</v>
      </c>
      <c r="Y11" s="2">
        <v>8.8273892134439578</v>
      </c>
      <c r="Z11" s="2">
        <v>6.0959121546073609</v>
      </c>
    </row>
    <row r="12" spans="1:28" s="2" customFormat="1" ht="16.5" customHeight="1">
      <c r="A12" s="94" t="s">
        <v>27</v>
      </c>
      <c r="B12" s="95" t="s">
        <v>28</v>
      </c>
      <c r="C12" s="94" t="s">
        <v>29</v>
      </c>
      <c r="D12" s="292">
        <v>15177.190000000002</v>
      </c>
      <c r="E12" s="292">
        <v>2437.75</v>
      </c>
      <c r="F12" s="292">
        <v>4319.0600000000004</v>
      </c>
      <c r="G12" s="292">
        <v>915.98</v>
      </c>
      <c r="H12" s="292">
        <v>967.14</v>
      </c>
      <c r="I12" s="292">
        <v>896.23</v>
      </c>
      <c r="J12" s="292">
        <v>74.400000000000006</v>
      </c>
      <c r="K12" s="292">
        <v>1783.71</v>
      </c>
      <c r="L12" s="292">
        <v>956.86</v>
      </c>
      <c r="M12" s="292">
        <v>159.12</v>
      </c>
      <c r="N12" s="292">
        <v>880.47</v>
      </c>
      <c r="O12" s="292">
        <v>0</v>
      </c>
      <c r="P12" s="292">
        <v>13.91</v>
      </c>
      <c r="Q12" s="292">
        <v>0</v>
      </c>
      <c r="R12" s="292">
        <v>0</v>
      </c>
      <c r="S12" s="292">
        <v>1079.44</v>
      </c>
      <c r="T12" s="292">
        <v>514.20000000000005</v>
      </c>
      <c r="U12" s="292">
        <v>178.92</v>
      </c>
      <c r="V12" s="94">
        <v>0</v>
      </c>
      <c r="W12" s="94">
        <v>0</v>
      </c>
      <c r="X12" s="2">
        <v>13390.720000000001</v>
      </c>
      <c r="Y12" s="2">
        <v>89.814545283816145</v>
      </c>
      <c r="Z12" s="2">
        <v>50.280819682721642</v>
      </c>
      <c r="AA12" s="2">
        <v>28718.826099999998</v>
      </c>
      <c r="AB12" s="2">
        <v>52.84752916833186</v>
      </c>
    </row>
    <row r="13" spans="1:28" s="2" customFormat="1" ht="16.5" customHeight="1">
      <c r="A13" s="94" t="s">
        <v>30</v>
      </c>
      <c r="B13" s="95" t="s">
        <v>31</v>
      </c>
      <c r="C13" s="94" t="s">
        <v>32</v>
      </c>
      <c r="D13" s="292">
        <v>0</v>
      </c>
      <c r="E13" s="292">
        <v>0</v>
      </c>
      <c r="F13" s="292">
        <v>0</v>
      </c>
      <c r="G13" s="292">
        <v>0</v>
      </c>
      <c r="H13" s="292">
        <v>0</v>
      </c>
      <c r="I13" s="292">
        <v>0</v>
      </c>
      <c r="J13" s="292">
        <v>0</v>
      </c>
      <c r="K13" s="292">
        <v>0</v>
      </c>
      <c r="L13" s="292">
        <v>0</v>
      </c>
      <c r="M13" s="292">
        <v>0</v>
      </c>
      <c r="N13" s="292">
        <v>0</v>
      </c>
      <c r="O13" s="292">
        <v>0</v>
      </c>
      <c r="P13" s="292">
        <v>0</v>
      </c>
      <c r="Q13" s="292">
        <v>0</v>
      </c>
      <c r="R13" s="292">
        <v>0</v>
      </c>
      <c r="S13" s="292">
        <v>0</v>
      </c>
      <c r="T13" s="292">
        <v>0</v>
      </c>
      <c r="U13" s="292">
        <v>0</v>
      </c>
      <c r="V13" s="94">
        <v>0</v>
      </c>
      <c r="W13" s="94">
        <v>0</v>
      </c>
      <c r="X13" s="2">
        <v>0</v>
      </c>
      <c r="Y13" s="2">
        <v>0</v>
      </c>
      <c r="Z13" s="2">
        <v>0</v>
      </c>
      <c r="AB13" s="2" t="e">
        <v>#DIV/0!</v>
      </c>
    </row>
    <row r="14" spans="1:28" s="2" customFormat="1" ht="16.5" customHeight="1">
      <c r="A14" s="94" t="s">
        <v>33</v>
      </c>
      <c r="B14" s="95" t="s">
        <v>34</v>
      </c>
      <c r="C14" s="94" t="s">
        <v>35</v>
      </c>
      <c r="D14" s="292">
        <v>13541.636099999998</v>
      </c>
      <c r="E14" s="292">
        <v>1411.78</v>
      </c>
      <c r="F14" s="292">
        <v>2916.8660999999997</v>
      </c>
      <c r="G14" s="292">
        <v>3293.08</v>
      </c>
      <c r="H14" s="292">
        <v>1484.09</v>
      </c>
      <c r="I14" s="292">
        <v>1023.57</v>
      </c>
      <c r="J14" s="292">
        <v>0</v>
      </c>
      <c r="K14" s="292">
        <v>8.15</v>
      </c>
      <c r="L14" s="292">
        <v>579.66999999999996</v>
      </c>
      <c r="M14" s="292">
        <v>1004.16</v>
      </c>
      <c r="N14" s="292">
        <v>1643.07</v>
      </c>
      <c r="O14" s="292">
        <v>0</v>
      </c>
      <c r="P14" s="292">
        <v>115.84</v>
      </c>
      <c r="Q14" s="292">
        <v>0</v>
      </c>
      <c r="R14" s="292">
        <v>0</v>
      </c>
      <c r="S14" s="292">
        <v>0</v>
      </c>
      <c r="T14" s="292">
        <v>22.14</v>
      </c>
      <c r="U14" s="292">
        <v>39.22</v>
      </c>
      <c r="V14" s="94">
        <v>0</v>
      </c>
      <c r="W14" s="94">
        <v>0</v>
      </c>
      <c r="X14" s="2">
        <v>13364.436099999999</v>
      </c>
      <c r="Y14" s="2">
        <v>89.638253304984133</v>
      </c>
      <c r="Z14" s="2">
        <v>44.862360091237818</v>
      </c>
      <c r="AB14" s="2" t="e">
        <v>#DIV/0!</v>
      </c>
    </row>
    <row r="15" spans="1:28" s="2" customFormat="1" ht="16.5" customHeight="1">
      <c r="A15" s="94" t="s">
        <v>36</v>
      </c>
      <c r="B15" s="95" t="s">
        <v>37</v>
      </c>
      <c r="C15" s="94" t="s">
        <v>38</v>
      </c>
      <c r="D15" s="292">
        <v>3586.9500000000003</v>
      </c>
      <c r="E15" s="292">
        <v>1.54</v>
      </c>
      <c r="F15" s="292">
        <v>0.95</v>
      </c>
      <c r="G15" s="292">
        <v>178.94</v>
      </c>
      <c r="H15" s="292">
        <v>401.09</v>
      </c>
      <c r="I15" s="292">
        <v>142.43</v>
      </c>
      <c r="J15" s="292">
        <v>498.88</v>
      </c>
      <c r="K15" s="292">
        <v>579.23</v>
      </c>
      <c r="L15" s="292">
        <v>84.53</v>
      </c>
      <c r="M15" s="292">
        <v>30.49</v>
      </c>
      <c r="N15" s="292">
        <v>286.83</v>
      </c>
      <c r="O15" s="292">
        <v>0.32</v>
      </c>
      <c r="P15" s="292">
        <v>177.53</v>
      </c>
      <c r="Q15" s="292">
        <v>0</v>
      </c>
      <c r="R15" s="292">
        <v>0</v>
      </c>
      <c r="S15" s="292">
        <v>837.17</v>
      </c>
      <c r="T15" s="292">
        <v>111.45</v>
      </c>
      <c r="U15" s="292">
        <v>255.57</v>
      </c>
      <c r="V15" s="94">
        <v>0</v>
      </c>
      <c r="W15" s="94">
        <v>0</v>
      </c>
      <c r="X15" s="2">
        <v>2205.23</v>
      </c>
      <c r="Y15" s="2">
        <v>14.790969394941413</v>
      </c>
      <c r="Z15" s="2">
        <v>11.883279194695353</v>
      </c>
    </row>
    <row r="16" spans="1:28" s="2" customFormat="1" ht="16.5" customHeight="1">
      <c r="A16" s="94" t="s">
        <v>39</v>
      </c>
      <c r="B16" s="95" t="s">
        <v>40</v>
      </c>
      <c r="C16" s="94" t="s">
        <v>41</v>
      </c>
      <c r="D16" s="292">
        <v>0</v>
      </c>
      <c r="E16" s="292">
        <v>0</v>
      </c>
      <c r="F16" s="292">
        <v>0</v>
      </c>
      <c r="G16" s="292">
        <v>0</v>
      </c>
      <c r="H16" s="292">
        <v>0</v>
      </c>
      <c r="I16" s="292">
        <v>0</v>
      </c>
      <c r="J16" s="292">
        <v>0</v>
      </c>
      <c r="K16" s="292">
        <v>0</v>
      </c>
      <c r="L16" s="292">
        <v>0</v>
      </c>
      <c r="M16" s="292">
        <v>0</v>
      </c>
      <c r="N16" s="292">
        <v>0</v>
      </c>
      <c r="O16" s="292">
        <v>0</v>
      </c>
      <c r="P16" s="292">
        <v>0</v>
      </c>
      <c r="Q16" s="292">
        <v>0</v>
      </c>
      <c r="R16" s="292">
        <v>0</v>
      </c>
      <c r="S16" s="292">
        <v>0</v>
      </c>
      <c r="T16" s="292">
        <v>0</v>
      </c>
      <c r="U16" s="292">
        <v>0</v>
      </c>
      <c r="V16" s="94">
        <v>0</v>
      </c>
      <c r="W16" s="94">
        <v>0</v>
      </c>
      <c r="X16" s="2">
        <v>0</v>
      </c>
      <c r="Y16" s="2">
        <v>0</v>
      </c>
      <c r="Z16" s="2">
        <v>0</v>
      </c>
    </row>
    <row r="17" spans="1:27" s="2" customFormat="1" ht="16.5" customHeight="1">
      <c r="A17" s="94" t="s">
        <v>42</v>
      </c>
      <c r="B17" s="95" t="s">
        <v>43</v>
      </c>
      <c r="C17" s="94" t="s">
        <v>44</v>
      </c>
      <c r="D17" s="292">
        <v>40.08</v>
      </c>
      <c r="E17" s="292">
        <v>0.88</v>
      </c>
      <c r="F17" s="292">
        <v>0</v>
      </c>
      <c r="G17" s="292">
        <v>0</v>
      </c>
      <c r="H17" s="292">
        <v>0</v>
      </c>
      <c r="I17" s="292">
        <v>0</v>
      </c>
      <c r="J17" s="292">
        <v>0</v>
      </c>
      <c r="K17" s="292">
        <v>0.38</v>
      </c>
      <c r="L17" s="292">
        <v>1.1100000000000001</v>
      </c>
      <c r="M17" s="292">
        <v>0</v>
      </c>
      <c r="N17" s="292">
        <v>37.64</v>
      </c>
      <c r="O17" s="292">
        <v>0</v>
      </c>
      <c r="P17" s="292">
        <v>7.0000000000000007E-2</v>
      </c>
      <c r="Q17" s="292">
        <v>0</v>
      </c>
      <c r="R17" s="292">
        <v>0</v>
      </c>
      <c r="S17" s="292">
        <v>0</v>
      </c>
      <c r="T17" s="292">
        <v>0</v>
      </c>
      <c r="U17" s="292">
        <v>0</v>
      </c>
      <c r="V17" s="94">
        <v>0</v>
      </c>
      <c r="W17" s="94">
        <v>0</v>
      </c>
      <c r="X17" s="2">
        <v>40.01</v>
      </c>
      <c r="Y17" s="2">
        <v>0.26835599256839693</v>
      </c>
      <c r="Z17" s="2">
        <v>0.13278184254684056</v>
      </c>
    </row>
    <row r="18" spans="1:27" s="67" customFormat="1" ht="17.25" customHeight="1">
      <c r="A18" s="92">
        <v>2</v>
      </c>
      <c r="B18" s="93" t="s">
        <v>45</v>
      </c>
      <c r="C18" s="92" t="s">
        <v>46</v>
      </c>
      <c r="D18" s="291">
        <v>7712.7726700000003</v>
      </c>
      <c r="E18" s="291">
        <v>643.28950000000009</v>
      </c>
      <c r="F18" s="291">
        <v>565.38777000000005</v>
      </c>
      <c r="G18" s="291">
        <v>889.94950000000006</v>
      </c>
      <c r="H18" s="291">
        <v>485.83500000000004</v>
      </c>
      <c r="I18" s="291">
        <v>527.94949999999994</v>
      </c>
      <c r="J18" s="291">
        <v>447.40499999999992</v>
      </c>
      <c r="K18" s="291">
        <v>395.38</v>
      </c>
      <c r="L18" s="291">
        <v>208.80950000000001</v>
      </c>
      <c r="M18" s="291">
        <v>232.36</v>
      </c>
      <c r="N18" s="291">
        <v>705.46849999999984</v>
      </c>
      <c r="O18" s="291">
        <v>151.65500000000003</v>
      </c>
      <c r="P18" s="291">
        <v>385.1044</v>
      </c>
      <c r="Q18" s="291">
        <v>71.789500000000004</v>
      </c>
      <c r="R18" s="291">
        <v>101.72</v>
      </c>
      <c r="S18" s="291">
        <v>1152.57</v>
      </c>
      <c r="T18" s="291">
        <v>463.99950000000001</v>
      </c>
      <c r="U18" s="291">
        <v>284.09999999999991</v>
      </c>
      <c r="V18" s="92">
        <v>0</v>
      </c>
      <c r="W18" s="92">
        <v>0</v>
      </c>
      <c r="X18" s="67">
        <v>5253.48927</v>
      </c>
      <c r="Y18" s="67">
        <v>35.236324106430217</v>
      </c>
      <c r="Z18" s="67">
        <v>25.551800555576726</v>
      </c>
      <c r="AA18" s="67">
        <v>97.775459322409915</v>
      </c>
    </row>
    <row r="19" spans="1:27" s="2" customFormat="1" ht="17.25" customHeight="1">
      <c r="A19" s="94" t="s">
        <v>47</v>
      </c>
      <c r="B19" s="95" t="s">
        <v>48</v>
      </c>
      <c r="C19" s="94" t="s">
        <v>49</v>
      </c>
      <c r="D19" s="292">
        <v>285.92867000000001</v>
      </c>
      <c r="E19" s="292">
        <v>44.83</v>
      </c>
      <c r="F19" s="292">
        <v>63.778669999999998</v>
      </c>
      <c r="G19" s="292">
        <v>0.68</v>
      </c>
      <c r="H19" s="292">
        <v>7.06</v>
      </c>
      <c r="I19" s="292">
        <v>3.71</v>
      </c>
      <c r="J19" s="292">
        <v>0</v>
      </c>
      <c r="K19" s="292">
        <v>0</v>
      </c>
      <c r="L19" s="292">
        <v>5.38</v>
      </c>
      <c r="M19" s="292">
        <v>53.27</v>
      </c>
      <c r="N19" s="292">
        <v>18.47</v>
      </c>
      <c r="O19" s="292">
        <v>1.85</v>
      </c>
      <c r="P19" s="292">
        <v>14.43</v>
      </c>
      <c r="Q19" s="292">
        <v>5.47</v>
      </c>
      <c r="R19" s="292">
        <v>19.940000000000001</v>
      </c>
      <c r="S19" s="292">
        <v>38.9</v>
      </c>
      <c r="T19" s="292">
        <v>7.87</v>
      </c>
      <c r="U19" s="292">
        <v>0.28999999999999998</v>
      </c>
      <c r="V19" s="94">
        <v>0</v>
      </c>
      <c r="W19" s="94">
        <v>0</v>
      </c>
      <c r="X19" s="2">
        <v>199.02866999999998</v>
      </c>
      <c r="Y19" s="2">
        <v>1.3349296747667561</v>
      </c>
      <c r="Z19" s="2">
        <v>0.94725887324270297</v>
      </c>
      <c r="AA19" s="2">
        <v>3.6247414825848576</v>
      </c>
    </row>
    <row r="20" spans="1:27" s="2" customFormat="1" ht="17.25" customHeight="1">
      <c r="A20" s="94" t="s">
        <v>50</v>
      </c>
      <c r="B20" s="95" t="s">
        <v>51</v>
      </c>
      <c r="C20" s="94" t="s">
        <v>52</v>
      </c>
      <c r="D20" s="292">
        <v>9.83</v>
      </c>
      <c r="E20" s="292">
        <v>0</v>
      </c>
      <c r="F20" s="292">
        <v>0</v>
      </c>
      <c r="G20" s="292">
        <v>0</v>
      </c>
      <c r="H20" s="292">
        <v>0</v>
      </c>
      <c r="I20" s="292">
        <v>0</v>
      </c>
      <c r="J20" s="292">
        <v>0</v>
      </c>
      <c r="K20" s="292">
        <v>0</v>
      </c>
      <c r="L20" s="292">
        <v>0</v>
      </c>
      <c r="M20" s="292">
        <v>0</v>
      </c>
      <c r="N20" s="292">
        <v>0.61</v>
      </c>
      <c r="O20" s="292">
        <v>0.22</v>
      </c>
      <c r="P20" s="292">
        <v>0.16</v>
      </c>
      <c r="Q20" s="292">
        <v>0.43</v>
      </c>
      <c r="R20" s="292">
        <v>0.46</v>
      </c>
      <c r="S20" s="292">
        <v>6.37</v>
      </c>
      <c r="T20" s="292">
        <v>1.19</v>
      </c>
      <c r="U20" s="292">
        <v>0.39</v>
      </c>
      <c r="V20" s="94">
        <v>0</v>
      </c>
      <c r="W20" s="94">
        <v>0</v>
      </c>
      <c r="X20" s="2">
        <v>0.83</v>
      </c>
      <c r="Y20" s="2">
        <v>5.5669950970199805E-3</v>
      </c>
      <c r="Z20" s="2">
        <v>3.256600579429747E-2</v>
      </c>
      <c r="AA20" s="2">
        <v>0.12461572592146547</v>
      </c>
    </row>
    <row r="21" spans="1:27" s="2" customFormat="1" ht="17.25" customHeight="1">
      <c r="A21" s="94" t="s">
        <v>53</v>
      </c>
      <c r="B21" s="95" t="s">
        <v>54</v>
      </c>
      <c r="C21" s="94" t="s">
        <v>55</v>
      </c>
      <c r="D21" s="292">
        <v>79.59</v>
      </c>
      <c r="E21" s="292">
        <v>0</v>
      </c>
      <c r="F21" s="292">
        <v>0</v>
      </c>
      <c r="G21" s="292">
        <v>0</v>
      </c>
      <c r="H21" s="292">
        <v>0</v>
      </c>
      <c r="I21" s="292">
        <v>0</v>
      </c>
      <c r="J21" s="292">
        <v>0</v>
      </c>
      <c r="K21" s="292">
        <v>0</v>
      </c>
      <c r="L21" s="292">
        <v>0</v>
      </c>
      <c r="M21" s="292">
        <v>0</v>
      </c>
      <c r="N21" s="292">
        <v>79.59</v>
      </c>
      <c r="O21" s="292">
        <v>0</v>
      </c>
      <c r="P21" s="292">
        <v>0</v>
      </c>
      <c r="Q21" s="292">
        <v>0</v>
      </c>
      <c r="R21" s="292">
        <v>0</v>
      </c>
      <c r="S21" s="292">
        <v>0</v>
      </c>
      <c r="T21" s="292">
        <v>0</v>
      </c>
      <c r="U21" s="292">
        <v>0</v>
      </c>
      <c r="V21" s="94">
        <v>0</v>
      </c>
      <c r="W21" s="94">
        <v>0</v>
      </c>
      <c r="X21" s="2">
        <v>79.59</v>
      </c>
      <c r="Y21" s="2">
        <v>0.533827879243157</v>
      </c>
      <c r="Z21" s="2">
        <v>0.26367532056644311</v>
      </c>
      <c r="AA21" s="2">
        <v>1.0089690362247647</v>
      </c>
    </row>
    <row r="22" spans="1:27" s="2" customFormat="1" ht="17.25" customHeight="1">
      <c r="A22" s="94" t="s">
        <v>56</v>
      </c>
      <c r="B22" s="95" t="s">
        <v>57</v>
      </c>
      <c r="C22" s="94" t="s">
        <v>58</v>
      </c>
      <c r="D22" s="292">
        <v>0</v>
      </c>
      <c r="E22" s="292">
        <v>0</v>
      </c>
      <c r="F22" s="292">
        <v>0</v>
      </c>
      <c r="G22" s="292">
        <v>0</v>
      </c>
      <c r="H22" s="292">
        <v>0</v>
      </c>
      <c r="I22" s="292">
        <v>0</v>
      </c>
      <c r="J22" s="292">
        <v>0</v>
      </c>
      <c r="K22" s="292">
        <v>0</v>
      </c>
      <c r="L22" s="292">
        <v>0</v>
      </c>
      <c r="M22" s="292">
        <v>0</v>
      </c>
      <c r="N22" s="292">
        <v>0</v>
      </c>
      <c r="O22" s="292">
        <v>0</v>
      </c>
      <c r="P22" s="292">
        <v>0</v>
      </c>
      <c r="Q22" s="292">
        <v>0</v>
      </c>
      <c r="R22" s="292">
        <v>0</v>
      </c>
      <c r="S22" s="292">
        <v>0</v>
      </c>
      <c r="T22" s="292">
        <v>0</v>
      </c>
      <c r="U22" s="292">
        <v>0</v>
      </c>
      <c r="V22" s="94">
        <v>0</v>
      </c>
      <c r="W22" s="94">
        <v>0</v>
      </c>
      <c r="X22" s="2">
        <v>0</v>
      </c>
      <c r="Y22" s="2">
        <v>0</v>
      </c>
      <c r="Z22" s="2">
        <v>0</v>
      </c>
      <c r="AA22" s="2">
        <v>0</v>
      </c>
    </row>
    <row r="23" spans="1:27" s="2" customFormat="1" ht="17.25" customHeight="1">
      <c r="A23" s="94" t="s">
        <v>59</v>
      </c>
      <c r="B23" s="95" t="s">
        <v>60</v>
      </c>
      <c r="C23" s="94" t="s">
        <v>61</v>
      </c>
      <c r="D23" s="292">
        <v>0</v>
      </c>
      <c r="E23" s="292">
        <v>0</v>
      </c>
      <c r="F23" s="292">
        <v>0</v>
      </c>
      <c r="G23" s="292">
        <v>0</v>
      </c>
      <c r="H23" s="292">
        <v>0</v>
      </c>
      <c r="I23" s="292">
        <v>0</v>
      </c>
      <c r="J23" s="292">
        <v>0</v>
      </c>
      <c r="K23" s="292">
        <v>0</v>
      </c>
      <c r="L23" s="292">
        <v>0</v>
      </c>
      <c r="M23" s="292">
        <v>0</v>
      </c>
      <c r="N23" s="292">
        <v>0</v>
      </c>
      <c r="O23" s="292">
        <v>0</v>
      </c>
      <c r="P23" s="292">
        <v>0</v>
      </c>
      <c r="Q23" s="292">
        <v>0</v>
      </c>
      <c r="R23" s="292">
        <v>0</v>
      </c>
      <c r="S23" s="292">
        <v>0</v>
      </c>
      <c r="T23" s="292">
        <v>0</v>
      </c>
      <c r="U23" s="292">
        <v>0</v>
      </c>
      <c r="V23" s="94">
        <v>0</v>
      </c>
      <c r="W23" s="94">
        <v>0</v>
      </c>
      <c r="X23" s="2">
        <v>0</v>
      </c>
      <c r="Y23" s="2">
        <v>0</v>
      </c>
      <c r="Z23" s="2">
        <v>0</v>
      </c>
      <c r="AA23" s="2">
        <v>0</v>
      </c>
    </row>
    <row r="24" spans="1:27" s="2" customFormat="1" ht="17.25" customHeight="1">
      <c r="A24" s="94" t="s">
        <v>62</v>
      </c>
      <c r="B24" s="95" t="s">
        <v>63</v>
      </c>
      <c r="C24" s="94" t="s">
        <v>64</v>
      </c>
      <c r="D24" s="292">
        <v>349.95717000000002</v>
      </c>
      <c r="E24" s="292">
        <v>24.09</v>
      </c>
      <c r="F24" s="292">
        <v>0.32517000000000001</v>
      </c>
      <c r="G24" s="292">
        <v>3.21</v>
      </c>
      <c r="H24" s="292">
        <v>0.2</v>
      </c>
      <c r="I24" s="292">
        <v>6.18</v>
      </c>
      <c r="J24" s="292">
        <v>1.79</v>
      </c>
      <c r="K24" s="292">
        <v>0</v>
      </c>
      <c r="L24" s="292">
        <v>0</v>
      </c>
      <c r="M24" s="292">
        <v>0</v>
      </c>
      <c r="N24" s="292">
        <v>114.26</v>
      </c>
      <c r="O24" s="292">
        <v>9.0378000000000007</v>
      </c>
      <c r="P24" s="292">
        <v>16.494199999999999</v>
      </c>
      <c r="Q24" s="292">
        <v>2.67</v>
      </c>
      <c r="R24" s="292">
        <v>16.920000000000002</v>
      </c>
      <c r="S24" s="292">
        <v>66.75</v>
      </c>
      <c r="T24" s="292">
        <v>87.67</v>
      </c>
      <c r="U24" s="292">
        <v>0.36</v>
      </c>
      <c r="V24" s="94">
        <v>0</v>
      </c>
      <c r="W24" s="94">
        <v>0</v>
      </c>
      <c r="X24" s="2">
        <v>159.09297000000001</v>
      </c>
      <c r="Y24" s="2">
        <v>1.0670720288678879</v>
      </c>
      <c r="Z24" s="2">
        <v>1.1593801857554371</v>
      </c>
      <c r="AA24" s="2">
        <v>4.4364360916553105</v>
      </c>
    </row>
    <row r="25" spans="1:27" s="2" customFormat="1" ht="17.25" customHeight="1">
      <c r="A25" s="94" t="s">
        <v>65</v>
      </c>
      <c r="B25" s="95" t="s">
        <v>66</v>
      </c>
      <c r="C25" s="94" t="s">
        <v>67</v>
      </c>
      <c r="D25" s="292">
        <v>126.12</v>
      </c>
      <c r="E25" s="292">
        <v>0</v>
      </c>
      <c r="F25" s="292">
        <v>3.47</v>
      </c>
      <c r="G25" s="292">
        <v>0</v>
      </c>
      <c r="H25" s="292">
        <v>0.26</v>
      </c>
      <c r="I25" s="292">
        <v>12.18</v>
      </c>
      <c r="J25" s="292">
        <v>5.89</v>
      </c>
      <c r="K25" s="292">
        <v>6.39</v>
      </c>
      <c r="L25" s="292">
        <v>0.55000000000000004</v>
      </c>
      <c r="M25" s="292">
        <v>1.51</v>
      </c>
      <c r="N25" s="292">
        <v>13.05</v>
      </c>
      <c r="O25" s="292">
        <v>16.350000000000001</v>
      </c>
      <c r="P25" s="292">
        <v>60.28</v>
      </c>
      <c r="Q25" s="292">
        <v>0</v>
      </c>
      <c r="R25" s="292">
        <v>0</v>
      </c>
      <c r="S25" s="292">
        <v>2.13</v>
      </c>
      <c r="T25" s="292">
        <v>0</v>
      </c>
      <c r="U25" s="292">
        <v>4.0599999999999996</v>
      </c>
      <c r="V25" s="94">
        <v>0</v>
      </c>
      <c r="W25" s="94">
        <v>0</v>
      </c>
      <c r="X25" s="2">
        <v>59.650000000000006</v>
      </c>
      <c r="Y25" s="2">
        <v>0.40008585245450828</v>
      </c>
      <c r="Z25" s="2">
        <v>0.4178254985530821</v>
      </c>
      <c r="AA25" s="2">
        <v>1.5988337083637056</v>
      </c>
    </row>
    <row r="26" spans="1:27" s="2" customFormat="1" ht="17.25" customHeight="1">
      <c r="A26" s="94" t="s">
        <v>68</v>
      </c>
      <c r="B26" s="95" t="s">
        <v>69</v>
      </c>
      <c r="C26" s="94" t="s">
        <v>70</v>
      </c>
      <c r="D26" s="292">
        <v>0</v>
      </c>
      <c r="E26" s="292">
        <v>0</v>
      </c>
      <c r="F26" s="292">
        <v>0</v>
      </c>
      <c r="G26" s="292">
        <v>0</v>
      </c>
      <c r="H26" s="292">
        <v>0</v>
      </c>
      <c r="I26" s="292">
        <v>0</v>
      </c>
      <c r="J26" s="292">
        <v>0</v>
      </c>
      <c r="K26" s="292">
        <v>0</v>
      </c>
      <c r="L26" s="292">
        <v>0</v>
      </c>
      <c r="M26" s="292">
        <v>0</v>
      </c>
      <c r="N26" s="292">
        <v>0</v>
      </c>
      <c r="O26" s="292">
        <v>0</v>
      </c>
      <c r="P26" s="292">
        <v>0</v>
      </c>
      <c r="Q26" s="292">
        <v>0</v>
      </c>
      <c r="R26" s="292">
        <v>0</v>
      </c>
      <c r="S26" s="292">
        <v>0</v>
      </c>
      <c r="T26" s="292">
        <v>0</v>
      </c>
      <c r="U26" s="292">
        <v>0</v>
      </c>
      <c r="V26" s="94">
        <v>0</v>
      </c>
      <c r="W26" s="94">
        <v>0</v>
      </c>
      <c r="X26" s="2">
        <v>0</v>
      </c>
      <c r="Y26" s="2">
        <v>0</v>
      </c>
      <c r="Z26" s="2">
        <v>0</v>
      </c>
      <c r="AA26" s="2">
        <v>0</v>
      </c>
    </row>
    <row r="27" spans="1:27" s="2" customFormat="1" ht="31.15" customHeight="1">
      <c r="A27" s="94" t="s">
        <v>71</v>
      </c>
      <c r="B27" s="95" t="s">
        <v>135</v>
      </c>
      <c r="C27" s="94" t="s">
        <v>72</v>
      </c>
      <c r="D27" s="292">
        <v>2144.3125000000005</v>
      </c>
      <c r="E27" s="292">
        <v>94.109500000000011</v>
      </c>
      <c r="F27" s="292">
        <v>58.248599999999996</v>
      </c>
      <c r="G27" s="292">
        <v>194.39950000000005</v>
      </c>
      <c r="H27" s="292">
        <v>167.77500000000001</v>
      </c>
      <c r="I27" s="292">
        <v>149.97999999999999</v>
      </c>
      <c r="J27" s="292">
        <v>158.82499999999999</v>
      </c>
      <c r="K27" s="292">
        <v>157.42999999999998</v>
      </c>
      <c r="L27" s="292">
        <v>74.799499999999995</v>
      </c>
      <c r="M27" s="292">
        <v>86.71</v>
      </c>
      <c r="N27" s="292">
        <v>245.72519999999997</v>
      </c>
      <c r="O27" s="292">
        <v>60.747900000000001</v>
      </c>
      <c r="P27" s="292">
        <v>120.88280000000003</v>
      </c>
      <c r="Q27" s="292">
        <v>29.960000000000004</v>
      </c>
      <c r="R27" s="292">
        <v>39.74</v>
      </c>
      <c r="S27" s="292">
        <v>222.68</v>
      </c>
      <c r="T27" s="292">
        <v>164.6095</v>
      </c>
      <c r="U27" s="292">
        <v>117.68999999999998</v>
      </c>
      <c r="V27" s="94">
        <v>0</v>
      </c>
      <c r="W27" s="94">
        <v>0</v>
      </c>
      <c r="X27" s="2">
        <v>1448.7502000000002</v>
      </c>
      <c r="Y27" s="2">
        <v>9.7170906749478529</v>
      </c>
      <c r="Z27" s="2">
        <v>7.1039362461632258</v>
      </c>
      <c r="AA27" s="2">
        <v>27.18362754730137</v>
      </c>
    </row>
    <row r="28" spans="1:27" s="2" customFormat="1" ht="17.25" customHeight="1">
      <c r="A28" s="94" t="s">
        <v>73</v>
      </c>
      <c r="B28" s="95" t="s">
        <v>74</v>
      </c>
      <c r="C28" s="94" t="s">
        <v>75</v>
      </c>
      <c r="D28" s="292">
        <v>0.24000000000000002</v>
      </c>
      <c r="E28" s="292">
        <v>0</v>
      </c>
      <c r="F28" s="292">
        <v>0</v>
      </c>
      <c r="G28" s="292">
        <v>0</v>
      </c>
      <c r="H28" s="292">
        <v>0</v>
      </c>
      <c r="I28" s="292">
        <v>0</v>
      </c>
      <c r="J28" s="292">
        <v>0</v>
      </c>
      <c r="K28" s="292">
        <v>7.0000000000000007E-2</v>
      </c>
      <c r="L28" s="292">
        <v>0</v>
      </c>
      <c r="M28" s="292">
        <v>0</v>
      </c>
      <c r="N28" s="292">
        <v>0</v>
      </c>
      <c r="O28" s="292">
        <v>0</v>
      </c>
      <c r="P28" s="292">
        <v>0</v>
      </c>
      <c r="Q28" s="292">
        <v>0</v>
      </c>
      <c r="R28" s="292">
        <v>0</v>
      </c>
      <c r="S28" s="292">
        <v>0</v>
      </c>
      <c r="T28" s="292">
        <v>0.17</v>
      </c>
      <c r="U28" s="292">
        <v>0</v>
      </c>
      <c r="V28" s="94">
        <v>0</v>
      </c>
      <c r="W28" s="94">
        <v>0</v>
      </c>
      <c r="X28" s="2">
        <v>7.0000000000000007E-2</v>
      </c>
      <c r="Y28" s="2">
        <v>4.6950561059204659E-4</v>
      </c>
      <c r="Z28" s="2">
        <v>7.9510085357389567E-4</v>
      </c>
      <c r="AA28" s="2">
        <v>3.0424999207682318E-3</v>
      </c>
    </row>
    <row r="29" spans="1:27" s="2" customFormat="1" ht="17.25" customHeight="1">
      <c r="A29" s="94" t="s">
        <v>76</v>
      </c>
      <c r="B29" s="95" t="s">
        <v>77</v>
      </c>
      <c r="C29" s="94" t="s">
        <v>78</v>
      </c>
      <c r="D29" s="292">
        <v>0</v>
      </c>
      <c r="E29" s="292">
        <v>0</v>
      </c>
      <c r="F29" s="292">
        <v>0</v>
      </c>
      <c r="G29" s="292">
        <v>0</v>
      </c>
      <c r="H29" s="292">
        <v>0</v>
      </c>
      <c r="I29" s="292">
        <v>0</v>
      </c>
      <c r="J29" s="292">
        <v>0</v>
      </c>
      <c r="K29" s="292">
        <v>0</v>
      </c>
      <c r="L29" s="292">
        <v>0</v>
      </c>
      <c r="M29" s="292">
        <v>0</v>
      </c>
      <c r="N29" s="292">
        <v>0</v>
      </c>
      <c r="O29" s="292">
        <v>0</v>
      </c>
      <c r="P29" s="292">
        <v>0</v>
      </c>
      <c r="Q29" s="292">
        <v>0</v>
      </c>
      <c r="R29" s="292">
        <v>0</v>
      </c>
      <c r="S29" s="292">
        <v>0</v>
      </c>
      <c r="T29" s="292">
        <v>0</v>
      </c>
      <c r="U29" s="292">
        <v>0</v>
      </c>
      <c r="V29" s="94">
        <v>0</v>
      </c>
      <c r="W29" s="94">
        <v>0</v>
      </c>
      <c r="X29" s="2">
        <v>0</v>
      </c>
      <c r="Y29" s="2">
        <v>0</v>
      </c>
      <c r="Z29" s="2">
        <v>0</v>
      </c>
      <c r="AA29" s="2">
        <v>0</v>
      </c>
    </row>
    <row r="30" spans="1:27" s="2" customFormat="1" ht="17.25" customHeight="1">
      <c r="A30" s="94" t="s">
        <v>79</v>
      </c>
      <c r="B30" s="95" t="s">
        <v>80</v>
      </c>
      <c r="C30" s="94" t="s">
        <v>81</v>
      </c>
      <c r="D30" s="292">
        <v>44.33</v>
      </c>
      <c r="E30" s="292">
        <v>0</v>
      </c>
      <c r="F30" s="292">
        <v>0</v>
      </c>
      <c r="G30" s="292">
        <v>35.369999999999997</v>
      </c>
      <c r="H30" s="292">
        <v>0</v>
      </c>
      <c r="I30" s="292">
        <v>0</v>
      </c>
      <c r="J30" s="292">
        <v>2.65</v>
      </c>
      <c r="K30" s="292">
        <v>0.01</v>
      </c>
      <c r="L30" s="292">
        <v>0.16</v>
      </c>
      <c r="M30" s="292">
        <v>0.21</v>
      </c>
      <c r="N30" s="292">
        <v>3.84</v>
      </c>
      <c r="O30" s="292">
        <v>0</v>
      </c>
      <c r="P30" s="292">
        <v>0</v>
      </c>
      <c r="Q30" s="292">
        <v>0</v>
      </c>
      <c r="R30" s="292">
        <v>0</v>
      </c>
      <c r="S30" s="292">
        <v>2.09</v>
      </c>
      <c r="T30" s="292">
        <v>0</v>
      </c>
      <c r="U30" s="292">
        <v>0</v>
      </c>
      <c r="V30" s="94">
        <v>0</v>
      </c>
      <c r="W30" s="94">
        <v>0</v>
      </c>
      <c r="X30" s="2">
        <v>42.239999999999995</v>
      </c>
      <c r="Y30" s="2">
        <v>0.28331309987725778</v>
      </c>
      <c r="Z30" s="2">
        <v>0.14686175349554495</v>
      </c>
      <c r="AA30" s="2">
        <v>0.56197508953189867</v>
      </c>
    </row>
    <row r="31" spans="1:27" s="2" customFormat="1" ht="17.25" customHeight="1">
      <c r="A31" s="94" t="s">
        <v>82</v>
      </c>
      <c r="B31" s="95" t="s">
        <v>83</v>
      </c>
      <c r="C31" s="94" t="s">
        <v>84</v>
      </c>
      <c r="D31" s="292">
        <v>312.20955000000004</v>
      </c>
      <c r="E31" s="292">
        <v>12.53</v>
      </c>
      <c r="F31" s="292">
        <v>12.929549999999999</v>
      </c>
      <c r="G31" s="292">
        <v>22.46</v>
      </c>
      <c r="H31" s="292">
        <v>56.76</v>
      </c>
      <c r="I31" s="292">
        <v>45.69</v>
      </c>
      <c r="J31" s="292">
        <v>74.239999999999995</v>
      </c>
      <c r="K31" s="292">
        <v>49.83</v>
      </c>
      <c r="L31" s="292">
        <v>16.100000000000001</v>
      </c>
      <c r="M31" s="292">
        <v>21.67</v>
      </c>
      <c r="N31" s="292">
        <v>0</v>
      </c>
      <c r="O31" s="292">
        <v>0</v>
      </c>
      <c r="P31" s="292">
        <v>0</v>
      </c>
      <c r="Q31" s="292">
        <v>0</v>
      </c>
      <c r="R31" s="292">
        <v>0</v>
      </c>
      <c r="S31" s="292">
        <v>0</v>
      </c>
      <c r="T31" s="292">
        <v>0</v>
      </c>
      <c r="U31" s="292">
        <v>0</v>
      </c>
      <c r="V31" s="94">
        <v>0</v>
      </c>
      <c r="W31" s="94">
        <v>0</v>
      </c>
      <c r="X31" s="2">
        <v>312.20955000000004</v>
      </c>
      <c r="Y31" s="2">
        <v>2.0940590772202587</v>
      </c>
      <c r="Z31" s="2">
        <v>1.034325332078841</v>
      </c>
      <c r="AA31" s="2">
        <v>3.9579063797420218</v>
      </c>
    </row>
    <row r="32" spans="1:27" s="2" customFormat="1" ht="17.25" customHeight="1">
      <c r="A32" s="94" t="s">
        <v>85</v>
      </c>
      <c r="B32" s="95" t="s">
        <v>86</v>
      </c>
      <c r="C32" s="94" t="s">
        <v>87</v>
      </c>
      <c r="D32" s="292">
        <v>360.37450000000001</v>
      </c>
      <c r="E32" s="292">
        <v>0</v>
      </c>
      <c r="F32" s="292">
        <v>0</v>
      </c>
      <c r="G32" s="292">
        <v>0</v>
      </c>
      <c r="H32" s="292">
        <v>0</v>
      </c>
      <c r="I32" s="292">
        <v>0</v>
      </c>
      <c r="J32" s="292">
        <v>0</v>
      </c>
      <c r="K32" s="292">
        <v>0</v>
      </c>
      <c r="L32" s="292">
        <v>0</v>
      </c>
      <c r="M32" s="292">
        <v>0</v>
      </c>
      <c r="N32" s="292">
        <v>84.563699999999997</v>
      </c>
      <c r="O32" s="292">
        <v>36.459299999999999</v>
      </c>
      <c r="P32" s="292">
        <v>52.526499999999999</v>
      </c>
      <c r="Q32" s="292">
        <v>13.67</v>
      </c>
      <c r="R32" s="292">
        <v>10.565</v>
      </c>
      <c r="S32" s="292">
        <v>100.57</v>
      </c>
      <c r="T32" s="292">
        <v>33.78</v>
      </c>
      <c r="U32" s="292">
        <v>28.24</v>
      </c>
      <c r="V32" s="94">
        <v>0</v>
      </c>
      <c r="W32" s="94">
        <v>0</v>
      </c>
      <c r="X32" s="2">
        <v>121.023</v>
      </c>
      <c r="Y32" s="2">
        <v>0.81172825015258931</v>
      </c>
      <c r="Z32" s="2">
        <v>1.1938919689844409</v>
      </c>
      <c r="AA32" s="2">
        <v>4.5684974487370456</v>
      </c>
    </row>
    <row r="33" spans="1:27" s="2" customFormat="1" ht="17.25" customHeight="1">
      <c r="A33" s="94" t="s">
        <v>88</v>
      </c>
      <c r="B33" s="95" t="s">
        <v>89</v>
      </c>
      <c r="C33" s="94" t="s">
        <v>90</v>
      </c>
      <c r="D33" s="292">
        <v>36.990279999999998</v>
      </c>
      <c r="E33" s="292">
        <v>2.15</v>
      </c>
      <c r="F33" s="292">
        <v>0.45577999999999996</v>
      </c>
      <c r="G33" s="292">
        <v>0.47</v>
      </c>
      <c r="H33" s="292">
        <v>1.1100000000000001</v>
      </c>
      <c r="I33" s="292">
        <v>4.47</v>
      </c>
      <c r="J33" s="292">
        <v>1.1599999999999999</v>
      </c>
      <c r="K33" s="292">
        <v>0.91</v>
      </c>
      <c r="L33" s="292">
        <v>0.65</v>
      </c>
      <c r="M33" s="292">
        <v>1.05</v>
      </c>
      <c r="N33" s="292">
        <v>0.77</v>
      </c>
      <c r="O33" s="292">
        <v>0.81</v>
      </c>
      <c r="P33" s="292">
        <v>0.51</v>
      </c>
      <c r="Q33" s="292">
        <v>4.1695000000000002</v>
      </c>
      <c r="R33" s="292">
        <v>4.8949999999999996</v>
      </c>
      <c r="S33" s="292">
        <v>12.3</v>
      </c>
      <c r="T33" s="292">
        <v>0.3</v>
      </c>
      <c r="U33" s="292">
        <v>0.81</v>
      </c>
      <c r="V33" s="94">
        <v>0</v>
      </c>
      <c r="W33" s="94">
        <v>0</v>
      </c>
      <c r="X33" s="2">
        <v>14.005780000000001</v>
      </c>
      <c r="Y33" s="2">
        <v>9.3939889867398221E-2</v>
      </c>
      <c r="Z33" s="2">
        <v>0.12254584667473914</v>
      </c>
      <c r="AA33" s="2">
        <v>0.46892884987164457</v>
      </c>
    </row>
    <row r="34" spans="1:27" s="2" customFormat="1" ht="17.25" customHeight="1">
      <c r="A34" s="94" t="s">
        <v>91</v>
      </c>
      <c r="B34" s="95" t="s">
        <v>92</v>
      </c>
      <c r="C34" s="94" t="s">
        <v>93</v>
      </c>
      <c r="D34" s="292">
        <v>0.67</v>
      </c>
      <c r="E34" s="292">
        <v>0</v>
      </c>
      <c r="F34" s="292">
        <v>0</v>
      </c>
      <c r="G34" s="292">
        <v>0</v>
      </c>
      <c r="H34" s="292">
        <v>0</v>
      </c>
      <c r="I34" s="292">
        <v>0</v>
      </c>
      <c r="J34" s="292">
        <v>0</v>
      </c>
      <c r="K34" s="292">
        <v>0</v>
      </c>
      <c r="L34" s="292">
        <v>0</v>
      </c>
      <c r="M34" s="292">
        <v>0</v>
      </c>
      <c r="N34" s="292">
        <v>0</v>
      </c>
      <c r="O34" s="292">
        <v>0</v>
      </c>
      <c r="P34" s="292">
        <v>0.67</v>
      </c>
      <c r="Q34" s="292">
        <v>0</v>
      </c>
      <c r="R34" s="292">
        <v>0</v>
      </c>
      <c r="S34" s="292">
        <v>0</v>
      </c>
      <c r="T34" s="292">
        <v>0</v>
      </c>
      <c r="U34" s="292">
        <v>0</v>
      </c>
      <c r="V34" s="94">
        <v>0</v>
      </c>
      <c r="W34" s="94">
        <v>0</v>
      </c>
      <c r="X34" s="2">
        <v>0</v>
      </c>
      <c r="Y34" s="2">
        <v>0</v>
      </c>
      <c r="Z34" s="2">
        <v>2.2196565495604587E-3</v>
      </c>
      <c r="AA34" s="2">
        <v>8.4936456121446451E-3</v>
      </c>
    </row>
    <row r="35" spans="1:27" s="2" customFormat="1" ht="17.25" customHeight="1">
      <c r="A35" s="94" t="s">
        <v>94</v>
      </c>
      <c r="B35" s="95" t="s">
        <v>95</v>
      </c>
      <c r="C35" s="94" t="s">
        <v>96</v>
      </c>
      <c r="D35" s="292">
        <v>0</v>
      </c>
      <c r="E35" s="292">
        <v>0</v>
      </c>
      <c r="F35" s="292">
        <v>0</v>
      </c>
      <c r="G35" s="292">
        <v>0</v>
      </c>
      <c r="H35" s="292">
        <v>0</v>
      </c>
      <c r="I35" s="292">
        <v>0</v>
      </c>
      <c r="J35" s="292">
        <v>0</v>
      </c>
      <c r="K35" s="292">
        <v>0</v>
      </c>
      <c r="L35" s="292">
        <v>0</v>
      </c>
      <c r="M35" s="292">
        <v>0</v>
      </c>
      <c r="N35" s="292">
        <v>0</v>
      </c>
      <c r="O35" s="292">
        <v>0</v>
      </c>
      <c r="P35" s="292">
        <v>0</v>
      </c>
      <c r="Q35" s="292">
        <v>0</v>
      </c>
      <c r="R35" s="292">
        <v>0</v>
      </c>
      <c r="S35" s="292">
        <v>0</v>
      </c>
      <c r="T35" s="292">
        <v>0</v>
      </c>
      <c r="U35" s="292">
        <v>0</v>
      </c>
      <c r="V35" s="94">
        <v>0</v>
      </c>
      <c r="W35" s="94">
        <v>0</v>
      </c>
      <c r="X35" s="2">
        <v>0</v>
      </c>
      <c r="Y35" s="2">
        <v>0</v>
      </c>
      <c r="Z35" s="2">
        <v>0</v>
      </c>
      <c r="AA35" s="2">
        <v>0</v>
      </c>
    </row>
    <row r="36" spans="1:27" s="2" customFormat="1" ht="17.25" customHeight="1">
      <c r="A36" s="94" t="s">
        <v>97</v>
      </c>
      <c r="B36" s="95" t="s">
        <v>98</v>
      </c>
      <c r="C36" s="94" t="s">
        <v>99</v>
      </c>
      <c r="D36" s="292">
        <v>10.77</v>
      </c>
      <c r="E36" s="292">
        <v>0</v>
      </c>
      <c r="F36" s="292">
        <v>0</v>
      </c>
      <c r="G36" s="292">
        <v>0</v>
      </c>
      <c r="H36" s="292">
        <v>0</v>
      </c>
      <c r="I36" s="292">
        <v>0</v>
      </c>
      <c r="J36" s="292">
        <v>2.3199999999999998</v>
      </c>
      <c r="K36" s="292">
        <v>0.71</v>
      </c>
      <c r="L36" s="292">
        <v>0</v>
      </c>
      <c r="M36" s="292">
        <v>0</v>
      </c>
      <c r="N36" s="292">
        <v>4.66</v>
      </c>
      <c r="O36" s="292">
        <v>0.4</v>
      </c>
      <c r="P36" s="292">
        <v>0.54</v>
      </c>
      <c r="Q36" s="292">
        <v>0</v>
      </c>
      <c r="R36" s="292">
        <v>0</v>
      </c>
      <c r="S36" s="292">
        <v>0</v>
      </c>
      <c r="T36" s="292">
        <v>2</v>
      </c>
      <c r="U36" s="292">
        <v>0.14000000000000001</v>
      </c>
      <c r="V36" s="94">
        <v>0</v>
      </c>
      <c r="W36" s="94">
        <v>0</v>
      </c>
      <c r="X36" s="2">
        <v>8.09</v>
      </c>
      <c r="Y36" s="2">
        <v>5.4261434138423673E-2</v>
      </c>
      <c r="Z36" s="2">
        <v>3.5680150804128563E-2</v>
      </c>
      <c r="AA36" s="2">
        <v>0.13653218394447436</v>
      </c>
    </row>
    <row r="37" spans="1:27" s="2" customFormat="1" ht="28.5" customHeight="1">
      <c r="A37" s="94" t="s">
        <v>100</v>
      </c>
      <c r="B37" s="95" t="s">
        <v>134</v>
      </c>
      <c r="C37" s="94" t="s">
        <v>101</v>
      </c>
      <c r="D37" s="292">
        <v>239.16000000000003</v>
      </c>
      <c r="E37" s="292">
        <v>3.54</v>
      </c>
      <c r="F37" s="292">
        <v>0</v>
      </c>
      <c r="G37" s="292">
        <v>16.78</v>
      </c>
      <c r="H37" s="292">
        <v>27.25</v>
      </c>
      <c r="I37" s="292">
        <v>10.59</v>
      </c>
      <c r="J37" s="292">
        <v>31</v>
      </c>
      <c r="K37" s="292">
        <v>19</v>
      </c>
      <c r="L37" s="292">
        <v>0.52</v>
      </c>
      <c r="M37" s="292">
        <v>16.600000000000001</v>
      </c>
      <c r="N37" s="292">
        <v>27.41</v>
      </c>
      <c r="O37" s="292">
        <v>0</v>
      </c>
      <c r="P37" s="292">
        <v>8.11</v>
      </c>
      <c r="Q37" s="292">
        <v>0</v>
      </c>
      <c r="R37" s="292">
        <v>0</v>
      </c>
      <c r="S37" s="292">
        <v>8.58</v>
      </c>
      <c r="T37" s="292">
        <v>34.43</v>
      </c>
      <c r="U37" s="292">
        <v>35.35</v>
      </c>
      <c r="V37" s="94">
        <v>0</v>
      </c>
      <c r="W37" s="94">
        <v>0</v>
      </c>
      <c r="X37" s="2">
        <v>152.69</v>
      </c>
      <c r="Y37" s="2">
        <v>1.0241258811614229</v>
      </c>
      <c r="Z37" s="2">
        <v>0.79231800058638702</v>
      </c>
      <c r="AA37" s="2">
        <v>3.0318511710455427</v>
      </c>
    </row>
    <row r="38" spans="1:27" s="2" customFormat="1" ht="17.25" customHeight="1">
      <c r="A38" s="94" t="s">
        <v>102</v>
      </c>
      <c r="B38" s="95" t="s">
        <v>103</v>
      </c>
      <c r="C38" s="94" t="s">
        <v>104</v>
      </c>
      <c r="D38" s="292">
        <v>18.010399999999997</v>
      </c>
      <c r="E38" s="292">
        <v>0</v>
      </c>
      <c r="F38" s="292">
        <v>0</v>
      </c>
      <c r="G38" s="292">
        <v>0.36</v>
      </c>
      <c r="H38" s="292">
        <v>0</v>
      </c>
      <c r="I38" s="292">
        <v>5.8895</v>
      </c>
      <c r="J38" s="292">
        <v>2.3199999999999998</v>
      </c>
      <c r="K38" s="292">
        <v>0</v>
      </c>
      <c r="L38" s="292">
        <v>0</v>
      </c>
      <c r="M38" s="292">
        <v>0</v>
      </c>
      <c r="N38" s="292">
        <v>8.2899999999999991</v>
      </c>
      <c r="O38" s="292">
        <v>0</v>
      </c>
      <c r="P38" s="292">
        <v>1.0208999999999999</v>
      </c>
      <c r="Q38" s="292">
        <v>0</v>
      </c>
      <c r="R38" s="292">
        <v>0</v>
      </c>
      <c r="S38" s="292">
        <v>0</v>
      </c>
      <c r="T38" s="292">
        <v>0.04</v>
      </c>
      <c r="U38" s="292">
        <v>0.09</v>
      </c>
      <c r="V38" s="94">
        <v>0</v>
      </c>
      <c r="W38" s="94">
        <v>0</v>
      </c>
      <c r="X38" s="2">
        <v>16.859499999999997</v>
      </c>
      <c r="Y38" s="2">
        <v>0.11308042631109441</v>
      </c>
      <c r="Z38" s="2">
        <v>5.9667018388363691E-2</v>
      </c>
      <c r="AA38" s="2">
        <v>0.22831933572085061</v>
      </c>
    </row>
    <row r="39" spans="1:27" s="2" customFormat="1" ht="15.75" customHeight="1">
      <c r="A39" s="94" t="s">
        <v>105</v>
      </c>
      <c r="B39" s="95" t="s">
        <v>106</v>
      </c>
      <c r="C39" s="94" t="s">
        <v>107</v>
      </c>
      <c r="D39" s="292">
        <v>12.949599999999998</v>
      </c>
      <c r="E39" s="292">
        <v>0.47</v>
      </c>
      <c r="F39" s="292">
        <v>0.62</v>
      </c>
      <c r="G39" s="292">
        <v>0.37</v>
      </c>
      <c r="H39" s="292">
        <v>0.5</v>
      </c>
      <c r="I39" s="292">
        <v>1.6</v>
      </c>
      <c r="J39" s="292">
        <v>1.1499999999999999</v>
      </c>
      <c r="K39" s="292">
        <v>0.57999999999999996</v>
      </c>
      <c r="L39" s="292">
        <v>0.34</v>
      </c>
      <c r="M39" s="292">
        <v>0.62</v>
      </c>
      <c r="N39" s="292">
        <v>1.5196000000000001</v>
      </c>
      <c r="O39" s="292">
        <v>0.62</v>
      </c>
      <c r="P39" s="292">
        <v>1.0900000000000001</v>
      </c>
      <c r="Q39" s="292">
        <v>0.28000000000000003</v>
      </c>
      <c r="R39" s="292">
        <v>0.45</v>
      </c>
      <c r="S39" s="292">
        <v>2.2999999999999998</v>
      </c>
      <c r="T39" s="292">
        <v>0.44</v>
      </c>
      <c r="U39" s="292">
        <v>0</v>
      </c>
      <c r="V39" s="94">
        <v>0</v>
      </c>
      <c r="W39" s="94">
        <v>0</v>
      </c>
      <c r="X39" s="2">
        <v>8.3895999999999997</v>
      </c>
      <c r="Y39" s="2">
        <v>5.6270918151757623E-2</v>
      </c>
      <c r="Z39" s="2">
        <v>4.290099172266882E-2</v>
      </c>
      <c r="AA39" s="2">
        <v>0.16416315405825119</v>
      </c>
    </row>
    <row r="40" spans="1:27" s="2" customFormat="1" ht="15.75" customHeight="1">
      <c r="A40" s="94" t="s">
        <v>108</v>
      </c>
      <c r="B40" s="95" t="s">
        <v>109</v>
      </c>
      <c r="C40" s="94" t="s">
        <v>110</v>
      </c>
      <c r="D40" s="292">
        <v>12.29</v>
      </c>
      <c r="E40" s="292">
        <v>0</v>
      </c>
      <c r="F40" s="292">
        <v>0.08</v>
      </c>
      <c r="G40" s="292">
        <v>0.34</v>
      </c>
      <c r="H40" s="292">
        <v>0</v>
      </c>
      <c r="I40" s="292">
        <v>0</v>
      </c>
      <c r="J40" s="292">
        <v>1.71</v>
      </c>
      <c r="K40" s="292">
        <v>0</v>
      </c>
      <c r="L40" s="292">
        <v>0.19</v>
      </c>
      <c r="M40" s="292">
        <v>0</v>
      </c>
      <c r="N40" s="292">
        <v>1.27</v>
      </c>
      <c r="O40" s="292">
        <v>0.47</v>
      </c>
      <c r="P40" s="292">
        <v>2.02</v>
      </c>
      <c r="Q40" s="292">
        <v>5.46</v>
      </c>
      <c r="R40" s="292">
        <v>0.53</v>
      </c>
      <c r="S40" s="292">
        <v>0</v>
      </c>
      <c r="T40" s="292">
        <v>0</v>
      </c>
      <c r="U40" s="292">
        <v>0.22</v>
      </c>
      <c r="V40" s="94">
        <v>0</v>
      </c>
      <c r="W40" s="94">
        <v>0</v>
      </c>
      <c r="X40" s="2">
        <v>4.0599999999999996</v>
      </c>
      <c r="Y40" s="2">
        <v>2.7231325414338699E-2</v>
      </c>
      <c r="Z40" s="2">
        <v>4.0715789543429901E-2</v>
      </c>
      <c r="AA40" s="2">
        <v>0.15580135010933985</v>
      </c>
    </row>
    <row r="41" spans="1:27" s="2" customFormat="1" ht="15.75" customHeight="1">
      <c r="A41" s="94" t="s">
        <v>111</v>
      </c>
      <c r="B41" s="95" t="s">
        <v>112</v>
      </c>
      <c r="C41" s="94" t="s">
        <v>113</v>
      </c>
      <c r="D41" s="292">
        <v>10.530000000000003</v>
      </c>
      <c r="E41" s="292">
        <v>0</v>
      </c>
      <c r="F41" s="292">
        <v>0</v>
      </c>
      <c r="G41" s="292">
        <v>0.56999999999999995</v>
      </c>
      <c r="H41" s="292">
        <v>0.7</v>
      </c>
      <c r="I41" s="292">
        <v>0.66</v>
      </c>
      <c r="J41" s="292">
        <v>1.77</v>
      </c>
      <c r="K41" s="292">
        <v>1.53</v>
      </c>
      <c r="L41" s="292">
        <v>0.08</v>
      </c>
      <c r="M41" s="292">
        <v>0.57999999999999996</v>
      </c>
      <c r="N41" s="292">
        <v>0.41</v>
      </c>
      <c r="O41" s="292">
        <v>1.23</v>
      </c>
      <c r="P41" s="292">
        <v>0.16</v>
      </c>
      <c r="Q41" s="292">
        <v>0.01</v>
      </c>
      <c r="R41" s="292">
        <v>0</v>
      </c>
      <c r="S41" s="292">
        <v>0.54</v>
      </c>
      <c r="T41" s="292">
        <v>1.65</v>
      </c>
      <c r="U41" s="292">
        <v>0.64</v>
      </c>
      <c r="V41" s="94">
        <v>0</v>
      </c>
      <c r="W41" s="94">
        <v>0</v>
      </c>
      <c r="X41" s="2">
        <v>7.5300000000000011</v>
      </c>
      <c r="Y41" s="2">
        <v>5.0505389253687305E-2</v>
      </c>
      <c r="Z41" s="2">
        <v>3.4885049950554678E-2</v>
      </c>
      <c r="AA41" s="2">
        <v>0.1334896840237062</v>
      </c>
    </row>
    <row r="42" spans="1:27" s="2" customFormat="1" ht="15.75" customHeight="1">
      <c r="A42" s="94" t="s">
        <v>114</v>
      </c>
      <c r="B42" s="95" t="s">
        <v>115</v>
      </c>
      <c r="C42" s="94" t="s">
        <v>116</v>
      </c>
      <c r="D42" s="292">
        <v>2540.5800000000004</v>
      </c>
      <c r="E42" s="292">
        <v>106</v>
      </c>
      <c r="F42" s="292">
        <v>66.81</v>
      </c>
      <c r="G42" s="292">
        <v>614.94000000000005</v>
      </c>
      <c r="H42" s="292">
        <v>70.38</v>
      </c>
      <c r="I42" s="292">
        <v>253.2</v>
      </c>
      <c r="J42" s="292">
        <v>161.99</v>
      </c>
      <c r="K42" s="292">
        <v>97.99</v>
      </c>
      <c r="L42" s="292">
        <v>82.93</v>
      </c>
      <c r="M42" s="292">
        <v>0</v>
      </c>
      <c r="N42" s="292">
        <v>37.96</v>
      </c>
      <c r="O42" s="292">
        <v>23.46</v>
      </c>
      <c r="P42" s="292">
        <v>92</v>
      </c>
      <c r="Q42" s="292">
        <v>9.67</v>
      </c>
      <c r="R42" s="292">
        <v>8.2200000000000006</v>
      </c>
      <c r="S42" s="292">
        <v>689.36</v>
      </c>
      <c r="T42" s="292">
        <v>129.85</v>
      </c>
      <c r="U42" s="292">
        <v>95.82</v>
      </c>
      <c r="V42" s="94">
        <v>0</v>
      </c>
      <c r="W42" s="94">
        <v>0</v>
      </c>
      <c r="X42" s="2">
        <v>1515.66</v>
      </c>
      <c r="Y42" s="2">
        <v>10.165869624999162</v>
      </c>
      <c r="Z42" s="2">
        <v>8.4167388607198657</v>
      </c>
      <c r="AA42" s="2">
        <v>32.207143536272312</v>
      </c>
    </row>
    <row r="43" spans="1:27" s="2" customFormat="1" ht="15.75" customHeight="1">
      <c r="A43" s="94" t="s">
        <v>117</v>
      </c>
      <c r="B43" s="95" t="s">
        <v>118</v>
      </c>
      <c r="C43" s="94" t="s">
        <v>119</v>
      </c>
      <c r="D43" s="292">
        <v>1115.8399999999999</v>
      </c>
      <c r="E43" s="292">
        <v>355.57</v>
      </c>
      <c r="F43" s="292">
        <v>358.67</v>
      </c>
      <c r="G43" s="292">
        <v>0</v>
      </c>
      <c r="H43" s="292">
        <v>153.84</v>
      </c>
      <c r="I43" s="292">
        <v>33.799999999999997</v>
      </c>
      <c r="J43" s="292">
        <v>0</v>
      </c>
      <c r="K43" s="292">
        <v>59.43</v>
      </c>
      <c r="L43" s="292">
        <v>27.11</v>
      </c>
      <c r="M43" s="292">
        <v>50.14</v>
      </c>
      <c r="N43" s="292">
        <v>63.07</v>
      </c>
      <c r="O43" s="292">
        <v>0</v>
      </c>
      <c r="P43" s="292">
        <v>14.21</v>
      </c>
      <c r="Q43" s="292">
        <v>0</v>
      </c>
      <c r="R43" s="292">
        <v>0</v>
      </c>
      <c r="S43" s="292">
        <v>0</v>
      </c>
      <c r="T43" s="292">
        <v>0</v>
      </c>
      <c r="U43" s="292">
        <v>0</v>
      </c>
      <c r="V43" s="94">
        <v>0</v>
      </c>
      <c r="W43" s="94">
        <v>0</v>
      </c>
      <c r="X43" s="2">
        <v>1101.6299999999999</v>
      </c>
      <c r="Y43" s="2">
        <v>7.3888780828073752</v>
      </c>
      <c r="Z43" s="2">
        <v>3.6966889018828981</v>
      </c>
      <c r="AA43" s="2">
        <v>14.145596298291762</v>
      </c>
    </row>
    <row r="44" spans="1:27" s="2" customFormat="1" ht="15.75" customHeight="1">
      <c r="A44" s="94" t="s">
        <v>120</v>
      </c>
      <c r="B44" s="95" t="s">
        <v>121</v>
      </c>
      <c r="C44" s="94" t="s">
        <v>122</v>
      </c>
      <c r="D44" s="292">
        <v>2.09</v>
      </c>
      <c r="E44" s="292">
        <v>0</v>
      </c>
      <c r="F44" s="292">
        <v>0</v>
      </c>
      <c r="G44" s="292">
        <v>0</v>
      </c>
      <c r="H44" s="292">
        <v>0</v>
      </c>
      <c r="I44" s="292">
        <v>0</v>
      </c>
      <c r="J44" s="292">
        <v>0.59</v>
      </c>
      <c r="K44" s="292">
        <v>1.5</v>
      </c>
      <c r="L44" s="292">
        <v>0</v>
      </c>
      <c r="M44" s="292">
        <v>0</v>
      </c>
      <c r="N44" s="292">
        <v>0</v>
      </c>
      <c r="O44" s="292">
        <v>0</v>
      </c>
      <c r="P44" s="292">
        <v>0</v>
      </c>
      <c r="Q44" s="292">
        <v>0</v>
      </c>
      <c r="R44" s="292">
        <v>0</v>
      </c>
      <c r="S44" s="292">
        <v>0</v>
      </c>
      <c r="T44" s="292">
        <v>0</v>
      </c>
      <c r="U44" s="292">
        <v>0</v>
      </c>
      <c r="V44" s="94">
        <v>0</v>
      </c>
      <c r="W44" s="94">
        <v>0</v>
      </c>
      <c r="X44" s="2">
        <v>2.09</v>
      </c>
      <c r="Y44" s="2">
        <v>1.4018096087676818E-2</v>
      </c>
      <c r="Z44" s="2">
        <v>6.9240032665393398E-3</v>
      </c>
      <c r="AA44" s="2">
        <v>2.6495103476690013E-2</v>
      </c>
    </row>
    <row r="45" spans="1:27" s="67" customFormat="1" ht="15.75" customHeight="1">
      <c r="A45" s="92">
        <v>3</v>
      </c>
      <c r="B45" s="93" t="s">
        <v>123</v>
      </c>
      <c r="C45" s="92" t="s">
        <v>124</v>
      </c>
      <c r="D45" s="291">
        <v>5792.3916399999998</v>
      </c>
      <c r="E45" s="291">
        <v>78.92</v>
      </c>
      <c r="F45" s="291">
        <v>75.067039999999992</v>
      </c>
      <c r="G45" s="291">
        <v>65.17</v>
      </c>
      <c r="H45" s="291">
        <v>562.77</v>
      </c>
      <c r="I45" s="291">
        <v>438.03</v>
      </c>
      <c r="J45" s="291">
        <v>29.27</v>
      </c>
      <c r="K45" s="291">
        <v>2853.93</v>
      </c>
      <c r="L45" s="291">
        <v>696.01</v>
      </c>
      <c r="M45" s="291">
        <v>297.42999999999995</v>
      </c>
      <c r="N45" s="291">
        <v>202.63149999999999</v>
      </c>
      <c r="O45" s="291">
        <v>2.75</v>
      </c>
      <c r="P45" s="291">
        <v>42.9131</v>
      </c>
      <c r="Q45" s="291">
        <v>0.62</v>
      </c>
      <c r="R45" s="291">
        <v>0.65</v>
      </c>
      <c r="S45" s="291">
        <v>269.12</v>
      </c>
      <c r="T45" s="291">
        <v>146.24</v>
      </c>
      <c r="U45" s="291">
        <v>30.87</v>
      </c>
      <c r="V45" s="92">
        <v>0</v>
      </c>
      <c r="W45" s="92">
        <v>0</v>
      </c>
      <c r="X45" s="67">
        <v>5301.978540000001</v>
      </c>
      <c r="Y45" s="67">
        <v>35.56155245383755</v>
      </c>
      <c r="Z45" s="67">
        <v>19.189731404992902</v>
      </c>
    </row>
    <row r="46" spans="1:27" s="67" customFormat="1" ht="15.75" customHeight="1">
      <c r="A46" s="92">
        <v>4</v>
      </c>
      <c r="B46" s="93" t="s">
        <v>125</v>
      </c>
      <c r="C46" s="92" t="s">
        <v>126</v>
      </c>
      <c r="D46" s="291">
        <v>0</v>
      </c>
      <c r="E46" s="291"/>
      <c r="F46" s="291"/>
      <c r="G46" s="291"/>
      <c r="H46" s="291"/>
      <c r="I46" s="291"/>
      <c r="J46" s="291"/>
      <c r="K46" s="291"/>
      <c r="L46" s="291"/>
      <c r="M46" s="291"/>
      <c r="N46" s="291"/>
      <c r="O46" s="291"/>
      <c r="P46" s="291"/>
      <c r="Q46" s="291"/>
      <c r="R46" s="291"/>
      <c r="S46" s="291"/>
      <c r="T46" s="291"/>
      <c r="U46" s="291"/>
      <c r="V46" s="92"/>
      <c r="W46" s="92"/>
      <c r="X46" s="67">
        <v>0</v>
      </c>
      <c r="Y46" s="67">
        <v>0</v>
      </c>
      <c r="Z46" s="67">
        <v>0</v>
      </c>
    </row>
    <row r="47" spans="1:27" s="67" customFormat="1" ht="15.75" customHeight="1">
      <c r="A47" s="92">
        <v>5</v>
      </c>
      <c r="B47" s="93" t="s">
        <v>127</v>
      </c>
      <c r="C47" s="92" t="s">
        <v>128</v>
      </c>
      <c r="D47" s="291">
        <v>0</v>
      </c>
      <c r="E47" s="291"/>
      <c r="F47" s="291"/>
      <c r="G47" s="291"/>
      <c r="H47" s="291"/>
      <c r="I47" s="291"/>
      <c r="J47" s="291"/>
      <c r="K47" s="291"/>
      <c r="L47" s="291"/>
      <c r="M47" s="291"/>
      <c r="N47" s="291"/>
      <c r="O47" s="291"/>
      <c r="P47" s="291"/>
      <c r="Q47" s="291"/>
      <c r="R47" s="291"/>
      <c r="S47" s="291"/>
      <c r="T47" s="291"/>
      <c r="U47" s="291"/>
      <c r="V47" s="92"/>
      <c r="W47" s="92"/>
      <c r="X47" s="67">
        <v>0</v>
      </c>
      <c r="Y47" s="67">
        <v>0</v>
      </c>
      <c r="Z47" s="67">
        <v>0</v>
      </c>
    </row>
    <row r="48" spans="1:27" s="67" customFormat="1" ht="15.75" customHeight="1">
      <c r="A48" s="96">
        <v>6</v>
      </c>
      <c r="B48" s="97" t="s">
        <v>129</v>
      </c>
      <c r="C48" s="96" t="s">
        <v>130</v>
      </c>
      <c r="D48" s="96">
        <v>44199.238400000002</v>
      </c>
      <c r="E48" s="96">
        <v>5030.5495000000001</v>
      </c>
      <c r="F48" s="96">
        <v>8173.0599999999995</v>
      </c>
      <c r="G48" s="96">
        <v>5874.6894999999995</v>
      </c>
      <c r="H48" s="96">
        <v>4425.3449999999993</v>
      </c>
      <c r="I48" s="96">
        <v>3442.5194999999994</v>
      </c>
      <c r="J48" s="96">
        <v>1623.425</v>
      </c>
      <c r="K48" s="96">
        <v>5982.15</v>
      </c>
      <c r="L48" s="96">
        <v>2790.9594999999999</v>
      </c>
      <c r="M48" s="96">
        <v>2120.3599999999997</v>
      </c>
      <c r="N48" s="96">
        <v>4577.5753999999997</v>
      </c>
      <c r="O48" s="96">
        <v>158.60500000000002</v>
      </c>
      <c r="P48" s="96"/>
      <c r="Q48" s="96"/>
      <c r="R48" s="96"/>
      <c r="S48" s="96"/>
      <c r="T48" s="96"/>
      <c r="U48" s="96"/>
      <c r="V48" s="96"/>
      <c r="W48" s="96"/>
      <c r="X48" s="67">
        <v>44199.238400000002</v>
      </c>
      <c r="Y48" s="67">
        <v>296.45414875279192</v>
      </c>
      <c r="Z48" s="67">
        <v>146.42855074648375</v>
      </c>
    </row>
    <row r="49" spans="2:26" ht="18.75" customHeight="1">
      <c r="B49" s="332" t="s">
        <v>404</v>
      </c>
      <c r="Z49">
        <v>152.92742968740941</v>
      </c>
    </row>
  </sheetData>
  <mergeCells count="8">
    <mergeCell ref="A1:B1"/>
    <mergeCell ref="A2:W2"/>
    <mergeCell ref="A3:W3"/>
    <mergeCell ref="A4:A5"/>
    <mergeCell ref="B4:B5"/>
    <mergeCell ref="C4:C5"/>
    <mergeCell ref="D4:D5"/>
    <mergeCell ref="E4:W4"/>
  </mergeCells>
  <phoneticPr fontId="4" type="noConversion"/>
  <pageMargins left="0.25" right="0.1" top="0.25" bottom="0.25" header="0.5" footer="0.5"/>
  <pageSetup paperSize="9" scale="63" orientation="landscape" r:id="rId1"/>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4"/>
  <dimension ref="A1:G51"/>
  <sheetViews>
    <sheetView topLeftCell="B1" workbookViewId="0">
      <selection activeCell="E7" sqref="E7"/>
    </sheetView>
  </sheetViews>
  <sheetFormatPr defaultRowHeight="12.75"/>
  <cols>
    <col min="1" max="1" width="6.7109375" customWidth="1"/>
    <col min="2" max="2" width="25.7109375" customWidth="1"/>
    <col min="3" max="3" width="14.28515625" customWidth="1"/>
    <col min="4" max="4" width="9.5703125" bestFit="1" customWidth="1"/>
    <col min="5" max="6" width="9.28515625" bestFit="1" customWidth="1"/>
    <col min="7" max="7" width="9.7109375" bestFit="1" customWidth="1"/>
  </cols>
  <sheetData>
    <row r="1" spans="1:7" ht="19.5" customHeight="1"/>
    <row r="2" spans="1:7" ht="16.5" customHeight="1"/>
    <row r="3" spans="1:7" ht="33" customHeight="1">
      <c r="A3" s="1428" t="s">
        <v>0</v>
      </c>
      <c r="B3" s="1429" t="s">
        <v>369</v>
      </c>
      <c r="C3" s="314" t="s">
        <v>527</v>
      </c>
      <c r="D3" s="314" t="s">
        <v>529</v>
      </c>
      <c r="E3" s="314" t="s">
        <v>531</v>
      </c>
      <c r="F3" s="1430" t="s">
        <v>533</v>
      </c>
      <c r="G3" s="1431" t="s">
        <v>544</v>
      </c>
    </row>
    <row r="4" spans="1:7" ht="16.5" customHeight="1">
      <c r="A4" s="1428"/>
      <c r="B4" s="1429"/>
      <c r="C4" s="314" t="s">
        <v>528</v>
      </c>
      <c r="D4" s="314" t="s">
        <v>530</v>
      </c>
      <c r="E4" s="314" t="s">
        <v>532</v>
      </c>
      <c r="F4" s="1430"/>
      <c r="G4" s="1431"/>
    </row>
    <row r="5" spans="1:7" ht="16.5" customHeight="1">
      <c r="A5" s="311"/>
      <c r="B5" s="319" t="s">
        <v>543</v>
      </c>
      <c r="C5" s="315">
        <v>301.83999999999997</v>
      </c>
      <c r="D5" s="323">
        <f>D6+D18</f>
        <v>137908</v>
      </c>
      <c r="E5" s="323">
        <f t="shared" ref="E5:F5" si="0">E6+E18</f>
        <v>37700</v>
      </c>
      <c r="F5" s="323">
        <f t="shared" si="0"/>
        <v>80600</v>
      </c>
      <c r="G5" s="323">
        <f>D5/C5</f>
        <v>456.89106811555797</v>
      </c>
    </row>
    <row r="6" spans="1:7" ht="16.5" customHeight="1">
      <c r="A6" s="312" t="s">
        <v>327</v>
      </c>
      <c r="B6" s="315" t="s">
        <v>534</v>
      </c>
      <c r="C6" s="315">
        <v>149.08000000000001</v>
      </c>
      <c r="D6" s="323">
        <f>SUM(D7:D17)</f>
        <v>82225</v>
      </c>
      <c r="E6" s="323">
        <f t="shared" ref="E6:F6" si="1">SUM(E7:E17)</f>
        <v>22591</v>
      </c>
      <c r="F6" s="323">
        <f t="shared" si="1"/>
        <v>48823</v>
      </c>
      <c r="G6" s="323">
        <f t="shared" ref="G6:G26" si="2">D6/C6</f>
        <v>551.54950362221621</v>
      </c>
    </row>
    <row r="7" spans="1:7" ht="16.5" customHeight="1">
      <c r="A7" s="316">
        <v>1</v>
      </c>
      <c r="B7" s="320" t="s">
        <v>376</v>
      </c>
      <c r="C7" s="317">
        <v>5.49</v>
      </c>
      <c r="D7" s="324">
        <v>15669</v>
      </c>
      <c r="E7" s="324">
        <v>4342</v>
      </c>
      <c r="F7" s="324">
        <v>8844</v>
      </c>
      <c r="G7" s="324">
        <f t="shared" si="2"/>
        <v>2854.0983606557375</v>
      </c>
    </row>
    <row r="8" spans="1:7" ht="16.5" customHeight="1">
      <c r="A8" s="316">
        <v>2</v>
      </c>
      <c r="B8" s="321" t="s">
        <v>535</v>
      </c>
      <c r="C8" s="317">
        <v>16.77</v>
      </c>
      <c r="D8" s="324">
        <v>7087</v>
      </c>
      <c r="E8" s="324">
        <v>2106</v>
      </c>
      <c r="F8" s="324">
        <v>3891</v>
      </c>
      <c r="G8" s="324">
        <f t="shared" si="2"/>
        <v>422.59988073941565</v>
      </c>
    </row>
    <row r="9" spans="1:7" ht="16.5" customHeight="1">
      <c r="A9" s="316">
        <v>3</v>
      </c>
      <c r="B9" s="321" t="s">
        <v>536</v>
      </c>
      <c r="C9" s="317">
        <v>33.72</v>
      </c>
      <c r="D9" s="324">
        <v>11810</v>
      </c>
      <c r="E9" s="324">
        <v>2920</v>
      </c>
      <c r="F9" s="324">
        <v>6822</v>
      </c>
      <c r="G9" s="324">
        <f t="shared" si="2"/>
        <v>350.23724792408069</v>
      </c>
    </row>
    <row r="10" spans="1:7" ht="16.5" customHeight="1">
      <c r="A10" s="316">
        <v>4</v>
      </c>
      <c r="B10" s="321" t="s">
        <v>537</v>
      </c>
      <c r="C10" s="317">
        <v>7.53</v>
      </c>
      <c r="D10" s="324">
        <v>6598</v>
      </c>
      <c r="E10" s="324">
        <v>1927</v>
      </c>
      <c r="F10" s="324">
        <v>4610</v>
      </c>
      <c r="G10" s="324">
        <f t="shared" si="2"/>
        <v>876.22841965471446</v>
      </c>
    </row>
    <row r="11" spans="1:7" ht="16.5" customHeight="1">
      <c r="A11" s="316">
        <v>5</v>
      </c>
      <c r="B11" s="321" t="s">
        <v>538</v>
      </c>
      <c r="C11" s="317">
        <v>14.49</v>
      </c>
      <c r="D11" s="324">
        <v>5057</v>
      </c>
      <c r="E11" s="324">
        <v>1319</v>
      </c>
      <c r="F11" s="324">
        <v>2790</v>
      </c>
      <c r="G11" s="324">
        <f t="shared" si="2"/>
        <v>348.99930986887506</v>
      </c>
    </row>
    <row r="12" spans="1:7" ht="21.75" customHeight="1">
      <c r="A12" s="313">
        <v>6</v>
      </c>
      <c r="B12" s="321" t="s">
        <v>539</v>
      </c>
      <c r="C12" s="318">
        <v>3.71</v>
      </c>
      <c r="D12" s="324">
        <v>2866</v>
      </c>
      <c r="E12" s="324">
        <v>916</v>
      </c>
      <c r="F12" s="324">
        <v>1767</v>
      </c>
      <c r="G12" s="324">
        <f t="shared" si="2"/>
        <v>772.50673854447439</v>
      </c>
    </row>
    <row r="13" spans="1:7" ht="18" customHeight="1">
      <c r="A13" s="316">
        <v>7</v>
      </c>
      <c r="B13" s="320" t="s">
        <v>383</v>
      </c>
      <c r="C13" s="317">
        <v>9.2799999999999994</v>
      </c>
      <c r="D13" s="324">
        <v>5331</v>
      </c>
      <c r="E13" s="324">
        <v>1476</v>
      </c>
      <c r="F13" s="324">
        <v>3142</v>
      </c>
      <c r="G13" s="324">
        <f t="shared" si="2"/>
        <v>574.46120689655174</v>
      </c>
    </row>
    <row r="14" spans="1:7" ht="18" customHeight="1">
      <c r="A14" s="313">
        <v>8</v>
      </c>
      <c r="B14" s="321" t="s">
        <v>381</v>
      </c>
      <c r="C14" s="318">
        <v>24.31</v>
      </c>
      <c r="D14" s="324">
        <v>8108</v>
      </c>
      <c r="E14" s="324">
        <v>2280</v>
      </c>
      <c r="F14" s="324">
        <v>5227</v>
      </c>
      <c r="G14" s="324">
        <f t="shared" si="2"/>
        <v>333.52529823118061</v>
      </c>
    </row>
    <row r="15" spans="1:7" ht="18" customHeight="1">
      <c r="A15" s="313">
        <v>9</v>
      </c>
      <c r="B15" s="321" t="s">
        <v>386</v>
      </c>
      <c r="C15" s="318">
        <v>5.99</v>
      </c>
      <c r="D15" s="324">
        <v>8199</v>
      </c>
      <c r="E15" s="324">
        <v>2082</v>
      </c>
      <c r="F15" s="324">
        <v>4477</v>
      </c>
      <c r="G15" s="324">
        <f t="shared" si="2"/>
        <v>1368.7813021702837</v>
      </c>
    </row>
    <row r="16" spans="1:7" ht="18" customHeight="1">
      <c r="A16" s="313">
        <v>10</v>
      </c>
      <c r="B16" s="321" t="s">
        <v>384</v>
      </c>
      <c r="C16" s="318">
        <v>14.69</v>
      </c>
      <c r="D16" s="324">
        <v>5377</v>
      </c>
      <c r="E16" s="324">
        <v>1519</v>
      </c>
      <c r="F16" s="324">
        <v>3322</v>
      </c>
      <c r="G16" s="324">
        <f t="shared" si="2"/>
        <v>366.03131381892445</v>
      </c>
    </row>
    <row r="17" spans="1:7" ht="18" customHeight="1">
      <c r="A17" s="313">
        <v>11</v>
      </c>
      <c r="B17" s="321" t="s">
        <v>385</v>
      </c>
      <c r="C17" s="318">
        <v>13.11</v>
      </c>
      <c r="D17" s="324">
        <v>6123</v>
      </c>
      <c r="E17" s="324">
        <v>1704</v>
      </c>
      <c r="F17" s="324">
        <v>3931</v>
      </c>
      <c r="G17" s="324">
        <f t="shared" si="2"/>
        <v>467.04805491990851</v>
      </c>
    </row>
    <row r="18" spans="1:7" ht="18" customHeight="1">
      <c r="A18" s="312"/>
      <c r="B18" s="315" t="s">
        <v>540</v>
      </c>
      <c r="C18" s="315">
        <v>152.76</v>
      </c>
      <c r="D18" s="323">
        <f>SUM(D19:D26)</f>
        <v>55683</v>
      </c>
      <c r="E18" s="323">
        <f t="shared" ref="E18:F18" si="3">SUM(E19:E26)</f>
        <v>15109</v>
      </c>
      <c r="F18" s="323">
        <f t="shared" si="3"/>
        <v>31777</v>
      </c>
      <c r="G18" s="323">
        <f t="shared" si="2"/>
        <v>364.51296150824828</v>
      </c>
    </row>
    <row r="19" spans="1:7" ht="16.5" customHeight="1">
      <c r="A19" s="313">
        <v>12</v>
      </c>
      <c r="B19" s="321" t="s">
        <v>387</v>
      </c>
      <c r="C19" s="318">
        <v>18.489999999999998</v>
      </c>
      <c r="D19" s="324">
        <v>10460</v>
      </c>
      <c r="E19" s="324">
        <v>2786</v>
      </c>
      <c r="F19" s="324">
        <v>5551</v>
      </c>
      <c r="G19" s="324">
        <f t="shared" si="2"/>
        <v>565.71119524067069</v>
      </c>
    </row>
    <row r="20" spans="1:7" ht="16.5" customHeight="1">
      <c r="A20" s="313">
        <v>13</v>
      </c>
      <c r="B20" s="321" t="s">
        <v>541</v>
      </c>
      <c r="C20" s="318">
        <v>9.7799999999999994</v>
      </c>
      <c r="D20" s="324">
        <v>9026</v>
      </c>
      <c r="E20" s="324">
        <v>2596</v>
      </c>
      <c r="F20" s="324">
        <v>5429</v>
      </c>
      <c r="G20" s="324">
        <f t="shared" si="2"/>
        <v>922.90388548057263</v>
      </c>
    </row>
    <row r="21" spans="1:7" ht="17.25" customHeight="1">
      <c r="A21" s="313">
        <v>14</v>
      </c>
      <c r="B21" s="321" t="s">
        <v>388</v>
      </c>
      <c r="C21" s="318">
        <v>11.44</v>
      </c>
      <c r="D21" s="324">
        <v>8942</v>
      </c>
      <c r="E21" s="324">
        <v>2362</v>
      </c>
      <c r="F21" s="324">
        <v>5221</v>
      </c>
      <c r="G21" s="324">
        <f t="shared" si="2"/>
        <v>781.6433566433567</v>
      </c>
    </row>
    <row r="22" spans="1:7" ht="18.75" customHeight="1">
      <c r="A22" s="313">
        <v>15</v>
      </c>
      <c r="B22" s="321" t="s">
        <v>389</v>
      </c>
      <c r="C22" s="318">
        <v>40.01</v>
      </c>
      <c r="D22" s="324">
        <v>3597</v>
      </c>
      <c r="E22" s="324">
        <v>1091</v>
      </c>
      <c r="F22" s="324">
        <v>2043</v>
      </c>
      <c r="G22" s="324">
        <f t="shared" si="2"/>
        <v>89.902524368907777</v>
      </c>
    </row>
    <row r="23" spans="1:7" ht="18.75" customHeight="1">
      <c r="A23" s="313">
        <v>16</v>
      </c>
      <c r="B23" s="321" t="s">
        <v>391</v>
      </c>
      <c r="C23" s="318">
        <v>4.24</v>
      </c>
      <c r="D23" s="324">
        <v>4438</v>
      </c>
      <c r="E23" s="324">
        <v>1330</v>
      </c>
      <c r="F23" s="324">
        <v>2779</v>
      </c>
      <c r="G23" s="324">
        <f t="shared" si="2"/>
        <v>1046.6981132075471</v>
      </c>
    </row>
    <row r="24" spans="1:7" ht="18.75" customHeight="1">
      <c r="A24" s="313">
        <v>17</v>
      </c>
      <c r="B24" s="321" t="s">
        <v>542</v>
      </c>
      <c r="C24" s="318">
        <v>21.46</v>
      </c>
      <c r="D24" s="324">
        <v>7960</v>
      </c>
      <c r="E24" s="324">
        <v>2166</v>
      </c>
      <c r="F24" s="324">
        <v>4562</v>
      </c>
      <c r="G24" s="324">
        <f t="shared" si="2"/>
        <v>370.92264678471571</v>
      </c>
    </row>
    <row r="25" spans="1:7" ht="18.75" customHeight="1">
      <c r="A25" s="313">
        <v>18</v>
      </c>
      <c r="B25" s="321" t="s">
        <v>393</v>
      </c>
      <c r="C25" s="318">
        <v>29.59</v>
      </c>
      <c r="D25" s="324">
        <v>9357</v>
      </c>
      <c r="E25" s="324">
        <v>2307</v>
      </c>
      <c r="F25" s="324">
        <v>5235</v>
      </c>
      <c r="G25" s="324">
        <f t="shared" si="2"/>
        <v>316.22169651909428</v>
      </c>
    </row>
    <row r="26" spans="1:7" ht="18.75" customHeight="1">
      <c r="A26" s="313">
        <v>19</v>
      </c>
      <c r="B26" s="321" t="s">
        <v>394</v>
      </c>
      <c r="C26" s="318">
        <v>17.75</v>
      </c>
      <c r="D26" s="324">
        <v>1903</v>
      </c>
      <c r="E26" s="324">
        <v>471</v>
      </c>
      <c r="F26" s="324">
        <v>957</v>
      </c>
      <c r="G26" s="324">
        <f t="shared" si="2"/>
        <v>107.21126760563381</v>
      </c>
    </row>
    <row r="27" spans="1:7" ht="18.75" customHeight="1"/>
    <row r="28" spans="1:7" ht="18.75" customHeight="1">
      <c r="B28">
        <f>5.08-1.15</f>
        <v>3.93</v>
      </c>
      <c r="C28" s="322">
        <v>149.09</v>
      </c>
      <c r="F28">
        <f>D18*100/D5</f>
        <v>40.376917945296867</v>
      </c>
    </row>
    <row r="29" spans="1:7" ht="18.75" customHeight="1">
      <c r="C29" s="322">
        <v>610.12</v>
      </c>
      <c r="D29">
        <f>D30</f>
        <v>74.201276983885677</v>
      </c>
    </row>
    <row r="30" spans="1:7" ht="18.75" customHeight="1">
      <c r="C30" s="322">
        <v>6101200</v>
      </c>
      <c r="D30">
        <f>C30/D6</f>
        <v>74.201276983885677</v>
      </c>
    </row>
    <row r="31" spans="1:7" ht="19.5" customHeight="1"/>
    <row r="32" spans="1:7" ht="19.5" customHeight="1"/>
    <row r="33" ht="19.5" customHeight="1"/>
    <row r="34" ht="19.5" customHeight="1"/>
    <row r="35" ht="19.5" customHeight="1"/>
    <row r="36" ht="19.5" customHeight="1"/>
    <row r="37" ht="19.5" customHeight="1"/>
    <row r="38" ht="19.5" customHeight="1"/>
    <row r="39" ht="19.5" customHeight="1"/>
    <row r="40" ht="33" customHeight="1"/>
    <row r="41" ht="19.5" customHeight="1"/>
    <row r="42" ht="19.5" customHeight="1"/>
    <row r="43" ht="19.5" customHeight="1"/>
    <row r="44" ht="19.5" customHeight="1"/>
    <row r="45" ht="19.5" customHeight="1"/>
    <row r="46" ht="19.5" customHeight="1"/>
    <row r="47" ht="19.5" customHeight="1"/>
    <row r="48" ht="19.5" customHeight="1"/>
    <row r="49" ht="19.5" customHeight="1"/>
    <row r="50" ht="19.5" customHeight="1"/>
    <row r="51" ht="19.5" customHeight="1"/>
  </sheetData>
  <mergeCells count="4">
    <mergeCell ref="A3:A4"/>
    <mergeCell ref="B3:B4"/>
    <mergeCell ref="F3:F4"/>
    <mergeCell ref="G3:G4"/>
  </mergeCells>
  <phoneticPr fontId="4" type="noConversion"/>
  <pageMargins left="1" right="0.75" top="0.25" bottom="0.25" header="0.5" footer="0.5"/>
  <pageSetup paperSize="9" scale="85" orientation="portrait" r:id="rId1"/>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5"/>
  <dimension ref="A1:AC87"/>
  <sheetViews>
    <sheetView topLeftCell="F1" workbookViewId="0">
      <selection activeCell="K65" sqref="K65"/>
    </sheetView>
  </sheetViews>
  <sheetFormatPr defaultColWidth="9.140625" defaultRowHeight="12.75"/>
  <cols>
    <col min="1" max="1" width="6.42578125" style="400" customWidth="1"/>
    <col min="2" max="2" width="24.5703125" style="400" customWidth="1"/>
    <col min="3" max="3" width="6.5703125" style="400" hidden="1" customWidth="1"/>
    <col min="4" max="4" width="10.42578125" style="400" hidden="1" customWidth="1"/>
    <col min="5" max="5" width="10.85546875" style="400" hidden="1" customWidth="1"/>
    <col min="6" max="6" width="17" style="400" customWidth="1"/>
    <col min="7" max="7" width="18.5703125" style="400" customWidth="1"/>
    <col min="8" max="8" width="14" style="400" customWidth="1"/>
    <col min="9" max="9" width="9.42578125" style="400" customWidth="1"/>
    <col min="10" max="10" width="7.7109375" style="400" customWidth="1"/>
    <col min="11" max="11" width="8.7109375" style="400" customWidth="1"/>
    <col min="12" max="12" width="9.5703125" style="400" bestFit="1" customWidth="1"/>
    <col min="13" max="13" width="7.85546875" style="400" customWidth="1"/>
    <col min="14" max="14" width="7.5703125" style="400" customWidth="1"/>
    <col min="15" max="15" width="8.85546875" style="400" customWidth="1"/>
    <col min="16" max="16" width="8.42578125" style="400" customWidth="1"/>
    <col min="17" max="17" width="7.7109375" style="400" customWidth="1"/>
    <col min="18" max="18" width="8.85546875" style="400" customWidth="1"/>
    <col min="19" max="19" width="9" style="400" customWidth="1"/>
    <col min="20" max="20" width="9.5703125" style="400" bestFit="1" customWidth="1"/>
    <col min="21" max="21" width="8" style="400" customWidth="1"/>
    <col min="22" max="22" width="7.5703125" style="400" customWidth="1"/>
    <col min="23" max="24" width="9.28515625" style="400" customWidth="1"/>
    <col min="25" max="25" width="9" style="400" customWidth="1"/>
    <col min="26" max="26" width="9.140625" style="400"/>
    <col min="27" max="27" width="11.42578125" style="400" customWidth="1"/>
    <col min="28" max="16384" width="9.140625" style="400"/>
  </cols>
  <sheetData>
    <row r="1" spans="1:29" ht="18" customHeight="1">
      <c r="A1" s="1308" t="s">
        <v>5</v>
      </c>
      <c r="B1" s="1308"/>
    </row>
    <row r="2" spans="1:29" ht="24" customHeight="1">
      <c r="A2" s="1252" t="s">
        <v>341</v>
      </c>
      <c r="B2" s="1252"/>
      <c r="C2" s="1252"/>
      <c r="D2" s="1252"/>
      <c r="E2" s="1252"/>
      <c r="F2" s="1252"/>
      <c r="G2" s="1252"/>
      <c r="H2" s="1252"/>
      <c r="I2" s="1252"/>
      <c r="J2" s="1252"/>
      <c r="K2" s="1252"/>
      <c r="L2" s="1252"/>
      <c r="M2" s="1252"/>
      <c r="N2" s="1252"/>
      <c r="O2" s="1252"/>
      <c r="P2" s="1252"/>
      <c r="Q2" s="1252"/>
      <c r="R2" s="1252"/>
      <c r="S2" s="1252"/>
      <c r="T2" s="1252"/>
      <c r="U2" s="1252"/>
      <c r="V2" s="1252"/>
      <c r="W2" s="1252"/>
      <c r="X2" s="1252"/>
      <c r="Y2" s="1252"/>
    </row>
    <row r="3" spans="1:29" ht="16.5" customHeight="1">
      <c r="A3" s="1300"/>
      <c r="B3" s="1300"/>
      <c r="C3" s="1300"/>
      <c r="D3" s="1300"/>
      <c r="E3" s="1300"/>
      <c r="F3" s="1300"/>
      <c r="G3" s="1300"/>
      <c r="H3" s="1300"/>
      <c r="I3" s="1300"/>
      <c r="J3" s="1300"/>
      <c r="K3" s="1300"/>
      <c r="L3" s="1300"/>
      <c r="M3" s="1300"/>
      <c r="N3" s="1300"/>
      <c r="O3" s="1300"/>
      <c r="P3" s="1300"/>
      <c r="Q3" s="1300"/>
      <c r="R3" s="1300"/>
      <c r="S3" s="1300"/>
      <c r="T3" s="1300"/>
      <c r="U3" s="1300"/>
      <c r="V3" s="1300"/>
      <c r="W3" s="1300"/>
      <c r="X3" s="1300"/>
      <c r="Y3" s="1300"/>
    </row>
    <row r="4" spans="1:29" ht="28.5" customHeight="1">
      <c r="A4" s="1301" t="s">
        <v>0</v>
      </c>
      <c r="B4" s="1301" t="s">
        <v>12</v>
      </c>
      <c r="C4" s="1301" t="s">
        <v>13</v>
      </c>
      <c r="D4" s="1301" t="s">
        <v>330</v>
      </c>
      <c r="E4" s="1301" t="s">
        <v>332</v>
      </c>
      <c r="F4" s="1301" t="s">
        <v>131</v>
      </c>
      <c r="G4" s="1301" t="s">
        <v>132</v>
      </c>
      <c r="H4" s="1301"/>
      <c r="I4" s="1301"/>
      <c r="J4" s="1301"/>
      <c r="K4" s="1301"/>
      <c r="L4" s="1301"/>
      <c r="M4" s="1301"/>
      <c r="N4" s="1301"/>
      <c r="O4" s="1301"/>
      <c r="P4" s="1301"/>
      <c r="Q4" s="1301"/>
      <c r="R4" s="1301"/>
      <c r="S4" s="1301"/>
      <c r="T4" s="1301"/>
      <c r="U4" s="1301"/>
      <c r="V4" s="1301"/>
      <c r="W4" s="1301"/>
      <c r="X4" s="1301"/>
      <c r="Y4" s="1301"/>
    </row>
    <row r="5" spans="1:29" ht="48" customHeight="1">
      <c r="A5" s="1301"/>
      <c r="B5" s="1301"/>
      <c r="C5" s="1301"/>
      <c r="D5" s="1301"/>
      <c r="E5" s="1301"/>
      <c r="F5" s="1301"/>
      <c r="G5" s="401" t="s">
        <v>312</v>
      </c>
      <c r="H5" s="401" t="s">
        <v>302</v>
      </c>
      <c r="I5" s="401" t="s">
        <v>303</v>
      </c>
      <c r="J5" s="401" t="s">
        <v>305</v>
      </c>
      <c r="K5" s="401" t="s">
        <v>307</v>
      </c>
      <c r="L5" s="401" t="s">
        <v>308</v>
      </c>
      <c r="M5" s="401" t="s">
        <v>311</v>
      </c>
      <c r="N5" s="401" t="s">
        <v>314</v>
      </c>
      <c r="O5" s="401" t="s">
        <v>315</v>
      </c>
      <c r="P5" s="401" t="s">
        <v>316</v>
      </c>
      <c r="Q5" s="401" t="s">
        <v>317</v>
      </c>
      <c r="R5" s="401" t="s">
        <v>304</v>
      </c>
      <c r="S5" s="401" t="s">
        <v>306</v>
      </c>
      <c r="T5" s="401" t="s">
        <v>309</v>
      </c>
      <c r="U5" s="401" t="s">
        <v>310</v>
      </c>
      <c r="V5" s="401" t="s">
        <v>313</v>
      </c>
      <c r="W5" s="401" t="s">
        <v>318</v>
      </c>
      <c r="X5" s="401" t="s">
        <v>319</v>
      </c>
      <c r="Y5" s="401" t="s">
        <v>320</v>
      </c>
    </row>
    <row r="6" spans="1:29" s="67" customFormat="1" ht="19.5" customHeight="1">
      <c r="A6" s="90"/>
      <c r="B6" s="91" t="s">
        <v>658</v>
      </c>
      <c r="C6" s="90"/>
      <c r="D6" s="90"/>
      <c r="E6" s="90"/>
      <c r="F6" s="295">
        <f>F7+F18+F50</f>
        <v>51988.946899999995</v>
      </c>
      <c r="G6" s="295">
        <f t="shared" ref="G6:Y6" si="0">G7+G18+G50</f>
        <v>5030.5495000000001</v>
      </c>
      <c r="H6" s="295">
        <f t="shared" si="0"/>
        <v>8173.06</v>
      </c>
      <c r="I6" s="295">
        <f t="shared" si="0"/>
        <v>5874.6895000000004</v>
      </c>
      <c r="J6" s="295">
        <f t="shared" si="0"/>
        <v>4425.3450000000003</v>
      </c>
      <c r="K6" s="295">
        <f t="shared" si="0"/>
        <v>3442.5194999999999</v>
      </c>
      <c r="L6" s="295">
        <f t="shared" si="0"/>
        <v>1623.425</v>
      </c>
      <c r="M6" s="295">
        <f t="shared" si="0"/>
        <v>6004.16</v>
      </c>
      <c r="N6" s="295">
        <f t="shared" si="0"/>
        <v>2804.4494999999997</v>
      </c>
      <c r="O6" s="295">
        <f t="shared" si="0"/>
        <v>2120.3599999999997</v>
      </c>
      <c r="P6" s="295">
        <f t="shared" si="0"/>
        <v>4577.7154</v>
      </c>
      <c r="Q6" s="295">
        <f t="shared" si="0"/>
        <v>158.60500000000002</v>
      </c>
      <c r="R6" s="295">
        <f t="shared" si="0"/>
        <v>1129.7995000000001</v>
      </c>
      <c r="S6" s="295">
        <f t="shared" si="0"/>
        <v>72.409500000000008</v>
      </c>
      <c r="T6" s="295">
        <f t="shared" si="0"/>
        <v>102.37</v>
      </c>
      <c r="U6" s="295">
        <f t="shared" si="0"/>
        <v>4033.8399999999997</v>
      </c>
      <c r="V6" s="295">
        <f t="shared" si="0"/>
        <v>1317.0395000000001</v>
      </c>
      <c r="W6" s="295">
        <f t="shared" si="0"/>
        <v>1098.6099999999999</v>
      </c>
      <c r="X6" s="295">
        <f t="shared" si="0"/>
        <v>0</v>
      </c>
      <c r="Y6" s="295">
        <f t="shared" si="0"/>
        <v>0</v>
      </c>
      <c r="AA6" s="247">
        <f>SUM(G6:Q6)</f>
        <v>44234.878400000009</v>
      </c>
      <c r="AB6" s="247">
        <f>AA6/14909.3*100</f>
        <v>296.69319418081341</v>
      </c>
      <c r="AC6" s="385">
        <f>F6*100/30184.85</f>
        <v>172.23523356915803</v>
      </c>
    </row>
    <row r="7" spans="1:29" s="67" customFormat="1" ht="16.5" hidden="1" customHeight="1">
      <c r="A7" s="92">
        <v>1</v>
      </c>
      <c r="B7" s="93" t="s">
        <v>14</v>
      </c>
      <c r="C7" s="92" t="s">
        <v>15</v>
      </c>
      <c r="D7" s="291">
        <v>14996.87</v>
      </c>
      <c r="E7" s="292">
        <f>F7-D7</f>
        <v>22676.502589999996</v>
      </c>
      <c r="F7" s="291">
        <f>F8+F10+F11+F12+F13+F14+F15+F17</f>
        <v>37673.372589999999</v>
      </c>
      <c r="G7" s="291">
        <f t="shared" ref="G7:Y7" si="1">G8+G10+G11+G12+G13+G14+G15+G17</f>
        <v>4305.42</v>
      </c>
      <c r="H7" s="291">
        <f t="shared" si="1"/>
        <v>7525.7651900000001</v>
      </c>
      <c r="I7" s="291">
        <f t="shared" si="1"/>
        <v>4635.93</v>
      </c>
      <c r="J7" s="291">
        <f t="shared" si="1"/>
        <v>3367.72</v>
      </c>
      <c r="K7" s="291">
        <f t="shared" si="1"/>
        <v>2466.9899999999998</v>
      </c>
      <c r="L7" s="291">
        <f t="shared" si="1"/>
        <v>1147.81</v>
      </c>
      <c r="M7" s="291">
        <f t="shared" si="1"/>
        <v>2781.4600000000005</v>
      </c>
      <c r="N7" s="291">
        <f t="shared" si="1"/>
        <v>1900.1699999999998</v>
      </c>
      <c r="O7" s="291">
        <f t="shared" si="1"/>
        <v>1587.9999999999998</v>
      </c>
      <c r="P7" s="291">
        <f t="shared" si="1"/>
        <v>3513.0654</v>
      </c>
      <c r="Q7" s="291">
        <f t="shared" si="1"/>
        <v>3.9</v>
      </c>
      <c r="R7" s="291">
        <f t="shared" si="1"/>
        <v>681.01200000000006</v>
      </c>
      <c r="S7" s="291">
        <f t="shared" si="1"/>
        <v>0</v>
      </c>
      <c r="T7" s="291">
        <f t="shared" si="1"/>
        <v>0</v>
      </c>
      <c r="U7" s="291">
        <f t="shared" si="1"/>
        <v>2242.6999999999998</v>
      </c>
      <c r="V7" s="291">
        <f t="shared" si="1"/>
        <v>730.31</v>
      </c>
      <c r="W7" s="291">
        <f t="shared" si="1"/>
        <v>783.11999999999989</v>
      </c>
      <c r="X7" s="291">
        <f t="shared" si="1"/>
        <v>0</v>
      </c>
      <c r="Y7" s="291">
        <f t="shared" si="1"/>
        <v>0</v>
      </c>
      <c r="AA7" s="247">
        <f>SUM(G7:Q7)</f>
        <v>33236.230590000006</v>
      </c>
      <c r="AB7" s="247">
        <f t="shared" ref="AB7:AB50" si="2">AA7/14909.3*100</f>
        <v>222.92281052765728</v>
      </c>
      <c r="AC7" s="385">
        <f t="shared" ref="AC7:AC55" si="3">F7*100/30184.85</f>
        <v>124.80887793048501</v>
      </c>
    </row>
    <row r="8" spans="1:29" s="2" customFormat="1" ht="16.5" hidden="1" customHeight="1">
      <c r="A8" s="94" t="s">
        <v>16</v>
      </c>
      <c r="B8" s="95" t="s">
        <v>17</v>
      </c>
      <c r="C8" s="94" t="s">
        <v>18</v>
      </c>
      <c r="D8" s="292">
        <v>3820.42</v>
      </c>
      <c r="E8" s="292">
        <f t="shared" ref="E8:E55" si="4">F8-D8</f>
        <v>-741.00975000000017</v>
      </c>
      <c r="F8" s="292">
        <f>SUM(G8:Y8)</f>
        <v>3079.4102499999999</v>
      </c>
      <c r="G8" s="292">
        <f>'Bac Son'!BN11</f>
        <v>215.8</v>
      </c>
      <c r="H8" s="292">
        <f>'Hai Son'!BN11</f>
        <v>140.55225000000002</v>
      </c>
      <c r="I8" s="292">
        <f>'Quang Nghia'!BN11</f>
        <v>230.79</v>
      </c>
      <c r="J8" s="292">
        <f>'Hai Dong'!BN11</f>
        <v>230.85</v>
      </c>
      <c r="K8" s="292">
        <f>'Hai Tien'!BN11</f>
        <v>264.73</v>
      </c>
      <c r="L8" s="292">
        <f>'Hai Xuan'!BN11</f>
        <v>379.02</v>
      </c>
      <c r="M8" s="292">
        <f>'Van Ninh'!BN11</f>
        <v>217.68</v>
      </c>
      <c r="N8" s="292">
        <f>'Vinh Trung'!BN11</f>
        <v>171.75</v>
      </c>
      <c r="O8" s="292">
        <f>'Vinh Thuc'!BN11</f>
        <v>250.82999999999998</v>
      </c>
      <c r="P8" s="292">
        <f>'Hai Yen'!BN11</f>
        <v>286.43510000000003</v>
      </c>
      <c r="Q8" s="292">
        <f>'Ka Long'!BN11</f>
        <v>0</v>
      </c>
      <c r="R8" s="292">
        <f>'Ninh Duong'!BN11</f>
        <v>234.18289999999999</v>
      </c>
      <c r="S8" s="292">
        <f>'Hoa Lac'!BN11</f>
        <v>0</v>
      </c>
      <c r="T8" s="292">
        <f>'Tran Phu'!BN11</f>
        <v>0</v>
      </c>
      <c r="U8" s="292">
        <f>'Hai Hoa'!BN11</f>
        <v>258.54000000000002</v>
      </c>
      <c r="V8" s="292">
        <f>'Tra Co'!BN11</f>
        <v>17.09</v>
      </c>
      <c r="W8" s="292">
        <f>'Binh Ngoc'!BN11</f>
        <v>181.16</v>
      </c>
      <c r="X8" s="292">
        <f>'Lien vị'!BN11</f>
        <v>0</v>
      </c>
      <c r="Y8" s="292">
        <f>'Tien Phong'!BN11</f>
        <v>0</v>
      </c>
      <c r="AA8" s="190">
        <f t="shared" ref="AA8:AA50" si="5">SUM(G8:Q8)</f>
        <v>2388.4373500000002</v>
      </c>
      <c r="AB8" s="190">
        <f t="shared" si="2"/>
        <v>16.019781948179997</v>
      </c>
      <c r="AC8" s="385">
        <f t="shared" si="3"/>
        <v>10.201840492830012</v>
      </c>
    </row>
    <row r="9" spans="1:29" s="251" customFormat="1" ht="16.5" hidden="1" customHeight="1">
      <c r="A9" s="249"/>
      <c r="B9" s="250" t="s">
        <v>19</v>
      </c>
      <c r="C9" s="249" t="s">
        <v>20</v>
      </c>
      <c r="D9" s="293">
        <v>3579.89</v>
      </c>
      <c r="E9" s="292">
        <f t="shared" si="4"/>
        <v>-1864.8319999999999</v>
      </c>
      <c r="F9" s="293">
        <f>SUM(G9:Y9)</f>
        <v>1715.058</v>
      </c>
      <c r="G9" s="293">
        <f>'Bac Son'!BN12</f>
        <v>0</v>
      </c>
      <c r="H9" s="293">
        <f>'Hai Son'!BN12</f>
        <v>0</v>
      </c>
      <c r="I9" s="293">
        <f>'Quang Nghia'!BN12</f>
        <v>43.129999999999995</v>
      </c>
      <c r="J9" s="293">
        <f>'Hai Dong'!BN12</f>
        <v>165.94</v>
      </c>
      <c r="K9" s="293">
        <f>'Hai Tien'!BN12</f>
        <v>185.81</v>
      </c>
      <c r="L9" s="293">
        <f>'Hai Xuan'!BN12</f>
        <v>268.85999999999996</v>
      </c>
      <c r="M9" s="293">
        <f>'Van Ninh'!BN12</f>
        <v>164.66</v>
      </c>
      <c r="N9" s="293">
        <f>'Vinh Trung'!BN12</f>
        <v>22.91</v>
      </c>
      <c r="O9" s="293">
        <f>'Vinh Thuc'!BN12</f>
        <v>108.55</v>
      </c>
      <c r="P9" s="293">
        <f>'Hai Yen'!BN12</f>
        <v>207.71510000000001</v>
      </c>
      <c r="Q9" s="293">
        <f>'Ka Long'!BN12</f>
        <v>0</v>
      </c>
      <c r="R9" s="293">
        <f>'Ninh Duong'!BN12</f>
        <v>90.982900000000001</v>
      </c>
      <c r="S9" s="293">
        <f>'Hoa Lac'!BN12</f>
        <v>0</v>
      </c>
      <c r="T9" s="293">
        <f>'Tran Phu'!BN12</f>
        <v>0</v>
      </c>
      <c r="U9" s="293">
        <f>'Hai Hoa'!BN12</f>
        <v>258.23</v>
      </c>
      <c r="V9" s="293">
        <f>'Tra Co'!BN12</f>
        <v>17.09</v>
      </c>
      <c r="W9" s="293">
        <f>'Binh Ngoc'!BN12</f>
        <v>181.18</v>
      </c>
      <c r="X9" s="293">
        <f>'Lien vị'!BN12</f>
        <v>0</v>
      </c>
      <c r="Y9" s="293">
        <f>'Tien Phong'!BN12</f>
        <v>0</v>
      </c>
      <c r="AA9" s="296">
        <f t="shared" si="5"/>
        <v>1167.5751</v>
      </c>
      <c r="AB9" s="296">
        <f t="shared" si="2"/>
        <v>7.8311865748224267</v>
      </c>
      <c r="AC9" s="385">
        <f t="shared" si="3"/>
        <v>5.6818503322030756</v>
      </c>
    </row>
    <row r="10" spans="1:29" s="2" customFormat="1" ht="16.5" hidden="1" customHeight="1">
      <c r="A10" s="94" t="s">
        <v>21</v>
      </c>
      <c r="B10" s="95" t="s">
        <v>22</v>
      </c>
      <c r="C10" s="94" t="s">
        <v>23</v>
      </c>
      <c r="D10" s="292">
        <v>319.45</v>
      </c>
      <c r="E10" s="292">
        <f t="shared" si="4"/>
        <v>657.89429999999993</v>
      </c>
      <c r="F10" s="292">
        <f>SUM(G10:Y10)</f>
        <v>977.34429999999998</v>
      </c>
      <c r="G10" s="292">
        <f>'Bac Son'!BN16</f>
        <v>41.15</v>
      </c>
      <c r="H10" s="292">
        <f>'Hai Son'!BN16</f>
        <v>64.004499999999993</v>
      </c>
      <c r="I10" s="292">
        <f>'Quang Nghia'!BN16</f>
        <v>159.56</v>
      </c>
      <c r="J10" s="292">
        <f>'Hai Dong'!BN16</f>
        <v>156.55000000000001</v>
      </c>
      <c r="K10" s="292">
        <f>'Hai Tien'!BN16</f>
        <v>52.09</v>
      </c>
      <c r="L10" s="292">
        <f>'Hai Xuan'!BN16</f>
        <v>39.830000000000005</v>
      </c>
      <c r="M10" s="292">
        <f>'Van Ninh'!BN16</f>
        <v>88.8</v>
      </c>
      <c r="N10" s="292">
        <f>'Vinh Trung'!BN16</f>
        <v>50.43</v>
      </c>
      <c r="O10" s="292">
        <f>'Vinh Thuc'!BN16</f>
        <v>88.22</v>
      </c>
      <c r="P10" s="292">
        <f>'Hai Yen'!BN16</f>
        <v>104.8207</v>
      </c>
      <c r="Q10" s="292">
        <f>'Ka Long'!BN16</f>
        <v>0</v>
      </c>
      <c r="R10" s="292">
        <f>'Ninh Duong'!BN16</f>
        <v>27.7591</v>
      </c>
      <c r="S10" s="292">
        <f>'Hoa Lac'!BN16</f>
        <v>0</v>
      </c>
      <c r="T10" s="292">
        <f>'Tran Phu'!BN16</f>
        <v>0</v>
      </c>
      <c r="U10" s="292">
        <f>'Hai Hoa'!BN16</f>
        <v>13.469999999999999</v>
      </c>
      <c r="V10" s="292">
        <f>'Tra Co'!BN16</f>
        <v>14.13</v>
      </c>
      <c r="W10" s="292">
        <f>'Binh Ngoc'!BN16</f>
        <v>76.53</v>
      </c>
      <c r="X10" s="292">
        <f>'Lien vị'!BN16</f>
        <v>0</v>
      </c>
      <c r="Y10" s="292">
        <f>'Tien Phong'!BN16</f>
        <v>0</v>
      </c>
      <c r="AA10" s="190">
        <f t="shared" si="5"/>
        <v>845.45519999999999</v>
      </c>
      <c r="AB10" s="190">
        <f t="shared" si="2"/>
        <v>5.6706565700602978</v>
      </c>
      <c r="AC10" s="385">
        <f t="shared" si="3"/>
        <v>3.2378636965232559</v>
      </c>
    </row>
    <row r="11" spans="1:29" s="2" customFormat="1" ht="16.5" hidden="1" customHeight="1">
      <c r="A11" s="94" t="s">
        <v>24</v>
      </c>
      <c r="B11" s="95" t="s">
        <v>25</v>
      </c>
      <c r="C11" s="94" t="s">
        <v>26</v>
      </c>
      <c r="D11" s="292">
        <v>1397.81</v>
      </c>
      <c r="E11" s="292">
        <f t="shared" si="4"/>
        <v>339.57194000000004</v>
      </c>
      <c r="F11" s="292">
        <f t="shared" ref="F11:F55" si="6">SUM(G11:Y11)</f>
        <v>1737.38194</v>
      </c>
      <c r="G11" s="292">
        <f>'Bac Son'!BN17</f>
        <v>198.16</v>
      </c>
      <c r="H11" s="292">
        <f>'Hai Son'!BN17</f>
        <v>90.802340000000001</v>
      </c>
      <c r="I11" s="292">
        <f>'Quang Nghia'!BN17</f>
        <v>125.17</v>
      </c>
      <c r="J11" s="292">
        <f>'Hai Dong'!BN17</f>
        <v>131.46</v>
      </c>
      <c r="K11" s="292">
        <f>'Hai Tien'!BN17</f>
        <v>75.13</v>
      </c>
      <c r="L11" s="292">
        <f>'Hai Xuan'!BN17</f>
        <v>140.19999999999999</v>
      </c>
      <c r="M11" s="292">
        <f>'Van Ninh'!BN17</f>
        <v>44.72</v>
      </c>
      <c r="N11" s="292">
        <f>'Vinh Trung'!BN17</f>
        <v>40.94</v>
      </c>
      <c r="O11" s="292">
        <f>'Vinh Thuc'!BN17</f>
        <v>55.18</v>
      </c>
      <c r="P11" s="292">
        <f>'Hai Yen'!BN17</f>
        <v>377.2996</v>
      </c>
      <c r="Q11" s="292">
        <f>'Ka Long'!BN17</f>
        <v>3.58</v>
      </c>
      <c r="R11" s="292">
        <f>'Ninh Duong'!BN17</f>
        <v>109.37</v>
      </c>
      <c r="S11" s="292">
        <f>'Hoa Lac'!BN17</f>
        <v>0</v>
      </c>
      <c r="T11" s="292">
        <f>'Tran Phu'!BN17</f>
        <v>0</v>
      </c>
      <c r="U11" s="292">
        <f>'Hai Hoa'!BN17</f>
        <v>266.36</v>
      </c>
      <c r="V11" s="292">
        <f>'Tra Co'!BN17</f>
        <v>27.29</v>
      </c>
      <c r="W11" s="292">
        <f>'Binh Ngoc'!BN17</f>
        <v>51.72</v>
      </c>
      <c r="X11" s="292">
        <f>'Lien vị'!BN17</f>
        <v>0</v>
      </c>
      <c r="Y11" s="292">
        <f>'Tien Phong'!BN17</f>
        <v>0</v>
      </c>
      <c r="AA11" s="190">
        <f t="shared" si="5"/>
        <v>1282.64194</v>
      </c>
      <c r="AB11" s="190">
        <f t="shared" si="2"/>
        <v>8.6029655315809599</v>
      </c>
      <c r="AC11" s="385">
        <f t="shared" si="3"/>
        <v>5.7558077644911272</v>
      </c>
    </row>
    <row r="12" spans="1:29" s="2" customFormat="1" ht="16.5" hidden="1" customHeight="1">
      <c r="A12" s="94" t="s">
        <v>27</v>
      </c>
      <c r="B12" s="95" t="s">
        <v>28</v>
      </c>
      <c r="C12" s="94" t="s">
        <v>29</v>
      </c>
      <c r="D12" s="292">
        <v>2913.49</v>
      </c>
      <c r="E12" s="292">
        <f t="shared" si="4"/>
        <v>12191.77</v>
      </c>
      <c r="F12" s="292">
        <f t="shared" si="6"/>
        <v>15105.26</v>
      </c>
      <c r="G12" s="292">
        <f>'Bac Son'!BN19</f>
        <v>2437.75</v>
      </c>
      <c r="H12" s="292">
        <f>'Hai Son'!BN19</f>
        <v>4319.0600000000004</v>
      </c>
      <c r="I12" s="292">
        <f>'Quang Nghia'!BN19</f>
        <v>896.86</v>
      </c>
      <c r="J12" s="292">
        <f>'Hai Dong'!BN19</f>
        <v>962.59</v>
      </c>
      <c r="K12" s="292">
        <f>'Hai Tien'!BN19</f>
        <v>888.55000000000007</v>
      </c>
      <c r="L12" s="292">
        <f>'Hai Xuan'!BN19</f>
        <v>74.400000000000006</v>
      </c>
      <c r="M12" s="292">
        <f>'Van Ninh'!BN19</f>
        <v>1778.1000000000001</v>
      </c>
      <c r="N12" s="292">
        <f>'Vinh Trung'!BN19</f>
        <v>956.86</v>
      </c>
      <c r="O12" s="292">
        <f>'Vinh Thuc'!BN19</f>
        <v>159.12</v>
      </c>
      <c r="P12" s="292">
        <f>'Hai Yen'!BN19</f>
        <v>870.28</v>
      </c>
      <c r="Q12" s="292">
        <f>'Ka Long'!BN19</f>
        <v>0</v>
      </c>
      <c r="R12" s="292">
        <f>'Ninh Duong'!BN19</f>
        <v>13.91</v>
      </c>
      <c r="S12" s="292">
        <f>'Hoa Lac'!BN19</f>
        <v>0</v>
      </c>
      <c r="T12" s="292">
        <f>'Tran Phu'!BN19</f>
        <v>0</v>
      </c>
      <c r="U12" s="292">
        <f>'Hai Hoa'!BN19</f>
        <v>1055.8800000000001</v>
      </c>
      <c r="V12" s="292">
        <f>'Tra Co'!BN19</f>
        <v>512.98</v>
      </c>
      <c r="W12" s="292">
        <f>'Binh Ngoc'!BN19</f>
        <v>178.92</v>
      </c>
      <c r="X12" s="292">
        <f>'Lien vị'!BN19</f>
        <v>0</v>
      </c>
      <c r="Y12" s="292">
        <f>'Tien Phong'!BN19</f>
        <v>0</v>
      </c>
      <c r="AA12" s="190">
        <f t="shared" si="5"/>
        <v>13343.570000000002</v>
      </c>
      <c r="AB12" s="190">
        <f t="shared" si="2"/>
        <v>89.49829971896736</v>
      </c>
      <c r="AC12" s="385">
        <f t="shared" si="3"/>
        <v>50.042521331065089</v>
      </c>
    </row>
    <row r="13" spans="1:29" s="2" customFormat="1" ht="16.5" hidden="1" customHeight="1">
      <c r="A13" s="94" t="s">
        <v>30</v>
      </c>
      <c r="B13" s="95" t="s">
        <v>31</v>
      </c>
      <c r="C13" s="94" t="s">
        <v>32</v>
      </c>
      <c r="D13" s="292">
        <v>34.18</v>
      </c>
      <c r="E13" s="292">
        <f t="shared" si="4"/>
        <v>-34.18</v>
      </c>
      <c r="F13" s="292">
        <f t="shared" si="6"/>
        <v>0</v>
      </c>
      <c r="G13" s="292">
        <f>'Bac Son'!BN20</f>
        <v>0</v>
      </c>
      <c r="H13" s="292">
        <f>'Hai Son'!BN20</f>
        <v>0</v>
      </c>
      <c r="I13" s="292">
        <f>'Quang Nghia'!BN20</f>
        <v>0</v>
      </c>
      <c r="J13" s="292">
        <f>'Hai Dong'!BN20</f>
        <v>0</v>
      </c>
      <c r="K13" s="292">
        <f>'Hai Tien'!BN20</f>
        <v>0</v>
      </c>
      <c r="L13" s="292">
        <f>'Hai Xuan'!BN20</f>
        <v>0</v>
      </c>
      <c r="M13" s="292">
        <f>'Van Ninh'!BN20</f>
        <v>0</v>
      </c>
      <c r="N13" s="292">
        <f>'Vinh Trung'!BN20</f>
        <v>0</v>
      </c>
      <c r="O13" s="292">
        <f>'Vinh Thuc'!BN20</f>
        <v>0</v>
      </c>
      <c r="P13" s="292">
        <f>'Hai Yen'!BN20</f>
        <v>0</v>
      </c>
      <c r="Q13" s="292">
        <f>'Ka Long'!BN20</f>
        <v>0</v>
      </c>
      <c r="R13" s="292">
        <f>'Ninh Duong'!BN20</f>
        <v>0</v>
      </c>
      <c r="S13" s="292">
        <f>'Hoa Lac'!BN20</f>
        <v>0</v>
      </c>
      <c r="T13" s="292">
        <f>'Tran Phu'!BN20</f>
        <v>0</v>
      </c>
      <c r="U13" s="292">
        <f>'Hai Hoa'!BN20</f>
        <v>0</v>
      </c>
      <c r="V13" s="292">
        <f>'Tra Co'!BN20</f>
        <v>0</v>
      </c>
      <c r="W13" s="292">
        <f>'Binh Ngoc'!BN20</f>
        <v>0</v>
      </c>
      <c r="X13" s="292">
        <f>'Lien vị'!BN20</f>
        <v>0</v>
      </c>
      <c r="Y13" s="292">
        <f>'Tien Phong'!BN20</f>
        <v>0</v>
      </c>
      <c r="AA13" s="190">
        <f t="shared" si="5"/>
        <v>0</v>
      </c>
      <c r="AB13" s="190">
        <f t="shared" si="2"/>
        <v>0</v>
      </c>
      <c r="AC13" s="385">
        <f t="shared" si="3"/>
        <v>0</v>
      </c>
    </row>
    <row r="14" spans="1:29" s="2" customFormat="1" ht="16.5" hidden="1" customHeight="1">
      <c r="A14" s="94" t="s">
        <v>33</v>
      </c>
      <c r="B14" s="95" t="s">
        <v>34</v>
      </c>
      <c r="C14" s="94" t="s">
        <v>35</v>
      </c>
      <c r="D14" s="292">
        <v>1231.03</v>
      </c>
      <c r="E14" s="292">
        <f t="shared" si="4"/>
        <v>11927.766099999997</v>
      </c>
      <c r="F14" s="292">
        <f t="shared" si="6"/>
        <v>13158.796099999998</v>
      </c>
      <c r="G14" s="292">
        <f>'Bac Son'!BN21</f>
        <v>1410.1399999999999</v>
      </c>
      <c r="H14" s="292">
        <f>'Hai Son'!BN21</f>
        <v>2910.3960999999999</v>
      </c>
      <c r="I14" s="292">
        <f>'Quang Nghia'!BN21</f>
        <v>3023.39</v>
      </c>
      <c r="J14" s="292">
        <f>'Hai Dong'!BN21</f>
        <v>1479.62</v>
      </c>
      <c r="K14" s="292">
        <f>'Hai Tien'!BN21</f>
        <v>1012.83</v>
      </c>
      <c r="L14" s="292">
        <f>'Hai Xuan'!BN21</f>
        <v>0</v>
      </c>
      <c r="M14" s="292">
        <f>'Van Ninh'!BN21</f>
        <v>8.15</v>
      </c>
      <c r="N14" s="292">
        <f>'Vinh Trung'!BN21</f>
        <v>575.08999999999992</v>
      </c>
      <c r="O14" s="292">
        <f>'Vinh Thuc'!BN21</f>
        <v>1004.16</v>
      </c>
      <c r="P14" s="292">
        <f>'Hai Yen'!BN21</f>
        <v>1558.72</v>
      </c>
      <c r="Q14" s="292">
        <f>'Ka Long'!BN21</f>
        <v>0</v>
      </c>
      <c r="R14" s="292">
        <f>'Ninh Duong'!BN21</f>
        <v>114.94</v>
      </c>
      <c r="S14" s="292">
        <f>'Hoa Lac'!BN21</f>
        <v>0</v>
      </c>
      <c r="T14" s="292">
        <f>'Tran Phu'!BN21</f>
        <v>0</v>
      </c>
      <c r="U14" s="292">
        <f>'Hai Hoa'!BN21</f>
        <v>0</v>
      </c>
      <c r="V14" s="292">
        <f>'Tra Co'!BN21</f>
        <v>22.14</v>
      </c>
      <c r="W14" s="292">
        <f>'Binh Ngoc'!BN21</f>
        <v>39.22</v>
      </c>
      <c r="X14" s="292">
        <f>'Lien vị'!BN21</f>
        <v>0</v>
      </c>
      <c r="Y14" s="292">
        <f>'Tien Phong'!BN21</f>
        <v>0</v>
      </c>
      <c r="AA14" s="190">
        <f t="shared" si="5"/>
        <v>12982.496099999998</v>
      </c>
      <c r="AB14" s="190">
        <f t="shared" si="2"/>
        <v>87.076496549133751</v>
      </c>
      <c r="AC14" s="385">
        <f t="shared" si="3"/>
        <v>43.59404171297853</v>
      </c>
    </row>
    <row r="15" spans="1:29" s="2" customFormat="1" ht="16.5" hidden="1" customHeight="1">
      <c r="A15" s="94" t="s">
        <v>36</v>
      </c>
      <c r="B15" s="95" t="s">
        <v>37</v>
      </c>
      <c r="C15" s="94" t="s">
        <v>38</v>
      </c>
      <c r="D15" s="292">
        <v>5109.4399999999996</v>
      </c>
      <c r="E15" s="292">
        <f t="shared" si="4"/>
        <v>-1534.3399999999997</v>
      </c>
      <c r="F15" s="292">
        <f t="shared" si="6"/>
        <v>3575.1</v>
      </c>
      <c r="G15" s="292">
        <f>'Bac Son'!BN22</f>
        <v>1.54</v>
      </c>
      <c r="H15" s="292">
        <f>'Hai Son'!BN22</f>
        <v>0.95</v>
      </c>
      <c r="I15" s="292">
        <f>'Quang Nghia'!BN22</f>
        <v>200.16</v>
      </c>
      <c r="J15" s="292">
        <f>'Hai Dong'!BN22</f>
        <v>406.65</v>
      </c>
      <c r="K15" s="292">
        <f>'Hai Tien'!BN22</f>
        <v>173.66</v>
      </c>
      <c r="L15" s="292">
        <f>'Hai Xuan'!BN22</f>
        <v>514.36</v>
      </c>
      <c r="M15" s="292">
        <f>'Van Ninh'!BN22</f>
        <v>643.63</v>
      </c>
      <c r="N15" s="292">
        <f>'Vinh Trung'!BN22</f>
        <v>103.99000000000001</v>
      </c>
      <c r="O15" s="292">
        <f>'Vinh Thuc'!BN22</f>
        <v>30.49</v>
      </c>
      <c r="P15" s="292">
        <f>'Hai Yen'!BN22</f>
        <v>277.87</v>
      </c>
      <c r="Q15" s="292">
        <f>'Ka Long'!BN22</f>
        <v>0.32</v>
      </c>
      <c r="R15" s="292">
        <f>'Ninh Duong'!BN22</f>
        <v>180.78</v>
      </c>
      <c r="S15" s="292">
        <f>'Hoa Lac'!BN22</f>
        <v>0</v>
      </c>
      <c r="T15" s="292">
        <f>'Tran Phu'!BN22</f>
        <v>0</v>
      </c>
      <c r="U15" s="292">
        <f>'Hai Hoa'!BN22</f>
        <v>648.44999999999993</v>
      </c>
      <c r="V15" s="292">
        <f>'Tra Co'!BN22</f>
        <v>136.68</v>
      </c>
      <c r="W15" s="292">
        <f>'Binh Ngoc'!BN22</f>
        <v>255.57</v>
      </c>
      <c r="X15" s="292">
        <f>'Lien vị'!BN22</f>
        <v>0</v>
      </c>
      <c r="Y15" s="292">
        <f>'Tien Phong'!BN22</f>
        <v>0</v>
      </c>
      <c r="AA15" s="190">
        <f t="shared" si="5"/>
        <v>2353.62</v>
      </c>
      <c r="AB15" s="190">
        <f t="shared" si="2"/>
        <v>15.786254217166467</v>
      </c>
      <c r="AC15" s="385">
        <f t="shared" si="3"/>
        <v>11.844021090050141</v>
      </c>
    </row>
    <row r="16" spans="1:29" s="2" customFormat="1" ht="16.5" hidden="1" customHeight="1">
      <c r="A16" s="94" t="s">
        <v>39</v>
      </c>
      <c r="B16" s="95" t="s">
        <v>40</v>
      </c>
      <c r="C16" s="94" t="s">
        <v>41</v>
      </c>
      <c r="D16" s="292"/>
      <c r="E16" s="292">
        <f t="shared" si="4"/>
        <v>0</v>
      </c>
      <c r="F16" s="292">
        <f t="shared" si="6"/>
        <v>0</v>
      </c>
      <c r="G16" s="292">
        <f>'Bac Son'!BN23</f>
        <v>0</v>
      </c>
      <c r="H16" s="292">
        <f>'Hai Son'!BN23</f>
        <v>0</v>
      </c>
      <c r="I16" s="292">
        <f>'Quang Nghia'!BN23</f>
        <v>0</v>
      </c>
      <c r="J16" s="292">
        <f>'Hai Dong'!BN23</f>
        <v>0</v>
      </c>
      <c r="K16" s="292">
        <f>'Hai Tien'!BN23</f>
        <v>0</v>
      </c>
      <c r="L16" s="292">
        <f>'Hai Xuan'!BN23</f>
        <v>0</v>
      </c>
      <c r="M16" s="292">
        <f>'Van Ninh'!BN23</f>
        <v>0</v>
      </c>
      <c r="N16" s="292">
        <f>'Vinh Trung'!BN23</f>
        <v>0</v>
      </c>
      <c r="O16" s="292">
        <f>'Vinh Thuc'!BN23</f>
        <v>0</v>
      </c>
      <c r="P16" s="292">
        <f>'Hai Yen'!BN23</f>
        <v>0</v>
      </c>
      <c r="Q16" s="292">
        <f>'Ka Long'!BN23</f>
        <v>0</v>
      </c>
      <c r="R16" s="292">
        <f>'Ninh Duong'!BN23</f>
        <v>0</v>
      </c>
      <c r="S16" s="292">
        <f>'Hoa Lac'!BN23</f>
        <v>0</v>
      </c>
      <c r="T16" s="292">
        <f>'Tran Phu'!BN23</f>
        <v>0</v>
      </c>
      <c r="U16" s="292">
        <f>'Hai Hoa'!BN23</f>
        <v>0</v>
      </c>
      <c r="V16" s="292">
        <f>'Tra Co'!BN23</f>
        <v>0</v>
      </c>
      <c r="W16" s="292">
        <f>'Binh Ngoc'!BN23</f>
        <v>0</v>
      </c>
      <c r="X16" s="292">
        <f>'Lien vị'!BN23</f>
        <v>0</v>
      </c>
      <c r="Y16" s="292">
        <f>'Tien Phong'!BN23</f>
        <v>0</v>
      </c>
      <c r="AA16" s="190">
        <f t="shared" si="5"/>
        <v>0</v>
      </c>
      <c r="AB16" s="190">
        <f t="shared" si="2"/>
        <v>0</v>
      </c>
      <c r="AC16" s="385">
        <f t="shared" si="3"/>
        <v>0</v>
      </c>
    </row>
    <row r="17" spans="1:29" s="2" customFormat="1" ht="16.5" hidden="1" customHeight="1">
      <c r="A17" s="94" t="s">
        <v>42</v>
      </c>
      <c r="B17" s="95" t="s">
        <v>43</v>
      </c>
      <c r="C17" s="94" t="s">
        <v>44</v>
      </c>
      <c r="D17" s="292"/>
      <c r="E17" s="292">
        <f t="shared" si="4"/>
        <v>40.08</v>
      </c>
      <c r="F17" s="292">
        <f t="shared" si="6"/>
        <v>40.08</v>
      </c>
      <c r="G17" s="292">
        <f>'Bac Son'!BN24</f>
        <v>0.88</v>
      </c>
      <c r="H17" s="292">
        <f>'Hai Son'!BN24</f>
        <v>0</v>
      </c>
      <c r="I17" s="292">
        <f>'Quang Nghia'!BN24</f>
        <v>0</v>
      </c>
      <c r="J17" s="292">
        <f>'Hai Dong'!BN24</f>
        <v>0</v>
      </c>
      <c r="K17" s="292">
        <f>'Hai Tien'!BN24</f>
        <v>0</v>
      </c>
      <c r="L17" s="292">
        <f>'Hai Xuan'!BN24</f>
        <v>0</v>
      </c>
      <c r="M17" s="292">
        <f>'Van Ninh'!BN24</f>
        <v>0.38</v>
      </c>
      <c r="N17" s="292">
        <f>'Vinh Trung'!BN24</f>
        <v>1.1100000000000001</v>
      </c>
      <c r="O17" s="292">
        <f>'Vinh Thuc'!BN24</f>
        <v>0</v>
      </c>
      <c r="P17" s="292">
        <f>'Hai Yen'!BN24</f>
        <v>37.64</v>
      </c>
      <c r="Q17" s="292">
        <f>'Ka Long'!BN24</f>
        <v>0</v>
      </c>
      <c r="R17" s="292">
        <f>'Ninh Duong'!BN24</f>
        <v>7.0000000000000007E-2</v>
      </c>
      <c r="S17" s="292">
        <f>'Hoa Lac'!BN24</f>
        <v>0</v>
      </c>
      <c r="T17" s="292">
        <f>'Tran Phu'!BN24</f>
        <v>0</v>
      </c>
      <c r="U17" s="292">
        <f>'Hai Hoa'!BN24</f>
        <v>0</v>
      </c>
      <c r="V17" s="292">
        <f>'Tra Co'!BN24</f>
        <v>0</v>
      </c>
      <c r="W17" s="292">
        <f>'Binh Ngoc'!BN24</f>
        <v>0</v>
      </c>
      <c r="X17" s="292">
        <f>'Lien vị'!BN24</f>
        <v>0</v>
      </c>
      <c r="Y17" s="292">
        <f>'Tien Phong'!BN24</f>
        <v>0</v>
      </c>
      <c r="AA17" s="190">
        <f t="shared" si="5"/>
        <v>40.01</v>
      </c>
      <c r="AB17" s="190">
        <f t="shared" si="2"/>
        <v>0.26835599256839693</v>
      </c>
      <c r="AC17" s="385">
        <f t="shared" si="3"/>
        <v>0.13278184254684056</v>
      </c>
    </row>
    <row r="18" spans="1:29" s="394" customFormat="1" ht="16.5" hidden="1" customHeight="1">
      <c r="A18" s="390">
        <v>2</v>
      </c>
      <c r="B18" s="391" t="s">
        <v>45</v>
      </c>
      <c r="C18" s="390" t="s">
        <v>46</v>
      </c>
      <c r="D18" s="392">
        <v>14920.8</v>
      </c>
      <c r="E18" s="393">
        <f t="shared" si="4"/>
        <v>-6319.9973300000001</v>
      </c>
      <c r="F18" s="392">
        <f>F19+F20+F21+F23+F24+F25+F27+F33+F35+F36+F37+F38+F39+F41+F42+F43+F44+F45+F46+F47+F48+F49</f>
        <v>8600.8026699999991</v>
      </c>
      <c r="G18" s="392">
        <f t="shared" ref="G18:Y18" si="7">G19+G20+G21+G23+G24+G25+G27+G33+G35+G36+G37+G38+G39+G41+G42+G43+G44+G45+G46+G47+G48+G49</f>
        <v>646.23949999999991</v>
      </c>
      <c r="H18" s="392">
        <f t="shared" si="7"/>
        <v>572.30777000000012</v>
      </c>
      <c r="I18" s="392">
        <f t="shared" si="7"/>
        <v>1179.6295</v>
      </c>
      <c r="J18" s="392">
        <f t="shared" si="7"/>
        <v>499.42500000000007</v>
      </c>
      <c r="K18" s="392">
        <f t="shared" si="7"/>
        <v>544.87950000000001</v>
      </c>
      <c r="L18" s="392">
        <f t="shared" si="7"/>
        <v>446.40499999999992</v>
      </c>
      <c r="M18" s="392">
        <f t="shared" si="7"/>
        <v>373.52</v>
      </c>
      <c r="N18" s="392">
        <f t="shared" si="7"/>
        <v>209.67950000000002</v>
      </c>
      <c r="O18" s="392">
        <f t="shared" si="7"/>
        <v>234.93000000000004</v>
      </c>
      <c r="P18" s="392">
        <f t="shared" si="7"/>
        <v>897.35850000000005</v>
      </c>
      <c r="Q18" s="392">
        <f t="shared" si="7"/>
        <v>151.95500000000001</v>
      </c>
      <c r="R18" s="392">
        <f t="shared" si="7"/>
        <v>407.68440000000004</v>
      </c>
      <c r="S18" s="392">
        <f t="shared" si="7"/>
        <v>71.789500000000004</v>
      </c>
      <c r="T18" s="392">
        <f t="shared" si="7"/>
        <v>102.05000000000001</v>
      </c>
      <c r="U18" s="392">
        <f t="shared" si="7"/>
        <v>1535.45</v>
      </c>
      <c r="V18" s="392">
        <f t="shared" si="7"/>
        <v>441.55950000000001</v>
      </c>
      <c r="W18" s="392">
        <f t="shared" si="7"/>
        <v>285.93999999999994</v>
      </c>
      <c r="X18" s="392">
        <f t="shared" si="7"/>
        <v>0</v>
      </c>
      <c r="Y18" s="392">
        <f t="shared" si="7"/>
        <v>0</v>
      </c>
      <c r="AA18" s="395">
        <f t="shared" si="5"/>
        <v>5756.3292700000002</v>
      </c>
      <c r="AB18" s="395">
        <f t="shared" si="2"/>
        <v>38.608984124003143</v>
      </c>
      <c r="AC18" s="396">
        <f t="shared" si="3"/>
        <v>28.493773101406831</v>
      </c>
    </row>
    <row r="19" spans="1:29" s="2" customFormat="1" ht="15.75" hidden="1" customHeight="1">
      <c r="A19" s="94" t="s">
        <v>47</v>
      </c>
      <c r="B19" s="95" t="s">
        <v>48</v>
      </c>
      <c r="C19" s="94" t="s">
        <v>49</v>
      </c>
      <c r="D19" s="292">
        <v>432.72</v>
      </c>
      <c r="E19" s="292">
        <f t="shared" si="4"/>
        <v>-145.51132999999999</v>
      </c>
      <c r="F19" s="292">
        <f t="shared" si="6"/>
        <v>287.20867000000004</v>
      </c>
      <c r="G19" s="292">
        <f>'Bac Son'!BN26</f>
        <v>44.83</v>
      </c>
      <c r="H19" s="292">
        <f>'Hai Son'!BN26</f>
        <v>63.778669999999998</v>
      </c>
      <c r="I19" s="292">
        <f>'Quang Nghia'!BN26</f>
        <v>0.68</v>
      </c>
      <c r="J19" s="292">
        <f>'Hai Dong'!BN26</f>
        <v>11.35</v>
      </c>
      <c r="K19" s="292">
        <f>'Hai Tien'!BN26</f>
        <v>3.71</v>
      </c>
      <c r="L19" s="292">
        <f>'Hai Xuan'!BN26</f>
        <v>0</v>
      </c>
      <c r="M19" s="292">
        <f>'Van Ninh'!BN26</f>
        <v>0</v>
      </c>
      <c r="N19" s="292">
        <f>'Vinh Trung'!BN26</f>
        <v>5.38</v>
      </c>
      <c r="O19" s="292">
        <f>'Vinh Thuc'!BN26</f>
        <v>53.27</v>
      </c>
      <c r="P19" s="292">
        <f>'Hai Yen'!BN26</f>
        <v>18.489999999999998</v>
      </c>
      <c r="Q19" s="292">
        <f>'Ka Long'!BN26</f>
        <v>1.85</v>
      </c>
      <c r="R19" s="292">
        <f>'Ninh Duong'!BN26</f>
        <v>14.43</v>
      </c>
      <c r="S19" s="292">
        <f>'Hoa Lac'!BN26</f>
        <v>5.47</v>
      </c>
      <c r="T19" s="292">
        <f>'Tran Phu'!BN26</f>
        <v>19.940000000000001</v>
      </c>
      <c r="U19" s="292">
        <f>'Hai Hoa'!BN26</f>
        <v>33.67</v>
      </c>
      <c r="V19" s="292">
        <f>'Tra Co'!BN26</f>
        <v>10.07</v>
      </c>
      <c r="W19" s="292">
        <f>'Binh Ngoc'!BN26</f>
        <v>0.28999999999999998</v>
      </c>
      <c r="X19" s="292">
        <f>'Lien vị'!BN26</f>
        <v>0</v>
      </c>
      <c r="Y19" s="292">
        <f>'Tien Phong'!BN26</f>
        <v>0</v>
      </c>
      <c r="AA19" s="190">
        <f t="shared" si="5"/>
        <v>203.33867000000001</v>
      </c>
      <c r="AB19" s="190">
        <f t="shared" si="2"/>
        <v>1.3638378059332097</v>
      </c>
      <c r="AC19" s="385">
        <f t="shared" si="3"/>
        <v>0.95149941112843051</v>
      </c>
    </row>
    <row r="20" spans="1:29" s="2" customFormat="1" ht="15.75" hidden="1" customHeight="1">
      <c r="A20" s="94" t="s">
        <v>50</v>
      </c>
      <c r="B20" s="95" t="s">
        <v>51</v>
      </c>
      <c r="C20" s="94" t="s">
        <v>52</v>
      </c>
      <c r="D20" s="292">
        <v>530.26</v>
      </c>
      <c r="E20" s="292">
        <f t="shared" si="4"/>
        <v>-520.42999999999995</v>
      </c>
      <c r="F20" s="292">
        <f t="shared" si="6"/>
        <v>9.83</v>
      </c>
      <c r="G20" s="292">
        <f>'Bac Son'!BN27</f>
        <v>0</v>
      </c>
      <c r="H20" s="292">
        <f>'Hai Son'!BN27</f>
        <v>0</v>
      </c>
      <c r="I20" s="292">
        <f>'Quang Nghia'!BN27</f>
        <v>0</v>
      </c>
      <c r="J20" s="292">
        <f>'Hai Dong'!BN27</f>
        <v>0</v>
      </c>
      <c r="K20" s="292">
        <f>'Hai Tien'!BN27</f>
        <v>0</v>
      </c>
      <c r="L20" s="292">
        <f>'Hai Xuan'!BN27</f>
        <v>0</v>
      </c>
      <c r="M20" s="292">
        <f>'Van Ninh'!BN27</f>
        <v>0</v>
      </c>
      <c r="N20" s="292">
        <f>'Vinh Trung'!BN27</f>
        <v>0</v>
      </c>
      <c r="O20" s="292">
        <f>'Vinh Thuc'!BN27</f>
        <v>0</v>
      </c>
      <c r="P20" s="292">
        <f>'Hai Yen'!BN27</f>
        <v>0.61</v>
      </c>
      <c r="Q20" s="292">
        <f>'Ka Long'!BN27</f>
        <v>0.22</v>
      </c>
      <c r="R20" s="292">
        <f>'Ninh Duong'!BN27</f>
        <v>0.16</v>
      </c>
      <c r="S20" s="292">
        <f>'Hoa Lac'!BN27</f>
        <v>0.43</v>
      </c>
      <c r="T20" s="292">
        <f>'Tran Phu'!BN27</f>
        <v>0.46</v>
      </c>
      <c r="U20" s="292">
        <f>'Hai Hoa'!BN27</f>
        <v>6.37</v>
      </c>
      <c r="V20" s="292">
        <f>'Tra Co'!BN27</f>
        <v>1.19</v>
      </c>
      <c r="W20" s="292">
        <f>'Binh Ngoc'!BN27</f>
        <v>0.39</v>
      </c>
      <c r="X20" s="292">
        <f>'Lien vị'!BN27</f>
        <v>0</v>
      </c>
      <c r="Y20" s="292">
        <f>'Tien Phong'!BN27</f>
        <v>0</v>
      </c>
      <c r="AA20" s="190">
        <f t="shared" si="5"/>
        <v>0.83</v>
      </c>
      <c r="AB20" s="190">
        <f t="shared" si="2"/>
        <v>5.5669950970199805E-3</v>
      </c>
      <c r="AC20" s="385">
        <f t="shared" si="3"/>
        <v>3.256600579429747E-2</v>
      </c>
    </row>
    <row r="21" spans="1:29" s="2" customFormat="1" ht="15.75" hidden="1" customHeight="1">
      <c r="A21" s="94" t="s">
        <v>53</v>
      </c>
      <c r="B21" s="95" t="s">
        <v>54</v>
      </c>
      <c r="C21" s="94" t="s">
        <v>55</v>
      </c>
      <c r="D21" s="292">
        <v>2774</v>
      </c>
      <c r="E21" s="292">
        <f t="shared" si="4"/>
        <v>-2656.19</v>
      </c>
      <c r="F21" s="292">
        <f t="shared" si="6"/>
        <v>117.81</v>
      </c>
      <c r="G21" s="292">
        <f>'Bac Son'!BN28</f>
        <v>0</v>
      </c>
      <c r="H21" s="292">
        <f>'Hai Son'!BN28</f>
        <v>0</v>
      </c>
      <c r="I21" s="292">
        <f>'Quang Nghia'!BN28</f>
        <v>0</v>
      </c>
      <c r="J21" s="292">
        <f>'Hai Dong'!BN28</f>
        <v>0</v>
      </c>
      <c r="K21" s="292">
        <f>'Hai Tien'!BN28</f>
        <v>0</v>
      </c>
      <c r="L21" s="292">
        <f>'Hai Xuan'!BN28</f>
        <v>0</v>
      </c>
      <c r="M21" s="292">
        <f>'Van Ninh'!BN28</f>
        <v>0</v>
      </c>
      <c r="N21" s="292">
        <f>'Vinh Trung'!BN28</f>
        <v>0</v>
      </c>
      <c r="O21" s="292">
        <f>'Vinh Thuc'!BN28</f>
        <v>0</v>
      </c>
      <c r="P21" s="292">
        <f>'Hai Yen'!BN28</f>
        <v>117.81</v>
      </c>
      <c r="Q21" s="292">
        <f>'Ka Long'!BN28</f>
        <v>0</v>
      </c>
      <c r="R21" s="292">
        <f>'Ninh Duong'!BN28</f>
        <v>0</v>
      </c>
      <c r="S21" s="292">
        <f>'Hoa Lac'!BN28</f>
        <v>0</v>
      </c>
      <c r="T21" s="292">
        <f>'Tran Phu'!BN28</f>
        <v>0</v>
      </c>
      <c r="U21" s="292">
        <f>'Hai Hoa'!BN28</f>
        <v>0</v>
      </c>
      <c r="V21" s="292">
        <f>'Tra Co'!BN28</f>
        <v>0</v>
      </c>
      <c r="W21" s="292">
        <f>'Binh Ngoc'!BN28</f>
        <v>0</v>
      </c>
      <c r="X21" s="292">
        <f>'Lien vị'!BN28</f>
        <v>0</v>
      </c>
      <c r="Y21" s="292">
        <f>'Tien Phong'!BN28</f>
        <v>0</v>
      </c>
      <c r="AA21" s="190">
        <f t="shared" si="5"/>
        <v>117.81</v>
      </c>
      <c r="AB21" s="190">
        <f t="shared" si="2"/>
        <v>0.7901779426264145</v>
      </c>
      <c r="AC21" s="385">
        <f t="shared" si="3"/>
        <v>0.39029513149808598</v>
      </c>
    </row>
    <row r="22" spans="1:29" s="2" customFormat="1" ht="15.75" hidden="1" customHeight="1">
      <c r="A22" s="94" t="s">
        <v>56</v>
      </c>
      <c r="B22" s="95" t="s">
        <v>57</v>
      </c>
      <c r="C22" s="94" t="s">
        <v>58</v>
      </c>
      <c r="D22" s="292"/>
      <c r="E22" s="292">
        <f t="shared" si="4"/>
        <v>0</v>
      </c>
      <c r="F22" s="292">
        <f t="shared" si="6"/>
        <v>0</v>
      </c>
      <c r="G22" s="292">
        <f>'Bac Son'!BN29</f>
        <v>0</v>
      </c>
      <c r="H22" s="292">
        <f>'Hai Son'!BN29</f>
        <v>0</v>
      </c>
      <c r="I22" s="292">
        <f>'Quang Nghia'!BN29</f>
        <v>0</v>
      </c>
      <c r="J22" s="292">
        <f>'Hai Dong'!BN29</f>
        <v>0</v>
      </c>
      <c r="K22" s="292">
        <f>'Hai Tien'!BN29</f>
        <v>0</v>
      </c>
      <c r="L22" s="292">
        <f>'Hai Xuan'!BN29</f>
        <v>0</v>
      </c>
      <c r="M22" s="292">
        <f>'Van Ninh'!BN29</f>
        <v>0</v>
      </c>
      <c r="N22" s="292">
        <f>'Vinh Trung'!BN29</f>
        <v>0</v>
      </c>
      <c r="O22" s="292">
        <f>'Vinh Thuc'!BN29</f>
        <v>0</v>
      </c>
      <c r="P22" s="292">
        <f>'Hai Yen'!BN29</f>
        <v>0</v>
      </c>
      <c r="Q22" s="292">
        <f>'Ka Long'!BN29</f>
        <v>0</v>
      </c>
      <c r="R22" s="292">
        <f>'Ninh Duong'!BN29</f>
        <v>0</v>
      </c>
      <c r="S22" s="292">
        <f>'Hoa Lac'!BN29</f>
        <v>0</v>
      </c>
      <c r="T22" s="292">
        <f>'Tran Phu'!BN29</f>
        <v>0</v>
      </c>
      <c r="U22" s="292">
        <f>'Hai Hoa'!BN29</f>
        <v>0</v>
      </c>
      <c r="V22" s="292">
        <f>'Tra Co'!BN29</f>
        <v>0</v>
      </c>
      <c r="W22" s="292">
        <f>'Binh Ngoc'!BN29</f>
        <v>0</v>
      </c>
      <c r="X22" s="292">
        <f>'Lien vị'!BN29</f>
        <v>0</v>
      </c>
      <c r="Y22" s="292">
        <f>'Tien Phong'!BN29</f>
        <v>0</v>
      </c>
      <c r="AA22" s="190">
        <f t="shared" si="5"/>
        <v>0</v>
      </c>
      <c r="AB22" s="190">
        <f t="shared" si="2"/>
        <v>0</v>
      </c>
      <c r="AC22" s="385">
        <f t="shared" si="3"/>
        <v>0</v>
      </c>
    </row>
    <row r="23" spans="1:29" s="2" customFormat="1" ht="15.75" hidden="1" customHeight="1">
      <c r="A23" s="94" t="s">
        <v>59</v>
      </c>
      <c r="B23" s="95" t="s">
        <v>60</v>
      </c>
      <c r="C23" s="94" t="s">
        <v>61</v>
      </c>
      <c r="D23" s="292">
        <v>10</v>
      </c>
      <c r="E23" s="292">
        <f t="shared" si="4"/>
        <v>189.79</v>
      </c>
      <c r="F23" s="292">
        <f t="shared" si="6"/>
        <v>199.79</v>
      </c>
      <c r="G23" s="292">
        <f>'Bac Son'!BN30</f>
        <v>0</v>
      </c>
      <c r="H23" s="292">
        <f>'Hai Son'!BN30</f>
        <v>0</v>
      </c>
      <c r="I23" s="292">
        <f>'Quang Nghia'!BN30</f>
        <v>0</v>
      </c>
      <c r="J23" s="292">
        <f>'Hai Dong'!BN30</f>
        <v>0</v>
      </c>
      <c r="K23" s="292">
        <f>'Hai Tien'!BN30</f>
        <v>0</v>
      </c>
      <c r="L23" s="292">
        <f>'Hai Xuan'!BN30</f>
        <v>0</v>
      </c>
      <c r="M23" s="292">
        <f>'Van Ninh'!BN30</f>
        <v>0</v>
      </c>
      <c r="N23" s="292">
        <f>'Vinh Trung'!BN30</f>
        <v>0</v>
      </c>
      <c r="O23" s="292">
        <f>'Vinh Thuc'!BN30</f>
        <v>0</v>
      </c>
      <c r="P23" s="292">
        <f>'Hai Yen'!BN30</f>
        <v>0</v>
      </c>
      <c r="Q23" s="292">
        <f>'Ka Long'!BN30</f>
        <v>0</v>
      </c>
      <c r="R23" s="292">
        <f>'Ninh Duong'!BN30</f>
        <v>0</v>
      </c>
      <c r="S23" s="292">
        <f>'Hoa Lac'!BN30</f>
        <v>0</v>
      </c>
      <c r="T23" s="292">
        <f>'Tran Phu'!BN30</f>
        <v>0</v>
      </c>
      <c r="U23" s="292">
        <f>'Hai Hoa'!BN30</f>
        <v>199.79</v>
      </c>
      <c r="V23" s="292">
        <f>'Tra Co'!BN30</f>
        <v>0</v>
      </c>
      <c r="W23" s="292">
        <f>'Binh Ngoc'!BN30</f>
        <v>0</v>
      </c>
      <c r="X23" s="292">
        <f>'Lien vị'!BN30</f>
        <v>0</v>
      </c>
      <c r="Y23" s="292">
        <f>'Tien Phong'!BN30</f>
        <v>0</v>
      </c>
      <c r="AA23" s="190">
        <f t="shared" si="5"/>
        <v>0</v>
      </c>
      <c r="AB23" s="190">
        <f t="shared" si="2"/>
        <v>0</v>
      </c>
      <c r="AC23" s="385">
        <f t="shared" si="3"/>
        <v>0.66188833139803582</v>
      </c>
    </row>
    <row r="24" spans="1:29" s="2" customFormat="1" ht="15.75" hidden="1" customHeight="1">
      <c r="A24" s="94" t="s">
        <v>62</v>
      </c>
      <c r="B24" s="95" t="s">
        <v>63</v>
      </c>
      <c r="C24" s="94" t="s">
        <v>64</v>
      </c>
      <c r="D24" s="292">
        <v>252.28</v>
      </c>
      <c r="E24" s="292">
        <f t="shared" si="4"/>
        <v>187.42717000000002</v>
      </c>
      <c r="F24" s="292">
        <f t="shared" si="6"/>
        <v>439.70717000000002</v>
      </c>
      <c r="G24" s="292">
        <f>'Bac Son'!BN31</f>
        <v>24.09</v>
      </c>
      <c r="H24" s="292">
        <f>'Hai Son'!BN31</f>
        <v>0.32517000000000001</v>
      </c>
      <c r="I24" s="292">
        <f>'Quang Nghia'!BN31</f>
        <v>3.21</v>
      </c>
      <c r="J24" s="292">
        <f>'Hai Dong'!BN31</f>
        <v>0.2</v>
      </c>
      <c r="K24" s="292">
        <f>'Hai Tien'!BN31</f>
        <v>6.18</v>
      </c>
      <c r="L24" s="292">
        <f>'Hai Xuan'!BN31</f>
        <v>1.94</v>
      </c>
      <c r="M24" s="292">
        <f>'Van Ninh'!BN31</f>
        <v>5.27</v>
      </c>
      <c r="N24" s="292">
        <f>'Vinh Trung'!BN31</f>
        <v>0</v>
      </c>
      <c r="O24" s="292">
        <f>'Vinh Thuc'!BN31</f>
        <v>0</v>
      </c>
      <c r="P24" s="292">
        <f>'Hai Yen'!BN31</f>
        <v>173.71</v>
      </c>
      <c r="Q24" s="292">
        <f>'Ka Long'!BN31</f>
        <v>9.0378000000000007</v>
      </c>
      <c r="R24" s="292">
        <f>'Ninh Duong'!BN31</f>
        <v>17.664200000000001</v>
      </c>
      <c r="S24" s="292">
        <f>'Hoa Lac'!BN31</f>
        <v>2.67</v>
      </c>
      <c r="T24" s="292">
        <f>'Tran Phu'!BN31</f>
        <v>16.920000000000002</v>
      </c>
      <c r="U24" s="292">
        <f>'Hai Hoa'!BN31</f>
        <v>93.72</v>
      </c>
      <c r="V24" s="292">
        <f>'Tra Co'!BN31</f>
        <v>84.41</v>
      </c>
      <c r="W24" s="292">
        <f>'Binh Ngoc'!BN31</f>
        <v>0.36</v>
      </c>
      <c r="X24" s="292">
        <f>'Lien vị'!BN31</f>
        <v>0</v>
      </c>
      <c r="Y24" s="292">
        <f>'Tien Phong'!BN31</f>
        <v>0</v>
      </c>
      <c r="AA24" s="190">
        <f t="shared" si="5"/>
        <v>223.96297000000001</v>
      </c>
      <c r="AB24" s="190">
        <f t="shared" si="2"/>
        <v>1.502169585426546</v>
      </c>
      <c r="AC24" s="385">
        <f t="shared" si="3"/>
        <v>1.4567147757898418</v>
      </c>
    </row>
    <row r="25" spans="1:29" s="2" customFormat="1" ht="16.5" hidden="1" customHeight="1">
      <c r="A25" s="94" t="s">
        <v>65</v>
      </c>
      <c r="B25" s="95" t="s">
        <v>66</v>
      </c>
      <c r="C25" s="94" t="s">
        <v>67</v>
      </c>
      <c r="D25" s="292">
        <v>475.91</v>
      </c>
      <c r="E25" s="292">
        <f t="shared" si="4"/>
        <v>-245.82000000000005</v>
      </c>
      <c r="F25" s="292">
        <f t="shared" si="6"/>
        <v>230.08999999999997</v>
      </c>
      <c r="G25" s="292">
        <f>'Bac Son'!BN32</f>
        <v>0</v>
      </c>
      <c r="H25" s="292">
        <f>'Hai Son'!BN32</f>
        <v>3.47</v>
      </c>
      <c r="I25" s="292">
        <f>'Quang Nghia'!BN32</f>
        <v>6.8199999999999994</v>
      </c>
      <c r="J25" s="292">
        <f>'Hai Dong'!BN32</f>
        <v>0.26</v>
      </c>
      <c r="K25" s="292">
        <f>'Hai Tien'!BN32</f>
        <v>12.18</v>
      </c>
      <c r="L25" s="292">
        <f>'Hai Xuan'!BN32</f>
        <v>5.89</v>
      </c>
      <c r="M25" s="292">
        <f>'Van Ninh'!BN32</f>
        <v>1.4499999999999993</v>
      </c>
      <c r="N25" s="292">
        <f>'Vinh Trung'!BN32</f>
        <v>0.55000000000000004</v>
      </c>
      <c r="O25" s="292">
        <f>'Vinh Thuc'!BN32</f>
        <v>1.51</v>
      </c>
      <c r="P25" s="292">
        <f>'Hai Yen'!BN32</f>
        <v>23.53</v>
      </c>
      <c r="Q25" s="292">
        <f>'Ka Long'!BN32</f>
        <v>16.350000000000001</v>
      </c>
      <c r="R25" s="292">
        <f>'Ninh Duong'!BN32</f>
        <v>60.28</v>
      </c>
      <c r="S25" s="292">
        <f>'Hoa Lac'!BN32</f>
        <v>0</v>
      </c>
      <c r="T25" s="292">
        <f>'Tran Phu'!BN32</f>
        <v>0</v>
      </c>
      <c r="U25" s="292">
        <f>'Hai Hoa'!BN32</f>
        <v>93.74</v>
      </c>
      <c r="V25" s="292">
        <f>'Tra Co'!BN32</f>
        <v>0</v>
      </c>
      <c r="W25" s="292">
        <f>'Binh Ngoc'!BN32</f>
        <v>4.0599999999999996</v>
      </c>
      <c r="X25" s="292">
        <f>'Lien vị'!BN32</f>
        <v>0</v>
      </c>
      <c r="Y25" s="292">
        <f>'Tien Phong'!BN32</f>
        <v>0</v>
      </c>
      <c r="AA25" s="190">
        <f t="shared" si="5"/>
        <v>72.009999999999991</v>
      </c>
      <c r="AB25" s="190">
        <f t="shared" si="2"/>
        <v>0.48298712883904671</v>
      </c>
      <c r="AC25" s="385">
        <f t="shared" si="3"/>
        <v>0.76226981416174</v>
      </c>
    </row>
    <row r="26" spans="1:29" s="2" customFormat="1" ht="15" hidden="1" customHeight="1">
      <c r="A26" s="94" t="s">
        <v>68</v>
      </c>
      <c r="B26" s="95" t="s">
        <v>69</v>
      </c>
      <c r="C26" s="94" t="s">
        <v>70</v>
      </c>
      <c r="D26" s="292"/>
      <c r="E26" s="292">
        <f t="shared" si="4"/>
        <v>0</v>
      </c>
      <c r="F26" s="292">
        <f t="shared" si="6"/>
        <v>0</v>
      </c>
      <c r="G26" s="292">
        <f>'Bac Son'!BN33</f>
        <v>0</v>
      </c>
      <c r="H26" s="292">
        <f>'Hai Son'!BN33</f>
        <v>0</v>
      </c>
      <c r="I26" s="292">
        <f>'Quang Nghia'!BN33</f>
        <v>0</v>
      </c>
      <c r="J26" s="292">
        <f>'Hai Dong'!BN33</f>
        <v>0</v>
      </c>
      <c r="K26" s="292">
        <f>'Hai Tien'!BN33</f>
        <v>0</v>
      </c>
      <c r="L26" s="292">
        <f>'Hai Xuan'!BN33</f>
        <v>0</v>
      </c>
      <c r="M26" s="292">
        <f>'Van Ninh'!BN33</f>
        <v>0</v>
      </c>
      <c r="N26" s="292">
        <f>'Vinh Trung'!BN33</f>
        <v>0</v>
      </c>
      <c r="O26" s="292">
        <f>'Vinh Thuc'!BN33</f>
        <v>0</v>
      </c>
      <c r="P26" s="292">
        <f>'Hai Yen'!BN33</f>
        <v>0</v>
      </c>
      <c r="Q26" s="292">
        <f>'Ka Long'!BN33</f>
        <v>0</v>
      </c>
      <c r="R26" s="292">
        <f>'Ninh Duong'!BN33</f>
        <v>0</v>
      </c>
      <c r="S26" s="292">
        <f>'Hoa Lac'!BN33</f>
        <v>0</v>
      </c>
      <c r="T26" s="292">
        <f>'Tran Phu'!BN33</f>
        <v>0</v>
      </c>
      <c r="U26" s="292">
        <f>'Hai Hoa'!BN33</f>
        <v>0</v>
      </c>
      <c r="V26" s="292">
        <f>'Tra Co'!BN33</f>
        <v>0</v>
      </c>
      <c r="W26" s="292">
        <f>'Binh Ngoc'!BN33</f>
        <v>0</v>
      </c>
      <c r="X26" s="292">
        <f>'Lien vị'!BN33</f>
        <v>0</v>
      </c>
      <c r="Y26" s="292">
        <f>'Tien Phong'!BN33</f>
        <v>0</v>
      </c>
      <c r="AA26" s="190">
        <f t="shared" si="5"/>
        <v>0</v>
      </c>
      <c r="AB26" s="190">
        <f t="shared" si="2"/>
        <v>0</v>
      </c>
      <c r="AC26" s="385">
        <f t="shared" si="3"/>
        <v>0</v>
      </c>
    </row>
    <row r="27" spans="1:29" s="2" customFormat="1" ht="33" hidden="1" customHeight="1">
      <c r="A27" s="94" t="s">
        <v>71</v>
      </c>
      <c r="B27" s="95" t="s">
        <v>135</v>
      </c>
      <c r="C27" s="94" t="s">
        <v>72</v>
      </c>
      <c r="D27" s="292">
        <v>2187.58</v>
      </c>
      <c r="E27" s="292">
        <f t="shared" si="4"/>
        <v>139.39249999999993</v>
      </c>
      <c r="F27" s="292">
        <f t="shared" si="6"/>
        <v>2326.9724999999999</v>
      </c>
      <c r="G27" s="292">
        <f>'Bac Son'!BN34</f>
        <v>96.969500000000011</v>
      </c>
      <c r="H27" s="292">
        <f>'Hai Son'!BN34</f>
        <v>58.238599999999998</v>
      </c>
      <c r="I27" s="292">
        <f>'Quang Nghia'!BN34</f>
        <v>218.91950000000006</v>
      </c>
      <c r="J27" s="292">
        <f>'Hai Dong'!BN34</f>
        <v>178.30500000000001</v>
      </c>
      <c r="K27" s="292">
        <f>'Hai Tien'!BN34</f>
        <v>163.15999999999997</v>
      </c>
      <c r="L27" s="292">
        <f>'Hai Xuan'!BN34</f>
        <v>157.13499999999999</v>
      </c>
      <c r="M27" s="292">
        <f>'Van Ninh'!BN34</f>
        <v>168.92</v>
      </c>
      <c r="N27" s="292">
        <f>'Vinh Trung'!BN34</f>
        <v>75.219499999999996</v>
      </c>
      <c r="O27" s="292">
        <f>'Vinh Thuc'!BN34</f>
        <v>84.49</v>
      </c>
      <c r="P27" s="292">
        <f>'Hai Yen'!BN34</f>
        <v>290.67519999999996</v>
      </c>
      <c r="Q27" s="292">
        <f>'Ka Long'!BN34</f>
        <v>60.747900000000001</v>
      </c>
      <c r="R27" s="292">
        <f>'Ninh Duong'!BN34</f>
        <v>137.05279999999999</v>
      </c>
      <c r="S27" s="292">
        <f>'Hoa Lac'!BN34</f>
        <v>29.960000000000004</v>
      </c>
      <c r="T27" s="292">
        <f>'Tran Phu'!BN34</f>
        <v>39.74</v>
      </c>
      <c r="U27" s="292">
        <f>'Hai Hoa'!BN34</f>
        <v>280.55999999999995</v>
      </c>
      <c r="V27" s="292">
        <f>'Tra Co'!BN34</f>
        <v>168.08949999999999</v>
      </c>
      <c r="W27" s="292">
        <f>'Binh Ngoc'!BN34</f>
        <v>118.79</v>
      </c>
      <c r="X27" s="292">
        <f>'Lien vị'!BN34</f>
        <v>0</v>
      </c>
      <c r="Y27" s="292">
        <f>'Tien Phong'!BN34</f>
        <v>0</v>
      </c>
      <c r="AA27" s="190">
        <f t="shared" si="5"/>
        <v>1552.7801999999999</v>
      </c>
      <c r="AB27" s="190">
        <f t="shared" si="2"/>
        <v>10.414843084517717</v>
      </c>
      <c r="AC27" s="385">
        <f t="shared" si="3"/>
        <v>7.7090742541374233</v>
      </c>
    </row>
    <row r="28" spans="1:29" s="191" customFormat="1" ht="16.5" hidden="1" customHeight="1">
      <c r="A28" s="94"/>
      <c r="B28" s="95" t="s">
        <v>159</v>
      </c>
      <c r="C28" s="94"/>
      <c r="D28" s="292"/>
      <c r="E28" s="292"/>
      <c r="F28" s="292"/>
      <c r="G28" s="292"/>
      <c r="H28" s="292"/>
      <c r="I28" s="292"/>
      <c r="J28" s="292"/>
      <c r="K28" s="292"/>
      <c r="L28" s="292"/>
      <c r="M28" s="292"/>
      <c r="N28" s="292"/>
      <c r="O28" s="292"/>
      <c r="P28" s="292"/>
      <c r="Q28" s="292"/>
      <c r="R28" s="292"/>
      <c r="S28" s="292"/>
      <c r="T28" s="292"/>
      <c r="U28" s="292"/>
      <c r="V28" s="292"/>
      <c r="W28" s="292"/>
      <c r="X28" s="292"/>
      <c r="Y28" s="292"/>
      <c r="AA28" s="274"/>
      <c r="AB28" s="274"/>
      <c r="AC28" s="385">
        <f t="shared" si="3"/>
        <v>0</v>
      </c>
    </row>
    <row r="29" spans="1:29" s="251" customFormat="1" ht="16.5" hidden="1" customHeight="1">
      <c r="A29" s="290" t="s">
        <v>346</v>
      </c>
      <c r="B29" s="250" t="s">
        <v>517</v>
      </c>
      <c r="C29" s="249" t="s">
        <v>202</v>
      </c>
      <c r="D29" s="293">
        <v>51.31</v>
      </c>
      <c r="E29" s="293">
        <f>F29-D29</f>
        <v>-33.379999999999995</v>
      </c>
      <c r="F29" s="292">
        <f t="shared" si="6"/>
        <v>17.930000000000003</v>
      </c>
      <c r="G29" s="293">
        <f>'Bac Son'!BN35</f>
        <v>0</v>
      </c>
      <c r="H29" s="293">
        <f>'Hai Son'!BN35</f>
        <v>0</v>
      </c>
      <c r="I29" s="293">
        <f>'Quang Nghia'!BN35</f>
        <v>0.22</v>
      </c>
      <c r="J29" s="293">
        <f>'Hai Dong'!BN35</f>
        <v>0.23</v>
      </c>
      <c r="K29" s="293">
        <f>'Hai Tien'!BN35</f>
        <v>0.6</v>
      </c>
      <c r="L29" s="293">
        <f>'Hai Xuan'!BN35</f>
        <v>4.9850000000000003</v>
      </c>
      <c r="M29" s="293">
        <f>'Van Ninh'!BN35</f>
        <v>0</v>
      </c>
      <c r="N29" s="293">
        <f>'Vinh Trung'!BN35</f>
        <v>0.08</v>
      </c>
      <c r="O29" s="293">
        <f>'Vinh Thuc'!BN35</f>
        <v>0.08</v>
      </c>
      <c r="P29" s="293">
        <f>'Hai Yen'!BN35</f>
        <v>1.3900000000000001</v>
      </c>
      <c r="Q29" s="293">
        <f>'Ka Long'!BN35</f>
        <v>0.39500000000000002</v>
      </c>
      <c r="R29" s="293">
        <f>'Ninh Duong'!BN35</f>
        <v>0.58000000000000007</v>
      </c>
      <c r="S29" s="293">
        <f>'Hoa Lac'!BN35</f>
        <v>2.35</v>
      </c>
      <c r="T29" s="293">
        <f>'Tran Phu'!BN35</f>
        <v>0.05</v>
      </c>
      <c r="U29" s="293">
        <f>'Hai Hoa'!BN35</f>
        <v>0.89</v>
      </c>
      <c r="V29" s="293">
        <f>'Tra Co'!BN35</f>
        <v>5.4799999999999995</v>
      </c>
      <c r="W29" s="293">
        <f>'Binh Ngoc'!BN35</f>
        <v>0.6</v>
      </c>
      <c r="X29" s="293">
        <f>'Lien vị'!BN35</f>
        <v>0</v>
      </c>
      <c r="Y29" s="293">
        <f>'Tien Phong'!BN35</f>
        <v>0</v>
      </c>
      <c r="AA29" s="296"/>
      <c r="AB29" s="296"/>
      <c r="AC29" s="385">
        <f t="shared" si="3"/>
        <v>5.9400659602416452E-2</v>
      </c>
    </row>
    <row r="30" spans="1:29" s="251" customFormat="1" ht="16.5" hidden="1" customHeight="1">
      <c r="A30" s="290" t="s">
        <v>346</v>
      </c>
      <c r="B30" s="250" t="s">
        <v>518</v>
      </c>
      <c r="C30" s="249" t="s">
        <v>203</v>
      </c>
      <c r="D30" s="293">
        <v>13.13</v>
      </c>
      <c r="E30" s="293">
        <f t="shared" ref="E30:E32" si="8">F30-D30</f>
        <v>-5.1963000000000017</v>
      </c>
      <c r="F30" s="292">
        <f t="shared" si="6"/>
        <v>7.9336999999999991</v>
      </c>
      <c r="G30" s="293">
        <f>'Bac Son'!BN36</f>
        <v>0.25</v>
      </c>
      <c r="H30" s="293">
        <f>'Hai Son'!BN36</f>
        <v>0.2</v>
      </c>
      <c r="I30" s="293">
        <f>'Quang Nghia'!BN36</f>
        <v>0.12</v>
      </c>
      <c r="J30" s="293">
        <f>'Hai Dong'!BN36</f>
        <v>0.16</v>
      </c>
      <c r="K30" s="293">
        <f>'Hai Tien'!BN36</f>
        <v>0.08</v>
      </c>
      <c r="L30" s="293">
        <f>'Hai Xuan'!BN36</f>
        <v>0.08</v>
      </c>
      <c r="M30" s="293">
        <f>'Van Ninh'!BN36</f>
        <v>0.1</v>
      </c>
      <c r="N30" s="293">
        <f>'Vinh Trung'!BN36</f>
        <v>0.13</v>
      </c>
      <c r="O30" s="293">
        <f>'Vinh Thuc'!BN36</f>
        <v>0.2</v>
      </c>
      <c r="P30" s="293">
        <f>'Hai Yen'!BN36</f>
        <v>0.18</v>
      </c>
      <c r="Q30" s="293">
        <f>'Ka Long'!BN36</f>
        <v>0.03</v>
      </c>
      <c r="R30" s="293">
        <f>'Ninh Duong'!BN36</f>
        <v>5.7237</v>
      </c>
      <c r="S30" s="293">
        <f>'Hoa Lac'!BN36</f>
        <v>0.02</v>
      </c>
      <c r="T30" s="293">
        <f>'Tran Phu'!BN36</f>
        <v>0.1</v>
      </c>
      <c r="U30" s="293">
        <f>'Hai Hoa'!BN36</f>
        <v>0.25</v>
      </c>
      <c r="V30" s="293">
        <f>'Tra Co'!BN36</f>
        <v>0.18</v>
      </c>
      <c r="W30" s="293">
        <f>'Binh Ngoc'!BN36</f>
        <v>0.13</v>
      </c>
      <c r="X30" s="293">
        <f>'Lien vị'!BN36</f>
        <v>0</v>
      </c>
      <c r="Y30" s="293">
        <f>'Tien Phong'!BN36</f>
        <v>0</v>
      </c>
      <c r="AA30" s="296"/>
      <c r="AB30" s="296"/>
      <c r="AC30" s="385">
        <f t="shared" si="3"/>
        <v>2.6283715174996725E-2</v>
      </c>
    </row>
    <row r="31" spans="1:29" s="251" customFormat="1" ht="16.5" hidden="1" customHeight="1">
      <c r="A31" s="290" t="s">
        <v>346</v>
      </c>
      <c r="B31" s="250" t="s">
        <v>519</v>
      </c>
      <c r="C31" s="249" t="s">
        <v>204</v>
      </c>
      <c r="D31" s="293">
        <v>187.03</v>
      </c>
      <c r="E31" s="293">
        <f t="shared" si="8"/>
        <v>-110.57378999999999</v>
      </c>
      <c r="F31" s="292">
        <f t="shared" si="6"/>
        <v>76.456210000000013</v>
      </c>
      <c r="G31" s="293">
        <f>'Bac Son'!BN37</f>
        <v>1.7795000000000001</v>
      </c>
      <c r="H31" s="293">
        <f>'Hai Son'!BN37</f>
        <v>2.1367100000000003</v>
      </c>
      <c r="I31" s="293">
        <f>'Quang Nghia'!BN37</f>
        <v>3.33</v>
      </c>
      <c r="J31" s="293">
        <f>'Hai Dong'!BN37</f>
        <v>3.74</v>
      </c>
      <c r="K31" s="293">
        <f>'Hai Tien'!BN37</f>
        <v>5</v>
      </c>
      <c r="L31" s="293">
        <f>'Hai Xuan'!BN37</f>
        <v>3.19</v>
      </c>
      <c r="M31" s="293">
        <f>'Van Ninh'!BN37</f>
        <v>3.66</v>
      </c>
      <c r="N31" s="293">
        <f>'Vinh Trung'!BN37</f>
        <v>1.37</v>
      </c>
      <c r="O31" s="293">
        <f>'Vinh Thuc'!BN37</f>
        <v>1.74</v>
      </c>
      <c r="P31" s="293">
        <f>'Hai Yen'!BN37</f>
        <v>19.41</v>
      </c>
      <c r="Q31" s="293">
        <f>'Ka Long'!BN37</f>
        <v>5.71</v>
      </c>
      <c r="R31" s="293">
        <f>'Ninh Duong'!BN37</f>
        <v>7.88</v>
      </c>
      <c r="S31" s="293">
        <f>'Hoa Lac'!BN37</f>
        <v>1.95</v>
      </c>
      <c r="T31" s="293">
        <f>'Tran Phu'!BN37</f>
        <v>3.36</v>
      </c>
      <c r="U31" s="293">
        <f>'Hai Hoa'!BN37</f>
        <v>6.17</v>
      </c>
      <c r="V31" s="293">
        <f>'Tra Co'!BN37</f>
        <v>2.5</v>
      </c>
      <c r="W31" s="293">
        <f>'Binh Ngoc'!BN37</f>
        <v>3.5300000000000002</v>
      </c>
      <c r="X31" s="293">
        <f>'Lien vị'!BN37</f>
        <v>0</v>
      </c>
      <c r="Y31" s="293">
        <f>'Tien Phong'!BN37</f>
        <v>0</v>
      </c>
      <c r="AA31" s="296"/>
      <c r="AB31" s="296"/>
      <c r="AC31" s="385">
        <f t="shared" si="3"/>
        <v>0.25329332430010426</v>
      </c>
    </row>
    <row r="32" spans="1:29" s="251" customFormat="1" ht="16.5" hidden="1" customHeight="1">
      <c r="A32" s="290" t="s">
        <v>346</v>
      </c>
      <c r="B32" s="250" t="s">
        <v>520</v>
      </c>
      <c r="C32" s="249" t="s">
        <v>205</v>
      </c>
      <c r="D32" s="293">
        <v>225.7</v>
      </c>
      <c r="E32" s="293">
        <f t="shared" si="8"/>
        <v>-111.80199999999998</v>
      </c>
      <c r="F32" s="292">
        <f t="shared" si="6"/>
        <v>113.89800000000001</v>
      </c>
      <c r="G32" s="293">
        <f>'Bac Son'!BN38</f>
        <v>0.76</v>
      </c>
      <c r="H32" s="293">
        <f>'Hai Son'!BN38</f>
        <v>0.49</v>
      </c>
      <c r="I32" s="293">
        <f>'Quang Nghia'!BN38</f>
        <v>1.0794999999999999</v>
      </c>
      <c r="J32" s="293">
        <f>'Hai Dong'!BN38</f>
        <v>1.92</v>
      </c>
      <c r="K32" s="293">
        <f>'Hai Tien'!BN38</f>
        <v>1.57</v>
      </c>
      <c r="L32" s="293">
        <f>'Hai Xuan'!BN38</f>
        <v>0.01</v>
      </c>
      <c r="M32" s="293">
        <f>'Van Ninh'!BN38</f>
        <v>2.0499999999999998</v>
      </c>
      <c r="N32" s="293">
        <f>'Vinh Trung'!BN38</f>
        <v>1.6194999999999999</v>
      </c>
      <c r="O32" s="293">
        <f>'Vinh Thuc'!BN38</f>
        <v>2.21</v>
      </c>
      <c r="P32" s="293">
        <f>'Hai Yen'!BN38</f>
        <v>0.54</v>
      </c>
      <c r="Q32" s="293">
        <f>'Ka Long'!BN38</f>
        <v>0</v>
      </c>
      <c r="R32" s="293">
        <f>'Ninh Duong'!BN38</f>
        <v>2.9395000000000002</v>
      </c>
      <c r="S32" s="293">
        <f>'Hoa Lac'!BN38</f>
        <v>0.37</v>
      </c>
      <c r="T32" s="293">
        <f>'Tran Phu'!BN38</f>
        <v>0.41</v>
      </c>
      <c r="U32" s="293">
        <f>'Hai Hoa'!BN38</f>
        <v>0.92</v>
      </c>
      <c r="V32" s="293">
        <f>'Tra Co'!BN38</f>
        <v>96.149500000000003</v>
      </c>
      <c r="W32" s="293">
        <f>'Binh Ngoc'!BN38</f>
        <v>0.86</v>
      </c>
      <c r="X32" s="293">
        <f>'Lien vị'!BN38</f>
        <v>0</v>
      </c>
      <c r="Y32" s="293">
        <f>'Tien Phong'!BN38</f>
        <v>0</v>
      </c>
      <c r="AA32" s="296"/>
      <c r="AB32" s="296"/>
      <c r="AC32" s="385">
        <f t="shared" si="3"/>
        <v>0.37733498758483153</v>
      </c>
    </row>
    <row r="33" spans="1:29" s="2" customFormat="1" ht="15" hidden="1" customHeight="1">
      <c r="A33" s="94" t="s">
        <v>73</v>
      </c>
      <c r="B33" s="95" t="s">
        <v>74</v>
      </c>
      <c r="C33" s="94" t="s">
        <v>75</v>
      </c>
      <c r="D33" s="292">
        <v>94.86</v>
      </c>
      <c r="E33" s="292">
        <f t="shared" si="4"/>
        <v>-94.62</v>
      </c>
      <c r="F33" s="292">
        <f t="shared" si="6"/>
        <v>0.24000000000000002</v>
      </c>
      <c r="G33" s="292">
        <f>'Bac Son'!BN46</f>
        <v>0</v>
      </c>
      <c r="H33" s="292">
        <f>'Hai Son'!BN46</f>
        <v>0</v>
      </c>
      <c r="I33" s="292">
        <f>'Quang Nghia'!BN46</f>
        <v>0</v>
      </c>
      <c r="J33" s="292">
        <f>'Hai Dong'!BN46</f>
        <v>0</v>
      </c>
      <c r="K33" s="292">
        <f>'Hai Tien'!BN46</f>
        <v>0</v>
      </c>
      <c r="L33" s="292">
        <f>'Hai Xuan'!BN46</f>
        <v>0</v>
      </c>
      <c r="M33" s="292">
        <f>'Van Ninh'!BN46</f>
        <v>7.0000000000000007E-2</v>
      </c>
      <c r="N33" s="292">
        <f>'Vinh Trung'!BN46</f>
        <v>0</v>
      </c>
      <c r="O33" s="292">
        <f>'Vinh Thuc'!BN46</f>
        <v>0</v>
      </c>
      <c r="P33" s="292">
        <f>'Hai Yen'!BN46</f>
        <v>0</v>
      </c>
      <c r="Q33" s="292">
        <f>'Ka Long'!BN46</f>
        <v>0</v>
      </c>
      <c r="R33" s="292">
        <f>'Ninh Duong'!BN46</f>
        <v>0</v>
      </c>
      <c r="S33" s="292">
        <f>'Hoa Lac'!BN46</f>
        <v>0</v>
      </c>
      <c r="T33" s="292">
        <f>'Tran Phu'!BN46</f>
        <v>0</v>
      </c>
      <c r="U33" s="292">
        <f>'Hai Hoa'!BN46</f>
        <v>0</v>
      </c>
      <c r="V33" s="292">
        <f>'Tra Co'!BN46</f>
        <v>0.17</v>
      </c>
      <c r="W33" s="292">
        <f>'Binh Ngoc'!BN46</f>
        <v>0</v>
      </c>
      <c r="X33" s="292">
        <f>'Lien vị'!BN46</f>
        <v>0</v>
      </c>
      <c r="Y33" s="292">
        <f>'Tien Phong'!BN46</f>
        <v>0</v>
      </c>
      <c r="AA33" s="190">
        <f t="shared" si="5"/>
        <v>7.0000000000000007E-2</v>
      </c>
      <c r="AB33" s="190">
        <f t="shared" si="2"/>
        <v>4.6950561059204659E-4</v>
      </c>
      <c r="AC33" s="385">
        <f t="shared" si="3"/>
        <v>7.9510085357389567E-4</v>
      </c>
    </row>
    <row r="34" spans="1:29" s="2" customFormat="1" ht="15" hidden="1" customHeight="1">
      <c r="A34" s="94" t="s">
        <v>76</v>
      </c>
      <c r="B34" s="95" t="s">
        <v>77</v>
      </c>
      <c r="C34" s="94" t="s">
        <v>78</v>
      </c>
      <c r="D34" s="292"/>
      <c r="E34" s="292">
        <f t="shared" si="4"/>
        <v>0</v>
      </c>
      <c r="F34" s="292">
        <f t="shared" si="6"/>
        <v>0</v>
      </c>
      <c r="G34" s="292">
        <f>'Bac Son'!BN47</f>
        <v>0</v>
      </c>
      <c r="H34" s="292">
        <f>'Hai Son'!BN47</f>
        <v>0</v>
      </c>
      <c r="I34" s="292">
        <f>'Quang Nghia'!BN47</f>
        <v>0</v>
      </c>
      <c r="J34" s="292">
        <f>'Hai Dong'!BN47</f>
        <v>0</v>
      </c>
      <c r="K34" s="292">
        <f>'Hai Tien'!BN47</f>
        <v>0</v>
      </c>
      <c r="L34" s="292">
        <f>'Hai Xuan'!BN47</f>
        <v>0</v>
      </c>
      <c r="M34" s="292">
        <f>'Van Ninh'!BN47</f>
        <v>0</v>
      </c>
      <c r="N34" s="292">
        <f>'Vinh Trung'!BN47</f>
        <v>0</v>
      </c>
      <c r="O34" s="292">
        <f>'Vinh Thuc'!BN47</f>
        <v>0</v>
      </c>
      <c r="P34" s="292">
        <f>'Hai Yen'!BN47</f>
        <v>0</v>
      </c>
      <c r="Q34" s="292">
        <f>'Ka Long'!BN47</f>
        <v>0</v>
      </c>
      <c r="R34" s="292">
        <f>'Ninh Duong'!BN47</f>
        <v>0</v>
      </c>
      <c r="S34" s="292">
        <f>'Hoa Lac'!BN47</f>
        <v>0</v>
      </c>
      <c r="T34" s="292">
        <f>'Tran Phu'!BN47</f>
        <v>0</v>
      </c>
      <c r="U34" s="292">
        <f>'Hai Hoa'!BN47</f>
        <v>0</v>
      </c>
      <c r="V34" s="292">
        <f>'Tra Co'!BN47</f>
        <v>0</v>
      </c>
      <c r="W34" s="292">
        <f>'Binh Ngoc'!BN47</f>
        <v>0</v>
      </c>
      <c r="X34" s="292">
        <f>'Lien vị'!BN47</f>
        <v>0</v>
      </c>
      <c r="Y34" s="292">
        <f>'Tien Phong'!BN47</f>
        <v>0</v>
      </c>
      <c r="AA34" s="190">
        <f t="shared" si="5"/>
        <v>0</v>
      </c>
      <c r="AB34" s="190">
        <f t="shared" si="2"/>
        <v>0</v>
      </c>
      <c r="AC34" s="385">
        <f t="shared" si="3"/>
        <v>0</v>
      </c>
    </row>
    <row r="35" spans="1:29" s="2" customFormat="1" ht="15" hidden="1" customHeight="1">
      <c r="A35" s="94" t="s">
        <v>79</v>
      </c>
      <c r="B35" s="95" t="s">
        <v>80</v>
      </c>
      <c r="C35" s="94" t="s">
        <v>81</v>
      </c>
      <c r="D35" s="292">
        <v>5.56</v>
      </c>
      <c r="E35" s="292">
        <f t="shared" si="4"/>
        <v>50.29</v>
      </c>
      <c r="F35" s="292">
        <f t="shared" si="6"/>
        <v>55.85</v>
      </c>
      <c r="G35" s="292">
        <f>'Bac Son'!BN48</f>
        <v>0</v>
      </c>
      <c r="H35" s="292">
        <f>'Hai Son'!BN48</f>
        <v>0</v>
      </c>
      <c r="I35" s="292">
        <f>'Quang Nghia'!BN48</f>
        <v>36.15</v>
      </c>
      <c r="J35" s="292">
        <f>'Hai Dong'!BN48</f>
        <v>1.29</v>
      </c>
      <c r="K35" s="292">
        <f>'Hai Tien'!BN48</f>
        <v>4.6000000000000005</v>
      </c>
      <c r="L35" s="292">
        <f>'Hai Xuan'!BN48</f>
        <v>6.38</v>
      </c>
      <c r="M35" s="292">
        <f>'Van Ninh'!BN48</f>
        <v>1.23</v>
      </c>
      <c r="N35" s="292">
        <f>'Vinh Trung'!BN48</f>
        <v>0.16</v>
      </c>
      <c r="O35" s="292">
        <f>'Vinh Thuc'!BN48</f>
        <v>0.21</v>
      </c>
      <c r="P35" s="292">
        <f>'Hai Yen'!BN48</f>
        <v>3.84</v>
      </c>
      <c r="Q35" s="292">
        <f>'Ka Long'!BN48</f>
        <v>0</v>
      </c>
      <c r="R35" s="292">
        <f>'Ninh Duong'!BN48</f>
        <v>0</v>
      </c>
      <c r="S35" s="292">
        <f>'Hoa Lac'!BN48</f>
        <v>0</v>
      </c>
      <c r="T35" s="292">
        <f>'Tran Phu'!BN48</f>
        <v>0</v>
      </c>
      <c r="U35" s="292">
        <f>'Hai Hoa'!BN48</f>
        <v>1.9899999999999998</v>
      </c>
      <c r="V35" s="292">
        <f>'Tra Co'!BN48</f>
        <v>0</v>
      </c>
      <c r="W35" s="292">
        <f>'Binh Ngoc'!BN48</f>
        <v>0</v>
      </c>
      <c r="X35" s="292">
        <f>'Lien vị'!BN48</f>
        <v>0</v>
      </c>
      <c r="Y35" s="292">
        <f>'Tien Phong'!BN48</f>
        <v>0</v>
      </c>
      <c r="AA35" s="190">
        <f t="shared" si="5"/>
        <v>53.86</v>
      </c>
      <c r="AB35" s="190">
        <f t="shared" si="2"/>
        <v>0.36125103123553759</v>
      </c>
      <c r="AC35" s="385">
        <f t="shared" si="3"/>
        <v>0.18502659446709194</v>
      </c>
    </row>
    <row r="36" spans="1:29" s="2" customFormat="1" ht="15" hidden="1" customHeight="1">
      <c r="A36" s="94" t="s">
        <v>82</v>
      </c>
      <c r="B36" s="95" t="s">
        <v>83</v>
      </c>
      <c r="C36" s="94" t="s">
        <v>84</v>
      </c>
      <c r="D36" s="292">
        <v>577.6</v>
      </c>
      <c r="E36" s="292">
        <f t="shared" si="4"/>
        <v>-252.81045</v>
      </c>
      <c r="F36" s="292">
        <f t="shared" si="6"/>
        <v>324.78955000000002</v>
      </c>
      <c r="G36" s="292">
        <f>'Bac Son'!BN49</f>
        <v>12.62</v>
      </c>
      <c r="H36" s="292">
        <f>'Hai Son'!BN49</f>
        <v>13.379549999999998</v>
      </c>
      <c r="I36" s="292">
        <f>'Quang Nghia'!BN49</f>
        <v>22.45</v>
      </c>
      <c r="J36" s="292">
        <f>'Hai Dong'!BN49</f>
        <v>58.58</v>
      </c>
      <c r="K36" s="292">
        <f>'Hai Tien'!BN49</f>
        <v>50.28</v>
      </c>
      <c r="L36" s="292">
        <f>'Hai Xuan'!BN49</f>
        <v>76.69</v>
      </c>
      <c r="M36" s="292">
        <f>'Van Ninh'!BN49</f>
        <v>50.5</v>
      </c>
      <c r="N36" s="292">
        <f>'Vinh Trung'!BN49</f>
        <v>16.55</v>
      </c>
      <c r="O36" s="292">
        <f>'Vinh Thuc'!BN49</f>
        <v>23.740000000000002</v>
      </c>
      <c r="P36" s="292">
        <f>'Hai Yen'!BN49</f>
        <v>0</v>
      </c>
      <c r="Q36" s="292">
        <f>'Ka Long'!BN49</f>
        <v>0</v>
      </c>
      <c r="R36" s="292">
        <f>'Ninh Duong'!BN49</f>
        <v>0</v>
      </c>
      <c r="S36" s="292">
        <f>'Hoa Lac'!BN49</f>
        <v>0</v>
      </c>
      <c r="T36" s="292">
        <f>'Tran Phu'!BN49</f>
        <v>0</v>
      </c>
      <c r="U36" s="292">
        <f>'Hai Hoa'!BN49</f>
        <v>0</v>
      </c>
      <c r="V36" s="292">
        <f>'Tra Co'!BN49</f>
        <v>0</v>
      </c>
      <c r="W36" s="292">
        <f>'Binh Ngoc'!BN49</f>
        <v>0</v>
      </c>
      <c r="X36" s="292">
        <f>'Lien vị'!BN49</f>
        <v>0</v>
      </c>
      <c r="Y36" s="292">
        <f>'Tien Phong'!BN49</f>
        <v>0</v>
      </c>
      <c r="AA36" s="190">
        <f t="shared" si="5"/>
        <v>324.78955000000002</v>
      </c>
      <c r="AB36" s="190">
        <f t="shared" si="2"/>
        <v>2.178435942666658</v>
      </c>
      <c r="AC36" s="385">
        <f t="shared" si="3"/>
        <v>1.0760018684870061</v>
      </c>
    </row>
    <row r="37" spans="1:29" s="2" customFormat="1" ht="15" hidden="1" customHeight="1">
      <c r="A37" s="94" t="s">
        <v>85</v>
      </c>
      <c r="B37" s="95" t="s">
        <v>86</v>
      </c>
      <c r="C37" s="94" t="s">
        <v>87</v>
      </c>
      <c r="D37" s="292">
        <v>832.39</v>
      </c>
      <c r="E37" s="292">
        <f t="shared" si="4"/>
        <v>-460.14550000000003</v>
      </c>
      <c r="F37" s="292">
        <f t="shared" si="6"/>
        <v>372.24449999999996</v>
      </c>
      <c r="G37" s="292">
        <f>'Bac Son'!BN50</f>
        <v>0</v>
      </c>
      <c r="H37" s="292">
        <f>'Hai Son'!BN50</f>
        <v>0</v>
      </c>
      <c r="I37" s="292">
        <f>'Quang Nghia'!BN50</f>
        <v>0</v>
      </c>
      <c r="J37" s="292">
        <f>'Hai Dong'!BN50</f>
        <v>0</v>
      </c>
      <c r="K37" s="292">
        <f>'Hai Tien'!BN50</f>
        <v>0</v>
      </c>
      <c r="L37" s="292">
        <f>'Hai Xuan'!BN50</f>
        <v>0</v>
      </c>
      <c r="M37" s="292">
        <f>'Van Ninh'!BN50</f>
        <v>0</v>
      </c>
      <c r="N37" s="292">
        <f>'Vinh Trung'!BN50</f>
        <v>0</v>
      </c>
      <c r="O37" s="292">
        <f>'Vinh Thuc'!BN50</f>
        <v>0</v>
      </c>
      <c r="P37" s="292">
        <f>'Hai Yen'!BN50</f>
        <v>100.27369999999999</v>
      </c>
      <c r="Q37" s="292">
        <f>'Ka Long'!BN50</f>
        <v>36.759299999999996</v>
      </c>
      <c r="R37" s="292">
        <f>'Ninh Duong'!BN50</f>
        <v>60.9465</v>
      </c>
      <c r="S37" s="292">
        <f>'Hoa Lac'!BN50</f>
        <v>14.13</v>
      </c>
      <c r="T37" s="292">
        <f>'Tran Phu'!BN50</f>
        <v>10.904999999999999</v>
      </c>
      <c r="U37" s="292">
        <f>'Hai Hoa'!BN50</f>
        <v>86.1</v>
      </c>
      <c r="V37" s="292">
        <f>'Tra Co'!BN50</f>
        <v>34.15</v>
      </c>
      <c r="W37" s="292">
        <f>'Binh Ngoc'!BN50</f>
        <v>28.979999999999997</v>
      </c>
      <c r="X37" s="292">
        <f>'Lien vị'!BN50</f>
        <v>0</v>
      </c>
      <c r="Y37" s="292">
        <f>'Tien Phong'!BN50</f>
        <v>0</v>
      </c>
      <c r="AA37" s="190">
        <f t="shared" si="5"/>
        <v>137.03299999999999</v>
      </c>
      <c r="AB37" s="190">
        <f t="shared" si="2"/>
        <v>0.91911089051799877</v>
      </c>
      <c r="AC37" s="385">
        <f t="shared" si="3"/>
        <v>1.2332163320341165</v>
      </c>
    </row>
    <row r="38" spans="1:29" s="2" customFormat="1" ht="15" hidden="1" customHeight="1">
      <c r="A38" s="94" t="s">
        <v>88</v>
      </c>
      <c r="B38" s="95" t="s">
        <v>89</v>
      </c>
      <c r="C38" s="94" t="s">
        <v>90</v>
      </c>
      <c r="D38" s="292">
        <v>11.37</v>
      </c>
      <c r="E38" s="292">
        <f t="shared" si="4"/>
        <v>44.48028</v>
      </c>
      <c r="F38" s="292">
        <f t="shared" si="6"/>
        <v>55.850279999999998</v>
      </c>
      <c r="G38" s="292">
        <f>'Bac Son'!BN51</f>
        <v>2.15</v>
      </c>
      <c r="H38" s="292">
        <f>'Hai Son'!BN51</f>
        <v>0.45577999999999996</v>
      </c>
      <c r="I38" s="292">
        <f>'Quang Nghia'!BN51</f>
        <v>0.47</v>
      </c>
      <c r="J38" s="292">
        <f>'Hai Dong'!BN51</f>
        <v>1.1100000000000001</v>
      </c>
      <c r="K38" s="292">
        <f>'Hai Tien'!BN51</f>
        <v>4.47</v>
      </c>
      <c r="L38" s="292">
        <f>'Hai Xuan'!BN51</f>
        <v>1.1599999999999999</v>
      </c>
      <c r="M38" s="292">
        <f>'Van Ninh'!BN51</f>
        <v>0.91</v>
      </c>
      <c r="N38" s="292">
        <f>'Vinh Trung'!BN51</f>
        <v>0.65</v>
      </c>
      <c r="O38" s="292">
        <f>'Vinh Thuc'!BN51</f>
        <v>1.05</v>
      </c>
      <c r="P38" s="292">
        <f>'Hai Yen'!BN51</f>
        <v>0.71</v>
      </c>
      <c r="Q38" s="292">
        <f>'Ka Long'!BN51</f>
        <v>0.81</v>
      </c>
      <c r="R38" s="292">
        <f>'Ninh Duong'!BN51</f>
        <v>0.51</v>
      </c>
      <c r="S38" s="292">
        <f>'Hoa Lac'!BN51</f>
        <v>3.7095000000000002</v>
      </c>
      <c r="T38" s="292">
        <f>'Tran Phu'!BN51</f>
        <v>4.8849999999999998</v>
      </c>
      <c r="U38" s="292">
        <f>'Hai Hoa'!BN51</f>
        <v>31.69</v>
      </c>
      <c r="V38" s="292">
        <f>'Tra Co'!BN51</f>
        <v>0.3</v>
      </c>
      <c r="W38" s="292">
        <f>'Binh Ngoc'!BN51</f>
        <v>0.81</v>
      </c>
      <c r="X38" s="292">
        <f>'Lien vị'!BN51</f>
        <v>0</v>
      </c>
      <c r="Y38" s="292">
        <f>'Tien Phong'!BN51</f>
        <v>0</v>
      </c>
      <c r="AA38" s="190">
        <f t="shared" si="5"/>
        <v>13.945780000000001</v>
      </c>
      <c r="AB38" s="190">
        <f t="shared" si="2"/>
        <v>9.3537456486890741E-2</v>
      </c>
      <c r="AC38" s="385">
        <f t="shared" si="3"/>
        <v>0.18502752208475445</v>
      </c>
    </row>
    <row r="39" spans="1:29" s="2" customFormat="1" ht="15" hidden="1" customHeight="1">
      <c r="A39" s="94" t="s">
        <v>91</v>
      </c>
      <c r="B39" s="95" t="s">
        <v>92</v>
      </c>
      <c r="C39" s="94" t="s">
        <v>93</v>
      </c>
      <c r="D39" s="292">
        <v>4.4000000000000004</v>
      </c>
      <c r="E39" s="292">
        <f t="shared" si="4"/>
        <v>-3.7300000000000004</v>
      </c>
      <c r="F39" s="292">
        <f t="shared" si="6"/>
        <v>0.67</v>
      </c>
      <c r="G39" s="292">
        <f>'Bac Son'!BN52</f>
        <v>0</v>
      </c>
      <c r="H39" s="292">
        <f>'Hai Son'!BN52</f>
        <v>0</v>
      </c>
      <c r="I39" s="292">
        <f>'Quang Nghia'!BN52</f>
        <v>0</v>
      </c>
      <c r="J39" s="292">
        <f>'Hai Dong'!BN52</f>
        <v>0</v>
      </c>
      <c r="K39" s="292">
        <f>'Hai Tien'!BN52</f>
        <v>0</v>
      </c>
      <c r="L39" s="292">
        <f>'Hai Xuan'!BN52</f>
        <v>0</v>
      </c>
      <c r="M39" s="292">
        <f>'Van Ninh'!BN52</f>
        <v>0</v>
      </c>
      <c r="N39" s="292">
        <f>'Vinh Trung'!BN52</f>
        <v>0</v>
      </c>
      <c r="O39" s="292">
        <f>'Vinh Thuc'!BN52</f>
        <v>0</v>
      </c>
      <c r="P39" s="292">
        <f>'Hai Yen'!BN52</f>
        <v>0</v>
      </c>
      <c r="Q39" s="292">
        <f>'Ka Long'!BN52</f>
        <v>0</v>
      </c>
      <c r="R39" s="292">
        <f>'Ninh Duong'!BN52</f>
        <v>0.67</v>
      </c>
      <c r="S39" s="292">
        <f>'Hoa Lac'!BN52</f>
        <v>0</v>
      </c>
      <c r="T39" s="292">
        <f>'Tran Phu'!BN52</f>
        <v>0</v>
      </c>
      <c r="U39" s="292">
        <f>'Hai Hoa'!BN52</f>
        <v>0</v>
      </c>
      <c r="V39" s="292">
        <f>'Tra Co'!BN52</f>
        <v>0</v>
      </c>
      <c r="W39" s="292">
        <f>'Binh Ngoc'!BN52</f>
        <v>0</v>
      </c>
      <c r="X39" s="292">
        <f>'Lien vị'!BN52</f>
        <v>0</v>
      </c>
      <c r="Y39" s="292">
        <f>'Tien Phong'!BN52</f>
        <v>0</v>
      </c>
      <c r="AA39" s="190">
        <f t="shared" si="5"/>
        <v>0</v>
      </c>
      <c r="AB39" s="190">
        <f t="shared" si="2"/>
        <v>0</v>
      </c>
      <c r="AC39" s="385">
        <f t="shared" si="3"/>
        <v>2.2196565495604583E-3</v>
      </c>
    </row>
    <row r="40" spans="1:29" s="2" customFormat="1" ht="15" hidden="1" customHeight="1">
      <c r="A40" s="94" t="s">
        <v>94</v>
      </c>
      <c r="B40" s="95" t="s">
        <v>95</v>
      </c>
      <c r="C40" s="94" t="s">
        <v>96</v>
      </c>
      <c r="D40" s="292"/>
      <c r="E40" s="292">
        <f t="shared" si="4"/>
        <v>0</v>
      </c>
      <c r="F40" s="292">
        <f t="shared" si="6"/>
        <v>0</v>
      </c>
      <c r="G40" s="292">
        <f>'Bac Son'!BN53</f>
        <v>0</v>
      </c>
      <c r="H40" s="292">
        <f>'Hai Son'!BN53</f>
        <v>0</v>
      </c>
      <c r="I40" s="292">
        <f>'Quang Nghia'!BN53</f>
        <v>0</v>
      </c>
      <c r="J40" s="292">
        <f>'Hai Dong'!BN53</f>
        <v>0</v>
      </c>
      <c r="K40" s="292">
        <f>'Hai Tien'!BN53</f>
        <v>0</v>
      </c>
      <c r="L40" s="292">
        <f>'Hai Xuan'!BN53</f>
        <v>0</v>
      </c>
      <c r="M40" s="292">
        <f>'Van Ninh'!BN53</f>
        <v>0</v>
      </c>
      <c r="N40" s="292">
        <f>'Vinh Trung'!BN53</f>
        <v>0</v>
      </c>
      <c r="O40" s="292">
        <f>'Vinh Thuc'!BN53</f>
        <v>0</v>
      </c>
      <c r="P40" s="292">
        <f>'Hai Yen'!BN53</f>
        <v>0</v>
      </c>
      <c r="Q40" s="292">
        <f>'Ka Long'!BN53</f>
        <v>0</v>
      </c>
      <c r="R40" s="292">
        <f>'Ninh Duong'!BN53</f>
        <v>0</v>
      </c>
      <c r="S40" s="292">
        <f>'Hoa Lac'!BN53</f>
        <v>0</v>
      </c>
      <c r="T40" s="292">
        <f>'Tran Phu'!BN53</f>
        <v>0</v>
      </c>
      <c r="U40" s="292">
        <f>'Hai Hoa'!BN53</f>
        <v>0</v>
      </c>
      <c r="V40" s="292">
        <f>'Tra Co'!BN53</f>
        <v>0</v>
      </c>
      <c r="W40" s="292">
        <f>'Binh Ngoc'!BN53</f>
        <v>0</v>
      </c>
      <c r="X40" s="292">
        <f>'Lien vị'!BN53</f>
        <v>0</v>
      </c>
      <c r="Y40" s="292">
        <f>'Tien Phong'!BN53</f>
        <v>0</v>
      </c>
      <c r="AA40" s="190">
        <f t="shared" si="5"/>
        <v>0</v>
      </c>
      <c r="AB40" s="190">
        <f t="shared" si="2"/>
        <v>0</v>
      </c>
      <c r="AC40" s="385">
        <f t="shared" si="3"/>
        <v>0</v>
      </c>
    </row>
    <row r="41" spans="1:29" s="2" customFormat="1" ht="15" hidden="1" customHeight="1">
      <c r="A41" s="94" t="s">
        <v>97</v>
      </c>
      <c r="B41" s="95" t="s">
        <v>98</v>
      </c>
      <c r="C41" s="94" t="s">
        <v>99</v>
      </c>
      <c r="D41" s="292">
        <v>38.840000000000003</v>
      </c>
      <c r="E41" s="292">
        <f t="shared" si="4"/>
        <v>-26.720000000000002</v>
      </c>
      <c r="F41" s="292">
        <f t="shared" si="6"/>
        <v>12.120000000000001</v>
      </c>
      <c r="G41" s="292">
        <f>'Bac Son'!BN54</f>
        <v>0</v>
      </c>
      <c r="H41" s="292">
        <f>'Hai Son'!BN54</f>
        <v>0</v>
      </c>
      <c r="I41" s="292">
        <f>'Quang Nghia'!BN54</f>
        <v>0</v>
      </c>
      <c r="J41" s="292">
        <f>'Hai Dong'!BN54</f>
        <v>0</v>
      </c>
      <c r="K41" s="292">
        <f>'Hai Tien'!BN54</f>
        <v>0</v>
      </c>
      <c r="L41" s="292">
        <f>'Hai Xuan'!BN54</f>
        <v>2.3199999999999998</v>
      </c>
      <c r="M41" s="292">
        <f>'Van Ninh'!BN54</f>
        <v>0.71</v>
      </c>
      <c r="N41" s="292">
        <f>'Vinh Trung'!BN54</f>
        <v>0</v>
      </c>
      <c r="O41" s="292">
        <f>'Vinh Thuc'!BN54</f>
        <v>0</v>
      </c>
      <c r="P41" s="292">
        <f>'Hai Yen'!BN54</f>
        <v>6.01</v>
      </c>
      <c r="Q41" s="292">
        <f>'Ka Long'!BN54</f>
        <v>0.4</v>
      </c>
      <c r="R41" s="292">
        <f>'Ninh Duong'!BN54</f>
        <v>0.54</v>
      </c>
      <c r="S41" s="292">
        <f>'Hoa Lac'!BN54</f>
        <v>0</v>
      </c>
      <c r="T41" s="292">
        <f>'Tran Phu'!BN54</f>
        <v>0</v>
      </c>
      <c r="U41" s="292">
        <f>'Hai Hoa'!BN54</f>
        <v>0</v>
      </c>
      <c r="V41" s="292">
        <f>'Tra Co'!BN54</f>
        <v>2</v>
      </c>
      <c r="W41" s="292">
        <f>'Binh Ngoc'!BN54</f>
        <v>0.14000000000000001</v>
      </c>
      <c r="X41" s="292">
        <f>'Lien vị'!BN54</f>
        <v>0</v>
      </c>
      <c r="Y41" s="292">
        <f>'Tien Phong'!BN54</f>
        <v>0</v>
      </c>
      <c r="AA41" s="190">
        <f t="shared" si="5"/>
        <v>9.44</v>
      </c>
      <c r="AB41" s="190">
        <f t="shared" si="2"/>
        <v>6.331618519984171E-2</v>
      </c>
      <c r="AC41" s="385">
        <f t="shared" si="3"/>
        <v>4.0152593105481728E-2</v>
      </c>
    </row>
    <row r="42" spans="1:29" s="2" customFormat="1" ht="29.25" hidden="1" customHeight="1">
      <c r="A42" s="94" t="s">
        <v>100</v>
      </c>
      <c r="B42" s="95" t="s">
        <v>134</v>
      </c>
      <c r="C42" s="94" t="s">
        <v>101</v>
      </c>
      <c r="D42" s="292">
        <v>281.39</v>
      </c>
      <c r="E42" s="292">
        <f t="shared" si="4"/>
        <v>-43.929999999999978</v>
      </c>
      <c r="F42" s="292">
        <f t="shared" si="6"/>
        <v>237.46</v>
      </c>
      <c r="G42" s="292">
        <f>'Bac Son'!BN55</f>
        <v>3.54</v>
      </c>
      <c r="H42" s="292">
        <f>'Hai Son'!BN55</f>
        <v>0</v>
      </c>
      <c r="I42" s="292">
        <f>'Quang Nghia'!BN55</f>
        <v>16.57</v>
      </c>
      <c r="J42" s="292">
        <f>'Hai Dong'!BN55</f>
        <v>27.25</v>
      </c>
      <c r="K42" s="292">
        <f>'Hai Tien'!BN55</f>
        <v>10.59</v>
      </c>
      <c r="L42" s="292">
        <f>'Hai Xuan'!BN55</f>
        <v>30.51</v>
      </c>
      <c r="M42" s="292">
        <f>'Van Ninh'!BN55</f>
        <v>19</v>
      </c>
      <c r="N42" s="292">
        <f>'Vinh Trung'!BN55</f>
        <v>0.52</v>
      </c>
      <c r="O42" s="292">
        <f>'Vinh Thuc'!BN55</f>
        <v>16.59</v>
      </c>
      <c r="P42" s="292">
        <f>'Hai Yen'!BN55</f>
        <v>27.41</v>
      </c>
      <c r="Q42" s="292">
        <f>'Ka Long'!BN55</f>
        <v>0</v>
      </c>
      <c r="R42" s="292">
        <f>'Ninh Duong'!BN55</f>
        <v>7.26</v>
      </c>
      <c r="S42" s="292">
        <f>'Hoa Lac'!BN55</f>
        <v>0</v>
      </c>
      <c r="T42" s="292">
        <f>'Tran Phu'!BN55</f>
        <v>0</v>
      </c>
      <c r="U42" s="292">
        <f>'Hai Hoa'!BN55</f>
        <v>8.44</v>
      </c>
      <c r="V42" s="292">
        <f>'Tra Co'!BN55</f>
        <v>34.43</v>
      </c>
      <c r="W42" s="292">
        <f>'Binh Ngoc'!BN55</f>
        <v>35.35</v>
      </c>
      <c r="X42" s="292">
        <f>'Lien vị'!BN55</f>
        <v>0</v>
      </c>
      <c r="Y42" s="292">
        <f>'Tien Phong'!BN55</f>
        <v>0</v>
      </c>
      <c r="AA42" s="190">
        <f t="shared" si="5"/>
        <v>151.98000000000002</v>
      </c>
      <c r="AB42" s="190">
        <f t="shared" si="2"/>
        <v>1.0193637528254178</v>
      </c>
      <c r="AC42" s="385">
        <f t="shared" si="3"/>
        <v>0.78668603620690514</v>
      </c>
    </row>
    <row r="43" spans="1:29" s="2" customFormat="1" ht="15" hidden="1" customHeight="1">
      <c r="A43" s="94" t="s">
        <v>102</v>
      </c>
      <c r="B43" s="95" t="s">
        <v>103</v>
      </c>
      <c r="C43" s="94" t="s">
        <v>104</v>
      </c>
      <c r="D43" s="292"/>
      <c r="E43" s="292">
        <f t="shared" si="4"/>
        <v>313.13040000000001</v>
      </c>
      <c r="F43" s="292">
        <f t="shared" si="6"/>
        <v>313.13040000000001</v>
      </c>
      <c r="G43" s="292">
        <f>'Bac Son'!BN56</f>
        <v>0</v>
      </c>
      <c r="H43" s="292">
        <f>'Hai Son'!BN56</f>
        <v>6.4999999999999991</v>
      </c>
      <c r="I43" s="292">
        <f>'Quang Nghia'!BN56</f>
        <v>271.84000000000003</v>
      </c>
      <c r="J43" s="292">
        <f>'Hai Dong'!BN56</f>
        <v>0</v>
      </c>
      <c r="K43" s="292">
        <f>'Hai Tien'!BN56</f>
        <v>5.9494999999999996</v>
      </c>
      <c r="L43" s="292">
        <f>'Hai Xuan'!BN56</f>
        <v>2.3199999999999998</v>
      </c>
      <c r="M43" s="292">
        <f>'Van Ninh'!BN56</f>
        <v>0</v>
      </c>
      <c r="N43" s="292">
        <f>'Vinh Trung'!BN56</f>
        <v>0</v>
      </c>
      <c r="O43" s="292">
        <f>'Vinh Thuc'!BN56</f>
        <v>0</v>
      </c>
      <c r="P43" s="292">
        <f>'Hai Yen'!BN56</f>
        <v>22.65</v>
      </c>
      <c r="Q43" s="292">
        <f>'Ka Long'!BN56</f>
        <v>0</v>
      </c>
      <c r="R43" s="292">
        <f>'Ninh Duong'!BN56</f>
        <v>3.7408999999999999</v>
      </c>
      <c r="S43" s="292">
        <f>'Hoa Lac'!BN56</f>
        <v>0</v>
      </c>
      <c r="T43" s="292">
        <f>'Tran Phu'!BN56</f>
        <v>0</v>
      </c>
      <c r="U43" s="292">
        <f>'Hai Hoa'!BN56</f>
        <v>0</v>
      </c>
      <c r="V43" s="292">
        <f>'Tra Co'!BN56</f>
        <v>0.04</v>
      </c>
      <c r="W43" s="292">
        <f>'Binh Ngoc'!BN56</f>
        <v>0.09</v>
      </c>
      <c r="X43" s="292">
        <f>'Lien vị'!BN56</f>
        <v>0</v>
      </c>
      <c r="Y43" s="292">
        <f>'Tien Phong'!BN56</f>
        <v>0</v>
      </c>
      <c r="AA43" s="190">
        <f t="shared" si="5"/>
        <v>309.2595</v>
      </c>
      <c r="AB43" s="190">
        <f t="shared" si="2"/>
        <v>2.0742724339841576</v>
      </c>
      <c r="AC43" s="385">
        <f t="shared" si="3"/>
        <v>1.0373760346663974</v>
      </c>
    </row>
    <row r="44" spans="1:29" s="2" customFormat="1" ht="15" hidden="1" customHeight="1">
      <c r="A44" s="94" t="s">
        <v>105</v>
      </c>
      <c r="B44" s="95" t="s">
        <v>106</v>
      </c>
      <c r="C44" s="94" t="s">
        <v>107</v>
      </c>
      <c r="D44" s="292"/>
      <c r="E44" s="292">
        <f t="shared" si="4"/>
        <v>12.339599999999997</v>
      </c>
      <c r="F44" s="292">
        <f t="shared" si="6"/>
        <v>12.339599999999997</v>
      </c>
      <c r="G44" s="292">
        <f>'Bac Son'!BN57</f>
        <v>0.47</v>
      </c>
      <c r="H44" s="292">
        <f>'Hai Son'!BN57</f>
        <v>0.62</v>
      </c>
      <c r="I44" s="292">
        <f>'Quang Nghia'!BN57</f>
        <v>0.37</v>
      </c>
      <c r="J44" s="292">
        <f>'Hai Dong'!BN57</f>
        <v>0.5</v>
      </c>
      <c r="K44" s="292">
        <f>'Hai Tien'!BN57</f>
        <v>1.6</v>
      </c>
      <c r="L44" s="292">
        <f>'Hai Xuan'!BN57</f>
        <v>1.1499999999999999</v>
      </c>
      <c r="M44" s="292">
        <f>'Van Ninh'!BN57</f>
        <v>0.56999999999999995</v>
      </c>
      <c r="N44" s="292">
        <f>'Vinh Trung'!BN57</f>
        <v>0.34</v>
      </c>
      <c r="O44" s="292">
        <f>'Vinh Thuc'!BN57</f>
        <v>0.62</v>
      </c>
      <c r="P44" s="292">
        <f>'Hai Yen'!BN57</f>
        <v>1.4596</v>
      </c>
      <c r="Q44" s="292">
        <f>'Ka Long'!BN57</f>
        <v>0.62</v>
      </c>
      <c r="R44" s="292">
        <f>'Ninh Duong'!BN57</f>
        <v>1.0900000000000001</v>
      </c>
      <c r="S44" s="292">
        <f>'Hoa Lac'!BN57</f>
        <v>0.28000000000000003</v>
      </c>
      <c r="T44" s="292">
        <f>'Tran Phu'!BN57</f>
        <v>0.45</v>
      </c>
      <c r="U44" s="292">
        <f>'Hai Hoa'!BN57</f>
        <v>1.7599999999999998</v>
      </c>
      <c r="V44" s="292">
        <f>'Tra Co'!BN57</f>
        <v>0.44</v>
      </c>
      <c r="W44" s="292">
        <f>'Binh Ngoc'!BN57</f>
        <v>0</v>
      </c>
      <c r="X44" s="292">
        <f>'Lien vị'!BN57</f>
        <v>0</v>
      </c>
      <c r="Y44" s="292">
        <f>'Tien Phong'!BN57</f>
        <v>0</v>
      </c>
      <c r="AA44" s="190">
        <f t="shared" si="5"/>
        <v>8.3195999999999994</v>
      </c>
      <c r="AB44" s="190">
        <f t="shared" si="2"/>
        <v>5.5801412541165579E-2</v>
      </c>
      <c r="AC44" s="385">
        <f t="shared" si="3"/>
        <v>4.0880110386501835E-2</v>
      </c>
    </row>
    <row r="45" spans="1:29" s="2" customFormat="1" ht="15" hidden="1" customHeight="1">
      <c r="A45" s="94" t="s">
        <v>108</v>
      </c>
      <c r="B45" s="95" t="s">
        <v>109</v>
      </c>
      <c r="C45" s="94" t="s">
        <v>110</v>
      </c>
      <c r="D45" s="292"/>
      <c r="E45" s="292">
        <f t="shared" si="4"/>
        <v>27.28</v>
      </c>
      <c r="F45" s="292">
        <f t="shared" si="6"/>
        <v>27.28</v>
      </c>
      <c r="G45" s="292">
        <f>'Bac Son'!BN58</f>
        <v>0</v>
      </c>
      <c r="H45" s="292">
        <f>'Hai Son'!BN58</f>
        <v>0.08</v>
      </c>
      <c r="I45" s="292">
        <f>'Quang Nghia'!BN58</f>
        <v>0.34</v>
      </c>
      <c r="J45" s="292">
        <f>'Hai Dong'!BN58</f>
        <v>0</v>
      </c>
      <c r="K45" s="292">
        <f>'Hai Tien'!BN58</f>
        <v>0</v>
      </c>
      <c r="L45" s="292">
        <f>'Hai Xuan'!BN58</f>
        <v>1.71</v>
      </c>
      <c r="M45" s="292">
        <f>'Van Ninh'!BN58</f>
        <v>0</v>
      </c>
      <c r="N45" s="292">
        <f>'Vinh Trung'!BN58</f>
        <v>0.19</v>
      </c>
      <c r="O45" s="292">
        <f>'Vinh Thuc'!BN58</f>
        <v>0</v>
      </c>
      <c r="P45" s="292">
        <f>'Hai Yen'!BN58</f>
        <v>6.4399999999999995</v>
      </c>
      <c r="Q45" s="292">
        <f>'Ka Long'!BN58</f>
        <v>0.47</v>
      </c>
      <c r="R45" s="292">
        <f>'Ninh Duong'!BN58</f>
        <v>2.8200000000000003</v>
      </c>
      <c r="S45" s="292">
        <f>'Hoa Lac'!BN58</f>
        <v>5.46</v>
      </c>
      <c r="T45" s="292">
        <f>'Tran Phu'!BN58</f>
        <v>0.53</v>
      </c>
      <c r="U45" s="292">
        <f>'Hai Hoa'!BN58</f>
        <v>9.02</v>
      </c>
      <c r="V45" s="292">
        <f>'Tra Co'!BN58</f>
        <v>0</v>
      </c>
      <c r="W45" s="292">
        <f>'Binh Ngoc'!BN58</f>
        <v>0.22</v>
      </c>
      <c r="X45" s="292">
        <f>'Lien vị'!BN58</f>
        <v>0</v>
      </c>
      <c r="Y45" s="292">
        <f>'Tien Phong'!BN58</f>
        <v>0</v>
      </c>
      <c r="AA45" s="190">
        <f t="shared" si="5"/>
        <v>9.23</v>
      </c>
      <c r="AB45" s="190">
        <f t="shared" si="2"/>
        <v>6.1907668368065577E-2</v>
      </c>
      <c r="AC45" s="385">
        <f t="shared" si="3"/>
        <v>9.0376463689566131E-2</v>
      </c>
    </row>
    <row r="46" spans="1:29" s="2" customFormat="1" ht="15" hidden="1" customHeight="1">
      <c r="A46" s="94" t="s">
        <v>111</v>
      </c>
      <c r="B46" s="95" t="s">
        <v>112</v>
      </c>
      <c r="C46" s="94" t="s">
        <v>113</v>
      </c>
      <c r="D46" s="292"/>
      <c r="E46" s="292">
        <f t="shared" si="4"/>
        <v>10.440000000000001</v>
      </c>
      <c r="F46" s="292">
        <f t="shared" si="6"/>
        <v>10.440000000000001</v>
      </c>
      <c r="G46" s="292">
        <f>'Bac Son'!BN59</f>
        <v>0</v>
      </c>
      <c r="H46" s="292">
        <f>'Hai Son'!BN59</f>
        <v>0</v>
      </c>
      <c r="I46" s="292">
        <f>'Quang Nghia'!BN59</f>
        <v>0.56999999999999995</v>
      </c>
      <c r="J46" s="292">
        <f>'Hai Dong'!BN59</f>
        <v>0.7</v>
      </c>
      <c r="K46" s="292">
        <f>'Hai Tien'!BN59</f>
        <v>0.66</v>
      </c>
      <c r="L46" s="292">
        <f>'Hai Xuan'!BN59</f>
        <v>1.77</v>
      </c>
      <c r="M46" s="292">
        <f>'Van Ninh'!BN59</f>
        <v>1.53</v>
      </c>
      <c r="N46" s="292">
        <f>'Vinh Trung'!BN59</f>
        <v>0.08</v>
      </c>
      <c r="O46" s="292">
        <f>'Vinh Thuc'!BN59</f>
        <v>0.57999999999999996</v>
      </c>
      <c r="P46" s="292">
        <f>'Hai Yen'!BN59</f>
        <v>0.41</v>
      </c>
      <c r="Q46" s="292">
        <f>'Ka Long'!BN59</f>
        <v>1.23</v>
      </c>
      <c r="R46" s="292">
        <f>'Ninh Duong'!BN59</f>
        <v>0.16</v>
      </c>
      <c r="S46" s="292">
        <f>'Hoa Lac'!BN59</f>
        <v>0.01</v>
      </c>
      <c r="T46" s="292">
        <f>'Tran Phu'!BN59</f>
        <v>0</v>
      </c>
      <c r="U46" s="292">
        <f>'Hai Hoa'!BN59</f>
        <v>0.45000000000000007</v>
      </c>
      <c r="V46" s="292">
        <f>'Tra Co'!BN59</f>
        <v>1.65</v>
      </c>
      <c r="W46" s="292">
        <f>'Binh Ngoc'!BN59</f>
        <v>0.64</v>
      </c>
      <c r="X46" s="292">
        <f>'Lien vị'!BN59</f>
        <v>0</v>
      </c>
      <c r="Y46" s="292">
        <f>'Tien Phong'!BN59</f>
        <v>0</v>
      </c>
      <c r="AA46" s="190">
        <f t="shared" si="5"/>
        <v>7.5300000000000011</v>
      </c>
      <c r="AB46" s="190">
        <f t="shared" si="2"/>
        <v>5.0505389253687305E-2</v>
      </c>
      <c r="AC46" s="385">
        <f t="shared" si="3"/>
        <v>3.4586887130464462E-2</v>
      </c>
    </row>
    <row r="47" spans="1:29" s="2" customFormat="1" ht="15" hidden="1" customHeight="1">
      <c r="A47" s="94" t="s">
        <v>114</v>
      </c>
      <c r="B47" s="95" t="s">
        <v>115</v>
      </c>
      <c r="C47" s="94" t="s">
        <v>116</v>
      </c>
      <c r="D47" s="292"/>
      <c r="E47" s="292">
        <f t="shared" si="4"/>
        <v>2479.7199999999998</v>
      </c>
      <c r="F47" s="292">
        <f t="shared" si="6"/>
        <v>2479.7199999999998</v>
      </c>
      <c r="G47" s="292">
        <f>'Bac Son'!BN60</f>
        <v>106</v>
      </c>
      <c r="H47" s="292">
        <f>'Hai Son'!BN60</f>
        <v>66.790000000000006</v>
      </c>
      <c r="I47" s="292">
        <f>'Quang Nghia'!BN60</f>
        <v>601.24</v>
      </c>
      <c r="J47" s="292">
        <f>'Hai Dong'!BN60</f>
        <v>66.039999999999992</v>
      </c>
      <c r="K47" s="292">
        <f>'Hai Tien'!BN60</f>
        <v>247.7</v>
      </c>
      <c r="L47" s="292">
        <f>'Hai Xuan'!BN60</f>
        <v>156.84</v>
      </c>
      <c r="M47" s="292">
        <f>'Van Ninh'!BN60</f>
        <v>96.1</v>
      </c>
      <c r="N47" s="292">
        <f>'Vinh Trung'!BN60</f>
        <v>82.93</v>
      </c>
      <c r="O47" s="292">
        <f>'Vinh Thuc'!BN60</f>
        <v>0</v>
      </c>
      <c r="P47" s="292">
        <f>'Hai Yen'!BN60</f>
        <v>37.520000000000003</v>
      </c>
      <c r="Q47" s="292">
        <f>'Ka Long'!BN60</f>
        <v>23.46</v>
      </c>
      <c r="R47" s="292">
        <f>'Ninh Duong'!BN60</f>
        <v>88.62</v>
      </c>
      <c r="S47" s="292">
        <f>'Hoa Lac'!BN60</f>
        <v>9.67</v>
      </c>
      <c r="T47" s="292">
        <f>'Tran Phu'!BN60</f>
        <v>8.2200000000000006</v>
      </c>
      <c r="U47" s="292">
        <f>'Hai Hoa'!BN60</f>
        <v>688.15</v>
      </c>
      <c r="V47" s="292">
        <f>'Tra Co'!BN60</f>
        <v>104.61999999999999</v>
      </c>
      <c r="W47" s="292">
        <f>'Binh Ngoc'!BN60</f>
        <v>95.82</v>
      </c>
      <c r="X47" s="292">
        <f>'Lien vị'!BN60</f>
        <v>0</v>
      </c>
      <c r="Y47" s="292">
        <f>'Tien Phong'!BN60</f>
        <v>0</v>
      </c>
      <c r="AA47" s="190">
        <f t="shared" si="5"/>
        <v>1484.62</v>
      </c>
      <c r="AB47" s="190">
        <f t="shared" si="2"/>
        <v>9.9576774228166318</v>
      </c>
      <c r="AC47" s="385">
        <f t="shared" si="3"/>
        <v>8.2151145359344167</v>
      </c>
    </row>
    <row r="48" spans="1:29" s="2" customFormat="1" ht="15" hidden="1" customHeight="1">
      <c r="A48" s="94" t="s">
        <v>117</v>
      </c>
      <c r="B48" s="95" t="s">
        <v>118</v>
      </c>
      <c r="C48" s="94" t="s">
        <v>119</v>
      </c>
      <c r="D48" s="292"/>
      <c r="E48" s="292">
        <f t="shared" si="4"/>
        <v>1085.17</v>
      </c>
      <c r="F48" s="292">
        <f t="shared" si="6"/>
        <v>1085.17</v>
      </c>
      <c r="G48" s="292">
        <f>'Bac Son'!BN61</f>
        <v>355.57</v>
      </c>
      <c r="H48" s="292">
        <f>'Hai Son'!BN61</f>
        <v>358.67</v>
      </c>
      <c r="I48" s="292">
        <f>'Quang Nghia'!BN61</f>
        <v>0</v>
      </c>
      <c r="J48" s="292">
        <f>'Hai Dong'!BN61</f>
        <v>153.84</v>
      </c>
      <c r="K48" s="292">
        <f>'Hai Tien'!BN61</f>
        <v>33.799999999999997</v>
      </c>
      <c r="L48" s="292">
        <f>'Hai Xuan'!BN61</f>
        <v>0</v>
      </c>
      <c r="M48" s="292">
        <f>'Van Ninh'!BN61</f>
        <v>25.759999999999998</v>
      </c>
      <c r="N48" s="292">
        <f>'Vinh Trung'!BN61</f>
        <v>27.11</v>
      </c>
      <c r="O48" s="292">
        <f>'Vinh Thuc'!BN61</f>
        <v>52.87</v>
      </c>
      <c r="P48" s="292">
        <f>'Hai Yen'!BN61</f>
        <v>65.81</v>
      </c>
      <c r="Q48" s="292">
        <f>'Ka Long'!BN61</f>
        <v>0</v>
      </c>
      <c r="R48" s="292">
        <f>'Ninh Duong'!BN61</f>
        <v>11.740000000000002</v>
      </c>
      <c r="S48" s="292">
        <f>'Hoa Lac'!BN61</f>
        <v>0</v>
      </c>
      <c r="T48" s="292">
        <f>'Tran Phu'!BN61</f>
        <v>0</v>
      </c>
      <c r="U48" s="292">
        <f>'Hai Hoa'!BN61</f>
        <v>0</v>
      </c>
      <c r="V48" s="292">
        <f>'Tra Co'!BN61</f>
        <v>0</v>
      </c>
      <c r="W48" s="292">
        <f>'Binh Ngoc'!BN61</f>
        <v>0</v>
      </c>
      <c r="X48" s="292">
        <f>'Lien vị'!BN61</f>
        <v>0</v>
      </c>
      <c r="Y48" s="292">
        <f>'Tien Phong'!BN61</f>
        <v>0</v>
      </c>
      <c r="AA48" s="190">
        <f t="shared" si="5"/>
        <v>1073.43</v>
      </c>
      <c r="AB48" s="190">
        <f t="shared" si="2"/>
        <v>7.1997343939688649</v>
      </c>
      <c r="AC48" s="385">
        <f t="shared" si="3"/>
        <v>3.5950816386366009</v>
      </c>
    </row>
    <row r="49" spans="1:29" s="2" customFormat="1" ht="15" hidden="1" customHeight="1">
      <c r="A49" s="94" t="s">
        <v>120</v>
      </c>
      <c r="B49" s="95" t="s">
        <v>121</v>
      </c>
      <c r="C49" s="94" t="s">
        <v>122</v>
      </c>
      <c r="D49" s="292"/>
      <c r="E49" s="292">
        <f t="shared" si="4"/>
        <v>2.09</v>
      </c>
      <c r="F49" s="292">
        <f t="shared" si="6"/>
        <v>2.09</v>
      </c>
      <c r="G49" s="292">
        <f>'Bac Son'!BN62</f>
        <v>0</v>
      </c>
      <c r="H49" s="292">
        <f>'Hai Son'!BN62</f>
        <v>0</v>
      </c>
      <c r="I49" s="292">
        <f>'Quang Nghia'!BN62</f>
        <v>0</v>
      </c>
      <c r="J49" s="292">
        <f>'Hai Dong'!BN62</f>
        <v>0</v>
      </c>
      <c r="K49" s="292">
        <f>'Hai Tien'!BN62</f>
        <v>0</v>
      </c>
      <c r="L49" s="292">
        <f>'Hai Xuan'!BN62</f>
        <v>0.59</v>
      </c>
      <c r="M49" s="292">
        <f>'Van Ninh'!BN62</f>
        <v>1.5</v>
      </c>
      <c r="N49" s="292">
        <f>'Vinh Trung'!BN62</f>
        <v>0</v>
      </c>
      <c r="O49" s="292">
        <f>'Vinh Thuc'!BN62</f>
        <v>0</v>
      </c>
      <c r="P49" s="292">
        <f>'Hai Yen'!BN62</f>
        <v>0</v>
      </c>
      <c r="Q49" s="292">
        <f>'Ka Long'!BN62</f>
        <v>0</v>
      </c>
      <c r="R49" s="292">
        <f>'Ninh Duong'!BN62</f>
        <v>0</v>
      </c>
      <c r="S49" s="292">
        <f>'Hoa Lac'!BN62</f>
        <v>0</v>
      </c>
      <c r="T49" s="292">
        <f>'Tran Phu'!BN62</f>
        <v>0</v>
      </c>
      <c r="U49" s="292">
        <f>'Hai Hoa'!BN62</f>
        <v>0</v>
      </c>
      <c r="V49" s="292">
        <f>'Tra Co'!BN62</f>
        <v>0</v>
      </c>
      <c r="W49" s="292">
        <f>'Binh Ngoc'!BN62</f>
        <v>0</v>
      </c>
      <c r="X49" s="292">
        <f>'Lien vị'!BN62</f>
        <v>0</v>
      </c>
      <c r="Y49" s="292">
        <f>'Tien Phong'!BN62</f>
        <v>0</v>
      </c>
      <c r="AA49" s="190">
        <f t="shared" si="5"/>
        <v>2.09</v>
      </c>
      <c r="AB49" s="190">
        <f t="shared" si="2"/>
        <v>1.4018096087676818E-2</v>
      </c>
      <c r="AC49" s="385">
        <f t="shared" si="3"/>
        <v>6.9240032665393407E-3</v>
      </c>
    </row>
    <row r="50" spans="1:29" s="67" customFormat="1" ht="15" hidden="1" customHeight="1">
      <c r="A50" s="92">
        <v>3</v>
      </c>
      <c r="B50" s="93" t="s">
        <v>123</v>
      </c>
      <c r="C50" s="92" t="s">
        <v>124</v>
      </c>
      <c r="D50" s="291">
        <v>267.18</v>
      </c>
      <c r="E50" s="291">
        <f t="shared" si="4"/>
        <v>5447.5916399999996</v>
      </c>
      <c r="F50" s="291">
        <f>SUM(G50:Y50)</f>
        <v>5714.7716399999999</v>
      </c>
      <c r="G50" s="291">
        <f>'Bac Son'!BN63</f>
        <v>78.89</v>
      </c>
      <c r="H50" s="291">
        <f>'Hai Son'!BN63</f>
        <v>74.987039999999993</v>
      </c>
      <c r="I50" s="291">
        <f>'Quang Nghia'!BN63</f>
        <v>59.13</v>
      </c>
      <c r="J50" s="291">
        <f>'Hai Dong'!BN63</f>
        <v>558.19999999999993</v>
      </c>
      <c r="K50" s="291">
        <f>'Hai Tien'!BN63</f>
        <v>430.65</v>
      </c>
      <c r="L50" s="291">
        <f>'Hai Xuan'!BN63</f>
        <v>29.21</v>
      </c>
      <c r="M50" s="291">
        <f>'Van Ninh'!BN63</f>
        <v>2849.18</v>
      </c>
      <c r="N50" s="291">
        <f>'Vinh Trung'!BN63</f>
        <v>694.6</v>
      </c>
      <c r="O50" s="291">
        <f>'Vinh Thuc'!BN63</f>
        <v>297.42999999999995</v>
      </c>
      <c r="P50" s="291">
        <f>'Hai Yen'!BN63</f>
        <v>167.29149999999998</v>
      </c>
      <c r="Q50" s="291">
        <f>'Ka Long'!BN63</f>
        <v>2.75</v>
      </c>
      <c r="R50" s="291">
        <f>'Ninh Duong'!BN63</f>
        <v>41.103099999999998</v>
      </c>
      <c r="S50" s="291">
        <f>'Hoa Lac'!BN63</f>
        <v>0.62</v>
      </c>
      <c r="T50" s="291">
        <f>'Tran Phu'!BN63</f>
        <v>0.32000000000000006</v>
      </c>
      <c r="U50" s="291">
        <f>'Hai Hoa'!BN63</f>
        <v>255.69</v>
      </c>
      <c r="V50" s="291">
        <f>'Tra Co'!BN63</f>
        <v>145.17000000000002</v>
      </c>
      <c r="W50" s="291">
        <f>'Binh Ngoc'!BN63</f>
        <v>29.55</v>
      </c>
      <c r="X50" s="291">
        <f>'Lien vị'!BN63</f>
        <v>0</v>
      </c>
      <c r="Y50" s="291">
        <f>'Tien Phong'!BN63</f>
        <v>0</v>
      </c>
      <c r="AA50" s="247">
        <f t="shared" si="5"/>
        <v>5242.3185400000002</v>
      </c>
      <c r="AB50" s="247">
        <f t="shared" si="2"/>
        <v>35.161399529152945</v>
      </c>
      <c r="AC50" s="385">
        <f t="shared" si="3"/>
        <v>18.93258253726621</v>
      </c>
    </row>
    <row r="51" spans="1:29" s="191" customFormat="1" ht="15" hidden="1" customHeight="1">
      <c r="A51" s="289" t="s">
        <v>346</v>
      </c>
      <c r="B51" s="95" t="s">
        <v>515</v>
      </c>
      <c r="C51" s="94"/>
      <c r="D51" s="292">
        <v>267.18</v>
      </c>
      <c r="E51" s="292">
        <f t="shared" si="4"/>
        <v>5447.5916399999996</v>
      </c>
      <c r="F51" s="292">
        <f t="shared" si="6"/>
        <v>5714.7716399999999</v>
      </c>
      <c r="G51" s="292">
        <f>G50</f>
        <v>78.89</v>
      </c>
      <c r="H51" s="292">
        <f t="shared" ref="H51:Y51" si="9">H50</f>
        <v>74.987039999999993</v>
      </c>
      <c r="I51" s="292">
        <f t="shared" si="9"/>
        <v>59.13</v>
      </c>
      <c r="J51" s="292">
        <f t="shared" si="9"/>
        <v>558.19999999999993</v>
      </c>
      <c r="K51" s="292">
        <f t="shared" si="9"/>
        <v>430.65</v>
      </c>
      <c r="L51" s="292">
        <f t="shared" si="9"/>
        <v>29.21</v>
      </c>
      <c r="M51" s="292">
        <f t="shared" si="9"/>
        <v>2849.18</v>
      </c>
      <c r="N51" s="292">
        <f t="shared" si="9"/>
        <v>694.6</v>
      </c>
      <c r="O51" s="292">
        <f t="shared" si="9"/>
        <v>297.42999999999995</v>
      </c>
      <c r="P51" s="292">
        <f t="shared" si="9"/>
        <v>167.29149999999998</v>
      </c>
      <c r="Q51" s="292">
        <f t="shared" si="9"/>
        <v>2.75</v>
      </c>
      <c r="R51" s="292">
        <f t="shared" si="9"/>
        <v>41.103099999999998</v>
      </c>
      <c r="S51" s="292">
        <f t="shared" si="9"/>
        <v>0.62</v>
      </c>
      <c r="T51" s="292">
        <f t="shared" si="9"/>
        <v>0.32000000000000006</v>
      </c>
      <c r="U51" s="292">
        <f t="shared" si="9"/>
        <v>255.69</v>
      </c>
      <c r="V51" s="292">
        <f t="shared" si="9"/>
        <v>145.17000000000002</v>
      </c>
      <c r="W51" s="292">
        <f t="shared" si="9"/>
        <v>29.55</v>
      </c>
      <c r="X51" s="292">
        <f t="shared" si="9"/>
        <v>0</v>
      </c>
      <c r="Y51" s="292">
        <f t="shared" si="9"/>
        <v>0</v>
      </c>
      <c r="AA51" s="274"/>
      <c r="AC51" s="385">
        <f t="shared" si="3"/>
        <v>18.93258253726621</v>
      </c>
    </row>
    <row r="52" spans="1:29" s="191" customFormat="1" ht="15" hidden="1" customHeight="1">
      <c r="A52" s="289" t="s">
        <v>346</v>
      </c>
      <c r="B52" s="95" t="s">
        <v>516</v>
      </c>
      <c r="C52" s="94"/>
      <c r="D52" s="292">
        <v>2100.94</v>
      </c>
      <c r="E52" s="292">
        <f t="shared" si="4"/>
        <v>-2023.3200000000002</v>
      </c>
      <c r="F52" s="292">
        <f t="shared" si="6"/>
        <v>77.619999999999976</v>
      </c>
      <c r="G52" s="292">
        <f>'Bac Son'!BL63</f>
        <v>0.03</v>
      </c>
      <c r="H52" s="292">
        <f>'Hai Son'!BL63</f>
        <v>0.08</v>
      </c>
      <c r="I52" s="292">
        <f>'Quang Nghia'!BL63</f>
        <v>6.04</v>
      </c>
      <c r="J52" s="292">
        <f>'Hai Dong'!BL63</f>
        <v>4.5699999999999994</v>
      </c>
      <c r="K52" s="292">
        <f>'Hai Tien'!BL63</f>
        <v>7.38</v>
      </c>
      <c r="L52" s="292">
        <f>'Hai Xuan'!BL63</f>
        <v>0.06</v>
      </c>
      <c r="M52" s="292">
        <f>'Van Ninh'!BL63</f>
        <v>4.75</v>
      </c>
      <c r="N52" s="292">
        <f>'Vinh Trung'!BL63</f>
        <v>1.41</v>
      </c>
      <c r="O52" s="292">
        <f>'Vinh Thuc'!BL63</f>
        <v>0</v>
      </c>
      <c r="P52" s="292">
        <f>'Hai Yen'!BL63</f>
        <v>35.339999999999996</v>
      </c>
      <c r="Q52" s="292">
        <f>'Ka Long'!BL63</f>
        <v>0</v>
      </c>
      <c r="R52" s="292">
        <f>'Ninh Duong'!BL63</f>
        <v>1.8099999999999998</v>
      </c>
      <c r="S52" s="292">
        <f>'Hoa Lac'!BL63</f>
        <v>0</v>
      </c>
      <c r="T52" s="292">
        <f>'Tran Phu'!BL63</f>
        <v>0.32999999999999996</v>
      </c>
      <c r="U52" s="292">
        <f>'Hai Hoa'!BL63</f>
        <v>13.43</v>
      </c>
      <c r="V52" s="292">
        <f>'Tra Co'!BL63</f>
        <v>1.07</v>
      </c>
      <c r="W52" s="292">
        <f>'Binh Ngoc'!BL63</f>
        <v>1.32</v>
      </c>
      <c r="X52" s="292">
        <f>'Lien vị'!BL63</f>
        <v>0</v>
      </c>
      <c r="Y52" s="292">
        <f>'Tien Phong'!BL63</f>
        <v>0</v>
      </c>
      <c r="AA52" s="274"/>
      <c r="AC52" s="385">
        <f t="shared" si="3"/>
        <v>0.25714886772669066</v>
      </c>
    </row>
    <row r="53" spans="1:29" s="67" customFormat="1" ht="15" hidden="1" customHeight="1">
      <c r="A53" s="92">
        <v>4</v>
      </c>
      <c r="B53" s="93" t="s">
        <v>125</v>
      </c>
      <c r="C53" s="92" t="s">
        <v>126</v>
      </c>
      <c r="D53" s="291"/>
      <c r="E53" s="292">
        <f t="shared" si="4"/>
        <v>0</v>
      </c>
      <c r="F53" s="291">
        <f t="shared" si="6"/>
        <v>0</v>
      </c>
      <c r="G53" s="291"/>
      <c r="H53" s="291"/>
      <c r="I53" s="291"/>
      <c r="J53" s="291"/>
      <c r="K53" s="291"/>
      <c r="L53" s="291"/>
      <c r="M53" s="291"/>
      <c r="N53" s="291"/>
      <c r="O53" s="291"/>
      <c r="P53" s="291"/>
      <c r="Q53" s="291"/>
      <c r="R53" s="291"/>
      <c r="S53" s="291"/>
      <c r="T53" s="291"/>
      <c r="U53" s="291"/>
      <c r="V53" s="291"/>
      <c r="W53" s="291"/>
      <c r="X53" s="291"/>
      <c r="Y53" s="291"/>
      <c r="AA53" s="247"/>
      <c r="AC53" s="385">
        <f t="shared" si="3"/>
        <v>0</v>
      </c>
    </row>
    <row r="54" spans="1:29" s="67" customFormat="1" ht="15" hidden="1" customHeight="1">
      <c r="A54" s="92">
        <v>5</v>
      </c>
      <c r="B54" s="93" t="s">
        <v>127</v>
      </c>
      <c r="C54" s="92" t="s">
        <v>128</v>
      </c>
      <c r="D54" s="291">
        <v>12634.4</v>
      </c>
      <c r="E54" s="292">
        <f t="shared" si="4"/>
        <v>-4734.08</v>
      </c>
      <c r="F54" s="291">
        <f t="shared" si="6"/>
        <v>7900.32</v>
      </c>
      <c r="G54" s="291"/>
      <c r="H54" s="291">
        <f>474-50+10</f>
        <v>434</v>
      </c>
      <c r="I54" s="291">
        <f>950-100+20</f>
        <v>870</v>
      </c>
      <c r="J54" s="291">
        <v>22.7</v>
      </c>
      <c r="K54" s="291">
        <f>334-50</f>
        <v>284</v>
      </c>
      <c r="L54" s="291"/>
      <c r="M54" s="291">
        <f>342-50+10</f>
        <v>302</v>
      </c>
      <c r="N54" s="291">
        <f>753.7-200-0.7+24.82-22.7</f>
        <v>555.12</v>
      </c>
      <c r="O54" s="291">
        <f>782.9-300-0.9</f>
        <v>482</v>
      </c>
      <c r="P54" s="291">
        <f>212+910-300</f>
        <v>822</v>
      </c>
      <c r="Q54" s="291">
        <v>30</v>
      </c>
      <c r="R54" s="291">
        <f>1327.5-300</f>
        <v>1027.5</v>
      </c>
      <c r="S54" s="291"/>
      <c r="T54" s="291">
        <f>355.2+520-400-0.2</f>
        <v>475.00000000000006</v>
      </c>
      <c r="U54" s="291">
        <f>650-100</f>
        <v>550</v>
      </c>
      <c r="V54" s="291"/>
      <c r="W54" s="291">
        <f>535.2+2210.8-700</f>
        <v>2046</v>
      </c>
      <c r="X54" s="291">
        <f>X6</f>
        <v>0</v>
      </c>
      <c r="Y54" s="291">
        <f>Y6</f>
        <v>0</v>
      </c>
      <c r="AA54" s="247"/>
      <c r="AC54" s="385">
        <f>F54*100/30184.85</f>
        <v>26.173129897945493</v>
      </c>
    </row>
    <row r="55" spans="1:29" s="67" customFormat="1" ht="15" customHeight="1">
      <c r="A55" s="96">
        <v>6</v>
      </c>
      <c r="B55" s="97" t="s">
        <v>129</v>
      </c>
      <c r="C55" s="96" t="s">
        <v>130</v>
      </c>
      <c r="D55" s="294">
        <v>14909.3</v>
      </c>
      <c r="E55" s="294">
        <f t="shared" si="4"/>
        <v>29325.578400000009</v>
      </c>
      <c r="F55" s="294">
        <f t="shared" si="6"/>
        <v>44234.878400000009</v>
      </c>
      <c r="G55" s="294">
        <f>'Bac Son'!BN7</f>
        <v>5030.5495000000001</v>
      </c>
      <c r="H55" s="294">
        <f>'Hai Son'!BN7</f>
        <v>8173.06</v>
      </c>
      <c r="I55" s="294">
        <f>'Quang Nghia'!BN7</f>
        <v>5874.6895000000004</v>
      </c>
      <c r="J55" s="294">
        <f>'Hai Dong'!BN7</f>
        <v>4425.3450000000003</v>
      </c>
      <c r="K55" s="294">
        <f>'Hai Tien'!BN7</f>
        <v>3442.5194999999999</v>
      </c>
      <c r="L55" s="294">
        <f>'Hai Xuan'!BN7</f>
        <v>1623.425</v>
      </c>
      <c r="M55" s="294">
        <f>'Van Ninh'!BN7</f>
        <v>6004.16</v>
      </c>
      <c r="N55" s="294">
        <f>'Vinh Trung'!BN7</f>
        <v>2804.4494999999997</v>
      </c>
      <c r="O55" s="294">
        <f>'Vinh Thuc'!BN7</f>
        <v>2120.36</v>
      </c>
      <c r="P55" s="294">
        <f>'Hai Yen'!BN7</f>
        <v>4577.7154</v>
      </c>
      <c r="Q55" s="294">
        <f>'Ka Long'!BN7</f>
        <v>158.60500000000002</v>
      </c>
      <c r="R55" s="294"/>
      <c r="S55" s="294"/>
      <c r="T55" s="294"/>
      <c r="U55" s="294"/>
      <c r="V55" s="294"/>
      <c r="W55" s="294"/>
      <c r="X55" s="294"/>
      <c r="Y55" s="294"/>
      <c r="AA55" s="247"/>
      <c r="AC55" s="385">
        <f t="shared" si="3"/>
        <v>146.54662322323949</v>
      </c>
    </row>
    <row r="56" spans="1:29" hidden="1">
      <c r="G56" s="177">
        <f>G6-542.52</f>
        <v>4488.0295000000006</v>
      </c>
      <c r="H56" s="177">
        <f>H6-1683.47</f>
        <v>6489.59</v>
      </c>
      <c r="I56" s="177">
        <f>I6-3330.93</f>
        <v>2543.7595000000006</v>
      </c>
      <c r="J56" s="177">
        <f>J6-766.39</f>
        <v>3658.9550000000004</v>
      </c>
      <c r="K56" s="177">
        <f>K6-1445.12</f>
        <v>1997.3995</v>
      </c>
      <c r="L56" s="177">
        <f>L6-2711.35</f>
        <v>-1087.925</v>
      </c>
      <c r="M56" s="177">
        <f>M6-373.22</f>
        <v>5630.94</v>
      </c>
      <c r="N56" s="177">
        <f>N6-929.49</f>
        <v>1874.9594999999997</v>
      </c>
      <c r="O56" s="177">
        <f>O6-1460.59</f>
        <v>659.76999999999975</v>
      </c>
      <c r="P56" s="177">
        <f>P6-1332.51</f>
        <v>3245.2053999999998</v>
      </c>
      <c r="Q56" s="177">
        <f>Q6-606.32</f>
        <v>-447.71500000000003</v>
      </c>
      <c r="R56" s="177">
        <f>R6-1839.76</f>
        <v>-709.96049999999991</v>
      </c>
      <c r="S56" s="177">
        <f>S6-1142.59</f>
        <v>-1070.1804999999999</v>
      </c>
      <c r="T56" s="177">
        <f>T6-4010.54</f>
        <v>-3908.17</v>
      </c>
      <c r="U56" s="177">
        <f>U6-989.56</f>
        <v>3044.2799999999997</v>
      </c>
      <c r="V56" s="177">
        <f>V6-422.38</f>
        <v>894.65950000000009</v>
      </c>
      <c r="W56" s="177">
        <f>W6-3018.72</f>
        <v>-1920.11</v>
      </c>
      <c r="X56" s="177">
        <f>X6-3001.53</f>
        <v>-3001.53</v>
      </c>
      <c r="Y56" s="177">
        <f>Y6-1813</f>
        <v>-1813</v>
      </c>
    </row>
    <row r="57" spans="1:29" ht="14.25" hidden="1">
      <c r="F57" s="297"/>
    </row>
    <row r="58" spans="1:29" hidden="1"/>
    <row r="59" spans="1:29" hidden="1"/>
    <row r="60" spans="1:29" s="406" customFormat="1" ht="33">
      <c r="A60" s="404" t="s">
        <v>0</v>
      </c>
      <c r="B60" s="404" t="s">
        <v>369</v>
      </c>
      <c r="C60" s="404"/>
      <c r="D60" s="404"/>
      <c r="E60" s="404"/>
      <c r="F60" s="404" t="s">
        <v>658</v>
      </c>
      <c r="G60" s="404" t="s">
        <v>659</v>
      </c>
      <c r="H60" s="404" t="s">
        <v>660</v>
      </c>
    </row>
    <row r="61" spans="1:29" s="407" customFormat="1" ht="20.25" customHeight="1">
      <c r="A61" s="408" t="s">
        <v>235</v>
      </c>
      <c r="B61" s="405" t="s">
        <v>376</v>
      </c>
      <c r="C61" s="403"/>
      <c r="D61" s="403"/>
      <c r="E61" s="403"/>
      <c r="F61" s="412">
        <v>542.52</v>
      </c>
      <c r="G61" s="403">
        <v>548.95999999999992</v>
      </c>
      <c r="H61" s="409">
        <f>G61-F61</f>
        <v>6.4399999999999409</v>
      </c>
    </row>
    <row r="62" spans="1:29" s="407" customFormat="1" ht="20.25" customHeight="1">
      <c r="A62" s="408" t="s">
        <v>236</v>
      </c>
      <c r="B62" s="405" t="s">
        <v>377</v>
      </c>
      <c r="C62" s="403"/>
      <c r="D62" s="403"/>
      <c r="E62" s="403"/>
      <c r="F62" s="412">
        <v>1683.47</v>
      </c>
      <c r="G62" s="403">
        <v>1677.7000000000003</v>
      </c>
      <c r="H62" s="409">
        <f t="shared" ref="H62:H79" si="10">G62-F62</f>
        <v>-5.7699999999997544</v>
      </c>
    </row>
    <row r="63" spans="1:29" s="407" customFormat="1" ht="20.25" customHeight="1">
      <c r="A63" s="408" t="s">
        <v>237</v>
      </c>
      <c r="B63" s="405" t="s">
        <v>378</v>
      </c>
      <c r="C63" s="403"/>
      <c r="D63" s="403"/>
      <c r="E63" s="403"/>
      <c r="F63" s="412">
        <v>3330.93</v>
      </c>
      <c r="G63" s="403">
        <v>3371.69</v>
      </c>
      <c r="H63" s="409">
        <f t="shared" si="10"/>
        <v>40.760000000000218</v>
      </c>
    </row>
    <row r="64" spans="1:29" s="407" customFormat="1" ht="20.25" customHeight="1">
      <c r="A64" s="408" t="s">
        <v>238</v>
      </c>
      <c r="B64" s="405" t="s">
        <v>379</v>
      </c>
      <c r="C64" s="403"/>
      <c r="D64" s="403"/>
      <c r="E64" s="403"/>
      <c r="F64" s="412">
        <v>766.39</v>
      </c>
      <c r="G64" s="403">
        <v>753.44999999999993</v>
      </c>
      <c r="H64" s="409">
        <f t="shared" si="10"/>
        <v>-12.940000000000055</v>
      </c>
    </row>
    <row r="65" spans="1:8" s="407" customFormat="1" ht="20.25" customHeight="1">
      <c r="A65" s="408" t="s">
        <v>239</v>
      </c>
      <c r="B65" s="405" t="s">
        <v>380</v>
      </c>
      <c r="C65" s="403"/>
      <c r="D65" s="403"/>
      <c r="E65" s="403"/>
      <c r="F65" s="412">
        <v>1445.12</v>
      </c>
      <c r="G65" s="403">
        <v>1448.8899999999999</v>
      </c>
      <c r="H65" s="409">
        <f t="shared" si="10"/>
        <v>3.7699999999999818</v>
      </c>
    </row>
    <row r="66" spans="1:8" s="407" customFormat="1" ht="20.25" customHeight="1">
      <c r="A66" s="408" t="s">
        <v>240</v>
      </c>
      <c r="B66" s="405" t="s">
        <v>381</v>
      </c>
      <c r="C66" s="403"/>
      <c r="D66" s="403"/>
      <c r="E66" s="403"/>
      <c r="F66" s="412">
        <v>2711.35</v>
      </c>
      <c r="G66" s="403">
        <v>2430.9899999999998</v>
      </c>
      <c r="H66" s="409">
        <f t="shared" si="10"/>
        <v>-280.36000000000013</v>
      </c>
    </row>
    <row r="67" spans="1:8" s="407" customFormat="1" ht="20.25" customHeight="1">
      <c r="A67" s="408" t="s">
        <v>241</v>
      </c>
      <c r="B67" s="405" t="s">
        <v>382</v>
      </c>
      <c r="C67" s="403"/>
      <c r="D67" s="403"/>
      <c r="E67" s="403"/>
      <c r="F67" s="412">
        <v>373.22</v>
      </c>
      <c r="G67" s="403">
        <v>370.74</v>
      </c>
      <c r="H67" s="409">
        <f t="shared" si="10"/>
        <v>-2.4800000000000182</v>
      </c>
    </row>
    <row r="68" spans="1:8" s="407" customFormat="1" ht="20.25" customHeight="1">
      <c r="A68" s="408" t="s">
        <v>242</v>
      </c>
      <c r="B68" s="405" t="s">
        <v>383</v>
      </c>
      <c r="C68" s="403"/>
      <c r="D68" s="403"/>
      <c r="E68" s="403"/>
      <c r="F68" s="412">
        <v>929.49</v>
      </c>
      <c r="G68" s="403">
        <v>927.68</v>
      </c>
      <c r="H68" s="409">
        <f t="shared" si="10"/>
        <v>-1.8100000000000591</v>
      </c>
    </row>
    <row r="69" spans="1:8" s="407" customFormat="1" ht="20.25" customHeight="1">
      <c r="A69" s="408" t="s">
        <v>243</v>
      </c>
      <c r="B69" s="405" t="s">
        <v>384</v>
      </c>
      <c r="C69" s="403"/>
      <c r="D69" s="403"/>
      <c r="E69" s="403"/>
      <c r="F69" s="412">
        <v>1460.59</v>
      </c>
      <c r="G69" s="403">
        <v>1469.4800000000002</v>
      </c>
      <c r="H69" s="409">
        <f t="shared" si="10"/>
        <v>8.8900000000003274</v>
      </c>
    </row>
    <row r="70" spans="1:8" s="407" customFormat="1" ht="20.25" customHeight="1">
      <c r="A70" s="408" t="s">
        <v>244</v>
      </c>
      <c r="B70" s="405" t="s">
        <v>385</v>
      </c>
      <c r="C70" s="403"/>
      <c r="D70" s="403"/>
      <c r="E70" s="403"/>
      <c r="F70" s="412">
        <v>1332.51</v>
      </c>
      <c r="G70" s="403">
        <v>1310.88</v>
      </c>
      <c r="H70" s="409">
        <f t="shared" si="10"/>
        <v>-21.629999999999882</v>
      </c>
    </row>
    <row r="71" spans="1:8" s="407" customFormat="1" ht="20.25" customHeight="1">
      <c r="A71" s="408" t="s">
        <v>245</v>
      </c>
      <c r="B71" s="405" t="s">
        <v>386</v>
      </c>
      <c r="C71" s="403"/>
      <c r="D71" s="403"/>
      <c r="E71" s="403"/>
      <c r="F71" s="409">
        <v>606.32000000000005</v>
      </c>
      <c r="G71" s="403">
        <v>598.84</v>
      </c>
      <c r="H71" s="409">
        <f t="shared" si="10"/>
        <v>-7.4800000000000182</v>
      </c>
    </row>
    <row r="72" spans="1:8" s="407" customFormat="1" ht="20.25" customHeight="1">
      <c r="A72" s="408" t="s">
        <v>246</v>
      </c>
      <c r="B72" s="405" t="s">
        <v>387</v>
      </c>
      <c r="C72" s="403"/>
      <c r="D72" s="403"/>
      <c r="E72" s="403"/>
      <c r="F72" s="412">
        <v>1839.76</v>
      </c>
      <c r="G72" s="403">
        <v>1849.0000000000002</v>
      </c>
      <c r="H72" s="409">
        <f t="shared" si="10"/>
        <v>9.2400000000002365</v>
      </c>
    </row>
    <row r="73" spans="1:8" ht="20.25" customHeight="1">
      <c r="A73" s="408" t="s">
        <v>247</v>
      </c>
      <c r="B73" s="321" t="s">
        <v>388</v>
      </c>
      <c r="C73" s="318"/>
      <c r="D73" s="318"/>
      <c r="E73" s="318"/>
      <c r="F73" s="413">
        <v>1142.5899999999999</v>
      </c>
      <c r="G73" s="318">
        <v>1143.6099999999999</v>
      </c>
      <c r="H73" s="409">
        <f t="shared" si="10"/>
        <v>1.0199999999999818</v>
      </c>
    </row>
    <row r="74" spans="1:8" ht="20.25" customHeight="1">
      <c r="A74" s="408" t="s">
        <v>248</v>
      </c>
      <c r="B74" s="321" t="s">
        <v>389</v>
      </c>
      <c r="C74" s="318"/>
      <c r="D74" s="318"/>
      <c r="E74" s="318"/>
      <c r="F74" s="413">
        <v>4010.54</v>
      </c>
      <c r="G74" s="318">
        <v>4000.52</v>
      </c>
      <c r="H74" s="409">
        <f t="shared" si="10"/>
        <v>-10.019999999999982</v>
      </c>
    </row>
    <row r="75" spans="1:8" ht="20.25" customHeight="1">
      <c r="A75" s="408" t="s">
        <v>249</v>
      </c>
      <c r="B75" s="321" t="s">
        <v>390</v>
      </c>
      <c r="C75" s="318"/>
      <c r="D75" s="318"/>
      <c r="E75" s="318"/>
      <c r="F75" s="413">
        <v>989.56</v>
      </c>
      <c r="G75" s="318">
        <v>978.43000000000006</v>
      </c>
      <c r="H75" s="409">
        <f t="shared" si="10"/>
        <v>-11.129999999999882</v>
      </c>
    </row>
    <row r="76" spans="1:8" ht="20.25" customHeight="1">
      <c r="A76" s="408" t="s">
        <v>250</v>
      </c>
      <c r="B76" s="321" t="s">
        <v>391</v>
      </c>
      <c r="C76" s="318"/>
      <c r="D76" s="318"/>
      <c r="E76" s="318"/>
      <c r="F76" s="413">
        <v>422.38</v>
      </c>
      <c r="G76" s="318">
        <v>423.78</v>
      </c>
      <c r="H76" s="409">
        <f t="shared" si="10"/>
        <v>1.3999999999999773</v>
      </c>
    </row>
    <row r="77" spans="1:8" ht="20.25" customHeight="1">
      <c r="A77" s="408" t="s">
        <v>251</v>
      </c>
      <c r="B77" s="321" t="s">
        <v>392</v>
      </c>
      <c r="C77" s="318"/>
      <c r="D77" s="318"/>
      <c r="E77" s="318"/>
      <c r="F77" s="413">
        <v>3018.72</v>
      </c>
      <c r="G77" s="318">
        <v>2146.13</v>
      </c>
      <c r="H77" s="409">
        <f t="shared" si="10"/>
        <v>-872.58999999999969</v>
      </c>
    </row>
    <row r="78" spans="1:8" ht="20.25" customHeight="1">
      <c r="A78" s="408" t="s">
        <v>252</v>
      </c>
      <c r="B78" s="321" t="s">
        <v>393</v>
      </c>
      <c r="C78" s="318"/>
      <c r="D78" s="318"/>
      <c r="E78" s="318"/>
      <c r="F78" s="410">
        <v>3001.53</v>
      </c>
      <c r="G78" s="318">
        <v>2959.4599999999996</v>
      </c>
      <c r="H78" s="409">
        <f t="shared" si="10"/>
        <v>-42.070000000000618</v>
      </c>
    </row>
    <row r="79" spans="1:8" ht="20.25" customHeight="1">
      <c r="A79" s="408" t="s">
        <v>253</v>
      </c>
      <c r="B79" s="321" t="s">
        <v>394</v>
      </c>
      <c r="C79" s="318"/>
      <c r="D79" s="318"/>
      <c r="E79" s="318"/>
      <c r="F79" s="413">
        <v>1813</v>
      </c>
      <c r="G79" s="318">
        <v>1774.6199999999994</v>
      </c>
      <c r="H79" s="409">
        <f t="shared" si="10"/>
        <v>-38.380000000000564</v>
      </c>
    </row>
    <row r="80" spans="1:8" s="53" customFormat="1" ht="20.25" customHeight="1">
      <c r="A80" s="315"/>
      <c r="B80" s="315" t="s">
        <v>661</v>
      </c>
      <c r="C80" s="315"/>
      <c r="D80" s="315"/>
      <c r="E80" s="315"/>
      <c r="F80" s="411">
        <f>SUM(F61:F79)</f>
        <v>31419.99</v>
      </c>
      <c r="G80" s="411">
        <f t="shared" ref="G80:H80" si="11">SUM(G61:G79)</f>
        <v>30184.85</v>
      </c>
      <c r="H80" s="411">
        <f t="shared" si="11"/>
        <v>-1235.1399999999999</v>
      </c>
    </row>
    <row r="82" spans="6:8">
      <c r="G82" s="402">
        <f>SUM(G83:G86)</f>
        <v>31419.989999999998</v>
      </c>
      <c r="H82" s="414">
        <f>G82/31419.99*100</f>
        <v>99.999999999999986</v>
      </c>
    </row>
    <row r="83" spans="6:8" ht="16.5">
      <c r="F83" s="177"/>
      <c r="G83" s="322">
        <v>14996.87</v>
      </c>
      <c r="H83" s="414">
        <f t="shared" ref="H83:H86" si="12">G83/31419.99*100</f>
        <v>47.730346190434815</v>
      </c>
    </row>
    <row r="84" spans="6:8" ht="16.5">
      <c r="G84" s="322">
        <v>14920.8</v>
      </c>
      <c r="H84" s="414">
        <f t="shared" si="12"/>
        <v>47.488239175123859</v>
      </c>
    </row>
    <row r="85" spans="6:8" ht="16.5">
      <c r="G85" s="322">
        <v>267.18</v>
      </c>
      <c r="H85" s="414">
        <f t="shared" si="12"/>
        <v>0.85035036612042203</v>
      </c>
    </row>
    <row r="86" spans="6:8" ht="16.5">
      <c r="G86" s="322">
        <v>1235.1400000000001</v>
      </c>
      <c r="H86" s="414">
        <f t="shared" si="12"/>
        <v>3.9310642683209003</v>
      </c>
    </row>
    <row r="87" spans="6:8">
      <c r="G87" s="402"/>
    </row>
  </sheetData>
  <mergeCells count="10">
    <mergeCell ref="D4:D5"/>
    <mergeCell ref="E4:E5"/>
    <mergeCell ref="A1:B1"/>
    <mergeCell ref="A4:A5"/>
    <mergeCell ref="B4:B5"/>
    <mergeCell ref="C4:C5"/>
    <mergeCell ref="A2:Y2"/>
    <mergeCell ref="A3:Y3"/>
    <mergeCell ref="F4:F5"/>
    <mergeCell ref="G4:Y4"/>
  </mergeCells>
  <phoneticPr fontId="4" type="noConversion"/>
  <pageMargins left="0.75" right="0.75" top="1" bottom="1" header="0.5" footer="0.5"/>
  <pageSetup paperSize="9" orientation="portrait"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4"/>
  <sheetViews>
    <sheetView workbookViewId="0">
      <selection activeCell="D20" sqref="D20"/>
    </sheetView>
  </sheetViews>
  <sheetFormatPr defaultColWidth="9.140625" defaultRowHeight="15.75"/>
  <cols>
    <col min="1" max="1" width="9.140625" style="431"/>
    <col min="2" max="2" width="20.28515625" style="431" customWidth="1"/>
    <col min="3" max="4" width="13.140625" style="431" customWidth="1"/>
    <col min="5" max="8" width="12.5703125" style="431" customWidth="1"/>
    <col min="9" max="9" width="9.140625" style="431"/>
    <col min="10" max="10" width="11.28515625" style="431" customWidth="1"/>
    <col min="11" max="16384" width="9.140625" style="431"/>
  </cols>
  <sheetData>
    <row r="1" spans="1:12" ht="21.75" customHeight="1">
      <c r="A1" s="1252" t="s">
        <v>688</v>
      </c>
      <c r="B1" s="1252"/>
      <c r="C1" s="1252"/>
      <c r="D1" s="1252"/>
      <c r="E1" s="1252"/>
      <c r="F1" s="1252"/>
      <c r="G1" s="1252"/>
      <c r="H1" s="1252"/>
      <c r="I1" s="1252"/>
    </row>
    <row r="3" spans="1:12" s="435" customFormat="1" ht="31.5" customHeight="1">
      <c r="A3" s="1409" t="s">
        <v>0</v>
      </c>
      <c r="B3" s="1409" t="s">
        <v>369</v>
      </c>
      <c r="C3" s="1409" t="s">
        <v>131</v>
      </c>
      <c r="D3" s="1415" t="s">
        <v>14</v>
      </c>
      <c r="E3" s="1379"/>
      <c r="F3" s="1415" t="s">
        <v>686</v>
      </c>
      <c r="G3" s="1379"/>
      <c r="H3" s="1415" t="s">
        <v>687</v>
      </c>
      <c r="I3" s="1379"/>
    </row>
    <row r="4" spans="1:12" s="435" customFormat="1" ht="31.5">
      <c r="A4" s="1410"/>
      <c r="B4" s="1410"/>
      <c r="C4" s="1410"/>
      <c r="D4" s="430" t="s">
        <v>137</v>
      </c>
      <c r="E4" s="430" t="s">
        <v>187</v>
      </c>
      <c r="F4" s="430" t="s">
        <v>137</v>
      </c>
      <c r="G4" s="430" t="s">
        <v>187</v>
      </c>
      <c r="H4" s="430" t="s">
        <v>137</v>
      </c>
      <c r="I4" s="430" t="s">
        <v>187</v>
      </c>
    </row>
    <row r="5" spans="1:12" ht="18" customHeight="1">
      <c r="A5" s="434" t="s">
        <v>235</v>
      </c>
      <c r="B5" s="433" t="s">
        <v>376</v>
      </c>
      <c r="C5" s="436">
        <f>'06CH'!G6</f>
        <v>5030.5495000000001</v>
      </c>
      <c r="D5" s="436">
        <f>'06CH'!G7</f>
        <v>4305.42</v>
      </c>
      <c r="E5" s="436">
        <f>D5*100/C5</f>
        <v>85.585481268000635</v>
      </c>
      <c r="F5" s="436">
        <f>'06CH'!G18</f>
        <v>646.23949999999991</v>
      </c>
      <c r="G5" s="436">
        <f>F5*100/C5</f>
        <v>12.846300389251709</v>
      </c>
      <c r="H5" s="436">
        <f>'06CH'!G49</f>
        <v>78.89</v>
      </c>
      <c r="I5" s="436">
        <f>H5*100/C5</f>
        <v>1.5682183427476462</v>
      </c>
      <c r="J5" s="382">
        <f>D5+F5+H5</f>
        <v>5030.5495000000001</v>
      </c>
      <c r="K5" s="382">
        <f>C5-J5</f>
        <v>0</v>
      </c>
      <c r="L5" s="382">
        <f>E5+G5+I5</f>
        <v>99.999999999999986</v>
      </c>
    </row>
    <row r="6" spans="1:12" ht="18" customHeight="1">
      <c r="A6" s="434" t="s">
        <v>236</v>
      </c>
      <c r="B6" s="433" t="s">
        <v>377</v>
      </c>
      <c r="C6" s="436">
        <f>'06CH'!H6</f>
        <v>8173.06</v>
      </c>
      <c r="D6" s="436">
        <f>'06CH'!H7</f>
        <v>7525.7651900000001</v>
      </c>
      <c r="E6" s="436">
        <f t="shared" ref="E6:E23" si="0">D6*100/C6</f>
        <v>92.080141220057101</v>
      </c>
      <c r="F6" s="436">
        <f>'06CH'!H18</f>
        <v>572.30777000000012</v>
      </c>
      <c r="G6" s="436">
        <f t="shared" ref="G6:G23" si="1">F6*100/C6</f>
        <v>7.0023683907863159</v>
      </c>
      <c r="H6" s="436">
        <f>'06CH'!H49</f>
        <v>74.987039999999993</v>
      </c>
      <c r="I6" s="436">
        <f t="shared" ref="I6:I23" si="2">H6*100/C6</f>
        <v>0.91749038915657044</v>
      </c>
      <c r="J6" s="382">
        <f t="shared" ref="J6:J23" si="3">D6+F6+H6</f>
        <v>8173.06</v>
      </c>
      <c r="K6" s="382">
        <f t="shared" ref="K6:K23" si="4">C6-J6</f>
        <v>0</v>
      </c>
      <c r="L6" s="382">
        <f t="shared" ref="L6:L24" si="5">E6+G6+I6</f>
        <v>99.999999999999986</v>
      </c>
    </row>
    <row r="7" spans="1:12" ht="18" customHeight="1">
      <c r="A7" s="434" t="s">
        <v>237</v>
      </c>
      <c r="B7" s="433" t="s">
        <v>378</v>
      </c>
      <c r="C7" s="436">
        <f>'06CH'!I6</f>
        <v>5874.6895000000004</v>
      </c>
      <c r="D7" s="436">
        <f>'06CH'!I7</f>
        <v>4635.93</v>
      </c>
      <c r="E7" s="436">
        <f t="shared" si="0"/>
        <v>78.913617477144953</v>
      </c>
      <c r="F7" s="436">
        <f>'06CH'!I18</f>
        <v>1179.6295</v>
      </c>
      <c r="G7" s="436">
        <f t="shared" si="1"/>
        <v>20.079861242028194</v>
      </c>
      <c r="H7" s="436">
        <f>'06CH'!I49</f>
        <v>59.13</v>
      </c>
      <c r="I7" s="436">
        <f t="shared" si="2"/>
        <v>1.006521280826842</v>
      </c>
      <c r="J7" s="382">
        <f t="shared" si="3"/>
        <v>5874.6895000000004</v>
      </c>
      <c r="K7" s="382">
        <f t="shared" si="4"/>
        <v>0</v>
      </c>
      <c r="L7" s="382">
        <f t="shared" si="5"/>
        <v>99.999999999999986</v>
      </c>
    </row>
    <row r="8" spans="1:12" ht="18" customHeight="1">
      <c r="A8" s="434" t="s">
        <v>238</v>
      </c>
      <c r="B8" s="433" t="s">
        <v>379</v>
      </c>
      <c r="C8" s="436">
        <f>'06CH'!J6</f>
        <v>4425.3450000000003</v>
      </c>
      <c r="D8" s="436">
        <f>'06CH'!J7</f>
        <v>3367.72</v>
      </c>
      <c r="E8" s="436">
        <f t="shared" si="0"/>
        <v>76.100733389148189</v>
      </c>
      <c r="F8" s="436">
        <f>'06CH'!J18</f>
        <v>499.42500000000007</v>
      </c>
      <c r="G8" s="436">
        <f t="shared" si="1"/>
        <v>11.285560786786116</v>
      </c>
      <c r="H8" s="436">
        <f>'06CH'!J49</f>
        <v>558.19999999999993</v>
      </c>
      <c r="I8" s="436">
        <f t="shared" si="2"/>
        <v>12.613705824065692</v>
      </c>
      <c r="J8" s="382">
        <f t="shared" si="3"/>
        <v>4425.3450000000003</v>
      </c>
      <c r="K8" s="382">
        <f t="shared" si="4"/>
        <v>0</v>
      </c>
      <c r="L8" s="382">
        <f t="shared" si="5"/>
        <v>100</v>
      </c>
    </row>
    <row r="9" spans="1:12" ht="18" customHeight="1">
      <c r="A9" s="434" t="s">
        <v>239</v>
      </c>
      <c r="B9" s="433" t="s">
        <v>380</v>
      </c>
      <c r="C9" s="436">
        <f>'06CH'!K6</f>
        <v>3442.5194999999999</v>
      </c>
      <c r="D9" s="436">
        <f>'06CH'!K7</f>
        <v>2466.9899999999998</v>
      </c>
      <c r="E9" s="436">
        <f t="shared" si="0"/>
        <v>71.662339167577699</v>
      </c>
      <c r="F9" s="436">
        <f>'06CH'!K18</f>
        <v>544.87950000000001</v>
      </c>
      <c r="G9" s="436">
        <f t="shared" si="1"/>
        <v>15.827927772086694</v>
      </c>
      <c r="H9" s="436">
        <f>'06CH'!K49</f>
        <v>430.65</v>
      </c>
      <c r="I9" s="436">
        <f t="shared" si="2"/>
        <v>12.509733060335606</v>
      </c>
      <c r="J9" s="382">
        <f t="shared" si="3"/>
        <v>3442.5194999999999</v>
      </c>
      <c r="K9" s="382">
        <f t="shared" si="4"/>
        <v>0</v>
      </c>
      <c r="L9" s="382">
        <f t="shared" si="5"/>
        <v>100</v>
      </c>
    </row>
    <row r="10" spans="1:12" ht="18" customHeight="1">
      <c r="A10" s="434" t="s">
        <v>240</v>
      </c>
      <c r="B10" s="433" t="s">
        <v>381</v>
      </c>
      <c r="C10" s="436">
        <f>'06CH'!L6</f>
        <v>1623.425</v>
      </c>
      <c r="D10" s="436">
        <f>'06CH'!L7</f>
        <v>1147.81</v>
      </c>
      <c r="E10" s="436">
        <f t="shared" si="0"/>
        <v>70.702989050926291</v>
      </c>
      <c r="F10" s="436">
        <f>'06CH'!L18</f>
        <v>446.40499999999992</v>
      </c>
      <c r="G10" s="436">
        <f t="shared" si="1"/>
        <v>27.497728567688679</v>
      </c>
      <c r="H10" s="436">
        <f>'06CH'!L49</f>
        <v>29.21</v>
      </c>
      <c r="I10" s="436">
        <f t="shared" si="2"/>
        <v>1.7992823813850347</v>
      </c>
      <c r="J10" s="382">
        <f t="shared" si="3"/>
        <v>1623.425</v>
      </c>
      <c r="K10" s="382">
        <f t="shared" si="4"/>
        <v>0</v>
      </c>
      <c r="L10" s="382">
        <f t="shared" si="5"/>
        <v>100.00000000000001</v>
      </c>
    </row>
    <row r="11" spans="1:12" ht="18" customHeight="1">
      <c r="A11" s="434" t="s">
        <v>241</v>
      </c>
      <c r="B11" s="433" t="s">
        <v>382</v>
      </c>
      <c r="C11" s="436">
        <f>'06CH'!M6</f>
        <v>6004.16</v>
      </c>
      <c r="D11" s="436">
        <f>'06CH'!M7</f>
        <v>2781.46</v>
      </c>
      <c r="E11" s="436">
        <f t="shared" si="0"/>
        <v>46.325547620316584</v>
      </c>
      <c r="F11" s="436">
        <f>'06CH'!M18</f>
        <v>373.52</v>
      </c>
      <c r="G11" s="436">
        <f t="shared" si="1"/>
        <v>6.2210200927357038</v>
      </c>
      <c r="H11" s="436">
        <f>'06CH'!M49</f>
        <v>2849.18</v>
      </c>
      <c r="I11" s="436">
        <f t="shared" si="2"/>
        <v>47.453432286947717</v>
      </c>
      <c r="J11" s="382">
        <f t="shared" si="3"/>
        <v>6004.16</v>
      </c>
      <c r="K11" s="382">
        <f t="shared" si="4"/>
        <v>0</v>
      </c>
      <c r="L11" s="382">
        <f t="shared" si="5"/>
        <v>100</v>
      </c>
    </row>
    <row r="12" spans="1:12" ht="18" customHeight="1">
      <c r="A12" s="434" t="s">
        <v>242</v>
      </c>
      <c r="B12" s="433" t="s">
        <v>383</v>
      </c>
      <c r="C12" s="436">
        <f>'06CH'!N6</f>
        <v>2804.4494999999997</v>
      </c>
      <c r="D12" s="436">
        <f>'06CH'!N7</f>
        <v>1900.1699999999998</v>
      </c>
      <c r="E12" s="436">
        <f t="shared" si="0"/>
        <v>67.75554346762172</v>
      </c>
      <c r="F12" s="436">
        <f>'06CH'!N18</f>
        <v>209.67950000000002</v>
      </c>
      <c r="G12" s="436">
        <f t="shared" si="1"/>
        <v>7.4766723380114364</v>
      </c>
      <c r="H12" s="436">
        <f>'06CH'!N49</f>
        <v>694.6</v>
      </c>
      <c r="I12" s="436">
        <f t="shared" si="2"/>
        <v>24.767784194366847</v>
      </c>
      <c r="J12" s="382">
        <f t="shared" si="3"/>
        <v>2804.4494999999997</v>
      </c>
      <c r="K12" s="382">
        <f t="shared" si="4"/>
        <v>0</v>
      </c>
      <c r="L12" s="382">
        <f t="shared" si="5"/>
        <v>100</v>
      </c>
    </row>
    <row r="13" spans="1:12" ht="18" customHeight="1">
      <c r="A13" s="434" t="s">
        <v>243</v>
      </c>
      <c r="B13" s="433" t="s">
        <v>384</v>
      </c>
      <c r="C13" s="436">
        <f>'06CH'!O6</f>
        <v>2120.3599999999997</v>
      </c>
      <c r="D13" s="436">
        <f>'06CH'!O7</f>
        <v>1587.9999999999998</v>
      </c>
      <c r="E13" s="436">
        <f t="shared" si="0"/>
        <v>74.892942707842067</v>
      </c>
      <c r="F13" s="436">
        <f>'06CH'!O18</f>
        <v>234.93000000000004</v>
      </c>
      <c r="G13" s="436">
        <f t="shared" si="1"/>
        <v>11.07972231130563</v>
      </c>
      <c r="H13" s="436">
        <f>'06CH'!O49</f>
        <v>297.42999999999995</v>
      </c>
      <c r="I13" s="436">
        <f t="shared" si="2"/>
        <v>14.027334980852309</v>
      </c>
      <c r="J13" s="382">
        <f t="shared" si="3"/>
        <v>2120.3599999999997</v>
      </c>
      <c r="K13" s="382">
        <f t="shared" si="4"/>
        <v>0</v>
      </c>
      <c r="L13" s="382">
        <f t="shared" si="5"/>
        <v>100</v>
      </c>
    </row>
    <row r="14" spans="1:12" ht="18" customHeight="1">
      <c r="A14" s="434" t="s">
        <v>244</v>
      </c>
      <c r="B14" s="433" t="s">
        <v>385</v>
      </c>
      <c r="C14" s="436">
        <f>'06CH'!P6</f>
        <v>4577.7154</v>
      </c>
      <c r="D14" s="436">
        <f>'06CH'!P7</f>
        <v>3513.0654</v>
      </c>
      <c r="E14" s="436">
        <f t="shared" si="0"/>
        <v>76.742765616228567</v>
      </c>
      <c r="F14" s="436">
        <f>'06CH'!P18</f>
        <v>897.35850000000005</v>
      </c>
      <c r="G14" s="436">
        <f t="shared" si="1"/>
        <v>19.602758616230272</v>
      </c>
      <c r="H14" s="436">
        <f>'06CH'!P49</f>
        <v>167.29149999999998</v>
      </c>
      <c r="I14" s="436">
        <f t="shared" si="2"/>
        <v>3.6544757675411619</v>
      </c>
      <c r="J14" s="382">
        <f t="shared" si="3"/>
        <v>4577.7154</v>
      </c>
      <c r="K14" s="382">
        <f t="shared" si="4"/>
        <v>0</v>
      </c>
      <c r="L14" s="382">
        <f t="shared" si="5"/>
        <v>100</v>
      </c>
    </row>
    <row r="15" spans="1:12" ht="18" customHeight="1">
      <c r="A15" s="434" t="s">
        <v>245</v>
      </c>
      <c r="B15" s="433" t="s">
        <v>386</v>
      </c>
      <c r="C15" s="436">
        <f>'06CH'!Q6</f>
        <v>158.60500000000002</v>
      </c>
      <c r="D15" s="436">
        <f>'06CH'!Q7</f>
        <v>3.9</v>
      </c>
      <c r="E15" s="436">
        <f t="shared" si="0"/>
        <v>2.458938873301598</v>
      </c>
      <c r="F15" s="436">
        <f>'06CH'!Q18</f>
        <v>151.95500000000001</v>
      </c>
      <c r="G15" s="436">
        <f t="shared" si="1"/>
        <v>95.80719397244728</v>
      </c>
      <c r="H15" s="436">
        <f>'06CH'!Q49</f>
        <v>2.75</v>
      </c>
      <c r="I15" s="436">
        <f t="shared" si="2"/>
        <v>1.7338671542511268</v>
      </c>
      <c r="J15" s="382">
        <f t="shared" si="3"/>
        <v>158.60500000000002</v>
      </c>
      <c r="K15" s="382">
        <f t="shared" si="4"/>
        <v>0</v>
      </c>
      <c r="L15" s="382">
        <f t="shared" si="5"/>
        <v>100</v>
      </c>
    </row>
    <row r="16" spans="1:12" ht="18" customHeight="1">
      <c r="A16" s="434" t="s">
        <v>246</v>
      </c>
      <c r="B16" s="433" t="s">
        <v>387</v>
      </c>
      <c r="C16" s="436">
        <f>'06CH'!R6</f>
        <v>1129.7995000000001</v>
      </c>
      <c r="D16" s="436">
        <f>'06CH'!R7</f>
        <v>681.01200000000006</v>
      </c>
      <c r="E16" s="436">
        <f t="shared" si="0"/>
        <v>60.277243882653522</v>
      </c>
      <c r="F16" s="436">
        <f>'06CH'!R18</f>
        <v>407.68440000000004</v>
      </c>
      <c r="G16" s="436">
        <f t="shared" si="1"/>
        <v>36.08466812031692</v>
      </c>
      <c r="H16" s="436">
        <f>'06CH'!R49</f>
        <v>41.103099999999998</v>
      </c>
      <c r="I16" s="436">
        <f t="shared" si="2"/>
        <v>3.6380879970295608</v>
      </c>
      <c r="J16" s="382">
        <f t="shared" si="3"/>
        <v>1129.7995000000001</v>
      </c>
      <c r="K16" s="382">
        <f t="shared" si="4"/>
        <v>0</v>
      </c>
      <c r="L16" s="382">
        <f t="shared" si="5"/>
        <v>100</v>
      </c>
    </row>
    <row r="17" spans="1:12" ht="18" customHeight="1">
      <c r="A17" s="434" t="s">
        <v>247</v>
      </c>
      <c r="B17" s="433" t="s">
        <v>388</v>
      </c>
      <c r="C17" s="436">
        <f>'06CH'!S6</f>
        <v>72.409500000000008</v>
      </c>
      <c r="D17" s="436">
        <f>'06CH'!S7</f>
        <v>0</v>
      </c>
      <c r="E17" s="436">
        <f t="shared" si="0"/>
        <v>0</v>
      </c>
      <c r="F17" s="436">
        <f>'06CH'!S18</f>
        <v>71.789500000000004</v>
      </c>
      <c r="G17" s="436">
        <f t="shared" si="1"/>
        <v>99.143758760936066</v>
      </c>
      <c r="H17" s="436">
        <f>'06CH'!S49</f>
        <v>0.62</v>
      </c>
      <c r="I17" s="436">
        <f t="shared" si="2"/>
        <v>0.8562412390639349</v>
      </c>
      <c r="J17" s="382">
        <f t="shared" si="3"/>
        <v>72.409500000000008</v>
      </c>
      <c r="K17" s="382">
        <f t="shared" si="4"/>
        <v>0</v>
      </c>
      <c r="L17" s="382">
        <f t="shared" si="5"/>
        <v>100</v>
      </c>
    </row>
    <row r="18" spans="1:12" ht="18" customHeight="1">
      <c r="A18" s="434" t="s">
        <v>248</v>
      </c>
      <c r="B18" s="433" t="s">
        <v>389</v>
      </c>
      <c r="C18" s="436">
        <f>'06CH'!T6</f>
        <v>102.37</v>
      </c>
      <c r="D18" s="436">
        <f>'06CH'!T7</f>
        <v>0</v>
      </c>
      <c r="E18" s="436">
        <f t="shared" si="0"/>
        <v>0</v>
      </c>
      <c r="F18" s="436">
        <f>'06CH'!T18</f>
        <v>102.05000000000001</v>
      </c>
      <c r="G18" s="436">
        <f t="shared" si="1"/>
        <v>99.687408420435688</v>
      </c>
      <c r="H18" s="436">
        <f>'06CH'!T49</f>
        <v>0.32000000000000006</v>
      </c>
      <c r="I18" s="436">
        <f t="shared" si="2"/>
        <v>0.31259157956432554</v>
      </c>
      <c r="J18" s="382">
        <f t="shared" si="3"/>
        <v>102.37</v>
      </c>
      <c r="K18" s="382">
        <f t="shared" si="4"/>
        <v>0</v>
      </c>
      <c r="L18" s="382">
        <f t="shared" si="5"/>
        <v>100.00000000000001</v>
      </c>
    </row>
    <row r="19" spans="1:12" ht="18" customHeight="1">
      <c r="A19" s="434" t="s">
        <v>249</v>
      </c>
      <c r="B19" s="433" t="s">
        <v>390</v>
      </c>
      <c r="C19" s="436">
        <f>'06CH'!U6</f>
        <v>4033.8399999999997</v>
      </c>
      <c r="D19" s="436">
        <f>'06CH'!U7</f>
        <v>2242.6999999999998</v>
      </c>
      <c r="E19" s="436">
        <f t="shared" si="0"/>
        <v>55.597148126846875</v>
      </c>
      <c r="F19" s="436">
        <f>'06CH'!U18</f>
        <v>1535.45</v>
      </c>
      <c r="G19" s="436">
        <f t="shared" si="1"/>
        <v>38.064226642603579</v>
      </c>
      <c r="H19" s="436">
        <f>'06CH'!U49</f>
        <v>255.69</v>
      </c>
      <c r="I19" s="436">
        <f t="shared" si="2"/>
        <v>6.3386252305495514</v>
      </c>
      <c r="J19" s="382">
        <f t="shared" si="3"/>
        <v>4033.8399999999997</v>
      </c>
      <c r="K19" s="382">
        <f t="shared" si="4"/>
        <v>0</v>
      </c>
      <c r="L19" s="382">
        <f t="shared" si="5"/>
        <v>100</v>
      </c>
    </row>
    <row r="20" spans="1:12" ht="18" customHeight="1">
      <c r="A20" s="434" t="s">
        <v>250</v>
      </c>
      <c r="B20" s="433" t="s">
        <v>391</v>
      </c>
      <c r="C20" s="436">
        <f>'06CH'!V6</f>
        <v>1317.0395000000001</v>
      </c>
      <c r="D20" s="436">
        <f>'06CH'!V7</f>
        <v>730.31</v>
      </c>
      <c r="E20" s="436">
        <f t="shared" si="0"/>
        <v>55.450880554455651</v>
      </c>
      <c r="F20" s="436">
        <f>'06CH'!V18</f>
        <v>441.55950000000001</v>
      </c>
      <c r="G20" s="436">
        <f t="shared" si="1"/>
        <v>33.526670992024158</v>
      </c>
      <c r="H20" s="436">
        <f>'06CH'!V49</f>
        <v>145.17000000000002</v>
      </c>
      <c r="I20" s="436">
        <f t="shared" si="2"/>
        <v>11.022448453520187</v>
      </c>
      <c r="J20" s="382">
        <f t="shared" si="3"/>
        <v>1317.0395000000001</v>
      </c>
      <c r="K20" s="382">
        <f t="shared" si="4"/>
        <v>0</v>
      </c>
      <c r="L20" s="382">
        <f t="shared" si="5"/>
        <v>100</v>
      </c>
    </row>
    <row r="21" spans="1:12" ht="18" customHeight="1">
      <c r="A21" s="434" t="s">
        <v>251</v>
      </c>
      <c r="B21" s="433" t="s">
        <v>392</v>
      </c>
      <c r="C21" s="436">
        <f>'06CH'!W6</f>
        <v>1098.6099999999999</v>
      </c>
      <c r="D21" s="436">
        <f>'06CH'!W7</f>
        <v>783.11999999999989</v>
      </c>
      <c r="E21" s="436">
        <f t="shared" si="0"/>
        <v>71.282802814465541</v>
      </c>
      <c r="F21" s="436">
        <f>'06CH'!W18</f>
        <v>285.93999999999994</v>
      </c>
      <c r="G21" s="436">
        <f t="shared" si="1"/>
        <v>26.027434667443401</v>
      </c>
      <c r="H21" s="436">
        <f>'06CH'!W49</f>
        <v>29.55</v>
      </c>
      <c r="I21" s="436">
        <f t="shared" si="2"/>
        <v>2.6897625180910425</v>
      </c>
      <c r="J21" s="382">
        <f t="shared" si="3"/>
        <v>1098.6099999999999</v>
      </c>
      <c r="K21" s="382">
        <f t="shared" si="4"/>
        <v>0</v>
      </c>
      <c r="L21" s="382">
        <f t="shared" si="5"/>
        <v>99.999999999999986</v>
      </c>
    </row>
    <row r="22" spans="1:12" ht="18" customHeight="1">
      <c r="A22" s="434" t="s">
        <v>252</v>
      </c>
      <c r="B22" s="433" t="s">
        <v>393</v>
      </c>
      <c r="C22" s="436">
        <f>'06CH'!X6</f>
        <v>0</v>
      </c>
      <c r="D22" s="436">
        <f>'06CH'!X7</f>
        <v>0</v>
      </c>
      <c r="E22" s="436" t="e">
        <f t="shared" si="0"/>
        <v>#DIV/0!</v>
      </c>
      <c r="F22" s="436">
        <f>'06CH'!X18</f>
        <v>0</v>
      </c>
      <c r="G22" s="436" t="e">
        <f t="shared" si="1"/>
        <v>#DIV/0!</v>
      </c>
      <c r="H22" s="436">
        <f>'06CH'!X49</f>
        <v>0</v>
      </c>
      <c r="I22" s="436" t="e">
        <f t="shared" si="2"/>
        <v>#DIV/0!</v>
      </c>
      <c r="J22" s="382">
        <f t="shared" si="3"/>
        <v>0</v>
      </c>
      <c r="K22" s="382">
        <f t="shared" si="4"/>
        <v>0</v>
      </c>
      <c r="L22" s="382" t="e">
        <f t="shared" si="5"/>
        <v>#DIV/0!</v>
      </c>
    </row>
    <row r="23" spans="1:12" ht="18" customHeight="1">
      <c r="A23" s="434" t="s">
        <v>253</v>
      </c>
      <c r="B23" s="433" t="s">
        <v>394</v>
      </c>
      <c r="C23" s="436">
        <f>'06CH'!Y6</f>
        <v>0</v>
      </c>
      <c r="D23" s="436">
        <f>'06CH'!Y7</f>
        <v>0</v>
      </c>
      <c r="E23" s="436" t="e">
        <f t="shared" si="0"/>
        <v>#DIV/0!</v>
      </c>
      <c r="F23" s="436">
        <f>'06CH'!Y18</f>
        <v>0</v>
      </c>
      <c r="G23" s="436" t="e">
        <f t="shared" si="1"/>
        <v>#DIV/0!</v>
      </c>
      <c r="H23" s="436">
        <f>'06CH'!Y49</f>
        <v>0</v>
      </c>
      <c r="I23" s="436" t="e">
        <f t="shared" si="2"/>
        <v>#DIV/0!</v>
      </c>
      <c r="J23" s="382">
        <f t="shared" si="3"/>
        <v>0</v>
      </c>
      <c r="K23" s="382">
        <f t="shared" si="4"/>
        <v>0</v>
      </c>
      <c r="L23" s="382" t="e">
        <f t="shared" si="5"/>
        <v>#DIV/0!</v>
      </c>
    </row>
    <row r="24" spans="1:12" s="432" customFormat="1" ht="18" customHeight="1">
      <c r="A24" s="56"/>
      <c r="B24" s="56"/>
      <c r="C24" s="64">
        <f>SUM(C5:C23)</f>
        <v>51988.94690000001</v>
      </c>
      <c r="D24" s="64">
        <f>SUM(D5:D23)</f>
        <v>37673.372590000006</v>
      </c>
      <c r="E24" s="64">
        <f>D24*100/C24</f>
        <v>72.464196404024477</v>
      </c>
      <c r="F24" s="64">
        <f t="shared" ref="F24:J24" si="6">SUM(F5:F23)</f>
        <v>8600.8026700000009</v>
      </c>
      <c r="G24" s="64">
        <f>F24*100/C24</f>
        <v>16.543521619207869</v>
      </c>
      <c r="H24" s="64">
        <f t="shared" si="6"/>
        <v>5714.7716399999999</v>
      </c>
      <c r="I24" s="64">
        <f>H24*100/C24</f>
        <v>10.992281976767639</v>
      </c>
      <c r="J24" s="64">
        <f t="shared" si="6"/>
        <v>51988.94690000001</v>
      </c>
      <c r="K24" s="437">
        <f>E24+G24+I24</f>
        <v>99.999999999999986</v>
      </c>
      <c r="L24" s="437">
        <f t="shared" si="5"/>
        <v>99.999999999999986</v>
      </c>
    </row>
  </sheetData>
  <mergeCells count="7">
    <mergeCell ref="A1:I1"/>
    <mergeCell ref="D3:E3"/>
    <mergeCell ref="F3:G3"/>
    <mergeCell ref="H3:I3"/>
    <mergeCell ref="A3:A4"/>
    <mergeCell ref="B3:B4"/>
    <mergeCell ref="C3:C4"/>
  </mergeCells>
  <pageMargins left="0.45" right="0.45" top="0.75" bottom="0.5" header="0.3" footer="0.3"/>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47"/>
  <sheetViews>
    <sheetView topLeftCell="C2" workbookViewId="0">
      <selection activeCell="G30" sqref="G30:H47"/>
    </sheetView>
  </sheetViews>
  <sheetFormatPr defaultRowHeight="15.75"/>
  <cols>
    <col min="2" max="2" width="36.5703125" customWidth="1"/>
    <col min="4" max="4" width="14.28515625" customWidth="1"/>
    <col min="5" max="5" width="14.28515625" style="440" customWidth="1"/>
    <col min="6" max="6" width="11.7109375" style="440" customWidth="1"/>
    <col min="7" max="7" width="15.42578125" style="440" customWidth="1"/>
    <col min="8" max="8" width="11.5703125" style="440" customWidth="1"/>
  </cols>
  <sheetData>
    <row r="2" spans="1:8" ht="18.75">
      <c r="D2" s="443" t="s">
        <v>685</v>
      </c>
      <c r="E2" s="445" t="s">
        <v>309</v>
      </c>
      <c r="F2" s="445" t="s">
        <v>318</v>
      </c>
      <c r="G2" s="445" t="s">
        <v>689</v>
      </c>
      <c r="H2" s="445" t="s">
        <v>690</v>
      </c>
    </row>
    <row r="3" spans="1:8" ht="23.25" customHeight="1">
      <c r="A3" s="90"/>
      <c r="B3" s="90" t="s">
        <v>340</v>
      </c>
      <c r="C3" s="90"/>
      <c r="D3" s="444">
        <f>'06CH'!AA6</f>
        <v>0</v>
      </c>
      <c r="E3" s="441">
        <f>E4+E15+E47</f>
        <v>1898.33</v>
      </c>
      <c r="F3" s="441">
        <f>F4+F15+F47</f>
        <v>137.38</v>
      </c>
      <c r="G3" s="446">
        <f>D3+E3+F3</f>
        <v>2035.71</v>
      </c>
      <c r="H3" s="446">
        <f>G3*100/16945.01</f>
        <v>12.01362525014739</v>
      </c>
    </row>
    <row r="4" spans="1:8" ht="23.25" customHeight="1">
      <c r="A4" s="92">
        <v>1</v>
      </c>
      <c r="B4" s="93" t="s">
        <v>14</v>
      </c>
      <c r="C4" s="92" t="s">
        <v>15</v>
      </c>
      <c r="D4" s="442">
        <f>'06CH'!AA7</f>
        <v>0</v>
      </c>
      <c r="G4" s="447">
        <f t="shared" ref="G4:G47" si="0">D4+E4+F4</f>
        <v>0</v>
      </c>
      <c r="H4" s="447">
        <f t="shared" ref="H4:H47" si="1">G4*100/16945.01</f>
        <v>0</v>
      </c>
    </row>
    <row r="5" spans="1:8" ht="23.25" customHeight="1">
      <c r="A5" s="94" t="s">
        <v>16</v>
      </c>
      <c r="B5" s="95" t="s">
        <v>17</v>
      </c>
      <c r="C5" s="94" t="s">
        <v>18</v>
      </c>
      <c r="D5" s="442">
        <f>'06CH'!AA8</f>
        <v>0</v>
      </c>
      <c r="G5" s="447">
        <f t="shared" si="0"/>
        <v>0</v>
      </c>
      <c r="H5" s="447">
        <f t="shared" si="1"/>
        <v>0</v>
      </c>
    </row>
    <row r="6" spans="1:8" ht="23.25" customHeight="1">
      <c r="A6" s="249"/>
      <c r="B6" s="250" t="s">
        <v>19</v>
      </c>
      <c r="C6" s="249" t="s">
        <v>20</v>
      </c>
      <c r="D6" s="442">
        <f>'06CH'!AA9</f>
        <v>0</v>
      </c>
      <c r="G6" s="447">
        <f t="shared" si="0"/>
        <v>0</v>
      </c>
      <c r="H6" s="447">
        <f t="shared" si="1"/>
        <v>0</v>
      </c>
    </row>
    <row r="7" spans="1:8" ht="23.25" customHeight="1">
      <c r="A7" s="94" t="s">
        <v>21</v>
      </c>
      <c r="B7" s="95" t="s">
        <v>22</v>
      </c>
      <c r="C7" s="94" t="s">
        <v>23</v>
      </c>
      <c r="D7" s="442">
        <f>'06CH'!AA10</f>
        <v>0</v>
      </c>
      <c r="G7" s="447">
        <f t="shared" si="0"/>
        <v>0</v>
      </c>
      <c r="H7" s="447">
        <f t="shared" si="1"/>
        <v>0</v>
      </c>
    </row>
    <row r="8" spans="1:8" ht="23.25" customHeight="1">
      <c r="A8" s="94" t="s">
        <v>24</v>
      </c>
      <c r="B8" s="95" t="s">
        <v>25</v>
      </c>
      <c r="C8" s="94" t="s">
        <v>26</v>
      </c>
      <c r="D8" s="442">
        <f>'06CH'!AA11</f>
        <v>0</v>
      </c>
      <c r="G8" s="447">
        <f t="shared" si="0"/>
        <v>0</v>
      </c>
      <c r="H8" s="447">
        <f t="shared" si="1"/>
        <v>0</v>
      </c>
    </row>
    <row r="9" spans="1:8" ht="23.25" customHeight="1">
      <c r="A9" s="94" t="s">
        <v>27</v>
      </c>
      <c r="B9" s="95" t="s">
        <v>28</v>
      </c>
      <c r="C9" s="94" t="s">
        <v>29</v>
      </c>
      <c r="D9" s="442">
        <f>'06CH'!AA12</f>
        <v>0</v>
      </c>
      <c r="G9" s="447">
        <f t="shared" si="0"/>
        <v>0</v>
      </c>
      <c r="H9" s="447">
        <f t="shared" si="1"/>
        <v>0</v>
      </c>
    </row>
    <row r="10" spans="1:8" ht="23.25" customHeight="1">
      <c r="A10" s="94" t="s">
        <v>30</v>
      </c>
      <c r="B10" s="95" t="s">
        <v>31</v>
      </c>
      <c r="C10" s="94" t="s">
        <v>32</v>
      </c>
      <c r="D10" s="442">
        <f>'06CH'!AA13</f>
        <v>0</v>
      </c>
      <c r="G10" s="447">
        <f t="shared" si="0"/>
        <v>0</v>
      </c>
      <c r="H10" s="447">
        <f t="shared" si="1"/>
        <v>0</v>
      </c>
    </row>
    <row r="11" spans="1:8" ht="23.25" customHeight="1">
      <c r="A11" s="94" t="s">
        <v>33</v>
      </c>
      <c r="B11" s="95" t="s">
        <v>34</v>
      </c>
      <c r="C11" s="94" t="s">
        <v>35</v>
      </c>
      <c r="D11" s="442">
        <f>'06CH'!AA14</f>
        <v>0</v>
      </c>
      <c r="G11" s="447">
        <f t="shared" si="0"/>
        <v>0</v>
      </c>
      <c r="H11" s="447">
        <f t="shared" si="1"/>
        <v>0</v>
      </c>
    </row>
    <row r="12" spans="1:8" ht="23.25" customHeight="1">
      <c r="A12" s="94" t="s">
        <v>36</v>
      </c>
      <c r="B12" s="95" t="s">
        <v>37</v>
      </c>
      <c r="C12" s="94" t="s">
        <v>38</v>
      </c>
      <c r="D12" s="442">
        <f>'06CH'!AA15</f>
        <v>0</v>
      </c>
      <c r="G12" s="447">
        <f t="shared" si="0"/>
        <v>0</v>
      </c>
      <c r="H12" s="447">
        <f t="shared" si="1"/>
        <v>0</v>
      </c>
    </row>
    <row r="13" spans="1:8" ht="23.25" customHeight="1">
      <c r="A13" s="94" t="s">
        <v>39</v>
      </c>
      <c r="B13" s="95" t="s">
        <v>40</v>
      </c>
      <c r="C13" s="94" t="s">
        <v>41</v>
      </c>
      <c r="D13" s="442">
        <f>'06CH'!AA16</f>
        <v>0</v>
      </c>
      <c r="G13" s="447">
        <f t="shared" si="0"/>
        <v>0</v>
      </c>
      <c r="H13" s="447">
        <f t="shared" si="1"/>
        <v>0</v>
      </c>
    </row>
    <row r="14" spans="1:8" ht="23.25" customHeight="1">
      <c r="A14" s="94" t="s">
        <v>42</v>
      </c>
      <c r="B14" s="95" t="s">
        <v>43</v>
      </c>
      <c r="C14" s="94" t="s">
        <v>44</v>
      </c>
      <c r="D14" s="442">
        <f>'06CH'!AA17</f>
        <v>0</v>
      </c>
      <c r="G14" s="447">
        <f t="shared" si="0"/>
        <v>0</v>
      </c>
      <c r="H14" s="447">
        <f t="shared" si="1"/>
        <v>0</v>
      </c>
    </row>
    <row r="15" spans="1:8" ht="23.25" customHeight="1">
      <c r="A15" s="390">
        <v>2</v>
      </c>
      <c r="B15" s="391" t="s">
        <v>45</v>
      </c>
      <c r="C15" s="390" t="s">
        <v>46</v>
      </c>
      <c r="D15" s="444">
        <f>'06CH'!AA18</f>
        <v>0</v>
      </c>
      <c r="E15" s="441">
        <f>SUM(E16:E24)+E30+E34+E42</f>
        <v>1898.33</v>
      </c>
      <c r="F15" s="441">
        <f>SUM(F16:F24)+F30+F34+F42</f>
        <v>137.38</v>
      </c>
      <c r="G15" s="446">
        <f t="shared" si="0"/>
        <v>2035.71</v>
      </c>
      <c r="H15" s="446">
        <f t="shared" si="1"/>
        <v>12.01362525014739</v>
      </c>
    </row>
    <row r="16" spans="1:8" ht="23.25" customHeight="1">
      <c r="A16" s="94" t="s">
        <v>47</v>
      </c>
      <c r="B16" s="95" t="s">
        <v>48</v>
      </c>
      <c r="C16" s="94" t="s">
        <v>49</v>
      </c>
      <c r="D16" s="442">
        <f>'06CH'!AA19</f>
        <v>0</v>
      </c>
      <c r="G16" s="447">
        <f t="shared" si="0"/>
        <v>0</v>
      </c>
      <c r="H16" s="447">
        <f t="shared" si="1"/>
        <v>0</v>
      </c>
    </row>
    <row r="17" spans="1:8" ht="23.25" customHeight="1">
      <c r="A17" s="94" t="s">
        <v>50</v>
      </c>
      <c r="B17" s="95" t="s">
        <v>51</v>
      </c>
      <c r="C17" s="94" t="s">
        <v>52</v>
      </c>
      <c r="D17" s="442">
        <f>'06CH'!AA20</f>
        <v>0</v>
      </c>
      <c r="G17" s="447">
        <f t="shared" si="0"/>
        <v>0</v>
      </c>
      <c r="H17" s="447">
        <f t="shared" si="1"/>
        <v>0</v>
      </c>
    </row>
    <row r="18" spans="1:8" ht="23.25" customHeight="1">
      <c r="A18" s="94" t="s">
        <v>53</v>
      </c>
      <c r="B18" s="95" t="s">
        <v>54</v>
      </c>
      <c r="C18" s="94" t="s">
        <v>55</v>
      </c>
      <c r="D18" s="442">
        <f>'06CH'!AA21</f>
        <v>0</v>
      </c>
      <c r="G18" s="447">
        <f t="shared" si="0"/>
        <v>0</v>
      </c>
      <c r="H18" s="447">
        <f t="shared" si="1"/>
        <v>0</v>
      </c>
    </row>
    <row r="19" spans="1:8" ht="23.25" customHeight="1">
      <c r="A19" s="94" t="s">
        <v>56</v>
      </c>
      <c r="B19" s="95" t="s">
        <v>57</v>
      </c>
      <c r="C19" s="94" t="s">
        <v>58</v>
      </c>
      <c r="D19" s="442">
        <f>'06CH'!AA22</f>
        <v>0</v>
      </c>
      <c r="G19" s="447">
        <f t="shared" si="0"/>
        <v>0</v>
      </c>
      <c r="H19" s="447">
        <f t="shared" si="1"/>
        <v>0</v>
      </c>
    </row>
    <row r="20" spans="1:8" ht="23.25" customHeight="1">
      <c r="A20" s="94" t="s">
        <v>59</v>
      </c>
      <c r="B20" s="95" t="s">
        <v>60</v>
      </c>
      <c r="C20" s="94" t="s">
        <v>61</v>
      </c>
      <c r="D20" s="442">
        <f>'06CH'!AA23</f>
        <v>0</v>
      </c>
      <c r="G20" s="447">
        <f t="shared" si="0"/>
        <v>0</v>
      </c>
      <c r="H20" s="447">
        <f t="shared" si="1"/>
        <v>0</v>
      </c>
    </row>
    <row r="21" spans="1:8" ht="23.25" customHeight="1">
      <c r="A21" s="94" t="s">
        <v>62</v>
      </c>
      <c r="B21" s="95" t="s">
        <v>63</v>
      </c>
      <c r="C21" s="94" t="s">
        <v>64</v>
      </c>
      <c r="D21" s="442">
        <f>'06CH'!AA24</f>
        <v>0</v>
      </c>
      <c r="E21" s="440">
        <v>211.48</v>
      </c>
      <c r="F21" s="440">
        <v>14.26</v>
      </c>
      <c r="G21" s="447">
        <f t="shared" si="0"/>
        <v>225.73999999999998</v>
      </c>
      <c r="H21" s="447">
        <f t="shared" si="1"/>
        <v>1.3321916009491879</v>
      </c>
    </row>
    <row r="22" spans="1:8" ht="23.25" customHeight="1">
      <c r="A22" s="94" t="s">
        <v>65</v>
      </c>
      <c r="B22" s="95" t="s">
        <v>66</v>
      </c>
      <c r="C22" s="94" t="s">
        <v>67</v>
      </c>
      <c r="D22" s="442">
        <f>'06CH'!AA25</f>
        <v>0</v>
      </c>
      <c r="G22" s="447">
        <f t="shared" si="0"/>
        <v>0</v>
      </c>
      <c r="H22" s="447">
        <f t="shared" si="1"/>
        <v>0</v>
      </c>
    </row>
    <row r="23" spans="1:8" ht="23.25" customHeight="1">
      <c r="A23" s="94" t="s">
        <v>68</v>
      </c>
      <c r="B23" s="95" t="s">
        <v>69</v>
      </c>
      <c r="C23" s="94" t="s">
        <v>70</v>
      </c>
      <c r="D23" s="442">
        <f>'06CH'!AA26</f>
        <v>0</v>
      </c>
      <c r="G23" s="447">
        <f t="shared" si="0"/>
        <v>0</v>
      </c>
      <c r="H23" s="447">
        <f t="shared" si="1"/>
        <v>0</v>
      </c>
    </row>
    <row r="24" spans="1:8" ht="23.25" customHeight="1">
      <c r="A24" s="94" t="s">
        <v>71</v>
      </c>
      <c r="B24" s="95" t="s">
        <v>135</v>
      </c>
      <c r="C24" s="94" t="s">
        <v>72</v>
      </c>
      <c r="D24" s="442">
        <f>'06CH'!AA27</f>
        <v>0</v>
      </c>
      <c r="E24" s="440">
        <f>46.24+6.02+15.8+857.75+9.55+19.51</f>
        <v>954.86999999999989</v>
      </c>
      <c r="F24" s="440">
        <f>3.74+62.67</f>
        <v>66.41</v>
      </c>
      <c r="G24" s="447">
        <f t="shared" si="0"/>
        <v>1021.2799999999999</v>
      </c>
      <c r="H24" s="447">
        <f t="shared" si="1"/>
        <v>6.0270250651961845</v>
      </c>
    </row>
    <row r="25" spans="1:8" ht="23.25" customHeight="1">
      <c r="A25" s="94"/>
      <c r="B25" s="95" t="s">
        <v>159</v>
      </c>
      <c r="C25" s="94"/>
      <c r="D25" s="442" t="e">
        <f>'06CH'!#REF!</f>
        <v>#REF!</v>
      </c>
      <c r="G25" s="447" t="e">
        <f t="shared" si="0"/>
        <v>#REF!</v>
      </c>
      <c r="H25" s="447" t="e">
        <f t="shared" si="1"/>
        <v>#REF!</v>
      </c>
    </row>
    <row r="26" spans="1:8" ht="23.25" customHeight="1">
      <c r="A26" s="290" t="s">
        <v>346</v>
      </c>
      <c r="B26" s="250" t="s">
        <v>517</v>
      </c>
      <c r="C26" s="249" t="s">
        <v>202</v>
      </c>
      <c r="D26" s="442">
        <f>'06CH'!AA28</f>
        <v>0</v>
      </c>
      <c r="G26" s="447">
        <f t="shared" si="0"/>
        <v>0</v>
      </c>
      <c r="H26" s="447">
        <f t="shared" si="1"/>
        <v>0</v>
      </c>
    </row>
    <row r="27" spans="1:8" ht="23.25" customHeight="1">
      <c r="A27" s="290" t="s">
        <v>346</v>
      </c>
      <c r="B27" s="250" t="s">
        <v>518</v>
      </c>
      <c r="C27" s="249" t="s">
        <v>203</v>
      </c>
      <c r="D27" s="442">
        <f>'06CH'!AA29</f>
        <v>0</v>
      </c>
      <c r="G27" s="447">
        <f t="shared" si="0"/>
        <v>0</v>
      </c>
      <c r="H27" s="447">
        <f t="shared" si="1"/>
        <v>0</v>
      </c>
    </row>
    <row r="28" spans="1:8" ht="23.25" customHeight="1">
      <c r="A28" s="290" t="s">
        <v>346</v>
      </c>
      <c r="B28" s="250" t="s">
        <v>519</v>
      </c>
      <c r="C28" s="249" t="s">
        <v>204</v>
      </c>
      <c r="D28" s="442">
        <f>'06CH'!AA30</f>
        <v>0</v>
      </c>
      <c r="G28" s="447">
        <f t="shared" si="0"/>
        <v>0</v>
      </c>
      <c r="H28" s="447">
        <f t="shared" si="1"/>
        <v>0</v>
      </c>
    </row>
    <row r="29" spans="1:8" ht="23.25" customHeight="1">
      <c r="A29" s="290" t="s">
        <v>346</v>
      </c>
      <c r="B29" s="250" t="s">
        <v>520</v>
      </c>
      <c r="C29" s="249" t="s">
        <v>205</v>
      </c>
      <c r="D29" s="442">
        <f>'06CH'!AA31</f>
        <v>0</v>
      </c>
      <c r="G29" s="447">
        <f t="shared" si="0"/>
        <v>0</v>
      </c>
      <c r="H29" s="447">
        <f t="shared" si="1"/>
        <v>0</v>
      </c>
    </row>
    <row r="30" spans="1:8" ht="23.25" customHeight="1">
      <c r="A30" s="94" t="s">
        <v>73</v>
      </c>
      <c r="B30" s="95" t="s">
        <v>74</v>
      </c>
      <c r="C30" s="94" t="s">
        <v>75</v>
      </c>
      <c r="D30" s="442">
        <f>'06CH'!AA32</f>
        <v>0</v>
      </c>
      <c r="E30" s="440">
        <v>1.89</v>
      </c>
      <c r="G30" s="447">
        <f t="shared" si="0"/>
        <v>1.89</v>
      </c>
      <c r="H30" s="447">
        <f t="shared" si="1"/>
        <v>1.1153726082191749E-2</v>
      </c>
    </row>
    <row r="31" spans="1:8" ht="23.25" customHeight="1">
      <c r="A31" s="94" t="s">
        <v>76</v>
      </c>
      <c r="B31" s="95" t="s">
        <v>77</v>
      </c>
      <c r="C31" s="94" t="s">
        <v>78</v>
      </c>
      <c r="D31" s="442">
        <f>'06CH'!AA33</f>
        <v>0</v>
      </c>
      <c r="G31" s="447">
        <f t="shared" si="0"/>
        <v>0</v>
      </c>
      <c r="H31" s="447">
        <f t="shared" si="1"/>
        <v>0</v>
      </c>
    </row>
    <row r="32" spans="1:8" ht="23.25" customHeight="1">
      <c r="A32" s="94" t="s">
        <v>79</v>
      </c>
      <c r="B32" s="95" t="s">
        <v>80</v>
      </c>
      <c r="C32" s="94" t="s">
        <v>81</v>
      </c>
      <c r="D32" s="442">
        <f>'06CH'!AA34</f>
        <v>0</v>
      </c>
      <c r="G32" s="447">
        <f t="shared" si="0"/>
        <v>0</v>
      </c>
      <c r="H32" s="447">
        <f t="shared" si="1"/>
        <v>0</v>
      </c>
    </row>
    <row r="33" spans="1:8" ht="23.25" customHeight="1">
      <c r="A33" s="94" t="s">
        <v>82</v>
      </c>
      <c r="B33" s="95" t="s">
        <v>83</v>
      </c>
      <c r="C33" s="94" t="s">
        <v>84</v>
      </c>
      <c r="D33" s="442">
        <f>'06CH'!AA35</f>
        <v>0</v>
      </c>
      <c r="G33" s="447">
        <f t="shared" si="0"/>
        <v>0</v>
      </c>
      <c r="H33" s="447">
        <f t="shared" si="1"/>
        <v>0</v>
      </c>
    </row>
    <row r="34" spans="1:8" ht="23.25" customHeight="1">
      <c r="A34" s="94" t="s">
        <v>85</v>
      </c>
      <c r="B34" s="95" t="s">
        <v>86</v>
      </c>
      <c r="C34" s="94" t="s">
        <v>87</v>
      </c>
      <c r="D34" s="442">
        <f>'06CH'!AA36</f>
        <v>0</v>
      </c>
      <c r="E34" s="440">
        <v>287.82</v>
      </c>
      <c r="F34" s="440">
        <v>29.77</v>
      </c>
      <c r="G34" s="447">
        <f t="shared" si="0"/>
        <v>317.58999999999997</v>
      </c>
      <c r="H34" s="447">
        <f t="shared" si="1"/>
        <v>1.8742390827742208</v>
      </c>
    </row>
    <row r="35" spans="1:8" ht="23.25" customHeight="1">
      <c r="A35" s="94" t="s">
        <v>88</v>
      </c>
      <c r="B35" s="95" t="s">
        <v>89</v>
      </c>
      <c r="C35" s="94" t="s">
        <v>90</v>
      </c>
      <c r="D35" s="442">
        <f>'06CH'!AA37</f>
        <v>0</v>
      </c>
      <c r="G35" s="447">
        <f t="shared" si="0"/>
        <v>0</v>
      </c>
      <c r="H35" s="447">
        <f t="shared" si="1"/>
        <v>0</v>
      </c>
    </row>
    <row r="36" spans="1:8" ht="23.25" customHeight="1">
      <c r="A36" s="94" t="s">
        <v>91</v>
      </c>
      <c r="B36" s="95" t="s">
        <v>92</v>
      </c>
      <c r="C36" s="94" t="s">
        <v>93</v>
      </c>
      <c r="D36" s="442">
        <f>'06CH'!AA38</f>
        <v>0</v>
      </c>
      <c r="G36" s="447">
        <f t="shared" si="0"/>
        <v>0</v>
      </c>
      <c r="H36" s="447">
        <f t="shared" si="1"/>
        <v>0</v>
      </c>
    </row>
    <row r="37" spans="1:8" ht="23.25" customHeight="1">
      <c r="A37" s="94" t="s">
        <v>94</v>
      </c>
      <c r="B37" s="95" t="s">
        <v>95</v>
      </c>
      <c r="C37" s="94" t="s">
        <v>96</v>
      </c>
      <c r="D37" s="442">
        <f>'06CH'!AA39</f>
        <v>0</v>
      </c>
      <c r="G37" s="447">
        <f t="shared" si="0"/>
        <v>0</v>
      </c>
      <c r="H37" s="447">
        <f t="shared" si="1"/>
        <v>0</v>
      </c>
    </row>
    <row r="38" spans="1:8" ht="23.25" customHeight="1">
      <c r="A38" s="94" t="s">
        <v>97</v>
      </c>
      <c r="B38" s="95" t="s">
        <v>98</v>
      </c>
      <c r="C38" s="94" t="s">
        <v>99</v>
      </c>
      <c r="D38" s="442">
        <f>'06CH'!AA40</f>
        <v>0</v>
      </c>
      <c r="G38" s="447">
        <f t="shared" si="0"/>
        <v>0</v>
      </c>
      <c r="H38" s="447">
        <f t="shared" si="1"/>
        <v>0</v>
      </c>
    </row>
    <row r="39" spans="1:8" ht="23.25" customHeight="1">
      <c r="A39" s="94" t="s">
        <v>100</v>
      </c>
      <c r="B39" s="95" t="s">
        <v>134</v>
      </c>
      <c r="C39" s="94" t="s">
        <v>101</v>
      </c>
      <c r="D39" s="442">
        <f>'06CH'!AA41</f>
        <v>0</v>
      </c>
      <c r="G39" s="447">
        <f t="shared" si="0"/>
        <v>0</v>
      </c>
      <c r="H39" s="447">
        <f t="shared" si="1"/>
        <v>0</v>
      </c>
    </row>
    <row r="40" spans="1:8" ht="23.25" customHeight="1">
      <c r="A40" s="94" t="s">
        <v>102</v>
      </c>
      <c r="B40" s="95" t="s">
        <v>103</v>
      </c>
      <c r="C40" s="94" t="s">
        <v>104</v>
      </c>
      <c r="D40" s="442">
        <f>'06CH'!AA42</f>
        <v>0</v>
      </c>
      <c r="G40" s="447">
        <f t="shared" si="0"/>
        <v>0</v>
      </c>
      <c r="H40" s="447">
        <f t="shared" si="1"/>
        <v>0</v>
      </c>
    </row>
    <row r="41" spans="1:8" ht="23.25" customHeight="1">
      <c r="A41" s="94" t="s">
        <v>105</v>
      </c>
      <c r="B41" s="95" t="s">
        <v>106</v>
      </c>
      <c r="C41" s="94" t="s">
        <v>107</v>
      </c>
      <c r="D41" s="442">
        <f>'06CH'!AA43</f>
        <v>0</v>
      </c>
      <c r="G41" s="447">
        <f t="shared" si="0"/>
        <v>0</v>
      </c>
      <c r="H41" s="447">
        <f t="shared" si="1"/>
        <v>0</v>
      </c>
    </row>
    <row r="42" spans="1:8" ht="23.25" customHeight="1">
      <c r="A42" s="94" t="s">
        <v>108</v>
      </c>
      <c r="B42" s="95" t="s">
        <v>109</v>
      </c>
      <c r="C42" s="94" t="s">
        <v>110</v>
      </c>
      <c r="D42" s="442">
        <f>'06CH'!AA44</f>
        <v>0</v>
      </c>
      <c r="E42" s="440">
        <v>442.27</v>
      </c>
      <c r="F42" s="440">
        <v>26.94</v>
      </c>
      <c r="G42" s="447">
        <f t="shared" si="0"/>
        <v>469.21</v>
      </c>
      <c r="H42" s="447">
        <f t="shared" si="1"/>
        <v>2.7690157751456037</v>
      </c>
    </row>
    <row r="43" spans="1:8" ht="23.25" customHeight="1">
      <c r="A43" s="94" t="s">
        <v>111</v>
      </c>
      <c r="B43" s="95" t="s">
        <v>112</v>
      </c>
      <c r="C43" s="94" t="s">
        <v>113</v>
      </c>
      <c r="D43" s="442">
        <f>'06CH'!AA45</f>
        <v>0</v>
      </c>
      <c r="G43" s="447">
        <f t="shared" si="0"/>
        <v>0</v>
      </c>
      <c r="H43" s="447">
        <f t="shared" si="1"/>
        <v>0</v>
      </c>
    </row>
    <row r="44" spans="1:8" ht="23.25" customHeight="1">
      <c r="A44" s="94" t="s">
        <v>114</v>
      </c>
      <c r="B44" s="95" t="s">
        <v>115</v>
      </c>
      <c r="C44" s="94" t="s">
        <v>116</v>
      </c>
      <c r="D44" s="442">
        <f>'06CH'!AA46</f>
        <v>0</v>
      </c>
      <c r="G44" s="447">
        <f t="shared" si="0"/>
        <v>0</v>
      </c>
      <c r="H44" s="447">
        <f t="shared" si="1"/>
        <v>0</v>
      </c>
    </row>
    <row r="45" spans="1:8" ht="23.25" customHeight="1">
      <c r="A45" s="94" t="s">
        <v>117</v>
      </c>
      <c r="B45" s="95" t="s">
        <v>118</v>
      </c>
      <c r="C45" s="94" t="s">
        <v>119</v>
      </c>
      <c r="D45" s="442">
        <f>'06CH'!AA47</f>
        <v>0</v>
      </c>
      <c r="G45" s="447">
        <f t="shared" si="0"/>
        <v>0</v>
      </c>
      <c r="H45" s="447">
        <f t="shared" si="1"/>
        <v>0</v>
      </c>
    </row>
    <row r="46" spans="1:8" ht="23.25" customHeight="1">
      <c r="A46" s="94" t="s">
        <v>120</v>
      </c>
      <c r="B46" s="95" t="s">
        <v>121</v>
      </c>
      <c r="C46" s="94" t="s">
        <v>122</v>
      </c>
      <c r="D46" s="442">
        <f>'06CH'!AA48</f>
        <v>0</v>
      </c>
      <c r="G46" s="447">
        <f t="shared" si="0"/>
        <v>0</v>
      </c>
      <c r="H46" s="447">
        <f t="shared" si="1"/>
        <v>0</v>
      </c>
    </row>
    <row r="47" spans="1:8" ht="23.25" customHeight="1">
      <c r="A47" s="92">
        <v>3</v>
      </c>
      <c r="B47" s="93" t="s">
        <v>123</v>
      </c>
      <c r="C47" s="92" t="s">
        <v>124</v>
      </c>
      <c r="D47" s="444">
        <f>'06CH'!AA49</f>
        <v>0</v>
      </c>
      <c r="E47" s="441"/>
      <c r="F47" s="441"/>
      <c r="G47" s="446">
        <f t="shared" si="0"/>
        <v>0</v>
      </c>
      <c r="H47" s="446">
        <f t="shared" si="1"/>
        <v>0</v>
      </c>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R50"/>
  <sheetViews>
    <sheetView workbookViewId="0">
      <pane ySplit="4" topLeftCell="A5" activePane="bottomLeft" state="frozenSplit"/>
      <selection activeCell="A3" sqref="A1:H1048576"/>
      <selection pane="bottomLeft" sqref="A1:XFD1048576"/>
    </sheetView>
  </sheetViews>
  <sheetFormatPr defaultRowHeight="12.75"/>
  <cols>
    <col min="1" max="1" width="6" customWidth="1"/>
    <col min="2" max="2" width="34.85546875" customWidth="1"/>
    <col min="3" max="3" width="6.7109375" customWidth="1"/>
    <col min="4" max="4" width="11" customWidth="1"/>
    <col min="5" max="5" width="10.5703125" customWidth="1"/>
    <col min="6" max="6" width="10.85546875" customWidth="1"/>
    <col min="7" max="7" width="11.7109375" customWidth="1"/>
    <col min="8" max="8" width="11.28515625" customWidth="1"/>
    <col min="9" max="10" width="9.140625" customWidth="1"/>
    <col min="11" max="11" width="8" customWidth="1"/>
    <col min="14" max="14" width="7.7109375" customWidth="1"/>
    <col min="17" max="17" width="9.5703125" bestFit="1" customWidth="1"/>
    <col min="18" max="18" width="60.7109375" customWidth="1"/>
  </cols>
  <sheetData>
    <row r="1" spans="1:18" ht="17.25" customHeight="1">
      <c r="A1" s="1303" t="s">
        <v>4</v>
      </c>
      <c r="B1" s="1303"/>
    </row>
    <row r="2" spans="1:18" ht="46.5" customHeight="1">
      <c r="A2" s="1304" t="s">
        <v>764</v>
      </c>
      <c r="B2" s="1304"/>
      <c r="C2" s="1304"/>
      <c r="D2" s="1304"/>
      <c r="E2" s="1304"/>
      <c r="F2" s="1304"/>
      <c r="G2" s="1304"/>
      <c r="H2" s="1304"/>
    </row>
    <row r="3" spans="1:18" ht="6" customHeight="1"/>
    <row r="4" spans="1:18" ht="23.25" customHeight="1">
      <c r="A4" s="1280" t="s">
        <v>136</v>
      </c>
      <c r="B4" s="1280" t="s">
        <v>12</v>
      </c>
      <c r="C4" s="1280" t="s">
        <v>13</v>
      </c>
      <c r="D4" s="1280" t="s">
        <v>331</v>
      </c>
      <c r="E4" s="1280" t="s">
        <v>342</v>
      </c>
      <c r="F4" s="1280" t="s">
        <v>724</v>
      </c>
      <c r="G4" s="1280" t="s">
        <v>343</v>
      </c>
      <c r="H4" s="1280"/>
    </row>
    <row r="5" spans="1:18" ht="22.5" customHeight="1">
      <c r="A5" s="1280"/>
      <c r="B5" s="1280"/>
      <c r="C5" s="1280"/>
      <c r="D5" s="1280"/>
      <c r="E5" s="1280"/>
      <c r="F5" s="1280"/>
      <c r="G5" s="1280" t="s">
        <v>344</v>
      </c>
      <c r="H5" s="1280" t="s">
        <v>345</v>
      </c>
    </row>
    <row r="6" spans="1:18" ht="39" customHeight="1">
      <c r="A6" s="1280"/>
      <c r="B6" s="1280"/>
      <c r="C6" s="1280"/>
      <c r="D6" s="1280"/>
      <c r="E6" s="1280"/>
      <c r="F6" s="1280"/>
      <c r="G6" s="1280"/>
      <c r="H6" s="1280"/>
      <c r="I6" s="1305" t="s">
        <v>521</v>
      </c>
      <c r="J6" s="1302"/>
      <c r="K6" s="1302"/>
      <c r="L6" s="1306" t="s">
        <v>525</v>
      </c>
      <c r="M6" s="1307"/>
      <c r="N6" s="1307"/>
      <c r="O6" s="1302" t="s">
        <v>526</v>
      </c>
      <c r="P6" s="1302"/>
      <c r="Q6" s="1302"/>
    </row>
    <row r="7" spans="1:18" ht="24" customHeight="1">
      <c r="A7" s="76">
        <v>1</v>
      </c>
      <c r="B7" s="76">
        <v>2</v>
      </c>
      <c r="C7" s="76">
        <v>3</v>
      </c>
      <c r="D7" s="76">
        <v>4</v>
      </c>
      <c r="E7" s="76">
        <v>5</v>
      </c>
      <c r="F7" s="76">
        <v>6</v>
      </c>
      <c r="G7" s="76">
        <v>7</v>
      </c>
      <c r="H7" s="76">
        <v>8</v>
      </c>
      <c r="I7" s="102" t="s">
        <v>522</v>
      </c>
      <c r="J7" s="301" t="s">
        <v>523</v>
      </c>
      <c r="K7" s="301" t="s">
        <v>524</v>
      </c>
      <c r="L7" s="102" t="s">
        <v>522</v>
      </c>
      <c r="M7" s="301" t="s">
        <v>523</v>
      </c>
      <c r="N7" s="301" t="s">
        <v>524</v>
      </c>
      <c r="O7" s="303" t="s">
        <v>522</v>
      </c>
      <c r="P7" s="302" t="s">
        <v>523</v>
      </c>
      <c r="Q7" s="302" t="s">
        <v>524</v>
      </c>
    </row>
    <row r="8" spans="1:18" s="53" customFormat="1" ht="17.25" customHeight="1">
      <c r="A8" s="85">
        <v>1</v>
      </c>
      <c r="B8" s="101" t="s">
        <v>14</v>
      </c>
      <c r="C8" s="90" t="s">
        <v>15</v>
      </c>
      <c r="D8" s="90">
        <v>16920.080000000002</v>
      </c>
      <c r="E8" s="90">
        <v>17522.63</v>
      </c>
      <c r="F8" s="90">
        <v>38448.142589999996</v>
      </c>
      <c r="G8" s="295">
        <v>227.23381089214703</v>
      </c>
      <c r="H8" s="295">
        <v>219.41993062685222</v>
      </c>
      <c r="I8" s="53">
        <v>297.58999999999997</v>
      </c>
      <c r="J8" s="310">
        <v>190.77000000000004</v>
      </c>
      <c r="K8" s="310">
        <v>64.10497664572064</v>
      </c>
      <c r="L8" s="53">
        <v>49.41</v>
      </c>
      <c r="M8" s="53">
        <v>60.63</v>
      </c>
      <c r="N8" s="310">
        <v>122.70795385549485</v>
      </c>
      <c r="R8" s="87" t="s">
        <v>173</v>
      </c>
    </row>
    <row r="9" spans="1:18" ht="16.5" customHeight="1">
      <c r="A9" s="5" t="s">
        <v>16</v>
      </c>
      <c r="B9" s="72" t="s">
        <v>17</v>
      </c>
      <c r="C9" s="94" t="s">
        <v>18</v>
      </c>
      <c r="D9" s="94">
        <v>4772.0600000000004</v>
      </c>
      <c r="E9" s="94">
        <v>4937.8</v>
      </c>
      <c r="F9" s="94">
        <v>3246.9302500000003</v>
      </c>
      <c r="G9" s="292">
        <v>68.040432224238586</v>
      </c>
      <c r="H9" s="292">
        <v>65.756617319454008</v>
      </c>
      <c r="I9">
        <v>50.99</v>
      </c>
      <c r="J9" s="177">
        <v>93.750000000000014</v>
      </c>
      <c r="K9" s="177">
        <v>183.8595803098647</v>
      </c>
      <c r="L9">
        <v>12.76</v>
      </c>
      <c r="M9">
        <v>23.39</v>
      </c>
      <c r="N9" s="177">
        <v>183.30721003134798</v>
      </c>
      <c r="R9" s="72" t="s">
        <v>174</v>
      </c>
    </row>
    <row r="10" spans="1:18" ht="16.5" customHeight="1">
      <c r="A10" s="5"/>
      <c r="B10" s="72" t="s">
        <v>19</v>
      </c>
      <c r="C10" s="94" t="s">
        <v>20</v>
      </c>
      <c r="D10" s="94">
        <v>4637.5</v>
      </c>
      <c r="E10" s="94">
        <v>4780.01</v>
      </c>
      <c r="F10" s="94">
        <v>1840.3679999999999</v>
      </c>
      <c r="G10" s="292">
        <v>39.684485175202155</v>
      </c>
      <c r="H10" s="292">
        <v>38.501342047401572</v>
      </c>
      <c r="I10">
        <v>37.4</v>
      </c>
      <c r="J10">
        <v>93.75</v>
      </c>
      <c r="K10" s="177">
        <v>250.66844919786098</v>
      </c>
      <c r="L10">
        <v>10.029999999999999</v>
      </c>
      <c r="M10">
        <v>22.83</v>
      </c>
      <c r="N10" s="177">
        <v>227.61714855433701</v>
      </c>
      <c r="O10">
        <v>5</v>
      </c>
      <c r="P10">
        <v>0.74</v>
      </c>
      <c r="Q10" s="177">
        <v>14.8</v>
      </c>
      <c r="R10" s="72" t="s">
        <v>175</v>
      </c>
    </row>
    <row r="11" spans="1:18" ht="16.5" customHeight="1">
      <c r="A11" s="5" t="s">
        <v>21</v>
      </c>
      <c r="B11" s="72" t="s">
        <v>22</v>
      </c>
      <c r="C11" s="94" t="s">
        <v>23</v>
      </c>
      <c r="D11" s="94">
        <v>235.76</v>
      </c>
      <c r="E11" s="94">
        <v>262.86</v>
      </c>
      <c r="F11" s="94">
        <v>1015.3142999999999</v>
      </c>
      <c r="G11" s="292">
        <v>430.65587885985747</v>
      </c>
      <c r="H11" s="292">
        <v>386.25667655786344</v>
      </c>
      <c r="I11">
        <v>11.3</v>
      </c>
      <c r="J11" s="177">
        <v>6.5399999999999991</v>
      </c>
      <c r="K11" s="177">
        <v>57.876106194690252</v>
      </c>
      <c r="L11">
        <v>1.5</v>
      </c>
      <c r="M11">
        <v>7.2</v>
      </c>
      <c r="N11" s="177">
        <v>480</v>
      </c>
      <c r="Q11" s="300"/>
      <c r="R11" s="72" t="s">
        <v>163</v>
      </c>
    </row>
    <row r="12" spans="1:18" ht="16.5" customHeight="1">
      <c r="A12" s="5" t="s">
        <v>24</v>
      </c>
      <c r="B12" s="72" t="s">
        <v>25</v>
      </c>
      <c r="C12" s="94" t="s">
        <v>26</v>
      </c>
      <c r="D12" s="94">
        <v>796.91</v>
      </c>
      <c r="E12" s="94">
        <v>796.61</v>
      </c>
      <c r="F12" s="94">
        <v>1840.0419399999998</v>
      </c>
      <c r="G12" s="292">
        <v>230.89708248108317</v>
      </c>
      <c r="H12" s="292">
        <v>230.98403735830581</v>
      </c>
      <c r="I12">
        <v>10.59</v>
      </c>
      <c r="J12" s="177">
        <v>2.31</v>
      </c>
      <c r="K12" s="177">
        <v>21.813031161473088</v>
      </c>
      <c r="L12">
        <v>0.23</v>
      </c>
      <c r="M12">
        <v>1.99</v>
      </c>
      <c r="N12" s="177">
        <v>865.21739130434776</v>
      </c>
      <c r="Q12" s="300"/>
      <c r="R12" s="72" t="s">
        <v>176</v>
      </c>
    </row>
    <row r="13" spans="1:18" ht="16.5" customHeight="1">
      <c r="A13" s="5" t="s">
        <v>27</v>
      </c>
      <c r="B13" s="72" t="s">
        <v>28</v>
      </c>
      <c r="C13" s="94" t="s">
        <v>29</v>
      </c>
      <c r="D13" s="94">
        <v>1949.15</v>
      </c>
      <c r="E13" s="94">
        <v>2204.3200000000002</v>
      </c>
      <c r="F13" s="94">
        <v>15177.190000000002</v>
      </c>
      <c r="G13" s="292">
        <v>778.6568504219789</v>
      </c>
      <c r="H13" s="292">
        <v>688.5202692893954</v>
      </c>
      <c r="I13">
        <v>19.68</v>
      </c>
      <c r="J13" s="177">
        <v>0.28000000000000003</v>
      </c>
      <c r="K13" s="177">
        <v>1.4227642276422767</v>
      </c>
      <c r="N13" s="177"/>
      <c r="Q13" s="300"/>
      <c r="R13" s="72" t="s">
        <v>177</v>
      </c>
    </row>
    <row r="14" spans="1:18" ht="16.5" customHeight="1">
      <c r="A14" s="5" t="s">
        <v>30</v>
      </c>
      <c r="B14" s="72" t="s">
        <v>31</v>
      </c>
      <c r="C14" s="94" t="s">
        <v>32</v>
      </c>
      <c r="D14" s="94">
        <v>33.5</v>
      </c>
      <c r="E14" s="94">
        <v>33.5</v>
      </c>
      <c r="F14" s="94">
        <v>0</v>
      </c>
      <c r="G14" s="292">
        <v>0</v>
      </c>
      <c r="H14" s="292">
        <v>0</v>
      </c>
      <c r="J14" s="177"/>
      <c r="K14" s="177"/>
      <c r="N14" s="177"/>
      <c r="Q14" s="300"/>
      <c r="R14" s="72" t="s">
        <v>179</v>
      </c>
    </row>
    <row r="15" spans="1:18" ht="16.5" customHeight="1">
      <c r="A15" s="5" t="s">
        <v>33</v>
      </c>
      <c r="B15" s="72" t="s">
        <v>34</v>
      </c>
      <c r="C15" s="94" t="s">
        <v>35</v>
      </c>
      <c r="D15" s="94">
        <v>2299.25</v>
      </c>
      <c r="E15" s="94">
        <v>1833.27</v>
      </c>
      <c r="F15" s="94">
        <v>13541.636099999998</v>
      </c>
      <c r="G15" s="292">
        <v>588.95883875176685</v>
      </c>
      <c r="H15" s="292">
        <v>738.66021371647378</v>
      </c>
      <c r="I15">
        <v>119.33</v>
      </c>
      <c r="J15" s="177">
        <v>21.82</v>
      </c>
      <c r="K15" s="177">
        <v>18.285426967233722</v>
      </c>
      <c r="M15">
        <v>24.99</v>
      </c>
      <c r="N15" s="177"/>
      <c r="Q15" s="300"/>
      <c r="R15" s="72" t="s">
        <v>180</v>
      </c>
    </row>
    <row r="16" spans="1:18" ht="16.5" customHeight="1">
      <c r="A16" s="5" t="s">
        <v>36</v>
      </c>
      <c r="B16" s="72" t="s">
        <v>37</v>
      </c>
      <c r="C16" s="94" t="s">
        <v>38</v>
      </c>
      <c r="D16" s="94">
        <v>6791.33</v>
      </c>
      <c r="E16" s="94">
        <v>7427.59</v>
      </c>
      <c r="F16" s="94">
        <v>3586.9500000000003</v>
      </c>
      <c r="G16" s="292">
        <v>52.816605878377281</v>
      </c>
      <c r="H16" s="292">
        <v>48.292245533207947</v>
      </c>
      <c r="I16">
        <v>85.7</v>
      </c>
      <c r="J16" s="177">
        <v>66.070000000000007</v>
      </c>
      <c r="K16" s="177">
        <v>77.094515752625441</v>
      </c>
      <c r="L16">
        <v>34.92</v>
      </c>
      <c r="M16">
        <v>3.06</v>
      </c>
      <c r="N16" s="177">
        <v>8.7628865979381434</v>
      </c>
      <c r="O16">
        <v>1.3</v>
      </c>
      <c r="Q16" s="300">
        <v>0</v>
      </c>
      <c r="R16" s="72" t="s">
        <v>181</v>
      </c>
    </row>
    <row r="17" spans="1:18" ht="16.5" customHeight="1">
      <c r="A17" s="5" t="s">
        <v>39</v>
      </c>
      <c r="B17" s="72" t="s">
        <v>40</v>
      </c>
      <c r="C17" s="94" t="s">
        <v>41</v>
      </c>
      <c r="D17" s="94"/>
      <c r="E17" s="94"/>
      <c r="F17" s="94"/>
      <c r="G17" s="292"/>
      <c r="H17" s="292"/>
      <c r="N17" s="177"/>
      <c r="O17">
        <v>7.89</v>
      </c>
      <c r="P17">
        <v>2.89</v>
      </c>
      <c r="Q17" s="177">
        <v>36.628643852978456</v>
      </c>
      <c r="R17" s="98" t="s">
        <v>178</v>
      </c>
    </row>
    <row r="18" spans="1:18" ht="16.5" customHeight="1">
      <c r="A18" s="5" t="s">
        <v>42</v>
      </c>
      <c r="B18" s="72" t="s">
        <v>43</v>
      </c>
      <c r="C18" s="94" t="s">
        <v>44</v>
      </c>
      <c r="D18" s="94">
        <v>42.12</v>
      </c>
      <c r="E18" s="94">
        <v>26.68</v>
      </c>
      <c r="F18" s="94">
        <v>40.08</v>
      </c>
      <c r="G18" s="292">
        <v>95.156695156695164</v>
      </c>
      <c r="H18" s="292">
        <v>150.22488755622189</v>
      </c>
      <c r="N18" s="177"/>
    </row>
    <row r="19" spans="1:18" s="53" customFormat="1" ht="16.5" customHeight="1">
      <c r="A19" s="86">
        <v>2</v>
      </c>
      <c r="B19" s="87" t="s">
        <v>45</v>
      </c>
      <c r="C19" s="92" t="s">
        <v>46</v>
      </c>
      <c r="D19" s="92">
        <v>13960.19</v>
      </c>
      <c r="E19" s="92">
        <v>13200.26</v>
      </c>
      <c r="F19" s="291">
        <v>7712.7726700000003</v>
      </c>
      <c r="G19" s="291">
        <v>55.248335946717056</v>
      </c>
      <c r="H19" s="291">
        <v>58.428945111687192</v>
      </c>
      <c r="L19" s="53">
        <v>70.650000000000006</v>
      </c>
      <c r="M19" s="53">
        <v>35.6</v>
      </c>
      <c r="N19" s="177">
        <v>50.389242745930638</v>
      </c>
    </row>
    <row r="20" spans="1:18" ht="16.5" customHeight="1">
      <c r="A20" s="5" t="s">
        <v>47</v>
      </c>
      <c r="B20" s="72" t="s">
        <v>48</v>
      </c>
      <c r="C20" s="94" t="s">
        <v>49</v>
      </c>
      <c r="D20" s="94">
        <v>337.88</v>
      </c>
      <c r="E20" s="94">
        <v>235.16</v>
      </c>
      <c r="F20" s="94">
        <v>285.92867000000001</v>
      </c>
      <c r="G20" s="292">
        <v>84.624325204214514</v>
      </c>
      <c r="H20" s="292">
        <v>121.58899047457052</v>
      </c>
      <c r="N20" s="177"/>
    </row>
    <row r="21" spans="1:18" ht="16.5" customHeight="1">
      <c r="A21" s="5" t="s">
        <v>50</v>
      </c>
      <c r="B21" s="72" t="s">
        <v>51</v>
      </c>
      <c r="C21" s="94" t="s">
        <v>52</v>
      </c>
      <c r="D21" s="94">
        <v>453.96</v>
      </c>
      <c r="E21" s="94">
        <v>523.75</v>
      </c>
      <c r="F21" s="94">
        <v>9.83</v>
      </c>
      <c r="G21" s="292">
        <v>2.1653890210591245</v>
      </c>
      <c r="H21" s="292">
        <v>1.8768496420047733</v>
      </c>
      <c r="L21">
        <v>27.33</v>
      </c>
      <c r="N21" s="177">
        <v>0</v>
      </c>
    </row>
    <row r="22" spans="1:18" ht="16.5" customHeight="1">
      <c r="A22" s="5" t="s">
        <v>53</v>
      </c>
      <c r="B22" s="72" t="s">
        <v>54</v>
      </c>
      <c r="C22" s="94" t="s">
        <v>55</v>
      </c>
      <c r="D22" s="94">
        <v>727</v>
      </c>
      <c r="E22" s="94">
        <v>681.58</v>
      </c>
      <c r="F22" s="94">
        <v>79.59</v>
      </c>
      <c r="G22" s="292">
        <v>10.947730398899587</v>
      </c>
      <c r="H22" s="292">
        <v>11.677279262889169</v>
      </c>
      <c r="L22">
        <v>5.98</v>
      </c>
      <c r="N22" s="177">
        <v>0</v>
      </c>
    </row>
    <row r="23" spans="1:18" ht="16.5" customHeight="1">
      <c r="A23" s="5" t="s">
        <v>56</v>
      </c>
      <c r="B23" s="72" t="s">
        <v>57</v>
      </c>
      <c r="C23" s="94" t="s">
        <v>58</v>
      </c>
      <c r="D23" s="94"/>
      <c r="E23" s="94"/>
      <c r="F23" s="94"/>
      <c r="G23" s="292"/>
      <c r="H23" s="292"/>
      <c r="N23" s="177"/>
    </row>
    <row r="24" spans="1:18" ht="16.5" customHeight="1">
      <c r="A24" s="5" t="s">
        <v>59</v>
      </c>
      <c r="B24" s="72" t="s">
        <v>60</v>
      </c>
      <c r="C24" s="94" t="s">
        <v>61</v>
      </c>
      <c r="D24" s="94">
        <v>27.1</v>
      </c>
      <c r="E24" s="94">
        <v>27.1</v>
      </c>
      <c r="F24" s="94">
        <v>0</v>
      </c>
      <c r="G24" s="292">
        <v>0</v>
      </c>
      <c r="H24" s="292">
        <v>0</v>
      </c>
      <c r="N24" s="177"/>
    </row>
    <row r="25" spans="1:18" ht="16.5" customHeight="1">
      <c r="A25" s="5" t="s">
        <v>62</v>
      </c>
      <c r="B25" s="72" t="s">
        <v>63</v>
      </c>
      <c r="C25" s="94" t="s">
        <v>64</v>
      </c>
      <c r="D25" s="94">
        <v>629.47</v>
      </c>
      <c r="E25" s="94">
        <v>320.16000000000003</v>
      </c>
      <c r="F25" s="94">
        <v>349.95717000000002</v>
      </c>
      <c r="G25" s="292">
        <v>55.595527983859441</v>
      </c>
      <c r="H25" s="292">
        <v>109.30696214392805</v>
      </c>
      <c r="N25" s="177"/>
    </row>
    <row r="26" spans="1:18" ht="16.5" customHeight="1">
      <c r="A26" s="5" t="s">
        <v>65</v>
      </c>
      <c r="B26" s="72" t="s">
        <v>66</v>
      </c>
      <c r="C26" s="94" t="s">
        <v>67</v>
      </c>
      <c r="D26" s="94">
        <v>456.08</v>
      </c>
      <c r="E26" s="94">
        <v>359.67</v>
      </c>
      <c r="F26" s="94">
        <v>126.12</v>
      </c>
      <c r="G26" s="292">
        <v>27.65304332573233</v>
      </c>
      <c r="H26" s="292">
        <v>35.065476686963045</v>
      </c>
      <c r="L26">
        <v>5.0599999999999996</v>
      </c>
      <c r="M26">
        <v>35.47</v>
      </c>
      <c r="N26" s="177">
        <v>700.98814229249012</v>
      </c>
    </row>
    <row r="27" spans="1:18" ht="16.5" customHeight="1">
      <c r="A27" s="5" t="s">
        <v>68</v>
      </c>
      <c r="B27" s="72" t="s">
        <v>69</v>
      </c>
      <c r="C27" s="94" t="s">
        <v>70</v>
      </c>
      <c r="D27" s="94">
        <v>2.84</v>
      </c>
      <c r="E27" s="94"/>
      <c r="F27" s="94">
        <v>0</v>
      </c>
      <c r="G27" s="292">
        <v>0</v>
      </c>
      <c r="H27" s="292" t="s">
        <v>346</v>
      </c>
      <c r="N27" s="177"/>
    </row>
    <row r="28" spans="1:18" ht="30.75" customHeight="1">
      <c r="A28" s="5" t="s">
        <v>71</v>
      </c>
      <c r="B28" s="72" t="s">
        <v>135</v>
      </c>
      <c r="C28" s="94" t="s">
        <v>72</v>
      </c>
      <c r="D28" s="94">
        <v>1602.37</v>
      </c>
      <c r="E28" s="94">
        <v>1721.76</v>
      </c>
      <c r="F28" s="94">
        <v>2144.3125000000005</v>
      </c>
      <c r="G28" s="292">
        <v>133.82130843687793</v>
      </c>
      <c r="H28" s="292">
        <v>124.54189317907262</v>
      </c>
      <c r="L28">
        <v>18.940000000000001</v>
      </c>
      <c r="M28">
        <v>0.11</v>
      </c>
      <c r="N28" s="177">
        <v>0.58078141499472014</v>
      </c>
    </row>
    <row r="29" spans="1:18" s="299" customFormat="1" ht="16.5" customHeight="1">
      <c r="A29" s="5" t="s">
        <v>224</v>
      </c>
      <c r="B29" s="72" t="s">
        <v>517</v>
      </c>
      <c r="C29" s="94" t="s">
        <v>202</v>
      </c>
      <c r="D29" s="94">
        <v>38.78</v>
      </c>
      <c r="E29" s="94"/>
      <c r="F29" s="94">
        <v>16.430000000000003</v>
      </c>
      <c r="G29" s="292">
        <v>42.367199587416195</v>
      </c>
      <c r="H29" s="292"/>
      <c r="N29" s="177"/>
    </row>
    <row r="30" spans="1:18" s="299" customFormat="1" ht="16.5" customHeight="1">
      <c r="A30" s="5" t="s">
        <v>225</v>
      </c>
      <c r="B30" s="72" t="s">
        <v>518</v>
      </c>
      <c r="C30" s="94" t="s">
        <v>203</v>
      </c>
      <c r="D30" s="94">
        <v>10.73</v>
      </c>
      <c r="E30" s="94"/>
      <c r="F30" s="94">
        <v>7.9336999999999991</v>
      </c>
      <c r="G30" s="292">
        <v>73.939422180801472</v>
      </c>
      <c r="H30" s="292"/>
      <c r="L30" s="299">
        <v>0.14000000000000001</v>
      </c>
      <c r="N30" s="177">
        <v>0</v>
      </c>
    </row>
    <row r="31" spans="1:18" s="299" customFormat="1" ht="16.5" customHeight="1">
      <c r="A31" s="5" t="s">
        <v>226</v>
      </c>
      <c r="B31" s="72" t="s">
        <v>519</v>
      </c>
      <c r="C31" s="94" t="s">
        <v>204</v>
      </c>
      <c r="D31" s="94">
        <v>156.02000000000001</v>
      </c>
      <c r="E31" s="94"/>
      <c r="F31" s="94">
        <v>71.976210000000009</v>
      </c>
      <c r="G31" s="292">
        <v>46.132681707473402</v>
      </c>
      <c r="H31" s="292"/>
      <c r="L31" s="299">
        <v>1.53</v>
      </c>
      <c r="N31" s="177">
        <v>0</v>
      </c>
    </row>
    <row r="32" spans="1:18" s="299" customFormat="1" ht="16.5" customHeight="1">
      <c r="A32" s="5" t="s">
        <v>227</v>
      </c>
      <c r="B32" s="72" t="s">
        <v>520</v>
      </c>
      <c r="C32" s="94" t="s">
        <v>205</v>
      </c>
      <c r="D32" s="94">
        <v>12.64</v>
      </c>
      <c r="E32" s="94"/>
      <c r="F32" s="94">
        <v>113.738</v>
      </c>
      <c r="G32" s="292">
        <v>899.82594936708847</v>
      </c>
      <c r="H32" s="292"/>
      <c r="N32" s="177"/>
    </row>
    <row r="33" spans="1:14" ht="16.5" customHeight="1">
      <c r="A33" s="5" t="s">
        <v>73</v>
      </c>
      <c r="B33" s="72" t="s">
        <v>74</v>
      </c>
      <c r="C33" s="94" t="s">
        <v>75</v>
      </c>
      <c r="D33" s="94">
        <v>42.28</v>
      </c>
      <c r="E33" s="94">
        <v>32.61</v>
      </c>
      <c r="F33" s="94">
        <v>0.24000000000000002</v>
      </c>
      <c r="G33" s="292">
        <v>0.56764427625354785</v>
      </c>
      <c r="H33" s="292">
        <v>0.735970561177553</v>
      </c>
      <c r="L33">
        <v>0.5</v>
      </c>
      <c r="N33" s="177">
        <v>0</v>
      </c>
    </row>
    <row r="34" spans="1:14" ht="16.5" customHeight="1">
      <c r="A34" s="5" t="s">
        <v>76</v>
      </c>
      <c r="B34" s="72" t="s">
        <v>77</v>
      </c>
      <c r="C34" s="94" t="s">
        <v>78</v>
      </c>
      <c r="D34" s="94"/>
      <c r="E34" s="94"/>
      <c r="F34" s="94"/>
      <c r="G34" s="292"/>
      <c r="H34" s="292"/>
      <c r="N34" s="177"/>
    </row>
    <row r="35" spans="1:14" ht="16.5" customHeight="1">
      <c r="A35" s="5" t="s">
        <v>79</v>
      </c>
      <c r="B35" s="72" t="s">
        <v>80</v>
      </c>
      <c r="C35" s="94" t="s">
        <v>81</v>
      </c>
      <c r="D35" s="94">
        <v>5.77</v>
      </c>
      <c r="E35" s="94">
        <v>15.77</v>
      </c>
      <c r="F35" s="94">
        <v>44.33</v>
      </c>
      <c r="G35" s="292">
        <v>768.28422876949742</v>
      </c>
      <c r="H35" s="292">
        <v>281.10336081166776</v>
      </c>
      <c r="M35">
        <v>0.02</v>
      </c>
      <c r="N35" s="177" t="e">
        <v>#DIV/0!</v>
      </c>
    </row>
    <row r="36" spans="1:14" ht="16.5" customHeight="1">
      <c r="A36" s="5" t="s">
        <v>82</v>
      </c>
      <c r="B36" s="72" t="s">
        <v>83</v>
      </c>
      <c r="C36" s="94" t="s">
        <v>84</v>
      </c>
      <c r="D36" s="94">
        <v>532.85</v>
      </c>
      <c r="E36" s="94">
        <v>488.29</v>
      </c>
      <c r="F36" s="94">
        <v>312.20955000000004</v>
      </c>
      <c r="G36" s="292">
        <v>58.592389978417941</v>
      </c>
      <c r="H36" s="292">
        <v>63.939370046488769</v>
      </c>
      <c r="L36">
        <v>2.2000000000000002</v>
      </c>
      <c r="N36" s="177">
        <v>0</v>
      </c>
    </row>
    <row r="37" spans="1:14" ht="16.5" customHeight="1">
      <c r="A37" s="5" t="s">
        <v>85</v>
      </c>
      <c r="B37" s="72" t="s">
        <v>86</v>
      </c>
      <c r="C37" s="94" t="s">
        <v>87</v>
      </c>
      <c r="D37" s="94">
        <v>700.9</v>
      </c>
      <c r="E37" s="94">
        <v>662.41</v>
      </c>
      <c r="F37" s="94">
        <v>360.37450000000001</v>
      </c>
      <c r="G37" s="292">
        <v>51.415965187615932</v>
      </c>
      <c r="H37" s="292">
        <v>54.403541613200296</v>
      </c>
      <c r="L37">
        <v>4.33</v>
      </c>
      <c r="N37" s="177">
        <v>0</v>
      </c>
    </row>
    <row r="38" spans="1:14" ht="17.25" customHeight="1">
      <c r="A38" s="5" t="s">
        <v>88</v>
      </c>
      <c r="B38" s="72" t="s">
        <v>89</v>
      </c>
      <c r="C38" s="94" t="s">
        <v>90</v>
      </c>
      <c r="D38" s="94">
        <v>14.52</v>
      </c>
      <c r="E38" s="94">
        <v>13.02</v>
      </c>
      <c r="F38" s="94">
        <v>36.990279999999998</v>
      </c>
      <c r="G38" s="292">
        <v>254.75399449035811</v>
      </c>
      <c r="H38" s="292">
        <v>284.10353302611367</v>
      </c>
      <c r="N38" s="177"/>
    </row>
    <row r="39" spans="1:14" ht="25.5" customHeight="1">
      <c r="A39" s="5" t="s">
        <v>91</v>
      </c>
      <c r="B39" s="72" t="s">
        <v>92</v>
      </c>
      <c r="C39" s="94" t="s">
        <v>93</v>
      </c>
      <c r="D39" s="94">
        <v>6.71</v>
      </c>
      <c r="E39" s="94">
        <v>6.71</v>
      </c>
      <c r="F39" s="94">
        <v>0.67</v>
      </c>
      <c r="G39" s="292">
        <v>9.9850968703427725</v>
      </c>
      <c r="H39" s="292">
        <v>9.9850968703427725</v>
      </c>
      <c r="L39">
        <v>0.09</v>
      </c>
      <c r="N39" s="177">
        <v>0</v>
      </c>
    </row>
    <row r="40" spans="1:14" ht="17.25" customHeight="1">
      <c r="A40" s="5" t="s">
        <v>94</v>
      </c>
      <c r="B40" s="72" t="s">
        <v>95</v>
      </c>
      <c r="C40" s="94" t="s">
        <v>96</v>
      </c>
      <c r="D40" s="94"/>
      <c r="E40" s="94"/>
      <c r="F40" s="94"/>
      <c r="G40" s="292"/>
      <c r="H40" s="292"/>
      <c r="N40" s="177"/>
    </row>
    <row r="41" spans="1:14" ht="17.25" customHeight="1">
      <c r="A41" s="5" t="s">
        <v>97</v>
      </c>
      <c r="B41" s="72" t="s">
        <v>98</v>
      </c>
      <c r="C41" s="94" t="s">
        <v>99</v>
      </c>
      <c r="D41" s="94">
        <v>11.47</v>
      </c>
      <c r="E41" s="94">
        <v>11.3</v>
      </c>
      <c r="F41" s="94">
        <v>10.77</v>
      </c>
      <c r="G41" s="292">
        <v>93.897122929380984</v>
      </c>
      <c r="H41" s="292">
        <v>95.309734513274336</v>
      </c>
      <c r="N41" s="177"/>
    </row>
    <row r="42" spans="1:14" ht="30" customHeight="1">
      <c r="A42" s="5" t="s">
        <v>100</v>
      </c>
      <c r="B42" s="72" t="s">
        <v>134</v>
      </c>
      <c r="C42" s="94" t="s">
        <v>101</v>
      </c>
      <c r="D42" s="94">
        <v>120.82</v>
      </c>
      <c r="E42" s="94">
        <v>153.1</v>
      </c>
      <c r="F42" s="94">
        <v>239.16000000000003</v>
      </c>
      <c r="G42" s="292">
        <v>197.94735970865756</v>
      </c>
      <c r="H42" s="292">
        <v>156.21162638798174</v>
      </c>
      <c r="L42">
        <v>0.17</v>
      </c>
      <c r="N42" s="177">
        <v>0</v>
      </c>
    </row>
    <row r="43" spans="1:14" ht="27.75" customHeight="1">
      <c r="A43" s="5" t="s">
        <v>102</v>
      </c>
      <c r="B43" s="72" t="s">
        <v>103</v>
      </c>
      <c r="C43" s="94" t="s">
        <v>104</v>
      </c>
      <c r="D43" s="94">
        <v>119.53</v>
      </c>
      <c r="E43" s="94">
        <v>115.94</v>
      </c>
      <c r="F43" s="94">
        <v>18.010399999999997</v>
      </c>
      <c r="G43" s="292">
        <v>15.067681753534675</v>
      </c>
      <c r="H43" s="292">
        <v>15.534241849232359</v>
      </c>
      <c r="L43">
        <v>0.7</v>
      </c>
      <c r="N43" s="177">
        <v>0</v>
      </c>
    </row>
    <row r="44" spans="1:14" ht="15" customHeight="1">
      <c r="A44" s="5" t="s">
        <v>105</v>
      </c>
      <c r="B44" s="72" t="s">
        <v>106</v>
      </c>
      <c r="C44" s="94" t="s">
        <v>107</v>
      </c>
      <c r="D44" s="94">
        <v>9.36</v>
      </c>
      <c r="E44" s="94">
        <v>9.36</v>
      </c>
      <c r="F44" s="94">
        <v>12.949599999999998</v>
      </c>
      <c r="G44" s="292">
        <v>138.35042735042734</v>
      </c>
      <c r="H44" s="292">
        <v>138.35042735042734</v>
      </c>
      <c r="N44" s="177"/>
    </row>
    <row r="45" spans="1:14" ht="15" customHeight="1">
      <c r="A45" s="5" t="s">
        <v>108</v>
      </c>
      <c r="B45" s="72" t="s">
        <v>109</v>
      </c>
      <c r="C45" s="94" t="s">
        <v>110</v>
      </c>
      <c r="D45" s="94">
        <v>29.42</v>
      </c>
      <c r="E45" s="94">
        <v>3.94</v>
      </c>
      <c r="F45" s="94">
        <v>12.29</v>
      </c>
      <c r="G45" s="292">
        <v>41.774303195105368</v>
      </c>
      <c r="H45" s="292">
        <v>311.92893401015226</v>
      </c>
      <c r="N45" s="177"/>
    </row>
    <row r="46" spans="1:14" ht="15" customHeight="1">
      <c r="A46" s="5" t="s">
        <v>111</v>
      </c>
      <c r="B46" s="72" t="s">
        <v>112</v>
      </c>
      <c r="C46" s="94" t="s">
        <v>113</v>
      </c>
      <c r="D46" s="94">
        <v>6.85</v>
      </c>
      <c r="E46" s="94">
        <v>6.85</v>
      </c>
      <c r="F46" s="94">
        <v>10.530000000000003</v>
      </c>
      <c r="G46" s="292">
        <v>153.72262773722633</v>
      </c>
      <c r="H46" s="292">
        <v>153.72262773722633</v>
      </c>
      <c r="N46" s="177"/>
    </row>
    <row r="47" spans="1:14" ht="15" customHeight="1">
      <c r="A47" s="5" t="s">
        <v>114</v>
      </c>
      <c r="B47" s="72" t="s">
        <v>115</v>
      </c>
      <c r="C47" s="94" t="s">
        <v>116</v>
      </c>
      <c r="D47" s="94">
        <v>7329.34</v>
      </c>
      <c r="E47" s="94">
        <v>6930.76</v>
      </c>
      <c r="F47" s="94">
        <v>2540.5800000000004</v>
      </c>
      <c r="G47" s="292">
        <v>34.663148387167197</v>
      </c>
      <c r="H47" s="292">
        <v>36.656586002112327</v>
      </c>
      <c r="N47" s="177"/>
    </row>
    <row r="48" spans="1:14" ht="15" customHeight="1">
      <c r="A48" s="5" t="s">
        <v>117</v>
      </c>
      <c r="B48" s="72" t="s">
        <v>118</v>
      </c>
      <c r="C48" s="94" t="s">
        <v>119</v>
      </c>
      <c r="D48" s="94">
        <v>593.08000000000004</v>
      </c>
      <c r="E48" s="94">
        <v>881.01</v>
      </c>
      <c r="F48" s="94">
        <v>1115.8399999999999</v>
      </c>
      <c r="G48" s="292">
        <v>188.14325217508596</v>
      </c>
      <c r="H48" s="292">
        <v>126.65463502116887</v>
      </c>
      <c r="N48" s="177"/>
    </row>
    <row r="49" spans="1:14" ht="15" customHeight="1">
      <c r="A49" s="5" t="s">
        <v>120</v>
      </c>
      <c r="B49" s="72" t="s">
        <v>121</v>
      </c>
      <c r="C49" s="94" t="s">
        <v>122</v>
      </c>
      <c r="D49" s="94"/>
      <c r="E49" s="94"/>
      <c r="F49" s="94">
        <v>2.09</v>
      </c>
      <c r="G49" s="292" t="s">
        <v>346</v>
      </c>
      <c r="H49" s="292" t="s">
        <v>346</v>
      </c>
      <c r="N49" s="177"/>
    </row>
    <row r="50" spans="1:14" s="53" customFormat="1" ht="18.75" customHeight="1">
      <c r="A50" s="308">
        <v>3</v>
      </c>
      <c r="B50" s="309" t="s">
        <v>123</v>
      </c>
      <c r="C50" s="96" t="s">
        <v>124</v>
      </c>
      <c r="D50" s="96">
        <v>539.72</v>
      </c>
      <c r="E50" s="96">
        <v>697.1</v>
      </c>
      <c r="F50" s="96">
        <v>5792.3916399999998</v>
      </c>
      <c r="G50" s="294">
        <v>9.3177401243538842</v>
      </c>
      <c r="H50" s="294">
        <v>12.034752539626275</v>
      </c>
      <c r="N50" s="310"/>
    </row>
  </sheetData>
  <mergeCells count="14">
    <mergeCell ref="O6:Q6"/>
    <mergeCell ref="A1:B1"/>
    <mergeCell ref="A2:H2"/>
    <mergeCell ref="A4:A6"/>
    <mergeCell ref="B4:B6"/>
    <mergeCell ref="C4:C6"/>
    <mergeCell ref="D4:D6"/>
    <mergeCell ref="E4:E6"/>
    <mergeCell ref="I6:K6"/>
    <mergeCell ref="L6:N6"/>
    <mergeCell ref="G5:G6"/>
    <mergeCell ref="G4:H4"/>
    <mergeCell ref="F4:F6"/>
    <mergeCell ref="H5:H6"/>
  </mergeCells>
  <phoneticPr fontId="4" type="noConversion"/>
  <pageMargins left="1" right="0.45" top="0.5" bottom="0.5" header="0.5" footer="0.5"/>
  <pageSetup paperSize="9" scale="8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83</vt:i4>
      </vt:variant>
    </vt:vector>
  </HeadingPairs>
  <TitlesOfParts>
    <vt:vector size="83" baseType="lpstr">
      <vt:lpstr>Muc luc</vt:lpstr>
      <vt:lpstr>muc luc phu</vt:lpstr>
      <vt:lpstr>Cong trinh, du an</vt:lpstr>
      <vt:lpstr>chuchuyen2011-2020</vt:lpstr>
      <vt:lpstr>cc2011-2015</vt:lpstr>
      <vt:lpstr>BIEN DONG</vt:lpstr>
      <vt:lpstr>Co Cau</vt:lpstr>
      <vt:lpstr>01CH</vt:lpstr>
      <vt:lpstr>02CH</vt:lpstr>
      <vt:lpstr>06CH</vt:lpstr>
      <vt:lpstr>07CH</vt:lpstr>
      <vt:lpstr>08CH</vt:lpstr>
      <vt:lpstr>09CH</vt:lpstr>
      <vt:lpstr>Bieu baocao</vt:lpstr>
      <vt:lpstr>10CH</vt:lpstr>
      <vt:lpstr>11CH</vt:lpstr>
      <vt:lpstr>chuchuyenin</vt:lpstr>
      <vt:lpstr>TONG TP</vt:lpstr>
      <vt:lpstr>Bac Son</vt:lpstr>
      <vt:lpstr>Hai Son</vt:lpstr>
      <vt:lpstr>Quang Nghia</vt:lpstr>
      <vt:lpstr>Hai Dong</vt:lpstr>
      <vt:lpstr>Hai Tien</vt:lpstr>
      <vt:lpstr>Hai Xuan</vt:lpstr>
      <vt:lpstr>Van Ninh</vt:lpstr>
      <vt:lpstr>Vinh Trung</vt:lpstr>
      <vt:lpstr>Vinh Thuc</vt:lpstr>
      <vt:lpstr>Hai Yen</vt:lpstr>
      <vt:lpstr>Ka Long</vt:lpstr>
      <vt:lpstr>Ninh Duong</vt:lpstr>
      <vt:lpstr>Hoa Lac</vt:lpstr>
      <vt:lpstr>Tran Phu</vt:lpstr>
      <vt:lpstr>Hai Hoa</vt:lpstr>
      <vt:lpstr>Tra Co</vt:lpstr>
      <vt:lpstr>Binh Ngoc</vt:lpstr>
      <vt:lpstr>Lien vị</vt:lpstr>
      <vt:lpstr>Tien Phong</vt:lpstr>
      <vt:lpstr>PHỤLỤCNN</vt:lpstr>
      <vt:lpstr>PHỤ LỤC PNN</vt:lpstr>
      <vt:lpstr>PHỤ LUC HT</vt:lpstr>
      <vt:lpstr>LUA</vt:lpstr>
      <vt:lpstr>LUC</vt:lpstr>
      <vt:lpstr>HNK</vt:lpstr>
      <vt:lpstr>CLN</vt:lpstr>
      <vt:lpstr>RPH</vt:lpstr>
      <vt:lpstr>RSX</vt:lpstr>
      <vt:lpstr>NTS</vt:lpstr>
      <vt:lpstr>NKH</vt:lpstr>
      <vt:lpstr>CQP</vt:lpstr>
      <vt:lpstr>CAN</vt:lpstr>
      <vt:lpstr>SKK</vt:lpstr>
      <vt:lpstr>TMD</vt:lpstr>
      <vt:lpstr>SKC</vt:lpstr>
      <vt:lpstr>DHT</vt:lpstr>
      <vt:lpstr>DVH</vt:lpstr>
      <vt:lpstr>DYT</vt:lpstr>
      <vt:lpstr>DGD</vt:lpstr>
      <vt:lpstr>DTT</vt:lpstr>
      <vt:lpstr>DGT</vt:lpstr>
      <vt:lpstr>DTL</vt:lpstr>
      <vt:lpstr>DNL</vt:lpstr>
      <vt:lpstr>DBV</vt:lpstr>
      <vt:lpstr>DCH</vt:lpstr>
      <vt:lpstr>DDT</vt:lpstr>
      <vt:lpstr>DRA</vt:lpstr>
      <vt:lpstr>ODT</vt:lpstr>
      <vt:lpstr>ONT</vt:lpstr>
      <vt:lpstr>TSC</vt:lpstr>
      <vt:lpstr>DTS</vt:lpstr>
      <vt:lpstr>TON</vt:lpstr>
      <vt:lpstr>NTD</vt:lpstr>
      <vt:lpstr>SKX</vt:lpstr>
      <vt:lpstr>DSH</vt:lpstr>
      <vt:lpstr>DKV</vt:lpstr>
      <vt:lpstr>TIN</vt:lpstr>
      <vt:lpstr>SON</vt:lpstr>
      <vt:lpstr>CSD1</vt:lpstr>
      <vt:lpstr>MNC</vt:lpstr>
      <vt:lpstr>CSD</vt:lpstr>
      <vt:lpstr>Sheet4</vt:lpstr>
      <vt:lpstr>Sheet6</vt:lpstr>
      <vt:lpstr>Cơ cấu BĐ</vt:lpstr>
      <vt:lpstr>Sheet1</vt:lpstr>
    </vt:vector>
  </TitlesOfParts>
  <Company>HOME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huylong</dc:creator>
  <cp:lastModifiedBy>Windows User</cp:lastModifiedBy>
  <cp:lastPrinted>2021-03-22T01:37:48Z</cp:lastPrinted>
  <dcterms:created xsi:type="dcterms:W3CDTF">2014-07-26T02:39:12Z</dcterms:created>
  <dcterms:modified xsi:type="dcterms:W3CDTF">2021-04-18T16:28:27Z</dcterms:modified>
</cp:coreProperties>
</file>